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MCA/"/>
    </mc:Choice>
  </mc:AlternateContent>
  <xr:revisionPtr revIDLastSave="0" documentId="13_ncr:1_{81BF5C28-CC0C-F248-8063-6A2E5067C922}" xr6:coauthVersionLast="47" xr6:coauthVersionMax="47" xr10:uidLastSave="{00000000-0000-0000-0000-000000000000}"/>
  <bookViews>
    <workbookView xWindow="0" yWindow="660" windowWidth="29400" windowHeight="16860" activeTab="9" xr2:uid="{64B361E9-4AC5-4A38-9F97-82BEA5F139DC}"/>
  </bookViews>
  <sheets>
    <sheet name="SEM_I" sheetId="1" r:id="rId1"/>
    <sheet name="SEM_II" sheetId="24" r:id="rId2"/>
    <sheet name="SEM_III" sheetId="27" r:id="rId3"/>
    <sheet name="SEM_IV" sheetId="32" r:id="rId4"/>
    <sheet name="TC_I" sheetId="30" r:id="rId5"/>
    <sheet name="TC_II" sheetId="25" r:id="rId6"/>
    <sheet name="TC_III" sheetId="28" r:id="rId7"/>
    <sheet name="TC_IV" sheetId="31" r:id="rId8"/>
    <sheet name="Marksheets" sheetId="34" r:id="rId9"/>
    <sheet name="GS_I" sheetId="23" r:id="rId10"/>
    <sheet name="GS_II" sheetId="26" r:id="rId11"/>
    <sheet name="GS_III" sheetId="29" r:id="rId12"/>
    <sheet name="GS_IV" sheetId="33" r:id="rId13"/>
  </sheets>
  <definedNames>
    <definedName name="I">SEM_I!$A$1:$AY$45</definedName>
    <definedName name="II">SEM_II!$A$1:$AM$45</definedName>
    <definedName name="III">SEM_III!$A$1:$AM$44</definedName>
    <definedName name="IV">SEM_IV!$A$1:$AM$44</definedName>
    <definedName name="_xlnm.Print_Titles" localSheetId="9">GS_I!$1:$6</definedName>
    <definedName name="_xlnm.Print_Titles" localSheetId="10">GS_II!$1:$6</definedName>
    <definedName name="_xlnm.Print_Titles" localSheetId="11">GS_III!$1:$6</definedName>
    <definedName name="_xlnm.Print_Titles" localSheetId="12">GS_IV!$1:$6</definedName>
    <definedName name="_xlnm.Print_Titles" localSheetId="8">Marksheets!$1:$8</definedName>
    <definedName name="_xlnm.Print_Titles" localSheetId="4">TC_I!$1:$7</definedName>
    <definedName name="_xlnm.Print_Titles" localSheetId="5">TC_II!$1:$7</definedName>
    <definedName name="_xlnm.Print_Titles" localSheetId="6">TC_III!$1:$7</definedName>
    <definedName name="_xlnm.Print_Titles" localSheetId="7">TC_IV!$1:$7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8" i="30" l="1"/>
  <c r="AR25" i="1"/>
  <c r="AO25" i="1"/>
  <c r="AL25" i="1"/>
  <c r="AI25" i="1"/>
  <c r="W25" i="1"/>
  <c r="T25" i="1"/>
  <c r="Q25" i="1"/>
  <c r="N25" i="1"/>
  <c r="K25" i="1"/>
  <c r="H25" i="1"/>
  <c r="AR24" i="1"/>
  <c r="AO24" i="1"/>
  <c r="AL24" i="1"/>
  <c r="AI24" i="1"/>
  <c r="W24" i="1"/>
  <c r="T24" i="1"/>
  <c r="Q24" i="1"/>
  <c r="N24" i="1"/>
  <c r="K24" i="1"/>
  <c r="H24" i="1"/>
  <c r="AR23" i="1"/>
  <c r="AO23" i="1"/>
  <c r="AL23" i="1"/>
  <c r="AI23" i="1"/>
  <c r="W23" i="1"/>
  <c r="T23" i="1"/>
  <c r="Q23" i="1"/>
  <c r="N23" i="1"/>
  <c r="K23" i="1"/>
  <c r="H23" i="1"/>
  <c r="AR22" i="1"/>
  <c r="AO22" i="1"/>
  <c r="AL22" i="1"/>
  <c r="AI22" i="1"/>
  <c r="W22" i="1"/>
  <c r="T22" i="1"/>
  <c r="Q22" i="1"/>
  <c r="N22" i="1"/>
  <c r="K22" i="1"/>
  <c r="H22" i="1"/>
  <c r="AR21" i="1"/>
  <c r="AO21" i="1"/>
  <c r="AL21" i="1"/>
  <c r="AI21" i="1"/>
  <c r="W21" i="1"/>
  <c r="T21" i="1"/>
  <c r="Q21" i="1"/>
  <c r="N21" i="1"/>
  <c r="K21" i="1"/>
  <c r="H21" i="1"/>
  <c r="AR20" i="1"/>
  <c r="AO20" i="1"/>
  <c r="AL20" i="1"/>
  <c r="AI20" i="1"/>
  <c r="W20" i="1"/>
  <c r="T20" i="1"/>
  <c r="Q20" i="1"/>
  <c r="N20" i="1"/>
  <c r="K20" i="1"/>
  <c r="H20" i="1"/>
  <c r="AR19" i="1"/>
  <c r="AO19" i="1"/>
  <c r="AL19" i="1"/>
  <c r="AI19" i="1"/>
  <c r="W19" i="1"/>
  <c r="T19" i="1"/>
  <c r="Q19" i="1"/>
  <c r="N19" i="1"/>
  <c r="K19" i="1"/>
  <c r="H19" i="1"/>
  <c r="AR18" i="1"/>
  <c r="AO18" i="1"/>
  <c r="AL18" i="1"/>
  <c r="AI18" i="1"/>
  <c r="W18" i="1"/>
  <c r="T18" i="1"/>
  <c r="Q18" i="1"/>
  <c r="N18" i="1"/>
  <c r="K18" i="1"/>
  <c r="H18" i="1"/>
  <c r="AR17" i="1"/>
  <c r="AO17" i="1"/>
  <c r="AL17" i="1"/>
  <c r="AI17" i="1"/>
  <c r="W17" i="1"/>
  <c r="T17" i="1"/>
  <c r="Q17" i="1"/>
  <c r="N17" i="1"/>
  <c r="K17" i="1"/>
  <c r="H17" i="1"/>
  <c r="AR16" i="1"/>
  <c r="AO16" i="1"/>
  <c r="AL16" i="1"/>
  <c r="AI16" i="1"/>
  <c r="W16" i="1"/>
  <c r="T16" i="1"/>
  <c r="Q16" i="1"/>
  <c r="N16" i="1"/>
  <c r="K16" i="1"/>
  <c r="H16" i="1"/>
  <c r="AR15" i="1"/>
  <c r="AO15" i="1"/>
  <c r="AL15" i="1"/>
  <c r="AI15" i="1"/>
  <c r="W15" i="1"/>
  <c r="T15" i="1"/>
  <c r="Q15" i="1"/>
  <c r="N15" i="1"/>
  <c r="K15" i="1"/>
  <c r="H15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AR13" i="1"/>
  <c r="AO13" i="1"/>
  <c r="AL13" i="1"/>
  <c r="AI13" i="1"/>
  <c r="W13" i="1"/>
  <c r="T13" i="1"/>
  <c r="Q13" i="1"/>
  <c r="N13" i="1"/>
  <c r="K13" i="1"/>
  <c r="H13" i="1"/>
  <c r="AR12" i="1"/>
  <c r="AO12" i="1"/>
  <c r="AL12" i="1"/>
  <c r="AI12" i="1"/>
  <c r="W12" i="1"/>
  <c r="T12" i="1"/>
  <c r="Q12" i="1"/>
  <c r="N12" i="1"/>
  <c r="K12" i="1"/>
  <c r="H12" i="1"/>
  <c r="AR11" i="1"/>
  <c r="AO11" i="1"/>
  <c r="AL11" i="1"/>
  <c r="AI11" i="1"/>
  <c r="W11" i="1"/>
  <c r="T11" i="1"/>
  <c r="Q11" i="1"/>
  <c r="N11" i="1"/>
  <c r="K11" i="1"/>
  <c r="H11" i="1"/>
  <c r="AR10" i="1"/>
  <c r="AO10" i="1"/>
  <c r="AL10" i="1"/>
  <c r="AI10" i="1"/>
  <c r="W10" i="1"/>
  <c r="T10" i="1"/>
  <c r="Q10" i="1"/>
  <c r="N10" i="1"/>
  <c r="K10" i="1"/>
  <c r="H10" i="1"/>
  <c r="AR9" i="1"/>
  <c r="AO9" i="1"/>
  <c r="AL9" i="1"/>
  <c r="AI9" i="1"/>
  <c r="W9" i="1"/>
  <c r="T9" i="1"/>
  <c r="Q9" i="1"/>
  <c r="N9" i="1"/>
  <c r="K9" i="1"/>
  <c r="H9" i="1"/>
  <c r="AR8" i="1"/>
  <c r="AO8" i="1"/>
  <c r="AL8" i="1"/>
  <c r="AI8" i="1"/>
  <c r="AF8" i="1"/>
  <c r="AC8" i="1"/>
  <c r="Z8" i="1"/>
  <c r="W8" i="1"/>
  <c r="T8" i="1"/>
  <c r="Q8" i="1"/>
  <c r="N8" i="1"/>
  <c r="K8" i="1"/>
  <c r="H8" i="1"/>
  <c r="AR7" i="1"/>
  <c r="AO7" i="1"/>
  <c r="AL7" i="1"/>
  <c r="AI7" i="1"/>
  <c r="W7" i="1"/>
  <c r="T7" i="1"/>
  <c r="Q7" i="1"/>
  <c r="N7" i="1"/>
  <c r="K7" i="1"/>
  <c r="H7" i="1"/>
  <c r="AR6" i="1"/>
  <c r="AO6" i="1"/>
  <c r="AL6" i="1"/>
  <c r="AI6" i="1"/>
  <c r="AF6" i="1"/>
  <c r="AC6" i="1"/>
  <c r="Z6" i="1"/>
  <c r="W6" i="1"/>
  <c r="T6" i="1"/>
  <c r="Q6" i="1"/>
  <c r="N6" i="1"/>
  <c r="K6" i="1"/>
  <c r="H6" i="1"/>
  <c r="AI30" i="24" l="1"/>
  <c r="AF30" i="24"/>
  <c r="AC30" i="24"/>
  <c r="Z30" i="24"/>
  <c r="W30" i="24"/>
  <c r="T30" i="24"/>
  <c r="Q30" i="24"/>
  <c r="N30" i="24"/>
  <c r="K30" i="24"/>
  <c r="H30" i="24"/>
  <c r="AI29" i="24"/>
  <c r="AF29" i="24"/>
  <c r="AC29" i="24"/>
  <c r="Z29" i="24"/>
  <c r="W29" i="24"/>
  <c r="T29" i="24"/>
  <c r="Q29" i="24"/>
  <c r="N29" i="24"/>
  <c r="K29" i="24"/>
  <c r="H29" i="24"/>
  <c r="AI28" i="24"/>
  <c r="AF28" i="24"/>
  <c r="AC28" i="24"/>
  <c r="Z28" i="24"/>
  <c r="W28" i="24"/>
  <c r="T28" i="24"/>
  <c r="Q28" i="24"/>
  <c r="N28" i="24"/>
  <c r="K28" i="24"/>
  <c r="H28" i="24"/>
  <c r="AI27" i="24"/>
  <c r="AF27" i="24"/>
  <c r="AC27" i="24"/>
  <c r="Z27" i="24"/>
  <c r="W27" i="24"/>
  <c r="T27" i="24"/>
  <c r="Q27" i="24"/>
  <c r="N27" i="24"/>
  <c r="K27" i="24"/>
  <c r="H27" i="24"/>
  <c r="AI26" i="24"/>
  <c r="AF26" i="24"/>
  <c r="AC26" i="24"/>
  <c r="Z26" i="24"/>
  <c r="W26" i="24"/>
  <c r="T26" i="24"/>
  <c r="Q26" i="24"/>
  <c r="N26" i="24"/>
  <c r="K26" i="24"/>
  <c r="H26" i="24"/>
  <c r="AI25" i="24"/>
  <c r="AF25" i="24"/>
  <c r="AC25" i="24"/>
  <c r="Z25" i="24"/>
  <c r="W25" i="24"/>
  <c r="T25" i="24"/>
  <c r="Q25" i="24"/>
  <c r="N25" i="24"/>
  <c r="K25" i="24"/>
  <c r="H25" i="24"/>
  <c r="AI24" i="24"/>
  <c r="AF24" i="24"/>
  <c r="AC24" i="24"/>
  <c r="Z24" i="24"/>
  <c r="W24" i="24"/>
  <c r="T24" i="24"/>
  <c r="Q24" i="24"/>
  <c r="N24" i="24"/>
  <c r="K24" i="24"/>
  <c r="H24" i="24"/>
  <c r="AI23" i="24"/>
  <c r="AF23" i="24"/>
  <c r="AC23" i="24"/>
  <c r="Z23" i="24"/>
  <c r="W23" i="24"/>
  <c r="T23" i="24"/>
  <c r="Q23" i="24"/>
  <c r="N23" i="24"/>
  <c r="K23" i="24"/>
  <c r="H23" i="24"/>
  <c r="AI22" i="24"/>
  <c r="AF22" i="24"/>
  <c r="AC22" i="24"/>
  <c r="Z22" i="24"/>
  <c r="W22" i="24"/>
  <c r="T22" i="24"/>
  <c r="Q22" i="24"/>
  <c r="N22" i="24"/>
  <c r="K22" i="24"/>
  <c r="H22" i="24"/>
  <c r="AI21" i="24"/>
  <c r="AF21" i="24"/>
  <c r="AC21" i="24"/>
  <c r="Z21" i="24"/>
  <c r="W21" i="24"/>
  <c r="T21" i="24"/>
  <c r="Q21" i="24"/>
  <c r="N21" i="24"/>
  <c r="K21" i="24"/>
  <c r="H21" i="24"/>
  <c r="AI20" i="24"/>
  <c r="AF20" i="24"/>
  <c r="AC20" i="24"/>
  <c r="Z20" i="24"/>
  <c r="W20" i="24"/>
  <c r="T20" i="24"/>
  <c r="Q20" i="24"/>
  <c r="N20" i="24"/>
  <c r="K20" i="24"/>
  <c r="H20" i="24"/>
  <c r="AI19" i="24"/>
  <c r="AF19" i="24"/>
  <c r="AC19" i="24"/>
  <c r="Z19" i="24"/>
  <c r="W19" i="24"/>
  <c r="T19" i="24"/>
  <c r="Q19" i="24"/>
  <c r="N19" i="24"/>
  <c r="K19" i="24"/>
  <c r="H19" i="24"/>
  <c r="AI18" i="24"/>
  <c r="AF18" i="24"/>
  <c r="AC18" i="24"/>
  <c r="Z18" i="24"/>
  <c r="W18" i="24"/>
  <c r="T18" i="24"/>
  <c r="Q18" i="24"/>
  <c r="N18" i="24"/>
  <c r="K18" i="24"/>
  <c r="H18" i="24"/>
  <c r="AI17" i="24"/>
  <c r="AF17" i="24"/>
  <c r="AC17" i="24"/>
  <c r="Z17" i="24"/>
  <c r="W17" i="24"/>
  <c r="T17" i="24"/>
  <c r="Q17" i="24"/>
  <c r="N17" i="24"/>
  <c r="K17" i="24"/>
  <c r="H17" i="24"/>
  <c r="AI16" i="24"/>
  <c r="AF16" i="24"/>
  <c r="AC16" i="24"/>
  <c r="Z16" i="24"/>
  <c r="W16" i="24"/>
  <c r="T16" i="24"/>
  <c r="Q16" i="24"/>
  <c r="N16" i="24"/>
  <c r="K16" i="24"/>
  <c r="H16" i="24"/>
  <c r="AI15" i="24"/>
  <c r="AF15" i="24"/>
  <c r="AC15" i="24"/>
  <c r="Z15" i="24"/>
  <c r="W15" i="24"/>
  <c r="T15" i="24"/>
  <c r="Q15" i="24"/>
  <c r="N15" i="24"/>
  <c r="K15" i="24"/>
  <c r="H15" i="24"/>
  <c r="AI14" i="24"/>
  <c r="AF14" i="24"/>
  <c r="AC14" i="24"/>
  <c r="Z14" i="24"/>
  <c r="W14" i="24"/>
  <c r="T14" i="24"/>
  <c r="Q14" i="24"/>
  <c r="N14" i="24"/>
  <c r="K14" i="24"/>
  <c r="H14" i="24"/>
  <c r="AI13" i="24"/>
  <c r="AF13" i="24"/>
  <c r="AC13" i="24"/>
  <c r="Z13" i="24"/>
  <c r="W13" i="24"/>
  <c r="T13" i="24"/>
  <c r="Q13" i="24"/>
  <c r="N13" i="24"/>
  <c r="K13" i="24"/>
  <c r="H13" i="24"/>
  <c r="AI12" i="24"/>
  <c r="AF12" i="24"/>
  <c r="AC12" i="24"/>
  <c r="Z12" i="24"/>
  <c r="W12" i="24"/>
  <c r="T12" i="24"/>
  <c r="Q12" i="24"/>
  <c r="N12" i="24"/>
  <c r="K12" i="24"/>
  <c r="H12" i="24"/>
  <c r="AI11" i="24"/>
  <c r="AF11" i="24"/>
  <c r="AC11" i="24"/>
  <c r="Z11" i="24"/>
  <c r="W11" i="24"/>
  <c r="T11" i="24"/>
  <c r="Q11" i="24"/>
  <c r="N11" i="24"/>
  <c r="K11" i="24"/>
  <c r="H11" i="24"/>
  <c r="AI10" i="24"/>
  <c r="AF10" i="24"/>
  <c r="AC10" i="24"/>
  <c r="Z10" i="24"/>
  <c r="W10" i="24"/>
  <c r="T10" i="24"/>
  <c r="Q10" i="24"/>
  <c r="N10" i="24"/>
  <c r="K10" i="24"/>
  <c r="H10" i="24"/>
  <c r="AI9" i="24"/>
  <c r="AF9" i="24"/>
  <c r="AC9" i="24"/>
  <c r="Z9" i="24"/>
  <c r="W9" i="24"/>
  <c r="T9" i="24"/>
  <c r="Q9" i="24"/>
  <c r="N9" i="24"/>
  <c r="K9" i="24"/>
  <c r="H9" i="24"/>
  <c r="AI8" i="24"/>
  <c r="AF8" i="24"/>
  <c r="AC8" i="24"/>
  <c r="Z8" i="24"/>
  <c r="W8" i="24"/>
  <c r="T8" i="24"/>
  <c r="Q8" i="24"/>
  <c r="N8" i="24"/>
  <c r="K8" i="24"/>
  <c r="H8" i="24"/>
  <c r="AI7" i="24"/>
  <c r="AF7" i="24"/>
  <c r="AC7" i="24"/>
  <c r="Z7" i="24"/>
  <c r="W7" i="24"/>
  <c r="T7" i="24"/>
  <c r="Q7" i="24"/>
  <c r="N7" i="24"/>
  <c r="K7" i="24"/>
  <c r="H7" i="24"/>
  <c r="AI6" i="24"/>
  <c r="AF6" i="24"/>
  <c r="AC6" i="24"/>
  <c r="Z6" i="24"/>
  <c r="W6" i="24"/>
  <c r="T6" i="24"/>
  <c r="Q6" i="24"/>
  <c r="N6" i="24"/>
  <c r="K6" i="24"/>
  <c r="H6" i="24"/>
  <c r="A630" i="33" l="1"/>
  <c r="A629" i="33"/>
  <c r="A626" i="33"/>
  <c r="A614" i="33"/>
  <c r="A613" i="33"/>
  <c r="O660" i="28"/>
  <c r="W658" i="28"/>
  <c r="E654" i="28"/>
  <c r="D654" i="28"/>
  <c r="C654" i="28"/>
  <c r="B654" i="28"/>
  <c r="A654" i="28"/>
  <c r="O643" i="28"/>
  <c r="O626" i="28"/>
  <c r="O609" i="28"/>
  <c r="O592" i="28"/>
  <c r="O575" i="28"/>
  <c r="O558" i="28"/>
  <c r="O541" i="28"/>
  <c r="O524" i="28"/>
  <c r="O507" i="28"/>
  <c r="O490" i="28"/>
  <c r="O473" i="28"/>
  <c r="O456" i="28"/>
  <c r="O439" i="28"/>
  <c r="O422" i="28"/>
  <c r="O405" i="28"/>
  <c r="O388" i="28"/>
  <c r="O371" i="28"/>
  <c r="O354" i="28"/>
  <c r="O337" i="28"/>
  <c r="O320" i="28"/>
  <c r="O303" i="28"/>
  <c r="O286" i="28"/>
  <c r="O269" i="28"/>
  <c r="O252" i="28"/>
  <c r="O235" i="28"/>
  <c r="O218" i="28"/>
  <c r="O201" i="28"/>
  <c r="O184" i="28"/>
  <c r="O167" i="28"/>
  <c r="O150" i="28"/>
  <c r="O133" i="28"/>
  <c r="O116" i="28"/>
  <c r="O99" i="28"/>
  <c r="O82" i="28"/>
  <c r="O65" i="28"/>
  <c r="O48" i="28"/>
  <c r="O31" i="28"/>
  <c r="O135" i="28" a="1"/>
  <c r="O352" i="31" a="1"/>
  <c r="O611" i="28" a="1"/>
  <c r="O253" i="28" a="1"/>
  <c r="B655" i="28"/>
  <c r="O336" i="31" a="1"/>
  <c r="O271" i="28" a="1"/>
  <c r="O661" i="28" a="1"/>
  <c r="O220" i="28" a="1"/>
  <c r="O407" i="28" a="1"/>
  <c r="O402" i="31" a="1"/>
  <c r="O458" i="28" a="1"/>
  <c r="O544" i="31" a="1"/>
  <c r="O592" i="31" a="1"/>
  <c r="O134" i="28" a="1"/>
  <c r="O480" i="31" a="1"/>
  <c r="O101" i="28" a="1"/>
  <c r="O382" i="31" a="1"/>
  <c r="O594" i="28" a="1"/>
  <c r="O430" i="31" a="1"/>
  <c r="O152" i="28" a="1"/>
  <c r="O576" i="28" a="1"/>
  <c r="O202" i="28" a="1"/>
  <c r="O457" i="28" a="1"/>
  <c r="O286" i="31" a="1"/>
  <c r="O270" i="28" a="1"/>
  <c r="O542" i="28" a="1"/>
  <c r="O558" i="31" a="1"/>
  <c r="O424" i="28" a="1"/>
  <c r="O66" i="31" a="1"/>
  <c r="O594" i="31" a="1"/>
  <c r="O130" i="31" a="1"/>
  <c r="O526" i="31" a="1"/>
  <c r="O318" i="31" a="1"/>
  <c r="O203" i="28" a="1"/>
  <c r="O46" i="31" a="1"/>
  <c r="O645" i="28" a="1"/>
  <c r="O414" i="31" a="1"/>
  <c r="O384" i="31" a="1"/>
  <c r="O224" i="31" a="1"/>
  <c r="O574" i="31" a="1"/>
  <c r="O448" i="31" a="1"/>
  <c r="O100" i="28" a="1"/>
  <c r="O258" i="31" a="1"/>
  <c r="O80" i="31" a="1"/>
  <c r="O610" i="31" a="1"/>
  <c r="O306" i="31" a="1"/>
  <c r="O160" i="31" a="1"/>
  <c r="O338" i="28" a="1"/>
  <c r="O526" i="28" a="1"/>
  <c r="O446" i="31" a="1"/>
  <c r="O78" i="31" a="1"/>
  <c r="O350" i="31" a="1"/>
  <c r="O434" i="31" a="1"/>
  <c r="O50" i="31" a="1"/>
  <c r="O287" i="28" a="1"/>
  <c r="O475" i="28" a="1"/>
  <c r="O270" i="31" a="1"/>
  <c r="O186" i="28" a="1"/>
  <c r="O474" i="28" a="1"/>
  <c r="O462" i="31" a="1"/>
  <c r="O98" i="31" a="1"/>
  <c r="O372" i="28" a="1"/>
  <c r="O126" i="31" a="1"/>
  <c r="O66" i="28" a="1"/>
  <c r="O94" i="31" a="1"/>
  <c r="O274" i="31" a="1"/>
  <c r="O272" i="31" a="1"/>
  <c r="O355" i="28" a="1"/>
  <c r="O158" i="31" a="1"/>
  <c r="O174" i="31" a="1"/>
  <c r="O356" i="28" a="1"/>
  <c r="O96" i="31" a="1"/>
  <c r="O354" i="31" a="1"/>
  <c r="O151" i="28" a="1"/>
  <c r="O290" i="31" a="1"/>
  <c r="O146" i="31" a="1"/>
  <c r="O48" i="31" a="1"/>
  <c r="O606" i="31" a="1"/>
  <c r="O525" i="28" a="1"/>
  <c r="O32" i="31" a="1"/>
  <c r="O491" i="28" a="1"/>
  <c r="O498" i="31" a="1"/>
  <c r="O416" i="31" a="1"/>
  <c r="O590" i="31" a="1"/>
  <c r="O450" i="31" a="1"/>
  <c r="O16" i="28" a="1"/>
  <c r="O32" i="28" a="1"/>
  <c r="O62" i="31" a="1"/>
  <c r="O50" i="28" a="1"/>
  <c r="O464" i="31" a="1"/>
  <c r="O496" i="31" a="1"/>
  <c r="O254" i="28" a="1"/>
  <c r="O334" i="31" a="1"/>
  <c r="O142" i="31" a="1"/>
  <c r="O608" i="31" a="1"/>
  <c r="O338" i="31" a="1"/>
  <c r="O400" i="31" a="1"/>
  <c r="O114" i="31" a="1"/>
  <c r="O190" i="31" a="1"/>
  <c r="O432" i="31" a="1"/>
  <c r="O118" i="28" a="1"/>
  <c r="O644" i="28" a="1"/>
  <c r="O386" i="31" a="1"/>
  <c r="O366" i="31" a="1"/>
  <c r="O242" i="31" a="1"/>
  <c r="O222" i="31" a="1"/>
  <c r="O510" i="31" a="1"/>
  <c r="O30" i="31" a="1"/>
  <c r="O288" i="31" a="1"/>
  <c r="O482" i="31" a="1"/>
  <c r="O441" i="28" a="1"/>
  <c r="O49" i="28" a="1"/>
  <c r="O162" i="31" a="1"/>
  <c r="O192" i="31" a="1"/>
  <c r="O237" i="28" a="1"/>
  <c r="O560" i="28" a="1"/>
  <c r="O628" i="28" a="1"/>
  <c r="O578" i="31" a="1"/>
  <c r="O304" i="28" a="1"/>
  <c r="O370" i="31" a="1"/>
  <c r="O528" i="31" a="1"/>
  <c r="O144" i="31" a="1"/>
  <c r="O305" i="28" a="1"/>
  <c r="O627" i="28" a="1"/>
  <c r="O440" i="28" a="1"/>
  <c r="O83" i="28" a="1"/>
  <c r="O320" i="31" a="1"/>
  <c r="O208" i="31" a="1"/>
  <c r="O624" i="31" a="1"/>
  <c r="O508" i="28" a="1"/>
  <c r="O238" i="31" a="1"/>
  <c r="O168" i="28" a="1"/>
  <c r="O509" i="28" a="1"/>
  <c r="O559" i="28" a="1"/>
  <c r="O169" i="28" a="1"/>
  <c r="O543" i="28" a="1"/>
  <c r="O593" i="28" a="1"/>
  <c r="O626" i="31" a="1"/>
  <c r="O176" i="31" a="1"/>
  <c r="O390" i="28" a="1"/>
  <c r="O398" i="31" a="1"/>
  <c r="O542" i="31" a="1"/>
  <c r="O560" i="31" a="1"/>
  <c r="O492" i="28" a="1"/>
  <c r="O622" i="31" a="1"/>
  <c r="O82" i="31" a="1"/>
  <c r="O389" i="28" a="1"/>
  <c r="O256" i="31" a="1"/>
  <c r="O368" i="31" a="1"/>
  <c r="O67" i="28" a="1"/>
  <c r="O478" i="31" a="1"/>
  <c r="O562" i="31" a="1"/>
  <c r="O418" i="31" a="1"/>
  <c r="O34" i="31" a="1"/>
  <c r="O117" i="28" a="1"/>
  <c r="O302" i="31" a="1"/>
  <c r="O185" i="28" a="1"/>
  <c r="O406" i="28" a="1"/>
  <c r="O423" i="28" a="1"/>
  <c r="O219" i="28" a="1"/>
  <c r="O530" i="31" a="1"/>
  <c r="O236" i="28" a="1"/>
  <c r="O339" i="28" a="1"/>
  <c r="O226" i="31" a="1"/>
  <c r="O194" i="31" a="1"/>
  <c r="O128" i="31" a="1"/>
  <c r="O373" i="28" a="1"/>
  <c r="O254" i="31" a="1"/>
  <c r="O178" i="31" a="1"/>
  <c r="O577" i="28" a="1"/>
  <c r="O112" i="31" a="1"/>
  <c r="O64" i="31" a="1"/>
  <c r="O206" i="31" a="1"/>
  <c r="O288" i="28" a="1"/>
  <c r="O16" i="31" a="1"/>
  <c r="O576" i="31" a="1"/>
  <c r="O18" i="31" a="1"/>
  <c r="O33" i="28" a="1"/>
  <c r="O546" i="31" a="1"/>
  <c r="O321" i="28" a="1"/>
  <c r="O210" i="31" a="1"/>
  <c r="O322" i="31" a="1"/>
  <c r="O466" i="31" a="1"/>
  <c r="O494" i="31" a="1"/>
  <c r="O84" i="28" a="1"/>
  <c r="O514" i="31" a="1"/>
  <c r="O512" i="31" a="1"/>
  <c r="O14" i="31" a="1"/>
  <c r="O15" i="28" a="1"/>
  <c r="O240" i="31" a="1"/>
  <c r="O610" i="28" a="1"/>
  <c r="O662" i="28" a="1"/>
  <c r="O304" i="31" a="1"/>
  <c r="O110" i="31" a="1"/>
  <c r="O322" i="28" a="1"/>
  <c r="O622" i="31" l="1"/>
  <c r="O623" i="31" s="1"/>
  <c r="O626" i="31"/>
  <c r="O627" i="31" s="1"/>
  <c r="O624" i="31"/>
  <c r="O625" i="31" s="1"/>
  <c r="O606" i="31"/>
  <c r="O607" i="31" s="1"/>
  <c r="O610" i="31"/>
  <c r="O611" i="31" s="1"/>
  <c r="O608" i="31"/>
  <c r="O609" i="31" s="1"/>
  <c r="O594" i="31"/>
  <c r="O595" i="31" s="1"/>
  <c r="O590" i="31"/>
  <c r="O591" i="31" s="1"/>
  <c r="O592" i="31"/>
  <c r="O593" i="31" s="1"/>
  <c r="O574" i="31"/>
  <c r="O575" i="31" s="1"/>
  <c r="O578" i="31"/>
  <c r="O579" i="31" s="1"/>
  <c r="O576" i="31"/>
  <c r="O577" i="31" s="1"/>
  <c r="O558" i="31"/>
  <c r="O559" i="31" s="1"/>
  <c r="O562" i="31"/>
  <c r="O563" i="31" s="1"/>
  <c r="O560" i="31"/>
  <c r="O561" i="31" s="1"/>
  <c r="O542" i="31"/>
  <c r="O543" i="31" s="1"/>
  <c r="O546" i="31"/>
  <c r="O547" i="31" s="1"/>
  <c r="O544" i="31"/>
  <c r="O545" i="31" s="1"/>
  <c r="O526" i="31"/>
  <c r="O527" i="31" s="1"/>
  <c r="O530" i="31"/>
  <c r="O531" i="31" s="1"/>
  <c r="O528" i="31"/>
  <c r="O529" i="31" s="1"/>
  <c r="O510" i="31"/>
  <c r="O511" i="31" s="1"/>
  <c r="O514" i="31"/>
  <c r="O515" i="31" s="1"/>
  <c r="O512" i="31"/>
  <c r="O513" i="31" s="1"/>
  <c r="O494" i="31"/>
  <c r="O495" i="31" s="1"/>
  <c r="O498" i="31"/>
  <c r="O499" i="31" s="1"/>
  <c r="O496" i="31"/>
  <c r="O497" i="31" s="1"/>
  <c r="O482" i="31"/>
  <c r="O483" i="31" s="1"/>
  <c r="O478" i="31"/>
  <c r="O479" i="31" s="1"/>
  <c r="O480" i="31"/>
  <c r="O481" i="31" s="1"/>
  <c r="O462" i="31"/>
  <c r="O463" i="31" s="1"/>
  <c r="O466" i="31"/>
  <c r="O467" i="31" s="1"/>
  <c r="O464" i="31"/>
  <c r="O465" i="31" s="1"/>
  <c r="O446" i="31"/>
  <c r="O447" i="31" s="1"/>
  <c r="O450" i="31"/>
  <c r="O451" i="31" s="1"/>
  <c r="O448" i="31"/>
  <c r="O449" i="31" s="1"/>
  <c r="O430" i="31"/>
  <c r="O431" i="31" s="1"/>
  <c r="O434" i="31"/>
  <c r="O435" i="31" s="1"/>
  <c r="O432" i="31"/>
  <c r="O433" i="31" s="1"/>
  <c r="O414" i="31"/>
  <c r="O415" i="31" s="1"/>
  <c r="O418" i="31"/>
  <c r="O419" i="31" s="1"/>
  <c r="O416" i="31"/>
  <c r="O417" i="31" s="1"/>
  <c r="O398" i="31"/>
  <c r="O399" i="31" s="1"/>
  <c r="O402" i="31"/>
  <c r="O403" i="31" s="1"/>
  <c r="O400" i="31"/>
  <c r="O401" i="31" s="1"/>
  <c r="O382" i="31"/>
  <c r="O383" i="31" s="1"/>
  <c r="O386" i="31"/>
  <c r="O387" i="31" s="1"/>
  <c r="O384" i="31"/>
  <c r="O385" i="31" s="1"/>
  <c r="O366" i="31"/>
  <c r="O367" i="31" s="1"/>
  <c r="O370" i="31"/>
  <c r="O371" i="31" s="1"/>
  <c r="O368" i="31"/>
  <c r="O369" i="31" s="1"/>
  <c r="O350" i="31"/>
  <c r="O351" i="31" s="1"/>
  <c r="O354" i="31"/>
  <c r="O355" i="31" s="1"/>
  <c r="O352" i="31"/>
  <c r="O353" i="31" s="1"/>
  <c r="O336" i="31"/>
  <c r="O337" i="31" s="1"/>
  <c r="O338" i="31"/>
  <c r="O339" i="31" s="1"/>
  <c r="O334" i="31"/>
  <c r="O335" i="31" s="1"/>
  <c r="O318" i="31"/>
  <c r="O319" i="31" s="1"/>
  <c r="O322" i="31"/>
  <c r="O323" i="31" s="1"/>
  <c r="O320" i="31"/>
  <c r="O321" i="31" s="1"/>
  <c r="O302" i="31"/>
  <c r="O303" i="31" s="1"/>
  <c r="O306" i="31"/>
  <c r="O307" i="31" s="1"/>
  <c r="O304" i="31"/>
  <c r="O305" i="31" s="1"/>
  <c r="O290" i="31"/>
  <c r="O291" i="31" s="1"/>
  <c r="O286" i="31"/>
  <c r="O287" i="31" s="1"/>
  <c r="O288" i="31"/>
  <c r="O289" i="31" s="1"/>
  <c r="O270" i="31"/>
  <c r="O271" i="31" s="1"/>
  <c r="O274" i="31"/>
  <c r="O275" i="31" s="1"/>
  <c r="O272" i="31"/>
  <c r="O273" i="31" s="1"/>
  <c r="O254" i="31"/>
  <c r="O255" i="31" s="1"/>
  <c r="O258" i="31"/>
  <c r="O259" i="31" s="1"/>
  <c r="O256" i="31"/>
  <c r="O257" i="31" s="1"/>
  <c r="O238" i="31"/>
  <c r="O239" i="31" s="1"/>
  <c r="O242" i="31"/>
  <c r="O243" i="31" s="1"/>
  <c r="O240" i="31"/>
  <c r="O241" i="31" s="1"/>
  <c r="O222" i="31"/>
  <c r="O223" i="31" s="1"/>
  <c r="O226" i="31"/>
  <c r="O227" i="31" s="1"/>
  <c r="O224" i="31"/>
  <c r="O225" i="31" s="1"/>
  <c r="O206" i="31"/>
  <c r="O207" i="31" s="1"/>
  <c r="O210" i="31"/>
  <c r="O211" i="31" s="1"/>
  <c r="O208" i="31"/>
  <c r="O209" i="31" s="1"/>
  <c r="O190" i="31"/>
  <c r="O191" i="31" s="1"/>
  <c r="O194" i="31"/>
  <c r="O195" i="31" s="1"/>
  <c r="O192" i="31"/>
  <c r="O193" i="31" s="1"/>
  <c r="O178" i="31"/>
  <c r="O179" i="31" s="1"/>
  <c r="O174" i="31"/>
  <c r="O175" i="31" s="1"/>
  <c r="O176" i="31"/>
  <c r="O177" i="31" s="1"/>
  <c r="O162" i="31"/>
  <c r="O163" i="31" s="1"/>
  <c r="O160" i="31"/>
  <c r="O161" i="31" s="1"/>
  <c r="O158" i="31"/>
  <c r="O159" i="31" s="1"/>
  <c r="O142" i="31"/>
  <c r="O143" i="31" s="1"/>
  <c r="O146" i="31"/>
  <c r="O147" i="31" s="1"/>
  <c r="O144" i="31"/>
  <c r="O145" i="31" s="1"/>
  <c r="O126" i="31"/>
  <c r="O127" i="31" s="1"/>
  <c r="O130" i="31"/>
  <c r="O131" i="31" s="1"/>
  <c r="O128" i="31"/>
  <c r="O129" i="31" s="1"/>
  <c r="O110" i="31"/>
  <c r="O111" i="31" s="1"/>
  <c r="O114" i="31"/>
  <c r="O115" i="31" s="1"/>
  <c r="O112" i="31"/>
  <c r="O113" i="31" s="1"/>
  <c r="O94" i="31"/>
  <c r="O95" i="31" s="1"/>
  <c r="O96" i="31"/>
  <c r="O97" i="31" s="1"/>
  <c r="O98" i="31"/>
  <c r="O99" i="31" s="1"/>
  <c r="O78" i="31"/>
  <c r="O79" i="31" s="1"/>
  <c r="O82" i="31"/>
  <c r="O83" i="31" s="1"/>
  <c r="O80" i="31"/>
  <c r="O81" i="31" s="1"/>
  <c r="O62" i="31"/>
  <c r="O63" i="31" s="1"/>
  <c r="O66" i="31"/>
  <c r="O67" i="31" s="1"/>
  <c r="O64" i="31"/>
  <c r="O65" i="31" s="1"/>
  <c r="O46" i="31"/>
  <c r="O47" i="31" s="1"/>
  <c r="O50" i="31"/>
  <c r="O51" i="31" s="1"/>
  <c r="O48" i="31"/>
  <c r="O49" i="31" s="1"/>
  <c r="O30" i="31"/>
  <c r="O31" i="31" s="1"/>
  <c r="O34" i="31"/>
  <c r="O35" i="31" s="1"/>
  <c r="O32" i="31"/>
  <c r="O33" i="31" s="1"/>
  <c r="O18" i="31"/>
  <c r="O19" i="31" s="1"/>
  <c r="O16" i="31"/>
  <c r="O17" i="31" s="1"/>
  <c r="O14" i="31"/>
  <c r="O15" i="31" s="1"/>
  <c r="O661" i="28"/>
  <c r="O662" i="28"/>
  <c r="O663" i="28" s="1"/>
  <c r="O664" i="28" s="1"/>
  <c r="O665" i="28" s="1"/>
  <c r="O666" i="28" s="1"/>
  <c r="O644" i="28"/>
  <c r="O645" i="28"/>
  <c r="O646" i="28" s="1"/>
  <c r="O647" i="28" s="1"/>
  <c r="O648" i="28" s="1"/>
  <c r="O649" i="28" s="1"/>
  <c r="O628" i="28"/>
  <c r="O629" i="28" s="1"/>
  <c r="O630" i="28" s="1"/>
  <c r="O631" i="28" s="1"/>
  <c r="O632" i="28" s="1"/>
  <c r="O627" i="28"/>
  <c r="O610" i="28"/>
  <c r="O611" i="28"/>
  <c r="O612" i="28" s="1"/>
  <c r="O613" i="28" s="1"/>
  <c r="O614" i="28" s="1"/>
  <c r="O615" i="28" s="1"/>
  <c r="O594" i="28"/>
  <c r="O595" i="28" s="1"/>
  <c r="O596" i="28" s="1"/>
  <c r="O597" i="28" s="1"/>
  <c r="O598" i="28" s="1"/>
  <c r="O593" i="28"/>
  <c r="O577" i="28"/>
  <c r="O578" i="28" s="1"/>
  <c r="O579" i="28" s="1"/>
  <c r="O580" i="28" s="1"/>
  <c r="O581" i="28" s="1"/>
  <c r="O576" i="28"/>
  <c r="O559" i="28"/>
  <c r="O560" i="28"/>
  <c r="O561" i="28" s="1"/>
  <c r="O562" i="28" s="1"/>
  <c r="O563" i="28" s="1"/>
  <c r="O564" i="28" s="1"/>
  <c r="O543" i="28"/>
  <c r="O544" i="28" s="1"/>
  <c r="O545" i="28" s="1"/>
  <c r="O546" i="28" s="1"/>
  <c r="O547" i="28" s="1"/>
  <c r="O542" i="28"/>
  <c r="O525" i="28"/>
  <c r="O526" i="28"/>
  <c r="O527" i="28" s="1"/>
  <c r="O528" i="28" s="1"/>
  <c r="O529" i="28" s="1"/>
  <c r="O530" i="28" s="1"/>
  <c r="O508" i="28"/>
  <c r="O509" i="28"/>
  <c r="O510" i="28" s="1"/>
  <c r="O511" i="28" s="1"/>
  <c r="O512" i="28" s="1"/>
  <c r="O513" i="28" s="1"/>
  <c r="O491" i="28"/>
  <c r="O492" i="28"/>
  <c r="O493" i="28" s="1"/>
  <c r="O494" i="28" s="1"/>
  <c r="O495" i="28" s="1"/>
  <c r="O496" i="28" s="1"/>
  <c r="O475" i="28"/>
  <c r="O476" i="28" s="1"/>
  <c r="O477" i="28" s="1"/>
  <c r="O478" i="28" s="1"/>
  <c r="O479" i="28" s="1"/>
  <c r="O474" i="28"/>
  <c r="O458" i="28"/>
  <c r="O459" i="28" s="1"/>
  <c r="O460" i="28" s="1"/>
  <c r="O461" i="28" s="1"/>
  <c r="O462" i="28" s="1"/>
  <c r="O457" i="28"/>
  <c r="O441" i="28"/>
  <c r="O442" i="28" s="1"/>
  <c r="O443" i="28" s="1"/>
  <c r="O444" i="28" s="1"/>
  <c r="O445" i="28" s="1"/>
  <c r="O440" i="28"/>
  <c r="O424" i="28"/>
  <c r="O425" i="28" s="1"/>
  <c r="O426" i="28" s="1"/>
  <c r="O427" i="28" s="1"/>
  <c r="O428" i="28" s="1"/>
  <c r="O423" i="28"/>
  <c r="O407" i="28"/>
  <c r="O408" i="28" s="1"/>
  <c r="O409" i="28" s="1"/>
  <c r="O410" i="28" s="1"/>
  <c r="O411" i="28" s="1"/>
  <c r="O406" i="28"/>
  <c r="O389" i="28"/>
  <c r="O390" i="28"/>
  <c r="O391" i="28" s="1"/>
  <c r="O392" i="28" s="1"/>
  <c r="O393" i="28" s="1"/>
  <c r="O394" i="28" s="1"/>
  <c r="O373" i="28"/>
  <c r="O374" i="28" s="1"/>
  <c r="O375" i="28" s="1"/>
  <c r="O376" i="28" s="1"/>
  <c r="O377" i="28" s="1"/>
  <c r="O372" i="28"/>
  <c r="O356" i="28"/>
  <c r="O357" i="28" s="1"/>
  <c r="O358" i="28" s="1"/>
  <c r="O359" i="28" s="1"/>
  <c r="O360" i="28" s="1"/>
  <c r="O355" i="28"/>
  <c r="O339" i="28"/>
  <c r="O340" i="28" s="1"/>
  <c r="O341" i="28" s="1"/>
  <c r="O342" i="28" s="1"/>
  <c r="O343" i="28" s="1"/>
  <c r="O338" i="28"/>
  <c r="O321" i="28"/>
  <c r="O322" i="28"/>
  <c r="O323" i="28" s="1"/>
  <c r="O324" i="28" s="1"/>
  <c r="O325" i="28" s="1"/>
  <c r="O326" i="28" s="1"/>
  <c r="O305" i="28"/>
  <c r="O306" i="28" s="1"/>
  <c r="O307" i="28" s="1"/>
  <c r="O308" i="28" s="1"/>
  <c r="O309" i="28" s="1"/>
  <c r="O304" i="28"/>
  <c r="O287" i="28"/>
  <c r="O288" i="28"/>
  <c r="O289" i="28" s="1"/>
  <c r="O290" i="28" s="1"/>
  <c r="O291" i="28" s="1"/>
  <c r="O292" i="28" s="1"/>
  <c r="O270" i="28"/>
  <c r="O271" i="28"/>
  <c r="O272" i="28" s="1"/>
  <c r="O273" i="28" s="1"/>
  <c r="O274" i="28" s="1"/>
  <c r="O275" i="28" s="1"/>
  <c r="O254" i="28"/>
  <c r="O255" i="28" s="1"/>
  <c r="O256" i="28" s="1"/>
  <c r="O257" i="28" s="1"/>
  <c r="O258" i="28" s="1"/>
  <c r="O253" i="28"/>
  <c r="O236" i="28"/>
  <c r="O237" i="28"/>
  <c r="O238" i="28" s="1"/>
  <c r="O239" i="28" s="1"/>
  <c r="O240" i="28" s="1"/>
  <c r="O241" i="28" s="1"/>
  <c r="O220" i="28"/>
  <c r="O221" i="28" s="1"/>
  <c r="O222" i="28" s="1"/>
  <c r="O223" i="28" s="1"/>
  <c r="O224" i="28" s="1"/>
  <c r="O219" i="28"/>
  <c r="O203" i="28"/>
  <c r="O204" i="28" s="1"/>
  <c r="O205" i="28" s="1"/>
  <c r="O206" i="28" s="1"/>
  <c r="O207" i="28" s="1"/>
  <c r="O202" i="28"/>
  <c r="O186" i="28"/>
  <c r="O187" i="28" s="1"/>
  <c r="O188" i="28" s="1"/>
  <c r="O189" i="28" s="1"/>
  <c r="O190" i="28" s="1"/>
  <c r="O185" i="28"/>
  <c r="O169" i="28"/>
  <c r="O170" i="28" s="1"/>
  <c r="O171" i="28" s="1"/>
  <c r="O172" i="28" s="1"/>
  <c r="O173" i="28" s="1"/>
  <c r="O168" i="28"/>
  <c r="O151" i="28"/>
  <c r="O152" i="28"/>
  <c r="O153" i="28" s="1"/>
  <c r="O154" i="28" s="1"/>
  <c r="O155" i="28" s="1"/>
  <c r="O156" i="28" s="1"/>
  <c r="O134" i="28"/>
  <c r="O135" i="28"/>
  <c r="O136" i="28" s="1"/>
  <c r="O137" i="28" s="1"/>
  <c r="O138" i="28" s="1"/>
  <c r="O139" i="28" s="1"/>
  <c r="O118" i="28"/>
  <c r="O119" i="28" s="1"/>
  <c r="O120" i="28" s="1"/>
  <c r="O121" i="28" s="1"/>
  <c r="O122" i="28" s="1"/>
  <c r="O117" i="28"/>
  <c r="O100" i="28"/>
  <c r="O101" i="28"/>
  <c r="O102" i="28" s="1"/>
  <c r="O103" i="28" s="1"/>
  <c r="O104" i="28" s="1"/>
  <c r="O105" i="28" s="1"/>
  <c r="O84" i="28"/>
  <c r="O85" i="28" s="1"/>
  <c r="O86" i="28" s="1"/>
  <c r="O87" i="28" s="1"/>
  <c r="O88" i="28" s="1"/>
  <c r="O83" i="28"/>
  <c r="O67" i="28"/>
  <c r="O68" i="28" s="1"/>
  <c r="O69" i="28" s="1"/>
  <c r="O70" i="28" s="1"/>
  <c r="O71" i="28" s="1"/>
  <c r="O66" i="28"/>
  <c r="O49" i="28"/>
  <c r="O50" i="28"/>
  <c r="O51" i="28" s="1"/>
  <c r="O52" i="28" s="1"/>
  <c r="O53" i="28" s="1"/>
  <c r="O54" i="28" s="1"/>
  <c r="O32" i="28"/>
  <c r="O33" i="28"/>
  <c r="O34" i="28" s="1"/>
  <c r="O35" i="28" s="1"/>
  <c r="O36" i="28" s="1"/>
  <c r="O37" i="28" s="1"/>
  <c r="O16" i="28"/>
  <c r="O15" i="28"/>
  <c r="I655" i="28"/>
  <c r="F654" i="28"/>
  <c r="E655" i="28"/>
  <c r="M655" i="28"/>
  <c r="O17" i="28" l="1"/>
  <c r="F665" i="28"/>
  <c r="F666" i="28"/>
  <c r="A661" i="28"/>
  <c r="S664" i="28"/>
  <c r="Q662" i="28"/>
  <c r="T661" i="28"/>
  <c r="U661" i="28"/>
  <c r="Q661" i="28"/>
  <c r="S660" i="28"/>
  <c r="B663" i="28"/>
  <c r="A664" i="28"/>
  <c r="Q664" i="28"/>
  <c r="A666" i="28"/>
  <c r="U666" i="28"/>
  <c r="F662" i="28"/>
  <c r="U663" i="28"/>
  <c r="S666" i="28"/>
  <c r="A665" i="28"/>
  <c r="A660" i="28"/>
  <c r="B666" i="28"/>
  <c r="U662" i="28"/>
  <c r="Q666" i="28"/>
  <c r="S665" i="28"/>
  <c r="S659" i="28"/>
  <c r="B662" i="28"/>
  <c r="Q660" i="28"/>
  <c r="U665" i="28"/>
  <c r="T665" i="28"/>
  <c r="A662" i="28"/>
  <c r="W666" i="28"/>
  <c r="B659" i="28"/>
  <c r="T663" i="28"/>
  <c r="S661" i="28"/>
  <c r="F663" i="28"/>
  <c r="T664" i="28"/>
  <c r="F659" i="28"/>
  <c r="T659" i="28"/>
  <c r="T662" i="28"/>
  <c r="B661" i="28"/>
  <c r="S662" i="28"/>
  <c r="F660" i="28"/>
  <c r="B660" i="28"/>
  <c r="T660" i="28"/>
  <c r="U659" i="28"/>
  <c r="Q665" i="28"/>
  <c r="A663" i="28"/>
  <c r="B664" i="28"/>
  <c r="A659" i="28"/>
  <c r="F664" i="28"/>
  <c r="Q659" i="28"/>
  <c r="F661" i="28"/>
  <c r="Q663" i="28"/>
  <c r="U664" i="28"/>
  <c r="T666" i="28"/>
  <c r="S663" i="28"/>
  <c r="B665" i="28"/>
  <c r="W662" i="28"/>
  <c r="U660" i="28"/>
  <c r="W665" i="28"/>
  <c r="I663" i="28" l="1"/>
  <c r="I659" i="28"/>
  <c r="X666" i="28"/>
  <c r="I662" i="28"/>
  <c r="X665" i="28"/>
  <c r="I666" i="28"/>
  <c r="I664" i="28"/>
  <c r="X662" i="28"/>
  <c r="I661" i="28"/>
  <c r="F667" i="28"/>
  <c r="I667" i="28"/>
  <c r="I660" i="28"/>
  <c r="I665" i="28"/>
  <c r="AR44" i="32"/>
  <c r="AQ44" i="32"/>
  <c r="AN44" i="32"/>
  <c r="AR44" i="27"/>
  <c r="AQ44" i="27"/>
  <c r="AP44" i="27"/>
  <c r="AN44" i="27"/>
  <c r="W659" i="28"/>
  <c r="W663" i="28"/>
  <c r="W660" i="28"/>
  <c r="W664" i="28"/>
  <c r="W661" i="28"/>
  <c r="AK3" i="24"/>
  <c r="AK4" i="32"/>
  <c r="X661" i="28" l="1"/>
  <c r="X664" i="28"/>
  <c r="X660" i="28"/>
  <c r="X663" i="28"/>
  <c r="X659" i="28"/>
  <c r="X667" i="28" s="1"/>
  <c r="W667" i="28"/>
  <c r="G26" i="30"/>
  <c r="X26" i="30"/>
  <c r="P659" i="28"/>
  <c r="P664" i="28"/>
  <c r="P661" i="28"/>
  <c r="P662" i="28"/>
  <c r="P666" i="28"/>
  <c r="P660" i="28"/>
  <c r="P665" i="28"/>
  <c r="P663" i="28"/>
  <c r="AL44" i="27"/>
  <c r="R663" i="28" l="1"/>
  <c r="K663" i="28" s="1"/>
  <c r="G663" i="28"/>
  <c r="R665" i="28"/>
  <c r="K665" i="28" s="1"/>
  <c r="G665" i="28"/>
  <c r="G660" i="28"/>
  <c r="R660" i="28"/>
  <c r="K660" i="28" s="1"/>
  <c r="R666" i="28"/>
  <c r="K666" i="28" s="1"/>
  <c r="G666" i="28"/>
  <c r="R662" i="28"/>
  <c r="K662" i="28" s="1"/>
  <c r="G662" i="28"/>
  <c r="R661" i="28"/>
  <c r="K661" i="28" s="1"/>
  <c r="G661" i="28"/>
  <c r="R664" i="28"/>
  <c r="K664" i="28" s="1"/>
  <c r="G664" i="28"/>
  <c r="R659" i="28"/>
  <c r="M659" i="28" s="1"/>
  <c r="N659" i="28" s="1"/>
  <c r="V659" i="28" s="1"/>
  <c r="G667" i="28"/>
  <c r="G659" i="28"/>
  <c r="M663" i="28"/>
  <c r="N663" i="28" s="1"/>
  <c r="V663" i="28" s="1"/>
  <c r="M666" i="28"/>
  <c r="N666" i="28" s="1"/>
  <c r="V666" i="28" s="1"/>
  <c r="M664" i="28"/>
  <c r="N664" i="28" s="1"/>
  <c r="V664" i="28" s="1"/>
  <c r="M665" i="28"/>
  <c r="N665" i="28" s="1"/>
  <c r="V665" i="28" s="1"/>
  <c r="M661" i="28"/>
  <c r="N661" i="28" s="1"/>
  <c r="V661" i="28" s="1"/>
  <c r="J2749" i="34"/>
  <c r="J2736" i="34"/>
  <c r="J2721" i="34"/>
  <c r="J2702" i="34"/>
  <c r="J2680" i="34"/>
  <c r="J2667" i="34"/>
  <c r="J2652" i="34"/>
  <c r="J2633" i="34"/>
  <c r="J2611" i="34"/>
  <c r="J2598" i="34"/>
  <c r="J2583" i="34"/>
  <c r="J2564" i="34"/>
  <c r="J2542" i="34"/>
  <c r="J2529" i="34"/>
  <c r="J2514" i="34"/>
  <c r="J2495" i="34"/>
  <c r="J2473" i="34"/>
  <c r="J2460" i="34"/>
  <c r="J2445" i="34"/>
  <c r="J2426" i="34"/>
  <c r="J2404" i="34"/>
  <c r="J2391" i="34"/>
  <c r="J2376" i="34"/>
  <c r="J2357" i="34"/>
  <c r="J2335" i="34"/>
  <c r="J2322" i="34"/>
  <c r="J2307" i="34"/>
  <c r="J2288" i="34"/>
  <c r="J2266" i="34"/>
  <c r="J2253" i="34"/>
  <c r="J2238" i="34"/>
  <c r="J2219" i="34"/>
  <c r="J2197" i="34"/>
  <c r="J2184" i="34"/>
  <c r="J2169" i="34"/>
  <c r="J2150" i="34"/>
  <c r="J2128" i="34"/>
  <c r="J2115" i="34"/>
  <c r="J2100" i="34"/>
  <c r="J2081" i="34"/>
  <c r="J2059" i="34"/>
  <c r="J2046" i="34"/>
  <c r="J2031" i="34"/>
  <c r="J2012" i="34"/>
  <c r="J1990" i="34"/>
  <c r="J1977" i="34"/>
  <c r="J1962" i="34"/>
  <c r="J1943" i="34"/>
  <c r="J1921" i="34"/>
  <c r="J1908" i="34"/>
  <c r="J1893" i="34"/>
  <c r="J1874" i="34"/>
  <c r="J1852" i="34"/>
  <c r="J1839" i="34"/>
  <c r="J1824" i="34"/>
  <c r="J1805" i="34"/>
  <c r="J1783" i="34"/>
  <c r="J1770" i="34"/>
  <c r="J1755" i="34"/>
  <c r="J1736" i="34"/>
  <c r="J1714" i="34"/>
  <c r="J1701" i="34"/>
  <c r="J1686" i="34"/>
  <c r="J1667" i="34"/>
  <c r="J1645" i="34"/>
  <c r="J1632" i="34"/>
  <c r="J1617" i="34"/>
  <c r="J1598" i="34"/>
  <c r="J1576" i="34"/>
  <c r="J1563" i="34"/>
  <c r="J1548" i="34"/>
  <c r="J1529" i="34"/>
  <c r="J1507" i="34"/>
  <c r="J1494" i="34"/>
  <c r="J1479" i="34"/>
  <c r="J1460" i="34"/>
  <c r="J1438" i="34"/>
  <c r="J1425" i="34"/>
  <c r="J1410" i="34"/>
  <c r="J1391" i="34"/>
  <c r="J1369" i="34"/>
  <c r="J1356" i="34"/>
  <c r="J1341" i="34"/>
  <c r="J1322" i="34"/>
  <c r="J1300" i="34"/>
  <c r="J1287" i="34"/>
  <c r="J1272" i="34"/>
  <c r="J1253" i="34"/>
  <c r="J1231" i="34"/>
  <c r="J1218" i="34"/>
  <c r="J1203" i="34"/>
  <c r="J1184" i="34"/>
  <c r="J1162" i="34"/>
  <c r="J1149" i="34"/>
  <c r="J1134" i="34"/>
  <c r="J1115" i="34"/>
  <c r="J1093" i="34"/>
  <c r="J1080" i="34"/>
  <c r="J1065" i="34"/>
  <c r="J1046" i="34"/>
  <c r="J1024" i="34"/>
  <c r="J1011" i="34"/>
  <c r="J996" i="34"/>
  <c r="J977" i="34"/>
  <c r="J955" i="34"/>
  <c r="J942" i="34"/>
  <c r="J927" i="34"/>
  <c r="J908" i="34"/>
  <c r="J886" i="34"/>
  <c r="J873" i="34"/>
  <c r="J858" i="34"/>
  <c r="J839" i="34"/>
  <c r="J817" i="34"/>
  <c r="J804" i="34"/>
  <c r="J789" i="34"/>
  <c r="J770" i="34"/>
  <c r="J748" i="34"/>
  <c r="J735" i="34"/>
  <c r="J720" i="34"/>
  <c r="J701" i="34"/>
  <c r="J679" i="34"/>
  <c r="J666" i="34"/>
  <c r="J651" i="34"/>
  <c r="J632" i="34"/>
  <c r="J610" i="34"/>
  <c r="J597" i="34"/>
  <c r="J582" i="34"/>
  <c r="J563" i="34"/>
  <c r="J541" i="34"/>
  <c r="J528" i="34"/>
  <c r="J513" i="34"/>
  <c r="J494" i="34"/>
  <c r="J472" i="34"/>
  <c r="J459" i="34"/>
  <c r="J444" i="34"/>
  <c r="J425" i="34"/>
  <c r="J403" i="34"/>
  <c r="J390" i="34"/>
  <c r="J375" i="34"/>
  <c r="J356" i="34"/>
  <c r="J334" i="34"/>
  <c r="J321" i="34"/>
  <c r="J306" i="34"/>
  <c r="J287" i="34"/>
  <c r="J265" i="34"/>
  <c r="J252" i="34"/>
  <c r="J237" i="34"/>
  <c r="J218" i="34"/>
  <c r="J196" i="34"/>
  <c r="J183" i="34"/>
  <c r="J168" i="34"/>
  <c r="J149" i="34"/>
  <c r="A81" i="34"/>
  <c r="J127" i="34"/>
  <c r="J114" i="34"/>
  <c r="J99" i="34"/>
  <c r="J80" i="34"/>
  <c r="J58" i="34"/>
  <c r="J45" i="34"/>
  <c r="J30" i="34"/>
  <c r="J11" i="34"/>
  <c r="A25" i="23"/>
  <c r="J28" i="34"/>
  <c r="I9" i="30"/>
  <c r="K659" i="28" l="1"/>
  <c r="M660" i="28"/>
  <c r="N660" i="28" s="1"/>
  <c r="V660" i="28" s="1"/>
  <c r="K667" i="28"/>
  <c r="M662" i="28"/>
  <c r="N662" i="28" s="1"/>
  <c r="V662" i="28" s="1"/>
  <c r="M667" i="28"/>
  <c r="H668" i="28" s="1"/>
  <c r="V667" i="28"/>
  <c r="A150" i="34"/>
  <c r="A219" i="34" s="1"/>
  <c r="A288" i="34" s="1"/>
  <c r="A357" i="34" s="1"/>
  <c r="A426" i="34" s="1"/>
  <c r="A495" i="34" s="1"/>
  <c r="A564" i="34" s="1"/>
  <c r="A633" i="34" s="1"/>
  <c r="A702" i="34" s="1"/>
  <c r="A610" i="33"/>
  <c r="A594" i="33"/>
  <c r="A578" i="33"/>
  <c r="A562" i="33"/>
  <c r="A546" i="33"/>
  <c r="A530" i="33"/>
  <c r="A514" i="33"/>
  <c r="A498" i="33"/>
  <c r="A482" i="33"/>
  <c r="A466" i="33"/>
  <c r="A450" i="33"/>
  <c r="A434" i="33"/>
  <c r="A418" i="33"/>
  <c r="A402" i="33"/>
  <c r="A386" i="33"/>
  <c r="A370" i="33"/>
  <c r="A354" i="33"/>
  <c r="A338" i="33"/>
  <c r="A322" i="33"/>
  <c r="A306" i="33"/>
  <c r="A290" i="33"/>
  <c r="A274" i="33"/>
  <c r="A258" i="33"/>
  <c r="A242" i="33"/>
  <c r="A226" i="33"/>
  <c r="A210" i="33"/>
  <c r="A194" i="33"/>
  <c r="A178" i="33"/>
  <c r="A162" i="33"/>
  <c r="A146" i="33"/>
  <c r="A130" i="33"/>
  <c r="A114" i="33"/>
  <c r="A98" i="33"/>
  <c r="A82" i="33"/>
  <c r="A66" i="33"/>
  <c r="A50" i="33"/>
  <c r="A38" i="33"/>
  <c r="A37" i="33"/>
  <c r="A34" i="33"/>
  <c r="A18" i="33"/>
  <c r="O639" i="31"/>
  <c r="O641" i="31" s="1"/>
  <c r="O643" i="31" s="1"/>
  <c r="A216" i="31"/>
  <c r="A232" i="31" s="1"/>
  <c r="A248" i="31" s="1"/>
  <c r="A264" i="31" s="1"/>
  <c r="A280" i="31" s="1"/>
  <c r="A296" i="31" s="1"/>
  <c r="A312" i="31" s="1"/>
  <c r="A328" i="31" s="1"/>
  <c r="A344" i="31" s="1"/>
  <c r="A360" i="31" s="1"/>
  <c r="A376" i="31" s="1"/>
  <c r="A392" i="31" s="1"/>
  <c r="A408" i="31" s="1"/>
  <c r="A424" i="31" s="1"/>
  <c r="A440" i="31" s="1"/>
  <c r="A456" i="31" s="1"/>
  <c r="A472" i="31" s="1"/>
  <c r="A488" i="31" s="1"/>
  <c r="A504" i="31" s="1"/>
  <c r="A520" i="31" s="1"/>
  <c r="A536" i="31" s="1"/>
  <c r="A552" i="31" s="1"/>
  <c r="A568" i="31" s="1"/>
  <c r="A584" i="31" s="1"/>
  <c r="A600" i="31" s="1"/>
  <c r="A616" i="31" s="1"/>
  <c r="A632" i="31" s="1"/>
  <c r="A120" i="31"/>
  <c r="A136" i="31" s="1"/>
  <c r="A152" i="31" s="1"/>
  <c r="A168" i="31" s="1"/>
  <c r="A184" i="31" s="1"/>
  <c r="A200" i="31" s="1"/>
  <c r="C56" i="31"/>
  <c r="C72" i="31" s="1"/>
  <c r="C88" i="31" s="1"/>
  <c r="C104" i="31" s="1"/>
  <c r="C120" i="31" s="1"/>
  <c r="C136" i="31" s="1"/>
  <c r="C152" i="31" s="1"/>
  <c r="C168" i="31" s="1"/>
  <c r="C184" i="31" s="1"/>
  <c r="C200" i="31" s="1"/>
  <c r="C216" i="31" s="1"/>
  <c r="C232" i="31" s="1"/>
  <c r="C248" i="31" s="1"/>
  <c r="C264" i="31" s="1"/>
  <c r="C280" i="31" s="1"/>
  <c r="C296" i="31" s="1"/>
  <c r="C312" i="31" s="1"/>
  <c r="C328" i="31" s="1"/>
  <c r="C344" i="31" s="1"/>
  <c r="C360" i="31" s="1"/>
  <c r="C376" i="31" s="1"/>
  <c r="C392" i="31" s="1"/>
  <c r="C408" i="31" s="1"/>
  <c r="C424" i="31" s="1"/>
  <c r="C440" i="31" s="1"/>
  <c r="C456" i="31" s="1"/>
  <c r="C472" i="31" s="1"/>
  <c r="C488" i="31" s="1"/>
  <c r="C504" i="31" s="1"/>
  <c r="C520" i="31" s="1"/>
  <c r="C536" i="31" s="1"/>
  <c r="C552" i="31" s="1"/>
  <c r="C568" i="31" s="1"/>
  <c r="C584" i="31" s="1"/>
  <c r="C600" i="31" s="1"/>
  <c r="C616" i="31" s="1"/>
  <c r="C632" i="31" s="1"/>
  <c r="B56" i="31"/>
  <c r="B72" i="31" s="1"/>
  <c r="E40" i="31"/>
  <c r="E56" i="31" s="1"/>
  <c r="E72" i="31" s="1"/>
  <c r="E88" i="31" s="1"/>
  <c r="E104" i="31" s="1"/>
  <c r="E120" i="31" s="1"/>
  <c r="E136" i="31" s="1"/>
  <c r="E152" i="31" s="1"/>
  <c r="E168" i="31" s="1"/>
  <c r="E184" i="31" s="1"/>
  <c r="E200" i="31" s="1"/>
  <c r="E216" i="31" s="1"/>
  <c r="E232" i="31" s="1"/>
  <c r="E248" i="31" s="1"/>
  <c r="E264" i="31" s="1"/>
  <c r="E280" i="31" s="1"/>
  <c r="E296" i="31" s="1"/>
  <c r="E312" i="31" s="1"/>
  <c r="E328" i="31" s="1"/>
  <c r="E344" i="31" s="1"/>
  <c r="E360" i="31" s="1"/>
  <c r="E376" i="31" s="1"/>
  <c r="E392" i="31" s="1"/>
  <c r="E408" i="31" s="1"/>
  <c r="E424" i="31" s="1"/>
  <c r="E440" i="31" s="1"/>
  <c r="E456" i="31" s="1"/>
  <c r="E472" i="31" s="1"/>
  <c r="E488" i="31" s="1"/>
  <c r="E504" i="31" s="1"/>
  <c r="E520" i="31" s="1"/>
  <c r="E536" i="31" s="1"/>
  <c r="E552" i="31" s="1"/>
  <c r="E568" i="31" s="1"/>
  <c r="E584" i="31" s="1"/>
  <c r="E600" i="31" s="1"/>
  <c r="E616" i="31" s="1"/>
  <c r="E632" i="31" s="1"/>
  <c r="D40" i="31"/>
  <c r="D56" i="31" s="1"/>
  <c r="D72" i="31" s="1"/>
  <c r="D88" i="31" s="1"/>
  <c r="D104" i="31" s="1"/>
  <c r="D120" i="31" s="1"/>
  <c r="D136" i="31" s="1"/>
  <c r="D152" i="31" s="1"/>
  <c r="D168" i="31" s="1"/>
  <c r="D184" i="31" s="1"/>
  <c r="D200" i="31" s="1"/>
  <c r="D216" i="31" s="1"/>
  <c r="D232" i="31" s="1"/>
  <c r="D248" i="31" s="1"/>
  <c r="D264" i="31" s="1"/>
  <c r="D280" i="31" s="1"/>
  <c r="D296" i="31" s="1"/>
  <c r="D312" i="31" s="1"/>
  <c r="D328" i="31" s="1"/>
  <c r="D344" i="31" s="1"/>
  <c r="D360" i="31" s="1"/>
  <c r="D376" i="31" s="1"/>
  <c r="D392" i="31" s="1"/>
  <c r="D408" i="31" s="1"/>
  <c r="D424" i="31" s="1"/>
  <c r="D440" i="31" s="1"/>
  <c r="D456" i="31" s="1"/>
  <c r="D472" i="31" s="1"/>
  <c r="D488" i="31" s="1"/>
  <c r="D504" i="31" s="1"/>
  <c r="D520" i="31" s="1"/>
  <c r="D536" i="31" s="1"/>
  <c r="D552" i="31" s="1"/>
  <c r="D568" i="31" s="1"/>
  <c r="D584" i="31" s="1"/>
  <c r="D600" i="31" s="1"/>
  <c r="D616" i="31" s="1"/>
  <c r="D632" i="31" s="1"/>
  <c r="C40" i="31"/>
  <c r="B40" i="31"/>
  <c r="A40" i="31"/>
  <c r="A56" i="31" s="1"/>
  <c r="A72" i="31" s="1"/>
  <c r="A88" i="31" s="1"/>
  <c r="A104" i="31" s="1"/>
  <c r="AO8" i="32"/>
  <c r="AO9" i="32" s="1"/>
  <c r="AO10" i="32" s="1"/>
  <c r="AO11" i="32" s="1"/>
  <c r="AO12" i="32" s="1"/>
  <c r="AO13" i="32" s="1"/>
  <c r="AO14" i="32" s="1"/>
  <c r="AO15" i="32" s="1"/>
  <c r="AO16" i="32" s="1"/>
  <c r="AO17" i="32" s="1"/>
  <c r="AO18" i="32" s="1"/>
  <c r="AO19" i="32" s="1"/>
  <c r="AO20" i="32" s="1"/>
  <c r="AO21" i="32" s="1"/>
  <c r="AO22" i="32" s="1"/>
  <c r="AO23" i="32" s="1"/>
  <c r="AO24" i="32" s="1"/>
  <c r="AO25" i="32" s="1"/>
  <c r="AO26" i="32" s="1"/>
  <c r="AO27" i="32" s="1"/>
  <c r="AO28" i="32" s="1"/>
  <c r="AO29" i="32" s="1"/>
  <c r="AO30" i="32" s="1"/>
  <c r="AO31" i="32" s="1"/>
  <c r="AO32" i="32" s="1"/>
  <c r="AO33" i="32" s="1"/>
  <c r="AO34" i="32" s="1"/>
  <c r="AO35" i="32" s="1"/>
  <c r="AO36" i="32" s="1"/>
  <c r="AO37" i="32" s="1"/>
  <c r="AO38" i="32" s="1"/>
  <c r="AO39" i="32" s="1"/>
  <c r="AO40" i="32" s="1"/>
  <c r="AO41" i="32" s="1"/>
  <c r="AO42" i="32" s="1"/>
  <c r="AO43" i="32" s="1"/>
  <c r="AO44" i="32" s="1"/>
  <c r="AN8" i="32"/>
  <c r="AN9" i="32" s="1"/>
  <c r="AN10" i="32" s="1"/>
  <c r="AN11" i="32" s="1"/>
  <c r="AN12" i="32" s="1"/>
  <c r="AN13" i="32" s="1"/>
  <c r="AN14" i="32" s="1"/>
  <c r="AN15" i="32" s="1"/>
  <c r="AN16" i="32" s="1"/>
  <c r="AN17" i="32" s="1"/>
  <c r="AN18" i="32" s="1"/>
  <c r="AN19" i="32" s="1"/>
  <c r="AN20" i="32" s="1"/>
  <c r="AN21" i="32" s="1"/>
  <c r="AN22" i="32" s="1"/>
  <c r="AN23" i="32" s="1"/>
  <c r="AN24" i="32" s="1"/>
  <c r="AN25" i="32" s="1"/>
  <c r="AN26" i="32" s="1"/>
  <c r="AN27" i="32" s="1"/>
  <c r="AN28" i="32" s="1"/>
  <c r="AN29" i="32" s="1"/>
  <c r="AN30" i="32" s="1"/>
  <c r="AN31" i="32" s="1"/>
  <c r="AN32" i="32" s="1"/>
  <c r="AN33" i="32" s="1"/>
  <c r="AN34" i="32" s="1"/>
  <c r="AN35" i="32" s="1"/>
  <c r="AN36" i="32" s="1"/>
  <c r="AN37" i="32" s="1"/>
  <c r="AN38" i="32" s="1"/>
  <c r="AN39" i="32" s="1"/>
  <c r="AN40" i="32" s="1"/>
  <c r="AN41" i="32" s="1"/>
  <c r="AN42" i="32" s="1"/>
  <c r="AN43" i="32" s="1"/>
  <c r="AR7" i="32"/>
  <c r="AQ7" i="32"/>
  <c r="AQ8" i="32" s="1"/>
  <c r="AQ9" i="32" s="1"/>
  <c r="AQ10" i="32" s="1"/>
  <c r="AQ11" i="32" s="1"/>
  <c r="AQ12" i="32" s="1"/>
  <c r="AQ13" i="32" s="1"/>
  <c r="AQ14" i="32" s="1"/>
  <c r="AQ15" i="32" s="1"/>
  <c r="AQ16" i="32" s="1"/>
  <c r="AQ17" i="32" s="1"/>
  <c r="AQ18" i="32" s="1"/>
  <c r="AQ19" i="32" s="1"/>
  <c r="AQ20" i="32" s="1"/>
  <c r="AQ21" i="32" s="1"/>
  <c r="AQ22" i="32" s="1"/>
  <c r="AQ23" i="32" s="1"/>
  <c r="AQ24" i="32" s="1"/>
  <c r="AQ25" i="32" s="1"/>
  <c r="AQ26" i="32" s="1"/>
  <c r="AQ27" i="32" s="1"/>
  <c r="AQ28" i="32" s="1"/>
  <c r="AQ29" i="32" s="1"/>
  <c r="AQ30" i="32" s="1"/>
  <c r="AQ31" i="32" s="1"/>
  <c r="AQ32" i="32" s="1"/>
  <c r="AQ33" i="32" s="1"/>
  <c r="AQ34" i="32" s="1"/>
  <c r="AQ35" i="32" s="1"/>
  <c r="AQ36" i="32" s="1"/>
  <c r="AQ37" i="32" s="1"/>
  <c r="AQ38" i="32" s="1"/>
  <c r="AQ39" i="32" s="1"/>
  <c r="AQ40" i="32" s="1"/>
  <c r="AQ41" i="32" s="1"/>
  <c r="AQ42" i="32" s="1"/>
  <c r="AQ43" i="32" s="1"/>
  <c r="AP7" i="32"/>
  <c r="AP8" i="32" s="1"/>
  <c r="AP9" i="32" s="1"/>
  <c r="AP10" i="32" s="1"/>
  <c r="AP11" i="32" s="1"/>
  <c r="AP12" i="32" s="1"/>
  <c r="AP13" i="32" s="1"/>
  <c r="AP14" i="32" s="1"/>
  <c r="AP15" i="32" s="1"/>
  <c r="AP16" i="32" s="1"/>
  <c r="AP17" i="32" s="1"/>
  <c r="AP18" i="32" s="1"/>
  <c r="AP19" i="32" s="1"/>
  <c r="AP20" i="32" s="1"/>
  <c r="AP21" i="32" s="1"/>
  <c r="AP22" i="32" s="1"/>
  <c r="AP23" i="32" s="1"/>
  <c r="AP24" i="32" s="1"/>
  <c r="AP25" i="32" s="1"/>
  <c r="AP26" i="32" s="1"/>
  <c r="AP27" i="32" s="1"/>
  <c r="AP28" i="32" s="1"/>
  <c r="AP29" i="32" s="1"/>
  <c r="AP30" i="32" s="1"/>
  <c r="AP31" i="32" s="1"/>
  <c r="AP32" i="32" s="1"/>
  <c r="AP33" i="32" s="1"/>
  <c r="AP34" i="32" s="1"/>
  <c r="AP35" i="32" s="1"/>
  <c r="AP36" i="32" s="1"/>
  <c r="AP37" i="32" s="1"/>
  <c r="AP38" i="32" s="1"/>
  <c r="AP39" i="32" s="1"/>
  <c r="AP40" i="32" s="1"/>
  <c r="AP41" i="32" s="1"/>
  <c r="AP42" i="32" s="1"/>
  <c r="AP43" i="32" s="1"/>
  <c r="AP44" i="32" s="1"/>
  <c r="AO7" i="32"/>
  <c r="AN7" i="32"/>
  <c r="E24" i="31"/>
  <c r="D24" i="31"/>
  <c r="C24" i="31"/>
  <c r="B24" i="31"/>
  <c r="A24" i="31"/>
  <c r="Z13" i="31"/>
  <c r="Y13" i="31"/>
  <c r="W641" i="28"/>
  <c r="W624" i="28"/>
  <c r="W607" i="28"/>
  <c r="W590" i="28"/>
  <c r="W573" i="28"/>
  <c r="W556" i="28"/>
  <c r="W539" i="28"/>
  <c r="W522" i="28"/>
  <c r="W505" i="28"/>
  <c r="W488" i="28"/>
  <c r="W471" i="28"/>
  <c r="W454" i="28"/>
  <c r="W437" i="28"/>
  <c r="W420" i="28"/>
  <c r="W403" i="28"/>
  <c r="W386" i="28"/>
  <c r="W369" i="28"/>
  <c r="W352" i="28"/>
  <c r="W335" i="28"/>
  <c r="W318" i="28"/>
  <c r="W301" i="28"/>
  <c r="W284" i="28"/>
  <c r="W267" i="28"/>
  <c r="W250" i="28"/>
  <c r="W233" i="28"/>
  <c r="W216" i="28"/>
  <c r="W199" i="28"/>
  <c r="W182" i="28"/>
  <c r="W165" i="28"/>
  <c r="W148" i="28"/>
  <c r="W131" i="28"/>
  <c r="W114" i="28"/>
  <c r="W97" i="28"/>
  <c r="W80" i="28"/>
  <c r="W63" i="28"/>
  <c r="W46" i="28"/>
  <c r="AK4" i="27"/>
  <c r="O755" i="25"/>
  <c r="O756" i="25" s="1"/>
  <c r="O757" i="25" s="1"/>
  <c r="O758" i="25" s="1"/>
  <c r="O759" i="25" s="1"/>
  <c r="O760" i="25" s="1"/>
  <c r="O761" i="25" s="1"/>
  <c r="O762" i="25" s="1"/>
  <c r="O763" i="25" s="1"/>
  <c r="O736" i="25"/>
  <c r="O737" i="25" s="1"/>
  <c r="O738" i="25" s="1"/>
  <c r="O739" i="25" s="1"/>
  <c r="O740" i="25" s="1"/>
  <c r="O741" i="25" s="1"/>
  <c r="O742" i="25" s="1"/>
  <c r="O743" i="25" s="1"/>
  <c r="O744" i="25" s="1"/>
  <c r="O717" i="25"/>
  <c r="O718" i="25" s="1"/>
  <c r="O719" i="25" s="1"/>
  <c r="O720" i="25" s="1"/>
  <c r="O721" i="25" s="1"/>
  <c r="O722" i="25" s="1"/>
  <c r="O723" i="25" s="1"/>
  <c r="O724" i="25" s="1"/>
  <c r="O725" i="25" s="1"/>
  <c r="O698" i="25"/>
  <c r="O699" i="25" s="1"/>
  <c r="O700" i="25" s="1"/>
  <c r="O701" i="25" s="1"/>
  <c r="O702" i="25" s="1"/>
  <c r="O703" i="25" s="1"/>
  <c r="O704" i="25" s="1"/>
  <c r="O705" i="25" s="1"/>
  <c r="O706" i="25" s="1"/>
  <c r="O679" i="25"/>
  <c r="O680" i="25" s="1"/>
  <c r="O681" i="25" s="1"/>
  <c r="O682" i="25" s="1"/>
  <c r="O683" i="25" s="1"/>
  <c r="O684" i="25" s="1"/>
  <c r="O685" i="25" s="1"/>
  <c r="O686" i="25" s="1"/>
  <c r="O687" i="25" s="1"/>
  <c r="O660" i="25"/>
  <c r="O661" i="25" s="1"/>
  <c r="O662" i="25" s="1"/>
  <c r="O663" i="25" s="1"/>
  <c r="O664" i="25" s="1"/>
  <c r="O665" i="25" s="1"/>
  <c r="O666" i="25" s="1"/>
  <c r="O667" i="25" s="1"/>
  <c r="O668" i="25" s="1"/>
  <c r="O641" i="25"/>
  <c r="O642" i="25" s="1"/>
  <c r="O643" i="25" s="1"/>
  <c r="O644" i="25" s="1"/>
  <c r="O645" i="25" s="1"/>
  <c r="O646" i="25" s="1"/>
  <c r="O647" i="25" s="1"/>
  <c r="O648" i="25" s="1"/>
  <c r="O649" i="25" s="1"/>
  <c r="O622" i="25"/>
  <c r="O623" i="25" s="1"/>
  <c r="O624" i="25" s="1"/>
  <c r="O625" i="25" s="1"/>
  <c r="O626" i="25" s="1"/>
  <c r="O627" i="25" s="1"/>
  <c r="O628" i="25" s="1"/>
  <c r="O629" i="25" s="1"/>
  <c r="O630" i="25" s="1"/>
  <c r="O603" i="25"/>
  <c r="O604" i="25" s="1"/>
  <c r="O605" i="25" s="1"/>
  <c r="O606" i="25" s="1"/>
  <c r="O607" i="25" s="1"/>
  <c r="O608" i="25" s="1"/>
  <c r="O609" i="25" s="1"/>
  <c r="O610" i="25" s="1"/>
  <c r="O611" i="25" s="1"/>
  <c r="O584" i="25"/>
  <c r="O585" i="25" s="1"/>
  <c r="O586" i="25" s="1"/>
  <c r="O587" i="25" s="1"/>
  <c r="O588" i="25" s="1"/>
  <c r="O589" i="25" s="1"/>
  <c r="O590" i="25" s="1"/>
  <c r="O591" i="25" s="1"/>
  <c r="O592" i="25" s="1"/>
  <c r="O565" i="25"/>
  <c r="O566" i="25" s="1"/>
  <c r="O567" i="25" s="1"/>
  <c r="O568" i="25" s="1"/>
  <c r="O569" i="25" s="1"/>
  <c r="O570" i="25" s="1"/>
  <c r="O571" i="25" s="1"/>
  <c r="O572" i="25" s="1"/>
  <c r="O573" i="25" s="1"/>
  <c r="O546" i="25"/>
  <c r="O547" i="25" s="1"/>
  <c r="O548" i="25" s="1"/>
  <c r="O549" i="25" s="1"/>
  <c r="O550" i="25" s="1"/>
  <c r="O551" i="25" s="1"/>
  <c r="O552" i="25" s="1"/>
  <c r="O553" i="25" s="1"/>
  <c r="O554" i="25" s="1"/>
  <c r="O527" i="25"/>
  <c r="O528" i="25" s="1"/>
  <c r="O529" i="25" s="1"/>
  <c r="O530" i="25" s="1"/>
  <c r="O531" i="25" s="1"/>
  <c r="O532" i="25" s="1"/>
  <c r="O533" i="25" s="1"/>
  <c r="O534" i="25" s="1"/>
  <c r="O535" i="25" s="1"/>
  <c r="O508" i="25"/>
  <c r="O509" i="25" s="1"/>
  <c r="O510" i="25" s="1"/>
  <c r="O511" i="25" s="1"/>
  <c r="O512" i="25" s="1"/>
  <c r="O513" i="25" s="1"/>
  <c r="O514" i="25" s="1"/>
  <c r="O515" i="25" s="1"/>
  <c r="O516" i="25" s="1"/>
  <c r="O489" i="25"/>
  <c r="O490" i="25" s="1"/>
  <c r="O491" i="25" s="1"/>
  <c r="O492" i="25" s="1"/>
  <c r="O493" i="25" s="1"/>
  <c r="O494" i="25" s="1"/>
  <c r="O495" i="25" s="1"/>
  <c r="O496" i="25" s="1"/>
  <c r="O497" i="25" s="1"/>
  <c r="O470" i="25"/>
  <c r="O471" i="25" s="1"/>
  <c r="O472" i="25" s="1"/>
  <c r="O473" i="25" s="1"/>
  <c r="O474" i="25" s="1"/>
  <c r="O475" i="25" s="1"/>
  <c r="O476" i="25" s="1"/>
  <c r="O477" i="25" s="1"/>
  <c r="O478" i="25" s="1"/>
  <c r="O451" i="25"/>
  <c r="O452" i="25" s="1"/>
  <c r="O453" i="25" s="1"/>
  <c r="O454" i="25" s="1"/>
  <c r="O455" i="25" s="1"/>
  <c r="O456" i="25" s="1"/>
  <c r="O457" i="25" s="1"/>
  <c r="O458" i="25" s="1"/>
  <c r="O459" i="25" s="1"/>
  <c r="O434" i="25"/>
  <c r="O435" i="25" s="1"/>
  <c r="O436" i="25" s="1"/>
  <c r="O437" i="25" s="1"/>
  <c r="O438" i="25" s="1"/>
  <c r="O439" i="25" s="1"/>
  <c r="O440" i="25" s="1"/>
  <c r="O432" i="25"/>
  <c r="O433" i="25" s="1"/>
  <c r="O413" i="25"/>
  <c r="O414" i="25" s="1"/>
  <c r="O415" i="25" s="1"/>
  <c r="O416" i="25" s="1"/>
  <c r="O417" i="25" s="1"/>
  <c r="O418" i="25" s="1"/>
  <c r="O419" i="25" s="1"/>
  <c r="O420" i="25" s="1"/>
  <c r="O421" i="25" s="1"/>
  <c r="O394" i="25"/>
  <c r="O395" i="25" s="1"/>
  <c r="O396" i="25" s="1"/>
  <c r="O397" i="25" s="1"/>
  <c r="O398" i="25" s="1"/>
  <c r="O399" i="25" s="1"/>
  <c r="O400" i="25" s="1"/>
  <c r="O401" i="25" s="1"/>
  <c r="O402" i="25" s="1"/>
  <c r="O375" i="25"/>
  <c r="O376" i="25" s="1"/>
  <c r="O377" i="25" s="1"/>
  <c r="O378" i="25" s="1"/>
  <c r="O379" i="25" s="1"/>
  <c r="O380" i="25" s="1"/>
  <c r="O381" i="25" s="1"/>
  <c r="O382" i="25" s="1"/>
  <c r="O383" i="25" s="1"/>
  <c r="O356" i="25"/>
  <c r="O357" i="25" s="1"/>
  <c r="O358" i="25" s="1"/>
  <c r="O359" i="25" s="1"/>
  <c r="O360" i="25" s="1"/>
  <c r="O361" i="25" s="1"/>
  <c r="O362" i="25" s="1"/>
  <c r="O363" i="25" s="1"/>
  <c r="O364" i="25" s="1"/>
  <c r="O337" i="25"/>
  <c r="O338" i="25" s="1"/>
  <c r="O339" i="25" s="1"/>
  <c r="O340" i="25" s="1"/>
  <c r="O341" i="25" s="1"/>
  <c r="O342" i="25" s="1"/>
  <c r="O343" i="25" s="1"/>
  <c r="O344" i="25" s="1"/>
  <c r="O345" i="25" s="1"/>
  <c r="O318" i="25"/>
  <c r="O319" i="25" s="1"/>
  <c r="O320" i="25" s="1"/>
  <c r="O321" i="25" s="1"/>
  <c r="O322" i="25" s="1"/>
  <c r="O323" i="25" s="1"/>
  <c r="O324" i="25" s="1"/>
  <c r="O325" i="25" s="1"/>
  <c r="O326" i="25" s="1"/>
  <c r="O299" i="25"/>
  <c r="O300" i="25" s="1"/>
  <c r="O301" i="25" s="1"/>
  <c r="O302" i="25" s="1"/>
  <c r="O303" i="25" s="1"/>
  <c r="O304" i="25" s="1"/>
  <c r="O305" i="25" s="1"/>
  <c r="O306" i="25" s="1"/>
  <c r="O307" i="25" s="1"/>
  <c r="O280" i="25"/>
  <c r="O281" i="25" s="1"/>
  <c r="O282" i="25" s="1"/>
  <c r="O283" i="25" s="1"/>
  <c r="O284" i="25" s="1"/>
  <c r="O285" i="25" s="1"/>
  <c r="O286" i="25" s="1"/>
  <c r="O287" i="25" s="1"/>
  <c r="O288" i="25" s="1"/>
  <c r="O264" i="25"/>
  <c r="O265" i="25" s="1"/>
  <c r="O266" i="25" s="1"/>
  <c r="O267" i="25" s="1"/>
  <c r="O268" i="25" s="1"/>
  <c r="O269" i="25" s="1"/>
  <c r="O261" i="25"/>
  <c r="O262" i="25" s="1"/>
  <c r="O263" i="25" s="1"/>
  <c r="O242" i="25"/>
  <c r="O243" i="25" s="1"/>
  <c r="O244" i="25" s="1"/>
  <c r="O245" i="25" s="1"/>
  <c r="O246" i="25" s="1"/>
  <c r="O247" i="25" s="1"/>
  <c r="O248" i="25" s="1"/>
  <c r="O249" i="25" s="1"/>
  <c r="O250" i="25" s="1"/>
  <c r="O223" i="25"/>
  <c r="O224" i="25" s="1"/>
  <c r="O225" i="25" s="1"/>
  <c r="O226" i="25" s="1"/>
  <c r="O227" i="25" s="1"/>
  <c r="O228" i="25" s="1"/>
  <c r="O229" i="25" s="1"/>
  <c r="O230" i="25" s="1"/>
  <c r="O231" i="25" s="1"/>
  <c r="O204" i="25"/>
  <c r="O205" i="25" s="1"/>
  <c r="O206" i="25" s="1"/>
  <c r="O207" i="25" s="1"/>
  <c r="O208" i="25" s="1"/>
  <c r="O209" i="25" s="1"/>
  <c r="O210" i="25" s="1"/>
  <c r="O211" i="25" s="1"/>
  <c r="O212" i="25" s="1"/>
  <c r="O185" i="25"/>
  <c r="O186" i="25" s="1"/>
  <c r="O187" i="25" s="1"/>
  <c r="O188" i="25" s="1"/>
  <c r="O189" i="25" s="1"/>
  <c r="O190" i="25" s="1"/>
  <c r="O191" i="25" s="1"/>
  <c r="O192" i="25" s="1"/>
  <c r="O193" i="25" s="1"/>
  <c r="O166" i="25"/>
  <c r="O167" i="25" s="1"/>
  <c r="O168" i="25" s="1"/>
  <c r="O169" i="25" s="1"/>
  <c r="O170" i="25" s="1"/>
  <c r="O171" i="25" s="1"/>
  <c r="O172" i="25" s="1"/>
  <c r="O173" i="25" s="1"/>
  <c r="O174" i="25" s="1"/>
  <c r="O147" i="25"/>
  <c r="O148" i="25" s="1"/>
  <c r="O149" i="25" s="1"/>
  <c r="O150" i="25" s="1"/>
  <c r="O151" i="25" s="1"/>
  <c r="O152" i="25" s="1"/>
  <c r="O153" i="25" s="1"/>
  <c r="O154" i="25" s="1"/>
  <c r="O155" i="25" s="1"/>
  <c r="O128" i="25"/>
  <c r="O129" i="25" s="1"/>
  <c r="O130" i="25" s="1"/>
  <c r="O131" i="25" s="1"/>
  <c r="O132" i="25" s="1"/>
  <c r="O133" i="25" s="1"/>
  <c r="O134" i="25" s="1"/>
  <c r="O135" i="25" s="1"/>
  <c r="O136" i="25" s="1"/>
  <c r="O109" i="25"/>
  <c r="O110" i="25" s="1"/>
  <c r="O111" i="25" s="1"/>
  <c r="O112" i="25" s="1"/>
  <c r="O113" i="25" s="1"/>
  <c r="O114" i="25" s="1"/>
  <c r="O115" i="25" s="1"/>
  <c r="O116" i="25" s="1"/>
  <c r="O117" i="25" s="1"/>
  <c r="O90" i="25"/>
  <c r="O91" i="25" s="1"/>
  <c r="O92" i="25" s="1"/>
  <c r="O93" i="25" s="1"/>
  <c r="O94" i="25" s="1"/>
  <c r="O95" i="25" s="1"/>
  <c r="O96" i="25" s="1"/>
  <c r="O97" i="25" s="1"/>
  <c r="O98" i="25" s="1"/>
  <c r="O71" i="25"/>
  <c r="O72" i="25" s="1"/>
  <c r="O73" i="25" s="1"/>
  <c r="O74" i="25" s="1"/>
  <c r="O75" i="25" s="1"/>
  <c r="O76" i="25" s="1"/>
  <c r="O77" i="25" s="1"/>
  <c r="O78" i="25" s="1"/>
  <c r="O79" i="25" s="1"/>
  <c r="O52" i="25"/>
  <c r="O53" i="25" s="1"/>
  <c r="O54" i="25" s="1"/>
  <c r="O55" i="25" s="1"/>
  <c r="O56" i="25" s="1"/>
  <c r="O57" i="25" s="1"/>
  <c r="O58" i="25" s="1"/>
  <c r="O59" i="25" s="1"/>
  <c r="O60" i="25" s="1"/>
  <c r="S14" i="31"/>
  <c r="J235" i="34"/>
  <c r="U13" i="31"/>
  <c r="J649" i="34"/>
  <c r="A13" i="31"/>
  <c r="U14" i="31"/>
  <c r="M25" i="31"/>
  <c r="J442" i="34"/>
  <c r="E9" i="31"/>
  <c r="T14" i="31"/>
  <c r="A14" i="31"/>
  <c r="J718" i="34"/>
  <c r="B13" i="31"/>
  <c r="M9" i="31"/>
  <c r="J511" i="34"/>
  <c r="B25" i="31"/>
  <c r="Q14" i="31"/>
  <c r="B9" i="31"/>
  <c r="S13" i="31"/>
  <c r="J166" i="34"/>
  <c r="T13" i="31"/>
  <c r="J580" i="34"/>
  <c r="Q13" i="31"/>
  <c r="B14" i="31"/>
  <c r="F14" i="31"/>
  <c r="J373" i="34"/>
  <c r="F13" i="31"/>
  <c r="J304" i="34"/>
  <c r="I9" i="31"/>
  <c r="L668" i="28" l="1"/>
  <c r="B668" i="28"/>
  <c r="E668" i="28"/>
  <c r="B88" i="31"/>
  <c r="A771" i="34"/>
  <c r="A53" i="33"/>
  <c r="A69" i="33" s="1"/>
  <c r="A85" i="33" s="1"/>
  <c r="A101" i="33" s="1"/>
  <c r="A117" i="33" s="1"/>
  <c r="A133" i="33" s="1"/>
  <c r="A149" i="33" s="1"/>
  <c r="A165" i="33" s="1"/>
  <c r="A181" i="33" s="1"/>
  <c r="A197" i="33" s="1"/>
  <c r="A213" i="33" s="1"/>
  <c r="A229" i="33" s="1"/>
  <c r="A245" i="33" s="1"/>
  <c r="A261" i="33" s="1"/>
  <c r="A277" i="33" s="1"/>
  <c r="A293" i="33" s="1"/>
  <c r="A309" i="33" s="1"/>
  <c r="A325" i="33" s="1"/>
  <c r="A341" i="33" s="1"/>
  <c r="A357" i="33" s="1"/>
  <c r="A373" i="33" s="1"/>
  <c r="A389" i="33" s="1"/>
  <c r="A405" i="33" s="1"/>
  <c r="A421" i="33" s="1"/>
  <c r="A437" i="33" s="1"/>
  <c r="A453" i="33" s="1"/>
  <c r="A469" i="33" s="1"/>
  <c r="A485" i="33" s="1"/>
  <c r="A501" i="33" s="1"/>
  <c r="A517" i="33" s="1"/>
  <c r="A533" i="33" s="1"/>
  <c r="A549" i="33" s="1"/>
  <c r="A565" i="33" s="1"/>
  <c r="A581" i="33" s="1"/>
  <c r="A597" i="33" s="1"/>
  <c r="A54" i="33"/>
  <c r="AR8" i="32"/>
  <c r="I14" i="31"/>
  <c r="I13" i="31"/>
  <c r="F24" i="31"/>
  <c r="F40" i="31"/>
  <c r="U15" i="31"/>
  <c r="S16" i="31"/>
  <c r="M41" i="31"/>
  <c r="F15" i="31"/>
  <c r="F56" i="31"/>
  <c r="A17" i="31"/>
  <c r="I41" i="31"/>
  <c r="W13" i="31"/>
  <c r="I57" i="31"/>
  <c r="M73" i="31"/>
  <c r="B16" i="31"/>
  <c r="A15" i="31"/>
  <c r="T16" i="31"/>
  <c r="J787" i="34"/>
  <c r="S15" i="31"/>
  <c r="F17" i="31"/>
  <c r="F16" i="31"/>
  <c r="B73" i="31"/>
  <c r="T15" i="31"/>
  <c r="M57" i="31"/>
  <c r="T17" i="31"/>
  <c r="E57" i="31"/>
  <c r="B89" i="31"/>
  <c r="F72" i="31"/>
  <c r="U16" i="31"/>
  <c r="M89" i="31"/>
  <c r="B15" i="31"/>
  <c r="Q16" i="31"/>
  <c r="W14" i="31"/>
  <c r="B17" i="31"/>
  <c r="E73" i="31"/>
  <c r="F88" i="31"/>
  <c r="I73" i="31"/>
  <c r="Q17" i="31"/>
  <c r="B41" i="31"/>
  <c r="A16" i="31"/>
  <c r="S17" i="31"/>
  <c r="Q15" i="31"/>
  <c r="B57" i="31"/>
  <c r="E89" i="31"/>
  <c r="I25" i="31"/>
  <c r="E41" i="31"/>
  <c r="E25" i="31"/>
  <c r="U17" i="31"/>
  <c r="D25" i="31" l="1"/>
  <c r="D41" i="31" s="1"/>
  <c r="D57" i="31" s="1"/>
  <c r="D73" i="31" s="1"/>
  <c r="D89" i="31" s="1"/>
  <c r="K37" i="31"/>
  <c r="K53" i="31" s="1"/>
  <c r="K69" i="31" s="1"/>
  <c r="K85" i="31" s="1"/>
  <c r="K101" i="31" s="1"/>
  <c r="G27" i="31"/>
  <c r="G43" i="31" s="1"/>
  <c r="G59" i="31" s="1"/>
  <c r="G75" i="31" s="1"/>
  <c r="G91" i="31" s="1"/>
  <c r="A37" i="31"/>
  <c r="A53" i="31" s="1"/>
  <c r="A69" i="31" s="1"/>
  <c r="A85" i="31" s="1"/>
  <c r="A101" i="31" s="1"/>
  <c r="A27" i="31"/>
  <c r="A43" i="31" s="1"/>
  <c r="A59" i="31" s="1"/>
  <c r="A75" i="31" s="1"/>
  <c r="A91" i="31" s="1"/>
  <c r="A36" i="31"/>
  <c r="A52" i="31" s="1"/>
  <c r="A68" i="31" s="1"/>
  <c r="A84" i="31" s="1"/>
  <c r="A100" i="31" s="1"/>
  <c r="A25" i="31"/>
  <c r="A41" i="31" s="1"/>
  <c r="A57" i="31" s="1"/>
  <c r="A73" i="31" s="1"/>
  <c r="A89" i="31" s="1"/>
  <c r="I37" i="31"/>
  <c r="I53" i="31" s="1"/>
  <c r="I69" i="31" s="1"/>
  <c r="I85" i="31" s="1"/>
  <c r="I101" i="31" s="1"/>
  <c r="N27" i="31"/>
  <c r="N43" i="31" s="1"/>
  <c r="N59" i="31" s="1"/>
  <c r="N75" i="31" s="1"/>
  <c r="N91" i="31" s="1"/>
  <c r="K27" i="31"/>
  <c r="K43" i="31" s="1"/>
  <c r="K59" i="31" s="1"/>
  <c r="K75" i="31" s="1"/>
  <c r="K91" i="31" s="1"/>
  <c r="F27" i="31"/>
  <c r="F43" i="31" s="1"/>
  <c r="F59" i="31" s="1"/>
  <c r="F75" i="31" s="1"/>
  <c r="F91" i="31" s="1"/>
  <c r="B27" i="31"/>
  <c r="B43" i="31" s="1"/>
  <c r="B59" i="31" s="1"/>
  <c r="B75" i="31" s="1"/>
  <c r="B91" i="31" s="1"/>
  <c r="M37" i="31"/>
  <c r="M53" i="31" s="1"/>
  <c r="M69" i="31" s="1"/>
  <c r="M85" i="31" s="1"/>
  <c r="M101" i="31" s="1"/>
  <c r="D37" i="31"/>
  <c r="D53" i="31" s="1"/>
  <c r="D69" i="31" s="1"/>
  <c r="D85" i="31" s="1"/>
  <c r="D101" i="31" s="1"/>
  <c r="M27" i="31"/>
  <c r="M43" i="31" s="1"/>
  <c r="M59" i="31" s="1"/>
  <c r="M75" i="31" s="1"/>
  <c r="M91" i="31" s="1"/>
  <c r="K25" i="31"/>
  <c r="K41" i="31" s="1"/>
  <c r="K57" i="31" s="1"/>
  <c r="K73" i="31" s="1"/>
  <c r="K89" i="31" s="1"/>
  <c r="G37" i="31"/>
  <c r="G53" i="31" s="1"/>
  <c r="G69" i="31" s="1"/>
  <c r="G85" i="31" s="1"/>
  <c r="G101" i="31" s="1"/>
  <c r="I27" i="31"/>
  <c r="I43" i="31" s="1"/>
  <c r="I59" i="31" s="1"/>
  <c r="I75" i="31" s="1"/>
  <c r="I91" i="31" s="1"/>
  <c r="G25" i="31"/>
  <c r="G41" i="31" s="1"/>
  <c r="G57" i="31" s="1"/>
  <c r="G73" i="31" s="1"/>
  <c r="G89" i="31" s="1"/>
  <c r="X13" i="31"/>
  <c r="X14" i="31"/>
  <c r="B104" i="31"/>
  <c r="A840" i="34"/>
  <c r="A70" i="33"/>
  <c r="I17" i="31"/>
  <c r="I15" i="31"/>
  <c r="AR9" i="32"/>
  <c r="I16" i="31"/>
  <c r="Q95" i="31"/>
  <c r="S97" i="31"/>
  <c r="F96" i="31"/>
  <c r="S34" i="31"/>
  <c r="F66" i="31"/>
  <c r="F79" i="31"/>
  <c r="U81" i="31"/>
  <c r="T95" i="31"/>
  <c r="U96" i="31"/>
  <c r="B30" i="31"/>
  <c r="F31" i="31"/>
  <c r="Q45" i="31"/>
  <c r="S79" i="31"/>
  <c r="A32" i="31"/>
  <c r="S81" i="31"/>
  <c r="U83" i="31"/>
  <c r="T35" i="31"/>
  <c r="Q63" i="31"/>
  <c r="U65" i="31"/>
  <c r="A30" i="31"/>
  <c r="U33" i="31"/>
  <c r="S51" i="31"/>
  <c r="Q46" i="31"/>
  <c r="T63" i="31"/>
  <c r="S99" i="31"/>
  <c r="T82" i="31"/>
  <c r="Q61" i="31"/>
  <c r="A47" i="31"/>
  <c r="F48" i="31"/>
  <c r="U29" i="31"/>
  <c r="A46" i="31"/>
  <c r="U46" i="31"/>
  <c r="B82" i="31"/>
  <c r="I40" i="33"/>
  <c r="T97" i="31"/>
  <c r="F30" i="31"/>
  <c r="T62" i="31"/>
  <c r="S95" i="31"/>
  <c r="B29" i="31"/>
  <c r="A18" i="31"/>
  <c r="F93" i="31"/>
  <c r="T96" i="31"/>
  <c r="U98" i="31"/>
  <c r="U77" i="31"/>
  <c r="T80" i="31"/>
  <c r="Q81" i="31"/>
  <c r="W15" i="31"/>
  <c r="S31" i="31"/>
  <c r="T83" i="31"/>
  <c r="T93" i="31"/>
  <c r="A78" i="31"/>
  <c r="Q66" i="31"/>
  <c r="Q67" i="31"/>
  <c r="B61" i="31"/>
  <c r="B46" i="31"/>
  <c r="A64" i="31"/>
  <c r="T94" i="31"/>
  <c r="S67" i="31"/>
  <c r="S94" i="31"/>
  <c r="U66" i="31"/>
  <c r="Q34" i="31"/>
  <c r="Q98" i="31"/>
  <c r="F32" i="31"/>
  <c r="A61" i="31"/>
  <c r="A45" i="31"/>
  <c r="T51" i="31"/>
  <c r="F65" i="31"/>
  <c r="T46" i="31"/>
  <c r="Q51" i="31"/>
  <c r="F51" i="31"/>
  <c r="T98" i="31"/>
  <c r="S45" i="31"/>
  <c r="A50" i="31"/>
  <c r="I89" i="31"/>
  <c r="A96" i="31"/>
  <c r="S63" i="31"/>
  <c r="T18" i="31"/>
  <c r="F98" i="31"/>
  <c r="S62" i="31"/>
  <c r="Q93" i="31"/>
  <c r="A63" i="31"/>
  <c r="A65" i="31"/>
  <c r="T79" i="31"/>
  <c r="Q33" i="31"/>
  <c r="F94" i="31"/>
  <c r="U30" i="31"/>
  <c r="F81" i="31"/>
  <c r="U78" i="31"/>
  <c r="B93" i="31"/>
  <c r="B32" i="31"/>
  <c r="B67" i="31"/>
  <c r="S64" i="31"/>
  <c r="S83" i="31"/>
  <c r="Q99" i="31"/>
  <c r="F49" i="31"/>
  <c r="Q18" i="31"/>
  <c r="A98" i="31"/>
  <c r="Q94" i="31"/>
  <c r="Q64" i="31"/>
  <c r="Q65" i="31"/>
  <c r="B34" i="31"/>
  <c r="Q29" i="31"/>
  <c r="B95" i="31"/>
  <c r="F99" i="31"/>
  <c r="U94" i="31"/>
  <c r="S49" i="31"/>
  <c r="Q31" i="31"/>
  <c r="U48" i="31"/>
  <c r="S77" i="31"/>
  <c r="B35" i="31"/>
  <c r="T49" i="31"/>
  <c r="F83" i="31"/>
  <c r="A49" i="31"/>
  <c r="T66" i="31"/>
  <c r="F77" i="31"/>
  <c r="B51" i="31"/>
  <c r="U62" i="31"/>
  <c r="U51" i="31"/>
  <c r="F82" i="31"/>
  <c r="B78" i="31"/>
  <c r="T77" i="31"/>
  <c r="Q78" i="31"/>
  <c r="A94" i="31"/>
  <c r="U64" i="31"/>
  <c r="B50" i="31"/>
  <c r="S65" i="31"/>
  <c r="U32" i="31"/>
  <c r="S93" i="31"/>
  <c r="S98" i="31"/>
  <c r="B96" i="31"/>
  <c r="T29" i="31"/>
  <c r="A82" i="31"/>
  <c r="B31" i="31"/>
  <c r="A62" i="31"/>
  <c r="F34" i="31"/>
  <c r="B33" i="31"/>
  <c r="Q62" i="31"/>
  <c r="B81" i="31"/>
  <c r="T99" i="31"/>
  <c r="Q80" i="31"/>
  <c r="T78" i="31"/>
  <c r="W17" i="31"/>
  <c r="S48" i="31"/>
  <c r="B66" i="31"/>
  <c r="A93" i="31"/>
  <c r="T32" i="31"/>
  <c r="T31" i="31"/>
  <c r="U31" i="31"/>
  <c r="A95" i="31"/>
  <c r="F45" i="31"/>
  <c r="U63" i="31"/>
  <c r="F67" i="31"/>
  <c r="Q32" i="31"/>
  <c r="T48" i="31"/>
  <c r="A34" i="31"/>
  <c r="Q83" i="31"/>
  <c r="B18" i="31"/>
  <c r="T47" i="31"/>
  <c r="Q48" i="31"/>
  <c r="B98" i="31"/>
  <c r="F61" i="31"/>
  <c r="T65" i="31"/>
  <c r="Q82" i="31"/>
  <c r="S33" i="31"/>
  <c r="A83" i="31"/>
  <c r="S78" i="31"/>
  <c r="U80" i="31"/>
  <c r="U45" i="31"/>
  <c r="F95" i="31"/>
  <c r="A29" i="31"/>
  <c r="Q35" i="31"/>
  <c r="F50" i="31"/>
  <c r="A33" i="31"/>
  <c r="S35" i="31"/>
  <c r="A67" i="31"/>
  <c r="T61" i="31"/>
  <c r="S66" i="31"/>
  <c r="U50" i="31"/>
  <c r="B47" i="31"/>
  <c r="U82" i="31"/>
  <c r="B64" i="31"/>
  <c r="C39" i="33"/>
  <c r="F47" i="31"/>
  <c r="B80" i="31"/>
  <c r="A51" i="31"/>
  <c r="U35" i="31"/>
  <c r="F62" i="31"/>
  <c r="T30" i="31"/>
  <c r="B48" i="31"/>
  <c r="B77" i="31"/>
  <c r="B62" i="31"/>
  <c r="T81" i="31"/>
  <c r="S82" i="31"/>
  <c r="B63" i="31"/>
  <c r="B45" i="31"/>
  <c r="A35" i="31"/>
  <c r="B97" i="31"/>
  <c r="S18" i="31"/>
  <c r="U49" i="31"/>
  <c r="A48" i="31"/>
  <c r="F78" i="31"/>
  <c r="S30" i="31"/>
  <c r="A77" i="31"/>
  <c r="U61" i="31"/>
  <c r="Q49" i="31"/>
  <c r="A80" i="31"/>
  <c r="F46" i="31"/>
  <c r="Q97" i="31"/>
  <c r="S47" i="31"/>
  <c r="F18" i="31"/>
  <c r="F97" i="31"/>
  <c r="U99" i="31"/>
  <c r="S29" i="31"/>
  <c r="F29" i="31"/>
  <c r="I39" i="33"/>
  <c r="C40" i="33"/>
  <c r="B49" i="31"/>
  <c r="A81" i="31"/>
  <c r="W16" i="31"/>
  <c r="U97" i="31"/>
  <c r="S96" i="31"/>
  <c r="B99" i="31"/>
  <c r="F63" i="31"/>
  <c r="Q77" i="31"/>
  <c r="B65" i="31"/>
  <c r="S32" i="31"/>
  <c r="U47" i="31"/>
  <c r="A31" i="31"/>
  <c r="F33" i="31"/>
  <c r="B83" i="31"/>
  <c r="Q30" i="31"/>
  <c r="Q79" i="31"/>
  <c r="U93" i="31"/>
  <c r="A99" i="31"/>
  <c r="A97" i="31"/>
  <c r="F64" i="31"/>
  <c r="U67" i="31"/>
  <c r="J856" i="34"/>
  <c r="T34" i="31"/>
  <c r="B79" i="31"/>
  <c r="A66" i="31"/>
  <c r="A79" i="31"/>
  <c r="U34" i="31"/>
  <c r="U95" i="31"/>
  <c r="T33" i="31"/>
  <c r="Q96" i="31"/>
  <c r="T45" i="31"/>
  <c r="S50" i="31"/>
  <c r="S61" i="31"/>
  <c r="U18" i="31"/>
  <c r="U79" i="31"/>
  <c r="Q50" i="31"/>
  <c r="T67" i="31"/>
  <c r="F80" i="31"/>
  <c r="F35" i="31"/>
  <c r="S46" i="31"/>
  <c r="T50" i="31"/>
  <c r="S80" i="31"/>
  <c r="Q47" i="31"/>
  <c r="T64" i="31"/>
  <c r="B94" i="31"/>
  <c r="I32" i="31" l="1"/>
  <c r="I31" i="31"/>
  <c r="I36" i="31"/>
  <c r="F36" i="31"/>
  <c r="I29" i="31"/>
  <c r="I33" i="31"/>
  <c r="I35" i="31"/>
  <c r="X16" i="31"/>
  <c r="I30" i="31"/>
  <c r="X15" i="31"/>
  <c r="I34" i="31"/>
  <c r="X17" i="31"/>
  <c r="B120" i="31"/>
  <c r="A909" i="34"/>
  <c r="A86" i="33"/>
  <c r="I93" i="31"/>
  <c r="I94" i="31"/>
  <c r="I96" i="31"/>
  <c r="I100" i="31"/>
  <c r="F100" i="31"/>
  <c r="I95" i="31"/>
  <c r="I98" i="31"/>
  <c r="I97" i="31"/>
  <c r="I99" i="31"/>
  <c r="I79" i="31"/>
  <c r="I77" i="31"/>
  <c r="I80" i="31"/>
  <c r="I78" i="31"/>
  <c r="I83" i="31"/>
  <c r="I81" i="31"/>
  <c r="I84" i="31"/>
  <c r="F84" i="31"/>
  <c r="I82" i="31"/>
  <c r="I65" i="31"/>
  <c r="I68" i="31"/>
  <c r="F68" i="31"/>
  <c r="I63" i="31"/>
  <c r="I66" i="31"/>
  <c r="I67" i="31"/>
  <c r="I62" i="31"/>
  <c r="I61" i="31"/>
  <c r="I64" i="31"/>
  <c r="I47" i="31"/>
  <c r="I50" i="31"/>
  <c r="I45" i="31"/>
  <c r="I49" i="31"/>
  <c r="I48" i="31"/>
  <c r="I46" i="31"/>
  <c r="I52" i="31"/>
  <c r="F52" i="31"/>
  <c r="I51" i="31"/>
  <c r="I18" i="31"/>
  <c r="AR10" i="32"/>
  <c r="W63" i="31"/>
  <c r="U19" i="31"/>
  <c r="H63" i="33"/>
  <c r="W31" i="31"/>
  <c r="W95" i="31"/>
  <c r="W98" i="31"/>
  <c r="C62" i="33"/>
  <c r="W18" i="31"/>
  <c r="C56" i="33"/>
  <c r="B105" i="31"/>
  <c r="W49" i="31"/>
  <c r="W66" i="31"/>
  <c r="B19" i="31"/>
  <c r="W67" i="31"/>
  <c r="W79" i="31"/>
  <c r="W48" i="31"/>
  <c r="H61" i="33"/>
  <c r="F19" i="31"/>
  <c r="W35" i="31"/>
  <c r="W96" i="31"/>
  <c r="I56" i="33"/>
  <c r="A62" i="33"/>
  <c r="S19" i="31"/>
  <c r="W61" i="31"/>
  <c r="H59" i="33"/>
  <c r="W80" i="31"/>
  <c r="H64" i="33"/>
  <c r="W77" i="31"/>
  <c r="I105" i="31"/>
  <c r="J925" i="34"/>
  <c r="W34" i="31"/>
  <c r="W30" i="31"/>
  <c r="C59" i="33"/>
  <c r="W50" i="31"/>
  <c r="C60" i="33"/>
  <c r="W97" i="31"/>
  <c r="W81" i="31"/>
  <c r="E105" i="31"/>
  <c r="W93" i="31"/>
  <c r="W45" i="31"/>
  <c r="C55" i="33"/>
  <c r="H60" i="33"/>
  <c r="W94" i="31"/>
  <c r="M105" i="31"/>
  <c r="A61" i="33"/>
  <c r="W99" i="31"/>
  <c r="A64" i="33"/>
  <c r="W78" i="31"/>
  <c r="W83" i="31"/>
  <c r="F104" i="31"/>
  <c r="W51" i="31"/>
  <c r="W47" i="31"/>
  <c r="A63" i="33"/>
  <c r="A58" i="33"/>
  <c r="C58" i="33"/>
  <c r="W65" i="31"/>
  <c r="Q19" i="31"/>
  <c r="T19" i="31"/>
  <c r="W82" i="31"/>
  <c r="W46" i="31"/>
  <c r="W64" i="31"/>
  <c r="C64" i="33"/>
  <c r="W32" i="31"/>
  <c r="H62" i="33"/>
  <c r="W62" i="31"/>
  <c r="A59" i="33"/>
  <c r="H47" i="33"/>
  <c r="A19" i="31"/>
  <c r="C61" i="33"/>
  <c r="W33" i="31"/>
  <c r="I55" i="33"/>
  <c r="A60" i="33"/>
  <c r="W29" i="31"/>
  <c r="H58" i="33"/>
  <c r="X48" i="31" l="1"/>
  <c r="X82" i="31"/>
  <c r="X97" i="31"/>
  <c r="X80" i="31"/>
  <c r="X78" i="31"/>
  <c r="X61" i="31"/>
  <c r="X65" i="31"/>
  <c r="X66" i="31"/>
  <c r="X96" i="31"/>
  <c r="X33" i="31"/>
  <c r="X29" i="31"/>
  <c r="X99" i="31"/>
  <c r="X46" i="31"/>
  <c r="X64" i="31"/>
  <c r="X50" i="31"/>
  <c r="X63" i="31"/>
  <c r="X30" i="31"/>
  <c r="X18" i="31"/>
  <c r="X31" i="31"/>
  <c r="A105" i="31"/>
  <c r="B107" i="31"/>
  <c r="A107" i="31"/>
  <c r="N107" i="31"/>
  <c r="G117" i="31"/>
  <c r="M117" i="31"/>
  <c r="I117" i="31"/>
  <c r="G107" i="31"/>
  <c r="D105" i="31"/>
  <c r="A117" i="31"/>
  <c r="M107" i="31"/>
  <c r="D117" i="31"/>
  <c r="K105" i="31"/>
  <c r="K117" i="31"/>
  <c r="F107" i="31"/>
  <c r="A116" i="31"/>
  <c r="G105" i="31"/>
  <c r="I107" i="31"/>
  <c r="K107" i="31"/>
  <c r="X67" i="31"/>
  <c r="X62" i="31"/>
  <c r="X94" i="31"/>
  <c r="X47" i="31"/>
  <c r="X98" i="31"/>
  <c r="X51" i="31"/>
  <c r="X81" i="31"/>
  <c r="X49" i="31"/>
  <c r="X34" i="31"/>
  <c r="X45" i="31"/>
  <c r="X77" i="31"/>
  <c r="X35" i="31"/>
  <c r="X93" i="31"/>
  <c r="X79" i="31"/>
  <c r="X32" i="31"/>
  <c r="X95" i="31"/>
  <c r="X83" i="31"/>
  <c r="B136" i="31"/>
  <c r="A978" i="34"/>
  <c r="H65" i="33"/>
  <c r="A102" i="33"/>
  <c r="I19" i="31"/>
  <c r="F20" i="31"/>
  <c r="I20" i="31"/>
  <c r="AR11" i="32"/>
  <c r="A77" i="33"/>
  <c r="F113" i="31"/>
  <c r="F112" i="31"/>
  <c r="T112" i="31"/>
  <c r="A78" i="33"/>
  <c r="U109" i="31"/>
  <c r="F110" i="31"/>
  <c r="S111" i="31"/>
  <c r="H76" i="33"/>
  <c r="F111" i="31"/>
  <c r="Q113" i="31"/>
  <c r="B112" i="31"/>
  <c r="T113" i="31"/>
  <c r="M121" i="31"/>
  <c r="S113" i="31"/>
  <c r="B121" i="31"/>
  <c r="H75" i="33"/>
  <c r="C79" i="33"/>
  <c r="S115" i="31"/>
  <c r="B111" i="31"/>
  <c r="H74" i="33"/>
  <c r="A79" i="33"/>
  <c r="A114" i="31"/>
  <c r="B110" i="31"/>
  <c r="A76" i="33"/>
  <c r="F109" i="31"/>
  <c r="A110" i="31"/>
  <c r="T110" i="31"/>
  <c r="I71" i="33"/>
  <c r="Q115" i="31"/>
  <c r="C80" i="33"/>
  <c r="Q110" i="31"/>
  <c r="T114" i="31"/>
  <c r="C72" i="33"/>
  <c r="H79" i="33"/>
  <c r="F114" i="31"/>
  <c r="B113" i="31"/>
  <c r="A111" i="31"/>
  <c r="T115" i="31"/>
  <c r="Q111" i="31"/>
  <c r="H78" i="33"/>
  <c r="Q112" i="31"/>
  <c r="A75" i="33"/>
  <c r="S109" i="31"/>
  <c r="A115" i="31"/>
  <c r="B114" i="31"/>
  <c r="A113" i="31"/>
  <c r="C74" i="33"/>
  <c r="F120" i="31"/>
  <c r="B109" i="31"/>
  <c r="T111" i="31"/>
  <c r="C77" i="33"/>
  <c r="A109" i="31"/>
  <c r="W19" i="31"/>
  <c r="H77" i="33"/>
  <c r="U112" i="31"/>
  <c r="A80" i="33"/>
  <c r="T109" i="31"/>
  <c r="F115" i="31"/>
  <c r="S112" i="31"/>
  <c r="Q114" i="31"/>
  <c r="C76" i="33"/>
  <c r="J994" i="34"/>
  <c r="C71" i="33"/>
  <c r="E121" i="31"/>
  <c r="H80" i="33"/>
  <c r="U111" i="31"/>
  <c r="U113" i="31"/>
  <c r="U115" i="31"/>
  <c r="U114" i="31"/>
  <c r="B115" i="31"/>
  <c r="C75" i="33"/>
  <c r="S114" i="31"/>
  <c r="S110" i="31"/>
  <c r="Q109" i="31"/>
  <c r="A112" i="31"/>
  <c r="I121" i="31"/>
  <c r="U110" i="31"/>
  <c r="A74" i="33"/>
  <c r="X68" i="31" l="1"/>
  <c r="X100" i="31"/>
  <c r="X52" i="31"/>
  <c r="X84" i="31"/>
  <c r="I116" i="31"/>
  <c r="F116" i="31"/>
  <c r="I113" i="31"/>
  <c r="I114" i="31"/>
  <c r="I110" i="31"/>
  <c r="I115" i="31"/>
  <c r="I109" i="31"/>
  <c r="I112" i="31"/>
  <c r="X19" i="31"/>
  <c r="X20" i="31" s="1"/>
  <c r="I111" i="31"/>
  <c r="K133" i="31"/>
  <c r="B152" i="31"/>
  <c r="K121" i="31"/>
  <c r="M123" i="31"/>
  <c r="A133" i="31"/>
  <c r="M133" i="31"/>
  <c r="G133" i="31"/>
  <c r="K123" i="31"/>
  <c r="G123" i="31"/>
  <c r="I123" i="31"/>
  <c r="N123" i="31"/>
  <c r="G121" i="31"/>
  <c r="D121" i="31"/>
  <c r="A123" i="31"/>
  <c r="A132" i="31"/>
  <c r="B123" i="31"/>
  <c r="I133" i="31"/>
  <c r="F123" i="31"/>
  <c r="A121" i="31"/>
  <c r="D133" i="31"/>
  <c r="X36" i="31"/>
  <c r="A1047" i="34"/>
  <c r="H81" i="33"/>
  <c r="A118" i="33"/>
  <c r="AR12" i="32"/>
  <c r="Q130" i="31"/>
  <c r="B125" i="31"/>
  <c r="W113" i="31"/>
  <c r="B129" i="31"/>
  <c r="T129" i="31"/>
  <c r="I137" i="31"/>
  <c r="F125" i="31"/>
  <c r="F129" i="31"/>
  <c r="U127" i="31"/>
  <c r="W114" i="31"/>
  <c r="F130" i="31"/>
  <c r="F136" i="31"/>
  <c r="Q126" i="31"/>
  <c r="A91" i="33"/>
  <c r="C87" i="33"/>
  <c r="U129" i="31"/>
  <c r="T126" i="31"/>
  <c r="H94" i="33"/>
  <c r="S129" i="31"/>
  <c r="W111" i="31"/>
  <c r="A95" i="33"/>
  <c r="A128" i="31"/>
  <c r="H92" i="33"/>
  <c r="A90" i="33"/>
  <c r="A94" i="33"/>
  <c r="W109" i="31"/>
  <c r="Q125" i="31"/>
  <c r="F131" i="31"/>
  <c r="I87" i="33"/>
  <c r="C91" i="33"/>
  <c r="B128" i="31"/>
  <c r="Q131" i="31"/>
  <c r="B130" i="31"/>
  <c r="B137" i="31"/>
  <c r="A93" i="33"/>
  <c r="H90" i="33"/>
  <c r="Q129" i="31"/>
  <c r="W112" i="31"/>
  <c r="C88" i="33"/>
  <c r="A130" i="31"/>
  <c r="F128" i="31"/>
  <c r="T125" i="31"/>
  <c r="Q128" i="31"/>
  <c r="A92" i="33"/>
  <c r="U130" i="31"/>
  <c r="B127" i="31"/>
  <c r="H96" i="33"/>
  <c r="A96" i="33"/>
  <c r="U131" i="31"/>
  <c r="T131" i="31"/>
  <c r="T128" i="31"/>
  <c r="S131" i="31"/>
  <c r="A131" i="31"/>
  <c r="C95" i="33"/>
  <c r="T127" i="31"/>
  <c r="F127" i="31"/>
  <c r="C90" i="33"/>
  <c r="U128" i="31"/>
  <c r="F126" i="31"/>
  <c r="H93" i="33"/>
  <c r="M137" i="31"/>
  <c r="E137" i="31"/>
  <c r="C96" i="33"/>
  <c r="A126" i="31"/>
  <c r="T130" i="31"/>
  <c r="B126" i="31"/>
  <c r="H91" i="33"/>
  <c r="S126" i="31"/>
  <c r="S130" i="31"/>
  <c r="U125" i="31"/>
  <c r="S125" i="31"/>
  <c r="Q127" i="31"/>
  <c r="B131" i="31"/>
  <c r="A127" i="31"/>
  <c r="S127" i="31"/>
  <c r="W115" i="31"/>
  <c r="S128" i="31"/>
  <c r="C94" i="33"/>
  <c r="C92" i="33"/>
  <c r="W110" i="31"/>
  <c r="A125" i="31"/>
  <c r="A129" i="31"/>
  <c r="U126" i="31"/>
  <c r="H95" i="33"/>
  <c r="J1063" i="34"/>
  <c r="X115" i="31" l="1"/>
  <c r="X113" i="31"/>
  <c r="X109" i="31"/>
  <c r="X114" i="31"/>
  <c r="I129" i="31"/>
  <c r="I125" i="31"/>
  <c r="I132" i="31"/>
  <c r="F132" i="31"/>
  <c r="I127" i="31"/>
  <c r="X111" i="31"/>
  <c r="X110" i="31"/>
  <c r="I130" i="31"/>
  <c r="I126" i="31"/>
  <c r="X112" i="31"/>
  <c r="I131" i="31"/>
  <c r="I128" i="31"/>
  <c r="B139" i="31"/>
  <c r="A137" i="31"/>
  <c r="F139" i="31"/>
  <c r="I149" i="31"/>
  <c r="G137" i="31"/>
  <c r="N139" i="31"/>
  <c r="I139" i="31"/>
  <c r="K139" i="31"/>
  <c r="M149" i="31"/>
  <c r="K137" i="31"/>
  <c r="G149" i="31"/>
  <c r="A148" i="31"/>
  <c r="G139" i="31"/>
  <c r="A149" i="31"/>
  <c r="B168" i="31"/>
  <c r="K149" i="31"/>
  <c r="A139" i="31"/>
  <c r="D137" i="31"/>
  <c r="M139" i="31"/>
  <c r="D149" i="31"/>
  <c r="A1116" i="34"/>
  <c r="H97" i="33"/>
  <c r="A134" i="33"/>
  <c r="AR13" i="32"/>
  <c r="A922" i="23"/>
  <c r="A899" i="23"/>
  <c r="A876" i="23"/>
  <c r="A853" i="23"/>
  <c r="A830" i="23"/>
  <c r="A807" i="23"/>
  <c r="A784" i="23"/>
  <c r="A761" i="23"/>
  <c r="A738" i="23"/>
  <c r="A715" i="23"/>
  <c r="A692" i="23"/>
  <c r="A669" i="23"/>
  <c r="A646" i="23"/>
  <c r="A623" i="23"/>
  <c r="A600" i="23"/>
  <c r="A577" i="23"/>
  <c r="A554" i="23"/>
  <c r="A531" i="23"/>
  <c r="A508" i="23"/>
  <c r="A485" i="23"/>
  <c r="A462" i="23"/>
  <c r="A439" i="23"/>
  <c r="A416" i="23"/>
  <c r="A393" i="23"/>
  <c r="A370" i="23"/>
  <c r="A347" i="23"/>
  <c r="A324" i="23"/>
  <c r="A301" i="23"/>
  <c r="A278" i="23"/>
  <c r="A255" i="23"/>
  <c r="A232" i="23"/>
  <c r="A209" i="23"/>
  <c r="A186" i="23"/>
  <c r="A163" i="23"/>
  <c r="A140" i="23"/>
  <c r="A117" i="23"/>
  <c r="A94" i="23"/>
  <c r="A71" i="23"/>
  <c r="A48" i="23"/>
  <c r="O934" i="30"/>
  <c r="O935" i="30" s="1"/>
  <c r="O936" i="30" s="1"/>
  <c r="O937" i="30" s="1"/>
  <c r="O938" i="30" s="1"/>
  <c r="O939" i="30" s="1"/>
  <c r="O940" i="30" s="1"/>
  <c r="O941" i="30" s="1"/>
  <c r="O942" i="30" s="1"/>
  <c r="O943" i="30" s="1"/>
  <c r="O944" i="30" s="1"/>
  <c r="O945" i="30" s="1"/>
  <c r="O946" i="30" s="1"/>
  <c r="W932" i="30"/>
  <c r="O911" i="30"/>
  <c r="O912" i="30" s="1"/>
  <c r="O913" i="30" s="1"/>
  <c r="O914" i="30" s="1"/>
  <c r="O915" i="30" s="1"/>
  <c r="O916" i="30" s="1"/>
  <c r="O917" i="30" s="1"/>
  <c r="O918" i="30" s="1"/>
  <c r="O919" i="30" s="1"/>
  <c r="O920" i="30" s="1"/>
  <c r="O921" i="30" s="1"/>
  <c r="O922" i="30" s="1"/>
  <c r="O923" i="30" s="1"/>
  <c r="W909" i="30"/>
  <c r="O888" i="30"/>
  <c r="O889" i="30" s="1"/>
  <c r="O890" i="30" s="1"/>
  <c r="O891" i="30" s="1"/>
  <c r="O892" i="30" s="1"/>
  <c r="O893" i="30" s="1"/>
  <c r="O894" i="30" s="1"/>
  <c r="O895" i="30" s="1"/>
  <c r="O896" i="30" s="1"/>
  <c r="O897" i="30" s="1"/>
  <c r="O898" i="30" s="1"/>
  <c r="O899" i="30" s="1"/>
  <c r="O900" i="30" s="1"/>
  <c r="W886" i="30"/>
  <c r="O865" i="30"/>
  <c r="O866" i="30" s="1"/>
  <c r="O867" i="30" s="1"/>
  <c r="O868" i="30" s="1"/>
  <c r="O869" i="30" s="1"/>
  <c r="O870" i="30" s="1"/>
  <c r="O871" i="30" s="1"/>
  <c r="O872" i="30" s="1"/>
  <c r="O873" i="30" s="1"/>
  <c r="O874" i="30" s="1"/>
  <c r="O875" i="30" s="1"/>
  <c r="O876" i="30" s="1"/>
  <c r="O877" i="30" s="1"/>
  <c r="W863" i="30"/>
  <c r="O842" i="30"/>
  <c r="O843" i="30" s="1"/>
  <c r="O844" i="30" s="1"/>
  <c r="O845" i="30" s="1"/>
  <c r="O846" i="30" s="1"/>
  <c r="O847" i="30" s="1"/>
  <c r="O848" i="30" s="1"/>
  <c r="O849" i="30" s="1"/>
  <c r="O850" i="30" s="1"/>
  <c r="O851" i="30" s="1"/>
  <c r="O852" i="30" s="1"/>
  <c r="O853" i="30" s="1"/>
  <c r="O854" i="30" s="1"/>
  <c r="W840" i="30"/>
  <c r="O819" i="30"/>
  <c r="O820" i="30" s="1"/>
  <c r="O821" i="30" s="1"/>
  <c r="O822" i="30" s="1"/>
  <c r="O823" i="30" s="1"/>
  <c r="O824" i="30" s="1"/>
  <c r="O825" i="30" s="1"/>
  <c r="O826" i="30" s="1"/>
  <c r="O827" i="30" s="1"/>
  <c r="O828" i="30" s="1"/>
  <c r="O829" i="30" s="1"/>
  <c r="O830" i="30" s="1"/>
  <c r="O831" i="30" s="1"/>
  <c r="W817" i="30"/>
  <c r="O796" i="30"/>
  <c r="O797" i="30" s="1"/>
  <c r="O798" i="30" s="1"/>
  <c r="O799" i="30" s="1"/>
  <c r="O800" i="30" s="1"/>
  <c r="O801" i="30" s="1"/>
  <c r="O802" i="30" s="1"/>
  <c r="O803" i="30" s="1"/>
  <c r="O804" i="30" s="1"/>
  <c r="O805" i="30" s="1"/>
  <c r="O806" i="30" s="1"/>
  <c r="O807" i="30" s="1"/>
  <c r="O808" i="30" s="1"/>
  <c r="W794" i="30"/>
  <c r="O773" i="30"/>
  <c r="O774" i="30" s="1"/>
  <c r="O775" i="30" s="1"/>
  <c r="O776" i="30" s="1"/>
  <c r="O777" i="30" s="1"/>
  <c r="O778" i="30" s="1"/>
  <c r="O779" i="30" s="1"/>
  <c r="O780" i="30" s="1"/>
  <c r="O781" i="30" s="1"/>
  <c r="O782" i="30" s="1"/>
  <c r="O783" i="30" s="1"/>
  <c r="O784" i="30" s="1"/>
  <c r="O785" i="30" s="1"/>
  <c r="W771" i="30"/>
  <c r="O750" i="30"/>
  <c r="O751" i="30" s="1"/>
  <c r="O752" i="30" s="1"/>
  <c r="O753" i="30" s="1"/>
  <c r="O754" i="30" s="1"/>
  <c r="O755" i="30" s="1"/>
  <c r="O756" i="30" s="1"/>
  <c r="O757" i="30" s="1"/>
  <c r="O758" i="30" s="1"/>
  <c r="O759" i="30" s="1"/>
  <c r="O760" i="30" s="1"/>
  <c r="O761" i="30" s="1"/>
  <c r="O762" i="30" s="1"/>
  <c r="W748" i="30"/>
  <c r="O727" i="30"/>
  <c r="O728" i="30" s="1"/>
  <c r="O729" i="30" s="1"/>
  <c r="O730" i="30" s="1"/>
  <c r="O731" i="30" s="1"/>
  <c r="O732" i="30" s="1"/>
  <c r="O733" i="30" s="1"/>
  <c r="O734" i="30" s="1"/>
  <c r="O735" i="30" s="1"/>
  <c r="O736" i="30" s="1"/>
  <c r="O737" i="30" s="1"/>
  <c r="O738" i="30" s="1"/>
  <c r="O739" i="30" s="1"/>
  <c r="W725" i="30"/>
  <c r="O704" i="30"/>
  <c r="O705" i="30" s="1"/>
  <c r="O706" i="30" s="1"/>
  <c r="O707" i="30" s="1"/>
  <c r="O708" i="30" s="1"/>
  <c r="O709" i="30" s="1"/>
  <c r="O710" i="30" s="1"/>
  <c r="O711" i="30" s="1"/>
  <c r="O712" i="30" s="1"/>
  <c r="O713" i="30" s="1"/>
  <c r="O714" i="30" s="1"/>
  <c r="O715" i="30" s="1"/>
  <c r="O716" i="30" s="1"/>
  <c r="W702" i="30"/>
  <c r="O681" i="30"/>
  <c r="O682" i="30" s="1"/>
  <c r="O683" i="30" s="1"/>
  <c r="O684" i="30" s="1"/>
  <c r="O685" i="30" s="1"/>
  <c r="O686" i="30" s="1"/>
  <c r="O687" i="30" s="1"/>
  <c r="O688" i="30" s="1"/>
  <c r="O689" i="30" s="1"/>
  <c r="O690" i="30" s="1"/>
  <c r="O691" i="30" s="1"/>
  <c r="O692" i="30" s="1"/>
  <c r="O693" i="30" s="1"/>
  <c r="W679" i="30"/>
  <c r="O658" i="30"/>
  <c r="O659" i="30" s="1"/>
  <c r="O660" i="30" s="1"/>
  <c r="O661" i="30" s="1"/>
  <c r="O662" i="30" s="1"/>
  <c r="O663" i="30" s="1"/>
  <c r="O664" i="30" s="1"/>
  <c r="O665" i="30" s="1"/>
  <c r="O666" i="30" s="1"/>
  <c r="O667" i="30" s="1"/>
  <c r="O668" i="30" s="1"/>
  <c r="O669" i="30" s="1"/>
  <c r="O670" i="30" s="1"/>
  <c r="W656" i="30"/>
  <c r="O635" i="30"/>
  <c r="O636" i="30" s="1"/>
  <c r="O637" i="30" s="1"/>
  <c r="O638" i="30" s="1"/>
  <c r="O639" i="30" s="1"/>
  <c r="O640" i="30" s="1"/>
  <c r="O641" i="30" s="1"/>
  <c r="O642" i="30" s="1"/>
  <c r="O643" i="30" s="1"/>
  <c r="O644" i="30" s="1"/>
  <c r="O645" i="30" s="1"/>
  <c r="O646" i="30" s="1"/>
  <c r="O647" i="30" s="1"/>
  <c r="W633" i="30"/>
  <c r="O612" i="30"/>
  <c r="O613" i="30" s="1"/>
  <c r="O614" i="30" s="1"/>
  <c r="O615" i="30" s="1"/>
  <c r="O616" i="30" s="1"/>
  <c r="O617" i="30" s="1"/>
  <c r="O618" i="30" s="1"/>
  <c r="O619" i="30" s="1"/>
  <c r="O620" i="30" s="1"/>
  <c r="O621" i="30" s="1"/>
  <c r="O622" i="30" s="1"/>
  <c r="O623" i="30" s="1"/>
  <c r="O624" i="30" s="1"/>
  <c r="W610" i="30"/>
  <c r="O589" i="30"/>
  <c r="O590" i="30" s="1"/>
  <c r="O591" i="30" s="1"/>
  <c r="O592" i="30" s="1"/>
  <c r="O593" i="30" s="1"/>
  <c r="O594" i="30" s="1"/>
  <c r="O595" i="30" s="1"/>
  <c r="O596" i="30" s="1"/>
  <c r="O597" i="30" s="1"/>
  <c r="O598" i="30" s="1"/>
  <c r="O599" i="30" s="1"/>
  <c r="O600" i="30" s="1"/>
  <c r="O601" i="30" s="1"/>
  <c r="W587" i="30"/>
  <c r="O567" i="30"/>
  <c r="O568" i="30" s="1"/>
  <c r="O569" i="30" s="1"/>
  <c r="O570" i="30" s="1"/>
  <c r="O571" i="30" s="1"/>
  <c r="O572" i="30" s="1"/>
  <c r="O573" i="30" s="1"/>
  <c r="O574" i="30" s="1"/>
  <c r="O575" i="30" s="1"/>
  <c r="O576" i="30" s="1"/>
  <c r="O577" i="30" s="1"/>
  <c r="O578" i="30" s="1"/>
  <c r="O566" i="30"/>
  <c r="W564" i="30"/>
  <c r="O543" i="30"/>
  <c r="O544" i="30" s="1"/>
  <c r="O545" i="30" s="1"/>
  <c r="O546" i="30" s="1"/>
  <c r="O547" i="30" s="1"/>
  <c r="O548" i="30" s="1"/>
  <c r="O549" i="30" s="1"/>
  <c r="O550" i="30" s="1"/>
  <c r="O551" i="30" s="1"/>
  <c r="O552" i="30" s="1"/>
  <c r="O553" i="30" s="1"/>
  <c r="O554" i="30" s="1"/>
  <c r="O555" i="30" s="1"/>
  <c r="W541" i="30"/>
  <c r="O520" i="30"/>
  <c r="O521" i="30" s="1"/>
  <c r="O522" i="30" s="1"/>
  <c r="O523" i="30" s="1"/>
  <c r="O524" i="30" s="1"/>
  <c r="O525" i="30" s="1"/>
  <c r="O526" i="30" s="1"/>
  <c r="O527" i="30" s="1"/>
  <c r="O528" i="30" s="1"/>
  <c r="O529" i="30" s="1"/>
  <c r="O530" i="30" s="1"/>
  <c r="O531" i="30" s="1"/>
  <c r="O532" i="30" s="1"/>
  <c r="W518" i="30"/>
  <c r="O497" i="30"/>
  <c r="O498" i="30" s="1"/>
  <c r="O499" i="30" s="1"/>
  <c r="O500" i="30" s="1"/>
  <c r="O501" i="30" s="1"/>
  <c r="O502" i="30" s="1"/>
  <c r="O503" i="30" s="1"/>
  <c r="O504" i="30" s="1"/>
  <c r="O505" i="30" s="1"/>
  <c r="O506" i="30" s="1"/>
  <c r="O507" i="30" s="1"/>
  <c r="O508" i="30" s="1"/>
  <c r="O509" i="30" s="1"/>
  <c r="W495" i="30"/>
  <c r="O474" i="30"/>
  <c r="O475" i="30" s="1"/>
  <c r="O476" i="30" s="1"/>
  <c r="O477" i="30" s="1"/>
  <c r="O478" i="30" s="1"/>
  <c r="O479" i="30" s="1"/>
  <c r="O480" i="30" s="1"/>
  <c r="O481" i="30" s="1"/>
  <c r="O482" i="30" s="1"/>
  <c r="O483" i="30" s="1"/>
  <c r="O484" i="30" s="1"/>
  <c r="O485" i="30" s="1"/>
  <c r="O486" i="30" s="1"/>
  <c r="W472" i="30"/>
  <c r="O451" i="30"/>
  <c r="O452" i="30" s="1"/>
  <c r="O453" i="30" s="1"/>
  <c r="O454" i="30" s="1"/>
  <c r="O455" i="30" s="1"/>
  <c r="O456" i="30" s="1"/>
  <c r="O457" i="30" s="1"/>
  <c r="O458" i="30" s="1"/>
  <c r="O459" i="30" s="1"/>
  <c r="O460" i="30" s="1"/>
  <c r="O461" i="30" s="1"/>
  <c r="O462" i="30" s="1"/>
  <c r="O463" i="30" s="1"/>
  <c r="W449" i="30"/>
  <c r="O428" i="30"/>
  <c r="O429" i="30" s="1"/>
  <c r="O430" i="30" s="1"/>
  <c r="O431" i="30" s="1"/>
  <c r="O432" i="30" s="1"/>
  <c r="O433" i="30" s="1"/>
  <c r="O434" i="30" s="1"/>
  <c r="O435" i="30" s="1"/>
  <c r="O436" i="30" s="1"/>
  <c r="O437" i="30" s="1"/>
  <c r="O438" i="30" s="1"/>
  <c r="O439" i="30" s="1"/>
  <c r="O440" i="30" s="1"/>
  <c r="W426" i="30"/>
  <c r="O405" i="30"/>
  <c r="O406" i="30" s="1"/>
  <c r="O407" i="30" s="1"/>
  <c r="O408" i="30" s="1"/>
  <c r="O409" i="30" s="1"/>
  <c r="O410" i="30" s="1"/>
  <c r="O411" i="30" s="1"/>
  <c r="O412" i="30" s="1"/>
  <c r="O413" i="30" s="1"/>
  <c r="O414" i="30" s="1"/>
  <c r="O415" i="30" s="1"/>
  <c r="O416" i="30" s="1"/>
  <c r="O417" i="30" s="1"/>
  <c r="W403" i="30"/>
  <c r="O382" i="30"/>
  <c r="O383" i="30" s="1"/>
  <c r="O384" i="30" s="1"/>
  <c r="O385" i="30" s="1"/>
  <c r="O386" i="30" s="1"/>
  <c r="O387" i="30" s="1"/>
  <c r="O388" i="30" s="1"/>
  <c r="O389" i="30" s="1"/>
  <c r="O390" i="30" s="1"/>
  <c r="O391" i="30" s="1"/>
  <c r="O392" i="30" s="1"/>
  <c r="O393" i="30" s="1"/>
  <c r="O394" i="30" s="1"/>
  <c r="W380" i="30"/>
  <c r="O359" i="30"/>
  <c r="O360" i="30" s="1"/>
  <c r="O361" i="30" s="1"/>
  <c r="O362" i="30" s="1"/>
  <c r="O363" i="30" s="1"/>
  <c r="O364" i="30" s="1"/>
  <c r="O365" i="30" s="1"/>
  <c r="O366" i="30" s="1"/>
  <c r="O367" i="30" s="1"/>
  <c r="O368" i="30" s="1"/>
  <c r="O369" i="30" s="1"/>
  <c r="O370" i="30" s="1"/>
  <c r="O371" i="30" s="1"/>
  <c r="W357" i="30"/>
  <c r="O336" i="30"/>
  <c r="O337" i="30" s="1"/>
  <c r="O338" i="30" s="1"/>
  <c r="O339" i="30" s="1"/>
  <c r="O340" i="30" s="1"/>
  <c r="O341" i="30" s="1"/>
  <c r="O342" i="30" s="1"/>
  <c r="O343" i="30" s="1"/>
  <c r="O344" i="30" s="1"/>
  <c r="O345" i="30" s="1"/>
  <c r="O346" i="30" s="1"/>
  <c r="O347" i="30" s="1"/>
  <c r="O348" i="30" s="1"/>
  <c r="W334" i="30"/>
  <c r="O313" i="30"/>
  <c r="O314" i="30" s="1"/>
  <c r="O315" i="30" s="1"/>
  <c r="O316" i="30" s="1"/>
  <c r="O317" i="30" s="1"/>
  <c r="O318" i="30" s="1"/>
  <c r="O319" i="30" s="1"/>
  <c r="O320" i="30" s="1"/>
  <c r="O321" i="30" s="1"/>
  <c r="O322" i="30" s="1"/>
  <c r="O323" i="30" s="1"/>
  <c r="O324" i="30" s="1"/>
  <c r="O325" i="30" s="1"/>
  <c r="W311" i="30"/>
  <c r="O290" i="30"/>
  <c r="O291" i="30" s="1"/>
  <c r="O292" i="30" s="1"/>
  <c r="O293" i="30" s="1"/>
  <c r="O294" i="30" s="1"/>
  <c r="O295" i="30" s="1"/>
  <c r="O296" i="30" s="1"/>
  <c r="O297" i="30" s="1"/>
  <c r="O298" i="30" s="1"/>
  <c r="O299" i="30" s="1"/>
  <c r="O300" i="30" s="1"/>
  <c r="O301" i="30" s="1"/>
  <c r="O302" i="30" s="1"/>
  <c r="W288" i="30"/>
  <c r="O267" i="30"/>
  <c r="O268" i="30" s="1"/>
  <c r="O269" i="30" s="1"/>
  <c r="O270" i="30" s="1"/>
  <c r="O271" i="30" s="1"/>
  <c r="O272" i="30" s="1"/>
  <c r="O273" i="30" s="1"/>
  <c r="O274" i="30" s="1"/>
  <c r="O275" i="30" s="1"/>
  <c r="O276" i="30" s="1"/>
  <c r="O277" i="30" s="1"/>
  <c r="O278" i="30" s="1"/>
  <c r="O279" i="30" s="1"/>
  <c r="W265" i="30"/>
  <c r="O244" i="30"/>
  <c r="O245" i="30" s="1"/>
  <c r="O246" i="30" s="1"/>
  <c r="O247" i="30" s="1"/>
  <c r="O248" i="30" s="1"/>
  <c r="O249" i="30" s="1"/>
  <c r="O250" i="30" s="1"/>
  <c r="O251" i="30" s="1"/>
  <c r="O252" i="30" s="1"/>
  <c r="O253" i="30" s="1"/>
  <c r="O254" i="30" s="1"/>
  <c r="O255" i="30" s="1"/>
  <c r="O256" i="30" s="1"/>
  <c r="W242" i="30"/>
  <c r="O221" i="30"/>
  <c r="O222" i="30" s="1"/>
  <c r="O223" i="30" s="1"/>
  <c r="O224" i="30" s="1"/>
  <c r="O225" i="30" s="1"/>
  <c r="O226" i="30" s="1"/>
  <c r="O227" i="30" s="1"/>
  <c r="O228" i="30" s="1"/>
  <c r="O229" i="30" s="1"/>
  <c r="O230" i="30" s="1"/>
  <c r="O231" i="30" s="1"/>
  <c r="O232" i="30" s="1"/>
  <c r="O233" i="30" s="1"/>
  <c r="W219" i="30"/>
  <c r="O198" i="30"/>
  <c r="O199" i="30" s="1"/>
  <c r="O200" i="30" s="1"/>
  <c r="O201" i="30" s="1"/>
  <c r="O202" i="30" s="1"/>
  <c r="O203" i="30" s="1"/>
  <c r="O204" i="30" s="1"/>
  <c r="O205" i="30" s="1"/>
  <c r="O206" i="30" s="1"/>
  <c r="O207" i="30" s="1"/>
  <c r="O208" i="30" s="1"/>
  <c r="O209" i="30" s="1"/>
  <c r="O210" i="30" s="1"/>
  <c r="W196" i="30"/>
  <c r="O175" i="30"/>
  <c r="O176" i="30" s="1"/>
  <c r="O177" i="30" s="1"/>
  <c r="O178" i="30" s="1"/>
  <c r="O179" i="30" s="1"/>
  <c r="O180" i="30" s="1"/>
  <c r="O181" i="30" s="1"/>
  <c r="O182" i="30" s="1"/>
  <c r="O183" i="30" s="1"/>
  <c r="O184" i="30" s="1"/>
  <c r="O185" i="30" s="1"/>
  <c r="O186" i="30" s="1"/>
  <c r="O187" i="30" s="1"/>
  <c r="W173" i="30"/>
  <c r="O152" i="30"/>
  <c r="O153" i="30" s="1"/>
  <c r="O154" i="30" s="1"/>
  <c r="O155" i="30" s="1"/>
  <c r="O156" i="30" s="1"/>
  <c r="O157" i="30" s="1"/>
  <c r="O158" i="30" s="1"/>
  <c r="O159" i="30" s="1"/>
  <c r="O160" i="30" s="1"/>
  <c r="O161" i="30" s="1"/>
  <c r="O162" i="30" s="1"/>
  <c r="O163" i="30" s="1"/>
  <c r="O164" i="30" s="1"/>
  <c r="W150" i="30"/>
  <c r="O129" i="30"/>
  <c r="O130" i="30" s="1"/>
  <c r="O131" i="30" s="1"/>
  <c r="O132" i="30" s="1"/>
  <c r="O133" i="30" s="1"/>
  <c r="O134" i="30" s="1"/>
  <c r="O135" i="30" s="1"/>
  <c r="O136" i="30" s="1"/>
  <c r="O137" i="30" s="1"/>
  <c r="O138" i="30" s="1"/>
  <c r="O139" i="30" s="1"/>
  <c r="O140" i="30" s="1"/>
  <c r="O141" i="30" s="1"/>
  <c r="W127" i="30"/>
  <c r="O106" i="30"/>
  <c r="O107" i="30" s="1"/>
  <c r="O108" i="30" s="1"/>
  <c r="O109" i="30" s="1"/>
  <c r="O110" i="30" s="1"/>
  <c r="O111" i="30" s="1"/>
  <c r="O112" i="30" s="1"/>
  <c r="O113" i="30" s="1"/>
  <c r="O114" i="30" s="1"/>
  <c r="O115" i="30" s="1"/>
  <c r="O116" i="30" s="1"/>
  <c r="O117" i="30" s="1"/>
  <c r="O118" i="30" s="1"/>
  <c r="W104" i="30"/>
  <c r="O83" i="30"/>
  <c r="O84" i="30" s="1"/>
  <c r="O85" i="30" s="1"/>
  <c r="O86" i="30" s="1"/>
  <c r="O87" i="30" s="1"/>
  <c r="O88" i="30" s="1"/>
  <c r="O89" i="30" s="1"/>
  <c r="O90" i="30" s="1"/>
  <c r="O91" i="30" s="1"/>
  <c r="O92" i="30" s="1"/>
  <c r="O93" i="30" s="1"/>
  <c r="O94" i="30" s="1"/>
  <c r="O95" i="30" s="1"/>
  <c r="W81" i="30"/>
  <c r="O60" i="30"/>
  <c r="O61" i="30" s="1"/>
  <c r="O62" i="30" s="1"/>
  <c r="O63" i="30" s="1"/>
  <c r="O64" i="30" s="1"/>
  <c r="O65" i="30" s="1"/>
  <c r="O66" i="30" s="1"/>
  <c r="O67" i="30" s="1"/>
  <c r="O68" i="30" s="1"/>
  <c r="O69" i="30" s="1"/>
  <c r="O70" i="30" s="1"/>
  <c r="O71" i="30" s="1"/>
  <c r="O72" i="30" s="1"/>
  <c r="W58" i="30"/>
  <c r="B31" i="30"/>
  <c r="B54" i="30" s="1"/>
  <c r="B77" i="30" s="1"/>
  <c r="B100" i="30" s="1"/>
  <c r="B123" i="30" s="1"/>
  <c r="B146" i="30" s="1"/>
  <c r="B169" i="30" s="1"/>
  <c r="B192" i="30" s="1"/>
  <c r="B215" i="30" s="1"/>
  <c r="B238" i="30" s="1"/>
  <c r="B261" i="30" s="1"/>
  <c r="B284" i="30" s="1"/>
  <c r="B307" i="30" s="1"/>
  <c r="B330" i="30" s="1"/>
  <c r="B353" i="30" s="1"/>
  <c r="B376" i="30" s="1"/>
  <c r="B399" i="30" s="1"/>
  <c r="B422" i="30" s="1"/>
  <c r="B445" i="30" s="1"/>
  <c r="B468" i="30" s="1"/>
  <c r="B491" i="30" s="1"/>
  <c r="B514" i="30" s="1"/>
  <c r="B537" i="30" s="1"/>
  <c r="B560" i="30" s="1"/>
  <c r="B583" i="30" s="1"/>
  <c r="B606" i="30" s="1"/>
  <c r="B629" i="30" s="1"/>
  <c r="B652" i="30" s="1"/>
  <c r="B675" i="30" s="1"/>
  <c r="B698" i="30" s="1"/>
  <c r="B721" i="30" s="1"/>
  <c r="B744" i="30" s="1"/>
  <c r="B767" i="30" s="1"/>
  <c r="B790" i="30" s="1"/>
  <c r="B813" i="30" s="1"/>
  <c r="B836" i="30" s="1"/>
  <c r="B859" i="30" s="1"/>
  <c r="B882" i="30" s="1"/>
  <c r="B905" i="30" s="1"/>
  <c r="B928" i="30" s="1"/>
  <c r="O37" i="30"/>
  <c r="O38" i="30" s="1"/>
  <c r="O39" i="30" s="1"/>
  <c r="O40" i="30" s="1"/>
  <c r="O41" i="30" s="1"/>
  <c r="O42" i="30" s="1"/>
  <c r="O43" i="30" s="1"/>
  <c r="O44" i="30" s="1"/>
  <c r="O45" i="30" s="1"/>
  <c r="O46" i="30" s="1"/>
  <c r="O47" i="30" s="1"/>
  <c r="O48" i="30" s="1"/>
  <c r="O49" i="30" s="1"/>
  <c r="AW3" i="1"/>
  <c r="W126" i="31"/>
  <c r="I400" i="30"/>
  <c r="Q146" i="31"/>
  <c r="A143" i="31"/>
  <c r="I492" i="30"/>
  <c r="I239" i="30"/>
  <c r="M538" i="30"/>
  <c r="U145" i="31"/>
  <c r="I653" i="30"/>
  <c r="E216" i="30"/>
  <c r="W130" i="31"/>
  <c r="B515" i="30"/>
  <c r="E239" i="30"/>
  <c r="I860" i="30"/>
  <c r="J1132" i="34"/>
  <c r="S142" i="31"/>
  <c r="B607" i="30"/>
  <c r="F123" i="30"/>
  <c r="M446" i="30"/>
  <c r="M153" i="31"/>
  <c r="C109" i="33"/>
  <c r="I124" i="30"/>
  <c r="W131" i="31"/>
  <c r="M285" i="30"/>
  <c r="C107" i="33"/>
  <c r="E699" i="30"/>
  <c r="F192" i="30"/>
  <c r="M101" i="30"/>
  <c r="B78" i="30"/>
  <c r="E722" i="30"/>
  <c r="F514" i="30"/>
  <c r="F928" i="30"/>
  <c r="B144" i="31"/>
  <c r="I584" i="30"/>
  <c r="E124" i="30"/>
  <c r="H111" i="33"/>
  <c r="Q142" i="31"/>
  <c r="T145" i="31"/>
  <c r="H112" i="33"/>
  <c r="E354" i="30"/>
  <c r="F215" i="30"/>
  <c r="W128" i="31"/>
  <c r="I55" i="30"/>
  <c r="E745" i="30"/>
  <c r="F491" i="30"/>
  <c r="I331" i="30"/>
  <c r="E170" i="30"/>
  <c r="I153" i="31"/>
  <c r="F143" i="31"/>
  <c r="I630" i="30"/>
  <c r="C103" i="33"/>
  <c r="A110" i="33"/>
  <c r="I377" i="30"/>
  <c r="S147" i="31"/>
  <c r="M837" i="30"/>
  <c r="B929" i="30"/>
  <c r="F100" i="30"/>
  <c r="I515" i="30"/>
  <c r="Q143" i="31"/>
  <c r="F445" i="30"/>
  <c r="T142" i="31"/>
  <c r="A142" i="31"/>
  <c r="M791" i="30"/>
  <c r="B860" i="30"/>
  <c r="I103" i="33"/>
  <c r="E883" i="30"/>
  <c r="E55" i="30"/>
  <c r="A109" i="33"/>
  <c r="F238" i="30"/>
  <c r="M124" i="30"/>
  <c r="T143" i="31"/>
  <c r="B377" i="30"/>
  <c r="H107" i="33"/>
  <c r="I308" i="30"/>
  <c r="A108" i="33"/>
  <c r="E377" i="30"/>
  <c r="F152" i="31"/>
  <c r="E308" i="30"/>
  <c r="I423" i="30"/>
  <c r="C111" i="33"/>
  <c r="S144" i="31"/>
  <c r="F882" i="30"/>
  <c r="E630" i="30"/>
  <c r="B143" i="31"/>
  <c r="S141" i="31"/>
  <c r="M216" i="30"/>
  <c r="F54" i="30"/>
  <c r="A112" i="33"/>
  <c r="Q141" i="31"/>
  <c r="T146" i="31"/>
  <c r="I676" i="30"/>
  <c r="M78" i="30"/>
  <c r="B141" i="31"/>
  <c r="A147" i="31"/>
  <c r="B142" i="31"/>
  <c r="A111" i="33"/>
  <c r="C110" i="33"/>
  <c r="I929" i="30"/>
  <c r="C106" i="33"/>
  <c r="T147" i="31"/>
  <c r="E400" i="30"/>
  <c r="H108" i="33"/>
  <c r="U146" i="31"/>
  <c r="C104" i="33"/>
  <c r="T141" i="31"/>
  <c r="E791" i="30"/>
  <c r="M883" i="30"/>
  <c r="A107" i="33"/>
  <c r="F146" i="31"/>
  <c r="W127" i="31"/>
  <c r="F606" i="30"/>
  <c r="F145" i="31"/>
  <c r="I745" i="30"/>
  <c r="F147" i="31"/>
  <c r="B124" i="30"/>
  <c r="A144" i="31"/>
  <c r="I285" i="30"/>
  <c r="U143" i="31"/>
  <c r="B153" i="31"/>
  <c r="S145" i="31"/>
  <c r="B492" i="30"/>
  <c r="E469" i="30"/>
  <c r="A146" i="31"/>
  <c r="F144" i="31"/>
  <c r="U144" i="31"/>
  <c r="I538" i="30"/>
  <c r="I837" i="30"/>
  <c r="M55" i="30"/>
  <c r="U141" i="31"/>
  <c r="U142" i="31"/>
  <c r="Q144" i="31"/>
  <c r="I768" i="30"/>
  <c r="E676" i="30"/>
  <c r="M929" i="30"/>
  <c r="B145" i="31"/>
  <c r="B55" i="30"/>
  <c r="E147" i="30"/>
  <c r="I354" i="30"/>
  <c r="E331" i="30"/>
  <c r="H106" i="33"/>
  <c r="M745" i="30"/>
  <c r="B146" i="31"/>
  <c r="T144" i="31"/>
  <c r="Q145" i="31"/>
  <c r="M515" i="30"/>
  <c r="B147" i="31"/>
  <c r="U147" i="31"/>
  <c r="B768" i="30"/>
  <c r="F141" i="31"/>
  <c r="S146" i="31"/>
  <c r="F284" i="30"/>
  <c r="A106" i="33"/>
  <c r="F142" i="31"/>
  <c r="C112" i="33"/>
  <c r="H110" i="33"/>
  <c r="A145" i="31"/>
  <c r="Q147" i="31"/>
  <c r="E153" i="31"/>
  <c r="W129" i="31"/>
  <c r="W125" i="31"/>
  <c r="A141" i="31"/>
  <c r="H109" i="33"/>
  <c r="S143" i="31"/>
  <c r="M934" i="30" l="1"/>
  <c r="N934" i="30" s="1"/>
  <c r="M943" i="30"/>
  <c r="N943" i="30" s="1"/>
  <c r="M945" i="30"/>
  <c r="N945" i="30" s="1"/>
  <c r="M940" i="30"/>
  <c r="N940" i="30" s="1"/>
  <c r="M935" i="30"/>
  <c r="N935" i="30" s="1"/>
  <c r="M939" i="30"/>
  <c r="N939" i="30" s="1"/>
  <c r="M933" i="30"/>
  <c r="N933" i="30" s="1"/>
  <c r="M937" i="30"/>
  <c r="N937" i="30" s="1"/>
  <c r="M944" i="30"/>
  <c r="N944" i="30" s="1"/>
  <c r="M938" i="30"/>
  <c r="N938" i="30" s="1"/>
  <c r="M942" i="30"/>
  <c r="N942" i="30" s="1"/>
  <c r="M941" i="30"/>
  <c r="N941" i="30" s="1"/>
  <c r="M936" i="30"/>
  <c r="N936" i="30" s="1"/>
  <c r="M893" i="30"/>
  <c r="N893" i="30" s="1"/>
  <c r="M892" i="30"/>
  <c r="N892" i="30" s="1"/>
  <c r="M890" i="30"/>
  <c r="N890" i="30" s="1"/>
  <c r="M899" i="30"/>
  <c r="N899" i="30" s="1"/>
  <c r="M894" i="30"/>
  <c r="N894" i="30" s="1"/>
  <c r="M889" i="30"/>
  <c r="N889" i="30" s="1"/>
  <c r="M888" i="30"/>
  <c r="N888" i="30" s="1"/>
  <c r="M897" i="30"/>
  <c r="N897" i="30" s="1"/>
  <c r="M887" i="30"/>
  <c r="N887" i="30" s="1"/>
  <c r="M896" i="30"/>
  <c r="N896" i="30" s="1"/>
  <c r="M898" i="30"/>
  <c r="N898" i="30" s="1"/>
  <c r="M891" i="30"/>
  <c r="N891" i="30" s="1"/>
  <c r="M895" i="30"/>
  <c r="N895" i="30" s="1"/>
  <c r="M617" i="30"/>
  <c r="N617" i="30" s="1"/>
  <c r="M611" i="30"/>
  <c r="N611" i="30" s="1"/>
  <c r="M623" i="30"/>
  <c r="N623" i="30" s="1"/>
  <c r="M618" i="30"/>
  <c r="N618" i="30" s="1"/>
  <c r="M613" i="30"/>
  <c r="N613" i="30" s="1"/>
  <c r="M616" i="30"/>
  <c r="N616" i="30" s="1"/>
  <c r="M620" i="30"/>
  <c r="N620" i="30" s="1"/>
  <c r="M614" i="30"/>
  <c r="N614" i="30" s="1"/>
  <c r="M612" i="30"/>
  <c r="N612" i="30" s="1"/>
  <c r="M621" i="30"/>
  <c r="N621" i="30" s="1"/>
  <c r="M619" i="30"/>
  <c r="N619" i="30" s="1"/>
  <c r="M622" i="30"/>
  <c r="N622" i="30" s="1"/>
  <c r="M615" i="30"/>
  <c r="N615" i="30" s="1"/>
  <c r="M530" i="30"/>
  <c r="N530" i="30" s="1"/>
  <c r="M524" i="30"/>
  <c r="N524" i="30" s="1"/>
  <c r="M523" i="30"/>
  <c r="N523" i="30" s="1"/>
  <c r="M531" i="30"/>
  <c r="N531" i="30" s="1"/>
  <c r="M526" i="30"/>
  <c r="N526" i="30" s="1"/>
  <c r="M521" i="30"/>
  <c r="N521" i="30" s="1"/>
  <c r="M525" i="30"/>
  <c r="N525" i="30" s="1"/>
  <c r="M519" i="30"/>
  <c r="N519" i="30" s="1"/>
  <c r="M528" i="30"/>
  <c r="N528" i="30" s="1"/>
  <c r="M522" i="30"/>
  <c r="N522" i="30" s="1"/>
  <c r="M520" i="30"/>
  <c r="N520" i="30" s="1"/>
  <c r="M529" i="30"/>
  <c r="N529" i="30" s="1"/>
  <c r="M527" i="30"/>
  <c r="N527" i="30" s="1"/>
  <c r="M507" i="30"/>
  <c r="N507" i="30" s="1"/>
  <c r="M501" i="30"/>
  <c r="N501" i="30" s="1"/>
  <c r="M500" i="30"/>
  <c r="N500" i="30" s="1"/>
  <c r="M499" i="30"/>
  <c r="N499" i="30" s="1"/>
  <c r="M508" i="30"/>
  <c r="N508" i="30" s="1"/>
  <c r="M503" i="30"/>
  <c r="N503" i="30" s="1"/>
  <c r="M498" i="30"/>
  <c r="N498" i="30" s="1"/>
  <c r="M497" i="30"/>
  <c r="N497" i="30" s="1"/>
  <c r="M506" i="30"/>
  <c r="N506" i="30" s="1"/>
  <c r="M504" i="30"/>
  <c r="N504" i="30" s="1"/>
  <c r="M502" i="30"/>
  <c r="N502" i="30" s="1"/>
  <c r="M496" i="30"/>
  <c r="N496" i="30" s="1"/>
  <c r="M505" i="30"/>
  <c r="N505" i="30" s="1"/>
  <c r="G72" i="30"/>
  <c r="G118" i="30"/>
  <c r="X128" i="31"/>
  <c r="X125" i="31"/>
  <c r="X116" i="31"/>
  <c r="X127" i="31"/>
  <c r="X130" i="31"/>
  <c r="I146" i="31"/>
  <c r="I147" i="31"/>
  <c r="I144" i="31"/>
  <c r="I141" i="31"/>
  <c r="X129" i="31"/>
  <c r="I148" i="31"/>
  <c r="F148" i="31"/>
  <c r="I142" i="31"/>
  <c r="I143" i="31"/>
  <c r="X126" i="31"/>
  <c r="I145" i="31"/>
  <c r="X131" i="31"/>
  <c r="B184" i="31"/>
  <c r="A165" i="31"/>
  <c r="G155" i="31"/>
  <c r="A164" i="31"/>
  <c r="G165" i="31"/>
  <c r="K153" i="31"/>
  <c r="I155" i="31"/>
  <c r="N155" i="31"/>
  <c r="G153" i="31"/>
  <c r="I165" i="31"/>
  <c r="F155" i="31"/>
  <c r="K155" i="31"/>
  <c r="A153" i="31"/>
  <c r="D165" i="31"/>
  <c r="B155" i="31"/>
  <c r="M155" i="31"/>
  <c r="D153" i="31"/>
  <c r="M165" i="31"/>
  <c r="A155" i="31"/>
  <c r="K165" i="31"/>
  <c r="A1185" i="34"/>
  <c r="H113" i="33"/>
  <c r="A150" i="33"/>
  <c r="AR14" i="32"/>
  <c r="N948" i="30"/>
  <c r="E948" i="30"/>
  <c r="K947" i="30"/>
  <c r="S946" i="30"/>
  <c r="G946" i="30"/>
  <c r="S945" i="30"/>
  <c r="I945" i="30"/>
  <c r="U944" i="30"/>
  <c r="W943" i="30"/>
  <c r="A943" i="30"/>
  <c r="Q942" i="30"/>
  <c r="F942" i="30"/>
  <c r="S941" i="30"/>
  <c r="I941" i="30"/>
  <c r="U940" i="30"/>
  <c r="W939" i="30"/>
  <c r="A939" i="30"/>
  <c r="Q938" i="30"/>
  <c r="F938" i="30"/>
  <c r="S937" i="30"/>
  <c r="I937" i="30"/>
  <c r="U936" i="30"/>
  <c r="W935" i="30"/>
  <c r="A935" i="30"/>
  <c r="Q934" i="30"/>
  <c r="F934" i="30"/>
  <c r="S933" i="30"/>
  <c r="G933" i="30"/>
  <c r="I931" i="30"/>
  <c r="G929" i="30"/>
  <c r="W947" i="30"/>
  <c r="R943" i="30"/>
  <c r="T942" i="30"/>
  <c r="V941" i="30"/>
  <c r="X940" i="30"/>
  <c r="B940" i="30"/>
  <c r="R939" i="30"/>
  <c r="T938" i="30"/>
  <c r="K938" i="30"/>
  <c r="P936" i="30"/>
  <c r="G935" i="30"/>
  <c r="V933" i="30"/>
  <c r="N931" i="30"/>
  <c r="A936" i="30"/>
  <c r="F935" i="30"/>
  <c r="K933" i="30"/>
  <c r="I946" i="30"/>
  <c r="B943" i="30"/>
  <c r="T941" i="30"/>
  <c r="X939" i="30"/>
  <c r="R938" i="30"/>
  <c r="V936" i="30"/>
  <c r="X935" i="30"/>
  <c r="B935" i="30"/>
  <c r="T933" i="30"/>
  <c r="K931" i="30"/>
  <c r="M948" i="30"/>
  <c r="D948" i="30"/>
  <c r="I947" i="30"/>
  <c r="R946" i="30"/>
  <c r="F946" i="30"/>
  <c r="R945" i="30"/>
  <c r="G945" i="30"/>
  <c r="T944" i="30"/>
  <c r="K944" i="30"/>
  <c r="V943" i="30"/>
  <c r="X942" i="30"/>
  <c r="P942" i="30"/>
  <c r="B942" i="30"/>
  <c r="R941" i="30"/>
  <c r="G941" i="30"/>
  <c r="T940" i="30"/>
  <c r="K940" i="30"/>
  <c r="V939" i="30"/>
  <c r="X938" i="30"/>
  <c r="P938" i="30"/>
  <c r="B938" i="30"/>
  <c r="R937" i="30"/>
  <c r="G937" i="30"/>
  <c r="T936" i="30"/>
  <c r="K936" i="30"/>
  <c r="V935" i="30"/>
  <c r="X934" i="30"/>
  <c r="P934" i="30"/>
  <c r="B934" i="30"/>
  <c r="R933" i="30"/>
  <c r="F933" i="30"/>
  <c r="G931" i="30"/>
  <c r="R935" i="30"/>
  <c r="Q935" i="30"/>
  <c r="S934" i="30"/>
  <c r="M931" i="30"/>
  <c r="M947" i="30"/>
  <c r="T945" i="30"/>
  <c r="K945" i="30"/>
  <c r="X943" i="30"/>
  <c r="R942" i="30"/>
  <c r="G942" i="30"/>
  <c r="B939" i="30"/>
  <c r="L948" i="30"/>
  <c r="B948" i="30"/>
  <c r="G947" i="30"/>
  <c r="Q946" i="30"/>
  <c r="B946" i="30"/>
  <c r="Q945" i="30"/>
  <c r="F945" i="30"/>
  <c r="S944" i="30"/>
  <c r="I944" i="30"/>
  <c r="U943" i="30"/>
  <c r="W942" i="30"/>
  <c r="A942" i="30"/>
  <c r="Q941" i="30"/>
  <c r="F941" i="30"/>
  <c r="S940" i="30"/>
  <c r="I940" i="30"/>
  <c r="U939" i="30"/>
  <c r="W938" i="30"/>
  <c r="A938" i="30"/>
  <c r="Q937" i="30"/>
  <c r="F937" i="30"/>
  <c r="S936" i="30"/>
  <c r="I936" i="30"/>
  <c r="U935" i="30"/>
  <c r="W934" i="30"/>
  <c r="A934" i="30"/>
  <c r="Q933" i="30"/>
  <c r="B933" i="30"/>
  <c r="F931" i="30"/>
  <c r="D929" i="30"/>
  <c r="K934" i="30"/>
  <c r="U933" i="30"/>
  <c r="G948" i="30"/>
  <c r="V944" i="30"/>
  <c r="V940" i="30"/>
  <c r="G938" i="30"/>
  <c r="R934" i="30"/>
  <c r="K948" i="30"/>
  <c r="A948" i="30"/>
  <c r="F947" i="30"/>
  <c r="P946" i="30"/>
  <c r="M946" i="30" s="1"/>
  <c r="N946" i="30" s="1"/>
  <c r="A946" i="30"/>
  <c r="P945" i="30"/>
  <c r="B945" i="30"/>
  <c r="R944" i="30"/>
  <c r="G944" i="30"/>
  <c r="T943" i="30"/>
  <c r="K943" i="30"/>
  <c r="V942" i="30"/>
  <c r="X941" i="30"/>
  <c r="P941" i="30"/>
  <c r="B941" i="30"/>
  <c r="R940" i="30"/>
  <c r="G940" i="30"/>
  <c r="T939" i="30"/>
  <c r="K939" i="30"/>
  <c r="V938" i="30"/>
  <c r="X937" i="30"/>
  <c r="P937" i="30"/>
  <c r="B937" i="30"/>
  <c r="R936" i="30"/>
  <c r="G936" i="30"/>
  <c r="T935" i="30"/>
  <c r="K935" i="30"/>
  <c r="V934" i="30"/>
  <c r="X933" i="30"/>
  <c r="P933" i="30"/>
  <c r="A933" i="30"/>
  <c r="B931" i="30"/>
  <c r="T937" i="30"/>
  <c r="J948" i="30"/>
  <c r="A947" i="30"/>
  <c r="X945" i="30"/>
  <c r="A945" i="30"/>
  <c r="Q944" i="30"/>
  <c r="F944" i="30"/>
  <c r="S943" i="30"/>
  <c r="I943" i="30"/>
  <c r="U942" i="30"/>
  <c r="W941" i="30"/>
  <c r="A941" i="30"/>
  <c r="Q940" i="30"/>
  <c r="F940" i="30"/>
  <c r="S939" i="30"/>
  <c r="I939" i="30"/>
  <c r="U938" i="30"/>
  <c r="W937" i="30"/>
  <c r="A937" i="30"/>
  <c r="Q936" i="30"/>
  <c r="F936" i="30"/>
  <c r="S935" i="30"/>
  <c r="I935" i="30"/>
  <c r="U934" i="30"/>
  <c r="W933" i="30"/>
  <c r="A931" i="30"/>
  <c r="A929" i="30"/>
  <c r="I948" i="30"/>
  <c r="X946" i="30"/>
  <c r="W945" i="30"/>
  <c r="X944" i="30"/>
  <c r="P944" i="30"/>
  <c r="B944" i="30"/>
  <c r="G943" i="30"/>
  <c r="K942" i="30"/>
  <c r="P940" i="30"/>
  <c r="G939" i="30"/>
  <c r="V937" i="30"/>
  <c r="X936" i="30"/>
  <c r="B936" i="30"/>
  <c r="T934" i="30"/>
  <c r="I934" i="30"/>
  <c r="K929" i="30"/>
  <c r="T946" i="30"/>
  <c r="P943" i="30"/>
  <c r="K941" i="30"/>
  <c r="P939" i="30"/>
  <c r="K937" i="30"/>
  <c r="P935" i="30"/>
  <c r="G934" i="30"/>
  <c r="I933" i="30"/>
  <c r="H948" i="30"/>
  <c r="V947" i="30"/>
  <c r="U946" i="30"/>
  <c r="K946" i="30"/>
  <c r="U945" i="30"/>
  <c r="W944" i="30"/>
  <c r="A944" i="30"/>
  <c r="Q943" i="30"/>
  <c r="F943" i="30"/>
  <c r="S942" i="30"/>
  <c r="I942" i="30"/>
  <c r="U941" i="30"/>
  <c r="W940" i="30"/>
  <c r="A940" i="30"/>
  <c r="Q939" i="30"/>
  <c r="F939" i="30"/>
  <c r="S938" i="30"/>
  <c r="I938" i="30"/>
  <c r="U937" i="30"/>
  <c r="W936" i="30"/>
  <c r="G900" i="30"/>
  <c r="X900" i="30"/>
  <c r="G624" i="30"/>
  <c r="X624" i="30"/>
  <c r="G532" i="30"/>
  <c r="X532" i="30"/>
  <c r="G509" i="30"/>
  <c r="X509" i="30"/>
  <c r="G463" i="30"/>
  <c r="X463" i="30"/>
  <c r="G302" i="30"/>
  <c r="X302" i="30"/>
  <c r="G256" i="30"/>
  <c r="X256" i="30"/>
  <c r="X233" i="30"/>
  <c r="G233" i="30"/>
  <c r="G210" i="30"/>
  <c r="X210" i="30"/>
  <c r="G141" i="30"/>
  <c r="X141" i="30"/>
  <c r="X118" i="30"/>
  <c r="X72" i="30"/>
  <c r="Q887" i="30"/>
  <c r="Q611" i="30"/>
  <c r="Q621" i="30"/>
  <c r="Q889" i="30"/>
  <c r="Q894" i="30"/>
  <c r="Q622" i="30"/>
  <c r="Q614" i="30"/>
  <c r="Q612" i="30"/>
  <c r="Q618" i="30"/>
  <c r="Q898" i="30"/>
  <c r="Q892" i="30"/>
  <c r="Q615" i="30"/>
  <c r="Q617" i="30"/>
  <c r="Q891" i="30"/>
  <c r="Q900" i="30"/>
  <c r="Q890" i="30"/>
  <c r="Q895" i="30"/>
  <c r="Q899" i="30"/>
  <c r="Q623" i="30"/>
  <c r="Q896" i="30"/>
  <c r="Q620" i="30"/>
  <c r="Q897" i="30"/>
  <c r="Q624" i="30"/>
  <c r="Q893" i="30"/>
  <c r="Q619" i="30"/>
  <c r="Q616" i="30"/>
  <c r="Q888" i="30"/>
  <c r="Q613" i="30"/>
  <c r="Q521" i="30"/>
  <c r="Q532" i="30"/>
  <c r="Q500" i="30"/>
  <c r="Q509" i="30"/>
  <c r="Q525" i="30"/>
  <c r="Q524" i="30"/>
  <c r="Q522" i="30"/>
  <c r="Q498" i="30"/>
  <c r="Q503" i="30"/>
  <c r="Q523" i="30"/>
  <c r="Q508" i="30"/>
  <c r="Q506" i="30"/>
  <c r="Q497" i="30"/>
  <c r="Q502" i="30"/>
  <c r="Q530" i="30"/>
  <c r="Q519" i="30"/>
  <c r="Q496" i="30"/>
  <c r="Q531" i="30"/>
  <c r="Q526" i="30"/>
  <c r="Q499" i="30"/>
  <c r="Q520" i="30"/>
  <c r="Q528" i="30"/>
  <c r="Q505" i="30"/>
  <c r="Q501" i="30"/>
  <c r="Q507" i="30"/>
  <c r="Q529" i="30"/>
  <c r="Q527" i="30"/>
  <c r="Q504" i="30"/>
  <c r="Q244" i="30"/>
  <c r="M469" i="30"/>
  <c r="Q227" i="30"/>
  <c r="I906" i="30"/>
  <c r="S160" i="31"/>
  <c r="Q224" i="30"/>
  <c r="S158" i="31"/>
  <c r="I607" i="30"/>
  <c r="Q135" i="30"/>
  <c r="Q207" i="30"/>
  <c r="M722" i="30"/>
  <c r="Q301" i="30"/>
  <c r="C631" i="34"/>
  <c r="Q66" i="30"/>
  <c r="E906" i="30"/>
  <c r="B653" i="30"/>
  <c r="E78" i="30"/>
  <c r="Q460" i="30"/>
  <c r="M492" i="30"/>
  <c r="F583" i="30"/>
  <c r="Q131" i="30"/>
  <c r="E860" i="30"/>
  <c r="Q221" i="30"/>
  <c r="I561" i="30"/>
  <c r="Q299" i="30"/>
  <c r="F422" i="30"/>
  <c r="B162" i="31"/>
  <c r="T161" i="31"/>
  <c r="A122" i="33"/>
  <c r="F159" i="31"/>
  <c r="F168" i="31"/>
  <c r="Q129" i="30"/>
  <c r="Q107" i="30"/>
  <c r="Q204" i="30"/>
  <c r="B239" i="30"/>
  <c r="Q458" i="30"/>
  <c r="M607" i="30"/>
  <c r="F629" i="30"/>
  <c r="B883" i="30"/>
  <c r="Q140" i="30"/>
  <c r="F307" i="30"/>
  <c r="Q206" i="30"/>
  <c r="B308" i="30"/>
  <c r="C1045" i="34"/>
  <c r="Q457" i="30"/>
  <c r="C119" i="33"/>
  <c r="E492" i="30"/>
  <c r="I170" i="30"/>
  <c r="I883" i="30"/>
  <c r="F836" i="30"/>
  <c r="Q158" i="31"/>
  <c r="H837" i="34"/>
  <c r="I722" i="30"/>
  <c r="H631" i="34"/>
  <c r="I101" i="30"/>
  <c r="A161" i="31"/>
  <c r="C120" i="33"/>
  <c r="U157" i="31"/>
  <c r="Q225" i="30"/>
  <c r="A160" i="31"/>
  <c r="Q454" i="30"/>
  <c r="M169" i="31"/>
  <c r="Q136" i="30"/>
  <c r="F161" i="31"/>
  <c r="Q68" i="30"/>
  <c r="C126" i="33"/>
  <c r="H127" i="33"/>
  <c r="M354" i="30"/>
  <c r="Q69" i="30"/>
  <c r="Q115" i="30"/>
  <c r="M308" i="30"/>
  <c r="E193" i="30"/>
  <c r="H699" i="34"/>
  <c r="Q61" i="30"/>
  <c r="Q118" i="30"/>
  <c r="M193" i="30"/>
  <c r="C216" i="34"/>
  <c r="C1113" i="34"/>
  <c r="S162" i="31"/>
  <c r="B262" i="30"/>
  <c r="Q455" i="30"/>
  <c r="W144" i="31"/>
  <c r="Q60" i="30"/>
  <c r="Q111" i="30"/>
  <c r="B161" i="31"/>
  <c r="M584" i="30"/>
  <c r="H838" i="34"/>
  <c r="M262" i="30"/>
  <c r="C128" i="33"/>
  <c r="W147" i="31"/>
  <c r="E653" i="30"/>
  <c r="Q116" i="30"/>
  <c r="A157" i="31"/>
  <c r="Q162" i="31"/>
  <c r="B423" i="30"/>
  <c r="F163" i="31"/>
  <c r="Q199" i="30"/>
  <c r="F813" i="30"/>
  <c r="E446" i="30"/>
  <c r="H128" i="33"/>
  <c r="Q462" i="30"/>
  <c r="Q248" i="30"/>
  <c r="I446" i="30"/>
  <c r="Q134" i="30"/>
  <c r="F767" i="30"/>
  <c r="Q202" i="30"/>
  <c r="Q105" i="30"/>
  <c r="B791" i="30"/>
  <c r="Q461" i="30"/>
  <c r="I147" i="30"/>
  <c r="E169" i="31"/>
  <c r="W143" i="31"/>
  <c r="Q113" i="30"/>
  <c r="B699" i="30"/>
  <c r="B158" i="31"/>
  <c r="Q252" i="30"/>
  <c r="Q65" i="30"/>
  <c r="C124" i="33"/>
  <c r="Q456" i="30"/>
  <c r="Q220" i="30"/>
  <c r="Q63" i="30"/>
  <c r="H975" i="34"/>
  <c r="I791" i="30"/>
  <c r="B216" i="30"/>
  <c r="F859" i="30"/>
  <c r="Q209" i="30"/>
  <c r="B285" i="30"/>
  <c r="Q137" i="30"/>
  <c r="E837" i="30"/>
  <c r="Q300" i="30"/>
  <c r="F162" i="31"/>
  <c r="C700" i="34"/>
  <c r="I169" i="31"/>
  <c r="C148" i="34"/>
  <c r="F905" i="30"/>
  <c r="Q132" i="30"/>
  <c r="F675" i="30"/>
  <c r="Q200" i="30"/>
  <c r="Q62" i="30"/>
  <c r="F652" i="30"/>
  <c r="Q205" i="30"/>
  <c r="Q201" i="30"/>
  <c r="Q71" i="30"/>
  <c r="Q246" i="30"/>
  <c r="B630" i="30"/>
  <c r="F261" i="30"/>
  <c r="S161" i="31"/>
  <c r="B745" i="30"/>
  <c r="B400" i="30"/>
  <c r="Q67" i="30"/>
  <c r="B163" i="31"/>
  <c r="M423" i="30"/>
  <c r="M170" i="30"/>
  <c r="Q289" i="30"/>
  <c r="Q160" i="31"/>
  <c r="Q245" i="30"/>
  <c r="Q108" i="30"/>
  <c r="E584" i="30"/>
  <c r="T157" i="31"/>
  <c r="Q210" i="30"/>
  <c r="Q157" i="31"/>
  <c r="Q64" i="30"/>
  <c r="Q255" i="30"/>
  <c r="Q110" i="30"/>
  <c r="F721" i="30"/>
  <c r="C1183" i="34"/>
  <c r="S159" i="31"/>
  <c r="C424" i="34"/>
  <c r="F169" i="30"/>
  <c r="I699" i="30"/>
  <c r="B170" i="30"/>
  <c r="Q463" i="30"/>
  <c r="Q163" i="31"/>
  <c r="H286" i="34"/>
  <c r="Q450" i="30"/>
  <c r="Q70" i="30"/>
  <c r="M147" i="30"/>
  <c r="F353" i="30"/>
  <c r="F146" i="30"/>
  <c r="Q247" i="30"/>
  <c r="Q130" i="30"/>
  <c r="T159" i="31"/>
  <c r="B814" i="30"/>
  <c r="B101" i="30"/>
  <c r="C147" i="34"/>
  <c r="F468" i="30"/>
  <c r="Q141" i="30"/>
  <c r="H1044" i="34"/>
  <c r="Q112" i="30"/>
  <c r="I119" i="33"/>
  <c r="W146" i="31"/>
  <c r="B169" i="31"/>
  <c r="E423" i="30"/>
  <c r="F560" i="30"/>
  <c r="C976" i="34"/>
  <c r="Q294" i="30"/>
  <c r="W141" i="31"/>
  <c r="Q198" i="30"/>
  <c r="Q232" i="30"/>
  <c r="Q197" i="30"/>
  <c r="B354" i="30"/>
  <c r="M814" i="30"/>
  <c r="I216" i="30"/>
  <c r="A123" i="33"/>
  <c r="B159" i="31"/>
  <c r="Q297" i="30"/>
  <c r="B561" i="30"/>
  <c r="C127" i="33"/>
  <c r="E101" i="30"/>
  <c r="H906" i="34"/>
  <c r="C125" i="33"/>
  <c r="H1113" i="34"/>
  <c r="Q230" i="30"/>
  <c r="B147" i="30"/>
  <c r="H355" i="34"/>
  <c r="U160" i="31"/>
  <c r="H354" i="34"/>
  <c r="M676" i="30"/>
  <c r="F399" i="30"/>
  <c r="I262" i="30"/>
  <c r="Q228" i="30"/>
  <c r="F157" i="31"/>
  <c r="M768" i="30"/>
  <c r="Q128" i="30"/>
  <c r="E607" i="30"/>
  <c r="Q59" i="30"/>
  <c r="C355" i="34"/>
  <c r="B469" i="30"/>
  <c r="T163" i="31"/>
  <c r="Q243" i="30"/>
  <c r="S163" i="31"/>
  <c r="M331" i="30"/>
  <c r="Q250" i="30"/>
  <c r="C122" i="33"/>
  <c r="M860" i="30"/>
  <c r="B157" i="31"/>
  <c r="M400" i="30"/>
  <c r="C354" i="34"/>
  <c r="F790" i="30"/>
  <c r="M906" i="30"/>
  <c r="A124" i="33"/>
  <c r="Q253" i="30"/>
  <c r="E561" i="30"/>
  <c r="M377" i="30"/>
  <c r="B837" i="30"/>
  <c r="Q459" i="30"/>
  <c r="Q295" i="30"/>
  <c r="H122" i="33"/>
  <c r="B906" i="30"/>
  <c r="C493" i="34"/>
  <c r="Q254" i="30"/>
  <c r="A162" i="31"/>
  <c r="Q229" i="30"/>
  <c r="A163" i="31"/>
  <c r="B584" i="30"/>
  <c r="Q138" i="30"/>
  <c r="Q133" i="30"/>
  <c r="M561" i="30"/>
  <c r="B331" i="30"/>
  <c r="H123" i="33"/>
  <c r="Q233" i="30"/>
  <c r="F376" i="30"/>
  <c r="E768" i="30"/>
  <c r="M653" i="30"/>
  <c r="U158" i="31"/>
  <c r="Q298" i="30"/>
  <c r="F158" i="31"/>
  <c r="Q249" i="30"/>
  <c r="U162" i="31"/>
  <c r="H124" i="33"/>
  <c r="S157" i="31"/>
  <c r="F330" i="30"/>
  <c r="Q161" i="31"/>
  <c r="E515" i="30"/>
  <c r="H125" i="33"/>
  <c r="Q106" i="30"/>
  <c r="H217" i="34"/>
  <c r="E538" i="30"/>
  <c r="Q291" i="30"/>
  <c r="Q72" i="30"/>
  <c r="C1114" i="34"/>
  <c r="E929" i="30"/>
  <c r="F77" i="30"/>
  <c r="H1182" i="34"/>
  <c r="Q117" i="30"/>
  <c r="W142" i="31"/>
  <c r="Q226" i="30"/>
  <c r="Q251" i="30"/>
  <c r="E285" i="30"/>
  <c r="Q114" i="30"/>
  <c r="T162" i="31"/>
  <c r="Q109" i="30"/>
  <c r="Q208" i="30"/>
  <c r="Q290" i="30"/>
  <c r="U161" i="31"/>
  <c r="B722" i="30"/>
  <c r="F160" i="31"/>
  <c r="E814" i="30"/>
  <c r="Q302" i="30"/>
  <c r="F744" i="30"/>
  <c r="H126" i="33"/>
  <c r="B193" i="30"/>
  <c r="A159" i="31"/>
  <c r="F537" i="30"/>
  <c r="H147" i="34"/>
  <c r="E262" i="30"/>
  <c r="A128" i="33"/>
  <c r="M630" i="30"/>
  <c r="H148" i="34"/>
  <c r="Q453" i="30"/>
  <c r="C907" i="34"/>
  <c r="B160" i="31"/>
  <c r="B446" i="30"/>
  <c r="A158" i="31"/>
  <c r="Q451" i="30"/>
  <c r="Q452" i="30"/>
  <c r="F698" i="30"/>
  <c r="B538" i="30"/>
  <c r="I814" i="30"/>
  <c r="M699" i="30"/>
  <c r="Q159" i="31"/>
  <c r="T160" i="31"/>
  <c r="U159" i="31"/>
  <c r="Q223" i="30"/>
  <c r="A127" i="33"/>
  <c r="A126" i="33"/>
  <c r="Q139" i="30"/>
  <c r="Q203" i="30"/>
  <c r="T158" i="31"/>
  <c r="I193" i="30"/>
  <c r="U163" i="31"/>
  <c r="B676" i="30"/>
  <c r="Q293" i="30"/>
  <c r="M239" i="30"/>
  <c r="Q296" i="30"/>
  <c r="Q222" i="30"/>
  <c r="Q292" i="30"/>
  <c r="Q231" i="30"/>
  <c r="Q256" i="30"/>
  <c r="I469" i="30"/>
  <c r="W145" i="31"/>
  <c r="I78" i="30"/>
  <c r="A125" i="33"/>
  <c r="M921" i="30" l="1"/>
  <c r="N921" i="30" s="1"/>
  <c r="M910" i="30"/>
  <c r="N910" i="30" s="1"/>
  <c r="M919" i="30"/>
  <c r="N919" i="30" s="1"/>
  <c r="M922" i="30"/>
  <c r="N922" i="30" s="1"/>
  <c r="M917" i="30"/>
  <c r="N917" i="30" s="1"/>
  <c r="M912" i="30"/>
  <c r="N912" i="30" s="1"/>
  <c r="M911" i="30"/>
  <c r="N911" i="30" s="1"/>
  <c r="M915" i="30"/>
  <c r="N915" i="30" s="1"/>
  <c r="M916" i="30"/>
  <c r="N916" i="30" s="1"/>
  <c r="M920" i="30"/>
  <c r="N920" i="30" s="1"/>
  <c r="M914" i="30"/>
  <c r="N914" i="30" s="1"/>
  <c r="M918" i="30"/>
  <c r="N918" i="30" s="1"/>
  <c r="M913" i="30"/>
  <c r="N913" i="30" s="1"/>
  <c r="M871" i="30"/>
  <c r="N871" i="30" s="1"/>
  <c r="M866" i="30"/>
  <c r="N866" i="30" s="1"/>
  <c r="M875" i="30"/>
  <c r="N875" i="30" s="1"/>
  <c r="M870" i="30"/>
  <c r="N870" i="30" s="1"/>
  <c r="M865" i="30"/>
  <c r="N865" i="30" s="1"/>
  <c r="M864" i="30"/>
  <c r="N864" i="30" s="1"/>
  <c r="M868" i="30"/>
  <c r="N868" i="30" s="1"/>
  <c r="M867" i="30"/>
  <c r="N867" i="30" s="1"/>
  <c r="M876" i="30"/>
  <c r="N876" i="30" s="1"/>
  <c r="M869" i="30"/>
  <c r="N869" i="30" s="1"/>
  <c r="M873" i="30"/>
  <c r="N873" i="30" s="1"/>
  <c r="M874" i="30"/>
  <c r="N874" i="30" s="1"/>
  <c r="M872" i="30"/>
  <c r="N872" i="30" s="1"/>
  <c r="M852" i="30"/>
  <c r="N852" i="30" s="1"/>
  <c r="M846" i="30"/>
  <c r="N846" i="30" s="1"/>
  <c r="M844" i="30"/>
  <c r="N844" i="30" s="1"/>
  <c r="M853" i="30"/>
  <c r="N853" i="30" s="1"/>
  <c r="M848" i="30"/>
  <c r="N848" i="30" s="1"/>
  <c r="M843" i="30"/>
  <c r="N843" i="30" s="1"/>
  <c r="M847" i="30"/>
  <c r="N847" i="30" s="1"/>
  <c r="M851" i="30"/>
  <c r="N851" i="30" s="1"/>
  <c r="M845" i="30"/>
  <c r="N845" i="30" s="1"/>
  <c r="M842" i="30"/>
  <c r="N842" i="30" s="1"/>
  <c r="M841" i="30"/>
  <c r="N841" i="30" s="1"/>
  <c r="M850" i="30"/>
  <c r="N850" i="30" s="1"/>
  <c r="M849" i="30"/>
  <c r="N849" i="30" s="1"/>
  <c r="M829" i="30"/>
  <c r="N829" i="30" s="1"/>
  <c r="M824" i="30"/>
  <c r="N824" i="30" s="1"/>
  <c r="M823" i="30"/>
  <c r="N823" i="30" s="1"/>
  <c r="M818" i="30"/>
  <c r="N818" i="30" s="1"/>
  <c r="M822" i="30"/>
  <c r="N822" i="30" s="1"/>
  <c r="M821" i="30"/>
  <c r="N821" i="30" s="1"/>
  <c r="M830" i="30"/>
  <c r="N830" i="30" s="1"/>
  <c r="M825" i="30"/>
  <c r="N825" i="30" s="1"/>
  <c r="M820" i="30"/>
  <c r="N820" i="30" s="1"/>
  <c r="M819" i="30"/>
  <c r="N819" i="30" s="1"/>
  <c r="M828" i="30"/>
  <c r="N828" i="30" s="1"/>
  <c r="M827" i="30"/>
  <c r="N827" i="30" s="1"/>
  <c r="M826" i="30"/>
  <c r="N826" i="30" s="1"/>
  <c r="M798" i="30"/>
  <c r="N798" i="30" s="1"/>
  <c r="M807" i="30"/>
  <c r="N807" i="30" s="1"/>
  <c r="M802" i="30"/>
  <c r="N802" i="30" s="1"/>
  <c r="M797" i="30"/>
  <c r="N797" i="30" s="1"/>
  <c r="M800" i="30"/>
  <c r="N800" i="30" s="1"/>
  <c r="M799" i="30"/>
  <c r="N799" i="30" s="1"/>
  <c r="M803" i="30"/>
  <c r="N803" i="30" s="1"/>
  <c r="M801" i="30"/>
  <c r="N801" i="30" s="1"/>
  <c r="M805" i="30"/>
  <c r="N805" i="30" s="1"/>
  <c r="M806" i="30"/>
  <c r="N806" i="30" s="1"/>
  <c r="M796" i="30"/>
  <c r="N796" i="30" s="1"/>
  <c r="M795" i="30"/>
  <c r="N795" i="30" s="1"/>
  <c r="M804" i="30"/>
  <c r="N804" i="30" s="1"/>
  <c r="M773" i="30"/>
  <c r="N773" i="30" s="1"/>
  <c r="M782" i="30"/>
  <c r="N782" i="30" s="1"/>
  <c r="M781" i="30"/>
  <c r="N781" i="30" s="1"/>
  <c r="M784" i="30"/>
  <c r="N784" i="30" s="1"/>
  <c r="M779" i="30"/>
  <c r="N779" i="30" s="1"/>
  <c r="M774" i="30"/>
  <c r="N774" i="30" s="1"/>
  <c r="M772" i="30"/>
  <c r="N772" i="30" s="1"/>
  <c r="M778" i="30"/>
  <c r="N778" i="30" s="1"/>
  <c r="M777" i="30"/>
  <c r="N777" i="30" s="1"/>
  <c r="M776" i="30"/>
  <c r="N776" i="30" s="1"/>
  <c r="M783" i="30"/>
  <c r="N783" i="30" s="1"/>
  <c r="M780" i="30"/>
  <c r="N780" i="30" s="1"/>
  <c r="M775" i="30"/>
  <c r="N775" i="30" s="1"/>
  <c r="M750" i="30"/>
  <c r="N750" i="30" s="1"/>
  <c r="M753" i="30"/>
  <c r="N753" i="30" s="1"/>
  <c r="M752" i="30"/>
  <c r="N752" i="30" s="1"/>
  <c r="M761" i="30"/>
  <c r="N761" i="30" s="1"/>
  <c r="M756" i="30"/>
  <c r="N756" i="30" s="1"/>
  <c r="M751" i="30"/>
  <c r="N751" i="30" s="1"/>
  <c r="M755" i="30"/>
  <c r="N755" i="30" s="1"/>
  <c r="M754" i="30"/>
  <c r="N754" i="30" s="1"/>
  <c r="M758" i="30"/>
  <c r="N758" i="30" s="1"/>
  <c r="M749" i="30"/>
  <c r="N749" i="30" s="1"/>
  <c r="M757" i="30"/>
  <c r="N757" i="30" s="1"/>
  <c r="M760" i="30"/>
  <c r="N760" i="30" s="1"/>
  <c r="M759" i="30"/>
  <c r="N759" i="30" s="1"/>
  <c r="M737" i="30"/>
  <c r="N737" i="30" s="1"/>
  <c r="M727" i="30"/>
  <c r="N727" i="30" s="1"/>
  <c r="M731" i="30"/>
  <c r="N731" i="30" s="1"/>
  <c r="M730" i="30"/>
  <c r="N730" i="30" s="1"/>
  <c r="M738" i="30"/>
  <c r="N738" i="30" s="1"/>
  <c r="M733" i="30"/>
  <c r="N733" i="30" s="1"/>
  <c r="M728" i="30"/>
  <c r="N728" i="30" s="1"/>
  <c r="M732" i="30"/>
  <c r="N732" i="30" s="1"/>
  <c r="M736" i="30"/>
  <c r="N736" i="30" s="1"/>
  <c r="M726" i="30"/>
  <c r="N726" i="30" s="1"/>
  <c r="M735" i="30"/>
  <c r="N735" i="30" s="1"/>
  <c r="M734" i="30"/>
  <c r="N734" i="30" s="1"/>
  <c r="M729" i="30"/>
  <c r="N729" i="30" s="1"/>
  <c r="M704" i="30"/>
  <c r="N704" i="30" s="1"/>
  <c r="M703" i="30"/>
  <c r="N703" i="30" s="1"/>
  <c r="M707" i="30"/>
  <c r="N707" i="30" s="1"/>
  <c r="M706" i="30"/>
  <c r="N706" i="30" s="1"/>
  <c r="M715" i="30"/>
  <c r="N715" i="30" s="1"/>
  <c r="M710" i="30"/>
  <c r="N710" i="30" s="1"/>
  <c r="M705" i="30"/>
  <c r="N705" i="30" s="1"/>
  <c r="M714" i="30"/>
  <c r="N714" i="30" s="1"/>
  <c r="M713" i="30"/>
  <c r="N713" i="30" s="1"/>
  <c r="M712" i="30"/>
  <c r="N712" i="30" s="1"/>
  <c r="M711" i="30"/>
  <c r="N711" i="30" s="1"/>
  <c r="M709" i="30"/>
  <c r="N709" i="30" s="1"/>
  <c r="M708" i="30"/>
  <c r="N708" i="30" s="1"/>
  <c r="M691" i="30"/>
  <c r="N691" i="30" s="1"/>
  <c r="M685" i="30"/>
  <c r="N685" i="30" s="1"/>
  <c r="M692" i="30"/>
  <c r="N692" i="30" s="1"/>
  <c r="M687" i="30"/>
  <c r="N687" i="30" s="1"/>
  <c r="M682" i="30"/>
  <c r="N682" i="30" s="1"/>
  <c r="M681" i="30"/>
  <c r="N681" i="30" s="1"/>
  <c r="M690" i="30"/>
  <c r="N690" i="30" s="1"/>
  <c r="M684" i="30"/>
  <c r="N684" i="30" s="1"/>
  <c r="M683" i="30"/>
  <c r="N683" i="30" s="1"/>
  <c r="M686" i="30"/>
  <c r="N686" i="30" s="1"/>
  <c r="M680" i="30"/>
  <c r="N680" i="30" s="1"/>
  <c r="M689" i="30"/>
  <c r="N689" i="30" s="1"/>
  <c r="M688" i="30"/>
  <c r="N688" i="30" s="1"/>
  <c r="M658" i="30"/>
  <c r="N658" i="30" s="1"/>
  <c r="M667" i="30"/>
  <c r="N667" i="30" s="1"/>
  <c r="M669" i="30"/>
  <c r="N669" i="30" s="1"/>
  <c r="M664" i="30"/>
  <c r="N664" i="30" s="1"/>
  <c r="M659" i="30"/>
  <c r="N659" i="30" s="1"/>
  <c r="M663" i="30"/>
  <c r="N663" i="30" s="1"/>
  <c r="M657" i="30"/>
  <c r="N657" i="30" s="1"/>
  <c r="M666" i="30"/>
  <c r="N666" i="30" s="1"/>
  <c r="M668" i="30"/>
  <c r="N668" i="30" s="1"/>
  <c r="M662" i="30"/>
  <c r="N662" i="30" s="1"/>
  <c r="M661" i="30"/>
  <c r="N661" i="30" s="1"/>
  <c r="M665" i="30"/>
  <c r="N665" i="30" s="1"/>
  <c r="M660" i="30"/>
  <c r="N660" i="30" s="1"/>
  <c r="M639" i="30"/>
  <c r="N639" i="30" s="1"/>
  <c r="M643" i="30"/>
  <c r="N643" i="30" s="1"/>
  <c r="M642" i="30"/>
  <c r="N642" i="30" s="1"/>
  <c r="M646" i="30"/>
  <c r="N646" i="30" s="1"/>
  <c r="M641" i="30"/>
  <c r="N641" i="30" s="1"/>
  <c r="M636" i="30"/>
  <c r="N636" i="30" s="1"/>
  <c r="M634" i="30"/>
  <c r="N634" i="30" s="1"/>
  <c r="M644" i="30"/>
  <c r="N644" i="30" s="1"/>
  <c r="M645" i="30"/>
  <c r="N645" i="30" s="1"/>
  <c r="M640" i="30"/>
  <c r="N640" i="30" s="1"/>
  <c r="M635" i="30"/>
  <c r="N635" i="30" s="1"/>
  <c r="M638" i="30"/>
  <c r="N638" i="30" s="1"/>
  <c r="M637" i="30"/>
  <c r="N637" i="30" s="1"/>
  <c r="M589" i="30"/>
  <c r="N589" i="30" s="1"/>
  <c r="M600" i="30"/>
  <c r="N600" i="30" s="1"/>
  <c r="M595" i="30"/>
  <c r="N595" i="30" s="1"/>
  <c r="M590" i="30"/>
  <c r="N590" i="30" s="1"/>
  <c r="M598" i="30"/>
  <c r="N598" i="30" s="1"/>
  <c r="M592" i="30"/>
  <c r="N592" i="30" s="1"/>
  <c r="M596" i="30"/>
  <c r="N596" i="30" s="1"/>
  <c r="M594" i="30"/>
  <c r="N594" i="30" s="1"/>
  <c r="M588" i="30"/>
  <c r="N588" i="30" s="1"/>
  <c r="M597" i="30"/>
  <c r="N597" i="30" s="1"/>
  <c r="M591" i="30"/>
  <c r="N591" i="30" s="1"/>
  <c r="M599" i="30"/>
  <c r="N599" i="30" s="1"/>
  <c r="M593" i="30"/>
  <c r="N593" i="30" s="1"/>
  <c r="M566" i="30"/>
  <c r="N566" i="30" s="1"/>
  <c r="M565" i="30"/>
  <c r="N565" i="30" s="1"/>
  <c r="M577" i="30"/>
  <c r="N577" i="30" s="1"/>
  <c r="M572" i="30"/>
  <c r="N572" i="30" s="1"/>
  <c r="M567" i="30"/>
  <c r="N567" i="30" s="1"/>
  <c r="M571" i="30"/>
  <c r="N571" i="30" s="1"/>
  <c r="M570" i="30"/>
  <c r="N570" i="30" s="1"/>
  <c r="M569" i="30"/>
  <c r="N569" i="30" s="1"/>
  <c r="M576" i="30"/>
  <c r="N576" i="30" s="1"/>
  <c r="M575" i="30"/>
  <c r="N575" i="30" s="1"/>
  <c r="M574" i="30"/>
  <c r="N574" i="30" s="1"/>
  <c r="M568" i="30"/>
  <c r="N568" i="30" s="1"/>
  <c r="M573" i="30"/>
  <c r="N573" i="30" s="1"/>
  <c r="M553" i="30"/>
  <c r="N553" i="30" s="1"/>
  <c r="M552" i="30"/>
  <c r="N552" i="30" s="1"/>
  <c r="M550" i="30"/>
  <c r="N550" i="30" s="1"/>
  <c r="M554" i="30"/>
  <c r="N554" i="30" s="1"/>
  <c r="M549" i="30"/>
  <c r="N549" i="30" s="1"/>
  <c r="M544" i="30"/>
  <c r="N544" i="30" s="1"/>
  <c r="M548" i="30"/>
  <c r="N548" i="30" s="1"/>
  <c r="M543" i="30"/>
  <c r="N543" i="30" s="1"/>
  <c r="M547" i="30"/>
  <c r="N547" i="30" s="1"/>
  <c r="M542" i="30"/>
  <c r="N542" i="30" s="1"/>
  <c r="M545" i="30"/>
  <c r="N545" i="30" s="1"/>
  <c r="M551" i="30"/>
  <c r="N551" i="30" s="1"/>
  <c r="M546" i="30"/>
  <c r="N546" i="30" s="1"/>
  <c r="M474" i="30"/>
  <c r="N474" i="30" s="1"/>
  <c r="M483" i="30"/>
  <c r="N483" i="30" s="1"/>
  <c r="M477" i="30"/>
  <c r="N477" i="30" s="1"/>
  <c r="M485" i="30"/>
  <c r="N485" i="30" s="1"/>
  <c r="M480" i="30"/>
  <c r="N480" i="30" s="1"/>
  <c r="M475" i="30"/>
  <c r="N475" i="30" s="1"/>
  <c r="M479" i="30"/>
  <c r="N479" i="30" s="1"/>
  <c r="M473" i="30"/>
  <c r="N473" i="30" s="1"/>
  <c r="M482" i="30"/>
  <c r="N482" i="30" s="1"/>
  <c r="M484" i="30"/>
  <c r="N484" i="30" s="1"/>
  <c r="M478" i="30"/>
  <c r="N478" i="30" s="1"/>
  <c r="M481" i="30"/>
  <c r="N481" i="30" s="1"/>
  <c r="M476" i="30"/>
  <c r="N476" i="30" s="1"/>
  <c r="G95" i="30"/>
  <c r="X146" i="31"/>
  <c r="X141" i="31"/>
  <c r="X143" i="31"/>
  <c r="J184" i="34"/>
  <c r="A184" i="34" s="1"/>
  <c r="H185" i="34" s="1"/>
  <c r="J169" i="34"/>
  <c r="A169" i="34" s="1"/>
  <c r="H170" i="34" s="1"/>
  <c r="X132" i="31"/>
  <c r="G831" i="30"/>
  <c r="X831" i="30"/>
  <c r="I161" i="31"/>
  <c r="I158" i="31"/>
  <c r="J1012" i="34"/>
  <c r="A1012" i="34" s="1"/>
  <c r="A1013" i="34" s="1"/>
  <c r="J1025" i="34"/>
  <c r="A1025" i="34" s="1"/>
  <c r="I1026" i="34" s="1"/>
  <c r="J997" i="34"/>
  <c r="A997" i="34" s="1"/>
  <c r="I1010" i="34" s="1"/>
  <c r="J391" i="34"/>
  <c r="A391" i="34" s="1"/>
  <c r="I392" i="34" s="1"/>
  <c r="J376" i="34"/>
  <c r="A376" i="34" s="1"/>
  <c r="I389" i="34" s="1"/>
  <c r="J404" i="34"/>
  <c r="A404" i="34" s="1"/>
  <c r="C405" i="34" s="1"/>
  <c r="X147" i="31"/>
  <c r="I164" i="31"/>
  <c r="F164" i="31"/>
  <c r="X854" i="30"/>
  <c r="G854" i="30"/>
  <c r="X144" i="31"/>
  <c r="I159" i="31"/>
  <c r="J928" i="34"/>
  <c r="A928" i="34" s="1"/>
  <c r="C929" i="34" s="1"/>
  <c r="J943" i="34"/>
  <c r="A943" i="34" s="1"/>
  <c r="B942" i="34" s="1"/>
  <c r="J956" i="34"/>
  <c r="A956" i="34" s="1"/>
  <c r="J957" i="34" s="1"/>
  <c r="J1150" i="34"/>
  <c r="A1150" i="34" s="1"/>
  <c r="H1151" i="34" s="1"/>
  <c r="J1135" i="34"/>
  <c r="A1135" i="34" s="1"/>
  <c r="J1136" i="34" s="1"/>
  <c r="J1163" i="34"/>
  <c r="A1163" i="34" s="1"/>
  <c r="J1164" i="34" s="1"/>
  <c r="J721" i="34"/>
  <c r="A721" i="34" s="1"/>
  <c r="C722" i="34" s="1"/>
  <c r="J736" i="34"/>
  <c r="A736" i="34" s="1"/>
  <c r="B735" i="34" s="1"/>
  <c r="J749" i="34"/>
  <c r="A749" i="34" s="1"/>
  <c r="H750" i="34" s="1"/>
  <c r="X145" i="31"/>
  <c r="I157" i="31"/>
  <c r="G555" i="30"/>
  <c r="X555" i="30"/>
  <c r="I162" i="31"/>
  <c r="I160" i="31"/>
  <c r="G693" i="30"/>
  <c r="X693" i="30"/>
  <c r="G808" i="30"/>
  <c r="X808" i="30"/>
  <c r="X142" i="31"/>
  <c r="J1094" i="34"/>
  <c r="A1094" i="34" s="1"/>
  <c r="J1095" i="34" s="1"/>
  <c r="J1081" i="34"/>
  <c r="A1081" i="34" s="1"/>
  <c r="A1082" i="34" s="1"/>
  <c r="J1066" i="34"/>
  <c r="A1066" i="34" s="1"/>
  <c r="I1079" i="34" s="1"/>
  <c r="J197" i="34"/>
  <c r="A197" i="34" s="1"/>
  <c r="C198" i="34" s="1"/>
  <c r="I163" i="31"/>
  <c r="J859" i="34"/>
  <c r="A859" i="34" s="1"/>
  <c r="I872" i="34" s="1"/>
  <c r="J874" i="34"/>
  <c r="A874" i="34" s="1"/>
  <c r="A885" i="34" s="1"/>
  <c r="J887" i="34"/>
  <c r="A887" i="34" s="1"/>
  <c r="H888" i="34" s="1"/>
  <c r="G762" i="30"/>
  <c r="X762" i="30"/>
  <c r="F171" i="31"/>
  <c r="M171" i="31"/>
  <c r="I181" i="31"/>
  <c r="G169" i="31"/>
  <c r="I171" i="31"/>
  <c r="K169" i="31"/>
  <c r="K181" i="31"/>
  <c r="G181" i="31"/>
  <c r="A180" i="31"/>
  <c r="B171" i="31"/>
  <c r="G171" i="31"/>
  <c r="D181" i="31"/>
  <c r="A181" i="31"/>
  <c r="N171" i="31"/>
  <c r="A171" i="31"/>
  <c r="A169" i="31"/>
  <c r="B200" i="31"/>
  <c r="M181" i="31"/>
  <c r="D169" i="31"/>
  <c r="K171" i="31"/>
  <c r="J1204" i="34"/>
  <c r="A1204" i="34" s="1"/>
  <c r="B1203" i="34" s="1"/>
  <c r="J1219" i="34"/>
  <c r="A1219" i="34" s="1"/>
  <c r="A1230" i="34" s="1"/>
  <c r="J1232" i="34"/>
  <c r="A1232" i="34" s="1"/>
  <c r="A1233" i="34" s="1"/>
  <c r="A1254" i="34"/>
  <c r="H129" i="33"/>
  <c r="A166" i="33"/>
  <c r="AR15" i="32"/>
  <c r="X947" i="30"/>
  <c r="X923" i="30"/>
  <c r="G923" i="30"/>
  <c r="X877" i="30"/>
  <c r="G877" i="30"/>
  <c r="G785" i="30"/>
  <c r="X785" i="30"/>
  <c r="G739" i="30"/>
  <c r="X739" i="30"/>
  <c r="G716" i="30"/>
  <c r="X716" i="30"/>
  <c r="G670" i="30"/>
  <c r="X670" i="30"/>
  <c r="G647" i="30"/>
  <c r="X647" i="30"/>
  <c r="G601" i="30"/>
  <c r="X601" i="30"/>
  <c r="G578" i="30"/>
  <c r="X578" i="30"/>
  <c r="G486" i="30"/>
  <c r="X486" i="30"/>
  <c r="G440" i="30"/>
  <c r="X440" i="30"/>
  <c r="G417" i="30"/>
  <c r="X417" i="30"/>
  <c r="G394" i="30"/>
  <c r="X394" i="30"/>
  <c r="G371" i="30"/>
  <c r="X371" i="30"/>
  <c r="G348" i="30"/>
  <c r="X348" i="30"/>
  <c r="G325" i="30"/>
  <c r="X325" i="30"/>
  <c r="G279" i="30"/>
  <c r="X279" i="30"/>
  <c r="G187" i="30"/>
  <c r="X187" i="30"/>
  <c r="X164" i="30"/>
  <c r="G164" i="30"/>
  <c r="X95" i="30"/>
  <c r="Q911" i="30"/>
  <c r="Q922" i="30"/>
  <c r="Q921" i="30"/>
  <c r="Q920" i="30"/>
  <c r="Q916" i="30"/>
  <c r="Q914" i="30"/>
  <c r="Q913" i="30"/>
  <c r="Q917" i="30"/>
  <c r="Q919" i="30"/>
  <c r="Q915" i="30"/>
  <c r="Q918" i="30"/>
  <c r="Q912" i="30"/>
  <c r="Q923" i="30"/>
  <c r="Q910" i="30"/>
  <c r="Q705" i="30"/>
  <c r="Q646" i="30"/>
  <c r="Q682" i="30"/>
  <c r="Q687" i="30"/>
  <c r="Q821" i="30"/>
  <c r="Q806" i="30"/>
  <c r="Q864" i="30"/>
  <c r="Q819" i="30"/>
  <c r="Q644" i="30"/>
  <c r="Q758" i="30"/>
  <c r="Q707" i="30"/>
  <c r="Q595" i="30"/>
  <c r="Q691" i="30"/>
  <c r="Q669" i="30"/>
  <c r="Q665" i="30"/>
  <c r="Q823" i="30"/>
  <c r="Q757" i="30"/>
  <c r="Q594" i="30"/>
  <c r="Q688" i="30"/>
  <c r="Q685" i="30"/>
  <c r="Q712" i="30"/>
  <c r="Q727" i="30"/>
  <c r="Q830" i="30"/>
  <c r="Q713" i="30"/>
  <c r="Q728" i="30"/>
  <c r="Q824" i="30"/>
  <c r="Q762" i="30"/>
  <c r="Q645" i="30"/>
  <c r="Q871" i="30"/>
  <c r="Q647" i="30"/>
  <c r="Q754" i="30"/>
  <c r="Q693" i="30"/>
  <c r="Q683" i="30"/>
  <c r="Q755" i="30"/>
  <c r="Q710" i="30"/>
  <c r="Q663" i="30"/>
  <c r="Q818" i="30"/>
  <c r="Q666" i="30"/>
  <c r="Q869" i="30"/>
  <c r="Q658" i="30"/>
  <c r="Q689" i="30"/>
  <c r="Q600" i="30"/>
  <c r="Q730" i="30"/>
  <c r="Q782" i="30"/>
  <c r="Q703" i="30"/>
  <c r="Q759" i="30"/>
  <c r="Q761" i="30"/>
  <c r="Q668" i="30"/>
  <c r="Q851" i="30"/>
  <c r="Q708" i="30"/>
  <c r="Q739" i="30"/>
  <c r="Q876" i="30"/>
  <c r="Q850" i="30"/>
  <c r="Q843" i="30"/>
  <c r="Q853" i="30"/>
  <c r="Q726" i="30"/>
  <c r="Q734" i="30"/>
  <c r="Q808" i="30"/>
  <c r="Q865" i="30"/>
  <c r="Q874" i="30"/>
  <c r="Q736" i="30"/>
  <c r="Q636" i="30"/>
  <c r="Q826" i="30"/>
  <c r="Q804" i="30"/>
  <c r="Q852" i="30"/>
  <c r="Q825" i="30"/>
  <c r="Q781" i="30"/>
  <c r="Q827" i="30"/>
  <c r="Q803" i="30"/>
  <c r="Q588" i="30"/>
  <c r="Q795" i="30"/>
  <c r="Q849" i="30"/>
  <c r="Q807" i="30"/>
  <c r="Q681" i="30"/>
  <c r="Q716" i="30"/>
  <c r="Q706" i="30"/>
  <c r="Q590" i="30"/>
  <c r="Q641" i="30"/>
  <c r="Q772" i="30"/>
  <c r="Q799" i="30"/>
  <c r="Q779" i="30"/>
  <c r="Q831" i="30"/>
  <c r="Q659" i="30"/>
  <c r="Q692" i="30"/>
  <c r="Q690" i="30"/>
  <c r="Q601" i="30"/>
  <c r="Q642" i="30"/>
  <c r="Q785" i="30"/>
  <c r="Q634" i="30"/>
  <c r="Q662" i="30"/>
  <c r="Q643" i="30"/>
  <c r="Q639" i="30"/>
  <c r="Q802" i="30"/>
  <c r="Q597" i="30"/>
  <c r="Q598" i="30"/>
  <c r="Q847" i="30"/>
  <c r="Q749" i="30"/>
  <c r="Q751" i="30"/>
  <c r="Q822" i="30"/>
  <c r="Q854" i="30"/>
  <c r="Q756" i="30"/>
  <c r="Q801" i="30"/>
  <c r="Q667" i="30"/>
  <c r="Q635" i="30"/>
  <c r="Q773" i="30"/>
  <c r="Q670" i="30"/>
  <c r="Q715" i="30"/>
  <c r="Q778" i="30"/>
  <c r="Q599" i="30"/>
  <c r="Q841" i="30"/>
  <c r="Q596" i="30"/>
  <c r="Q680" i="30"/>
  <c r="Q657" i="30"/>
  <c r="Q805" i="30"/>
  <c r="Q729" i="30"/>
  <c r="Q752" i="30"/>
  <c r="Q875" i="30"/>
  <c r="Q711" i="30"/>
  <c r="Q820" i="30"/>
  <c r="Q797" i="30"/>
  <c r="Q798" i="30"/>
  <c r="Q738" i="30"/>
  <c r="Q760" i="30"/>
  <c r="Q780" i="30"/>
  <c r="Q733" i="30"/>
  <c r="Q846" i="30"/>
  <c r="Q776" i="30"/>
  <c r="Q753" i="30"/>
  <c r="Q714" i="30"/>
  <c r="Q784" i="30"/>
  <c r="Q866" i="30"/>
  <c r="Q593" i="30"/>
  <c r="Q872" i="30"/>
  <c r="Q828" i="30"/>
  <c r="Q777" i="30"/>
  <c r="Q867" i="30"/>
  <c r="Q842" i="30"/>
  <c r="Q873" i="30"/>
  <c r="Q704" i="30"/>
  <c r="Q845" i="30"/>
  <c r="Q589" i="30"/>
  <c r="Q731" i="30"/>
  <c r="Q592" i="30"/>
  <c r="Q783" i="30"/>
  <c r="Q868" i="30"/>
  <c r="Q686" i="30"/>
  <c r="Q750" i="30"/>
  <c r="Q591" i="30"/>
  <c r="Q709" i="30"/>
  <c r="Q800" i="30"/>
  <c r="Q774" i="30"/>
  <c r="Q737" i="30"/>
  <c r="Q870" i="30"/>
  <c r="Q844" i="30"/>
  <c r="Q735" i="30"/>
  <c r="Q796" i="30"/>
  <c r="Q637" i="30"/>
  <c r="Q660" i="30"/>
  <c r="Q829" i="30"/>
  <c r="Q640" i="30"/>
  <c r="Q638" i="30"/>
  <c r="Q732" i="30"/>
  <c r="Q877" i="30"/>
  <c r="Q848" i="30"/>
  <c r="Q661" i="30"/>
  <c r="Q684" i="30"/>
  <c r="Q664" i="30"/>
  <c r="Q775" i="30"/>
  <c r="Q484" i="30"/>
  <c r="Q574" i="30"/>
  <c r="Q570" i="30"/>
  <c r="Q475" i="30"/>
  <c r="Q544" i="30"/>
  <c r="Q567" i="30"/>
  <c r="Q571" i="30"/>
  <c r="Q482" i="30"/>
  <c r="Q546" i="30"/>
  <c r="Q473" i="30"/>
  <c r="Q483" i="30"/>
  <c r="Q550" i="30"/>
  <c r="Q575" i="30"/>
  <c r="Q476" i="30"/>
  <c r="Q480" i="30"/>
  <c r="Q477" i="30"/>
  <c r="Q543" i="30"/>
  <c r="Q542" i="30"/>
  <c r="Q548" i="30"/>
  <c r="Q554" i="30"/>
  <c r="Q547" i="30"/>
  <c r="Q569" i="30"/>
  <c r="Q474" i="30"/>
  <c r="Q555" i="30"/>
  <c r="Q565" i="30"/>
  <c r="Q549" i="30"/>
  <c r="Q576" i="30"/>
  <c r="Q486" i="30"/>
  <c r="Q577" i="30"/>
  <c r="Q568" i="30"/>
  <c r="Q478" i="30"/>
  <c r="Q566" i="30"/>
  <c r="Q553" i="30"/>
  <c r="Q573" i="30"/>
  <c r="Q552" i="30"/>
  <c r="Q479" i="30"/>
  <c r="Q545" i="30"/>
  <c r="Q572" i="30"/>
  <c r="Q481" i="30"/>
  <c r="Q485" i="30"/>
  <c r="Q578" i="30"/>
  <c r="Q551" i="30"/>
  <c r="Q362" i="30"/>
  <c r="Q93" i="30"/>
  <c r="Q174" i="30"/>
  <c r="Q335" i="30"/>
  <c r="U174" i="31"/>
  <c r="B177" i="31"/>
  <c r="Q179" i="31"/>
  <c r="C561" i="34"/>
  <c r="Q344" i="30"/>
  <c r="Q408" i="30"/>
  <c r="Q337" i="30"/>
  <c r="Q268" i="30"/>
  <c r="Q94" i="30"/>
  <c r="Q345" i="30"/>
  <c r="Q175" i="30"/>
  <c r="E185" i="31"/>
  <c r="C699" i="34"/>
  <c r="Q365" i="30"/>
  <c r="Q89" i="30"/>
  <c r="Q371" i="30"/>
  <c r="F179" i="31"/>
  <c r="Q156" i="30"/>
  <c r="T176" i="31"/>
  <c r="Q413" i="30"/>
  <c r="H1251" i="34"/>
  <c r="Q414" i="30"/>
  <c r="A175" i="31"/>
  <c r="Q409" i="30"/>
  <c r="Q82" i="30"/>
  <c r="Q336" i="30"/>
  <c r="Q154" i="30"/>
  <c r="C423" i="34"/>
  <c r="Q176" i="30"/>
  <c r="Q435" i="30"/>
  <c r="U177" i="31"/>
  <c r="Q180" i="30"/>
  <c r="Q363" i="30"/>
  <c r="Q182" i="30"/>
  <c r="Q417" i="30"/>
  <c r="A177" i="31"/>
  <c r="Q370" i="30"/>
  <c r="Q159" i="30"/>
  <c r="H1183" i="34"/>
  <c r="Q157" i="30"/>
  <c r="Q411" i="30"/>
  <c r="Q381" i="30"/>
  <c r="Q412" i="30"/>
  <c r="Q340" i="30"/>
  <c r="W159" i="31"/>
  <c r="Q382" i="30"/>
  <c r="C630" i="34"/>
  <c r="Q267" i="30"/>
  <c r="Q368" i="30"/>
  <c r="F174" i="31"/>
  <c r="Q406" i="30"/>
  <c r="Q347" i="30"/>
  <c r="Q318" i="30"/>
  <c r="Q278" i="30"/>
  <c r="I185" i="31"/>
  <c r="Q323" i="30"/>
  <c r="Q359" i="30"/>
  <c r="Q432" i="30"/>
  <c r="C217" i="34"/>
  <c r="C492" i="34"/>
  <c r="U178" i="31"/>
  <c r="F173" i="31"/>
  <c r="Q341" i="30"/>
  <c r="Q407" i="30"/>
  <c r="C141" i="33"/>
  <c r="A143" i="33"/>
  <c r="Q92" i="30"/>
  <c r="Q320" i="30"/>
  <c r="H144" i="33"/>
  <c r="Q427" i="30"/>
  <c r="H562" i="34"/>
  <c r="A140" i="33"/>
  <c r="H1045" i="34"/>
  <c r="Q181" i="30"/>
  <c r="W160" i="31"/>
  <c r="Q279" i="30"/>
  <c r="Q151" i="30"/>
  <c r="Q313" i="30"/>
  <c r="Q152" i="30"/>
  <c r="Q416" i="30"/>
  <c r="T173" i="31"/>
  <c r="F178" i="31"/>
  <c r="C975" i="34"/>
  <c r="F177" i="31"/>
  <c r="S175" i="31"/>
  <c r="Q314" i="30"/>
  <c r="W163" i="31"/>
  <c r="Q177" i="30"/>
  <c r="T175" i="31"/>
  <c r="Q366" i="30"/>
  <c r="Q266" i="30"/>
  <c r="C144" i="33"/>
  <c r="Q386" i="30"/>
  <c r="Q405" i="30"/>
  <c r="Q383" i="30"/>
  <c r="Q274" i="30"/>
  <c r="W158" i="31"/>
  <c r="H561" i="34"/>
  <c r="A138" i="33"/>
  <c r="Q434" i="30"/>
  <c r="Q321" i="30"/>
  <c r="Q339" i="30"/>
  <c r="H141" i="33"/>
  <c r="B179" i="31"/>
  <c r="U175" i="31"/>
  <c r="Q317" i="30"/>
  <c r="S177" i="31"/>
  <c r="A141" i="33"/>
  <c r="T178" i="31"/>
  <c r="H216" i="34"/>
  <c r="Q343" i="30"/>
  <c r="Q86" i="30"/>
  <c r="C1182" i="34"/>
  <c r="Q384" i="30"/>
  <c r="A144" i="33"/>
  <c r="B174" i="31"/>
  <c r="H1114" i="34"/>
  <c r="A176" i="31"/>
  <c r="J1201" i="34"/>
  <c r="A173" i="31"/>
  <c r="H700" i="34"/>
  <c r="H768" i="34"/>
  <c r="C1044" i="34"/>
  <c r="C286" i="34"/>
  <c r="Q155" i="30"/>
  <c r="A178" i="31"/>
  <c r="Q415" i="30"/>
  <c r="S173" i="31"/>
  <c r="Q392" i="30"/>
  <c r="C139" i="33"/>
  <c r="C1251" i="34"/>
  <c r="C769" i="34"/>
  <c r="Q367" i="30"/>
  <c r="W161" i="31"/>
  <c r="Q161" i="30"/>
  <c r="Q275" i="30"/>
  <c r="U179" i="31"/>
  <c r="Q174" i="31"/>
  <c r="C142" i="33"/>
  <c r="Q439" i="30"/>
  <c r="Q276" i="30"/>
  <c r="H143" i="33"/>
  <c r="Q440" i="30"/>
  <c r="Q175" i="31"/>
  <c r="T179" i="31"/>
  <c r="Q431" i="30"/>
  <c r="Q433" i="30"/>
  <c r="H907" i="34"/>
  <c r="Q158" i="30"/>
  <c r="U176" i="31"/>
  <c r="B178" i="31"/>
  <c r="S174" i="31"/>
  <c r="Q270" i="30"/>
  <c r="H142" i="33"/>
  <c r="F175" i="31"/>
  <c r="Q178" i="31"/>
  <c r="S176" i="31"/>
  <c r="Q164" i="30"/>
  <c r="Q176" i="31"/>
  <c r="Q87" i="30"/>
  <c r="Q177" i="31"/>
  <c r="Q364" i="30"/>
  <c r="Q88" i="30"/>
  <c r="C143" i="33"/>
  <c r="Q315" i="30"/>
  <c r="Q325" i="30"/>
  <c r="A142" i="33"/>
  <c r="Q179" i="30"/>
  <c r="Q394" i="30"/>
  <c r="F184" i="31"/>
  <c r="Q430" i="30"/>
  <c r="Q95" i="30"/>
  <c r="Q316" i="30"/>
  <c r="Q436" i="30"/>
  <c r="S178" i="31"/>
  <c r="Q369" i="30"/>
  <c r="Q84" i="30"/>
  <c r="H423" i="34"/>
  <c r="Q385" i="30"/>
  <c r="W162" i="31"/>
  <c r="Q404" i="30"/>
  <c r="Q173" i="31"/>
  <c r="Q324" i="30"/>
  <c r="Q178" i="30"/>
  <c r="H138" i="33"/>
  <c r="B175" i="31"/>
  <c r="Q90" i="30"/>
  <c r="Q319" i="30"/>
  <c r="Q391" i="30"/>
  <c r="Q389" i="30"/>
  <c r="Q437" i="30"/>
  <c r="Q271" i="30"/>
  <c r="H630" i="34"/>
  <c r="Q358" i="30"/>
  <c r="Q393" i="30"/>
  <c r="Q187" i="30"/>
  <c r="C768" i="34"/>
  <c r="Q273" i="30"/>
  <c r="Q361" i="30"/>
  <c r="H493" i="34"/>
  <c r="C140" i="33"/>
  <c r="Q388" i="30"/>
  <c r="C136" i="33"/>
  <c r="A174" i="31"/>
  <c r="I135" i="33"/>
  <c r="Q312" i="30"/>
  <c r="W157" i="31"/>
  <c r="T174" i="31"/>
  <c r="H976" i="34"/>
  <c r="Q183" i="30"/>
  <c r="M185" i="31"/>
  <c r="Q428" i="30"/>
  <c r="Q346" i="30"/>
  <c r="H140" i="33"/>
  <c r="A179" i="31"/>
  <c r="Q160" i="30"/>
  <c r="B176" i="31"/>
  <c r="Q410" i="30"/>
  <c r="Q360" i="30"/>
  <c r="Q269" i="30"/>
  <c r="Q438" i="30"/>
  <c r="Q163" i="30"/>
  <c r="H769" i="34"/>
  <c r="H424" i="34"/>
  <c r="Q83" i="30"/>
  <c r="Q85" i="30"/>
  <c r="C135" i="33"/>
  <c r="Q390" i="30"/>
  <c r="Q185" i="30"/>
  <c r="H139" i="33"/>
  <c r="Q277" i="30"/>
  <c r="Q342" i="30"/>
  <c r="C562" i="34"/>
  <c r="C906" i="34"/>
  <c r="C838" i="34"/>
  <c r="Q162" i="30"/>
  <c r="Q91" i="30"/>
  <c r="Q387" i="30"/>
  <c r="C285" i="34"/>
  <c r="Q272" i="30"/>
  <c r="Q338" i="30"/>
  <c r="Q186" i="30"/>
  <c r="B185" i="31"/>
  <c r="T177" i="31"/>
  <c r="H492" i="34"/>
  <c r="C837" i="34"/>
  <c r="Q184" i="30"/>
  <c r="B173" i="31"/>
  <c r="Q348" i="30"/>
  <c r="U173" i="31"/>
  <c r="F176" i="31"/>
  <c r="S179" i="31"/>
  <c r="H285" i="34"/>
  <c r="Q322" i="30"/>
  <c r="Q153" i="30"/>
  <c r="A139" i="33"/>
  <c r="Q429" i="30"/>
  <c r="J1013" i="34" l="1"/>
  <c r="B1024" i="34"/>
  <c r="A1035" i="34"/>
  <c r="A1026" i="34"/>
  <c r="C1013" i="34"/>
  <c r="H1013" i="34"/>
  <c r="J737" i="34"/>
  <c r="C737" i="34"/>
  <c r="A747" i="34"/>
  <c r="J405" i="34"/>
  <c r="X162" i="31"/>
  <c r="X157" i="31"/>
  <c r="I414" i="34"/>
  <c r="B403" i="34"/>
  <c r="X148" i="31"/>
  <c r="X163" i="31"/>
  <c r="H405" i="34"/>
  <c r="J1026" i="34"/>
  <c r="H1026" i="34"/>
  <c r="I1035" i="34"/>
  <c r="H998" i="34"/>
  <c r="A1010" i="34"/>
  <c r="I998" i="34"/>
  <c r="B1093" i="34"/>
  <c r="C1095" i="34"/>
  <c r="I954" i="34"/>
  <c r="A377" i="34"/>
  <c r="J998" i="34"/>
  <c r="I185" i="34"/>
  <c r="J185" i="34"/>
  <c r="I405" i="34"/>
  <c r="B996" i="34"/>
  <c r="A944" i="34"/>
  <c r="B375" i="34"/>
  <c r="A405" i="34"/>
  <c r="C998" i="34"/>
  <c r="J377" i="34"/>
  <c r="A389" i="34"/>
  <c r="A998" i="34"/>
  <c r="A414" i="34"/>
  <c r="C1082" i="34"/>
  <c r="C1233" i="34"/>
  <c r="I750" i="34"/>
  <c r="A1095" i="34"/>
  <c r="I1233" i="34"/>
  <c r="J1233" i="34"/>
  <c r="C875" i="34"/>
  <c r="J750" i="34"/>
  <c r="H198" i="34"/>
  <c r="B886" i="34"/>
  <c r="H1095" i="34"/>
  <c r="I759" i="34"/>
  <c r="A1104" i="34"/>
  <c r="I207" i="34"/>
  <c r="A897" i="34"/>
  <c r="I1104" i="34"/>
  <c r="A207" i="34"/>
  <c r="I897" i="34"/>
  <c r="I1095" i="34"/>
  <c r="I198" i="34"/>
  <c r="J929" i="34"/>
  <c r="A198" i="34"/>
  <c r="B196" i="34"/>
  <c r="J944" i="34"/>
  <c r="I1136" i="34"/>
  <c r="J198" i="34"/>
  <c r="I944" i="34"/>
  <c r="I195" i="34"/>
  <c r="J722" i="34"/>
  <c r="A954" i="34"/>
  <c r="A1151" i="34"/>
  <c r="I734" i="34"/>
  <c r="C185" i="34"/>
  <c r="A722" i="34"/>
  <c r="B1149" i="34"/>
  <c r="I1161" i="34"/>
  <c r="H944" i="34"/>
  <c r="A392" i="34"/>
  <c r="H722" i="34"/>
  <c r="A957" i="34"/>
  <c r="J1082" i="34"/>
  <c r="A1148" i="34"/>
  <c r="A195" i="34"/>
  <c r="J1151" i="34"/>
  <c r="C944" i="34"/>
  <c r="B390" i="34"/>
  <c r="A734" i="34"/>
  <c r="A966" i="34"/>
  <c r="B1080" i="34"/>
  <c r="A1136" i="34"/>
  <c r="B720" i="34"/>
  <c r="A402" i="34"/>
  <c r="I966" i="34"/>
  <c r="I1092" i="34"/>
  <c r="I1148" i="34"/>
  <c r="A1092" i="34"/>
  <c r="H957" i="34"/>
  <c r="C392" i="34"/>
  <c r="C1136" i="34"/>
  <c r="H392" i="34"/>
  <c r="A1164" i="34"/>
  <c r="I1164" i="34"/>
  <c r="J170" i="34"/>
  <c r="I170" i="34"/>
  <c r="B1065" i="34"/>
  <c r="A182" i="34"/>
  <c r="H377" i="34"/>
  <c r="H860" i="34"/>
  <c r="I1013" i="34"/>
  <c r="I1067" i="34"/>
  <c r="I1173" i="34"/>
  <c r="I722" i="34"/>
  <c r="I1151" i="34"/>
  <c r="J392" i="34"/>
  <c r="I402" i="34"/>
  <c r="C1151" i="34"/>
  <c r="I957" i="34"/>
  <c r="B955" i="34"/>
  <c r="H1082" i="34"/>
  <c r="H1067" i="34"/>
  <c r="J1067" i="34"/>
  <c r="H1164" i="34"/>
  <c r="A170" i="34"/>
  <c r="I377" i="34"/>
  <c r="A872" i="34"/>
  <c r="A1023" i="34"/>
  <c r="A1067" i="34"/>
  <c r="B1162" i="34"/>
  <c r="B168" i="34"/>
  <c r="C1164" i="34"/>
  <c r="C170" i="34"/>
  <c r="I182" i="34"/>
  <c r="C377" i="34"/>
  <c r="B873" i="34"/>
  <c r="C1026" i="34"/>
  <c r="C1067" i="34"/>
  <c r="A1173" i="34"/>
  <c r="C957" i="34"/>
  <c r="A1079" i="34"/>
  <c r="I1242" i="34"/>
  <c r="X159" i="31"/>
  <c r="I179" i="31"/>
  <c r="X161" i="31"/>
  <c r="I178" i="31"/>
  <c r="I180" i="31"/>
  <c r="F180" i="31"/>
  <c r="J335" i="34"/>
  <c r="A335" i="34" s="1"/>
  <c r="I336" i="34" s="1"/>
  <c r="J307" i="34"/>
  <c r="A307" i="34" s="1"/>
  <c r="H308" i="34" s="1"/>
  <c r="J322" i="34"/>
  <c r="A322" i="34" s="1"/>
  <c r="H323" i="34" s="1"/>
  <c r="J445" i="34"/>
  <c r="A445" i="34" s="1"/>
  <c r="A446" i="34" s="1"/>
  <c r="J460" i="34"/>
  <c r="A460" i="34" s="1"/>
  <c r="J461" i="34" s="1"/>
  <c r="J473" i="34"/>
  <c r="A473" i="34" s="1"/>
  <c r="A483" i="34" s="1"/>
  <c r="J667" i="34"/>
  <c r="A667" i="34" s="1"/>
  <c r="J652" i="34"/>
  <c r="A652" i="34" s="1"/>
  <c r="J680" i="34"/>
  <c r="A680" i="34" s="1"/>
  <c r="I174" i="31"/>
  <c r="I175" i="31"/>
  <c r="I173" i="31"/>
  <c r="X160" i="31"/>
  <c r="I177" i="31"/>
  <c r="X158" i="31"/>
  <c r="J266" i="34"/>
  <c r="A266" i="34" s="1"/>
  <c r="A276" i="34" s="1"/>
  <c r="J238" i="34"/>
  <c r="A238" i="34" s="1"/>
  <c r="A251" i="34" s="1"/>
  <c r="J253" i="34"/>
  <c r="A253" i="34" s="1"/>
  <c r="B252" i="34" s="1"/>
  <c r="J514" i="34"/>
  <c r="A514" i="34" s="1"/>
  <c r="A515" i="34" s="1"/>
  <c r="J529" i="34"/>
  <c r="A529" i="34" s="1"/>
  <c r="H530" i="34" s="1"/>
  <c r="J542" i="34"/>
  <c r="A542" i="34" s="1"/>
  <c r="J805" i="34"/>
  <c r="A805" i="34" s="1"/>
  <c r="A816" i="34" s="1"/>
  <c r="J790" i="34"/>
  <c r="A790" i="34" s="1"/>
  <c r="J818" i="34"/>
  <c r="A818" i="34" s="1"/>
  <c r="J819" i="34" s="1"/>
  <c r="J598" i="34"/>
  <c r="A598" i="34" s="1"/>
  <c r="A599" i="34" s="1"/>
  <c r="J611" i="34"/>
  <c r="A611" i="34" s="1"/>
  <c r="A621" i="34" s="1"/>
  <c r="J583" i="34"/>
  <c r="A583" i="34" s="1"/>
  <c r="I596" i="34" s="1"/>
  <c r="I176" i="31"/>
  <c r="H929" i="34"/>
  <c r="I929" i="34"/>
  <c r="A941" i="34"/>
  <c r="B216" i="31"/>
  <c r="A929" i="34"/>
  <c r="J860" i="34"/>
  <c r="B927" i="34"/>
  <c r="A185" i="31"/>
  <c r="A187" i="31"/>
  <c r="A860" i="34"/>
  <c r="I941" i="34"/>
  <c r="N187" i="31"/>
  <c r="I860" i="34"/>
  <c r="B858" i="34"/>
  <c r="A197" i="31"/>
  <c r="C860" i="34"/>
  <c r="D197" i="31"/>
  <c r="G187" i="31"/>
  <c r="I875" i="34"/>
  <c r="A1242" i="34"/>
  <c r="B187" i="31"/>
  <c r="A196" i="31"/>
  <c r="H737" i="34"/>
  <c r="A875" i="34"/>
  <c r="G197" i="31"/>
  <c r="J875" i="34"/>
  <c r="K197" i="31"/>
  <c r="K185" i="31"/>
  <c r="I737" i="34"/>
  <c r="I885" i="34"/>
  <c r="I187" i="31"/>
  <c r="I747" i="34"/>
  <c r="H875" i="34"/>
  <c r="G185" i="31"/>
  <c r="A737" i="34"/>
  <c r="I888" i="34"/>
  <c r="I197" i="31"/>
  <c r="K187" i="31"/>
  <c r="M187" i="31"/>
  <c r="B183" i="34"/>
  <c r="A759" i="34"/>
  <c r="J888" i="34"/>
  <c r="I1082" i="34"/>
  <c r="A1161" i="34"/>
  <c r="D185" i="31"/>
  <c r="F187" i="31"/>
  <c r="A185" i="34"/>
  <c r="B748" i="34"/>
  <c r="A888" i="34"/>
  <c r="M197" i="31"/>
  <c r="A750" i="34"/>
  <c r="B1011" i="34"/>
  <c r="H1136" i="34"/>
  <c r="C750" i="34"/>
  <c r="C888" i="34"/>
  <c r="I1023" i="34"/>
  <c r="B1134" i="34"/>
  <c r="B1231" i="34"/>
  <c r="H1233" i="34"/>
  <c r="B1218" i="34"/>
  <c r="I1220" i="34"/>
  <c r="I1205" i="34"/>
  <c r="H1205" i="34"/>
  <c r="A1220" i="34"/>
  <c r="A1217" i="34"/>
  <c r="C1220" i="34"/>
  <c r="C1205" i="34"/>
  <c r="I1230" i="34"/>
  <c r="A1205" i="34"/>
  <c r="H1220" i="34"/>
  <c r="I1217" i="34"/>
  <c r="J1288" i="34"/>
  <c r="A1288" i="34" s="1"/>
  <c r="J1301" i="34"/>
  <c r="A1301" i="34" s="1"/>
  <c r="J1273" i="34"/>
  <c r="A1273" i="34" s="1"/>
  <c r="J1205" i="34"/>
  <c r="J1220" i="34"/>
  <c r="A1323" i="34"/>
  <c r="H145" i="33"/>
  <c r="A182" i="33"/>
  <c r="AR16" i="32"/>
  <c r="C758" i="34"/>
  <c r="C201" i="34"/>
  <c r="H409" i="34"/>
  <c r="C155" i="33"/>
  <c r="H202" i="34"/>
  <c r="C156" i="33"/>
  <c r="H1320" i="34"/>
  <c r="J1270" i="34"/>
  <c r="S194" i="31"/>
  <c r="H158" i="33"/>
  <c r="B194" i="31"/>
  <c r="C756" i="34"/>
  <c r="C752" i="34"/>
  <c r="B193" i="31"/>
  <c r="H410" i="34"/>
  <c r="H753" i="34"/>
  <c r="H1321" i="34"/>
  <c r="Q194" i="31"/>
  <c r="B201" i="31"/>
  <c r="S189" i="31"/>
  <c r="F192" i="31"/>
  <c r="H756" i="34"/>
  <c r="C1320" i="34"/>
  <c r="H411" i="34"/>
  <c r="C412" i="34"/>
  <c r="H408" i="34"/>
  <c r="T189" i="31"/>
  <c r="F193" i="31"/>
  <c r="H157" i="33"/>
  <c r="A159" i="33"/>
  <c r="A160" i="33"/>
  <c r="S191" i="31"/>
  <c r="H413" i="34"/>
  <c r="A193" i="31"/>
  <c r="F190" i="31"/>
  <c r="C203" i="34"/>
  <c r="A757" i="34"/>
  <c r="T193" i="31"/>
  <c r="C206" i="34"/>
  <c r="Q193" i="31"/>
  <c r="B189" i="31"/>
  <c r="C409" i="34"/>
  <c r="F189" i="31"/>
  <c r="C152" i="33"/>
  <c r="H343" i="34"/>
  <c r="C753" i="34"/>
  <c r="A194" i="31"/>
  <c r="C160" i="33"/>
  <c r="H156" i="33"/>
  <c r="C205" i="34"/>
  <c r="C411" i="34"/>
  <c r="C200" i="34"/>
  <c r="H754" i="34"/>
  <c r="A206" i="34"/>
  <c r="B195" i="31"/>
  <c r="A189" i="31"/>
  <c r="H1252" i="34"/>
  <c r="A752" i="34"/>
  <c r="A155" i="33"/>
  <c r="B190" i="31"/>
  <c r="U195" i="31"/>
  <c r="F195" i="31"/>
  <c r="A154" i="33"/>
  <c r="T195" i="31"/>
  <c r="U194" i="31"/>
  <c r="H407" i="34"/>
  <c r="A205" i="34"/>
  <c r="T194" i="31"/>
  <c r="H154" i="33"/>
  <c r="H412" i="34"/>
  <c r="C410" i="34"/>
  <c r="C204" i="34"/>
  <c r="C202" i="34"/>
  <c r="H203" i="34"/>
  <c r="Q191" i="31"/>
  <c r="A203" i="34"/>
  <c r="B191" i="31"/>
  <c r="A156" i="33"/>
  <c r="H752" i="34"/>
  <c r="A191" i="31"/>
  <c r="S192" i="31"/>
  <c r="A410" i="34"/>
  <c r="J1339" i="34"/>
  <c r="H201" i="34"/>
  <c r="W175" i="31"/>
  <c r="W176" i="31"/>
  <c r="U190" i="31"/>
  <c r="S193" i="31"/>
  <c r="A615" i="34"/>
  <c r="C754" i="34"/>
  <c r="A190" i="31"/>
  <c r="H159" i="33"/>
  <c r="H755" i="34"/>
  <c r="A411" i="34"/>
  <c r="H160" i="33"/>
  <c r="A758" i="34"/>
  <c r="M201" i="31"/>
  <c r="A756" i="34"/>
  <c r="A407" i="34"/>
  <c r="C1321" i="34"/>
  <c r="H205" i="34"/>
  <c r="H758" i="34"/>
  <c r="C757" i="34"/>
  <c r="H204" i="34"/>
  <c r="A192" i="31"/>
  <c r="W179" i="31"/>
  <c r="C755" i="34"/>
  <c r="C407" i="34"/>
  <c r="A201" i="34"/>
  <c r="A755" i="34"/>
  <c r="A753" i="34"/>
  <c r="T190" i="31"/>
  <c r="A157" i="33"/>
  <c r="H200" i="34"/>
  <c r="W177" i="31"/>
  <c r="U191" i="31"/>
  <c r="C159" i="33"/>
  <c r="A754" i="34"/>
  <c r="C157" i="33"/>
  <c r="A158" i="33"/>
  <c r="F200" i="31"/>
  <c r="E201" i="31"/>
  <c r="A412" i="34"/>
  <c r="F191" i="31"/>
  <c r="A202" i="34"/>
  <c r="S195" i="31"/>
  <c r="H155" i="33"/>
  <c r="A200" i="34"/>
  <c r="H757" i="34"/>
  <c r="B192" i="31"/>
  <c r="W178" i="31"/>
  <c r="Q190" i="31"/>
  <c r="C1252" i="34"/>
  <c r="A409" i="34"/>
  <c r="T191" i="31"/>
  <c r="W174" i="31"/>
  <c r="H206" i="34"/>
  <c r="S190" i="31"/>
  <c r="T192" i="31"/>
  <c r="C408" i="34"/>
  <c r="U193" i="31"/>
  <c r="C151" i="33"/>
  <c r="A204" i="34"/>
  <c r="A408" i="34"/>
  <c r="Q189" i="31"/>
  <c r="Q192" i="31"/>
  <c r="U189" i="31"/>
  <c r="A413" i="34"/>
  <c r="C154" i="33"/>
  <c r="Q195" i="31"/>
  <c r="I151" i="33"/>
  <c r="C158" i="33"/>
  <c r="A195" i="31"/>
  <c r="F194" i="31"/>
  <c r="U192" i="31"/>
  <c r="W173" i="31"/>
  <c r="C413" i="34"/>
  <c r="I201" i="31"/>
  <c r="A549" i="34"/>
  <c r="H759" i="34" l="1"/>
  <c r="I446" i="34"/>
  <c r="B444" i="34"/>
  <c r="X177" i="31"/>
  <c r="C336" i="34"/>
  <c r="I599" i="34"/>
  <c r="A584" i="34"/>
  <c r="B597" i="34"/>
  <c r="I609" i="34"/>
  <c r="A609" i="34"/>
  <c r="C599" i="34"/>
  <c r="H599" i="34"/>
  <c r="X179" i="31"/>
  <c r="A308" i="34"/>
  <c r="B306" i="34"/>
  <c r="J308" i="34"/>
  <c r="H207" i="34"/>
  <c r="H414" i="34"/>
  <c r="X174" i="31"/>
  <c r="X176" i="31"/>
  <c r="J599" i="34"/>
  <c r="H474" i="34"/>
  <c r="I483" i="34"/>
  <c r="A474" i="34"/>
  <c r="H446" i="34"/>
  <c r="H584" i="34"/>
  <c r="A458" i="34"/>
  <c r="I584" i="34"/>
  <c r="J584" i="34"/>
  <c r="A320" i="34"/>
  <c r="I308" i="34"/>
  <c r="B334" i="34"/>
  <c r="H336" i="34"/>
  <c r="A819" i="34"/>
  <c r="I345" i="34"/>
  <c r="I461" i="34"/>
  <c r="C819" i="34"/>
  <c r="I471" i="34"/>
  <c r="H461" i="34"/>
  <c r="C474" i="34"/>
  <c r="A806" i="34"/>
  <c r="I806" i="34"/>
  <c r="B472" i="34"/>
  <c r="B804" i="34"/>
  <c r="I816" i="34"/>
  <c r="H254" i="34"/>
  <c r="H267" i="34"/>
  <c r="I276" i="34"/>
  <c r="A596" i="34"/>
  <c r="B582" i="34"/>
  <c r="C308" i="34"/>
  <c r="I320" i="34"/>
  <c r="C267" i="34"/>
  <c r="B265" i="34"/>
  <c r="J267" i="34"/>
  <c r="B459" i="34"/>
  <c r="C584" i="34"/>
  <c r="I267" i="34"/>
  <c r="X164" i="31"/>
  <c r="A461" i="34"/>
  <c r="I527" i="34"/>
  <c r="B237" i="34"/>
  <c r="C515" i="34"/>
  <c r="J474" i="34"/>
  <c r="H239" i="34"/>
  <c r="C323" i="34"/>
  <c r="J446" i="34"/>
  <c r="C612" i="34"/>
  <c r="J254" i="34"/>
  <c r="A333" i="34"/>
  <c r="C446" i="34"/>
  <c r="H612" i="34"/>
  <c r="A267" i="34"/>
  <c r="I323" i="34"/>
  <c r="A323" i="34"/>
  <c r="J323" i="34"/>
  <c r="I612" i="34"/>
  <c r="I264" i="34"/>
  <c r="I458" i="34"/>
  <c r="I621" i="34"/>
  <c r="A254" i="34"/>
  <c r="B610" i="34"/>
  <c r="A264" i="34"/>
  <c r="A345" i="34"/>
  <c r="A527" i="34"/>
  <c r="J612" i="34"/>
  <c r="I333" i="34"/>
  <c r="B321" i="34"/>
  <c r="I254" i="34"/>
  <c r="A336" i="34"/>
  <c r="C254" i="34"/>
  <c r="I190" i="31"/>
  <c r="I192" i="31"/>
  <c r="I195" i="31"/>
  <c r="F196" i="31"/>
  <c r="I196" i="31"/>
  <c r="I194" i="31"/>
  <c r="I189" i="31"/>
  <c r="X175" i="31"/>
  <c r="I191" i="31"/>
  <c r="X178" i="31"/>
  <c r="I193" i="31"/>
  <c r="X173" i="31"/>
  <c r="H515" i="34"/>
  <c r="B513" i="34"/>
  <c r="J515" i="34"/>
  <c r="I515" i="34"/>
  <c r="C543" i="34"/>
  <c r="I552" i="34"/>
  <c r="J543" i="34"/>
  <c r="B541" i="34"/>
  <c r="I543" i="34"/>
  <c r="H543" i="34"/>
  <c r="A552" i="34"/>
  <c r="A543" i="34"/>
  <c r="B203" i="31"/>
  <c r="F203" i="31"/>
  <c r="I213" i="31"/>
  <c r="A212" i="31"/>
  <c r="C806" i="34"/>
  <c r="G203" i="31"/>
  <c r="D213" i="31"/>
  <c r="J806" i="34"/>
  <c r="B232" i="31"/>
  <c r="J336" i="34"/>
  <c r="H806" i="34"/>
  <c r="I530" i="34"/>
  <c r="D201" i="31"/>
  <c r="A213" i="31"/>
  <c r="J530" i="34"/>
  <c r="A530" i="34"/>
  <c r="I791" i="34"/>
  <c r="G201" i="31"/>
  <c r="A540" i="34"/>
  <c r="C530" i="34"/>
  <c r="B789" i="34"/>
  <c r="A471" i="34"/>
  <c r="B528" i="34"/>
  <c r="A803" i="34"/>
  <c r="I203" i="31"/>
  <c r="I540" i="34"/>
  <c r="H791" i="34"/>
  <c r="N203" i="31"/>
  <c r="J791" i="34"/>
  <c r="A791" i="34"/>
  <c r="C791" i="34"/>
  <c r="K201" i="31"/>
  <c r="A203" i="31"/>
  <c r="I681" i="34"/>
  <c r="H681" i="34"/>
  <c r="I690" i="34"/>
  <c r="C681" i="34"/>
  <c r="A690" i="34"/>
  <c r="A681" i="34"/>
  <c r="J681" i="34"/>
  <c r="B679" i="34"/>
  <c r="I239" i="34"/>
  <c r="C461" i="34"/>
  <c r="I803" i="34"/>
  <c r="K213" i="31"/>
  <c r="A201" i="31"/>
  <c r="I665" i="34"/>
  <c r="C653" i="34"/>
  <c r="A665" i="34"/>
  <c r="A653" i="34"/>
  <c r="J653" i="34"/>
  <c r="I653" i="34"/>
  <c r="H653" i="34"/>
  <c r="B651" i="34"/>
  <c r="J239" i="34"/>
  <c r="A828" i="34"/>
  <c r="H668" i="34"/>
  <c r="C668" i="34"/>
  <c r="A668" i="34"/>
  <c r="I678" i="34"/>
  <c r="A678" i="34"/>
  <c r="J668" i="34"/>
  <c r="I668" i="34"/>
  <c r="B666" i="34"/>
  <c r="H819" i="34"/>
  <c r="M213" i="31"/>
  <c r="G213" i="31"/>
  <c r="A239" i="34"/>
  <c r="I819" i="34"/>
  <c r="I828" i="34"/>
  <c r="I251" i="34"/>
  <c r="I474" i="34"/>
  <c r="A612" i="34"/>
  <c r="B817" i="34"/>
  <c r="M203" i="31"/>
  <c r="C239" i="34"/>
  <c r="K203" i="31"/>
  <c r="J1357" i="34"/>
  <c r="A1357" i="34" s="1"/>
  <c r="J1342" i="34"/>
  <c r="A1342" i="34" s="1"/>
  <c r="J1370" i="34"/>
  <c r="A1370" i="34" s="1"/>
  <c r="A1392" i="34"/>
  <c r="J1274" i="34"/>
  <c r="I1274" i="34"/>
  <c r="A1274" i="34"/>
  <c r="A1286" i="34"/>
  <c r="I1286" i="34"/>
  <c r="H1274" i="34"/>
  <c r="B1272" i="34"/>
  <c r="C1274" i="34"/>
  <c r="C1302" i="34"/>
  <c r="A1311" i="34"/>
  <c r="I1302" i="34"/>
  <c r="I1311" i="34"/>
  <c r="A1302" i="34"/>
  <c r="J1302" i="34"/>
  <c r="B1300" i="34"/>
  <c r="H1302" i="34"/>
  <c r="J1289" i="34"/>
  <c r="I1289" i="34"/>
  <c r="H1289" i="34"/>
  <c r="C1289" i="34"/>
  <c r="A1289" i="34"/>
  <c r="A1299" i="34"/>
  <c r="I1299" i="34"/>
  <c r="B1287" i="34"/>
  <c r="H161" i="33"/>
  <c r="A198" i="33"/>
  <c r="AR17" i="32"/>
  <c r="A51" i="23"/>
  <c r="A74" i="23" s="1"/>
  <c r="A97" i="23" s="1"/>
  <c r="A120" i="23" s="1"/>
  <c r="A143" i="23" s="1"/>
  <c r="A166" i="23" s="1"/>
  <c r="A189" i="23" s="1"/>
  <c r="A212" i="23" s="1"/>
  <c r="A235" i="23" s="1"/>
  <c r="A258" i="23" s="1"/>
  <c r="A281" i="23" s="1"/>
  <c r="A304" i="23" s="1"/>
  <c r="A327" i="23" s="1"/>
  <c r="A350" i="23" s="1"/>
  <c r="A373" i="23" s="1"/>
  <c r="A396" i="23" s="1"/>
  <c r="A419" i="23" s="1"/>
  <c r="A442" i="23" s="1"/>
  <c r="A465" i="23" s="1"/>
  <c r="A488" i="23" s="1"/>
  <c r="A511" i="23" s="1"/>
  <c r="A534" i="23" s="1"/>
  <c r="A557" i="23" s="1"/>
  <c r="A580" i="23" s="1"/>
  <c r="A603" i="23" s="1"/>
  <c r="A626" i="23" s="1"/>
  <c r="A649" i="23" s="1"/>
  <c r="A672" i="23" s="1"/>
  <c r="A695" i="23" s="1"/>
  <c r="A718" i="23" s="1"/>
  <c r="A741" i="23" s="1"/>
  <c r="A764" i="23" s="1"/>
  <c r="A787" i="23" s="1"/>
  <c r="A810" i="23" s="1"/>
  <c r="A833" i="23" s="1"/>
  <c r="A856" i="23" s="1"/>
  <c r="A879" i="23" s="1"/>
  <c r="A902" i="23" s="1"/>
  <c r="A925" i="23" s="1"/>
  <c r="A52" i="23"/>
  <c r="A75" i="23" s="1"/>
  <c r="O14" i="30"/>
  <c r="O15" i="30" s="1"/>
  <c r="O16" i="30" s="1"/>
  <c r="O17" i="30" s="1"/>
  <c r="O18" i="30" s="1"/>
  <c r="O19" i="30" s="1"/>
  <c r="A340" i="34"/>
  <c r="F208" i="31"/>
  <c r="T15" i="30"/>
  <c r="B206" i="31"/>
  <c r="C479" i="34"/>
  <c r="C546" i="34"/>
  <c r="C269" i="34"/>
  <c r="C271" i="34"/>
  <c r="C175" i="33"/>
  <c r="W194" i="31"/>
  <c r="U205" i="31"/>
  <c r="B209" i="31"/>
  <c r="C167" i="33"/>
  <c r="C825" i="34"/>
  <c r="H341" i="34"/>
  <c r="H614" i="34"/>
  <c r="C172" i="33"/>
  <c r="T209" i="31"/>
  <c r="S19" i="30"/>
  <c r="C341" i="34"/>
  <c r="H338" i="34"/>
  <c r="C826" i="34"/>
  <c r="A545" i="34"/>
  <c r="A481" i="34"/>
  <c r="T14" i="30"/>
  <c r="H685" i="34"/>
  <c r="A822" i="34"/>
  <c r="C338" i="34"/>
  <c r="C478" i="34"/>
  <c r="Q206" i="31"/>
  <c r="C827" i="34"/>
  <c r="Q17" i="30"/>
  <c r="B211" i="31"/>
  <c r="H1389" i="34"/>
  <c r="B217" i="31"/>
  <c r="U211" i="31"/>
  <c r="A273" i="34"/>
  <c r="C619" i="34"/>
  <c r="H823" i="34"/>
  <c r="Q15" i="30"/>
  <c r="H826" i="34"/>
  <c r="A550" i="34"/>
  <c r="T206" i="31"/>
  <c r="S207" i="31"/>
  <c r="H551" i="34"/>
  <c r="B210" i="31"/>
  <c r="H339" i="34"/>
  <c r="A172" i="33"/>
  <c r="H275" i="34"/>
  <c r="H481" i="34"/>
  <c r="C173" i="33"/>
  <c r="C824" i="34"/>
  <c r="C272" i="34"/>
  <c r="U208" i="31"/>
  <c r="H170" i="33"/>
  <c r="C617" i="34"/>
  <c r="C275" i="34"/>
  <c r="I167" i="33"/>
  <c r="A617" i="34"/>
  <c r="F19" i="30"/>
  <c r="H175" i="33"/>
  <c r="H173" i="33"/>
  <c r="H342" i="34"/>
  <c r="C340" i="34"/>
  <c r="F18" i="30"/>
  <c r="C477" i="34"/>
  <c r="Q207" i="31"/>
  <c r="C688" i="34"/>
  <c r="C683" i="34"/>
  <c r="S16" i="30"/>
  <c r="A687" i="34"/>
  <c r="A339" i="34"/>
  <c r="T13" i="30"/>
  <c r="A616" i="34"/>
  <c r="T207" i="31"/>
  <c r="T17" i="30"/>
  <c r="A548" i="34"/>
  <c r="H547" i="34"/>
  <c r="F210" i="31"/>
  <c r="H340" i="34"/>
  <c r="H548" i="34"/>
  <c r="H171" i="33"/>
  <c r="H545" i="34"/>
  <c r="H344" i="34"/>
  <c r="W191" i="31"/>
  <c r="C270" i="34"/>
  <c r="B207" i="31"/>
  <c r="C689" i="34"/>
  <c r="C343" i="34"/>
  <c r="C549" i="34"/>
  <c r="H686" i="34"/>
  <c r="H683" i="34"/>
  <c r="S13" i="30"/>
  <c r="A207" i="31"/>
  <c r="B19" i="30"/>
  <c r="U209" i="31"/>
  <c r="H891" i="34"/>
  <c r="W192" i="31"/>
  <c r="A271" i="34"/>
  <c r="C548" i="34"/>
  <c r="H273" i="34"/>
  <c r="S211" i="31"/>
  <c r="A343" i="34"/>
  <c r="U206" i="31"/>
  <c r="H1390" i="34"/>
  <c r="F211" i="31"/>
  <c r="H689" i="34"/>
  <c r="C344" i="34"/>
  <c r="W190" i="31"/>
  <c r="I217" i="31"/>
  <c r="W193" i="31"/>
  <c r="A825" i="34"/>
  <c r="U19" i="30"/>
  <c r="A480" i="34"/>
  <c r="H269" i="34"/>
  <c r="A171" i="33"/>
  <c r="H478" i="34"/>
  <c r="S210" i="31"/>
  <c r="A269" i="34"/>
  <c r="H617" i="34"/>
  <c r="H684" i="34"/>
  <c r="F216" i="31"/>
  <c r="S14" i="30"/>
  <c r="C1390" i="34"/>
  <c r="C174" i="33"/>
  <c r="A19" i="30"/>
  <c r="H822" i="34"/>
  <c r="A344" i="34"/>
  <c r="H549" i="34"/>
  <c r="A478" i="34"/>
  <c r="A683" i="34"/>
  <c r="H176" i="33"/>
  <c r="C821" i="34"/>
  <c r="A275" i="34"/>
  <c r="C823" i="34"/>
  <c r="H825" i="34"/>
  <c r="C339" i="34"/>
  <c r="A821" i="34"/>
  <c r="A686" i="34"/>
  <c r="U210" i="31"/>
  <c r="A211" i="31"/>
  <c r="A170" i="33"/>
  <c r="A823" i="34"/>
  <c r="A547" i="34"/>
  <c r="C551" i="34"/>
  <c r="C1389" i="34"/>
  <c r="A476" i="34"/>
  <c r="A824" i="34"/>
  <c r="S17" i="30"/>
  <c r="C545" i="34"/>
  <c r="C618" i="34"/>
  <c r="C342" i="34"/>
  <c r="E217" i="31"/>
  <c r="H616" i="34"/>
  <c r="F207" i="31"/>
  <c r="C273" i="34"/>
  <c r="C686" i="34"/>
  <c r="C687" i="34"/>
  <c r="H271" i="34"/>
  <c r="U16" i="30"/>
  <c r="A272" i="34"/>
  <c r="F205" i="31"/>
  <c r="A205" i="31"/>
  <c r="C168" i="33"/>
  <c r="U15" i="30"/>
  <c r="H827" i="34"/>
  <c r="A477" i="34"/>
  <c r="U14" i="30"/>
  <c r="B208" i="31"/>
  <c r="H618" i="34"/>
  <c r="U207" i="31"/>
  <c r="A688" i="34"/>
  <c r="H821" i="34"/>
  <c r="F206" i="31"/>
  <c r="C550" i="34"/>
  <c r="Q16" i="30"/>
  <c r="C481" i="34"/>
  <c r="A206" i="31"/>
  <c r="W195" i="31"/>
  <c r="T210" i="31"/>
  <c r="A274" i="34"/>
  <c r="H272" i="34"/>
  <c r="C274" i="34"/>
  <c r="H480" i="34"/>
  <c r="H477" i="34"/>
  <c r="H687" i="34"/>
  <c r="T16" i="30"/>
  <c r="C171" i="33"/>
  <c r="A341" i="34"/>
  <c r="C684" i="34"/>
  <c r="A619" i="34"/>
  <c r="A826" i="34"/>
  <c r="H688" i="34"/>
  <c r="C547" i="34"/>
  <c r="A614" i="34"/>
  <c r="S15" i="30"/>
  <c r="A342" i="34"/>
  <c r="Q205" i="31"/>
  <c r="C616" i="34"/>
  <c r="C480" i="34"/>
  <c r="A689" i="34"/>
  <c r="C620" i="34"/>
  <c r="S208" i="31"/>
  <c r="A18" i="30"/>
  <c r="C170" i="33"/>
  <c r="Q13" i="30"/>
  <c r="U13" i="30"/>
  <c r="A176" i="33"/>
  <c r="Q209" i="31"/>
  <c r="H546" i="34"/>
  <c r="H479" i="34"/>
  <c r="U17" i="30"/>
  <c r="H550" i="34"/>
  <c r="Q18" i="30"/>
  <c r="Q211" i="31"/>
  <c r="Q208" i="31"/>
  <c r="H482" i="34"/>
  <c r="A551" i="34"/>
  <c r="A175" i="33"/>
  <c r="C615" i="34"/>
  <c r="H615" i="34"/>
  <c r="C614" i="34"/>
  <c r="A173" i="33"/>
  <c r="B18" i="30"/>
  <c r="T19" i="30"/>
  <c r="C482" i="34"/>
  <c r="T205" i="31"/>
  <c r="S205" i="31"/>
  <c r="A685" i="34"/>
  <c r="S206" i="31"/>
  <c r="A479" i="34"/>
  <c r="H476" i="34"/>
  <c r="W189" i="31"/>
  <c r="A338" i="34"/>
  <c r="A208" i="31"/>
  <c r="A209" i="31"/>
  <c r="H620" i="34"/>
  <c r="Q19" i="30"/>
  <c r="A210" i="31"/>
  <c r="Q14" i="30"/>
  <c r="A174" i="33"/>
  <c r="H174" i="33"/>
  <c r="C176" i="33"/>
  <c r="T208" i="31"/>
  <c r="H619" i="34"/>
  <c r="H270" i="34"/>
  <c r="H274" i="34"/>
  <c r="H172" i="33"/>
  <c r="T211" i="31"/>
  <c r="A270" i="34"/>
  <c r="A482" i="34"/>
  <c r="F209" i="31"/>
  <c r="C476" i="34"/>
  <c r="A618" i="34"/>
  <c r="A620" i="34"/>
  <c r="A827" i="34"/>
  <c r="C685" i="34"/>
  <c r="Q210" i="31"/>
  <c r="A546" i="34"/>
  <c r="H824" i="34"/>
  <c r="S209" i="31"/>
  <c r="M217" i="31"/>
  <c r="A684" i="34"/>
  <c r="C822" i="34"/>
  <c r="B205" i="31"/>
  <c r="H621" i="34" l="1"/>
  <c r="H483" i="34"/>
  <c r="H276" i="34"/>
  <c r="X195" i="31"/>
  <c r="H828" i="34"/>
  <c r="X192" i="31"/>
  <c r="X191" i="31"/>
  <c r="F212" i="31"/>
  <c r="I212" i="31"/>
  <c r="I206" i="31"/>
  <c r="I210" i="31"/>
  <c r="I207" i="31"/>
  <c r="I205" i="31"/>
  <c r="H552" i="34"/>
  <c r="I211" i="31"/>
  <c r="H345" i="34"/>
  <c r="X194" i="31"/>
  <c r="I208" i="31"/>
  <c r="X193" i="31"/>
  <c r="X189" i="31"/>
  <c r="X190" i="31"/>
  <c r="I209" i="31"/>
  <c r="H690" i="34"/>
  <c r="M229" i="31"/>
  <c r="B219" i="31"/>
  <c r="G217" i="31"/>
  <c r="A219" i="31"/>
  <c r="B248" i="31"/>
  <c r="K217" i="31"/>
  <c r="D229" i="31"/>
  <c r="K229" i="31"/>
  <c r="A98" i="23"/>
  <c r="A217" i="31"/>
  <c r="K219" i="31"/>
  <c r="A229" i="31"/>
  <c r="G219" i="31"/>
  <c r="D217" i="31"/>
  <c r="A228" i="31"/>
  <c r="I229" i="31"/>
  <c r="N219" i="31"/>
  <c r="F219" i="31"/>
  <c r="X180" i="31"/>
  <c r="G229" i="31"/>
  <c r="I219" i="31"/>
  <c r="M219" i="31"/>
  <c r="J1439" i="34"/>
  <c r="A1439" i="34" s="1"/>
  <c r="J1426" i="34"/>
  <c r="A1426" i="34" s="1"/>
  <c r="J1411" i="34"/>
  <c r="A1411" i="34" s="1"/>
  <c r="H1343" i="34"/>
  <c r="A1355" i="34"/>
  <c r="I1343" i="34"/>
  <c r="A1343" i="34"/>
  <c r="B1341" i="34"/>
  <c r="C1343" i="34"/>
  <c r="J1343" i="34"/>
  <c r="I1355" i="34"/>
  <c r="A1461" i="34"/>
  <c r="A1358" i="34"/>
  <c r="I1368" i="34"/>
  <c r="I1358" i="34"/>
  <c r="J1358" i="34"/>
  <c r="C1358" i="34"/>
  <c r="H1358" i="34"/>
  <c r="B1356" i="34"/>
  <c r="A1368" i="34"/>
  <c r="I1371" i="34"/>
  <c r="A1380" i="34"/>
  <c r="J1371" i="34"/>
  <c r="B1369" i="34"/>
  <c r="C1371" i="34"/>
  <c r="A1371" i="34"/>
  <c r="I1380" i="34"/>
  <c r="H1371" i="34"/>
  <c r="H177" i="33"/>
  <c r="A214" i="33"/>
  <c r="AR18" i="32"/>
  <c r="I19" i="30"/>
  <c r="O20" i="30"/>
  <c r="S20" i="30"/>
  <c r="A893" i="34"/>
  <c r="W209" i="31"/>
  <c r="A896" i="34"/>
  <c r="U224" i="31"/>
  <c r="T20" i="30"/>
  <c r="C896" i="34"/>
  <c r="Q225" i="31"/>
  <c r="S225" i="31"/>
  <c r="W17" i="30"/>
  <c r="H192" i="33"/>
  <c r="I183" i="33"/>
  <c r="H896" i="34"/>
  <c r="B20" i="30"/>
  <c r="U225" i="31"/>
  <c r="A186" i="33"/>
  <c r="C186" i="33"/>
  <c r="F227" i="31"/>
  <c r="T221" i="31"/>
  <c r="Q227" i="31"/>
  <c r="H188" i="33"/>
  <c r="T226" i="31"/>
  <c r="C895" i="34"/>
  <c r="M233" i="31"/>
  <c r="F226" i="31"/>
  <c r="A21" i="34"/>
  <c r="A188" i="33"/>
  <c r="S223" i="31"/>
  <c r="W13" i="30"/>
  <c r="U20" i="30"/>
  <c r="C187" i="33"/>
  <c r="A221" i="31"/>
  <c r="A227" i="31"/>
  <c r="W205" i="31"/>
  <c r="C183" i="33"/>
  <c r="S222" i="31"/>
  <c r="C54" i="23"/>
  <c r="C894" i="34"/>
  <c r="S227" i="31"/>
  <c r="H21" i="34"/>
  <c r="Q223" i="31"/>
  <c r="T224" i="31"/>
  <c r="H189" i="33"/>
  <c r="W207" i="31"/>
  <c r="A190" i="33"/>
  <c r="C184" i="33"/>
  <c r="A191" i="33"/>
  <c r="S221" i="31"/>
  <c r="U223" i="31"/>
  <c r="A891" i="34"/>
  <c r="H892" i="34"/>
  <c r="A225" i="31"/>
  <c r="A890" i="34"/>
  <c r="W210" i="31"/>
  <c r="H894" i="34"/>
  <c r="C188" i="33"/>
  <c r="A894" i="34"/>
  <c r="A20" i="30"/>
  <c r="B226" i="31"/>
  <c r="AK3" i="27"/>
  <c r="C190" i="33"/>
  <c r="C892" i="34"/>
  <c r="T227" i="31"/>
  <c r="W208" i="31"/>
  <c r="H893" i="34"/>
  <c r="H187" i="33"/>
  <c r="C189" i="33"/>
  <c r="I53" i="23"/>
  <c r="A226" i="31"/>
  <c r="F225" i="31"/>
  <c r="W19" i="30"/>
  <c r="B223" i="31"/>
  <c r="H965" i="34"/>
  <c r="C191" i="33"/>
  <c r="Q222" i="31"/>
  <c r="B225" i="31"/>
  <c r="C21" i="34"/>
  <c r="U221" i="31"/>
  <c r="S226" i="31"/>
  <c r="H890" i="34"/>
  <c r="B222" i="31"/>
  <c r="C891" i="34"/>
  <c r="F20" i="30"/>
  <c r="A892" i="34"/>
  <c r="E233" i="31"/>
  <c r="A192" i="33"/>
  <c r="I54" i="23"/>
  <c r="A224" i="31"/>
  <c r="C893" i="34"/>
  <c r="Q20" i="30"/>
  <c r="C890" i="34"/>
  <c r="Q221" i="31"/>
  <c r="T225" i="31"/>
  <c r="F221" i="31"/>
  <c r="T222" i="31"/>
  <c r="F222" i="31"/>
  <c r="U222" i="31"/>
  <c r="A189" i="33"/>
  <c r="B221" i="31"/>
  <c r="Q224" i="31"/>
  <c r="U227" i="31"/>
  <c r="A187" i="33"/>
  <c r="B227" i="31"/>
  <c r="I233" i="31"/>
  <c r="A895" i="34"/>
  <c r="F223" i="31"/>
  <c r="B224" i="31"/>
  <c r="W14" i="30"/>
  <c r="B233" i="31"/>
  <c r="W15" i="30"/>
  <c r="C192" i="33"/>
  <c r="W211" i="31"/>
  <c r="U226" i="31"/>
  <c r="Q226" i="31"/>
  <c r="W206" i="31"/>
  <c r="C53" i="23"/>
  <c r="T223" i="31"/>
  <c r="F232" i="31"/>
  <c r="W16" i="30"/>
  <c r="S224" i="31"/>
  <c r="A222" i="31"/>
  <c r="H895" i="34"/>
  <c r="F224" i="31"/>
  <c r="H190" i="33"/>
  <c r="H186" i="33"/>
  <c r="A223" i="31"/>
  <c r="H191" i="33"/>
  <c r="X19" i="30" l="1"/>
  <c r="H897" i="34"/>
  <c r="X207" i="31"/>
  <c r="X206" i="31"/>
  <c r="X205" i="31"/>
  <c r="X210" i="31"/>
  <c r="I223" i="31"/>
  <c r="X209" i="31"/>
  <c r="X208" i="31"/>
  <c r="I226" i="31"/>
  <c r="I225" i="31"/>
  <c r="I221" i="31"/>
  <c r="I222" i="31"/>
  <c r="I228" i="31"/>
  <c r="F228" i="31"/>
  <c r="I227" i="31"/>
  <c r="I224" i="31"/>
  <c r="X211" i="31"/>
  <c r="I245" i="31"/>
  <c r="B235" i="31"/>
  <c r="I235" i="31"/>
  <c r="M245" i="31"/>
  <c r="D233" i="31"/>
  <c r="G245" i="31"/>
  <c r="G235" i="31"/>
  <c r="A245" i="31"/>
  <c r="K235" i="31"/>
  <c r="A233" i="31"/>
  <c r="X196" i="31"/>
  <c r="D245" i="31"/>
  <c r="K245" i="31"/>
  <c r="A244" i="31"/>
  <c r="A121" i="23"/>
  <c r="N235" i="31"/>
  <c r="F235" i="31"/>
  <c r="B264" i="31"/>
  <c r="K233" i="31"/>
  <c r="A235" i="31"/>
  <c r="M235" i="31"/>
  <c r="G233" i="31"/>
  <c r="I1440" i="34"/>
  <c r="A1449" i="34"/>
  <c r="B1438" i="34"/>
  <c r="C1440" i="34"/>
  <c r="J1440" i="34"/>
  <c r="I1449" i="34"/>
  <c r="H1440" i="34"/>
  <c r="A1440" i="34"/>
  <c r="A1530" i="34"/>
  <c r="A1427" i="34"/>
  <c r="I1437" i="34"/>
  <c r="B1425" i="34"/>
  <c r="I1427" i="34"/>
  <c r="H1427" i="34"/>
  <c r="A1437" i="34"/>
  <c r="C1427" i="34"/>
  <c r="J1427" i="34"/>
  <c r="A1424" i="34"/>
  <c r="J1412" i="34"/>
  <c r="A1412" i="34"/>
  <c r="B1410" i="34"/>
  <c r="I1424" i="34"/>
  <c r="I1412" i="34"/>
  <c r="H1412" i="34"/>
  <c r="C1412" i="34"/>
  <c r="H193" i="33"/>
  <c r="A230" i="33"/>
  <c r="AR19" i="32"/>
  <c r="I20" i="30"/>
  <c r="O21" i="30"/>
  <c r="H962" i="34"/>
  <c r="C202" i="33"/>
  <c r="H963" i="34"/>
  <c r="U241" i="31"/>
  <c r="A208" i="33"/>
  <c r="H205" i="33"/>
  <c r="C1459" i="34"/>
  <c r="B249" i="31"/>
  <c r="W225" i="31"/>
  <c r="H207" i="33"/>
  <c r="A202" i="33"/>
  <c r="A237" i="31"/>
  <c r="C204" i="33"/>
  <c r="C963" i="34"/>
  <c r="U21" i="30"/>
  <c r="A242" i="31"/>
  <c r="M249" i="31"/>
  <c r="U238" i="31"/>
  <c r="I199" i="33"/>
  <c r="A206" i="33"/>
  <c r="Q237" i="31"/>
  <c r="H964" i="34"/>
  <c r="F248" i="31"/>
  <c r="H208" i="33"/>
  <c r="C959" i="34"/>
  <c r="T238" i="31"/>
  <c r="B238" i="31"/>
  <c r="H959" i="34"/>
  <c r="S21" i="30"/>
  <c r="C76" i="23"/>
  <c r="A203" i="33"/>
  <c r="H1458" i="34"/>
  <c r="A964" i="34"/>
  <c r="T240" i="31"/>
  <c r="C962" i="34"/>
  <c r="C77" i="23"/>
  <c r="W227" i="31"/>
  <c r="Q238" i="31"/>
  <c r="A963" i="34"/>
  <c r="S240" i="31"/>
  <c r="S242" i="31"/>
  <c r="Q240" i="31"/>
  <c r="H1459" i="34"/>
  <c r="T242" i="31"/>
  <c r="I76" i="23"/>
  <c r="A243" i="31"/>
  <c r="U242" i="31"/>
  <c r="H202" i="33"/>
  <c r="Q242" i="31"/>
  <c r="A959" i="34"/>
  <c r="I249" i="31"/>
  <c r="A22" i="34"/>
  <c r="C964" i="34"/>
  <c r="AK3" i="32"/>
  <c r="W221" i="31"/>
  <c r="A238" i="31"/>
  <c r="A240" i="31"/>
  <c r="W223" i="31"/>
  <c r="W20" i="30"/>
  <c r="F237" i="31"/>
  <c r="C205" i="33"/>
  <c r="U239" i="31"/>
  <c r="C207" i="33"/>
  <c r="T21" i="30"/>
  <c r="T239" i="31"/>
  <c r="S239" i="31"/>
  <c r="Q241" i="31"/>
  <c r="A960" i="34"/>
  <c r="F242" i="31"/>
  <c r="B239" i="31"/>
  <c r="A962" i="34"/>
  <c r="T237" i="31"/>
  <c r="A961" i="34"/>
  <c r="A965" i="34"/>
  <c r="B241" i="31"/>
  <c r="C203" i="33"/>
  <c r="H960" i="34"/>
  <c r="F238" i="31"/>
  <c r="H961" i="34"/>
  <c r="C961" i="34"/>
  <c r="B243" i="31"/>
  <c r="Q243" i="31"/>
  <c r="S238" i="31"/>
  <c r="C22" i="34"/>
  <c r="F240" i="31"/>
  <c r="I200" i="33"/>
  <c r="U237" i="31"/>
  <c r="Q239" i="31"/>
  <c r="B237" i="31"/>
  <c r="W224" i="31"/>
  <c r="F241" i="31"/>
  <c r="T241" i="31"/>
  <c r="B242" i="31"/>
  <c r="A241" i="31"/>
  <c r="W226" i="31"/>
  <c r="T243" i="31"/>
  <c r="A205" i="33"/>
  <c r="H22" i="34"/>
  <c r="H206" i="33"/>
  <c r="E249" i="31"/>
  <c r="S237" i="31"/>
  <c r="C965" i="34"/>
  <c r="B21" i="30"/>
  <c r="H203" i="33"/>
  <c r="W222" i="31"/>
  <c r="F239" i="31"/>
  <c r="B240" i="31"/>
  <c r="S241" i="31"/>
  <c r="F243" i="31"/>
  <c r="A239" i="31"/>
  <c r="Q21" i="30"/>
  <c r="A21" i="30"/>
  <c r="F21" i="30"/>
  <c r="U240" i="31"/>
  <c r="I77" i="23"/>
  <c r="C208" i="33"/>
  <c r="H204" i="33"/>
  <c r="S243" i="31"/>
  <c r="C960" i="34"/>
  <c r="A207" i="33"/>
  <c r="C1458" i="34"/>
  <c r="A204" i="33"/>
  <c r="U243" i="31"/>
  <c r="C206" i="33"/>
  <c r="X20" i="30" l="1"/>
  <c r="H966" i="34"/>
  <c r="X225" i="31"/>
  <c r="X224" i="31"/>
  <c r="X223" i="31"/>
  <c r="X212" i="31"/>
  <c r="I243" i="31"/>
  <c r="I244" i="31"/>
  <c r="F244" i="31"/>
  <c r="J1508" i="34"/>
  <c r="A1508" i="34" s="1"/>
  <c r="J1509" i="34" s="1"/>
  <c r="J1480" i="34"/>
  <c r="A1480" i="34" s="1"/>
  <c r="A1493" i="34" s="1"/>
  <c r="J1495" i="34"/>
  <c r="A1495" i="34" s="1"/>
  <c r="J1496" i="34" s="1"/>
  <c r="I239" i="31"/>
  <c r="X221" i="31"/>
  <c r="X222" i="31"/>
  <c r="I238" i="31"/>
  <c r="X227" i="31"/>
  <c r="I240" i="31"/>
  <c r="I237" i="31"/>
  <c r="X226" i="31"/>
  <c r="I242" i="31"/>
  <c r="I241" i="31"/>
  <c r="A261" i="31"/>
  <c r="K249" i="31"/>
  <c r="A144" i="23"/>
  <c r="G261" i="31"/>
  <c r="D249" i="31"/>
  <c r="G251" i="31"/>
  <c r="M261" i="31"/>
  <c r="I251" i="31"/>
  <c r="A260" i="31"/>
  <c r="K261" i="31"/>
  <c r="I261" i="31"/>
  <c r="B251" i="31"/>
  <c r="G249" i="31"/>
  <c r="B280" i="31"/>
  <c r="M251" i="31"/>
  <c r="A251" i="31"/>
  <c r="D261" i="31"/>
  <c r="A249" i="31"/>
  <c r="F251" i="31"/>
  <c r="N251" i="31"/>
  <c r="K251" i="31"/>
  <c r="A1599" i="34"/>
  <c r="H209" i="33"/>
  <c r="A246" i="33"/>
  <c r="AR20" i="32"/>
  <c r="I21" i="30"/>
  <c r="O22" i="30"/>
  <c r="E31" i="30"/>
  <c r="E54" i="30" s="1"/>
  <c r="D31" i="30"/>
  <c r="D54" i="30" s="1"/>
  <c r="C31" i="30"/>
  <c r="C54" i="30" s="1"/>
  <c r="A31" i="30"/>
  <c r="A54" i="30" s="1"/>
  <c r="H1030" i="34"/>
  <c r="C221" i="33"/>
  <c r="T253" i="31"/>
  <c r="C1034" i="34"/>
  <c r="A16" i="30"/>
  <c r="B259" i="31"/>
  <c r="H1033" i="34"/>
  <c r="C1029" i="34"/>
  <c r="T22" i="30"/>
  <c r="S62" i="30"/>
  <c r="C216" i="33"/>
  <c r="S70" i="30"/>
  <c r="A255" i="31"/>
  <c r="C222" i="33"/>
  <c r="C224" i="33"/>
  <c r="H220" i="33"/>
  <c r="B255" i="31"/>
  <c r="F17" i="30"/>
  <c r="B65" i="30"/>
  <c r="U69" i="30"/>
  <c r="F257" i="31"/>
  <c r="W243" i="31"/>
  <c r="F72" i="30"/>
  <c r="T255" i="31"/>
  <c r="F70" i="30"/>
  <c r="E9" i="30"/>
  <c r="A13" i="30"/>
  <c r="U72" i="30"/>
  <c r="U71" i="30"/>
  <c r="U256" i="31"/>
  <c r="B60" i="30"/>
  <c r="S258" i="31"/>
  <c r="F16" i="30"/>
  <c r="B62" i="30"/>
  <c r="A224" i="33"/>
  <c r="H219" i="33"/>
  <c r="T66" i="30"/>
  <c r="C1033" i="34"/>
  <c r="C1030" i="34"/>
  <c r="C219" i="33"/>
  <c r="S71" i="30"/>
  <c r="A22" i="30"/>
  <c r="B67" i="30"/>
  <c r="S68" i="30"/>
  <c r="T69" i="30"/>
  <c r="T259" i="31"/>
  <c r="H1028" i="34"/>
  <c r="B16" i="30"/>
  <c r="I100" i="23"/>
  <c r="C100" i="23"/>
  <c r="A254" i="31"/>
  <c r="W237" i="31"/>
  <c r="A1028" i="34"/>
  <c r="B72" i="30"/>
  <c r="H23" i="34"/>
  <c r="S255" i="31"/>
  <c r="U253" i="31"/>
  <c r="B22" i="30"/>
  <c r="B17" i="30"/>
  <c r="A219" i="33"/>
  <c r="F258" i="31"/>
  <c r="H1032" i="34"/>
  <c r="F63" i="30"/>
  <c r="T67" i="30"/>
  <c r="F15" i="30"/>
  <c r="W238" i="31"/>
  <c r="W21" i="30"/>
  <c r="A223" i="33"/>
  <c r="H224" i="33"/>
  <c r="A259" i="31"/>
  <c r="T71" i="30"/>
  <c r="F255" i="31"/>
  <c r="B265" i="31"/>
  <c r="U257" i="31"/>
  <c r="C1032" i="34"/>
  <c r="S60" i="30"/>
  <c r="A59" i="30"/>
  <c r="T258" i="31"/>
  <c r="B69" i="30"/>
  <c r="C218" i="33"/>
  <c r="A1033" i="34"/>
  <c r="W242" i="31"/>
  <c r="B9" i="30"/>
  <c r="A218" i="33"/>
  <c r="C1031" i="34"/>
  <c r="S63" i="30"/>
  <c r="C23" i="34"/>
  <c r="H1034" i="34"/>
  <c r="F66" i="30"/>
  <c r="F61" i="30"/>
  <c r="T61" i="30"/>
  <c r="F256" i="31"/>
  <c r="T72" i="30"/>
  <c r="A220" i="33"/>
  <c r="B256" i="31"/>
  <c r="C215" i="33"/>
  <c r="S69" i="30"/>
  <c r="M32" i="30"/>
  <c r="C1527" i="34"/>
  <c r="F13" i="30"/>
  <c r="H1528" i="34"/>
  <c r="S65" i="30"/>
  <c r="C1596" i="34"/>
  <c r="F64" i="30"/>
  <c r="A1031" i="34"/>
  <c r="Q256" i="31"/>
  <c r="Q253" i="31"/>
  <c r="B61" i="30"/>
  <c r="S59" i="30"/>
  <c r="B66" i="30"/>
  <c r="H1597" i="34"/>
  <c r="U63" i="30"/>
  <c r="A1032" i="34"/>
  <c r="I32" i="30"/>
  <c r="A69" i="30"/>
  <c r="I215" i="33"/>
  <c r="F14" i="30"/>
  <c r="S254" i="31"/>
  <c r="Q258" i="31"/>
  <c r="H1029" i="34"/>
  <c r="S66" i="30"/>
  <c r="B258" i="31"/>
  <c r="H1098" i="34"/>
  <c r="H1527" i="34"/>
  <c r="T59" i="30"/>
  <c r="B13" i="30"/>
  <c r="A15" i="30"/>
  <c r="T65" i="30"/>
  <c r="U65" i="30"/>
  <c r="F31" i="30"/>
  <c r="Q257" i="31"/>
  <c r="W241" i="31"/>
  <c r="H1031" i="34"/>
  <c r="U22" i="30"/>
  <c r="A1030" i="34"/>
  <c r="A258" i="31"/>
  <c r="Q254" i="31"/>
  <c r="A253" i="31"/>
  <c r="M265" i="31"/>
  <c r="Q22" i="30"/>
  <c r="H222" i="33"/>
  <c r="U59" i="30"/>
  <c r="U255" i="31"/>
  <c r="S22" i="30"/>
  <c r="A1034" i="34"/>
  <c r="T254" i="31"/>
  <c r="A221" i="33"/>
  <c r="S61" i="30"/>
  <c r="A17" i="30"/>
  <c r="A257" i="31"/>
  <c r="B253" i="31"/>
  <c r="C220" i="33"/>
  <c r="H223" i="33"/>
  <c r="C99" i="23"/>
  <c r="I265" i="31"/>
  <c r="Q255" i="31"/>
  <c r="T257" i="31"/>
  <c r="I216" i="33"/>
  <c r="U61" i="30"/>
  <c r="U66" i="30"/>
  <c r="B15" i="30"/>
  <c r="F254" i="31"/>
  <c r="C223" i="33"/>
  <c r="S253" i="31"/>
  <c r="I99" i="23"/>
  <c r="F264" i="31"/>
  <c r="H221" i="33"/>
  <c r="S257" i="31"/>
  <c r="F22" i="30"/>
  <c r="A14" i="30"/>
  <c r="S256" i="31"/>
  <c r="T256" i="31"/>
  <c r="B14" i="30"/>
  <c r="W239" i="31"/>
  <c r="F253" i="31"/>
  <c r="B64" i="30"/>
  <c r="C1597" i="34"/>
  <c r="A23" i="34"/>
  <c r="U68" i="30"/>
  <c r="U258" i="31"/>
  <c r="B257" i="31"/>
  <c r="B254" i="31"/>
  <c r="B59" i="30"/>
  <c r="H1596" i="34"/>
  <c r="F259" i="31"/>
  <c r="U70" i="30"/>
  <c r="H9" i="34"/>
  <c r="S259" i="31"/>
  <c r="Q259" i="31"/>
  <c r="S72" i="30"/>
  <c r="A1029" i="34"/>
  <c r="E265" i="31"/>
  <c r="A72" i="30"/>
  <c r="U254" i="31"/>
  <c r="A256" i="31"/>
  <c r="A222" i="33"/>
  <c r="C1028" i="34"/>
  <c r="U259" i="31"/>
  <c r="H218" i="33"/>
  <c r="M9" i="30"/>
  <c r="S67" i="30"/>
  <c r="C1528" i="34"/>
  <c r="W240" i="31"/>
  <c r="T68" i="30"/>
  <c r="X21" i="30" l="1"/>
  <c r="H1035" i="34"/>
  <c r="I72" i="30"/>
  <c r="G49" i="30"/>
  <c r="B1507" i="34"/>
  <c r="I1509" i="34"/>
  <c r="A1518" i="34"/>
  <c r="X242" i="31"/>
  <c r="X239" i="31"/>
  <c r="X237" i="31"/>
  <c r="X240" i="31"/>
  <c r="X241" i="31"/>
  <c r="A1509" i="34"/>
  <c r="H1509" i="34"/>
  <c r="C1509" i="34"/>
  <c r="I1518" i="34"/>
  <c r="I255" i="31"/>
  <c r="I259" i="31"/>
  <c r="I256" i="31"/>
  <c r="I257" i="31"/>
  <c r="I254" i="31"/>
  <c r="I258" i="31"/>
  <c r="X243" i="31"/>
  <c r="I260" i="31"/>
  <c r="F260" i="31"/>
  <c r="J1577" i="34"/>
  <c r="A1577" i="34" s="1"/>
  <c r="H1578" i="34" s="1"/>
  <c r="J1549" i="34"/>
  <c r="A1549" i="34" s="1"/>
  <c r="I1550" i="34" s="1"/>
  <c r="J1564" i="34"/>
  <c r="A1564" i="34" s="1"/>
  <c r="H1565" i="34" s="1"/>
  <c r="I253" i="31"/>
  <c r="X238" i="31"/>
  <c r="A1506" i="34"/>
  <c r="A1496" i="34"/>
  <c r="G265" i="31"/>
  <c r="H1496" i="34"/>
  <c r="K267" i="31"/>
  <c r="I277" i="31"/>
  <c r="X228" i="31"/>
  <c r="I1506" i="34"/>
  <c r="N267" i="31"/>
  <c r="K277" i="31"/>
  <c r="B267" i="31"/>
  <c r="B1494" i="34"/>
  <c r="F267" i="31"/>
  <c r="A276" i="31"/>
  <c r="I1496" i="34"/>
  <c r="A265" i="31"/>
  <c r="I267" i="31"/>
  <c r="M277" i="31"/>
  <c r="D277" i="31"/>
  <c r="G267" i="31"/>
  <c r="D265" i="31"/>
  <c r="A267" i="31"/>
  <c r="G277" i="31"/>
  <c r="M267" i="31"/>
  <c r="A167" i="23"/>
  <c r="A277" i="31"/>
  <c r="B1479" i="34"/>
  <c r="C1481" i="34"/>
  <c r="A1481" i="34"/>
  <c r="I1493" i="34"/>
  <c r="C1496" i="34"/>
  <c r="K265" i="31"/>
  <c r="I1481" i="34"/>
  <c r="H1481" i="34"/>
  <c r="J1481" i="34"/>
  <c r="B296" i="31"/>
  <c r="J1633" i="34"/>
  <c r="A1633" i="34" s="1"/>
  <c r="J1646" i="34"/>
  <c r="A1646" i="34" s="1"/>
  <c r="J1618" i="34"/>
  <c r="A1618" i="34" s="1"/>
  <c r="A1668" i="34"/>
  <c r="J59" i="34"/>
  <c r="J46" i="34"/>
  <c r="J31" i="34"/>
  <c r="H225" i="33"/>
  <c r="A262" i="33"/>
  <c r="AR21" i="32"/>
  <c r="O23" i="30"/>
  <c r="I66" i="30"/>
  <c r="I59" i="30"/>
  <c r="I67" i="30"/>
  <c r="I71" i="30"/>
  <c r="I69" i="30"/>
  <c r="I65" i="30"/>
  <c r="I61" i="30"/>
  <c r="I68" i="30"/>
  <c r="E77" i="30"/>
  <c r="C77" i="30"/>
  <c r="A77" i="30"/>
  <c r="D77" i="30"/>
  <c r="X49" i="30"/>
  <c r="X16" i="30"/>
  <c r="X14" i="30"/>
  <c r="X15" i="30"/>
  <c r="X17" i="30"/>
  <c r="X13" i="30"/>
  <c r="I13" i="30"/>
  <c r="I17" i="30"/>
  <c r="I22" i="30"/>
  <c r="I14" i="30"/>
  <c r="I16" i="30"/>
  <c r="K51" i="30"/>
  <c r="K74" i="30" s="1"/>
  <c r="K97" i="30" s="1"/>
  <c r="K120" i="30" s="1"/>
  <c r="K143" i="30" s="1"/>
  <c r="K166" i="30" s="1"/>
  <c r="K189" i="30" s="1"/>
  <c r="K212" i="30" s="1"/>
  <c r="K235" i="30" s="1"/>
  <c r="K258" i="30" s="1"/>
  <c r="K281" i="30" s="1"/>
  <c r="K304" i="30" s="1"/>
  <c r="K327" i="30" s="1"/>
  <c r="K350" i="30" s="1"/>
  <c r="K373" i="30" s="1"/>
  <c r="K396" i="30" s="1"/>
  <c r="K419" i="30" s="1"/>
  <c r="K442" i="30" s="1"/>
  <c r="K465" i="30" s="1"/>
  <c r="K488" i="30" s="1"/>
  <c r="K511" i="30" s="1"/>
  <c r="K534" i="30" s="1"/>
  <c r="K557" i="30" s="1"/>
  <c r="K580" i="30" s="1"/>
  <c r="K603" i="30" s="1"/>
  <c r="K626" i="30" s="1"/>
  <c r="K649" i="30" s="1"/>
  <c r="K672" i="30" s="1"/>
  <c r="K695" i="30" s="1"/>
  <c r="K718" i="30" s="1"/>
  <c r="K741" i="30" s="1"/>
  <c r="K764" i="30" s="1"/>
  <c r="K787" i="30" s="1"/>
  <c r="K810" i="30" s="1"/>
  <c r="K833" i="30" s="1"/>
  <c r="K856" i="30" s="1"/>
  <c r="K879" i="30" s="1"/>
  <c r="K902" i="30" s="1"/>
  <c r="K925" i="30" s="1"/>
  <c r="A51" i="30"/>
  <c r="A74" i="30" s="1"/>
  <c r="A97" i="30" s="1"/>
  <c r="A120" i="30" s="1"/>
  <c r="A143" i="30" s="1"/>
  <c r="A166" i="30" s="1"/>
  <c r="A189" i="30" s="1"/>
  <c r="A212" i="30" s="1"/>
  <c r="A235" i="30" s="1"/>
  <c r="A258" i="30" s="1"/>
  <c r="M34" i="30"/>
  <c r="M57" i="30" s="1"/>
  <c r="M80" i="30" s="1"/>
  <c r="M103" i="30" s="1"/>
  <c r="M126" i="30" s="1"/>
  <c r="K32" i="30"/>
  <c r="K55" i="30" s="1"/>
  <c r="K78" i="30" s="1"/>
  <c r="K101" i="30" s="1"/>
  <c r="K124" i="30" s="1"/>
  <c r="K147" i="30" s="1"/>
  <c r="K170" i="30" s="1"/>
  <c r="K193" i="30" s="1"/>
  <c r="K216" i="30" s="1"/>
  <c r="K239" i="30" s="1"/>
  <c r="K262" i="30" s="1"/>
  <c r="K285" i="30" s="1"/>
  <c r="K308" i="30" s="1"/>
  <c r="K331" i="30" s="1"/>
  <c r="K354" i="30" s="1"/>
  <c r="K377" i="30" s="1"/>
  <c r="K400" i="30" s="1"/>
  <c r="K423" i="30" s="1"/>
  <c r="K446" i="30" s="1"/>
  <c r="K469" i="30" s="1"/>
  <c r="K492" i="30" s="1"/>
  <c r="K515" i="30" s="1"/>
  <c r="K538" i="30" s="1"/>
  <c r="K561" i="30" s="1"/>
  <c r="K584" i="30" s="1"/>
  <c r="K607" i="30" s="1"/>
  <c r="K630" i="30" s="1"/>
  <c r="K653" i="30" s="1"/>
  <c r="K676" i="30" s="1"/>
  <c r="K699" i="30" s="1"/>
  <c r="K722" i="30" s="1"/>
  <c r="K745" i="30" s="1"/>
  <c r="K768" i="30" s="1"/>
  <c r="K791" i="30" s="1"/>
  <c r="K814" i="30" s="1"/>
  <c r="K837" i="30" s="1"/>
  <c r="K860" i="30" s="1"/>
  <c r="K883" i="30" s="1"/>
  <c r="K906" i="30" s="1"/>
  <c r="A50" i="30"/>
  <c r="A73" i="30" s="1"/>
  <c r="A96" i="30" s="1"/>
  <c r="A119" i="30" s="1"/>
  <c r="A142" i="30" s="1"/>
  <c r="A165" i="30" s="1"/>
  <c r="A188" i="30" s="1"/>
  <c r="A211" i="30" s="1"/>
  <c r="A234" i="30" s="1"/>
  <c r="A257" i="30" s="1"/>
  <c r="A280" i="30" s="1"/>
  <c r="K34" i="30"/>
  <c r="K57" i="30" s="1"/>
  <c r="K80" i="30" s="1"/>
  <c r="K103" i="30" s="1"/>
  <c r="K126" i="30" s="1"/>
  <c r="K149" i="30" s="1"/>
  <c r="K172" i="30" s="1"/>
  <c r="K195" i="30" s="1"/>
  <c r="K218" i="30" s="1"/>
  <c r="K241" i="30" s="1"/>
  <c r="K264" i="30" s="1"/>
  <c r="K287" i="30" s="1"/>
  <c r="K310" i="30" s="1"/>
  <c r="K333" i="30" s="1"/>
  <c r="K356" i="30" s="1"/>
  <c r="K379" i="30" s="1"/>
  <c r="K402" i="30" s="1"/>
  <c r="K425" i="30" s="1"/>
  <c r="K448" i="30" s="1"/>
  <c r="K471" i="30" s="1"/>
  <c r="K494" i="30" s="1"/>
  <c r="K517" i="30" s="1"/>
  <c r="K540" i="30" s="1"/>
  <c r="K563" i="30" s="1"/>
  <c r="K586" i="30" s="1"/>
  <c r="K609" i="30" s="1"/>
  <c r="K632" i="30" s="1"/>
  <c r="K655" i="30" s="1"/>
  <c r="K678" i="30" s="1"/>
  <c r="K701" i="30" s="1"/>
  <c r="K724" i="30" s="1"/>
  <c r="K747" i="30" s="1"/>
  <c r="K770" i="30" s="1"/>
  <c r="K793" i="30" s="1"/>
  <c r="K816" i="30" s="1"/>
  <c r="K839" i="30" s="1"/>
  <c r="K862" i="30" s="1"/>
  <c r="K885" i="30" s="1"/>
  <c r="K908" i="30" s="1"/>
  <c r="I51" i="30"/>
  <c r="I74" i="30" s="1"/>
  <c r="I97" i="30" s="1"/>
  <c r="I120" i="30" s="1"/>
  <c r="I143" i="30" s="1"/>
  <c r="I166" i="30" s="1"/>
  <c r="I34" i="30"/>
  <c r="I57" i="30" s="1"/>
  <c r="I80" i="30" s="1"/>
  <c r="I103" i="30" s="1"/>
  <c r="I126" i="30" s="1"/>
  <c r="I149" i="30" s="1"/>
  <c r="I172" i="30" s="1"/>
  <c r="I195" i="30" s="1"/>
  <c r="I218" i="30" s="1"/>
  <c r="I241" i="30" s="1"/>
  <c r="I264" i="30" s="1"/>
  <c r="I287" i="30" s="1"/>
  <c r="I310" i="30" s="1"/>
  <c r="I333" i="30" s="1"/>
  <c r="I356" i="30" s="1"/>
  <c r="I379" i="30" s="1"/>
  <c r="I402" i="30" s="1"/>
  <c r="I425" i="30" s="1"/>
  <c r="I448" i="30" s="1"/>
  <c r="I471" i="30" s="1"/>
  <c r="I494" i="30" s="1"/>
  <c r="I517" i="30" s="1"/>
  <c r="I540" i="30" s="1"/>
  <c r="I563" i="30" s="1"/>
  <c r="I586" i="30" s="1"/>
  <c r="I609" i="30" s="1"/>
  <c r="I632" i="30" s="1"/>
  <c r="I655" i="30" s="1"/>
  <c r="I678" i="30" s="1"/>
  <c r="I701" i="30" s="1"/>
  <c r="I724" i="30" s="1"/>
  <c r="I747" i="30" s="1"/>
  <c r="I770" i="30" s="1"/>
  <c r="I793" i="30" s="1"/>
  <c r="I816" i="30" s="1"/>
  <c r="I839" i="30" s="1"/>
  <c r="I862" i="30" s="1"/>
  <c r="I885" i="30" s="1"/>
  <c r="I908" i="30" s="1"/>
  <c r="G32" i="30"/>
  <c r="G55" i="30" s="1"/>
  <c r="G78" i="30" s="1"/>
  <c r="G101" i="30" s="1"/>
  <c r="G124" i="30" s="1"/>
  <c r="G147" i="30" s="1"/>
  <c r="G170" i="30" s="1"/>
  <c r="G193" i="30" s="1"/>
  <c r="G216" i="30" s="1"/>
  <c r="G239" i="30" s="1"/>
  <c r="G262" i="30" s="1"/>
  <c r="G285" i="30" s="1"/>
  <c r="G308" i="30" s="1"/>
  <c r="G331" i="30" s="1"/>
  <c r="G354" i="30" s="1"/>
  <c r="G377" i="30" s="1"/>
  <c r="G400" i="30" s="1"/>
  <c r="G423" i="30" s="1"/>
  <c r="G446" i="30" s="1"/>
  <c r="G469" i="30" s="1"/>
  <c r="G492" i="30" s="1"/>
  <c r="G515" i="30" s="1"/>
  <c r="G538" i="30" s="1"/>
  <c r="G561" i="30" s="1"/>
  <c r="G584" i="30" s="1"/>
  <c r="G607" i="30" s="1"/>
  <c r="G630" i="30" s="1"/>
  <c r="G653" i="30" s="1"/>
  <c r="G676" i="30" s="1"/>
  <c r="G699" i="30" s="1"/>
  <c r="G722" i="30" s="1"/>
  <c r="G745" i="30" s="1"/>
  <c r="G768" i="30" s="1"/>
  <c r="G791" i="30" s="1"/>
  <c r="G814" i="30" s="1"/>
  <c r="G837" i="30" s="1"/>
  <c r="G860" i="30" s="1"/>
  <c r="G883" i="30" s="1"/>
  <c r="G906" i="30" s="1"/>
  <c r="G34" i="30"/>
  <c r="G57" i="30" s="1"/>
  <c r="G80" i="30" s="1"/>
  <c r="G103" i="30" s="1"/>
  <c r="G126" i="30" s="1"/>
  <c r="G149" i="30" s="1"/>
  <c r="G172" i="30" s="1"/>
  <c r="G195" i="30" s="1"/>
  <c r="G218" i="30" s="1"/>
  <c r="G241" i="30" s="1"/>
  <c r="G264" i="30" s="1"/>
  <c r="G287" i="30" s="1"/>
  <c r="G310" i="30" s="1"/>
  <c r="G333" i="30" s="1"/>
  <c r="G356" i="30" s="1"/>
  <c r="G379" i="30" s="1"/>
  <c r="G402" i="30" s="1"/>
  <c r="G425" i="30" s="1"/>
  <c r="G448" i="30" s="1"/>
  <c r="G471" i="30" s="1"/>
  <c r="G494" i="30" s="1"/>
  <c r="G517" i="30" s="1"/>
  <c r="G540" i="30" s="1"/>
  <c r="G563" i="30" s="1"/>
  <c r="G586" i="30" s="1"/>
  <c r="G609" i="30" s="1"/>
  <c r="G632" i="30" s="1"/>
  <c r="G655" i="30" s="1"/>
  <c r="G678" i="30" s="1"/>
  <c r="G701" i="30" s="1"/>
  <c r="G724" i="30" s="1"/>
  <c r="G747" i="30" s="1"/>
  <c r="G770" i="30" s="1"/>
  <c r="G793" i="30" s="1"/>
  <c r="G816" i="30" s="1"/>
  <c r="G839" i="30" s="1"/>
  <c r="G862" i="30" s="1"/>
  <c r="G885" i="30" s="1"/>
  <c r="G908" i="30" s="1"/>
  <c r="G51" i="30"/>
  <c r="G74" i="30" s="1"/>
  <c r="G97" i="30" s="1"/>
  <c r="G120" i="30" s="1"/>
  <c r="G143" i="30" s="1"/>
  <c r="G166" i="30" s="1"/>
  <c r="G189" i="30" s="1"/>
  <c r="G212" i="30" s="1"/>
  <c r="G235" i="30" s="1"/>
  <c r="G258" i="30" s="1"/>
  <c r="G281" i="30" s="1"/>
  <c r="G304" i="30" s="1"/>
  <c r="G327" i="30" s="1"/>
  <c r="G350" i="30" s="1"/>
  <c r="G373" i="30" s="1"/>
  <c r="G396" i="30" s="1"/>
  <c r="G419" i="30" s="1"/>
  <c r="G442" i="30" s="1"/>
  <c r="G465" i="30" s="1"/>
  <c r="G488" i="30" s="1"/>
  <c r="G511" i="30" s="1"/>
  <c r="G534" i="30" s="1"/>
  <c r="G557" i="30" s="1"/>
  <c r="G580" i="30" s="1"/>
  <c r="G603" i="30" s="1"/>
  <c r="G626" i="30" s="1"/>
  <c r="G649" i="30" s="1"/>
  <c r="G672" i="30" s="1"/>
  <c r="G695" i="30" s="1"/>
  <c r="G718" i="30" s="1"/>
  <c r="G741" i="30" s="1"/>
  <c r="G764" i="30" s="1"/>
  <c r="G787" i="30" s="1"/>
  <c r="G810" i="30" s="1"/>
  <c r="G833" i="30" s="1"/>
  <c r="G856" i="30" s="1"/>
  <c r="G879" i="30" s="1"/>
  <c r="G902" i="30" s="1"/>
  <c r="G925" i="30" s="1"/>
  <c r="F34" i="30"/>
  <c r="D32" i="30"/>
  <c r="D55" i="30" s="1"/>
  <c r="D78" i="30" s="1"/>
  <c r="D101" i="30" s="1"/>
  <c r="D124" i="30" s="1"/>
  <c r="D147" i="30" s="1"/>
  <c r="D170" i="30" s="1"/>
  <c r="D193" i="30" s="1"/>
  <c r="D216" i="30" s="1"/>
  <c r="D239" i="30" s="1"/>
  <c r="D262" i="30" s="1"/>
  <c r="D285" i="30" s="1"/>
  <c r="D308" i="30" s="1"/>
  <c r="D331" i="30" s="1"/>
  <c r="D354" i="30" s="1"/>
  <c r="D377" i="30" s="1"/>
  <c r="D400" i="30" s="1"/>
  <c r="D423" i="30" s="1"/>
  <c r="D446" i="30" s="1"/>
  <c r="D469" i="30" s="1"/>
  <c r="D492" i="30" s="1"/>
  <c r="D515" i="30" s="1"/>
  <c r="D538" i="30" s="1"/>
  <c r="D561" i="30" s="1"/>
  <c r="D584" i="30" s="1"/>
  <c r="D607" i="30" s="1"/>
  <c r="D630" i="30" s="1"/>
  <c r="D653" i="30" s="1"/>
  <c r="D676" i="30" s="1"/>
  <c r="D699" i="30" s="1"/>
  <c r="D722" i="30" s="1"/>
  <c r="D745" i="30" s="1"/>
  <c r="D768" i="30" s="1"/>
  <c r="D791" i="30" s="1"/>
  <c r="D814" i="30" s="1"/>
  <c r="D837" i="30" s="1"/>
  <c r="D860" i="30" s="1"/>
  <c r="D883" i="30" s="1"/>
  <c r="D906" i="30" s="1"/>
  <c r="B34" i="30"/>
  <c r="B57" i="30" s="1"/>
  <c r="B80" i="30" s="1"/>
  <c r="B103" i="30" s="1"/>
  <c r="B126" i="30" s="1"/>
  <c r="N34" i="30"/>
  <c r="N57" i="30" s="1"/>
  <c r="N80" i="30" s="1"/>
  <c r="N103" i="30" s="1"/>
  <c r="N126" i="30" s="1"/>
  <c r="M51" i="30"/>
  <c r="M74" i="30" s="1"/>
  <c r="M97" i="30" s="1"/>
  <c r="M120" i="30" s="1"/>
  <c r="M143" i="30" s="1"/>
  <c r="M166" i="30" s="1"/>
  <c r="D51" i="30"/>
  <c r="D74" i="30" s="1"/>
  <c r="D97" i="30" s="1"/>
  <c r="D120" i="30" s="1"/>
  <c r="D143" i="30" s="1"/>
  <c r="D166" i="30" s="1"/>
  <c r="D189" i="30" s="1"/>
  <c r="D212" i="30" s="1"/>
  <c r="D235" i="30" s="1"/>
  <c r="D258" i="30" s="1"/>
  <c r="D281" i="30" s="1"/>
  <c r="D304" i="30" s="1"/>
  <c r="D327" i="30" s="1"/>
  <c r="D350" i="30" s="1"/>
  <c r="D373" i="30" s="1"/>
  <c r="D396" i="30" s="1"/>
  <c r="D419" i="30" s="1"/>
  <c r="D442" i="30" s="1"/>
  <c r="D465" i="30" s="1"/>
  <c r="D488" i="30" s="1"/>
  <c r="D511" i="30" s="1"/>
  <c r="D534" i="30" s="1"/>
  <c r="D557" i="30" s="1"/>
  <c r="D580" i="30" s="1"/>
  <c r="D603" i="30" s="1"/>
  <c r="D626" i="30" s="1"/>
  <c r="D649" i="30" s="1"/>
  <c r="D672" i="30" s="1"/>
  <c r="D695" i="30" s="1"/>
  <c r="D718" i="30" s="1"/>
  <c r="D741" i="30" s="1"/>
  <c r="D764" i="30" s="1"/>
  <c r="D787" i="30" s="1"/>
  <c r="D810" i="30" s="1"/>
  <c r="D833" i="30" s="1"/>
  <c r="D856" i="30" s="1"/>
  <c r="D879" i="30" s="1"/>
  <c r="D902" i="30" s="1"/>
  <c r="D925" i="30" s="1"/>
  <c r="A34" i="30"/>
  <c r="A57" i="30" s="1"/>
  <c r="A80" i="30" s="1"/>
  <c r="A103" i="30" s="1"/>
  <c r="A126" i="30" s="1"/>
  <c r="A32" i="30"/>
  <c r="A55" i="30" s="1"/>
  <c r="A78" i="30" s="1"/>
  <c r="A101" i="30" s="1"/>
  <c r="A124" i="30" s="1"/>
  <c r="A147" i="30" s="1"/>
  <c r="A170" i="30" s="1"/>
  <c r="I15" i="30"/>
  <c r="A648" i="29"/>
  <c r="A631" i="29"/>
  <c r="A614" i="29"/>
  <c r="A597" i="29"/>
  <c r="A580" i="29"/>
  <c r="A563" i="29"/>
  <c r="A546" i="29"/>
  <c r="A529" i="29"/>
  <c r="A512" i="29"/>
  <c r="A495" i="29"/>
  <c r="A478" i="29"/>
  <c r="A461" i="29"/>
  <c r="A444" i="29"/>
  <c r="A427" i="29"/>
  <c r="A410" i="29"/>
  <c r="A393" i="29"/>
  <c r="A376" i="29"/>
  <c r="A359" i="29"/>
  <c r="A342" i="29"/>
  <c r="A325" i="29"/>
  <c r="A308" i="29"/>
  <c r="A291" i="29"/>
  <c r="A274" i="29"/>
  <c r="A257" i="29"/>
  <c r="A240" i="29"/>
  <c r="A223" i="29"/>
  <c r="A206" i="29"/>
  <c r="A189" i="29"/>
  <c r="A172" i="29"/>
  <c r="A155" i="29"/>
  <c r="A138" i="29"/>
  <c r="A121" i="29"/>
  <c r="A104" i="29"/>
  <c r="A87" i="29"/>
  <c r="A70" i="29"/>
  <c r="A53" i="29"/>
  <c r="A19" i="29"/>
  <c r="A40" i="29"/>
  <c r="A57" i="29" s="1"/>
  <c r="A74" i="29" s="1"/>
  <c r="A91" i="29" s="1"/>
  <c r="A108" i="29" s="1"/>
  <c r="A125" i="29" s="1"/>
  <c r="A142" i="29" s="1"/>
  <c r="A159" i="29" s="1"/>
  <c r="A176" i="29" s="1"/>
  <c r="A193" i="29" s="1"/>
  <c r="A210" i="29" s="1"/>
  <c r="A227" i="29" s="1"/>
  <c r="A244" i="29" s="1"/>
  <c r="A261" i="29" s="1"/>
  <c r="A278" i="29" s="1"/>
  <c r="A295" i="29" s="1"/>
  <c r="A312" i="29" s="1"/>
  <c r="A329" i="29" s="1"/>
  <c r="A346" i="29" s="1"/>
  <c r="A363" i="29" s="1"/>
  <c r="A380" i="29" s="1"/>
  <c r="A397" i="29" s="1"/>
  <c r="A414" i="29" s="1"/>
  <c r="A431" i="29" s="1"/>
  <c r="A448" i="29" s="1"/>
  <c r="A465" i="29" s="1"/>
  <c r="A482" i="29" s="1"/>
  <c r="A499" i="29" s="1"/>
  <c r="A516" i="29" s="1"/>
  <c r="A533" i="29" s="1"/>
  <c r="A550" i="29" s="1"/>
  <c r="A567" i="29" s="1"/>
  <c r="A584" i="29" s="1"/>
  <c r="A601" i="29" s="1"/>
  <c r="A618" i="29" s="1"/>
  <c r="A635" i="29" s="1"/>
  <c r="A652" i="29" s="1"/>
  <c r="A39" i="29"/>
  <c r="A56" i="29" s="1"/>
  <c r="A73" i="29" s="1"/>
  <c r="A90" i="29" s="1"/>
  <c r="A107" i="29" s="1"/>
  <c r="A124" i="29" s="1"/>
  <c r="A141" i="29" s="1"/>
  <c r="A158" i="29" s="1"/>
  <c r="A175" i="29" s="1"/>
  <c r="A192" i="29" s="1"/>
  <c r="A209" i="29" s="1"/>
  <c r="A226" i="29" s="1"/>
  <c r="A243" i="29" s="1"/>
  <c r="A260" i="29" s="1"/>
  <c r="A277" i="29" s="1"/>
  <c r="A294" i="29" s="1"/>
  <c r="A311" i="29" s="1"/>
  <c r="A328" i="29" s="1"/>
  <c r="A345" i="29" s="1"/>
  <c r="A362" i="29" s="1"/>
  <c r="A379" i="29" s="1"/>
  <c r="A396" i="29" s="1"/>
  <c r="A413" i="29" s="1"/>
  <c r="A430" i="29" s="1"/>
  <c r="A447" i="29" s="1"/>
  <c r="A464" i="29" s="1"/>
  <c r="A481" i="29" s="1"/>
  <c r="A498" i="29" s="1"/>
  <c r="A515" i="29" s="1"/>
  <c r="A532" i="29" s="1"/>
  <c r="A549" i="29" s="1"/>
  <c r="A566" i="29" s="1"/>
  <c r="A583" i="29" s="1"/>
  <c r="A600" i="29" s="1"/>
  <c r="A617" i="29" s="1"/>
  <c r="A634" i="29" s="1"/>
  <c r="A651" i="29" s="1"/>
  <c r="A36" i="29"/>
  <c r="E25" i="28"/>
  <c r="E42" i="28" s="1"/>
  <c r="E59" i="28" s="1"/>
  <c r="E76" i="28" s="1"/>
  <c r="E93" i="28" s="1"/>
  <c r="E110" i="28" s="1"/>
  <c r="E127" i="28" s="1"/>
  <c r="E144" i="28" s="1"/>
  <c r="E161" i="28" s="1"/>
  <c r="E178" i="28" s="1"/>
  <c r="E195" i="28" s="1"/>
  <c r="E212" i="28" s="1"/>
  <c r="E229" i="28" s="1"/>
  <c r="E246" i="28" s="1"/>
  <c r="E263" i="28" s="1"/>
  <c r="E280" i="28" s="1"/>
  <c r="E297" i="28" s="1"/>
  <c r="E314" i="28" s="1"/>
  <c r="E331" i="28" s="1"/>
  <c r="E348" i="28" s="1"/>
  <c r="E365" i="28" s="1"/>
  <c r="E382" i="28" s="1"/>
  <c r="E399" i="28" s="1"/>
  <c r="E416" i="28" s="1"/>
  <c r="E433" i="28" s="1"/>
  <c r="E450" i="28" s="1"/>
  <c r="E467" i="28" s="1"/>
  <c r="E484" i="28" s="1"/>
  <c r="E501" i="28" s="1"/>
  <c r="E518" i="28" s="1"/>
  <c r="E535" i="28" s="1"/>
  <c r="E552" i="28" s="1"/>
  <c r="E569" i="28" s="1"/>
  <c r="E586" i="28" s="1"/>
  <c r="E603" i="28" s="1"/>
  <c r="E620" i="28" s="1"/>
  <c r="E637" i="28" s="1"/>
  <c r="D25" i="28"/>
  <c r="D42" i="28" s="1"/>
  <c r="D59" i="28" s="1"/>
  <c r="D76" i="28" s="1"/>
  <c r="D93" i="28" s="1"/>
  <c r="D110" i="28" s="1"/>
  <c r="D127" i="28" s="1"/>
  <c r="D144" i="28" s="1"/>
  <c r="D161" i="28" s="1"/>
  <c r="D178" i="28" s="1"/>
  <c r="D195" i="28" s="1"/>
  <c r="D212" i="28" s="1"/>
  <c r="D229" i="28" s="1"/>
  <c r="D246" i="28" s="1"/>
  <c r="D263" i="28" s="1"/>
  <c r="D280" i="28" s="1"/>
  <c r="D297" i="28" s="1"/>
  <c r="D314" i="28" s="1"/>
  <c r="D331" i="28" s="1"/>
  <c r="D348" i="28" s="1"/>
  <c r="D365" i="28" s="1"/>
  <c r="D382" i="28" s="1"/>
  <c r="D399" i="28" s="1"/>
  <c r="D416" i="28" s="1"/>
  <c r="D433" i="28" s="1"/>
  <c r="D450" i="28" s="1"/>
  <c r="D467" i="28" s="1"/>
  <c r="D484" i="28" s="1"/>
  <c r="D501" i="28" s="1"/>
  <c r="D518" i="28" s="1"/>
  <c r="D535" i="28" s="1"/>
  <c r="D552" i="28" s="1"/>
  <c r="D569" i="28" s="1"/>
  <c r="D586" i="28" s="1"/>
  <c r="D603" i="28" s="1"/>
  <c r="D620" i="28" s="1"/>
  <c r="D637" i="28" s="1"/>
  <c r="C25" i="28"/>
  <c r="C42" i="28" s="1"/>
  <c r="C59" i="28" s="1"/>
  <c r="C76" i="28" s="1"/>
  <c r="C93" i="28" s="1"/>
  <c r="C110" i="28" s="1"/>
  <c r="C127" i="28" s="1"/>
  <c r="C144" i="28" s="1"/>
  <c r="C161" i="28" s="1"/>
  <c r="C178" i="28" s="1"/>
  <c r="C195" i="28" s="1"/>
  <c r="C212" i="28" s="1"/>
  <c r="C229" i="28" s="1"/>
  <c r="C246" i="28" s="1"/>
  <c r="C263" i="28" s="1"/>
  <c r="C280" i="28" s="1"/>
  <c r="C297" i="28" s="1"/>
  <c r="C314" i="28" s="1"/>
  <c r="C331" i="28" s="1"/>
  <c r="C348" i="28" s="1"/>
  <c r="C365" i="28" s="1"/>
  <c r="C382" i="28" s="1"/>
  <c r="C399" i="28" s="1"/>
  <c r="C416" i="28" s="1"/>
  <c r="C433" i="28" s="1"/>
  <c r="C450" i="28" s="1"/>
  <c r="C467" i="28" s="1"/>
  <c r="C484" i="28" s="1"/>
  <c r="C501" i="28" s="1"/>
  <c r="C518" i="28" s="1"/>
  <c r="C535" i="28" s="1"/>
  <c r="C552" i="28" s="1"/>
  <c r="C569" i="28" s="1"/>
  <c r="C586" i="28" s="1"/>
  <c r="C603" i="28" s="1"/>
  <c r="C620" i="28" s="1"/>
  <c r="C637" i="28" s="1"/>
  <c r="B25" i="28"/>
  <c r="A25" i="28"/>
  <c r="A42" i="28" s="1"/>
  <c r="A59" i="28" s="1"/>
  <c r="A76" i="28" s="1"/>
  <c r="A93" i="28" s="1"/>
  <c r="A110" i="28" s="1"/>
  <c r="A127" i="28" s="1"/>
  <c r="A144" i="28" s="1"/>
  <c r="A161" i="28" s="1"/>
  <c r="A178" i="28" s="1"/>
  <c r="A195" i="28" s="1"/>
  <c r="A212" i="28" s="1"/>
  <c r="A229" i="28" s="1"/>
  <c r="A246" i="28" s="1"/>
  <c r="A263" i="28" s="1"/>
  <c r="A280" i="28" s="1"/>
  <c r="A297" i="28" s="1"/>
  <c r="A314" i="28" s="1"/>
  <c r="A331" i="28" s="1"/>
  <c r="A348" i="28" s="1"/>
  <c r="A365" i="28" s="1"/>
  <c r="A382" i="28" s="1"/>
  <c r="A399" i="28" s="1"/>
  <c r="A416" i="28" s="1"/>
  <c r="A433" i="28" s="1"/>
  <c r="A450" i="28" s="1"/>
  <c r="A467" i="28" s="1"/>
  <c r="A484" i="28" s="1"/>
  <c r="A501" i="28" s="1"/>
  <c r="A518" i="28" s="1"/>
  <c r="A535" i="28" s="1"/>
  <c r="A552" i="28" s="1"/>
  <c r="A569" i="28" s="1"/>
  <c r="A586" i="28" s="1"/>
  <c r="A603" i="28" s="1"/>
  <c r="A620" i="28" s="1"/>
  <c r="A637" i="28" s="1"/>
  <c r="O14" i="28"/>
  <c r="Z13" i="28"/>
  <c r="Y13" i="28"/>
  <c r="AR7" i="27"/>
  <c r="AR8" i="27" s="1"/>
  <c r="AQ7" i="27"/>
  <c r="AQ8" i="27" s="1"/>
  <c r="AQ9" i="27" s="1"/>
  <c r="AQ10" i="27" s="1"/>
  <c r="AQ11" i="27" s="1"/>
  <c r="AQ12" i="27" s="1"/>
  <c r="AQ13" i="27" s="1"/>
  <c r="AQ14" i="27" s="1"/>
  <c r="AQ15" i="27" s="1"/>
  <c r="AQ16" i="27" s="1"/>
  <c r="AQ17" i="27" s="1"/>
  <c r="AQ18" i="27" s="1"/>
  <c r="AQ19" i="27" s="1"/>
  <c r="AQ20" i="27" s="1"/>
  <c r="AQ21" i="27" s="1"/>
  <c r="AQ22" i="27" s="1"/>
  <c r="AQ23" i="27" s="1"/>
  <c r="AQ24" i="27" s="1"/>
  <c r="AQ25" i="27" s="1"/>
  <c r="AQ26" i="27" s="1"/>
  <c r="AQ27" i="27" s="1"/>
  <c r="AQ28" i="27" s="1"/>
  <c r="AQ29" i="27" s="1"/>
  <c r="AQ30" i="27" s="1"/>
  <c r="AQ31" i="27" s="1"/>
  <c r="AQ32" i="27" s="1"/>
  <c r="AQ33" i="27" s="1"/>
  <c r="AQ34" i="27" s="1"/>
  <c r="AQ35" i="27" s="1"/>
  <c r="AQ36" i="27" s="1"/>
  <c r="AQ37" i="27" s="1"/>
  <c r="AQ38" i="27" s="1"/>
  <c r="AQ39" i="27" s="1"/>
  <c r="AQ40" i="27" s="1"/>
  <c r="AQ41" i="27" s="1"/>
  <c r="AQ42" i="27" s="1"/>
  <c r="AQ43" i="27" s="1"/>
  <c r="AP7" i="27"/>
  <c r="AP8" i="27" s="1"/>
  <c r="AP9" i="27" s="1"/>
  <c r="AP10" i="27" s="1"/>
  <c r="AP11" i="27" s="1"/>
  <c r="AP12" i="27" s="1"/>
  <c r="AP13" i="27" s="1"/>
  <c r="AP14" i="27" s="1"/>
  <c r="AP15" i="27" s="1"/>
  <c r="AP16" i="27" s="1"/>
  <c r="AP17" i="27" s="1"/>
  <c r="AP18" i="27" s="1"/>
  <c r="AP19" i="27" s="1"/>
  <c r="AP20" i="27" s="1"/>
  <c r="AP21" i="27" s="1"/>
  <c r="AP22" i="27" s="1"/>
  <c r="AP23" i="27" s="1"/>
  <c r="AP24" i="27" s="1"/>
  <c r="AP25" i="27" s="1"/>
  <c r="AP26" i="27" s="1"/>
  <c r="AP27" i="27" s="1"/>
  <c r="AP28" i="27" s="1"/>
  <c r="AP29" i="27" s="1"/>
  <c r="AP30" i="27" s="1"/>
  <c r="AP31" i="27" s="1"/>
  <c r="AP32" i="27" s="1"/>
  <c r="AP33" i="27" s="1"/>
  <c r="AP34" i="27" s="1"/>
  <c r="AP35" i="27" s="1"/>
  <c r="AP36" i="27" s="1"/>
  <c r="AP37" i="27" s="1"/>
  <c r="AP38" i="27" s="1"/>
  <c r="AP39" i="27" s="1"/>
  <c r="AP40" i="27" s="1"/>
  <c r="AP41" i="27" s="1"/>
  <c r="AP42" i="27" s="1"/>
  <c r="AP43" i="27" s="1"/>
  <c r="AO7" i="27"/>
  <c r="AO8" i="27" s="1"/>
  <c r="AO9" i="27" s="1"/>
  <c r="AO10" i="27" s="1"/>
  <c r="AO11" i="27" s="1"/>
  <c r="AO12" i="27" s="1"/>
  <c r="AO13" i="27" s="1"/>
  <c r="AO14" i="27" s="1"/>
  <c r="AO15" i="27" s="1"/>
  <c r="AO16" i="27" s="1"/>
  <c r="AO17" i="27" s="1"/>
  <c r="AO18" i="27" s="1"/>
  <c r="AO19" i="27" s="1"/>
  <c r="AO20" i="27" s="1"/>
  <c r="AO21" i="27" s="1"/>
  <c r="AO22" i="27" s="1"/>
  <c r="AO23" i="27" s="1"/>
  <c r="AO24" i="27" s="1"/>
  <c r="AO25" i="27" s="1"/>
  <c r="AO26" i="27" s="1"/>
  <c r="AO27" i="27" s="1"/>
  <c r="AO28" i="27" s="1"/>
  <c r="AO29" i="27" s="1"/>
  <c r="AO30" i="27" s="1"/>
  <c r="AO31" i="27" s="1"/>
  <c r="AO32" i="27" s="1"/>
  <c r="AO33" i="27" s="1"/>
  <c r="AO34" i="27" s="1"/>
  <c r="AO35" i="27" s="1"/>
  <c r="AO36" i="27" s="1"/>
  <c r="AO37" i="27" s="1"/>
  <c r="AO38" i="27" s="1"/>
  <c r="AO39" i="27" s="1"/>
  <c r="AO40" i="27" s="1"/>
  <c r="AO41" i="27" s="1"/>
  <c r="AO42" i="27" s="1"/>
  <c r="AO43" i="27" s="1"/>
  <c r="AO44" i="27" s="1"/>
  <c r="AN7" i="27"/>
  <c r="AN8" i="27" s="1"/>
  <c r="AN9" i="27" s="1"/>
  <c r="AN10" i="27" s="1"/>
  <c r="AN11" i="27" s="1"/>
  <c r="AN12" i="27" s="1"/>
  <c r="AN13" i="27" s="1"/>
  <c r="AN14" i="27" s="1"/>
  <c r="AN15" i="27" s="1"/>
  <c r="AN16" i="27" s="1"/>
  <c r="AN17" i="27" s="1"/>
  <c r="AN18" i="27" s="1"/>
  <c r="AN19" i="27" s="1"/>
  <c r="AN20" i="27" s="1"/>
  <c r="AN21" i="27" s="1"/>
  <c r="AN22" i="27" s="1"/>
  <c r="AN23" i="27" s="1"/>
  <c r="AN24" i="27" s="1"/>
  <c r="AN25" i="27" s="1"/>
  <c r="AN26" i="27" s="1"/>
  <c r="AN27" i="27" s="1"/>
  <c r="AN28" i="27" s="1"/>
  <c r="AN29" i="27" s="1"/>
  <c r="AN30" i="27" s="1"/>
  <c r="AN31" i="27" s="1"/>
  <c r="AN32" i="27" s="1"/>
  <c r="AN33" i="27" s="1"/>
  <c r="AN34" i="27" s="1"/>
  <c r="AN35" i="27" s="1"/>
  <c r="AN36" i="27" s="1"/>
  <c r="AN37" i="27" s="1"/>
  <c r="AN38" i="27" s="1"/>
  <c r="AN39" i="27" s="1"/>
  <c r="AN40" i="27" s="1"/>
  <c r="AN41" i="27" s="1"/>
  <c r="AN42" i="27" s="1"/>
  <c r="AN43" i="27" s="1"/>
  <c r="A762" i="26"/>
  <c r="A743" i="26"/>
  <c r="A724" i="26"/>
  <c r="A705" i="26"/>
  <c r="A686" i="26"/>
  <c r="A667" i="26"/>
  <c r="A648" i="26"/>
  <c r="A629" i="26"/>
  <c r="A610" i="26"/>
  <c r="A591" i="26"/>
  <c r="A572" i="26"/>
  <c r="A553" i="26"/>
  <c r="A534" i="26"/>
  <c r="A515" i="26"/>
  <c r="A496" i="26"/>
  <c r="A477" i="26"/>
  <c r="A458" i="26"/>
  <c r="A439" i="26"/>
  <c r="A420" i="26"/>
  <c r="A401" i="26"/>
  <c r="A382" i="26"/>
  <c r="A363" i="26"/>
  <c r="A344" i="26"/>
  <c r="A325" i="26"/>
  <c r="A306" i="26"/>
  <c r="A287" i="26"/>
  <c r="A268" i="26"/>
  <c r="A249" i="26"/>
  <c r="A230" i="26"/>
  <c r="A211" i="26"/>
  <c r="A192" i="26"/>
  <c r="A173" i="26"/>
  <c r="A154" i="26"/>
  <c r="A135" i="26"/>
  <c r="A116" i="26"/>
  <c r="A97" i="26"/>
  <c r="A78" i="26"/>
  <c r="A59" i="26"/>
  <c r="A44" i="26"/>
  <c r="A63" i="26" s="1"/>
  <c r="A43" i="26"/>
  <c r="A62" i="26" s="1"/>
  <c r="A81" i="26" s="1"/>
  <c r="A100" i="26" s="1"/>
  <c r="A119" i="26" s="1"/>
  <c r="A138" i="26" s="1"/>
  <c r="A157" i="26" s="1"/>
  <c r="A176" i="26" s="1"/>
  <c r="A195" i="26" s="1"/>
  <c r="A214" i="26" s="1"/>
  <c r="A233" i="26" s="1"/>
  <c r="A252" i="26" s="1"/>
  <c r="A271" i="26" s="1"/>
  <c r="A290" i="26" s="1"/>
  <c r="A309" i="26" s="1"/>
  <c r="A328" i="26" s="1"/>
  <c r="A347" i="26" s="1"/>
  <c r="A366" i="26" s="1"/>
  <c r="A385" i="26" s="1"/>
  <c r="A404" i="26" s="1"/>
  <c r="A423" i="26" s="1"/>
  <c r="A442" i="26" s="1"/>
  <c r="A461" i="26" s="1"/>
  <c r="A480" i="26" s="1"/>
  <c r="A499" i="26" s="1"/>
  <c r="A518" i="26" s="1"/>
  <c r="A537" i="26" s="1"/>
  <c r="A556" i="26" s="1"/>
  <c r="A575" i="26" s="1"/>
  <c r="A594" i="26" s="1"/>
  <c r="A613" i="26" s="1"/>
  <c r="A632" i="26" s="1"/>
  <c r="A651" i="26" s="1"/>
  <c r="A670" i="26" s="1"/>
  <c r="A689" i="26" s="1"/>
  <c r="A708" i="26" s="1"/>
  <c r="A727" i="26" s="1"/>
  <c r="A746" i="26" s="1"/>
  <c r="A765" i="26" s="1"/>
  <c r="A40" i="26"/>
  <c r="A21" i="26"/>
  <c r="AP7" i="24"/>
  <c r="AP8" i="24" s="1"/>
  <c r="AP9" i="24" s="1"/>
  <c r="AP10" i="24" s="1"/>
  <c r="AP11" i="24" s="1"/>
  <c r="AP12" i="24" s="1"/>
  <c r="AP13" i="24" s="1"/>
  <c r="AP14" i="24" s="1"/>
  <c r="AP15" i="24" s="1"/>
  <c r="AP16" i="24" s="1"/>
  <c r="AP17" i="24" s="1"/>
  <c r="AP18" i="24" s="1"/>
  <c r="AP19" i="24" s="1"/>
  <c r="AP20" i="24" s="1"/>
  <c r="AP21" i="24" s="1"/>
  <c r="AP22" i="24" s="1"/>
  <c r="AP23" i="24" s="1"/>
  <c r="AP24" i="24" s="1"/>
  <c r="AP25" i="24" s="1"/>
  <c r="AP26" i="24" s="1"/>
  <c r="AP27" i="24" s="1"/>
  <c r="AP28" i="24" s="1"/>
  <c r="AP29" i="24" s="1"/>
  <c r="AP30" i="24" s="1"/>
  <c r="AO7" i="24"/>
  <c r="AO8" i="24" s="1"/>
  <c r="AO9" i="24" s="1"/>
  <c r="AO10" i="24" s="1"/>
  <c r="AO11" i="24" s="1"/>
  <c r="AO12" i="24" s="1"/>
  <c r="AO13" i="24" s="1"/>
  <c r="AO14" i="24" s="1"/>
  <c r="AO15" i="24" s="1"/>
  <c r="AO16" i="24" s="1"/>
  <c r="AO17" i="24" s="1"/>
  <c r="AO18" i="24" s="1"/>
  <c r="AO19" i="24" s="1"/>
  <c r="AO20" i="24" s="1"/>
  <c r="AO21" i="24" s="1"/>
  <c r="AO22" i="24" s="1"/>
  <c r="AO23" i="24" s="1"/>
  <c r="AO24" i="24" s="1"/>
  <c r="AO25" i="24" s="1"/>
  <c r="AO26" i="24" s="1"/>
  <c r="AO27" i="24" s="1"/>
  <c r="AO28" i="24" s="1"/>
  <c r="AO29" i="24" s="1"/>
  <c r="AO30" i="24" s="1"/>
  <c r="AN7" i="24"/>
  <c r="AN8" i="24" s="1"/>
  <c r="AN9" i="24" s="1"/>
  <c r="AN10" i="24" s="1"/>
  <c r="AN11" i="24" s="1"/>
  <c r="AN12" i="24" s="1"/>
  <c r="AN13" i="24" s="1"/>
  <c r="AN14" i="24" s="1"/>
  <c r="AN15" i="24" s="1"/>
  <c r="AN16" i="24" s="1"/>
  <c r="AN17" i="24" s="1"/>
  <c r="AN18" i="24" s="1"/>
  <c r="AN19" i="24" s="1"/>
  <c r="AN20" i="24" s="1"/>
  <c r="AN21" i="24" s="1"/>
  <c r="AN22" i="24" s="1"/>
  <c r="AN23" i="24" s="1"/>
  <c r="AN24" i="24" s="1"/>
  <c r="AN25" i="24" s="1"/>
  <c r="AN26" i="24" s="1"/>
  <c r="AN27" i="24" s="1"/>
  <c r="AN28" i="24" s="1"/>
  <c r="AN29" i="24" s="1"/>
  <c r="AN30" i="24" s="1"/>
  <c r="O33" i="25"/>
  <c r="O34" i="25" s="1"/>
  <c r="O35" i="25" s="1"/>
  <c r="O36" i="25" s="1"/>
  <c r="O37" i="25" s="1"/>
  <c r="O38" i="25" s="1"/>
  <c r="O39" i="25" s="1"/>
  <c r="O40" i="25" s="1"/>
  <c r="O41" i="25" s="1"/>
  <c r="E27" i="25"/>
  <c r="E46" i="25" s="1"/>
  <c r="E65" i="25" s="1"/>
  <c r="E84" i="25" s="1"/>
  <c r="E103" i="25" s="1"/>
  <c r="E122" i="25" s="1"/>
  <c r="E141" i="25" s="1"/>
  <c r="E160" i="25" s="1"/>
  <c r="E179" i="25" s="1"/>
  <c r="E198" i="25" s="1"/>
  <c r="E217" i="25" s="1"/>
  <c r="E236" i="25" s="1"/>
  <c r="E255" i="25" s="1"/>
  <c r="E274" i="25" s="1"/>
  <c r="E293" i="25" s="1"/>
  <c r="E312" i="25" s="1"/>
  <c r="E331" i="25" s="1"/>
  <c r="E350" i="25" s="1"/>
  <c r="E369" i="25" s="1"/>
  <c r="E388" i="25" s="1"/>
  <c r="E407" i="25" s="1"/>
  <c r="E426" i="25" s="1"/>
  <c r="E445" i="25" s="1"/>
  <c r="E464" i="25" s="1"/>
  <c r="E483" i="25" s="1"/>
  <c r="E502" i="25" s="1"/>
  <c r="E521" i="25" s="1"/>
  <c r="E540" i="25" s="1"/>
  <c r="E559" i="25" s="1"/>
  <c r="E578" i="25" s="1"/>
  <c r="E597" i="25" s="1"/>
  <c r="E616" i="25" s="1"/>
  <c r="E635" i="25" s="1"/>
  <c r="E654" i="25" s="1"/>
  <c r="E673" i="25" s="1"/>
  <c r="E692" i="25" s="1"/>
  <c r="E711" i="25" s="1"/>
  <c r="E730" i="25" s="1"/>
  <c r="E749" i="25" s="1"/>
  <c r="D27" i="25"/>
  <c r="D46" i="25" s="1"/>
  <c r="D65" i="25" s="1"/>
  <c r="D84" i="25" s="1"/>
  <c r="D103" i="25" s="1"/>
  <c r="D122" i="25" s="1"/>
  <c r="D141" i="25" s="1"/>
  <c r="D160" i="25" s="1"/>
  <c r="D179" i="25" s="1"/>
  <c r="D198" i="25" s="1"/>
  <c r="D217" i="25" s="1"/>
  <c r="D236" i="25" s="1"/>
  <c r="D255" i="25" s="1"/>
  <c r="D274" i="25" s="1"/>
  <c r="D293" i="25" s="1"/>
  <c r="D312" i="25" s="1"/>
  <c r="D331" i="25" s="1"/>
  <c r="D350" i="25" s="1"/>
  <c r="D369" i="25" s="1"/>
  <c r="D388" i="25" s="1"/>
  <c r="D407" i="25" s="1"/>
  <c r="D426" i="25" s="1"/>
  <c r="D445" i="25" s="1"/>
  <c r="D464" i="25" s="1"/>
  <c r="D483" i="25" s="1"/>
  <c r="D502" i="25" s="1"/>
  <c r="D521" i="25" s="1"/>
  <c r="D540" i="25" s="1"/>
  <c r="D559" i="25" s="1"/>
  <c r="D578" i="25" s="1"/>
  <c r="D597" i="25" s="1"/>
  <c r="D616" i="25" s="1"/>
  <c r="D635" i="25" s="1"/>
  <c r="D654" i="25" s="1"/>
  <c r="D673" i="25" s="1"/>
  <c r="D692" i="25" s="1"/>
  <c r="D711" i="25" s="1"/>
  <c r="D730" i="25" s="1"/>
  <c r="D749" i="25" s="1"/>
  <c r="C27" i="25"/>
  <c r="C46" i="25" s="1"/>
  <c r="C65" i="25" s="1"/>
  <c r="C84" i="25" s="1"/>
  <c r="C103" i="25" s="1"/>
  <c r="C122" i="25" s="1"/>
  <c r="C141" i="25" s="1"/>
  <c r="C160" i="25" s="1"/>
  <c r="C179" i="25" s="1"/>
  <c r="C198" i="25" s="1"/>
  <c r="C217" i="25" s="1"/>
  <c r="C236" i="25" s="1"/>
  <c r="C255" i="25" s="1"/>
  <c r="C274" i="25" s="1"/>
  <c r="C293" i="25" s="1"/>
  <c r="C312" i="25" s="1"/>
  <c r="C331" i="25" s="1"/>
  <c r="C350" i="25" s="1"/>
  <c r="C369" i="25" s="1"/>
  <c r="C388" i="25" s="1"/>
  <c r="C407" i="25" s="1"/>
  <c r="C426" i="25" s="1"/>
  <c r="C445" i="25" s="1"/>
  <c r="C464" i="25" s="1"/>
  <c r="C483" i="25" s="1"/>
  <c r="C502" i="25" s="1"/>
  <c r="C521" i="25" s="1"/>
  <c r="C540" i="25" s="1"/>
  <c r="C559" i="25" s="1"/>
  <c r="C578" i="25" s="1"/>
  <c r="C597" i="25" s="1"/>
  <c r="C616" i="25" s="1"/>
  <c r="C635" i="25" s="1"/>
  <c r="C654" i="25" s="1"/>
  <c r="C673" i="25" s="1"/>
  <c r="C692" i="25" s="1"/>
  <c r="C711" i="25" s="1"/>
  <c r="C730" i="25" s="1"/>
  <c r="C749" i="25" s="1"/>
  <c r="B27" i="25"/>
  <c r="A27" i="25"/>
  <c r="A46" i="25" s="1"/>
  <c r="A65" i="25" s="1"/>
  <c r="A84" i="25" s="1"/>
  <c r="A103" i="25" s="1"/>
  <c r="A122" i="25" s="1"/>
  <c r="A141" i="25" s="1"/>
  <c r="A160" i="25" s="1"/>
  <c r="A179" i="25" s="1"/>
  <c r="A198" i="25" s="1"/>
  <c r="A217" i="25" s="1"/>
  <c r="A236" i="25" s="1"/>
  <c r="A255" i="25" s="1"/>
  <c r="A274" i="25" s="1"/>
  <c r="A293" i="25" s="1"/>
  <c r="A312" i="25" s="1"/>
  <c r="A331" i="25" s="1"/>
  <c r="A350" i="25" s="1"/>
  <c r="A369" i="25" s="1"/>
  <c r="A388" i="25" s="1"/>
  <c r="A407" i="25" s="1"/>
  <c r="A426" i="25" s="1"/>
  <c r="A445" i="25" s="1"/>
  <c r="A464" i="25" s="1"/>
  <c r="A483" i="25" s="1"/>
  <c r="A502" i="25" s="1"/>
  <c r="A521" i="25" s="1"/>
  <c r="A540" i="25" s="1"/>
  <c r="A559" i="25" s="1"/>
  <c r="A578" i="25" s="1"/>
  <c r="A597" i="25" s="1"/>
  <c r="A616" i="25" s="1"/>
  <c r="A635" i="25" s="1"/>
  <c r="A654" i="25" s="1"/>
  <c r="A673" i="25" s="1"/>
  <c r="A692" i="25" s="1"/>
  <c r="A711" i="25" s="1"/>
  <c r="A730" i="25" s="1"/>
  <c r="A749" i="25" s="1"/>
  <c r="O14" i="25"/>
  <c r="O15" i="25" s="1"/>
  <c r="O16" i="25" s="1"/>
  <c r="O17" i="25" s="1"/>
  <c r="O18" i="25" s="1"/>
  <c r="O19" i="25" s="1"/>
  <c r="O20" i="25" s="1"/>
  <c r="O21" i="25" s="1"/>
  <c r="O22" i="25" s="1"/>
  <c r="Z13" i="25"/>
  <c r="Y13" i="25"/>
  <c r="H1103" i="34"/>
  <c r="B47" i="30"/>
  <c r="A82" i="30"/>
  <c r="T70" i="30"/>
  <c r="S42" i="30"/>
  <c r="S13" i="28"/>
  <c r="B9" i="28"/>
  <c r="C1103" i="34"/>
  <c r="U49" i="30"/>
  <c r="A16" i="34"/>
  <c r="H239" i="33"/>
  <c r="H19" i="34"/>
  <c r="Q39" i="30"/>
  <c r="W70" i="30"/>
  <c r="I30" i="23"/>
  <c r="U44" i="30"/>
  <c r="B86" i="30"/>
  <c r="B272" i="31"/>
  <c r="Q40" i="30"/>
  <c r="S92" i="30"/>
  <c r="W256" i="31"/>
  <c r="H240" i="33"/>
  <c r="A271" i="31"/>
  <c r="Q44" i="30"/>
  <c r="T63" i="30"/>
  <c r="H61" i="23"/>
  <c r="C58" i="23"/>
  <c r="S44" i="30"/>
  <c r="U64" i="30"/>
  <c r="F86" i="30"/>
  <c r="H236" i="33"/>
  <c r="F48" i="30"/>
  <c r="B63" i="30"/>
  <c r="B14" i="25"/>
  <c r="A15" i="25"/>
  <c r="Q47" i="30"/>
  <c r="T92" i="30"/>
  <c r="T45" i="30"/>
  <c r="S86" i="30"/>
  <c r="F60" i="30"/>
  <c r="C238" i="33"/>
  <c r="S19" i="25"/>
  <c r="U45" i="30"/>
  <c r="U14" i="25"/>
  <c r="T95" i="30"/>
  <c r="U88" i="30"/>
  <c r="A62" i="30"/>
  <c r="F43" i="30"/>
  <c r="F38" i="30"/>
  <c r="W259" i="31"/>
  <c r="A71" i="30"/>
  <c r="A20" i="25"/>
  <c r="Q271" i="31"/>
  <c r="A37" i="30"/>
  <c r="B87" i="30"/>
  <c r="S40" i="30"/>
  <c r="B32" i="30"/>
  <c r="B9" i="25"/>
  <c r="T15" i="25"/>
  <c r="F15" i="25"/>
  <c r="U18" i="25"/>
  <c r="F62" i="30"/>
  <c r="T60" i="30"/>
  <c r="I9" i="25"/>
  <c r="B42" i="30"/>
  <c r="F92" i="30"/>
  <c r="S94" i="30"/>
  <c r="C234" i="33"/>
  <c r="A236" i="33"/>
  <c r="A94" i="30"/>
  <c r="C232" i="33"/>
  <c r="B90" i="30"/>
  <c r="W254" i="31"/>
  <c r="C236" i="33"/>
  <c r="I31" i="23"/>
  <c r="A21" i="25"/>
  <c r="F13" i="25"/>
  <c r="U82" i="30"/>
  <c r="U93" i="30"/>
  <c r="U41" i="30"/>
  <c r="W68" i="30"/>
  <c r="C161" i="34"/>
  <c r="C18" i="34"/>
  <c r="A235" i="33"/>
  <c r="H11" i="33"/>
  <c r="A11" i="33"/>
  <c r="C62" i="23"/>
  <c r="B19" i="25"/>
  <c r="T41" i="30"/>
  <c r="H79" i="34"/>
  <c r="W69" i="30"/>
  <c r="C10" i="34"/>
  <c r="B275" i="31"/>
  <c r="A45" i="30"/>
  <c r="T21" i="25"/>
  <c r="S21" i="25"/>
  <c r="B13" i="25"/>
  <c r="Q275" i="31"/>
  <c r="S83" i="30"/>
  <c r="U16" i="25"/>
  <c r="Q15" i="25"/>
  <c r="F94" i="30"/>
  <c r="T22" i="25"/>
  <c r="H234" i="33"/>
  <c r="C1098" i="34"/>
  <c r="A1103" i="34"/>
  <c r="T18" i="30"/>
  <c r="Q37" i="30"/>
  <c r="A238" i="33"/>
  <c r="A38" i="30"/>
  <c r="C10" i="33"/>
  <c r="U47" i="30"/>
  <c r="U42" i="30"/>
  <c r="Q20" i="25"/>
  <c r="B39" i="30"/>
  <c r="B274" i="31"/>
  <c r="W257" i="31"/>
  <c r="W59" i="30"/>
  <c r="B14" i="28"/>
  <c r="T82" i="30"/>
  <c r="C159" i="34"/>
  <c r="B88" i="30"/>
  <c r="C1102" i="34"/>
  <c r="B44" i="30"/>
  <c r="M26" i="28"/>
  <c r="C240" i="33"/>
  <c r="Q270" i="31"/>
  <c r="S88" i="30"/>
  <c r="T20" i="25"/>
  <c r="B95" i="30"/>
  <c r="A86" i="30"/>
  <c r="A14" i="25"/>
  <c r="A89" i="30"/>
  <c r="A163" i="34"/>
  <c r="C237" i="33"/>
  <c r="Q45" i="30"/>
  <c r="U40" i="30"/>
  <c r="C1097" i="34"/>
  <c r="S87" i="30"/>
  <c r="H1097" i="34"/>
  <c r="M281" i="31"/>
  <c r="U38" i="30"/>
  <c r="W71" i="30"/>
  <c r="C1099" i="34"/>
  <c r="Q272" i="31"/>
  <c r="C19" i="34"/>
  <c r="Q42" i="30"/>
  <c r="U22" i="25"/>
  <c r="F21" i="25"/>
  <c r="F16" i="25"/>
  <c r="F42" i="30"/>
  <c r="I231" i="33"/>
  <c r="S49" i="30"/>
  <c r="C1101" i="34"/>
  <c r="S275" i="31"/>
  <c r="C20" i="34"/>
  <c r="A13" i="28"/>
  <c r="U18" i="30"/>
  <c r="U60" i="30"/>
  <c r="F23" i="30"/>
  <c r="Q16" i="25"/>
  <c r="S47" i="30"/>
  <c r="A239" i="33"/>
  <c r="A92" i="30"/>
  <c r="U39" i="30"/>
  <c r="U86" i="30"/>
  <c r="C56" i="23"/>
  <c r="W63" i="30"/>
  <c r="U87" i="30"/>
  <c r="F37" i="30"/>
  <c r="A83" i="30"/>
  <c r="F272" i="31"/>
  <c r="B37" i="30"/>
  <c r="H235" i="33"/>
  <c r="H237" i="33"/>
  <c r="A64" i="30"/>
  <c r="I123" i="23"/>
  <c r="U89" i="30"/>
  <c r="T16" i="25"/>
  <c r="B94" i="30"/>
  <c r="Q43" i="30"/>
  <c r="B16" i="25"/>
  <c r="S36" i="30"/>
  <c r="F22" i="25"/>
  <c r="U94" i="30"/>
  <c r="B84" i="30"/>
  <c r="T275" i="31"/>
  <c r="A42" i="30"/>
  <c r="T91" i="30"/>
  <c r="B15" i="25"/>
  <c r="S38" i="30"/>
  <c r="F69" i="30"/>
  <c r="T18" i="25"/>
  <c r="Q19" i="25"/>
  <c r="U62" i="30"/>
  <c r="S22" i="25"/>
  <c r="F40" i="30"/>
  <c r="H58" i="23"/>
  <c r="A1170" i="34"/>
  <c r="T42" i="30"/>
  <c r="A1099" i="34"/>
  <c r="B22" i="25"/>
  <c r="F44" i="30"/>
  <c r="M9" i="28"/>
  <c r="A10" i="33"/>
  <c r="F13" i="28"/>
  <c r="A91" i="30"/>
  <c r="A1101" i="34"/>
  <c r="A20" i="34"/>
  <c r="F18" i="25"/>
  <c r="S93" i="30"/>
  <c r="W22" i="30"/>
  <c r="A19" i="25"/>
  <c r="S20" i="25"/>
  <c r="H78" i="34"/>
  <c r="A24" i="34"/>
  <c r="F39" i="30"/>
  <c r="S15" i="25"/>
  <c r="B271" i="31"/>
  <c r="H63" i="23"/>
  <c r="Q269" i="31"/>
  <c r="F68" i="30"/>
  <c r="F90" i="30"/>
  <c r="A46" i="30"/>
  <c r="U37" i="30"/>
  <c r="A234" i="33"/>
  <c r="T85" i="30"/>
  <c r="C16" i="34"/>
  <c r="A17" i="34"/>
  <c r="Q21" i="25"/>
  <c r="C61" i="23"/>
  <c r="S89" i="30"/>
  <c r="C1100" i="34"/>
  <c r="A93" i="30"/>
  <c r="S273" i="31"/>
  <c r="C235" i="33"/>
  <c r="A60" i="30"/>
  <c r="U14" i="28"/>
  <c r="F49" i="30"/>
  <c r="H160" i="34"/>
  <c r="B68" i="30"/>
  <c r="U15" i="25"/>
  <c r="T83" i="30"/>
  <c r="F82" i="30"/>
  <c r="F20" i="25"/>
  <c r="I122" i="23"/>
  <c r="T43" i="30"/>
  <c r="C9" i="34"/>
  <c r="B92" i="30"/>
  <c r="H1172" i="34"/>
  <c r="Q46" i="30"/>
  <c r="U43" i="30"/>
  <c r="A90" i="30"/>
  <c r="B23" i="30"/>
  <c r="H20" i="34"/>
  <c r="Q14" i="25"/>
  <c r="T23" i="30"/>
  <c r="T90" i="30"/>
  <c r="U36" i="30"/>
  <c r="A270" i="31"/>
  <c r="I9" i="28"/>
  <c r="B93" i="30"/>
  <c r="C231" i="33"/>
  <c r="B43" i="30"/>
  <c r="T272" i="31"/>
  <c r="B85" i="30"/>
  <c r="U23" i="30"/>
  <c r="A65" i="30"/>
  <c r="S95" i="30"/>
  <c r="B70" i="30"/>
  <c r="Q41" i="30"/>
  <c r="A95" i="30"/>
  <c r="S17" i="25"/>
  <c r="A41" i="30"/>
  <c r="U83" i="30"/>
  <c r="S39" i="30"/>
  <c r="F273" i="31"/>
  <c r="S84" i="30"/>
  <c r="U46" i="30"/>
  <c r="Q14" i="28"/>
  <c r="U84" i="30"/>
  <c r="S16" i="25"/>
  <c r="T86" i="30"/>
  <c r="T89" i="30"/>
  <c r="U19" i="25"/>
  <c r="F71" i="30"/>
  <c r="A15" i="34"/>
  <c r="F14" i="25"/>
  <c r="F274" i="31"/>
  <c r="T14" i="28"/>
  <c r="F59" i="30"/>
  <c r="T62" i="30"/>
  <c r="F67" i="30"/>
  <c r="T273" i="31"/>
  <c r="C239" i="33"/>
  <c r="A43" i="30"/>
  <c r="F93" i="30"/>
  <c r="U48" i="30"/>
  <c r="H1168" i="34"/>
  <c r="T40" i="30"/>
  <c r="A63" i="30"/>
  <c r="H17" i="34"/>
  <c r="F280" i="31"/>
  <c r="E9" i="28"/>
  <c r="F41" i="30"/>
  <c r="H15" i="34"/>
  <c r="B83" i="30"/>
  <c r="A17" i="25"/>
  <c r="F65" i="30"/>
  <c r="C155" i="34"/>
  <c r="T13" i="28"/>
  <c r="F47" i="30"/>
  <c r="A272" i="31"/>
  <c r="M28" i="25"/>
  <c r="T47" i="30"/>
  <c r="B17" i="25"/>
  <c r="H24" i="34"/>
  <c r="S37" i="30"/>
  <c r="S48" i="30"/>
  <c r="A275" i="31"/>
  <c r="H1099" i="34"/>
  <c r="C7" i="23"/>
  <c r="A36" i="30"/>
  <c r="A85" i="30"/>
  <c r="A88" i="30"/>
  <c r="U270" i="31"/>
  <c r="C158" i="34"/>
  <c r="F45" i="30"/>
  <c r="B26" i="28"/>
  <c r="F270" i="31"/>
  <c r="A67" i="30"/>
  <c r="S91" i="30"/>
  <c r="U269" i="31"/>
  <c r="A269" i="31"/>
  <c r="Q36" i="30"/>
  <c r="H1665" i="34"/>
  <c r="T274" i="31"/>
  <c r="U13" i="28"/>
  <c r="F17" i="25"/>
  <c r="A22" i="25"/>
  <c r="A153" i="34"/>
  <c r="B91" i="30"/>
  <c r="F269" i="31"/>
  <c r="A56" i="23"/>
  <c r="A23" i="30"/>
  <c r="C153" i="34"/>
  <c r="S46" i="30"/>
  <c r="T88" i="30"/>
  <c r="H10" i="33"/>
  <c r="A68" i="30"/>
  <c r="A273" i="31"/>
  <c r="T87" i="30"/>
  <c r="B41" i="30"/>
  <c r="H238" i="33"/>
  <c r="U273" i="31"/>
  <c r="F83" i="30"/>
  <c r="B20" i="25"/>
  <c r="C64" i="23"/>
  <c r="C163" i="34"/>
  <c r="T39" i="30"/>
  <c r="S85" i="30"/>
  <c r="C63" i="23"/>
  <c r="F85" i="30"/>
  <c r="F36" i="30"/>
  <c r="W66" i="30"/>
  <c r="F46" i="30"/>
  <c r="T46" i="30"/>
  <c r="T44" i="30"/>
  <c r="B270" i="31"/>
  <c r="A18" i="34"/>
  <c r="H1100" i="34"/>
  <c r="Q38" i="30"/>
  <c r="F87" i="30"/>
  <c r="Q22" i="25"/>
  <c r="W61" i="30"/>
  <c r="T36" i="30"/>
  <c r="A40" i="30"/>
  <c r="H16" i="34"/>
  <c r="U92" i="30"/>
  <c r="C17" i="34"/>
  <c r="B48" i="30"/>
  <c r="Q273" i="31"/>
  <c r="S43" i="30"/>
  <c r="Q17" i="25"/>
  <c r="U95" i="30"/>
  <c r="U17" i="25"/>
  <c r="I232" i="33"/>
  <c r="T38" i="30"/>
  <c r="F84" i="30"/>
  <c r="H1102" i="34"/>
  <c r="U20" i="25"/>
  <c r="C1666" i="34"/>
  <c r="S45" i="30"/>
  <c r="T14" i="25"/>
  <c r="W253" i="31"/>
  <c r="F275" i="31"/>
  <c r="B21" i="25"/>
  <c r="A48" i="30"/>
  <c r="H10" i="34"/>
  <c r="S13" i="25"/>
  <c r="B40" i="30"/>
  <c r="E28" i="25"/>
  <c r="Q13" i="28"/>
  <c r="E281" i="31"/>
  <c r="A84" i="30"/>
  <c r="C24" i="34"/>
  <c r="U271" i="31"/>
  <c r="H18" i="34"/>
  <c r="W255" i="31"/>
  <c r="W65" i="30"/>
  <c r="B269" i="31"/>
  <c r="H1101" i="34"/>
  <c r="S18" i="30"/>
  <c r="B46" i="30"/>
  <c r="S271" i="31"/>
  <c r="U274" i="31"/>
  <c r="S90" i="30"/>
  <c r="S270" i="31"/>
  <c r="F95" i="30"/>
  <c r="B38" i="30"/>
  <c r="S274" i="31"/>
  <c r="Q274" i="31"/>
  <c r="S269" i="31"/>
  <c r="Q48" i="30"/>
  <c r="A240" i="33"/>
  <c r="F91" i="30"/>
  <c r="A70" i="30"/>
  <c r="A66" i="30"/>
  <c r="T48" i="30"/>
  <c r="B13" i="28"/>
  <c r="C57" i="23"/>
  <c r="U67" i="30"/>
  <c r="U85" i="30"/>
  <c r="S23" i="30"/>
  <c r="B28" i="25"/>
  <c r="T271" i="31"/>
  <c r="F271" i="31"/>
  <c r="C11" i="33"/>
  <c r="T17" i="25"/>
  <c r="C66" i="23"/>
  <c r="A274" i="31"/>
  <c r="W258" i="31"/>
  <c r="T84" i="30"/>
  <c r="A1098" i="34"/>
  <c r="A87" i="30"/>
  <c r="A1100" i="34"/>
  <c r="A18" i="25"/>
  <c r="F88" i="30"/>
  <c r="T13" i="25"/>
  <c r="S272" i="31"/>
  <c r="C1665" i="34"/>
  <c r="T269" i="31"/>
  <c r="C154" i="34"/>
  <c r="A49" i="30"/>
  <c r="B18" i="25"/>
  <c r="Q49" i="30"/>
  <c r="A16" i="25"/>
  <c r="H60" i="23"/>
  <c r="A47" i="30"/>
  <c r="F19" i="25"/>
  <c r="B273" i="31"/>
  <c r="S14" i="28"/>
  <c r="U90" i="30"/>
  <c r="S82" i="30"/>
  <c r="B89" i="30"/>
  <c r="E9" i="25"/>
  <c r="U275" i="31"/>
  <c r="T19" i="25"/>
  <c r="C15" i="34"/>
  <c r="M9" i="25"/>
  <c r="U91" i="30"/>
  <c r="E32" i="30"/>
  <c r="T37" i="30"/>
  <c r="C122" i="23"/>
  <c r="H164" i="34"/>
  <c r="S64" i="30"/>
  <c r="B281" i="31"/>
  <c r="S14" i="25"/>
  <c r="A237" i="33"/>
  <c r="C160" i="34"/>
  <c r="A14" i="28"/>
  <c r="C59" i="23"/>
  <c r="T64" i="30"/>
  <c r="F14" i="28"/>
  <c r="B36" i="30"/>
  <c r="U21" i="25"/>
  <c r="F89" i="30"/>
  <c r="C123" i="23"/>
  <c r="A13" i="25"/>
  <c r="A44" i="30"/>
  <c r="H157" i="34"/>
  <c r="Q13" i="25"/>
  <c r="S41" i="30"/>
  <c r="T49" i="30"/>
  <c r="T93" i="30"/>
  <c r="A1102" i="34"/>
  <c r="A19" i="34"/>
  <c r="B49" i="30"/>
  <c r="B45" i="30"/>
  <c r="T94" i="30"/>
  <c r="U13" i="25"/>
  <c r="Q23" i="30"/>
  <c r="B82" i="30"/>
  <c r="A39" i="30"/>
  <c r="Q18" i="25"/>
  <c r="C156" i="34"/>
  <c r="A1097" i="34"/>
  <c r="T270" i="31"/>
  <c r="I281" i="31"/>
  <c r="U272" i="31"/>
  <c r="B71" i="30"/>
  <c r="S18" i="25"/>
  <c r="A61" i="30"/>
  <c r="F57" i="30" l="1"/>
  <c r="H1104" i="34"/>
  <c r="I95" i="30"/>
  <c r="I49" i="30"/>
  <c r="X258" i="31"/>
  <c r="X244" i="31"/>
  <c r="A1565" i="34"/>
  <c r="C1565" i="34"/>
  <c r="I1565" i="34"/>
  <c r="C1550" i="34"/>
  <c r="H1550" i="34"/>
  <c r="B1576" i="34"/>
  <c r="I1575" i="34"/>
  <c r="B1548" i="34"/>
  <c r="B1563" i="34"/>
  <c r="A1575" i="34"/>
  <c r="J1565" i="34"/>
  <c r="A1562" i="34"/>
  <c r="A1550" i="34"/>
  <c r="I1562" i="34"/>
  <c r="J1550" i="34"/>
  <c r="I1578" i="34"/>
  <c r="I1587" i="34"/>
  <c r="J1578" i="34"/>
  <c r="C1578" i="34"/>
  <c r="A1587" i="34"/>
  <c r="A1578" i="34"/>
  <c r="I60" i="30"/>
  <c r="X65" i="30"/>
  <c r="I269" i="31"/>
  <c r="X255" i="31"/>
  <c r="I64" i="30"/>
  <c r="I274" i="31"/>
  <c r="X66" i="30"/>
  <c r="I276" i="31"/>
  <c r="F276" i="31"/>
  <c r="I273" i="31"/>
  <c r="I270" i="31"/>
  <c r="X257" i="31"/>
  <c r="I63" i="30"/>
  <c r="I272" i="31"/>
  <c r="X253" i="31"/>
  <c r="X254" i="31"/>
  <c r="I62" i="30"/>
  <c r="I70" i="30"/>
  <c r="X259" i="31"/>
  <c r="X256" i="31"/>
  <c r="J115" i="34"/>
  <c r="A115" i="34" s="1"/>
  <c r="I126" i="34" s="1"/>
  <c r="J128" i="34"/>
  <c r="A128" i="34" s="1"/>
  <c r="I138" i="34" s="1"/>
  <c r="J100" i="34"/>
  <c r="A100" i="34" s="1"/>
  <c r="B99" i="34" s="1"/>
  <c r="I275" i="31"/>
  <c r="I271" i="31"/>
  <c r="I73" i="30"/>
  <c r="F73" i="30"/>
  <c r="G281" i="31"/>
  <c r="A190" i="23"/>
  <c r="M283" i="31"/>
  <c r="G293" i="31"/>
  <c r="A283" i="31"/>
  <c r="D281" i="31"/>
  <c r="G283" i="31"/>
  <c r="D293" i="31"/>
  <c r="M293" i="31"/>
  <c r="I283" i="31"/>
  <c r="A281" i="31"/>
  <c r="A293" i="31"/>
  <c r="B46" i="25"/>
  <c r="A292" i="31"/>
  <c r="F283" i="31"/>
  <c r="B42" i="28"/>
  <c r="B283" i="31"/>
  <c r="K293" i="31"/>
  <c r="N283" i="31"/>
  <c r="B312" i="31"/>
  <c r="K281" i="31"/>
  <c r="I293" i="31"/>
  <c r="K283" i="31"/>
  <c r="J1687" i="34"/>
  <c r="A1687" i="34" s="1"/>
  <c r="J1702" i="34"/>
  <c r="A1702" i="34" s="1"/>
  <c r="J1715" i="34"/>
  <c r="A1715" i="34" s="1"/>
  <c r="A1737" i="34"/>
  <c r="J1619" i="34"/>
  <c r="H1619" i="34"/>
  <c r="I1619" i="34"/>
  <c r="I1631" i="34"/>
  <c r="A1619" i="34"/>
  <c r="A1631" i="34"/>
  <c r="C1619" i="34"/>
  <c r="B1617" i="34"/>
  <c r="I1647" i="34"/>
  <c r="H1647" i="34"/>
  <c r="C1647" i="34"/>
  <c r="B1645" i="34"/>
  <c r="I1656" i="34"/>
  <c r="A1656" i="34"/>
  <c r="A1647" i="34"/>
  <c r="J1647" i="34"/>
  <c r="A1634" i="34"/>
  <c r="I1634" i="34"/>
  <c r="J1634" i="34"/>
  <c r="H1634" i="34"/>
  <c r="A1644" i="34"/>
  <c r="C1634" i="34"/>
  <c r="I1644" i="34"/>
  <c r="B1632" i="34"/>
  <c r="A59" i="34"/>
  <c r="A46" i="34"/>
  <c r="A31" i="34"/>
  <c r="H241" i="33"/>
  <c r="A278" i="33"/>
  <c r="AR22" i="32"/>
  <c r="X71" i="30"/>
  <c r="X63" i="30"/>
  <c r="X70" i="30"/>
  <c r="X68" i="30"/>
  <c r="X22" i="30"/>
  <c r="X59" i="30"/>
  <c r="X69" i="30"/>
  <c r="X61" i="30"/>
  <c r="I23" i="30"/>
  <c r="O24" i="30"/>
  <c r="I96" i="30"/>
  <c r="F96" i="30"/>
  <c r="I94" i="30"/>
  <c r="I90" i="30"/>
  <c r="I86" i="30"/>
  <c r="I82" i="30"/>
  <c r="I89" i="30"/>
  <c r="I91" i="30"/>
  <c r="I87" i="30"/>
  <c r="I83" i="30"/>
  <c r="I85" i="30"/>
  <c r="I93" i="30"/>
  <c r="I84" i="30"/>
  <c r="I88" i="30"/>
  <c r="I92" i="30"/>
  <c r="M189" i="30"/>
  <c r="N149" i="30"/>
  <c r="B149" i="30"/>
  <c r="I189" i="30"/>
  <c r="I212" i="30" s="1"/>
  <c r="I235" i="30" s="1"/>
  <c r="I258" i="30" s="1"/>
  <c r="I281" i="30" s="1"/>
  <c r="I304" i="30" s="1"/>
  <c r="I327" i="30" s="1"/>
  <c r="I350" i="30" s="1"/>
  <c r="I373" i="30" s="1"/>
  <c r="I396" i="30" s="1"/>
  <c r="I419" i="30" s="1"/>
  <c r="I442" i="30" s="1"/>
  <c r="I465" i="30" s="1"/>
  <c r="I488" i="30" s="1"/>
  <c r="I511" i="30" s="1"/>
  <c r="I534" i="30" s="1"/>
  <c r="I557" i="30" s="1"/>
  <c r="I580" i="30" s="1"/>
  <c r="I603" i="30" s="1"/>
  <c r="I626" i="30" s="1"/>
  <c r="I649" i="30" s="1"/>
  <c r="I672" i="30" s="1"/>
  <c r="I695" i="30" s="1"/>
  <c r="I718" i="30" s="1"/>
  <c r="I741" i="30" s="1"/>
  <c r="I764" i="30" s="1"/>
  <c r="I787" i="30" s="1"/>
  <c r="I810" i="30" s="1"/>
  <c r="I833" i="30" s="1"/>
  <c r="I856" i="30" s="1"/>
  <c r="I879" i="30" s="1"/>
  <c r="I902" i="30" s="1"/>
  <c r="I925" i="30" s="1"/>
  <c r="E100" i="30"/>
  <c r="A303" i="30"/>
  <c r="A193" i="30"/>
  <c r="A149" i="30"/>
  <c r="M149" i="30"/>
  <c r="D100" i="30"/>
  <c r="A281" i="30"/>
  <c r="A100" i="30"/>
  <c r="C100" i="30"/>
  <c r="F50" i="30"/>
  <c r="I40" i="30"/>
  <c r="I18" i="30"/>
  <c r="I48" i="30"/>
  <c r="I39" i="30"/>
  <c r="I44" i="30"/>
  <c r="I50" i="30"/>
  <c r="I38" i="30"/>
  <c r="I43" i="30"/>
  <c r="I47" i="30"/>
  <c r="I36" i="30"/>
  <c r="I41" i="30"/>
  <c r="I45" i="30"/>
  <c r="I37" i="30"/>
  <c r="I42" i="30"/>
  <c r="I46" i="30"/>
  <c r="I14" i="28"/>
  <c r="I13" i="28"/>
  <c r="AR9" i="27"/>
  <c r="A82" i="26"/>
  <c r="I17" i="25"/>
  <c r="I13" i="25"/>
  <c r="I21" i="25"/>
  <c r="F23" i="25"/>
  <c r="I20" i="25"/>
  <c r="I16" i="25"/>
  <c r="I18" i="25"/>
  <c r="I14" i="25"/>
  <c r="I22" i="25"/>
  <c r="I15" i="25"/>
  <c r="I19" i="25"/>
  <c r="C1170" i="34"/>
  <c r="C1166" i="34"/>
  <c r="A1168" i="34"/>
  <c r="A1169" i="34"/>
  <c r="F80" i="30" l="1"/>
  <c r="H116" i="34"/>
  <c r="B127" i="34"/>
  <c r="H101" i="34"/>
  <c r="A116" i="34"/>
  <c r="J116" i="34"/>
  <c r="A129" i="34"/>
  <c r="B114" i="34"/>
  <c r="J129" i="34"/>
  <c r="C129" i="34"/>
  <c r="A126" i="34"/>
  <c r="H129" i="34"/>
  <c r="A138" i="34"/>
  <c r="I129" i="34"/>
  <c r="I116" i="34"/>
  <c r="B328" i="31"/>
  <c r="C116" i="34"/>
  <c r="A113" i="34"/>
  <c r="B59" i="28"/>
  <c r="A213" i="23"/>
  <c r="A101" i="34"/>
  <c r="C101" i="34"/>
  <c r="I113" i="34"/>
  <c r="B65" i="25"/>
  <c r="I101" i="34"/>
  <c r="J101" i="34"/>
  <c r="X260" i="31"/>
  <c r="A1806" i="34"/>
  <c r="H1716" i="34"/>
  <c r="C1716" i="34"/>
  <c r="A1716" i="34"/>
  <c r="B1714" i="34"/>
  <c r="I1716" i="34"/>
  <c r="I1725" i="34"/>
  <c r="A1725" i="34"/>
  <c r="J1716" i="34"/>
  <c r="A1713" i="34"/>
  <c r="I1703" i="34"/>
  <c r="H1703" i="34"/>
  <c r="J1703" i="34"/>
  <c r="B1701" i="34"/>
  <c r="C1703" i="34"/>
  <c r="A1703" i="34"/>
  <c r="I1713" i="34"/>
  <c r="C1688" i="34"/>
  <c r="H1688" i="34"/>
  <c r="J1688" i="34"/>
  <c r="B1686" i="34"/>
  <c r="A1700" i="34"/>
  <c r="I1688" i="34"/>
  <c r="I1700" i="34"/>
  <c r="A1688" i="34"/>
  <c r="I69" i="34"/>
  <c r="B58" i="34"/>
  <c r="A69" i="34"/>
  <c r="J60" i="34"/>
  <c r="I60" i="34"/>
  <c r="H60" i="34"/>
  <c r="C60" i="34"/>
  <c r="A60" i="34"/>
  <c r="I57" i="34"/>
  <c r="A57" i="34"/>
  <c r="A44" i="34"/>
  <c r="B45" i="34"/>
  <c r="J47" i="34"/>
  <c r="C47" i="34"/>
  <c r="I47" i="34"/>
  <c r="H47" i="34"/>
  <c r="A47" i="34"/>
  <c r="I44" i="34"/>
  <c r="I32" i="34"/>
  <c r="J32" i="34"/>
  <c r="C32" i="34"/>
  <c r="H32" i="34"/>
  <c r="B30" i="34"/>
  <c r="A32" i="34"/>
  <c r="A294" i="33"/>
  <c r="AR23" i="32"/>
  <c r="M212" i="30"/>
  <c r="O25" i="30"/>
  <c r="O26" i="30" s="1"/>
  <c r="M172" i="30"/>
  <c r="C123" i="30"/>
  <c r="A326" i="30"/>
  <c r="A123" i="30"/>
  <c r="E123" i="30"/>
  <c r="N172" i="30"/>
  <c r="A304" i="30"/>
  <c r="A216" i="30"/>
  <c r="D123" i="30"/>
  <c r="B172" i="30"/>
  <c r="A172" i="30"/>
  <c r="AR10" i="27"/>
  <c r="A101" i="26"/>
  <c r="B107" i="30"/>
  <c r="A160" i="34"/>
  <c r="F111" i="30"/>
  <c r="C92" i="34"/>
  <c r="T290" i="31"/>
  <c r="W274" i="31"/>
  <c r="B15" i="28"/>
  <c r="C1734" i="34"/>
  <c r="H87" i="23"/>
  <c r="A66" i="23"/>
  <c r="I28" i="25"/>
  <c r="B289" i="31"/>
  <c r="W16" i="25"/>
  <c r="H163" i="34"/>
  <c r="H44" i="23"/>
  <c r="H45" i="23"/>
  <c r="W83" i="30"/>
  <c r="C89" i="23"/>
  <c r="F118" i="30"/>
  <c r="A229" i="34"/>
  <c r="A233" i="34"/>
  <c r="W91" i="30"/>
  <c r="W48" i="30"/>
  <c r="A107" i="30"/>
  <c r="A42" i="34"/>
  <c r="W38" i="30"/>
  <c r="F296" i="31"/>
  <c r="Q15" i="28"/>
  <c r="B117" i="30"/>
  <c r="F113" i="30"/>
  <c r="H228" i="34"/>
  <c r="W67" i="30"/>
  <c r="C235" i="34"/>
  <c r="A231" i="34"/>
  <c r="A88" i="23"/>
  <c r="A84" i="34"/>
  <c r="F109" i="30"/>
  <c r="H25" i="34"/>
  <c r="H250" i="33"/>
  <c r="F116" i="30"/>
  <c r="S24" i="30"/>
  <c r="W47" i="30"/>
  <c r="H162" i="34"/>
  <c r="A154" i="34"/>
  <c r="C43" i="23"/>
  <c r="S116" i="30"/>
  <c r="C65" i="23"/>
  <c r="C60" i="23"/>
  <c r="W18" i="25"/>
  <c r="T111" i="30"/>
  <c r="H85" i="34"/>
  <c r="T113" i="30"/>
  <c r="A256" i="33"/>
  <c r="W64" i="30"/>
  <c r="W18" i="30"/>
  <c r="C227" i="34"/>
  <c r="B112" i="30"/>
  <c r="F289" i="31"/>
  <c r="H253" i="33"/>
  <c r="A11" i="29"/>
  <c r="C84" i="23"/>
  <c r="A58" i="23"/>
  <c r="A287" i="31"/>
  <c r="H88" i="34"/>
  <c r="U289" i="31"/>
  <c r="H1166" i="34"/>
  <c r="T24" i="30"/>
  <c r="A91" i="23"/>
  <c r="A36" i="23"/>
  <c r="H94" i="34"/>
  <c r="A224" i="34"/>
  <c r="S114" i="30"/>
  <c r="I297" i="31"/>
  <c r="A82" i="23"/>
  <c r="A88" i="34"/>
  <c r="W13" i="25"/>
  <c r="H84" i="34"/>
  <c r="H82" i="23"/>
  <c r="C93" i="34"/>
  <c r="A10" i="29"/>
  <c r="T118" i="30"/>
  <c r="U105" i="30"/>
  <c r="A291" i="31"/>
  <c r="C79" i="34"/>
  <c r="H234" i="34"/>
  <c r="B290" i="31"/>
  <c r="H153" i="34"/>
  <c r="F288" i="31"/>
  <c r="I24" i="33"/>
  <c r="I146" i="23"/>
  <c r="T16" i="28"/>
  <c r="C252" i="33"/>
  <c r="H230" i="34"/>
  <c r="A87" i="34"/>
  <c r="B111" i="30"/>
  <c r="S115" i="30"/>
  <c r="C35" i="23"/>
  <c r="C226" i="34"/>
  <c r="A24" i="30"/>
  <c r="F24" i="30"/>
  <c r="S15" i="28"/>
  <c r="F291" i="31"/>
  <c r="A166" i="34"/>
  <c r="B16" i="28"/>
  <c r="A1166" i="34"/>
  <c r="C145" i="23"/>
  <c r="C146" i="23"/>
  <c r="H222" i="34"/>
  <c r="C38" i="23"/>
  <c r="H90" i="34"/>
  <c r="H233" i="34"/>
  <c r="A165" i="34"/>
  <c r="C23" i="33"/>
  <c r="U16" i="28"/>
  <c r="A85" i="23"/>
  <c r="H83" i="23"/>
  <c r="A106" i="30"/>
  <c r="A13" i="33"/>
  <c r="A15" i="28"/>
  <c r="W93" i="30"/>
  <c r="E297" i="31"/>
  <c r="F15" i="28"/>
  <c r="T287" i="31"/>
  <c r="A252" i="33"/>
  <c r="A90" i="23"/>
  <c r="B108" i="30"/>
  <c r="A62" i="23"/>
  <c r="A42" i="23"/>
  <c r="Q290" i="31"/>
  <c r="C225" i="34"/>
  <c r="H231" i="34"/>
  <c r="W17" i="25"/>
  <c r="C254" i="33"/>
  <c r="A39" i="34"/>
  <c r="W275" i="31"/>
  <c r="S286" i="31"/>
  <c r="B291" i="31"/>
  <c r="C34" i="23"/>
  <c r="C80" i="23"/>
  <c r="W37" i="30"/>
  <c r="A92" i="34"/>
  <c r="U15" i="28"/>
  <c r="H13" i="33"/>
  <c r="A234" i="34"/>
  <c r="B115" i="30"/>
  <c r="C41" i="23"/>
  <c r="C88" i="34"/>
  <c r="H10" i="29"/>
  <c r="B288" i="31"/>
  <c r="A161" i="34"/>
  <c r="C251" i="33"/>
  <c r="U117" i="30"/>
  <c r="A1241" i="34"/>
  <c r="C12" i="33"/>
  <c r="A253" i="33"/>
  <c r="C87" i="23"/>
  <c r="C81" i="23"/>
  <c r="A118" i="30"/>
  <c r="T285" i="31"/>
  <c r="C91" i="23"/>
  <c r="U288" i="31"/>
  <c r="S110" i="30"/>
  <c r="C1168" i="34"/>
  <c r="C228" i="34"/>
  <c r="A86" i="34"/>
  <c r="A222" i="34"/>
  <c r="A110" i="30"/>
  <c r="C83" i="23"/>
  <c r="A94" i="34"/>
  <c r="A16" i="28"/>
  <c r="A1238" i="34"/>
  <c r="T115" i="30"/>
  <c r="A37" i="23"/>
  <c r="A67" i="23"/>
  <c r="I145" i="23"/>
  <c r="H155" i="34"/>
  <c r="A235" i="34"/>
  <c r="H87" i="34"/>
  <c r="F105" i="30"/>
  <c r="A286" i="31"/>
  <c r="W92" i="30"/>
  <c r="W14" i="28"/>
  <c r="U112" i="30"/>
  <c r="C248" i="33"/>
  <c r="H80" i="23"/>
  <c r="W60" i="30"/>
  <c r="H41" i="34"/>
  <c r="H43" i="23"/>
  <c r="B118" i="30"/>
  <c r="H161" i="34"/>
  <c r="H158" i="34"/>
  <c r="A35" i="34"/>
  <c r="F285" i="31"/>
  <c r="C25" i="34"/>
  <c r="A289" i="31"/>
  <c r="A288" i="31"/>
  <c r="A159" i="34"/>
  <c r="H68" i="23"/>
  <c r="A232" i="34"/>
  <c r="C250" i="33"/>
  <c r="W62" i="30"/>
  <c r="C14" i="33"/>
  <c r="H256" i="33"/>
  <c r="H35" i="23"/>
  <c r="C10" i="29"/>
  <c r="U286" i="31"/>
  <c r="H88" i="23"/>
  <c r="H36" i="23"/>
  <c r="W19" i="25"/>
  <c r="F16" i="28"/>
  <c r="S289" i="31"/>
  <c r="F25" i="28"/>
  <c r="H235" i="34"/>
  <c r="C90" i="34"/>
  <c r="C8" i="29"/>
  <c r="H91" i="23"/>
  <c r="I25" i="29"/>
  <c r="W40" i="30"/>
  <c r="C223" i="34"/>
  <c r="C224" i="34"/>
  <c r="T291" i="31"/>
  <c r="H12" i="33"/>
  <c r="A90" i="34"/>
  <c r="T114" i="30"/>
  <c r="Q289" i="31"/>
  <c r="T106" i="30"/>
  <c r="H93" i="34"/>
  <c r="Q287" i="31"/>
  <c r="W43" i="30"/>
  <c r="B24" i="30"/>
  <c r="C24" i="29"/>
  <c r="W269" i="31"/>
  <c r="H232" i="34"/>
  <c r="H86" i="23"/>
  <c r="A225" i="34"/>
  <c r="H1169" i="34"/>
  <c r="A45" i="23"/>
  <c r="H38" i="23"/>
  <c r="U108" i="30"/>
  <c r="C42" i="23"/>
  <c r="W86" i="30"/>
  <c r="A36" i="34"/>
  <c r="C1239" i="34"/>
  <c r="B105" i="30"/>
  <c r="C229" i="34"/>
  <c r="T15" i="28"/>
  <c r="U109" i="30"/>
  <c r="W271" i="31"/>
  <c r="F107" i="30"/>
  <c r="A60" i="23"/>
  <c r="H86" i="34"/>
  <c r="H224" i="34"/>
  <c r="H166" i="34"/>
  <c r="A35" i="23"/>
  <c r="F106" i="30"/>
  <c r="F290" i="31"/>
  <c r="A1167" i="34"/>
  <c r="C89" i="34"/>
  <c r="H229" i="34"/>
  <c r="Q286" i="31"/>
  <c r="C231" i="34"/>
  <c r="H89" i="34"/>
  <c r="M297" i="31"/>
  <c r="T107" i="30"/>
  <c r="I7" i="33"/>
  <c r="A155" i="34"/>
  <c r="W94" i="30"/>
  <c r="U106" i="30"/>
  <c r="C68" i="23"/>
  <c r="H34" i="23"/>
  <c r="H154" i="34"/>
  <c r="C232" i="34"/>
  <c r="C7" i="33"/>
  <c r="W88" i="30"/>
  <c r="U290" i="31"/>
  <c r="W20" i="25"/>
  <c r="H85" i="23"/>
  <c r="C94" i="34"/>
  <c r="U285" i="31"/>
  <c r="H65" i="23"/>
  <c r="T109" i="30"/>
  <c r="A223" i="34"/>
  <c r="I248" i="33"/>
  <c r="E26" i="28"/>
  <c r="T105" i="30"/>
  <c r="C1169" i="34"/>
  <c r="B297" i="31"/>
  <c r="U115" i="30"/>
  <c r="S118" i="30"/>
  <c r="H91" i="34"/>
  <c r="C30" i="23"/>
  <c r="W84" i="30"/>
  <c r="A43" i="23"/>
  <c r="C39" i="23"/>
  <c r="S291" i="31"/>
  <c r="W270" i="31"/>
  <c r="U110" i="30"/>
  <c r="B109" i="30"/>
  <c r="H1171" i="34"/>
  <c r="A164" i="34"/>
  <c r="H159" i="34"/>
  <c r="H226" i="34"/>
  <c r="H66" i="23"/>
  <c r="A81" i="23"/>
  <c r="W89" i="30"/>
  <c r="A108" i="30"/>
  <c r="W36" i="30"/>
  <c r="A93" i="34"/>
  <c r="A34" i="23"/>
  <c r="A226" i="34"/>
  <c r="S288" i="31"/>
  <c r="T110" i="30"/>
  <c r="C40" i="23"/>
  <c r="I7" i="29"/>
  <c r="A80" i="23"/>
  <c r="A114" i="30"/>
  <c r="F108" i="30"/>
  <c r="H225" i="34"/>
  <c r="A251" i="33"/>
  <c r="T289" i="31"/>
  <c r="W44" i="30"/>
  <c r="W272" i="31"/>
  <c r="F117" i="30"/>
  <c r="W42" i="30"/>
  <c r="A89" i="23"/>
  <c r="A65" i="23"/>
  <c r="A250" i="33"/>
  <c r="A227" i="34"/>
  <c r="T116" i="30"/>
  <c r="H42" i="23"/>
  <c r="C90" i="23"/>
  <c r="C31" i="23"/>
  <c r="W23" i="30"/>
  <c r="A40" i="23"/>
  <c r="H11" i="29"/>
  <c r="T286" i="31"/>
  <c r="T117" i="30"/>
  <c r="C87" i="34"/>
  <c r="C88" i="23"/>
  <c r="C165" i="34"/>
  <c r="H37" i="23"/>
  <c r="C86" i="34"/>
  <c r="W85" i="30"/>
  <c r="I247" i="33"/>
  <c r="H1170" i="34"/>
  <c r="C1171" i="34"/>
  <c r="A1171" i="34"/>
  <c r="B287" i="31"/>
  <c r="C37" i="23"/>
  <c r="C84" i="34"/>
  <c r="C8" i="33"/>
  <c r="A41" i="23"/>
  <c r="A44" i="23"/>
  <c r="Q24" i="30"/>
  <c r="F114" i="30"/>
  <c r="C45" i="23"/>
  <c r="C33" i="23"/>
  <c r="H1666" i="34"/>
  <c r="S287" i="31"/>
  <c r="W45" i="30"/>
  <c r="C36" i="23"/>
  <c r="A68" i="23"/>
  <c r="H40" i="23"/>
  <c r="A91" i="34"/>
  <c r="H56" i="23"/>
  <c r="H67" i="23"/>
  <c r="S108" i="30"/>
  <c r="F115" i="30"/>
  <c r="A162" i="34"/>
  <c r="S112" i="30"/>
  <c r="H79" i="23"/>
  <c r="C85" i="23"/>
  <c r="C85" i="34"/>
  <c r="H64" i="23"/>
  <c r="F112" i="30"/>
  <c r="H251" i="33"/>
  <c r="B285" i="31"/>
  <c r="H59" i="23"/>
  <c r="H14" i="33"/>
  <c r="A12" i="33"/>
  <c r="H62" i="23"/>
  <c r="C164" i="34"/>
  <c r="A290" i="31"/>
  <c r="B116" i="30"/>
  <c r="A79" i="23"/>
  <c r="I8" i="29"/>
  <c r="A117" i="30"/>
  <c r="W14" i="25"/>
  <c r="A39" i="23"/>
  <c r="U113" i="30"/>
  <c r="F110" i="30"/>
  <c r="S109" i="30"/>
  <c r="H33" i="23"/>
  <c r="F27" i="25"/>
  <c r="S117" i="30"/>
  <c r="C247" i="33"/>
  <c r="A115" i="30"/>
  <c r="W22" i="25"/>
  <c r="H1239" i="34"/>
  <c r="H81" i="23"/>
  <c r="U114" i="30"/>
  <c r="C157" i="34"/>
  <c r="A33" i="23"/>
  <c r="A285" i="31"/>
  <c r="C82" i="23"/>
  <c r="W90" i="30"/>
  <c r="H1167" i="34"/>
  <c r="Q16" i="28"/>
  <c r="A83" i="23"/>
  <c r="A85" i="34"/>
  <c r="W46" i="30"/>
  <c r="U287" i="31"/>
  <c r="C230" i="34"/>
  <c r="U107" i="30"/>
  <c r="S111" i="30"/>
  <c r="H252" i="33"/>
  <c r="W21" i="25"/>
  <c r="A1172" i="34"/>
  <c r="C253" i="33"/>
  <c r="C86" i="23"/>
  <c r="U291" i="31"/>
  <c r="H227" i="34"/>
  <c r="W87" i="30"/>
  <c r="A84" i="23"/>
  <c r="A158" i="34"/>
  <c r="C11" i="29"/>
  <c r="I8" i="33"/>
  <c r="S285" i="31"/>
  <c r="A228" i="34"/>
  <c r="C222" i="34"/>
  <c r="H254" i="33"/>
  <c r="B110" i="30"/>
  <c r="H1735" i="34"/>
  <c r="C78" i="34"/>
  <c r="T108" i="30"/>
  <c r="C67" i="23"/>
  <c r="A156" i="34"/>
  <c r="A111" i="30"/>
  <c r="C166" i="34"/>
  <c r="W273" i="31"/>
  <c r="C44" i="23"/>
  <c r="A57" i="23"/>
  <c r="A254" i="33"/>
  <c r="A86" i="23"/>
  <c r="F286" i="31"/>
  <c r="T288" i="31"/>
  <c r="A63" i="23"/>
  <c r="H156" i="34"/>
  <c r="C13" i="33"/>
  <c r="W82" i="30"/>
  <c r="C1236" i="34"/>
  <c r="H39" i="23"/>
  <c r="A157" i="34"/>
  <c r="B106" i="30"/>
  <c r="H92" i="34"/>
  <c r="C1172" i="34"/>
  <c r="H57" i="23"/>
  <c r="A109" i="30"/>
  <c r="U24" i="30"/>
  <c r="T112" i="30"/>
  <c r="A230" i="34"/>
  <c r="Q288" i="31"/>
  <c r="U111" i="30"/>
  <c r="W13" i="28"/>
  <c r="W39" i="30"/>
  <c r="H84" i="23"/>
  <c r="C79" i="23"/>
  <c r="S105" i="30"/>
  <c r="C256" i="33"/>
  <c r="A25" i="34"/>
  <c r="S16" i="28"/>
  <c r="B113" i="30"/>
  <c r="A61" i="23"/>
  <c r="C91" i="34"/>
  <c r="C1237" i="34"/>
  <c r="A105" i="30"/>
  <c r="I26" i="28"/>
  <c r="A255" i="33"/>
  <c r="C7" i="29"/>
  <c r="H165" i="34"/>
  <c r="S106" i="30"/>
  <c r="F287" i="31"/>
  <c r="C162" i="34"/>
  <c r="A64" i="23"/>
  <c r="S290" i="31"/>
  <c r="U116" i="30"/>
  <c r="Q285" i="31"/>
  <c r="C234" i="34"/>
  <c r="H41" i="23"/>
  <c r="B286" i="31"/>
  <c r="U118" i="30"/>
  <c r="H223" i="34"/>
  <c r="H89" i="23"/>
  <c r="A59" i="23"/>
  <c r="A112" i="30"/>
  <c r="W15" i="25"/>
  <c r="S113" i="30"/>
  <c r="A89" i="34"/>
  <c r="A20" i="23"/>
  <c r="C1167" i="34"/>
  <c r="A1235" i="34"/>
  <c r="A38" i="23"/>
  <c r="A116" i="30"/>
  <c r="A14" i="33"/>
  <c r="C233" i="34"/>
  <c r="W41" i="30"/>
  <c r="H255" i="33"/>
  <c r="C255" i="33"/>
  <c r="C34" i="34"/>
  <c r="A87" i="23"/>
  <c r="B114" i="30"/>
  <c r="Q291" i="31"/>
  <c r="H90" i="23"/>
  <c r="F103" i="30" l="1"/>
  <c r="X17" i="25"/>
  <c r="X38" i="30"/>
  <c r="I106" i="30"/>
  <c r="X45" i="30"/>
  <c r="I109" i="30"/>
  <c r="X90" i="30"/>
  <c r="X85" i="30"/>
  <c r="X23" i="30"/>
  <c r="I110" i="30"/>
  <c r="I16" i="28"/>
  <c r="I24" i="30"/>
  <c r="H236" i="34"/>
  <c r="X84" i="30"/>
  <c r="I111" i="30"/>
  <c r="X44" i="30"/>
  <c r="X18" i="25"/>
  <c r="W96" i="30"/>
  <c r="X82" i="30"/>
  <c r="X60" i="30"/>
  <c r="W73" i="30"/>
  <c r="X22" i="25"/>
  <c r="A39" i="28"/>
  <c r="G28" i="28"/>
  <c r="M28" i="28"/>
  <c r="G26" i="28"/>
  <c r="D39" i="28"/>
  <c r="F28" i="28"/>
  <c r="M39" i="28"/>
  <c r="K39" i="28"/>
  <c r="I39" i="28"/>
  <c r="A26" i="28"/>
  <c r="I28" i="28"/>
  <c r="A28" i="28"/>
  <c r="K26" i="28"/>
  <c r="D26" i="28"/>
  <c r="A38" i="28"/>
  <c r="G39" i="28"/>
  <c r="N28" i="28"/>
  <c r="K28" i="28"/>
  <c r="B28" i="28"/>
  <c r="I289" i="31"/>
  <c r="X36" i="30"/>
  <c r="X92" i="30"/>
  <c r="H1173" i="34"/>
  <c r="I119" i="30"/>
  <c r="F119" i="30"/>
  <c r="X93" i="30"/>
  <c r="X270" i="31"/>
  <c r="X274" i="31"/>
  <c r="X40" i="30"/>
  <c r="X89" i="30"/>
  <c r="X86" i="30"/>
  <c r="H257" i="33"/>
  <c r="X18" i="30"/>
  <c r="X273" i="31"/>
  <c r="I105" i="30"/>
  <c r="X14" i="25"/>
  <c r="X272" i="31"/>
  <c r="X48" i="30"/>
  <c r="X21" i="25"/>
  <c r="I285" i="31"/>
  <c r="X39" i="30"/>
  <c r="X269" i="31"/>
  <c r="I113" i="30"/>
  <c r="X46" i="30"/>
  <c r="X62" i="30"/>
  <c r="X37" i="30"/>
  <c r="X64" i="30"/>
  <c r="I108" i="30"/>
  <c r="I118" i="30"/>
  <c r="X16" i="25"/>
  <c r="X43" i="30"/>
  <c r="X91" i="30"/>
  <c r="X88" i="30"/>
  <c r="X13" i="28"/>
  <c r="I290" i="31"/>
  <c r="I107" i="30"/>
  <c r="X87" i="30"/>
  <c r="I286" i="31"/>
  <c r="I116" i="30"/>
  <c r="X47" i="30"/>
  <c r="X41" i="30"/>
  <c r="X271" i="31"/>
  <c r="I291" i="31"/>
  <c r="H167" i="34"/>
  <c r="X20" i="25"/>
  <c r="I15" i="28"/>
  <c r="I287" i="31"/>
  <c r="I112" i="30"/>
  <c r="X275" i="31"/>
  <c r="I114" i="30"/>
  <c r="I117" i="30"/>
  <c r="X15" i="25"/>
  <c r="I115" i="30"/>
  <c r="X19" i="25"/>
  <c r="I292" i="31"/>
  <c r="F292" i="31"/>
  <c r="X67" i="30"/>
  <c r="X42" i="30"/>
  <c r="X13" i="25"/>
  <c r="D309" i="31"/>
  <c r="I309" i="31"/>
  <c r="K299" i="31"/>
  <c r="G299" i="31"/>
  <c r="N299" i="31"/>
  <c r="A297" i="31"/>
  <c r="G309" i="31"/>
  <c r="F299" i="31"/>
  <c r="M309" i="31"/>
  <c r="D297" i="31"/>
  <c r="K309" i="31"/>
  <c r="K297" i="31"/>
  <c r="B299" i="31"/>
  <c r="A308" i="31"/>
  <c r="A299" i="31"/>
  <c r="A309" i="31"/>
  <c r="I299" i="31"/>
  <c r="M299" i="31"/>
  <c r="G297" i="31"/>
  <c r="X83" i="30"/>
  <c r="X94" i="30"/>
  <c r="X14" i="28"/>
  <c r="G30" i="25"/>
  <c r="K28" i="25"/>
  <c r="D43" i="25"/>
  <c r="K43" i="25"/>
  <c r="N30" i="25"/>
  <c r="M30" i="25"/>
  <c r="I30" i="25"/>
  <c r="B30" i="25"/>
  <c r="A43" i="25"/>
  <c r="A42" i="25"/>
  <c r="G28" i="25"/>
  <c r="I43" i="25"/>
  <c r="A28" i="25"/>
  <c r="K30" i="25"/>
  <c r="G43" i="25"/>
  <c r="A30" i="25"/>
  <c r="M43" i="25"/>
  <c r="F30" i="25"/>
  <c r="D28" i="25"/>
  <c r="I288" i="31"/>
  <c r="B344" i="31"/>
  <c r="A236" i="23"/>
  <c r="B76" i="28"/>
  <c r="B84" i="25"/>
  <c r="A1875" i="34"/>
  <c r="A310" i="33"/>
  <c r="AR24" i="32"/>
  <c r="M235" i="30"/>
  <c r="B195" i="30"/>
  <c r="A349" i="30"/>
  <c r="A195" i="30"/>
  <c r="D146" i="30"/>
  <c r="C146" i="30"/>
  <c r="E146" i="30"/>
  <c r="A327" i="30"/>
  <c r="M195" i="30"/>
  <c r="A239" i="30"/>
  <c r="N195" i="30"/>
  <c r="A146" i="30"/>
  <c r="AR11" i="27"/>
  <c r="A120" i="26"/>
  <c r="H1237" i="34"/>
  <c r="A1236" i="34"/>
  <c r="H1236" i="34"/>
  <c r="C1241" i="34"/>
  <c r="H1241" i="34"/>
  <c r="H1240" i="34"/>
  <c r="H1235" i="34"/>
  <c r="C1238" i="34"/>
  <c r="A1237" i="34"/>
  <c r="A1239" i="34"/>
  <c r="C1235" i="34"/>
  <c r="H1238" i="34"/>
  <c r="C1240" i="34"/>
  <c r="A1240" i="34"/>
  <c r="F126" i="30" l="1"/>
  <c r="X96" i="30"/>
  <c r="X73" i="30"/>
  <c r="X276" i="31"/>
  <c r="X50" i="30"/>
  <c r="H1242" i="34"/>
  <c r="A259" i="23"/>
  <c r="B103" i="25"/>
  <c r="B93" i="28"/>
  <c r="B360" i="31"/>
  <c r="A1944" i="34"/>
  <c r="A326" i="33"/>
  <c r="AR25" i="32"/>
  <c r="M258" i="30"/>
  <c r="A169" i="30"/>
  <c r="B218" i="30"/>
  <c r="A262" i="30"/>
  <c r="M218" i="30"/>
  <c r="D169" i="30"/>
  <c r="A218" i="30"/>
  <c r="C169" i="30"/>
  <c r="E169" i="30"/>
  <c r="A350" i="30"/>
  <c r="N218" i="30"/>
  <c r="A372" i="30"/>
  <c r="AR12" i="27"/>
  <c r="A139" i="26"/>
  <c r="F149" i="30" l="1"/>
  <c r="B122" i="25"/>
  <c r="B376" i="31"/>
  <c r="A282" i="23"/>
  <c r="B110" i="28"/>
  <c r="A2013" i="34"/>
  <c r="A342" i="33"/>
  <c r="AR26" i="32"/>
  <c r="M281" i="30"/>
  <c r="A395" i="30"/>
  <c r="C192" i="30"/>
  <c r="N241" i="30"/>
  <c r="B241" i="30"/>
  <c r="A373" i="30"/>
  <c r="A241" i="30"/>
  <c r="A192" i="30"/>
  <c r="M241" i="30"/>
  <c r="A285" i="30"/>
  <c r="E192" i="30"/>
  <c r="D192" i="30"/>
  <c r="AR13" i="27"/>
  <c r="A158" i="26"/>
  <c r="F172" i="30" l="1"/>
  <c r="B392" i="31"/>
  <c r="A305" i="23"/>
  <c r="B127" i="28"/>
  <c r="B141" i="25"/>
  <c r="A2082" i="34"/>
  <c r="A358" i="33"/>
  <c r="AR27" i="32"/>
  <c r="M304" i="30"/>
  <c r="E215" i="30"/>
  <c r="A264" i="30"/>
  <c r="B264" i="30"/>
  <c r="N264" i="30"/>
  <c r="M264" i="30"/>
  <c r="C215" i="30"/>
  <c r="A418" i="30"/>
  <c r="D215" i="30"/>
  <c r="A308" i="30"/>
  <c r="A215" i="30"/>
  <c r="A396" i="30"/>
  <c r="AR14" i="27"/>
  <c r="A177" i="26"/>
  <c r="W290" i="31"/>
  <c r="U302" i="31"/>
  <c r="S307" i="31"/>
  <c r="T303" i="31"/>
  <c r="U303" i="31"/>
  <c r="Q301" i="31"/>
  <c r="T307" i="31"/>
  <c r="T305" i="31"/>
  <c r="S306" i="31"/>
  <c r="S303" i="31"/>
  <c r="F306" i="31"/>
  <c r="W306" i="31"/>
  <c r="T306" i="31"/>
  <c r="B305" i="31"/>
  <c r="A307" i="31"/>
  <c r="U306" i="31"/>
  <c r="F305" i="31"/>
  <c r="T302" i="31"/>
  <c r="B306" i="31"/>
  <c r="Q304" i="31"/>
  <c r="W285" i="31"/>
  <c r="A303" i="31"/>
  <c r="T304" i="31"/>
  <c r="W287" i="31"/>
  <c r="Q303" i="31"/>
  <c r="U301" i="31"/>
  <c r="F304" i="31"/>
  <c r="S305" i="31"/>
  <c r="U307" i="31"/>
  <c r="S302" i="31"/>
  <c r="Q306" i="31"/>
  <c r="W288" i="31"/>
  <c r="A304" i="31"/>
  <c r="S301" i="31"/>
  <c r="W291" i="31"/>
  <c r="B304" i="31"/>
  <c r="F302" i="31"/>
  <c r="F301" i="31"/>
  <c r="Q307" i="31"/>
  <c r="B301" i="31"/>
  <c r="U305" i="31"/>
  <c r="B303" i="31"/>
  <c r="Q302" i="31"/>
  <c r="T301" i="31"/>
  <c r="Q305" i="31"/>
  <c r="B302" i="31"/>
  <c r="F303" i="31"/>
  <c r="A301" i="31"/>
  <c r="W302" i="31"/>
  <c r="A306" i="31"/>
  <c r="S304" i="31"/>
  <c r="W289" i="31"/>
  <c r="A302" i="31"/>
  <c r="A305" i="31"/>
  <c r="B307" i="31"/>
  <c r="W286" i="31"/>
  <c r="U304" i="31"/>
  <c r="F307" i="31"/>
  <c r="F195" i="30" l="1"/>
  <c r="I302" i="31"/>
  <c r="F308" i="31"/>
  <c r="I308" i="31"/>
  <c r="X285" i="31"/>
  <c r="I306" i="31"/>
  <c r="I304" i="31"/>
  <c r="X288" i="31"/>
  <c r="I301" i="31"/>
  <c r="X287" i="31"/>
  <c r="X289" i="31"/>
  <c r="X286" i="31"/>
  <c r="I307" i="31"/>
  <c r="X291" i="31"/>
  <c r="X290" i="31"/>
  <c r="I305" i="31"/>
  <c r="I303" i="31"/>
  <c r="X302" i="31"/>
  <c r="X306" i="31"/>
  <c r="A328" i="23"/>
  <c r="B408" i="31"/>
  <c r="B144" i="28"/>
  <c r="B160" i="25"/>
  <c r="A2151" i="34"/>
  <c r="A374" i="33"/>
  <c r="AR28" i="32"/>
  <c r="M327" i="30"/>
  <c r="D238" i="30"/>
  <c r="C238" i="30"/>
  <c r="A441" i="30"/>
  <c r="A419" i="30"/>
  <c r="M287" i="30"/>
  <c r="N287" i="30"/>
  <c r="A238" i="30"/>
  <c r="B287" i="30"/>
  <c r="A287" i="30"/>
  <c r="A331" i="30"/>
  <c r="E238" i="30"/>
  <c r="AR15" i="27"/>
  <c r="A196" i="26"/>
  <c r="B36" i="28"/>
  <c r="A32" i="28"/>
  <c r="A37" i="28"/>
  <c r="Q31" i="28"/>
  <c r="U33" i="28"/>
  <c r="T34" i="28"/>
  <c r="T37" i="28"/>
  <c r="U35" i="28"/>
  <c r="T35" i="28"/>
  <c r="B31" i="28"/>
  <c r="S31" i="28"/>
  <c r="U32" i="28"/>
  <c r="Q35" i="28"/>
  <c r="T32" i="28"/>
  <c r="A30" i="28"/>
  <c r="A35" i="28"/>
  <c r="S30" i="28"/>
  <c r="F30" i="28"/>
  <c r="W305" i="31"/>
  <c r="F36" i="28"/>
  <c r="S32" i="28"/>
  <c r="B37" i="28"/>
  <c r="T30" i="28"/>
  <c r="S33" i="28"/>
  <c r="S34" i="28"/>
  <c r="A33" i="28"/>
  <c r="U34" i="28"/>
  <c r="Q30" i="28"/>
  <c r="F37" i="28"/>
  <c r="A34" i="28"/>
  <c r="F34" i="28"/>
  <c r="Q37" i="28"/>
  <c r="Q33" i="28"/>
  <c r="W304" i="31"/>
  <c r="A36" i="28"/>
  <c r="Q36" i="28"/>
  <c r="W301" i="31"/>
  <c r="A31" i="28"/>
  <c r="Q32" i="28"/>
  <c r="S36" i="28"/>
  <c r="S37" i="28"/>
  <c r="T36" i="28"/>
  <c r="B30" i="28"/>
  <c r="F35" i="28"/>
  <c r="B32" i="28"/>
  <c r="T31" i="28"/>
  <c r="F33" i="28"/>
  <c r="T33" i="28"/>
  <c r="B34" i="28"/>
  <c r="B35" i="28"/>
  <c r="U30" i="28"/>
  <c r="W307" i="31"/>
  <c r="S35" i="28"/>
  <c r="B33" i="28"/>
  <c r="F32" i="28"/>
  <c r="U31" i="28"/>
  <c r="F31" i="28"/>
  <c r="Q34" i="28"/>
  <c r="U37" i="28"/>
  <c r="U36" i="28"/>
  <c r="W303" i="31"/>
  <c r="F218" i="30" l="1"/>
  <c r="X301" i="31"/>
  <c r="X303" i="31"/>
  <c r="X307" i="31"/>
  <c r="X292" i="31"/>
  <c r="X305" i="31"/>
  <c r="X304" i="31"/>
  <c r="A351" i="23"/>
  <c r="B161" i="28"/>
  <c r="B179" i="25"/>
  <c r="B424" i="31"/>
  <c r="A2220" i="34"/>
  <c r="A390" i="33"/>
  <c r="AR29" i="32"/>
  <c r="M350" i="30"/>
  <c r="A354" i="30"/>
  <c r="A261" i="30"/>
  <c r="A464" i="30"/>
  <c r="N310" i="30"/>
  <c r="M310" i="30"/>
  <c r="D261" i="30"/>
  <c r="A310" i="30"/>
  <c r="E261" i="30"/>
  <c r="B310" i="30"/>
  <c r="C261" i="30"/>
  <c r="A442" i="30"/>
  <c r="I31" i="28"/>
  <c r="I35" i="28"/>
  <c r="I37" i="28"/>
  <c r="I32" i="28"/>
  <c r="I30" i="28"/>
  <c r="I34" i="28"/>
  <c r="I36" i="28"/>
  <c r="F38" i="28"/>
  <c r="I33" i="28"/>
  <c r="AR16" i="27"/>
  <c r="A215" i="26"/>
  <c r="F241" i="30" l="1"/>
  <c r="X308" i="31"/>
  <c r="B198" i="25"/>
  <c r="B440" i="31"/>
  <c r="B178" i="28"/>
  <c r="A374" i="23"/>
  <c r="A2289" i="34"/>
  <c r="A406" i="33"/>
  <c r="AR30" i="32"/>
  <c r="M373" i="30"/>
  <c r="C284" i="30"/>
  <c r="A333" i="30"/>
  <c r="A284" i="30"/>
  <c r="A377" i="30"/>
  <c r="B333" i="30"/>
  <c r="E284" i="30"/>
  <c r="D284" i="30"/>
  <c r="A487" i="30"/>
  <c r="M333" i="30"/>
  <c r="A465" i="30"/>
  <c r="N333" i="30"/>
  <c r="AR17" i="27"/>
  <c r="A234" i="26"/>
  <c r="F264" i="30" l="1"/>
  <c r="B217" i="25"/>
  <c r="A397" i="23"/>
  <c r="B195" i="28"/>
  <c r="B456" i="31"/>
  <c r="A2358" i="34"/>
  <c r="A422" i="33"/>
  <c r="AR31" i="32"/>
  <c r="M396" i="30"/>
  <c r="N356" i="30"/>
  <c r="A400" i="30"/>
  <c r="A488" i="30"/>
  <c r="A307" i="30"/>
  <c r="D307" i="30"/>
  <c r="A356" i="30"/>
  <c r="A510" i="30"/>
  <c r="E307" i="30"/>
  <c r="B356" i="30"/>
  <c r="C307" i="30"/>
  <c r="M356" i="30"/>
  <c r="AR18" i="27"/>
  <c r="A253" i="26"/>
  <c r="F287" i="30" l="1"/>
  <c r="B236" i="25"/>
  <c r="B212" i="28"/>
  <c r="B472" i="31"/>
  <c r="A420" i="23"/>
  <c r="A2427" i="34"/>
  <c r="A438" i="33"/>
  <c r="AR32" i="32"/>
  <c r="M419" i="30"/>
  <c r="A330" i="30"/>
  <c r="C330" i="30"/>
  <c r="A511" i="30"/>
  <c r="B379" i="30"/>
  <c r="A379" i="30"/>
  <c r="N379" i="30"/>
  <c r="M379" i="30"/>
  <c r="E330" i="30"/>
  <c r="D330" i="30"/>
  <c r="A423" i="30"/>
  <c r="A533" i="30"/>
  <c r="AR19" i="27"/>
  <c r="A272" i="26"/>
  <c r="H126" i="34" l="1"/>
  <c r="H1311" i="34"/>
  <c r="H138" i="34"/>
  <c r="H44" i="34"/>
  <c r="H69" i="34"/>
  <c r="F310" i="30"/>
  <c r="H113" i="34"/>
  <c r="A443" i="23"/>
  <c r="B255" i="25"/>
  <c r="B229" i="28"/>
  <c r="B488" i="31"/>
  <c r="A2496" i="34"/>
  <c r="A454" i="33"/>
  <c r="AR33" i="32"/>
  <c r="M442" i="30"/>
  <c r="N402" i="30"/>
  <c r="N425" i="30" s="1"/>
  <c r="N448" i="30" s="1"/>
  <c r="N471" i="30" s="1"/>
  <c r="N494" i="30" s="1"/>
  <c r="N517" i="30" s="1"/>
  <c r="N540" i="30" s="1"/>
  <c r="N563" i="30" s="1"/>
  <c r="N586" i="30" s="1"/>
  <c r="N609" i="30" s="1"/>
  <c r="N632" i="30" s="1"/>
  <c r="N655" i="30" s="1"/>
  <c r="N678" i="30" s="1"/>
  <c r="N701" i="30" s="1"/>
  <c r="N724" i="30" s="1"/>
  <c r="N747" i="30" s="1"/>
  <c r="N770" i="30" s="1"/>
  <c r="N793" i="30" s="1"/>
  <c r="N816" i="30" s="1"/>
  <c r="N839" i="30" s="1"/>
  <c r="N862" i="30" s="1"/>
  <c r="N885" i="30" s="1"/>
  <c r="N908" i="30" s="1"/>
  <c r="A446" i="30"/>
  <c r="A402" i="30"/>
  <c r="A534" i="30"/>
  <c r="M402" i="30"/>
  <c r="A556" i="30"/>
  <c r="A579" i="30" s="1"/>
  <c r="A602" i="30" s="1"/>
  <c r="A625" i="30" s="1"/>
  <c r="A648" i="30" s="1"/>
  <c r="A671" i="30" s="1"/>
  <c r="A694" i="30" s="1"/>
  <c r="A717" i="30" s="1"/>
  <c r="A740" i="30" s="1"/>
  <c r="A763" i="30" s="1"/>
  <c r="A786" i="30" s="1"/>
  <c r="A809" i="30" s="1"/>
  <c r="A832" i="30" s="1"/>
  <c r="A855" i="30" s="1"/>
  <c r="A878" i="30" s="1"/>
  <c r="A901" i="30" s="1"/>
  <c r="A924" i="30" s="1"/>
  <c r="D353" i="30"/>
  <c r="B402" i="30"/>
  <c r="C353" i="30"/>
  <c r="E353" i="30"/>
  <c r="A353" i="30"/>
  <c r="AR20" i="27"/>
  <c r="A291" i="26"/>
  <c r="B203" i="30"/>
  <c r="C13" i="29"/>
  <c r="B175" i="30"/>
  <c r="A177" i="30"/>
  <c r="H62" i="34"/>
  <c r="F59" i="28"/>
  <c r="A113" i="23"/>
  <c r="F230" i="30"/>
  <c r="S187" i="30"/>
  <c r="H1942" i="34"/>
  <c r="S107" i="30"/>
  <c r="F41" i="25"/>
  <c r="A197" i="30"/>
  <c r="H1873" i="34"/>
  <c r="E123" i="25"/>
  <c r="H304" i="34"/>
  <c r="C291" i="34"/>
  <c r="C16" i="33"/>
  <c r="T231" i="30"/>
  <c r="A50" i="34"/>
  <c r="H298" i="34"/>
  <c r="C299" i="34"/>
  <c r="P85" i="30"/>
  <c r="H299" i="34"/>
  <c r="F163" i="30"/>
  <c r="S157" i="30"/>
  <c r="B180" i="30"/>
  <c r="P65" i="30"/>
  <c r="T151" i="30"/>
  <c r="A256" i="30"/>
  <c r="T37" i="25"/>
  <c r="F39" i="25"/>
  <c r="T274" i="30"/>
  <c r="F274" i="30"/>
  <c r="A184" i="30"/>
  <c r="F133" i="30"/>
  <c r="C168" i="23"/>
  <c r="B152" i="30"/>
  <c r="U176" i="30"/>
  <c r="A180" i="30"/>
  <c r="H285" i="33"/>
  <c r="A1309" i="34"/>
  <c r="U181" i="30"/>
  <c r="W105" i="30"/>
  <c r="F201" i="30"/>
  <c r="P70" i="30"/>
  <c r="H1310" i="34"/>
  <c r="S230" i="30"/>
  <c r="A160" i="30"/>
  <c r="T136" i="30"/>
  <c r="A47" i="33"/>
  <c r="S39" i="25"/>
  <c r="U128" i="30"/>
  <c r="H12" i="29"/>
  <c r="F198" i="30"/>
  <c r="E43" i="28"/>
  <c r="F177" i="30"/>
  <c r="A272" i="33"/>
  <c r="H114" i="23"/>
  <c r="T138" i="30"/>
  <c r="S130" i="30"/>
  <c r="U183" i="30"/>
  <c r="B229" i="30"/>
  <c r="U206" i="30"/>
  <c r="F267" i="30"/>
  <c r="W117" i="30"/>
  <c r="C288" i="33"/>
  <c r="H133" i="34"/>
  <c r="U210" i="30"/>
  <c r="C264" i="33"/>
  <c r="I263" i="33"/>
  <c r="A174" i="30"/>
  <c r="S159" i="30"/>
  <c r="C135" i="34"/>
  <c r="A153" i="30"/>
  <c r="U177" i="30"/>
  <c r="T158" i="30"/>
  <c r="A303" i="34"/>
  <c r="T222" i="30"/>
  <c r="C137" i="34"/>
  <c r="C286" i="33"/>
  <c r="F162" i="30"/>
  <c r="C36" i="34"/>
  <c r="H36" i="34"/>
  <c r="S153" i="30"/>
  <c r="S252" i="30"/>
  <c r="U270" i="30"/>
  <c r="P84" i="30"/>
  <c r="B204" i="30"/>
  <c r="I191" i="23"/>
  <c r="C1873" i="34"/>
  <c r="Q25" i="30"/>
  <c r="B185" i="30"/>
  <c r="H1803" i="34"/>
  <c r="S25" i="30"/>
  <c r="B151" i="30"/>
  <c r="C429" i="34" s="1"/>
  <c r="A15" i="33"/>
  <c r="C49" i="34"/>
  <c r="F131" i="30"/>
  <c r="M345" i="31"/>
  <c r="B198" i="30"/>
  <c r="U200" i="30"/>
  <c r="I161" i="25"/>
  <c r="F151" i="30"/>
  <c r="A203" i="30"/>
  <c r="F76" i="28"/>
  <c r="H50" i="34"/>
  <c r="A567" i="34"/>
  <c r="F33" i="25"/>
  <c r="S266" i="30"/>
  <c r="U266" i="30"/>
  <c r="F176" i="30"/>
  <c r="A129" i="30"/>
  <c r="A361" i="34" s="1"/>
  <c r="B32" i="25"/>
  <c r="H16" i="33"/>
  <c r="S200" i="30"/>
  <c r="T224" i="30"/>
  <c r="M85" i="25"/>
  <c r="A255" i="30"/>
  <c r="P86" i="30"/>
  <c r="U35" i="25"/>
  <c r="C260" i="23"/>
  <c r="F187" i="30"/>
  <c r="H96" i="34"/>
  <c r="H287" i="33"/>
  <c r="C237" i="23"/>
  <c r="B133" i="30"/>
  <c r="H124" i="34"/>
  <c r="P68" i="30"/>
  <c r="A139" i="30"/>
  <c r="A266" i="33"/>
  <c r="F65" i="25"/>
  <c r="B159" i="30"/>
  <c r="M123" i="25"/>
  <c r="C51" i="34"/>
  <c r="F93" i="28"/>
  <c r="A128" i="30"/>
  <c r="C271" i="33"/>
  <c r="F122" i="25"/>
  <c r="W37" i="28"/>
  <c r="I111" i="28"/>
  <c r="H42" i="34"/>
  <c r="U40" i="25"/>
  <c r="M142" i="25"/>
  <c r="A119" i="34"/>
  <c r="U205" i="30"/>
  <c r="U233" i="30"/>
  <c r="F181" i="30"/>
  <c r="H26" i="34"/>
  <c r="Q34" i="25"/>
  <c r="C1306" i="34"/>
  <c r="A152" i="30"/>
  <c r="A104" i="23"/>
  <c r="C295" i="33"/>
  <c r="H135" i="34"/>
  <c r="C26" i="34"/>
  <c r="B140" i="30"/>
  <c r="W108" i="30"/>
  <c r="A48" i="33"/>
  <c r="C47" i="33"/>
  <c r="F255" i="30"/>
  <c r="A176" i="30"/>
  <c r="B275" i="30"/>
  <c r="I145" i="28"/>
  <c r="A32" i="33"/>
  <c r="F179" i="25"/>
  <c r="U178" i="30"/>
  <c r="U202" i="30"/>
  <c r="A112" i="23"/>
  <c r="A135" i="34"/>
  <c r="F360" i="31"/>
  <c r="H297" i="34"/>
  <c r="F206" i="30"/>
  <c r="H13" i="29"/>
  <c r="B222" i="30"/>
  <c r="A113" i="30"/>
  <c r="S254" i="30"/>
  <c r="W34" i="28"/>
  <c r="F210" i="30"/>
  <c r="A35" i="25"/>
  <c r="H137" i="34"/>
  <c r="C1305" i="34"/>
  <c r="B176" i="30"/>
  <c r="F199" i="30"/>
  <c r="S181" i="30"/>
  <c r="Q39" i="25"/>
  <c r="A34" i="34"/>
  <c r="M329" i="31"/>
  <c r="U162" i="30"/>
  <c r="A187" i="30"/>
  <c r="S210" i="30"/>
  <c r="A41" i="25"/>
  <c r="S182" i="30"/>
  <c r="C62" i="34"/>
  <c r="P92" i="30"/>
  <c r="A63" i="34"/>
  <c r="B157" i="30"/>
  <c r="C154" i="23" s="1"/>
  <c r="F223" i="30"/>
  <c r="T140" i="30"/>
  <c r="S184" i="30"/>
  <c r="A16" i="33"/>
  <c r="E85" i="25"/>
  <c r="T129" i="30"/>
  <c r="B38" i="25"/>
  <c r="H38" i="34"/>
  <c r="B135" i="30"/>
  <c r="C132" i="23" s="1"/>
  <c r="U184" i="30"/>
  <c r="A285" i="33"/>
  <c r="A43" i="34"/>
  <c r="A1307" i="34"/>
  <c r="U140" i="30"/>
  <c r="F136" i="30"/>
  <c r="U129" i="30"/>
  <c r="H46" i="33"/>
  <c r="H48" i="33"/>
  <c r="H2011" i="34"/>
  <c r="H429" i="34"/>
  <c r="C298" i="33"/>
  <c r="H95" i="34"/>
  <c r="S229" i="30"/>
  <c r="C40" i="34"/>
  <c r="H134" i="34"/>
  <c r="B160" i="30"/>
  <c r="C1872" i="34"/>
  <c r="C64" i="34"/>
  <c r="S41" i="25"/>
  <c r="A287" i="33"/>
  <c r="C191" i="23"/>
  <c r="A283" i="33"/>
  <c r="B251" i="30"/>
  <c r="S129" i="30"/>
  <c r="S38" i="25"/>
  <c r="A205" i="30"/>
  <c r="H112" i="23"/>
  <c r="C2011" i="34"/>
  <c r="B244" i="30"/>
  <c r="E47" i="25"/>
  <c r="B33" i="25"/>
  <c r="B136" i="30"/>
  <c r="T229" i="30"/>
  <c r="F174" i="30"/>
  <c r="C304" i="34"/>
  <c r="B156" i="30"/>
  <c r="C131" i="34"/>
  <c r="H106" i="23"/>
  <c r="B178" i="30"/>
  <c r="U182" i="30"/>
  <c r="T33" i="25"/>
  <c r="A114" i="23"/>
  <c r="S176" i="30"/>
  <c r="U255" i="30"/>
  <c r="H111" i="23"/>
  <c r="B111" i="28"/>
  <c r="A33" i="25"/>
  <c r="F205" i="30"/>
  <c r="C270" i="33"/>
  <c r="U208" i="30"/>
  <c r="M43" i="28"/>
  <c r="A292" i="34"/>
  <c r="T25" i="30"/>
  <c r="F138" i="30"/>
  <c r="A231" i="30"/>
  <c r="F32" i="25"/>
  <c r="C21" i="23"/>
  <c r="H109" i="23"/>
  <c r="I142" i="25"/>
  <c r="H21" i="23"/>
  <c r="S151" i="30"/>
  <c r="F128" i="30"/>
  <c r="A34" i="25"/>
  <c r="A156" i="30"/>
  <c r="A248" i="30"/>
  <c r="I192" i="23"/>
  <c r="C96" i="34"/>
  <c r="C95" i="34"/>
  <c r="C272" i="33"/>
  <c r="F26" i="30"/>
  <c r="H283" i="33"/>
  <c r="I280" i="33"/>
  <c r="C32" i="29"/>
  <c r="U151" i="30"/>
  <c r="A136" i="34"/>
  <c r="F40" i="25"/>
  <c r="H132" i="34"/>
  <c r="H302" i="34"/>
  <c r="B39" i="25"/>
  <c r="H286" i="33"/>
  <c r="B246" i="30"/>
  <c r="C243" i="23" s="1"/>
  <c r="B267" i="30"/>
  <c r="F273" i="30"/>
  <c r="C172" i="23"/>
  <c r="S180" i="30"/>
  <c r="H34" i="34"/>
  <c r="F110" i="28"/>
  <c r="A286" i="33"/>
  <c r="C299" i="33"/>
  <c r="C39" i="34"/>
  <c r="B187" i="30"/>
  <c r="M313" i="31"/>
  <c r="T26" i="30"/>
  <c r="E313" i="31"/>
  <c r="E60" i="28"/>
  <c r="F312" i="31"/>
  <c r="U197" i="30"/>
  <c r="A95" i="34"/>
  <c r="I215" i="23"/>
  <c r="H1308" i="34"/>
  <c r="A130" i="30"/>
  <c r="S206" i="30"/>
  <c r="P83" i="30"/>
  <c r="W114" i="30"/>
  <c r="H220" i="23"/>
  <c r="F228" i="30"/>
  <c r="B202" i="30"/>
  <c r="U226" i="30"/>
  <c r="T210" i="30"/>
  <c r="C66" i="34"/>
  <c r="T132" i="30"/>
  <c r="M47" i="25"/>
  <c r="H291" i="34"/>
  <c r="C42" i="33"/>
  <c r="U175" i="30"/>
  <c r="C1941" i="34"/>
  <c r="A136" i="30"/>
  <c r="C103" i="23"/>
  <c r="U133" i="30"/>
  <c r="C269" i="33"/>
  <c r="B228" i="30"/>
  <c r="H368" i="34"/>
  <c r="T246" i="30"/>
  <c r="B221" i="30"/>
  <c r="U153" i="30"/>
  <c r="H2010" i="34"/>
  <c r="C136" i="34"/>
  <c r="T181" i="30"/>
  <c r="W30" i="28"/>
  <c r="U141" i="30"/>
  <c r="U199" i="30"/>
  <c r="T202" i="30"/>
  <c r="A42" i="33"/>
  <c r="U137" i="30"/>
  <c r="M60" i="28"/>
  <c r="U134" i="30"/>
  <c r="F179" i="30"/>
  <c r="Q35" i="25"/>
  <c r="A575" i="34"/>
  <c r="S135" i="30"/>
  <c r="H293" i="34"/>
  <c r="A40" i="25"/>
  <c r="I237" i="23"/>
  <c r="A162" i="30"/>
  <c r="U135" i="30"/>
  <c r="C110" i="23"/>
  <c r="B129" i="30"/>
  <c r="C361" i="34" s="1"/>
  <c r="C285" i="33"/>
  <c r="P69" i="30"/>
  <c r="A296" i="34"/>
  <c r="A32" i="25"/>
  <c r="T141" i="30"/>
  <c r="W109" i="30"/>
  <c r="I345" i="31"/>
  <c r="U198" i="30"/>
  <c r="A106" i="23"/>
  <c r="H26" i="33"/>
  <c r="W151" i="30"/>
  <c r="U41" i="25"/>
  <c r="H440" i="34"/>
  <c r="C312" i="33"/>
  <c r="U131" i="30"/>
  <c r="B60" i="28"/>
  <c r="U161" i="30"/>
  <c r="U246" i="30"/>
  <c r="P94" i="30"/>
  <c r="S186" i="30"/>
  <c r="C302" i="33"/>
  <c r="H270" i="23"/>
  <c r="U245" i="30"/>
  <c r="S247" i="30"/>
  <c r="U250" i="30"/>
  <c r="U272" i="30"/>
  <c r="I180" i="25"/>
  <c r="S290" i="30"/>
  <c r="T164" i="30"/>
  <c r="C104" i="23"/>
  <c r="A573" i="34"/>
  <c r="B153" i="30"/>
  <c r="H43" i="33"/>
  <c r="U230" i="30"/>
  <c r="S35" i="25"/>
  <c r="C708" i="34"/>
  <c r="A29" i="29"/>
  <c r="S267" i="30"/>
  <c r="C295" i="34"/>
  <c r="A132" i="30"/>
  <c r="H270" i="33"/>
  <c r="F155" i="30"/>
  <c r="A302" i="34"/>
  <c r="A21" i="23"/>
  <c r="S223" i="30"/>
  <c r="C112" i="23"/>
  <c r="B224" i="30"/>
  <c r="C43" i="34"/>
  <c r="T38" i="25"/>
  <c r="C238" i="23"/>
  <c r="P93" i="30"/>
  <c r="A66" i="34"/>
  <c r="S174" i="30"/>
  <c r="E111" i="28"/>
  <c r="B154" i="30"/>
  <c r="C432" i="34" s="1"/>
  <c r="B128" i="30"/>
  <c r="C360" i="34" s="1"/>
  <c r="A178" i="30"/>
  <c r="A502" i="34" s="1"/>
  <c r="A182" i="30"/>
  <c r="S132" i="30"/>
  <c r="A155" i="30"/>
  <c r="B138" i="30"/>
  <c r="H51" i="34"/>
  <c r="A46" i="33"/>
  <c r="B123" i="25"/>
  <c r="H284" i="33"/>
  <c r="A45" i="33"/>
  <c r="A163" i="30"/>
  <c r="A43" i="33"/>
  <c r="F25" i="30"/>
  <c r="S249" i="30"/>
  <c r="B210" i="30"/>
  <c r="A186" i="30"/>
  <c r="T252" i="30"/>
  <c r="B230" i="30"/>
  <c r="C227" i="23" s="1"/>
  <c r="P59" i="30"/>
  <c r="H303" i="33"/>
  <c r="F35" i="25"/>
  <c r="C303" i="34"/>
  <c r="H20" i="23"/>
  <c r="A131" i="34"/>
  <c r="F208" i="30"/>
  <c r="Q40" i="25"/>
  <c r="T183" i="30"/>
  <c r="H296" i="34"/>
  <c r="P89" i="30"/>
  <c r="P91" i="30"/>
  <c r="S33" i="25"/>
  <c r="A111" i="23"/>
  <c r="F103" i="25"/>
  <c r="B162" i="30"/>
  <c r="S156" i="30"/>
  <c r="C292" i="34"/>
  <c r="U130" i="30"/>
  <c r="A52" i="34"/>
  <c r="B47" i="25"/>
  <c r="A224" i="30"/>
  <c r="I296" i="33"/>
  <c r="U185" i="30"/>
  <c r="F175" i="30"/>
  <c r="H172" i="23" s="1"/>
  <c r="C297" i="34"/>
  <c r="C132" i="34"/>
  <c r="S152" i="30"/>
  <c r="T153" i="30"/>
  <c r="A40" i="34"/>
  <c r="A220" i="30"/>
  <c r="A217" i="23" s="1"/>
  <c r="B223" i="30"/>
  <c r="I393" i="31"/>
  <c r="A159" i="30"/>
  <c r="W31" i="28"/>
  <c r="B66" i="25"/>
  <c r="S134" i="30"/>
  <c r="T180" i="30"/>
  <c r="C50" i="34"/>
  <c r="C15" i="33"/>
  <c r="C134" i="34"/>
  <c r="A298" i="33"/>
  <c r="H49" i="34"/>
  <c r="S161" i="30"/>
  <c r="F84" i="25"/>
  <c r="C38" i="34"/>
  <c r="A185" i="30"/>
  <c r="H112" i="34"/>
  <c r="S179" i="30"/>
  <c r="H304" i="33"/>
  <c r="A252" i="30"/>
  <c r="A141" i="30"/>
  <c r="P71" i="30"/>
  <c r="C107" i="23"/>
  <c r="T176" i="30"/>
  <c r="C65" i="34"/>
  <c r="C573" i="34"/>
  <c r="S207" i="30"/>
  <c r="T253" i="30"/>
  <c r="H300" i="34"/>
  <c r="H303" i="34"/>
  <c r="C105" i="23"/>
  <c r="B131" i="30"/>
  <c r="F153" i="30"/>
  <c r="H131" i="34"/>
  <c r="S222" i="30"/>
  <c r="S203" i="30"/>
  <c r="B205" i="30"/>
  <c r="T135" i="30"/>
  <c r="U139" i="30"/>
  <c r="S224" i="30"/>
  <c r="C296" i="33"/>
  <c r="I264" i="33"/>
  <c r="C511" i="34"/>
  <c r="T209" i="30"/>
  <c r="B345" i="31"/>
  <c r="A137" i="34"/>
  <c r="Q38" i="25"/>
  <c r="A229" i="30"/>
  <c r="T220" i="30"/>
  <c r="C1804" i="34"/>
  <c r="F254" i="30"/>
  <c r="C26" i="33"/>
  <c r="A301" i="34"/>
  <c r="H299" i="33"/>
  <c r="U164" i="30"/>
  <c r="T35" i="25"/>
  <c r="H35" i="34"/>
  <c r="U227" i="30"/>
  <c r="B181" i="30"/>
  <c r="C20" i="23"/>
  <c r="H568" i="34"/>
  <c r="A26" i="30"/>
  <c r="B26" i="30"/>
  <c r="C28" i="34" s="1"/>
  <c r="P60" i="30"/>
  <c r="C67" i="34"/>
  <c r="F135" i="30"/>
  <c r="S40" i="25"/>
  <c r="F157" i="30"/>
  <c r="B155" i="30"/>
  <c r="F186" i="30"/>
  <c r="H510" i="34" s="1"/>
  <c r="B141" i="30"/>
  <c r="C373" i="34" s="1"/>
  <c r="C294" i="34"/>
  <c r="B130" i="30"/>
  <c r="A183" i="30"/>
  <c r="B409" i="31"/>
  <c r="C109" i="23"/>
  <c r="A291" i="34"/>
  <c r="F139" i="30"/>
  <c r="H136" i="23" s="1"/>
  <c r="T162" i="30"/>
  <c r="C24" i="33"/>
  <c r="A288" i="33"/>
  <c r="P95" i="30"/>
  <c r="C45" i="33"/>
  <c r="F376" i="31"/>
  <c r="T247" i="30"/>
  <c r="C2148" i="34"/>
  <c r="C97" i="34"/>
  <c r="A230" i="30"/>
  <c r="A646" i="34" s="1"/>
  <c r="B163" i="30"/>
  <c r="A175" i="30"/>
  <c r="A499" i="34" s="1"/>
  <c r="A157" i="30"/>
  <c r="F38" i="25"/>
  <c r="U207" i="30"/>
  <c r="U179" i="30"/>
  <c r="T186" i="30"/>
  <c r="A1306" i="34"/>
  <c r="A131" i="30"/>
  <c r="W36" i="28"/>
  <c r="S178" i="30"/>
  <c r="F141" i="25"/>
  <c r="C192" i="23"/>
  <c r="F160" i="30"/>
  <c r="H157" i="23" s="1"/>
  <c r="T200" i="30"/>
  <c r="B225" i="30"/>
  <c r="F140" i="30"/>
  <c r="T184" i="30"/>
  <c r="W111" i="30"/>
  <c r="C63" i="34"/>
  <c r="F247" i="30"/>
  <c r="U36" i="25"/>
  <c r="W16" i="28"/>
  <c r="A36" i="25"/>
  <c r="A135" i="30"/>
  <c r="F180" i="30"/>
  <c r="H130" i="23"/>
  <c r="A64" i="34"/>
  <c r="W112" i="30"/>
  <c r="T187" i="30"/>
  <c r="F204" i="30"/>
  <c r="H574" i="34" s="1"/>
  <c r="A65" i="34"/>
  <c r="H271" i="33"/>
  <c r="H301" i="34"/>
  <c r="H45" i="33"/>
  <c r="A96" i="34"/>
  <c r="S227" i="30"/>
  <c r="H68" i="34"/>
  <c r="H302" i="33"/>
  <c r="I85" i="25"/>
  <c r="B94" i="28"/>
  <c r="T36" i="25"/>
  <c r="C261" i="23"/>
  <c r="B43" i="28"/>
  <c r="C41" i="29" s="1"/>
  <c r="H105" i="23"/>
  <c r="U25" i="30"/>
  <c r="S158" i="30"/>
  <c r="S232" i="30"/>
  <c r="I377" i="31"/>
  <c r="C302" i="34"/>
  <c r="T179" i="30"/>
  <c r="H42" i="33"/>
  <c r="C2080" i="34"/>
  <c r="A30" i="33"/>
  <c r="W15" i="28"/>
  <c r="S246" i="30"/>
  <c r="C279" i="33"/>
  <c r="A302" i="33"/>
  <c r="C37" i="34"/>
  <c r="A293" i="34"/>
  <c r="A67" i="34"/>
  <c r="B208" i="30"/>
  <c r="P66" i="30"/>
  <c r="F256" i="30"/>
  <c r="H718" i="34" s="1"/>
  <c r="H102" i="23"/>
  <c r="U136" i="30"/>
  <c r="B41" i="25"/>
  <c r="A198" i="30"/>
  <c r="C214" i="23"/>
  <c r="A249" i="30"/>
  <c r="A271" i="33"/>
  <c r="A269" i="33"/>
  <c r="F328" i="31"/>
  <c r="T174" i="30"/>
  <c r="A298" i="34"/>
  <c r="C113" i="23"/>
  <c r="C215" i="23"/>
  <c r="A128" i="23"/>
  <c r="B266" i="30"/>
  <c r="E345" i="31"/>
  <c r="H63" i="34"/>
  <c r="C280" i="33"/>
  <c r="E361" i="31"/>
  <c r="C2010" i="34"/>
  <c r="T223" i="30"/>
  <c r="C43" i="33"/>
  <c r="T157" i="30"/>
  <c r="I94" i="28"/>
  <c r="I92" i="29" s="1"/>
  <c r="T199" i="30"/>
  <c r="T177" i="30"/>
  <c r="F129" i="30"/>
  <c r="B182" i="30"/>
  <c r="H1306" i="34"/>
  <c r="H119" i="34"/>
  <c r="C35" i="34"/>
  <c r="H37" i="34"/>
  <c r="S136" i="30"/>
  <c r="A202" i="30"/>
  <c r="S36" i="25"/>
  <c r="I295" i="33"/>
  <c r="T178" i="30"/>
  <c r="B161" i="30"/>
  <c r="A103" i="23"/>
  <c r="A227" i="30"/>
  <c r="A643" i="34" s="1"/>
  <c r="A210" i="30"/>
  <c r="C1942" i="34"/>
  <c r="C1308" i="34"/>
  <c r="B137" i="30"/>
  <c r="C369" i="34" s="1"/>
  <c r="U251" i="30"/>
  <c r="C284" i="33"/>
  <c r="U228" i="30"/>
  <c r="H43" i="34"/>
  <c r="A132" i="34"/>
  <c r="I23" i="33"/>
  <c r="C169" i="23"/>
  <c r="U39" i="25"/>
  <c r="A718" i="34"/>
  <c r="T228" i="30"/>
  <c r="U243" i="30"/>
  <c r="A271" i="30"/>
  <c r="B36" i="25"/>
  <c r="A134" i="30"/>
  <c r="A366" i="34" s="1"/>
  <c r="H44" i="33"/>
  <c r="H15" i="33"/>
  <c r="S138" i="30"/>
  <c r="U157" i="30"/>
  <c r="T134" i="30"/>
  <c r="F46" i="25"/>
  <c r="I168" i="23"/>
  <c r="H292" i="34"/>
  <c r="T208" i="30"/>
  <c r="B232" i="30"/>
  <c r="C229" i="23" s="1"/>
  <c r="U158" i="30"/>
  <c r="U152" i="30"/>
  <c r="S199" i="30"/>
  <c r="C148" i="23"/>
  <c r="T206" i="30"/>
  <c r="I361" i="31"/>
  <c r="A204" i="30"/>
  <c r="C106" i="23"/>
  <c r="S32" i="25"/>
  <c r="T198" i="30"/>
  <c r="S140" i="30"/>
  <c r="H111" i="34"/>
  <c r="T243" i="30"/>
  <c r="A12" i="29"/>
  <c r="H40" i="34"/>
  <c r="Q32" i="25"/>
  <c r="T34" i="25"/>
  <c r="P63" i="30"/>
  <c r="T161" i="30"/>
  <c r="A102" i="23"/>
  <c r="T279" i="30"/>
  <c r="H2080" i="34"/>
  <c r="B209" i="30"/>
  <c r="U138" i="30"/>
  <c r="W138" i="30" s="1"/>
  <c r="P62" i="30"/>
  <c r="B164" i="30"/>
  <c r="A297" i="34"/>
  <c r="S202" i="30"/>
  <c r="S198" i="30"/>
  <c r="C433" i="34"/>
  <c r="E377" i="31"/>
  <c r="S183" i="30"/>
  <c r="W110" i="30"/>
  <c r="T154" i="30"/>
  <c r="H1804" i="34"/>
  <c r="F245" i="30"/>
  <c r="A201" i="23"/>
  <c r="F127" i="28"/>
  <c r="H120" i="34"/>
  <c r="A711" i="34"/>
  <c r="W200" i="30"/>
  <c r="H639" i="34"/>
  <c r="H1309" i="34"/>
  <c r="H1304" i="34"/>
  <c r="U201" i="30"/>
  <c r="H176" i="23"/>
  <c r="A160" i="23"/>
  <c r="A363" i="34"/>
  <c r="I123" i="25"/>
  <c r="H371" i="34"/>
  <c r="F183" i="30"/>
  <c r="C282" i="33"/>
  <c r="H267" i="33"/>
  <c r="A568" i="34"/>
  <c r="T139" i="30"/>
  <c r="H295" i="34"/>
  <c r="A301" i="33"/>
  <c r="T159" i="30"/>
  <c r="F42" i="28"/>
  <c r="B104" i="25"/>
  <c r="C149" i="23"/>
  <c r="A179" i="30"/>
  <c r="I279" i="33"/>
  <c r="A295" i="34"/>
  <c r="P87" i="30"/>
  <c r="E329" i="31"/>
  <c r="S177" i="30"/>
  <c r="A434" i="34"/>
  <c r="A506" i="34"/>
  <c r="B35" i="25"/>
  <c r="C706" i="34"/>
  <c r="W135" i="30"/>
  <c r="H110" i="23"/>
  <c r="W228" i="30"/>
  <c r="B271" i="30"/>
  <c r="C268" i="23" s="1"/>
  <c r="E162" i="28"/>
  <c r="T278" i="30"/>
  <c r="F293" i="30"/>
  <c r="B318" i="30"/>
  <c r="A29" i="33"/>
  <c r="C52" i="34"/>
  <c r="B245" i="30"/>
  <c r="H264" i="23"/>
  <c r="F266" i="30"/>
  <c r="A574" i="34"/>
  <c r="U291" i="30"/>
  <c r="A26" i="33"/>
  <c r="U252" i="30"/>
  <c r="H106" i="34"/>
  <c r="T249" i="30"/>
  <c r="A154" i="30"/>
  <c r="B253" i="30"/>
  <c r="H104" i="34"/>
  <c r="C301" i="33"/>
  <c r="C646" i="34"/>
  <c r="A27" i="29"/>
  <c r="T275" i="30"/>
  <c r="T294" i="30"/>
  <c r="B199" i="25"/>
  <c r="A41" i="34"/>
  <c r="B248" i="30"/>
  <c r="A511" i="34"/>
  <c r="C156" i="23"/>
  <c r="B142" i="25"/>
  <c r="W246" i="30"/>
  <c r="F144" i="28"/>
  <c r="U248" i="30"/>
  <c r="H244" i="23"/>
  <c r="T266" i="30"/>
  <c r="A133" i="30"/>
  <c r="H2148" i="34"/>
  <c r="S295" i="30"/>
  <c r="B269" i="30"/>
  <c r="H1305" i="34"/>
  <c r="C2355" i="34"/>
  <c r="C201" i="23"/>
  <c r="A245" i="30"/>
  <c r="E142" i="25"/>
  <c r="C644" i="34"/>
  <c r="A108" i="34"/>
  <c r="W250" i="30"/>
  <c r="H225" i="23"/>
  <c r="H1307" i="34"/>
  <c r="B247" i="30"/>
  <c r="E104" i="25"/>
  <c r="A247" i="30"/>
  <c r="S208" i="30"/>
  <c r="Q26" i="30"/>
  <c r="H268" i="33"/>
  <c r="U249" i="30"/>
  <c r="H272" i="33"/>
  <c r="A62" i="34"/>
  <c r="B186" i="30"/>
  <c r="T245" i="30"/>
  <c r="A201" i="30"/>
  <c r="U156" i="30"/>
  <c r="W156" i="30" s="1"/>
  <c r="M104" i="25"/>
  <c r="H571" i="34"/>
  <c r="W130" i="30"/>
  <c r="C30" i="29"/>
  <c r="A268" i="33"/>
  <c r="C579" i="34"/>
  <c r="C153" i="23"/>
  <c r="H505" i="34"/>
  <c r="C110" i="34"/>
  <c r="A13" i="29"/>
  <c r="H31" i="29"/>
  <c r="U159" i="30"/>
  <c r="T269" i="30"/>
  <c r="U301" i="30"/>
  <c r="A243" i="30"/>
  <c r="C107" i="34"/>
  <c r="C102" i="23"/>
  <c r="A194" i="23"/>
  <c r="H775" i="34"/>
  <c r="H34" i="29"/>
  <c r="A176" i="23"/>
  <c r="C25" i="29"/>
  <c r="H242" i="23"/>
  <c r="H576" i="34"/>
  <c r="A254" i="30"/>
  <c r="H504" i="34"/>
  <c r="C574" i="34"/>
  <c r="B268" i="30"/>
  <c r="A129" i="23"/>
  <c r="A253" i="30"/>
  <c r="S279" i="30"/>
  <c r="B290" i="30"/>
  <c r="B243" i="30"/>
  <c r="W208" i="30"/>
  <c r="W129" i="30"/>
  <c r="H105" i="34"/>
  <c r="C29" i="29"/>
  <c r="B256" i="30"/>
  <c r="A246" i="30"/>
  <c r="B161" i="25"/>
  <c r="S34" i="25"/>
  <c r="S131" i="30"/>
  <c r="A362" i="34"/>
  <c r="C28" i="29"/>
  <c r="C2286" i="34"/>
  <c r="F224" i="30"/>
  <c r="A433" i="34"/>
  <c r="A572" i="34"/>
  <c r="H128" i="23"/>
  <c r="H31" i="33"/>
  <c r="H22" i="23"/>
  <c r="U275" i="30"/>
  <c r="A292" i="30"/>
  <c r="C126" i="23"/>
  <c r="A294" i="30"/>
  <c r="H137" i="23"/>
  <c r="C709" i="34"/>
  <c r="F232" i="30"/>
  <c r="F156" i="30"/>
  <c r="W177" i="30"/>
  <c r="U223" i="30"/>
  <c r="C306" i="23"/>
  <c r="T163" i="30"/>
  <c r="S270" i="30"/>
  <c r="A133" i="34"/>
  <c r="F130" i="30"/>
  <c r="A240" i="23"/>
  <c r="I359" i="33"/>
  <c r="C2079" i="34"/>
  <c r="I312" i="33"/>
  <c r="F268" i="30"/>
  <c r="W266" i="30"/>
  <c r="C266" i="23"/>
  <c r="C2356" i="34"/>
  <c r="U318" i="30"/>
  <c r="A246" i="23"/>
  <c r="I441" i="31"/>
  <c r="B299" i="30"/>
  <c r="S201" i="30"/>
  <c r="B329" i="31"/>
  <c r="T221" i="30"/>
  <c r="A294" i="34"/>
  <c r="U209" i="30"/>
  <c r="B174" i="30"/>
  <c r="Q37" i="25"/>
  <c r="U222" i="30"/>
  <c r="F36" i="25"/>
  <c r="A267" i="33"/>
  <c r="T40" i="25"/>
  <c r="B34" i="25"/>
  <c r="S137" i="30"/>
  <c r="T204" i="30"/>
  <c r="U160" i="30"/>
  <c r="B393" i="31"/>
  <c r="T267" i="30"/>
  <c r="A39" i="25"/>
  <c r="W136" i="30"/>
  <c r="F229" i="30"/>
  <c r="H226" i="23" s="1"/>
  <c r="T244" i="30"/>
  <c r="H177" i="23"/>
  <c r="H135" i="23"/>
  <c r="B361" i="31"/>
  <c r="C440" i="34"/>
  <c r="F300" i="30"/>
  <c r="B252" i="30"/>
  <c r="A316" i="30"/>
  <c r="U324" i="30"/>
  <c r="P67" i="30"/>
  <c r="A244" i="30"/>
  <c r="C152" i="23"/>
  <c r="T272" i="30"/>
  <c r="I329" i="23"/>
  <c r="E180" i="25"/>
  <c r="I143" i="29"/>
  <c r="H28" i="29"/>
  <c r="B206" i="30"/>
  <c r="B254" i="30"/>
  <c r="S155" i="30"/>
  <c r="A107" i="34"/>
  <c r="A28" i="34"/>
  <c r="H27" i="29"/>
  <c r="M161" i="25"/>
  <c r="B145" i="28"/>
  <c r="H499" i="34"/>
  <c r="S297" i="30"/>
  <c r="E94" i="28"/>
  <c r="U247" i="30"/>
  <c r="H578" i="34"/>
  <c r="Q41" i="25"/>
  <c r="H174" i="23"/>
  <c r="S268" i="30"/>
  <c r="H363" i="34"/>
  <c r="H716" i="34"/>
  <c r="C12" i="29"/>
  <c r="A503" i="34"/>
  <c r="A221" i="30"/>
  <c r="A218" i="23" s="1"/>
  <c r="C367" i="34"/>
  <c r="E77" i="28"/>
  <c r="S273" i="30"/>
  <c r="F158" i="30"/>
  <c r="U221" i="30"/>
  <c r="A198" i="23"/>
  <c r="A510" i="34"/>
  <c r="C135" i="23"/>
  <c r="A275" i="30"/>
  <c r="A302" i="30"/>
  <c r="B184" i="30"/>
  <c r="A228" i="23"/>
  <c r="U232" i="30"/>
  <c r="A200" i="23"/>
  <c r="C34" i="29"/>
  <c r="S233" i="30"/>
  <c r="W25" i="30"/>
  <c r="S276" i="30"/>
  <c r="A225" i="30"/>
  <c r="S253" i="30"/>
  <c r="W206" i="30"/>
  <c r="A500" i="34"/>
  <c r="H646" i="34"/>
  <c r="U37" i="25"/>
  <c r="W222" i="30"/>
  <c r="A315" i="30"/>
  <c r="S319" i="30"/>
  <c r="A228" i="30"/>
  <c r="B277" i="30"/>
  <c r="C785" i="34" s="1"/>
  <c r="U254" i="30"/>
  <c r="W116" i="30"/>
  <c r="C300" i="33"/>
  <c r="B197" i="30"/>
  <c r="A304" i="34"/>
  <c r="C500" i="34"/>
  <c r="W24" i="30"/>
  <c r="C46" i="33"/>
  <c r="U180" i="30"/>
  <c r="U154" i="30"/>
  <c r="S226" i="30"/>
  <c r="H97" i="34"/>
  <c r="C263" i="33"/>
  <c r="F250" i="30"/>
  <c r="H712" i="34" s="1"/>
  <c r="C28" i="33"/>
  <c r="A430" i="34"/>
  <c r="A640" i="34"/>
  <c r="F276" i="30"/>
  <c r="H273" i="23" s="1"/>
  <c r="A251" i="30"/>
  <c r="C376" i="33"/>
  <c r="M94" i="28"/>
  <c r="I93" i="29" s="1"/>
  <c r="C360" i="33"/>
  <c r="T250" i="30"/>
  <c r="F296" i="30"/>
  <c r="B273" i="30"/>
  <c r="C506" i="34"/>
  <c r="T316" i="30"/>
  <c r="H132" i="23"/>
  <c r="C122" i="34"/>
  <c r="C110" i="29"/>
  <c r="S225" i="30"/>
  <c r="H122" i="34"/>
  <c r="C133" i="23"/>
  <c r="T273" i="30"/>
  <c r="T317" i="30"/>
  <c r="A25" i="30"/>
  <c r="A68" i="34"/>
  <c r="W161" i="30"/>
  <c r="A37" i="25"/>
  <c r="B201" i="30"/>
  <c r="W226" i="30"/>
  <c r="A134" i="34"/>
  <c r="M409" i="31"/>
  <c r="F298" i="30"/>
  <c r="C265" i="23"/>
  <c r="C572" i="34"/>
  <c r="H852" i="34"/>
  <c r="H300" i="33"/>
  <c r="F253" i="30"/>
  <c r="C645" i="34"/>
  <c r="I214" i="23"/>
  <c r="F302" i="30"/>
  <c r="T296" i="30"/>
  <c r="T299" i="30"/>
  <c r="F249" i="30"/>
  <c r="S251" i="30"/>
  <c r="A580" i="34"/>
  <c r="A199" i="30"/>
  <c r="U244" i="30"/>
  <c r="C240" i="23"/>
  <c r="I409" i="31"/>
  <c r="C362" i="34"/>
  <c r="W158" i="30"/>
  <c r="H28" i="34"/>
  <c r="F209" i="30"/>
  <c r="W198" i="30"/>
  <c r="S197" i="30"/>
  <c r="B227" i="30"/>
  <c r="A441" i="34"/>
  <c r="H148" i="23"/>
  <c r="A33" i="29"/>
  <c r="C175" i="23"/>
  <c r="B425" i="31"/>
  <c r="H498" i="34"/>
  <c r="C32" i="33"/>
  <c r="A208" i="30"/>
  <c r="C114" i="23"/>
  <c r="C1304" i="34"/>
  <c r="C296" i="34"/>
  <c r="T175" i="30"/>
  <c r="B313" i="31"/>
  <c r="F141" i="30"/>
  <c r="U132" i="30"/>
  <c r="C68" i="34"/>
  <c r="U32" i="25"/>
  <c r="S26" i="30"/>
  <c r="H136" i="34"/>
  <c r="C300" i="34"/>
  <c r="H103" i="23"/>
  <c r="A97" i="34"/>
  <c r="F200" i="30"/>
  <c r="F185" i="30"/>
  <c r="H509" i="34" s="1"/>
  <c r="S244" i="30"/>
  <c r="S250" i="30"/>
  <c r="B158" i="30"/>
  <c r="A227" i="23"/>
  <c r="C284" i="23"/>
  <c r="A364" i="34"/>
  <c r="A177" i="23"/>
  <c r="S245" i="30"/>
  <c r="H32" i="29"/>
  <c r="C567" i="34"/>
  <c r="F291" i="30"/>
  <c r="H845" i="34" s="1"/>
  <c r="M179" i="28"/>
  <c r="T152" i="30"/>
  <c r="H104" i="23"/>
  <c r="W249" i="30"/>
  <c r="A108" i="23"/>
  <c r="H195" i="23"/>
  <c r="H365" i="34"/>
  <c r="A250" i="30"/>
  <c r="A712" i="34" s="1"/>
  <c r="F301" i="30"/>
  <c r="F323" i="30"/>
  <c r="A152" i="23"/>
  <c r="A270" i="33"/>
  <c r="B233" i="30"/>
  <c r="U253" i="30"/>
  <c r="C442" i="34"/>
  <c r="I313" i="31"/>
  <c r="H271" i="23"/>
  <c r="C150" i="23"/>
  <c r="A126" i="23"/>
  <c r="A49" i="34"/>
  <c r="S162" i="30"/>
  <c r="S275" i="30"/>
  <c r="C121" i="34"/>
  <c r="F269" i="30"/>
  <c r="H777" i="34" s="1"/>
  <c r="W247" i="30"/>
  <c r="C502" i="34"/>
  <c r="H196" i="23"/>
  <c r="C293" i="34"/>
  <c r="U38" i="25"/>
  <c r="I24" i="29"/>
  <c r="H154" i="23"/>
  <c r="C272" i="23"/>
  <c r="C157" i="23"/>
  <c r="M111" i="28"/>
  <c r="U289" i="30"/>
  <c r="B132" i="30"/>
  <c r="A226" i="23"/>
  <c r="I238" i="23"/>
  <c r="H1941" i="34"/>
  <c r="F424" i="31"/>
  <c r="C225" i="23"/>
  <c r="H282" i="33"/>
  <c r="C576" i="34"/>
  <c r="A32" i="29"/>
  <c r="U26" i="30"/>
  <c r="S221" i="30"/>
  <c r="C303" i="33"/>
  <c r="C705" i="34"/>
  <c r="U269" i="30"/>
  <c r="A274" i="30"/>
  <c r="F160" i="25"/>
  <c r="H367" i="34"/>
  <c r="M361" i="31"/>
  <c r="C199" i="23"/>
  <c r="S185" i="30"/>
  <c r="H781" i="34"/>
  <c r="A276" i="30"/>
  <c r="A30" i="29"/>
  <c r="A365" i="34"/>
  <c r="H201" i="23"/>
  <c r="S320" i="30"/>
  <c r="C330" i="23"/>
  <c r="A569" i="34"/>
  <c r="B321" i="30"/>
  <c r="T302" i="30"/>
  <c r="F344" i="31"/>
  <c r="F290" i="30"/>
  <c r="A322" i="30"/>
  <c r="A127" i="23"/>
  <c r="C221" i="23"/>
  <c r="I391" i="33"/>
  <c r="F277" i="30"/>
  <c r="C327" i="33"/>
  <c r="H855" i="34"/>
  <c r="U299" i="30"/>
  <c r="U317" i="30"/>
  <c r="A104" i="34"/>
  <c r="C264" i="23"/>
  <c r="Q36" i="25"/>
  <c r="H1872" i="34"/>
  <c r="A164" i="30"/>
  <c r="A158" i="30"/>
  <c r="H52" i="34"/>
  <c r="F154" i="30"/>
  <c r="F34" i="25"/>
  <c r="T207" i="30"/>
  <c r="B220" i="30"/>
  <c r="A207" i="30"/>
  <c r="T137" i="30"/>
  <c r="A38" i="34"/>
  <c r="B37" i="25"/>
  <c r="I104" i="25"/>
  <c r="H67" i="34"/>
  <c r="A644" i="34"/>
  <c r="U187" i="30"/>
  <c r="T39" i="25"/>
  <c r="B199" i="30"/>
  <c r="C196" i="23" s="1"/>
  <c r="C505" i="34"/>
  <c r="T32" i="25"/>
  <c r="C365" i="34"/>
  <c r="T156" i="30"/>
  <c r="A106" i="34"/>
  <c r="A31" i="29"/>
  <c r="H644" i="34"/>
  <c r="H511" i="34"/>
  <c r="H2286" i="34"/>
  <c r="I353" i="23"/>
  <c r="H118" i="34"/>
  <c r="A151" i="30"/>
  <c r="C31" i="33"/>
  <c r="F233" i="30"/>
  <c r="U295" i="30"/>
  <c r="I128" i="28"/>
  <c r="A245" i="23"/>
  <c r="U277" i="30"/>
  <c r="U320" i="30"/>
  <c r="C179" i="23"/>
  <c r="S205" i="30"/>
  <c r="A28" i="33"/>
  <c r="H203" i="23"/>
  <c r="A121" i="34"/>
  <c r="A710" i="34"/>
  <c r="U155" i="30"/>
  <c r="A241" i="23"/>
  <c r="F275" i="30"/>
  <c r="C59" i="29"/>
  <c r="T314" i="30"/>
  <c r="H150" i="23"/>
  <c r="A137" i="30"/>
  <c r="A134" i="23" s="1"/>
  <c r="H151" i="23"/>
  <c r="P88" i="30"/>
  <c r="F222" i="30"/>
  <c r="H638" i="34" s="1"/>
  <c r="A244" i="23"/>
  <c r="U268" i="30"/>
  <c r="H717" i="34"/>
  <c r="P61" i="30"/>
  <c r="H113" i="23"/>
  <c r="H2149" i="34"/>
  <c r="F270" i="30"/>
  <c r="A173" i="23"/>
  <c r="F244" i="30"/>
  <c r="C779" i="34"/>
  <c r="H2079" i="34"/>
  <c r="C44" i="33"/>
  <c r="A252" i="23"/>
  <c r="C92" i="29"/>
  <c r="H227" i="23"/>
  <c r="U276" i="30"/>
  <c r="C2149" i="34"/>
  <c r="H441" i="34"/>
  <c r="B207" i="30"/>
  <c r="C206" i="23"/>
  <c r="A195" i="23"/>
  <c r="S243" i="30"/>
  <c r="C29" i="33"/>
  <c r="H707" i="34"/>
  <c r="B250" i="30"/>
  <c r="B255" i="30"/>
  <c r="W33" i="28"/>
  <c r="A436" i="34"/>
  <c r="S255" i="30"/>
  <c r="A103" i="34"/>
  <c r="H29" i="29"/>
  <c r="S300" i="30"/>
  <c r="H251" i="23"/>
  <c r="A369" i="34"/>
  <c r="A713" i="34"/>
  <c r="C244" i="23"/>
  <c r="H153" i="23"/>
  <c r="C441" i="34"/>
  <c r="A438" i="34"/>
  <c r="T313" i="30"/>
  <c r="T322" i="30"/>
  <c r="C249" i="23"/>
  <c r="B313" i="30"/>
  <c r="M162" i="28"/>
  <c r="A273" i="23"/>
  <c r="U315" i="30"/>
  <c r="A645" i="34"/>
  <c r="S314" i="30"/>
  <c r="W201" i="30"/>
  <c r="C328" i="33"/>
  <c r="H436" i="34"/>
  <c r="C391" i="33"/>
  <c r="B314" i="30"/>
  <c r="S154" i="30"/>
  <c r="H569" i="34"/>
  <c r="C270" i="23"/>
  <c r="C504" i="34"/>
  <c r="H433" i="34"/>
  <c r="S322" i="30"/>
  <c r="B179" i="28"/>
  <c r="B441" i="31"/>
  <c r="C715" i="34"/>
  <c r="T324" i="30"/>
  <c r="A138" i="30"/>
  <c r="A370" i="34" s="1"/>
  <c r="C111" i="23"/>
  <c r="S163" i="30"/>
  <c r="A206" i="30"/>
  <c r="C267" i="33"/>
  <c r="H65" i="34"/>
  <c r="C498" i="34"/>
  <c r="U256" i="30"/>
  <c r="A51" i="34"/>
  <c r="T205" i="30"/>
  <c r="I47" i="25"/>
  <c r="H269" i="33"/>
  <c r="A232" i="30"/>
  <c r="I77" i="28"/>
  <c r="I75" i="29" s="1"/>
  <c r="U174" i="30"/>
  <c r="W174" i="30" s="1"/>
  <c r="U229" i="30"/>
  <c r="H27" i="33"/>
  <c r="C178" i="23"/>
  <c r="C158" i="23"/>
  <c r="M128" i="28"/>
  <c r="C1307" i="34"/>
  <c r="A172" i="23"/>
  <c r="T226" i="30"/>
  <c r="B226" i="30"/>
  <c r="U279" i="30"/>
  <c r="T232" i="30"/>
  <c r="M180" i="25"/>
  <c r="A110" i="34"/>
  <c r="B291" i="30"/>
  <c r="C160" i="23"/>
  <c r="B179" i="30"/>
  <c r="I109" i="29"/>
  <c r="W153" i="30"/>
  <c r="A278" i="30"/>
  <c r="H507" i="34"/>
  <c r="H198" i="23"/>
  <c r="A325" i="30"/>
  <c r="T251" i="30"/>
  <c r="C438" i="34"/>
  <c r="A27" i="33"/>
  <c r="H360" i="34"/>
  <c r="B377" i="31"/>
  <c r="A226" i="30"/>
  <c r="W113" i="30"/>
  <c r="C130" i="23"/>
  <c r="A200" i="30"/>
  <c r="F272" i="30"/>
  <c r="H180" i="23"/>
  <c r="C344" i="33"/>
  <c r="I42" i="29"/>
  <c r="A122" i="34"/>
  <c r="I260" i="23"/>
  <c r="T185" i="30"/>
  <c r="F408" i="31"/>
  <c r="C123" i="34"/>
  <c r="H171" i="23"/>
  <c r="A300" i="34"/>
  <c r="M377" i="31"/>
  <c r="A223" i="30"/>
  <c r="A299" i="33"/>
  <c r="C27" i="33"/>
  <c r="A199" i="23"/>
  <c r="H784" i="34"/>
  <c r="U300" i="30"/>
  <c r="I283" i="23"/>
  <c r="A249" i="23"/>
  <c r="A1308" i="34"/>
  <c r="C220" i="23"/>
  <c r="W229" i="30"/>
  <c r="H155" i="23"/>
  <c r="I307" i="23"/>
  <c r="A715" i="34"/>
  <c r="A31" i="33"/>
  <c r="U319" i="30"/>
  <c r="A1304" i="34"/>
  <c r="S220" i="30"/>
  <c r="W179" i="30"/>
  <c r="T225" i="30"/>
  <c r="A368" i="34"/>
  <c r="T276" i="30"/>
  <c r="A136" i="23"/>
  <c r="H435" i="34"/>
  <c r="B177" i="30"/>
  <c r="A222" i="30"/>
  <c r="H173" i="23"/>
  <c r="A156" i="23"/>
  <c r="F37" i="25"/>
  <c r="I425" i="31"/>
  <c r="A268" i="30"/>
  <c r="T155" i="30"/>
  <c r="W197" i="30"/>
  <c r="A641" i="34"/>
  <c r="C219" i="23"/>
  <c r="B325" i="30"/>
  <c r="S315" i="30"/>
  <c r="T293" i="30"/>
  <c r="A112" i="34"/>
  <c r="T295" i="30"/>
  <c r="C352" i="23"/>
  <c r="I162" i="28"/>
  <c r="A118" i="34"/>
  <c r="H241" i="23"/>
  <c r="H850" i="34"/>
  <c r="A182" i="23"/>
  <c r="C2217" i="34"/>
  <c r="C27" i="29"/>
  <c r="H107" i="34"/>
  <c r="B180" i="25"/>
  <c r="A318" i="30"/>
  <c r="C250" i="23"/>
  <c r="T320" i="30"/>
  <c r="C200" i="23"/>
  <c r="S175" i="30"/>
  <c r="W175" i="30" s="1"/>
  <c r="H266" i="33"/>
  <c r="W181" i="30"/>
  <c r="M66" i="25"/>
  <c r="A44" i="33"/>
  <c r="S228" i="30"/>
  <c r="F243" i="30"/>
  <c r="B25" i="30"/>
  <c r="C22" i="23" s="1"/>
  <c r="A181" i="30"/>
  <c r="A505" i="34" s="1"/>
  <c r="S209" i="30"/>
  <c r="T130" i="30"/>
  <c r="F203" i="30"/>
  <c r="C283" i="33"/>
  <c r="F246" i="30"/>
  <c r="P90" i="30"/>
  <c r="B249" i="30"/>
  <c r="C246" i="23" s="1"/>
  <c r="U204" i="30"/>
  <c r="S256" i="30"/>
  <c r="A175" i="23"/>
  <c r="A135" i="23"/>
  <c r="C119" i="34"/>
  <c r="C103" i="34"/>
  <c r="C202" i="23"/>
  <c r="F184" i="30"/>
  <c r="H181" i="23" s="1"/>
  <c r="H298" i="33"/>
  <c r="H709" i="34"/>
  <c r="A367" i="34"/>
  <c r="A360" i="34"/>
  <c r="I199" i="25"/>
  <c r="T255" i="30"/>
  <c r="T203" i="30"/>
  <c r="I284" i="23"/>
  <c r="A300" i="33"/>
  <c r="C242" i="23"/>
  <c r="H580" i="34"/>
  <c r="H782" i="34"/>
  <c r="A155" i="23"/>
  <c r="C182" i="23"/>
  <c r="C109" i="29"/>
  <c r="F225" i="30"/>
  <c r="S269" i="30"/>
  <c r="T230" i="30"/>
  <c r="T201" i="30"/>
  <c r="F248" i="30"/>
  <c r="I66" i="25"/>
  <c r="A300" i="30"/>
  <c r="A854" i="34" s="1"/>
  <c r="A273" i="30"/>
  <c r="A270" i="23" s="1"/>
  <c r="F278" i="30"/>
  <c r="U267" i="30"/>
  <c r="W267" i="30" s="1"/>
  <c r="A437" i="34"/>
  <c r="S164" i="30"/>
  <c r="C307" i="23"/>
  <c r="T270" i="30"/>
  <c r="F221" i="30"/>
  <c r="C112" i="34"/>
  <c r="A277" i="30"/>
  <c r="F134" i="30"/>
  <c r="A209" i="30"/>
  <c r="S231" i="30"/>
  <c r="C499" i="34"/>
  <c r="A373" i="34"/>
  <c r="E66" i="25"/>
  <c r="I375" i="33"/>
  <c r="F226" i="30"/>
  <c r="H223" i="23" s="1"/>
  <c r="A223" i="23"/>
  <c r="S302" i="30"/>
  <c r="A151" i="23"/>
  <c r="C127" i="23"/>
  <c r="H2218" i="34"/>
  <c r="T41" i="25"/>
  <c r="B139" i="30"/>
  <c r="I169" i="23"/>
  <c r="F392" i="31"/>
  <c r="F182" i="30"/>
  <c r="P72" i="30"/>
  <c r="T227" i="30"/>
  <c r="H64" i="34"/>
  <c r="H66" i="34"/>
  <c r="S141" i="30"/>
  <c r="C287" i="33"/>
  <c r="F159" i="30"/>
  <c r="C42" i="34"/>
  <c r="T197" i="30"/>
  <c r="A107" i="23"/>
  <c r="A1310" i="34"/>
  <c r="U225" i="30"/>
  <c r="A431" i="34"/>
  <c r="A109" i="23"/>
  <c r="C569" i="34"/>
  <c r="A149" i="23"/>
  <c r="B77" i="28"/>
  <c r="A37" i="34"/>
  <c r="C266" i="33"/>
  <c r="A303" i="33"/>
  <c r="A714" i="34"/>
  <c r="M425" i="31"/>
  <c r="C638" i="34"/>
  <c r="B289" i="30"/>
  <c r="T301" i="30"/>
  <c r="C1310" i="34"/>
  <c r="C30" i="33"/>
  <c r="I261" i="23"/>
  <c r="U274" i="30"/>
  <c r="C642" i="34"/>
  <c r="C713" i="34"/>
  <c r="B294" i="30"/>
  <c r="C291" i="23" s="1"/>
  <c r="S313" i="30"/>
  <c r="C848" i="34"/>
  <c r="T254" i="30"/>
  <c r="B134" i="30"/>
  <c r="A124" i="34"/>
  <c r="C439" i="34"/>
  <c r="U231" i="30"/>
  <c r="I60" i="28"/>
  <c r="A282" i="33"/>
  <c r="C774" i="34"/>
  <c r="B162" i="28"/>
  <c r="C160" i="29" s="1"/>
  <c r="A636" i="34"/>
  <c r="F297" i="30"/>
  <c r="H288" i="23"/>
  <c r="H32" i="33"/>
  <c r="T248" i="30"/>
  <c r="M77" i="28"/>
  <c r="A171" i="23"/>
  <c r="B274" i="30"/>
  <c r="C782" i="34" s="1"/>
  <c r="A279" i="30"/>
  <c r="S278" i="30"/>
  <c r="F251" i="30"/>
  <c r="C298" i="34"/>
  <c r="W152" i="30"/>
  <c r="C510" i="34"/>
  <c r="H250" i="23"/>
  <c r="U278" i="30"/>
  <c r="T271" i="30"/>
  <c r="M145" i="28"/>
  <c r="H774" i="34"/>
  <c r="C183" i="23"/>
  <c r="C711" i="34"/>
  <c r="T160" i="30"/>
  <c r="C283" i="23"/>
  <c r="C108" i="23"/>
  <c r="C707" i="34"/>
  <c r="F294" i="30"/>
  <c r="C118" i="34"/>
  <c r="A125" i="34"/>
  <c r="U323" i="30"/>
  <c r="C194" i="23"/>
  <c r="A120" i="34"/>
  <c r="C716" i="34"/>
  <c r="C109" i="34"/>
  <c r="B278" i="30"/>
  <c r="C776" i="34"/>
  <c r="A284" i="33"/>
  <c r="B200" i="30"/>
  <c r="B270" i="30"/>
  <c r="H500" i="34"/>
  <c r="U271" i="30"/>
  <c r="W35" i="25"/>
  <c r="B279" i="30"/>
  <c r="A508" i="34"/>
  <c r="A272" i="30"/>
  <c r="H506" i="34"/>
  <c r="H438" i="34"/>
  <c r="H265" i="23"/>
  <c r="A779" i="34"/>
  <c r="C131" i="23"/>
  <c r="A324" i="30"/>
  <c r="F198" i="25"/>
  <c r="U312" i="30"/>
  <c r="U293" i="30"/>
  <c r="S133" i="30"/>
  <c r="H294" i="34"/>
  <c r="W157" i="30"/>
  <c r="W106" i="30"/>
  <c r="F202" i="30"/>
  <c r="H199" i="23" s="1"/>
  <c r="W35" i="28"/>
  <c r="S139" i="30"/>
  <c r="A233" i="30"/>
  <c r="A649" i="34" s="1"/>
  <c r="U186" i="30"/>
  <c r="W32" i="28"/>
  <c r="H108" i="23"/>
  <c r="S160" i="30"/>
  <c r="T128" i="30"/>
  <c r="W115" i="30"/>
  <c r="H39" i="34"/>
  <c r="F132" i="30"/>
  <c r="H364" i="34" s="1"/>
  <c r="T256" i="30"/>
  <c r="U33" i="25"/>
  <c r="H1734" i="34"/>
  <c r="H29" i="33"/>
  <c r="A709" i="34"/>
  <c r="B231" i="30"/>
  <c r="C268" i="33"/>
  <c r="I306" i="23"/>
  <c r="F161" i="28"/>
  <c r="B183" i="30"/>
  <c r="A26" i="34"/>
  <c r="B312" i="30"/>
  <c r="H2355" i="34"/>
  <c r="C372" i="34"/>
  <c r="H572" i="34"/>
  <c r="U203" i="30"/>
  <c r="U224" i="30"/>
  <c r="H125" i="34"/>
  <c r="I343" i="33"/>
  <c r="C27" i="34"/>
  <c r="B302" i="30"/>
  <c r="U292" i="30"/>
  <c r="F231" i="30"/>
  <c r="E393" i="31"/>
  <c r="H159" i="23"/>
  <c r="C133" i="34"/>
  <c r="S128" i="30"/>
  <c r="S37" i="25"/>
  <c r="C120" i="34"/>
  <c r="A268" i="23"/>
  <c r="C124" i="34"/>
  <c r="P82" i="30"/>
  <c r="A153" i="23"/>
  <c r="B293" i="30"/>
  <c r="A105" i="23"/>
  <c r="S204" i="30"/>
  <c r="H125" i="23"/>
  <c r="T131" i="30"/>
  <c r="C173" i="23"/>
  <c r="A270" i="30"/>
  <c r="F164" i="30"/>
  <c r="W132" i="30"/>
  <c r="C159" i="23"/>
  <c r="A371" i="34"/>
  <c r="F252" i="30"/>
  <c r="H107" i="23"/>
  <c r="E425" i="31"/>
  <c r="A224" i="23"/>
  <c r="C41" i="34"/>
  <c r="F220" i="30"/>
  <c r="A202" i="23"/>
  <c r="H28" i="33"/>
  <c r="C248" i="23"/>
  <c r="F207" i="30"/>
  <c r="F137" i="30"/>
  <c r="H134" i="23" s="1"/>
  <c r="P64" i="30"/>
  <c r="A304" i="33"/>
  <c r="E409" i="31"/>
  <c r="I127" i="29"/>
  <c r="A440" i="34"/>
  <c r="A180" i="23"/>
  <c r="F178" i="30"/>
  <c r="H2217" i="34"/>
  <c r="H110" i="34"/>
  <c r="A708" i="34"/>
  <c r="A267" i="30"/>
  <c r="A775" i="34" s="1"/>
  <c r="A248" i="23"/>
  <c r="H301" i="33"/>
  <c r="U163" i="30"/>
  <c r="A123" i="34"/>
  <c r="A174" i="23"/>
  <c r="F279" i="30"/>
  <c r="C778" i="34"/>
  <c r="C125" i="34"/>
  <c r="C252" i="23"/>
  <c r="C181" i="23"/>
  <c r="C263" i="23"/>
  <c r="A301" i="30"/>
  <c r="W36" i="25"/>
  <c r="H851" i="34"/>
  <c r="W176" i="30"/>
  <c r="A319" i="30"/>
  <c r="A290" i="30"/>
  <c r="C275" i="23"/>
  <c r="T300" i="30"/>
  <c r="C501" i="34"/>
  <c r="I329" i="31"/>
  <c r="I327" i="33" s="1"/>
  <c r="A716" i="34"/>
  <c r="A295" i="30"/>
  <c r="B85" i="25"/>
  <c r="H121" i="34"/>
  <c r="H361" i="34"/>
  <c r="H183" i="23"/>
  <c r="U322" i="30"/>
  <c r="U321" i="30"/>
  <c r="B298" i="30"/>
  <c r="C224" i="23"/>
  <c r="A298" i="30"/>
  <c r="T321" i="30"/>
  <c r="A297" i="30"/>
  <c r="C503" i="34"/>
  <c r="S324" i="30"/>
  <c r="H2356" i="34"/>
  <c r="C437" i="34"/>
  <c r="E161" i="25"/>
  <c r="S271" i="30"/>
  <c r="W271" i="30" s="1"/>
  <c r="C570" i="34"/>
  <c r="I352" i="23"/>
  <c r="H252" i="23"/>
  <c r="A179" i="23"/>
  <c r="T323" i="30"/>
  <c r="H246" i="23"/>
  <c r="H197" i="23"/>
  <c r="C42" i="29"/>
  <c r="W39" i="25"/>
  <c r="I126" i="29"/>
  <c r="C363" i="34"/>
  <c r="H710" i="34"/>
  <c r="H204" i="23"/>
  <c r="A292" i="23"/>
  <c r="C125" i="23"/>
  <c r="M441" i="31"/>
  <c r="T133" i="30"/>
  <c r="U297" i="30"/>
  <c r="C366" i="34"/>
  <c r="A109" i="34"/>
  <c r="B292" i="30"/>
  <c r="A787" i="34"/>
  <c r="H706" i="34"/>
  <c r="H293" i="23"/>
  <c r="T233" i="30"/>
  <c r="A178" i="23"/>
  <c r="A313" i="30"/>
  <c r="A110" i="23"/>
  <c r="B319" i="30"/>
  <c r="B324" i="30"/>
  <c r="S321" i="30"/>
  <c r="T315" i="30"/>
  <c r="W185" i="30"/>
  <c r="C155" i="23"/>
  <c r="A570" i="34"/>
  <c r="C712" i="34"/>
  <c r="A294" i="23"/>
  <c r="H848" i="34"/>
  <c r="M199" i="25"/>
  <c r="H295" i="23"/>
  <c r="A161" i="30"/>
  <c r="C75" i="29"/>
  <c r="H637" i="34"/>
  <c r="A219" i="23"/>
  <c r="C104" i="34"/>
  <c r="W178" i="30"/>
  <c r="A501" i="34"/>
  <c r="C1735" i="34"/>
  <c r="T277" i="30"/>
  <c r="Q33" i="25"/>
  <c r="C2218" i="34"/>
  <c r="T268" i="30"/>
  <c r="H109" i="34"/>
  <c r="E199" i="25"/>
  <c r="S316" i="30"/>
  <c r="S293" i="30"/>
  <c r="S301" i="30"/>
  <c r="F299" i="30"/>
  <c r="B301" i="30"/>
  <c r="A717" i="34"/>
  <c r="B276" i="30"/>
  <c r="H434" i="34"/>
  <c r="H269" i="23"/>
  <c r="E145" i="28"/>
  <c r="C775" i="34"/>
  <c r="H123" i="34"/>
  <c r="F178" i="28"/>
  <c r="B297" i="30"/>
  <c r="C368" i="34"/>
  <c r="S291" i="30"/>
  <c r="S299" i="30"/>
  <c r="C435" i="34"/>
  <c r="T289" i="30"/>
  <c r="H219" i="23"/>
  <c r="W199" i="30"/>
  <c r="H129" i="23"/>
  <c r="C128" i="23"/>
  <c r="H245" i="23"/>
  <c r="H577" i="34"/>
  <c r="C247" i="23"/>
  <c r="C637" i="34"/>
  <c r="H291" i="23"/>
  <c r="A314" i="30"/>
  <c r="T318" i="30"/>
  <c r="S318" i="30"/>
  <c r="H218" i="23"/>
  <c r="A780" i="34"/>
  <c r="W33" i="25"/>
  <c r="H714" i="34"/>
  <c r="C786" i="34"/>
  <c r="T325" i="30"/>
  <c r="A131" i="23"/>
  <c r="I43" i="28"/>
  <c r="I41" i="29" s="1"/>
  <c r="C1803" i="34"/>
  <c r="H503" i="34"/>
  <c r="T182" i="30"/>
  <c r="I179" i="28"/>
  <c r="W276" i="30"/>
  <c r="A578" i="34"/>
  <c r="C718" i="34"/>
  <c r="C580" i="34"/>
  <c r="B272" i="30"/>
  <c r="A196" i="23"/>
  <c r="H786" i="34"/>
  <c r="F292" i="30"/>
  <c r="H178" i="23"/>
  <c r="A183" i="23"/>
  <c r="H573" i="34"/>
  <c r="H175" i="23"/>
  <c r="A140" i="30"/>
  <c r="A289" i="30"/>
  <c r="C301" i="34"/>
  <c r="C578" i="34"/>
  <c r="C205" i="23"/>
  <c r="T298" i="30"/>
  <c r="S272" i="30"/>
  <c r="W184" i="30"/>
  <c r="U302" i="30"/>
  <c r="H263" i="23"/>
  <c r="C31" i="29"/>
  <c r="S312" i="30"/>
  <c r="C108" i="34"/>
  <c r="C274" i="23"/>
  <c r="A435" i="34"/>
  <c r="C784" i="34"/>
  <c r="A293" i="30"/>
  <c r="U298" i="30"/>
  <c r="H103" i="34"/>
  <c r="C577" i="34"/>
  <c r="H133" i="23"/>
  <c r="U314" i="30"/>
  <c r="W244" i="30"/>
  <c r="W230" i="30"/>
  <c r="C218" i="23"/>
  <c r="A851" i="34"/>
  <c r="H362" i="34"/>
  <c r="W139" i="30"/>
  <c r="B295" i="30"/>
  <c r="C434" i="34"/>
  <c r="C174" i="23"/>
  <c r="W202" i="30"/>
  <c r="H200" i="23"/>
  <c r="C710" i="34"/>
  <c r="U296" i="30"/>
  <c r="A429" i="34"/>
  <c r="C717" i="34"/>
  <c r="C1309" i="34"/>
  <c r="B128" i="28"/>
  <c r="F161" i="30"/>
  <c r="F227" i="30"/>
  <c r="A38" i="25"/>
  <c r="C2287" i="34"/>
  <c r="A781" i="34"/>
  <c r="H642" i="34"/>
  <c r="H431" i="34"/>
  <c r="I330" i="23"/>
  <c r="T297" i="30"/>
  <c r="T290" i="30"/>
  <c r="F440" i="31"/>
  <c r="S248" i="30"/>
  <c r="B296" i="30"/>
  <c r="A782" i="34"/>
  <c r="H776" i="34"/>
  <c r="C228" i="23"/>
  <c r="H502" i="34"/>
  <c r="U325" i="30"/>
  <c r="C267" i="23"/>
  <c r="A157" i="23"/>
  <c r="H217" i="23"/>
  <c r="A291" i="23"/>
  <c r="C392" i="33"/>
  <c r="C176" i="23"/>
  <c r="H570" i="34"/>
  <c r="H287" i="23"/>
  <c r="H126" i="23"/>
  <c r="H33" i="29"/>
  <c r="A154" i="23"/>
  <c r="H288" i="33"/>
  <c r="H202" i="23"/>
  <c r="A28" i="29"/>
  <c r="C714" i="34"/>
  <c r="A297" i="23"/>
  <c r="U273" i="30"/>
  <c r="A291" i="30"/>
  <c r="I110" i="29"/>
  <c r="C777" i="34"/>
  <c r="C271" i="23"/>
  <c r="A269" i="30"/>
  <c r="C134" i="23"/>
  <c r="C647" i="34"/>
  <c r="S277" i="30"/>
  <c r="A846" i="34"/>
  <c r="A642" i="34"/>
  <c r="S294" i="30"/>
  <c r="U313" i="30"/>
  <c r="C431" i="34"/>
  <c r="I161" i="29"/>
  <c r="A264" i="23"/>
  <c r="A852" i="34"/>
  <c r="U294" i="30"/>
  <c r="B323" i="30"/>
  <c r="H711" i="34"/>
  <c r="U220" i="30"/>
  <c r="E128" i="28"/>
  <c r="C127" i="29" s="1"/>
  <c r="B316" i="30"/>
  <c r="H30" i="29"/>
  <c r="C783" i="34"/>
  <c r="A509" i="34"/>
  <c r="A220" i="23"/>
  <c r="H229" i="23"/>
  <c r="I59" i="29"/>
  <c r="H248" i="23"/>
  <c r="A1305" i="34"/>
  <c r="C575" i="34"/>
  <c r="B40" i="25"/>
  <c r="S325" i="30"/>
  <c r="H266" i="23"/>
  <c r="S323" i="30"/>
  <c r="S274" i="30"/>
  <c r="A706" i="34"/>
  <c r="U290" i="30"/>
  <c r="C111" i="34"/>
  <c r="A271" i="23"/>
  <c r="H2287" i="34"/>
  <c r="B320" i="30"/>
  <c r="A225" i="23"/>
  <c r="C241" i="23"/>
  <c r="H30" i="33"/>
  <c r="A856" i="34"/>
  <c r="H780" i="34"/>
  <c r="T312" i="30"/>
  <c r="A299" i="30"/>
  <c r="A296" i="23" s="1"/>
  <c r="E441" i="31"/>
  <c r="A321" i="30"/>
  <c r="H645" i="34"/>
  <c r="H369" i="34"/>
  <c r="W225" i="30"/>
  <c r="H508" i="34"/>
  <c r="C430" i="34"/>
  <c r="H205" i="23"/>
  <c r="W220" i="30"/>
  <c r="H647" i="34"/>
  <c r="A639" i="34"/>
  <c r="A266" i="23"/>
  <c r="A853" i="34"/>
  <c r="B300" i="30"/>
  <c r="H152" i="23"/>
  <c r="W162" i="30"/>
  <c r="C137" i="23"/>
  <c r="H228" i="23"/>
  <c r="H206" i="23"/>
  <c r="A777" i="34"/>
  <c r="H247" i="23"/>
  <c r="C329" i="23"/>
  <c r="H370" i="34"/>
  <c r="F271" i="30"/>
  <c r="T292" i="30"/>
  <c r="B322" i="30"/>
  <c r="H272" i="23"/>
  <c r="S298" i="30"/>
  <c r="C353" i="23"/>
  <c r="I76" i="29"/>
  <c r="W183" i="30"/>
  <c r="W155" i="30"/>
  <c r="W224" i="30"/>
  <c r="A181" i="23"/>
  <c r="A295" i="23"/>
  <c r="U34" i="25"/>
  <c r="C359" i="33"/>
  <c r="H778" i="34"/>
  <c r="A267" i="23"/>
  <c r="W154" i="30"/>
  <c r="U316" i="30"/>
  <c r="H221" i="23"/>
  <c r="A266" i="30"/>
  <c r="A774" i="34" s="1"/>
  <c r="H640" i="34"/>
  <c r="C151" i="23"/>
  <c r="H182" i="23"/>
  <c r="H108" i="34"/>
  <c r="F152" i="30"/>
  <c r="W245" i="30"/>
  <c r="F197" i="30"/>
  <c r="F289" i="30"/>
  <c r="A296" i="30"/>
  <c r="H294" i="23"/>
  <c r="S317" i="30"/>
  <c r="A205" i="23"/>
  <c r="C161" i="29"/>
  <c r="I311" i="33"/>
  <c r="A242" i="23"/>
  <c r="B317" i="30"/>
  <c r="M393" i="31"/>
  <c r="W221" i="30"/>
  <c r="S296" i="30"/>
  <c r="T291" i="30"/>
  <c r="F295" i="30"/>
  <c r="A272" i="23"/>
  <c r="A317" i="30"/>
  <c r="A312" i="30"/>
  <c r="S289" i="30"/>
  <c r="C195" i="23"/>
  <c r="S292" i="30"/>
  <c r="A320" i="30"/>
  <c r="E179" i="28"/>
  <c r="H289" i="23"/>
  <c r="H131" i="23"/>
  <c r="W163" i="30"/>
  <c r="H501" i="34"/>
  <c r="C105" i="34"/>
  <c r="C58" i="29"/>
  <c r="C571" i="34"/>
  <c r="C129" i="23"/>
  <c r="A849" i="34"/>
  <c r="H844" i="34"/>
  <c r="A263" i="23"/>
  <c r="H567" i="34"/>
  <c r="H785" i="34"/>
  <c r="T319" i="30"/>
  <c r="A323" i="30"/>
  <c r="H636" i="34"/>
  <c r="H127" i="23"/>
  <c r="C311" i="33"/>
  <c r="A159" i="23"/>
  <c r="H648" i="34"/>
  <c r="W272" i="30"/>
  <c r="A133" i="23"/>
  <c r="C639" i="34"/>
  <c r="C245" i="23"/>
  <c r="C643" i="34"/>
  <c r="I58" i="29"/>
  <c r="H275" i="23"/>
  <c r="W268" i="30"/>
  <c r="A222" i="23"/>
  <c r="W269" i="30"/>
  <c r="A132" i="23"/>
  <c r="W186" i="30"/>
  <c r="W41" i="25"/>
  <c r="W251" i="30"/>
  <c r="H442" i="34"/>
  <c r="C144" i="29"/>
  <c r="W40" i="25"/>
  <c r="W159" i="30"/>
  <c r="C568" i="34"/>
  <c r="W133" i="30"/>
  <c r="H649" i="34"/>
  <c r="A299" i="34"/>
  <c r="C198" i="23"/>
  <c r="C143" i="29"/>
  <c r="A197" i="23"/>
  <c r="C364" i="34"/>
  <c r="C781" i="34"/>
  <c r="W231" i="30"/>
  <c r="W253" i="30"/>
  <c r="I144" i="29"/>
  <c r="C648" i="34"/>
  <c r="C106" i="34"/>
  <c r="W243" i="30"/>
  <c r="C171" i="23"/>
  <c r="A335" i="30"/>
  <c r="U343" i="30"/>
  <c r="C913" i="34"/>
  <c r="C319" i="23"/>
  <c r="C518" i="34"/>
  <c r="B237" i="25"/>
  <c r="C76" i="29"/>
  <c r="H579" i="34"/>
  <c r="A130" i="23"/>
  <c r="A269" i="23"/>
  <c r="W140" i="30"/>
  <c r="A638" i="34"/>
  <c r="W207" i="30"/>
  <c r="A647" i="34"/>
  <c r="C2424" i="34"/>
  <c r="C854" i="34"/>
  <c r="T369" i="30"/>
  <c r="T335" i="30"/>
  <c r="F316" i="30"/>
  <c r="F315" i="30"/>
  <c r="A341" i="30"/>
  <c r="M196" i="28"/>
  <c r="B346" i="30"/>
  <c r="B343" i="30"/>
  <c r="F456" i="31"/>
  <c r="H176" i="34"/>
  <c r="B347" i="30"/>
  <c r="C297" i="23"/>
  <c r="F212" i="28"/>
  <c r="C640" i="34"/>
  <c r="F347" i="30"/>
  <c r="F236" i="25"/>
  <c r="T346" i="30"/>
  <c r="H525" i="34"/>
  <c r="W313" i="30"/>
  <c r="C519" i="34"/>
  <c r="S338" i="30"/>
  <c r="A311" i="23"/>
  <c r="A603" i="34"/>
  <c r="B363" i="30"/>
  <c r="I375" i="23"/>
  <c r="H606" i="34"/>
  <c r="W316" i="30"/>
  <c r="C375" i="23"/>
  <c r="F312" i="30"/>
  <c r="C295" i="23"/>
  <c r="T342" i="30"/>
  <c r="H519" i="34"/>
  <c r="A337" i="30"/>
  <c r="B364" i="30"/>
  <c r="F322" i="30"/>
  <c r="I376" i="23"/>
  <c r="W255" i="30"/>
  <c r="U347" i="30"/>
  <c r="E457" i="31"/>
  <c r="H320" i="23"/>
  <c r="H856" i="34"/>
  <c r="B360" i="30"/>
  <c r="S348" i="30"/>
  <c r="M218" i="25"/>
  <c r="A1724" i="34"/>
  <c r="B370" i="30"/>
  <c r="A315" i="23"/>
  <c r="C2493" i="34"/>
  <c r="C310" i="23"/>
  <c r="T336" i="30"/>
  <c r="A524" i="34"/>
  <c r="B196" i="28"/>
  <c r="A290" i="23"/>
  <c r="A367" i="30"/>
  <c r="A247" i="23"/>
  <c r="A915" i="34"/>
  <c r="A370" i="30"/>
  <c r="S337" i="30"/>
  <c r="A657" i="34"/>
  <c r="F336" i="30"/>
  <c r="C852" i="34"/>
  <c r="F363" i="30"/>
  <c r="C851" i="34"/>
  <c r="S344" i="30"/>
  <c r="H783" i="34"/>
  <c r="A521" i="34"/>
  <c r="S341" i="30"/>
  <c r="C1720" i="34"/>
  <c r="A364" i="30"/>
  <c r="B365" i="30"/>
  <c r="C849" i="34"/>
  <c r="F324" i="30"/>
  <c r="T339" i="30"/>
  <c r="C311" i="23"/>
  <c r="C370" i="34"/>
  <c r="A918" i="34"/>
  <c r="C844" i="34"/>
  <c r="E196" i="28"/>
  <c r="A316" i="23"/>
  <c r="W298" i="30"/>
  <c r="U346" i="30"/>
  <c r="H382" i="34"/>
  <c r="A1720" i="34"/>
  <c r="W292" i="30"/>
  <c r="W107" i="30"/>
  <c r="W248" i="30"/>
  <c r="H274" i="23"/>
  <c r="U336" i="30"/>
  <c r="A309" i="23"/>
  <c r="A336" i="30"/>
  <c r="C287" i="23"/>
  <c r="C177" i="29"/>
  <c r="C315" i="23"/>
  <c r="H2493" i="34"/>
  <c r="A923" i="34"/>
  <c r="T348" i="30"/>
  <c r="H2424" i="34"/>
  <c r="H312" i="23"/>
  <c r="A1723" i="34"/>
  <c r="H2494" i="34"/>
  <c r="H659" i="34"/>
  <c r="H522" i="34"/>
  <c r="I407" i="33"/>
  <c r="C248" i="34"/>
  <c r="C847" i="34"/>
  <c r="W322" i="30"/>
  <c r="B342" i="30"/>
  <c r="F337" i="30"/>
  <c r="C853" i="34"/>
  <c r="C661" i="34"/>
  <c r="B361" i="30"/>
  <c r="A360" i="30"/>
  <c r="H587" i="34"/>
  <c r="B315" i="30"/>
  <c r="H677" i="34"/>
  <c r="I178" i="29"/>
  <c r="C850" i="34"/>
  <c r="A660" i="34"/>
  <c r="U342" i="30"/>
  <c r="F367" i="30"/>
  <c r="C316" i="23"/>
  <c r="A656" i="34"/>
  <c r="U362" i="30"/>
  <c r="C659" i="34"/>
  <c r="A921" i="34"/>
  <c r="T337" i="30"/>
  <c r="B368" i="30"/>
  <c r="A637" i="34"/>
  <c r="T341" i="30"/>
  <c r="A380" i="34"/>
  <c r="C247" i="34"/>
  <c r="U335" i="30"/>
  <c r="C662" i="34"/>
  <c r="F472" i="31"/>
  <c r="B339" i="30"/>
  <c r="C522" i="34"/>
  <c r="C321" i="23"/>
  <c r="A987" i="34"/>
  <c r="A384" i="34"/>
  <c r="A518" i="34"/>
  <c r="C607" i="34"/>
  <c r="C917" i="34"/>
  <c r="C601" i="34"/>
  <c r="B335" i="30"/>
  <c r="W291" i="30"/>
  <c r="B348" i="30"/>
  <c r="M213" i="28"/>
  <c r="C290" i="23"/>
  <c r="F317" i="30"/>
  <c r="A314" i="23"/>
  <c r="C408" i="33"/>
  <c r="U361" i="30"/>
  <c r="F346" i="30"/>
  <c r="C242" i="34"/>
  <c r="U345" i="30"/>
  <c r="A313" i="23"/>
  <c r="A607" i="34"/>
  <c r="A344" i="30"/>
  <c r="F345" i="30"/>
  <c r="A662" i="34"/>
  <c r="H661" i="34"/>
  <c r="A658" i="34"/>
  <c r="A339" i="30"/>
  <c r="A359" i="30"/>
  <c r="A321" i="23"/>
  <c r="E213" i="28"/>
  <c r="A343" i="30"/>
  <c r="A912" i="34"/>
  <c r="U344" i="30"/>
  <c r="H741" i="34"/>
  <c r="W319" i="30"/>
  <c r="C914" i="34"/>
  <c r="C658" i="34"/>
  <c r="A338" i="30"/>
  <c r="H923" i="34"/>
  <c r="B371" i="30"/>
  <c r="C376" i="23"/>
  <c r="H384" i="34"/>
  <c r="C188" i="34"/>
  <c r="A1373" i="34"/>
  <c r="C605" i="34"/>
  <c r="C399" i="34"/>
  <c r="A1584" i="34"/>
  <c r="H394" i="34"/>
  <c r="C1376" i="34"/>
  <c r="H1513" i="34"/>
  <c r="H603" i="34"/>
  <c r="H401" i="34"/>
  <c r="C1374" i="34"/>
  <c r="A329" i="34"/>
  <c r="A401" i="34"/>
  <c r="A1374" i="34"/>
  <c r="H259" i="34"/>
  <c r="A1447" i="34"/>
  <c r="C1586" i="34"/>
  <c r="C294" i="23"/>
  <c r="A1377" i="34"/>
  <c r="H658" i="34"/>
  <c r="B341" i="30"/>
  <c r="A385" i="34"/>
  <c r="C383" i="34"/>
  <c r="H1721" i="34"/>
  <c r="F344" i="30"/>
  <c r="C919" i="34"/>
  <c r="A361" i="30"/>
  <c r="A924" i="34"/>
  <c r="S345" i="30"/>
  <c r="A287" i="23"/>
  <c r="C320" i="23"/>
  <c r="E237" i="25"/>
  <c r="S342" i="30"/>
  <c r="H290" i="23"/>
  <c r="W320" i="30"/>
  <c r="W312" i="30"/>
  <c r="F319" i="30"/>
  <c r="H919" i="34" s="1"/>
  <c r="A180" i="34"/>
  <c r="T343" i="30"/>
  <c r="C922" i="34"/>
  <c r="C924" i="34"/>
  <c r="A919" i="34"/>
  <c r="C856" i="34"/>
  <c r="C845" i="34"/>
  <c r="H188" i="34"/>
  <c r="C1373" i="34"/>
  <c r="H396" i="34"/>
  <c r="A467" i="34"/>
  <c r="H1583" i="34"/>
  <c r="C398" i="34"/>
  <c r="C463" i="34"/>
  <c r="C1512" i="34"/>
  <c r="H533" i="34"/>
  <c r="C1719" i="34"/>
  <c r="C1379" i="34"/>
  <c r="A261" i="34"/>
  <c r="A1718" i="34"/>
  <c r="H1373" i="34"/>
  <c r="A538" i="34"/>
  <c r="H1442" i="34"/>
  <c r="A394" i="34"/>
  <c r="A532" i="34"/>
  <c r="C1375" i="34"/>
  <c r="C192" i="34"/>
  <c r="C1444" i="34"/>
  <c r="A1586" i="34"/>
  <c r="A1650" i="34"/>
  <c r="C1649" i="34"/>
  <c r="H310" i="34"/>
  <c r="A1580" i="34"/>
  <c r="H172" i="34"/>
  <c r="H1649" i="34"/>
  <c r="A362" i="30"/>
  <c r="H190" i="34"/>
  <c r="H1374" i="34"/>
  <c r="C468" i="34"/>
  <c r="A397" i="34"/>
  <c r="C467" i="34"/>
  <c r="C189" i="34"/>
  <c r="A605" i="34"/>
  <c r="A1721" i="34"/>
  <c r="C1585" i="34"/>
  <c r="H607" i="34"/>
  <c r="C258" i="34"/>
  <c r="A348" i="30"/>
  <c r="B338" i="30"/>
  <c r="C289" i="23"/>
  <c r="F320" i="30"/>
  <c r="C173" i="34"/>
  <c r="C286" i="23"/>
  <c r="C177" i="34"/>
  <c r="S336" i="30"/>
  <c r="B344" i="30"/>
  <c r="C318" i="23"/>
  <c r="F340" i="30"/>
  <c r="A369" i="30"/>
  <c r="C298" i="23"/>
  <c r="W293" i="30"/>
  <c r="U338" i="30"/>
  <c r="A844" i="34"/>
  <c r="A318" i="23"/>
  <c r="S335" i="30"/>
  <c r="B359" i="30"/>
  <c r="M457" i="31"/>
  <c r="A332" i="23"/>
  <c r="A917" i="34"/>
  <c r="C296" i="23"/>
  <c r="I423" i="33"/>
  <c r="C521" i="34"/>
  <c r="A340" i="30"/>
  <c r="W314" i="30"/>
  <c r="A1514" i="34"/>
  <c r="H1722" i="34"/>
  <c r="A1511" i="34"/>
  <c r="H586" i="34"/>
  <c r="H466" i="34"/>
  <c r="A1581" i="34"/>
  <c r="C1723" i="34"/>
  <c r="A470" i="34"/>
  <c r="H194" i="34"/>
  <c r="H537" i="34"/>
  <c r="H538" i="34"/>
  <c r="A190" i="34"/>
  <c r="A1582" i="34"/>
  <c r="C329" i="34"/>
  <c r="H1581" i="34"/>
  <c r="H258" i="34"/>
  <c r="H1718" i="34"/>
  <c r="C1584" i="34"/>
  <c r="A400" i="34"/>
  <c r="A534" i="34"/>
  <c r="H1515" i="34"/>
  <c r="A466" i="34"/>
  <c r="C263" i="34"/>
  <c r="C309" i="23"/>
  <c r="W321" i="30"/>
  <c r="W290" i="30"/>
  <c r="C399" i="23"/>
  <c r="A604" i="34"/>
  <c r="A664" i="34"/>
  <c r="M237" i="25"/>
  <c r="C912" i="34"/>
  <c r="C846" i="34"/>
  <c r="H656" i="34"/>
  <c r="C742" i="34"/>
  <c r="I399" i="23"/>
  <c r="E473" i="31"/>
  <c r="U340" i="30"/>
  <c r="A1512" i="34"/>
  <c r="H400" i="34"/>
  <c r="A469" i="34"/>
  <c r="C602" i="34"/>
  <c r="H241" i="34"/>
  <c r="C464" i="34"/>
  <c r="C1515" i="34"/>
  <c r="H1719" i="34"/>
  <c r="A1649" i="34"/>
  <c r="A677" i="34"/>
  <c r="C535" i="34"/>
  <c r="C466" i="34"/>
  <c r="C1442" i="34"/>
  <c r="H1517" i="34"/>
  <c r="H1378" i="34"/>
  <c r="H1443" i="34"/>
  <c r="H469" i="34"/>
  <c r="C1651" i="34"/>
  <c r="C534" i="34"/>
  <c r="A533" i="34"/>
  <c r="A1448" i="34"/>
  <c r="H1512" i="34"/>
  <c r="H193" i="34"/>
  <c r="H1582" i="34"/>
  <c r="A262" i="34"/>
  <c r="B362" i="30"/>
  <c r="C178" i="29"/>
  <c r="H383" i="34"/>
  <c r="H676" i="34"/>
  <c r="I473" i="31"/>
  <c r="B457" i="31"/>
  <c r="T340" i="30"/>
  <c r="C292" i="23"/>
  <c r="W323" i="30"/>
  <c r="H520" i="34"/>
  <c r="H1724" i="34"/>
  <c r="W289" i="30"/>
  <c r="A346" i="30"/>
  <c r="E218" i="25"/>
  <c r="I213" i="28"/>
  <c r="H729" i="34"/>
  <c r="H524" i="34"/>
  <c r="C925" i="34"/>
  <c r="A320" i="23"/>
  <c r="C663" i="34"/>
  <c r="B369" i="30"/>
  <c r="F321" i="30"/>
  <c r="F314" i="30"/>
  <c r="C398" i="23"/>
  <c r="A914" i="34"/>
  <c r="A663" i="34"/>
  <c r="H395" i="34"/>
  <c r="A464" i="34"/>
  <c r="A537" i="34"/>
  <c r="C327" i="34"/>
  <c r="H1654" i="34"/>
  <c r="C1513" i="34"/>
  <c r="A328" i="34"/>
  <c r="C1652" i="34"/>
  <c r="A191" i="34"/>
  <c r="A371" i="30"/>
  <c r="M473" i="31"/>
  <c r="A922" i="34"/>
  <c r="C288" i="23"/>
  <c r="B213" i="28"/>
  <c r="S347" i="30"/>
  <c r="W299" i="30"/>
  <c r="C604" i="34"/>
  <c r="A312" i="23"/>
  <c r="A661" i="34"/>
  <c r="A519" i="34"/>
  <c r="F339" i="30"/>
  <c r="B336" i="30"/>
  <c r="A742" i="34"/>
  <c r="W324" i="30"/>
  <c r="A319" i="23"/>
  <c r="A347" i="30"/>
  <c r="A344" i="23"/>
  <c r="H660" i="34"/>
  <c r="B367" i="30"/>
  <c r="A920" i="34"/>
  <c r="H655" i="34"/>
  <c r="C656" i="34"/>
  <c r="C989" i="34"/>
  <c r="C988" i="34"/>
  <c r="W315" i="30"/>
  <c r="H662" i="34"/>
  <c r="C407" i="33"/>
  <c r="U339" i="30"/>
  <c r="F366" i="30"/>
  <c r="C423" i="33"/>
  <c r="A366" i="30"/>
  <c r="A601" i="34"/>
  <c r="A332" i="34"/>
  <c r="H1653" i="34"/>
  <c r="A192" i="34"/>
  <c r="H330" i="34"/>
  <c r="H260" i="34"/>
  <c r="C537" i="34"/>
  <c r="C325" i="34"/>
  <c r="C257" i="34"/>
  <c r="H670" i="34"/>
  <c r="H1720" i="34"/>
  <c r="H1511" i="34"/>
  <c r="H379" i="34"/>
  <c r="A1446" i="34"/>
  <c r="H604" i="34"/>
  <c r="C533" i="34"/>
  <c r="A606" i="34"/>
  <c r="C396" i="34"/>
  <c r="A1379" i="34"/>
  <c r="A1654" i="34"/>
  <c r="A468" i="34"/>
  <c r="A463" i="34"/>
  <c r="C1583" i="34"/>
  <c r="H331" i="34"/>
  <c r="C259" i="34"/>
  <c r="B345" i="30"/>
  <c r="H317" i="23"/>
  <c r="W254" i="30"/>
  <c r="A314" i="34"/>
  <c r="H915" i="34"/>
  <c r="S368" i="30"/>
  <c r="C313" i="23"/>
  <c r="F335" i="30"/>
  <c r="H981" i="34"/>
  <c r="A925" i="34"/>
  <c r="T344" i="30"/>
  <c r="S343" i="30"/>
  <c r="F361" i="30"/>
  <c r="A525" i="34"/>
  <c r="B218" i="25"/>
  <c r="H332" i="23"/>
  <c r="C315" i="34"/>
  <c r="A342" i="30"/>
  <c r="C855" i="34"/>
  <c r="A345" i="30"/>
  <c r="A847" i="34"/>
  <c r="A659" i="34"/>
  <c r="C608" i="34"/>
  <c r="A325" i="34"/>
  <c r="C1653" i="34"/>
  <c r="C191" i="34"/>
  <c r="C1445" i="34"/>
  <c r="A260" i="34"/>
  <c r="C539" i="34"/>
  <c r="A330" i="34"/>
  <c r="H261" i="34"/>
  <c r="A539" i="34"/>
  <c r="A194" i="34"/>
  <c r="H187" i="34"/>
  <c r="H328" i="34"/>
  <c r="A465" i="34"/>
  <c r="C538" i="34"/>
  <c r="H325" i="34"/>
  <c r="A608" i="34"/>
  <c r="A327" i="34"/>
  <c r="H517" i="34"/>
  <c r="A535" i="34"/>
  <c r="A188" i="34"/>
  <c r="H397" i="34"/>
  <c r="A1376" i="34"/>
  <c r="C262" i="34"/>
  <c r="A263" i="34"/>
  <c r="A1653" i="34"/>
  <c r="C394" i="34"/>
  <c r="H464" i="34"/>
  <c r="C1581" i="34"/>
  <c r="H316" i="23"/>
  <c r="I218" i="25"/>
  <c r="H664" i="34"/>
  <c r="H535" i="34"/>
  <c r="C395" i="34"/>
  <c r="H1446" i="34"/>
  <c r="A1515" i="34"/>
  <c r="H191" i="34"/>
  <c r="H608" i="34"/>
  <c r="H399" i="34"/>
  <c r="A399" i="34"/>
  <c r="C1580" i="34"/>
  <c r="A745" i="34"/>
  <c r="C330" i="34"/>
  <c r="A1445" i="34"/>
  <c r="C657" i="34"/>
  <c r="F341" i="30"/>
  <c r="U341" i="30"/>
  <c r="B337" i="30"/>
  <c r="I177" i="29"/>
  <c r="I398" i="23"/>
  <c r="H657" i="34"/>
  <c r="T338" i="30"/>
  <c r="A1719" i="34"/>
  <c r="T345" i="30"/>
  <c r="F342" i="30"/>
  <c r="I237" i="25"/>
  <c r="H2425" i="34"/>
  <c r="C424" i="33"/>
  <c r="I457" i="31"/>
  <c r="B473" i="31"/>
  <c r="U348" i="30"/>
  <c r="I196" i="28"/>
  <c r="C317" i="23"/>
  <c r="C655" i="34"/>
  <c r="S339" i="30"/>
  <c r="C923" i="34"/>
  <c r="A317" i="23"/>
  <c r="H847" i="34"/>
  <c r="T347" i="30"/>
  <c r="F325" i="30"/>
  <c r="W301" i="30"/>
  <c r="U366" i="30"/>
  <c r="T364" i="30"/>
  <c r="W318" i="30"/>
  <c r="A326" i="34"/>
  <c r="C261" i="34"/>
  <c r="C193" i="34"/>
  <c r="A1443" i="34"/>
  <c r="C256" i="34"/>
  <c r="C536" i="34"/>
  <c r="H329" i="34"/>
  <c r="H262" i="34"/>
  <c r="H448" i="34"/>
  <c r="A396" i="34"/>
  <c r="H1445" i="34"/>
  <c r="A1651" i="34"/>
  <c r="A1513" i="34"/>
  <c r="A187" i="34"/>
  <c r="A331" i="34"/>
  <c r="C603" i="34"/>
  <c r="C326" i="34"/>
  <c r="H1514" i="34"/>
  <c r="C187" i="34"/>
  <c r="A602" i="34"/>
  <c r="A395" i="34"/>
  <c r="H468" i="34"/>
  <c r="H1377" i="34"/>
  <c r="H1586" i="34"/>
  <c r="A256" i="34"/>
  <c r="H1652" i="34"/>
  <c r="H263" i="34"/>
  <c r="H326" i="34"/>
  <c r="C523" i="34"/>
  <c r="S340" i="30"/>
  <c r="A913" i="34"/>
  <c r="S346" i="30"/>
  <c r="U363" i="30"/>
  <c r="F362" i="30"/>
  <c r="C470" i="34"/>
  <c r="H1650" i="34"/>
  <c r="A1655" i="34"/>
  <c r="A984" i="34"/>
  <c r="H189" i="34"/>
  <c r="H1375" i="34"/>
  <c r="H1585" i="34"/>
  <c r="C469" i="34"/>
  <c r="F369" i="30"/>
  <c r="F348" i="30"/>
  <c r="A655" i="34"/>
  <c r="F195" i="28"/>
  <c r="B358" i="30"/>
  <c r="C677" i="34"/>
  <c r="F318" i="30"/>
  <c r="A916" i="34"/>
  <c r="C916" i="34"/>
  <c r="A358" i="30"/>
  <c r="H663" i="34"/>
  <c r="B340" i="30"/>
  <c r="H388" i="34"/>
  <c r="C920" i="34"/>
  <c r="C293" i="23"/>
  <c r="C328" i="34"/>
  <c r="A1583" i="34"/>
  <c r="C190" i="34"/>
  <c r="A1444" i="34"/>
  <c r="A259" i="34"/>
  <c r="H192" i="34"/>
  <c r="C1447" i="34"/>
  <c r="A1585" i="34"/>
  <c r="H539" i="34"/>
  <c r="A1517" i="34"/>
  <c r="H1444" i="34"/>
  <c r="C260" i="34"/>
  <c r="C1516" i="34"/>
  <c r="A189" i="34"/>
  <c r="H327" i="34"/>
  <c r="C465" i="34"/>
  <c r="H1655" i="34"/>
  <c r="H1584" i="34"/>
  <c r="H465" i="34"/>
  <c r="H332" i="34"/>
  <c r="A257" i="34"/>
  <c r="H467" i="34"/>
  <c r="H990" i="34"/>
  <c r="C1722" i="34"/>
  <c r="A258" i="34"/>
  <c r="C1443" i="34"/>
  <c r="H463" i="34"/>
  <c r="H470" i="34"/>
  <c r="H536" i="34"/>
  <c r="A1652" i="34"/>
  <c r="H1723" i="34"/>
  <c r="C660" i="34"/>
  <c r="C314" i="23"/>
  <c r="C1721" i="34"/>
  <c r="C843" i="34"/>
  <c r="C921" i="34"/>
  <c r="C2425" i="34"/>
  <c r="F313" i="30"/>
  <c r="W317" i="30"/>
  <c r="T365" i="30"/>
  <c r="B366" i="30"/>
  <c r="H385" i="34"/>
  <c r="W294" i="30"/>
  <c r="C341" i="23"/>
  <c r="C664" i="34"/>
  <c r="F338" i="30"/>
  <c r="H912" i="34"/>
  <c r="A387" i="34"/>
  <c r="C918" i="34"/>
  <c r="A363" i="30"/>
  <c r="C517" i="34"/>
  <c r="F343" i="30"/>
  <c r="A310" i="23"/>
  <c r="F217" i="25"/>
  <c r="C532" i="34"/>
  <c r="C1448" i="34"/>
  <c r="C1517" i="34"/>
  <c r="C400" i="34"/>
  <c r="H1376" i="34"/>
  <c r="H257" i="34"/>
  <c r="A1375" i="34"/>
  <c r="H1516" i="34"/>
  <c r="H534" i="34"/>
  <c r="C401" i="34"/>
  <c r="H1379" i="34"/>
  <c r="H256" i="34"/>
  <c r="A1516" i="34"/>
  <c r="C397" i="34"/>
  <c r="H1448" i="34"/>
  <c r="A536" i="34"/>
  <c r="C332" i="34"/>
  <c r="H601" i="34"/>
  <c r="A193" i="34"/>
  <c r="C331" i="34"/>
  <c r="H532" i="34"/>
  <c r="A1722" i="34"/>
  <c r="H1651" i="34"/>
  <c r="C1724" i="34"/>
  <c r="H1580" i="34"/>
  <c r="C1655" i="34"/>
  <c r="H341" i="23"/>
  <c r="C1654" i="34"/>
  <c r="A335" i="23"/>
  <c r="A1378" i="34"/>
  <c r="C1511" i="34"/>
  <c r="A398" i="34"/>
  <c r="C1377" i="34"/>
  <c r="H605" i="34"/>
  <c r="A1442" i="34"/>
  <c r="C606" i="34"/>
  <c r="C194" i="34"/>
  <c r="H1447" i="34"/>
  <c r="U337" i="30"/>
  <c r="C2494" i="34"/>
  <c r="H398" i="34"/>
  <c r="H27" i="34"/>
  <c r="C641" i="34"/>
  <c r="C222" i="23"/>
  <c r="H854" i="34"/>
  <c r="H297" i="23"/>
  <c r="A22" i="23"/>
  <c r="A27" i="34"/>
  <c r="C217" i="23"/>
  <c r="C636" i="34"/>
  <c r="A204" i="23"/>
  <c r="A203" i="23"/>
  <c r="A576" i="34"/>
  <c r="A648" i="34"/>
  <c r="A786" i="34"/>
  <c r="A275" i="23"/>
  <c r="A265" i="23"/>
  <c r="H240" i="23"/>
  <c r="H705" i="34"/>
  <c r="H243" i="23"/>
  <c r="H708" i="34"/>
  <c r="H641" i="34"/>
  <c r="H222" i="23"/>
  <c r="A274" i="23"/>
  <c r="A785" i="34"/>
  <c r="A579" i="34"/>
  <c r="A206" i="23"/>
  <c r="C136" i="23"/>
  <c r="C371" i="34"/>
  <c r="H156" i="23"/>
  <c r="H437" i="34"/>
  <c r="C180" i="23"/>
  <c r="C507" i="34"/>
  <c r="A855" i="34"/>
  <c r="A439" i="34"/>
  <c r="H296" i="23"/>
  <c r="C269" i="23"/>
  <c r="C780" i="34"/>
  <c r="A372" i="34"/>
  <c r="A286" i="23"/>
  <c r="A843" i="34"/>
  <c r="H158" i="23"/>
  <c r="H224" i="23"/>
  <c r="A845" i="34"/>
  <c r="A288" i="23"/>
  <c r="H268" i="23"/>
  <c r="H779" i="34"/>
  <c r="H430" i="34"/>
  <c r="H194" i="23"/>
  <c r="H286" i="23"/>
  <c r="H843" i="34"/>
  <c r="A293" i="23"/>
  <c r="H849" i="34"/>
  <c r="H292" i="23"/>
  <c r="H338" i="23"/>
  <c r="H987" i="34"/>
  <c r="C334" i="23"/>
  <c r="C983" i="34"/>
  <c r="M90" i="30" l="1"/>
  <c r="N90" i="30" s="1"/>
  <c r="M88" i="30"/>
  <c r="N88" i="30" s="1"/>
  <c r="M89" i="30"/>
  <c r="N89" i="30" s="1"/>
  <c r="M86" i="30"/>
  <c r="N86" i="30" s="1"/>
  <c r="I319" i="30"/>
  <c r="X163" i="30"/>
  <c r="I291" i="30"/>
  <c r="X221" i="30"/>
  <c r="F303" i="30"/>
  <c r="I303" i="30"/>
  <c r="I211" i="30"/>
  <c r="F211" i="30"/>
  <c r="X245" i="30"/>
  <c r="X154" i="30"/>
  <c r="X224" i="30"/>
  <c r="X155" i="30"/>
  <c r="X183" i="30"/>
  <c r="I292" i="30"/>
  <c r="X162" i="30"/>
  <c r="X220" i="30"/>
  <c r="X225" i="30"/>
  <c r="I312" i="30"/>
  <c r="G453" i="31"/>
  <c r="N443" i="31"/>
  <c r="K443" i="31"/>
  <c r="K453" i="31"/>
  <c r="G441" i="31"/>
  <c r="I453" i="31"/>
  <c r="M443" i="31"/>
  <c r="K441" i="31"/>
  <c r="I443" i="31"/>
  <c r="A443" i="31"/>
  <c r="S447" i="31"/>
  <c r="T450" i="31"/>
  <c r="T447" i="31"/>
  <c r="Q450" i="31"/>
  <c r="A441" i="31"/>
  <c r="F443" i="31"/>
  <c r="G443" i="31"/>
  <c r="M453" i="31"/>
  <c r="D453" i="31"/>
  <c r="A453" i="31"/>
  <c r="A452" i="31"/>
  <c r="D441" i="31"/>
  <c r="B443" i="31"/>
  <c r="A451" i="31"/>
  <c r="A448" i="31"/>
  <c r="U447" i="31"/>
  <c r="W447" i="31" s="1"/>
  <c r="F449" i="31"/>
  <c r="U449" i="31"/>
  <c r="W449" i="31" s="1"/>
  <c r="T449" i="31"/>
  <c r="B447" i="31"/>
  <c r="T448" i="31"/>
  <c r="Q446" i="31"/>
  <c r="B446" i="31"/>
  <c r="U451" i="31"/>
  <c r="Q445" i="31"/>
  <c r="S450" i="31"/>
  <c r="W450" i="31" s="1"/>
  <c r="B450" i="31"/>
  <c r="B448" i="31"/>
  <c r="F445" i="31"/>
  <c r="B451" i="31"/>
  <c r="A447" i="31"/>
  <c r="F447" i="31"/>
  <c r="A449" i="31"/>
  <c r="S449" i="31"/>
  <c r="F448" i="31"/>
  <c r="Q451" i="31"/>
  <c r="Q448" i="31"/>
  <c r="T445" i="31"/>
  <c r="T446" i="31"/>
  <c r="A445" i="31"/>
  <c r="F451" i="31"/>
  <c r="F450" i="31"/>
  <c r="Q447" i="31"/>
  <c r="S445" i="31"/>
  <c r="S448" i="31"/>
  <c r="U446" i="31"/>
  <c r="B449" i="31"/>
  <c r="Q449" i="31"/>
  <c r="B445" i="31"/>
  <c r="F446" i="31"/>
  <c r="A450" i="31"/>
  <c r="S451" i="31"/>
  <c r="W451" i="31" s="1"/>
  <c r="T451" i="31"/>
  <c r="S446" i="31"/>
  <c r="W446" i="31" s="1"/>
  <c r="A446" i="31"/>
  <c r="U450" i="31"/>
  <c r="U448" i="31"/>
  <c r="W448" i="31" s="1"/>
  <c r="U445" i="31"/>
  <c r="W445" i="31" s="1"/>
  <c r="I290" i="30"/>
  <c r="I297" i="30"/>
  <c r="X202" i="30"/>
  <c r="X139" i="30"/>
  <c r="X230" i="30"/>
  <c r="X244" i="30"/>
  <c r="X184" i="30"/>
  <c r="I298" i="30"/>
  <c r="X276" i="30"/>
  <c r="I182" i="30"/>
  <c r="I325" i="30"/>
  <c r="X33" i="25"/>
  <c r="I318" i="30"/>
  <c r="X199" i="30"/>
  <c r="I289" i="30"/>
  <c r="I268" i="30"/>
  <c r="I33" i="25"/>
  <c r="I277" i="30"/>
  <c r="X178" i="30"/>
  <c r="X185" i="30"/>
  <c r="I315" i="30"/>
  <c r="I233" i="30"/>
  <c r="I133" i="30"/>
  <c r="X39" i="25"/>
  <c r="I323" i="30"/>
  <c r="X271" i="30"/>
  <c r="I321" i="30"/>
  <c r="I300" i="30"/>
  <c r="X176" i="30"/>
  <c r="X36" i="25"/>
  <c r="J2239" i="34"/>
  <c r="A2239" i="34" s="1"/>
  <c r="B2238" i="34" s="1"/>
  <c r="J2267" i="34"/>
  <c r="A2267" i="34" s="1"/>
  <c r="B2266" i="34" s="1"/>
  <c r="J2254" i="34"/>
  <c r="A2254" i="34" s="1"/>
  <c r="A2265" i="34" s="1"/>
  <c r="R64" i="30"/>
  <c r="K64" i="30" s="1"/>
  <c r="G64" i="30"/>
  <c r="F234" i="30"/>
  <c r="I234" i="30"/>
  <c r="X132" i="30"/>
  <c r="I131" i="30"/>
  <c r="G96" i="30"/>
  <c r="G82" i="30"/>
  <c r="R82" i="30"/>
  <c r="K82" i="30" s="1"/>
  <c r="J2405" i="34"/>
  <c r="A2405" i="34" s="1"/>
  <c r="C2406" i="34" s="1"/>
  <c r="J2392" i="34"/>
  <c r="A2392" i="34" s="1"/>
  <c r="H2393" i="34" s="1"/>
  <c r="J2377" i="34"/>
  <c r="A2377" i="34" s="1"/>
  <c r="A2378" i="34" s="1"/>
  <c r="J1784" i="34"/>
  <c r="A1784" i="34" s="1"/>
  <c r="I1785" i="34" s="1"/>
  <c r="J1756" i="34"/>
  <c r="A1756" i="34" s="1"/>
  <c r="C1757" i="34" s="1"/>
  <c r="J1771" i="34"/>
  <c r="A1771" i="34" s="1"/>
  <c r="C1772" i="34" s="1"/>
  <c r="I256" i="30"/>
  <c r="X115" i="30"/>
  <c r="I128" i="30"/>
  <c r="X32" i="28"/>
  <c r="X35" i="28"/>
  <c r="X106" i="30"/>
  <c r="X157" i="30"/>
  <c r="X35" i="25"/>
  <c r="I160" i="30"/>
  <c r="I271" i="30"/>
  <c r="X152" i="30"/>
  <c r="I248" i="30"/>
  <c r="I254" i="30"/>
  <c r="I301" i="30"/>
  <c r="I197" i="30"/>
  <c r="I227" i="30"/>
  <c r="R72" i="30"/>
  <c r="M72" i="30" s="1"/>
  <c r="I270" i="30"/>
  <c r="X267" i="30"/>
  <c r="I201" i="30"/>
  <c r="I230" i="30"/>
  <c r="I203" i="30"/>
  <c r="I255" i="30"/>
  <c r="H305" i="33"/>
  <c r="G90" i="30"/>
  <c r="R90" i="30"/>
  <c r="K90" i="30" s="1"/>
  <c r="I130" i="30"/>
  <c r="I257" i="30"/>
  <c r="F257" i="30"/>
  <c r="X181" i="30"/>
  <c r="H273" i="33"/>
  <c r="X175" i="30"/>
  <c r="I320" i="30"/>
  <c r="I295" i="30"/>
  <c r="I293" i="30"/>
  <c r="X197" i="30"/>
  <c r="I155" i="30"/>
  <c r="I276" i="30"/>
  <c r="I225" i="30"/>
  <c r="X179" i="30"/>
  <c r="X229" i="30"/>
  <c r="T414" i="31"/>
  <c r="T416" i="31"/>
  <c r="T419" i="31"/>
  <c r="U414" i="31"/>
  <c r="B411" i="31"/>
  <c r="A414" i="31"/>
  <c r="A411" i="31"/>
  <c r="W419" i="31"/>
  <c r="U415" i="31"/>
  <c r="X418" i="31"/>
  <c r="F420" i="31"/>
  <c r="B414" i="31"/>
  <c r="T413" i="31"/>
  <c r="F417" i="31"/>
  <c r="T417" i="31"/>
  <c r="G409" i="31"/>
  <c r="Q415" i="31"/>
  <c r="K409" i="31"/>
  <c r="A416" i="31"/>
  <c r="I421" i="31"/>
  <c r="F413" i="31"/>
  <c r="G421" i="31"/>
  <c r="S415" i="31"/>
  <c r="F416" i="31"/>
  <c r="F414" i="31"/>
  <c r="G411" i="31"/>
  <c r="M421" i="31"/>
  <c r="F418" i="31"/>
  <c r="B415" i="31"/>
  <c r="U417" i="31"/>
  <c r="S416" i="31"/>
  <c r="Q417" i="31"/>
  <c r="W416" i="31"/>
  <c r="I416" i="31"/>
  <c r="W417" i="31"/>
  <c r="I411" i="31"/>
  <c r="Q414" i="31"/>
  <c r="F419" i="31"/>
  <c r="Q413" i="31"/>
  <c r="T418" i="31"/>
  <c r="F411" i="31"/>
  <c r="I419" i="31"/>
  <c r="X414" i="31"/>
  <c r="Q419" i="31"/>
  <c r="B419" i="31"/>
  <c r="Q416" i="31"/>
  <c r="U418" i="31"/>
  <c r="U419" i="31"/>
  <c r="T415" i="31"/>
  <c r="I414" i="31"/>
  <c r="X415" i="31"/>
  <c r="X413" i="31"/>
  <c r="A418" i="31"/>
  <c r="K411" i="31"/>
  <c r="U413" i="31"/>
  <c r="W418" i="31"/>
  <c r="A420" i="31"/>
  <c r="U416" i="31"/>
  <c r="A413" i="31"/>
  <c r="S413" i="31"/>
  <c r="A409" i="31"/>
  <c r="A417" i="31"/>
  <c r="A421" i="31"/>
  <c r="I418" i="31"/>
  <c r="I417" i="31"/>
  <c r="W415" i="31"/>
  <c r="W413" i="31"/>
  <c r="M411" i="31"/>
  <c r="S417" i="31"/>
  <c r="N411" i="31"/>
  <c r="F415" i="31"/>
  <c r="I413" i="31"/>
  <c r="B416" i="31"/>
  <c r="D409" i="31"/>
  <c r="I415" i="31"/>
  <c r="W414" i="31"/>
  <c r="A415" i="31"/>
  <c r="B413" i="31"/>
  <c r="K421" i="31"/>
  <c r="B417" i="31"/>
  <c r="S414" i="31"/>
  <c r="Q418" i="31"/>
  <c r="X417" i="31"/>
  <c r="X416" i="31"/>
  <c r="A419" i="31"/>
  <c r="S419" i="31"/>
  <c r="B418" i="31"/>
  <c r="D421" i="31"/>
  <c r="I420" i="31"/>
  <c r="S418" i="31"/>
  <c r="X419" i="31"/>
  <c r="X420" i="31"/>
  <c r="I185" i="30"/>
  <c r="X113" i="30"/>
  <c r="I251" i="30"/>
  <c r="X153" i="30"/>
  <c r="I232" i="30"/>
  <c r="I226" i="30"/>
  <c r="X174" i="30"/>
  <c r="I205" i="30"/>
  <c r="I324" i="30"/>
  <c r="X201" i="30"/>
  <c r="I322" i="30"/>
  <c r="I313" i="30"/>
  <c r="X33" i="28"/>
  <c r="J2101" i="34"/>
  <c r="A2101" i="34" s="1"/>
  <c r="A2102" i="34" s="1"/>
  <c r="J2129" i="34"/>
  <c r="A2129" i="34" s="1"/>
  <c r="C2130" i="34" s="1"/>
  <c r="J2116" i="34"/>
  <c r="A2116" i="34" s="1"/>
  <c r="I2127" i="34" s="1"/>
  <c r="R61" i="30"/>
  <c r="M61" i="30" s="1"/>
  <c r="N61" i="30" s="1"/>
  <c r="G61" i="30"/>
  <c r="R88" i="30"/>
  <c r="K88" i="30" s="1"/>
  <c r="G88" i="30"/>
  <c r="I314" i="30"/>
  <c r="J2336" i="34"/>
  <c r="A2336" i="34" s="1"/>
  <c r="J2337" i="34" s="1"/>
  <c r="J2308" i="34"/>
  <c r="A2308" i="34" s="1"/>
  <c r="C2309" i="34" s="1"/>
  <c r="J2323" i="34"/>
  <c r="A2323" i="34" s="1"/>
  <c r="J2324" i="34" s="1"/>
  <c r="I156" i="30"/>
  <c r="I137" i="30"/>
  <c r="I207" i="30"/>
  <c r="J1922" i="34"/>
  <c r="A1922" i="34" s="1"/>
  <c r="J1923" i="34" s="1"/>
  <c r="J1894" i="34"/>
  <c r="A1894" i="34" s="1"/>
  <c r="A1895" i="34" s="1"/>
  <c r="J1909" i="34"/>
  <c r="A1909" i="34" s="1"/>
  <c r="A1920" i="34" s="1"/>
  <c r="I36" i="25"/>
  <c r="I302" i="30"/>
  <c r="H289" i="33"/>
  <c r="T429" i="31"/>
  <c r="D425" i="31"/>
  <c r="B432" i="31"/>
  <c r="U429" i="31"/>
  <c r="A437" i="31"/>
  <c r="T432" i="31"/>
  <c r="S435" i="31"/>
  <c r="G427" i="31"/>
  <c r="F435" i="31"/>
  <c r="Q434" i="31"/>
  <c r="F433" i="31"/>
  <c r="Q432" i="31"/>
  <c r="T435" i="31"/>
  <c r="F432" i="31"/>
  <c r="B427" i="31"/>
  <c r="I437" i="31"/>
  <c r="S430" i="31"/>
  <c r="B433" i="31"/>
  <c r="U435" i="31"/>
  <c r="A431" i="31"/>
  <c r="M427" i="31"/>
  <c r="F436" i="31"/>
  <c r="K425" i="31"/>
  <c r="A436" i="31"/>
  <c r="D437" i="31"/>
  <c r="B431" i="31"/>
  <c r="G437" i="31"/>
  <c r="S433" i="31"/>
  <c r="Q435" i="31"/>
  <c r="I434" i="31"/>
  <c r="B429" i="31"/>
  <c r="F429" i="31"/>
  <c r="N427" i="31"/>
  <c r="U431" i="31"/>
  <c r="B434" i="31"/>
  <c r="B435" i="31"/>
  <c r="K427" i="31"/>
  <c r="I432" i="31"/>
  <c r="W430" i="31"/>
  <c r="W433" i="31"/>
  <c r="A425" i="31"/>
  <c r="A430" i="31"/>
  <c r="A435" i="31"/>
  <c r="A433" i="31"/>
  <c r="S432" i="31"/>
  <c r="B430" i="31"/>
  <c r="K437" i="31"/>
  <c r="I429" i="31"/>
  <c r="T434" i="31"/>
  <c r="S434" i="31"/>
  <c r="U430" i="31"/>
  <c r="A427" i="31"/>
  <c r="F434" i="31"/>
  <c r="A432" i="31"/>
  <c r="A429" i="31"/>
  <c r="I433" i="31"/>
  <c r="Q430" i="31"/>
  <c r="I431" i="31"/>
  <c r="S429" i="31"/>
  <c r="Q431" i="31"/>
  <c r="T433" i="31"/>
  <c r="F431" i="31"/>
  <c r="U432" i="31"/>
  <c r="I430" i="31"/>
  <c r="A434" i="31"/>
  <c r="T431" i="31"/>
  <c r="T430" i="31"/>
  <c r="Q433" i="31"/>
  <c r="S431" i="31"/>
  <c r="F427" i="31"/>
  <c r="M437" i="31"/>
  <c r="I436" i="31"/>
  <c r="I435" i="31"/>
  <c r="I427" i="31"/>
  <c r="F430" i="31"/>
  <c r="U433" i="31"/>
  <c r="U434" i="31"/>
  <c r="Q429" i="31"/>
  <c r="G425" i="31"/>
  <c r="W432" i="31"/>
  <c r="W429" i="31"/>
  <c r="W431" i="31"/>
  <c r="W435" i="31"/>
  <c r="W434" i="31"/>
  <c r="J1991" i="34"/>
  <c r="A1991" i="34" s="1"/>
  <c r="I1992" i="34" s="1"/>
  <c r="J1978" i="34"/>
  <c r="A1978" i="34" s="1"/>
  <c r="I1979" i="34" s="1"/>
  <c r="J1963" i="34"/>
  <c r="A1963" i="34" s="1"/>
  <c r="H1964" i="34" s="1"/>
  <c r="X247" i="30"/>
  <c r="X249" i="30"/>
  <c r="I152" i="30"/>
  <c r="I175" i="30"/>
  <c r="H512" i="34"/>
  <c r="X198" i="30"/>
  <c r="X158" i="30"/>
  <c r="I299" i="30"/>
  <c r="I296" i="30"/>
  <c r="X226" i="30"/>
  <c r="X161" i="30"/>
  <c r="I317" i="30"/>
  <c r="I273" i="30"/>
  <c r="I316" i="30"/>
  <c r="I250" i="30"/>
  <c r="X24" i="30"/>
  <c r="X116" i="30"/>
  <c r="X222" i="30"/>
  <c r="X206" i="30"/>
  <c r="X25" i="30"/>
  <c r="I41" i="25"/>
  <c r="H35" i="29"/>
  <c r="I272" i="30"/>
  <c r="R67" i="30"/>
  <c r="K67" i="30" s="1"/>
  <c r="G67" i="30"/>
  <c r="I244" i="30"/>
  <c r="X136" i="30"/>
  <c r="I267" i="30"/>
  <c r="I204" i="30"/>
  <c r="I37" i="25"/>
  <c r="I221" i="30"/>
  <c r="X266" i="30"/>
  <c r="I163" i="30"/>
  <c r="X177" i="30"/>
  <c r="X129" i="30"/>
  <c r="X208" i="30"/>
  <c r="I269" i="30"/>
  <c r="X130" i="30"/>
  <c r="X156" i="30"/>
  <c r="I245" i="30"/>
  <c r="I26" i="30"/>
  <c r="X250" i="30"/>
  <c r="J2185" i="34"/>
  <c r="A2185" i="34" s="1"/>
  <c r="I2196" i="34" s="1"/>
  <c r="J2170" i="34"/>
  <c r="A2170" i="34" s="1"/>
  <c r="B2169" i="34" s="1"/>
  <c r="J2198" i="34"/>
  <c r="A2198" i="34" s="1"/>
  <c r="C2199" i="34" s="1"/>
  <c r="I266" i="30"/>
  <c r="X246" i="30"/>
  <c r="I294" i="30"/>
  <c r="I275" i="30"/>
  <c r="I249" i="30"/>
  <c r="F280" i="30"/>
  <c r="I280" i="30"/>
  <c r="I278" i="30"/>
  <c r="X228" i="30"/>
  <c r="X135" i="30"/>
  <c r="G87" i="30"/>
  <c r="R87" i="30"/>
  <c r="K87" i="30" s="1"/>
  <c r="G45" i="28"/>
  <c r="G62" i="28" s="1"/>
  <c r="G79" i="28" s="1"/>
  <c r="G96" i="28" s="1"/>
  <c r="G113" i="28" s="1"/>
  <c r="G130" i="28" s="1"/>
  <c r="G147" i="28" s="1"/>
  <c r="G164" i="28" s="1"/>
  <c r="G181" i="28" s="1"/>
  <c r="G198" i="28" s="1"/>
  <c r="G215" i="28" s="1"/>
  <c r="K43" i="28"/>
  <c r="K60" i="28" s="1"/>
  <c r="K77" i="28" s="1"/>
  <c r="K94" i="28" s="1"/>
  <c r="K111" i="28" s="1"/>
  <c r="K128" i="28" s="1"/>
  <c r="K145" i="28" s="1"/>
  <c r="K162" i="28" s="1"/>
  <c r="K179" i="28" s="1"/>
  <c r="K196" i="28" s="1"/>
  <c r="K213" i="28" s="1"/>
  <c r="I45" i="28"/>
  <c r="I62" i="28" s="1"/>
  <c r="I79" i="28" s="1"/>
  <c r="I96" i="28" s="1"/>
  <c r="I113" i="28" s="1"/>
  <c r="I130" i="28" s="1"/>
  <c r="I147" i="28" s="1"/>
  <c r="I164" i="28" s="1"/>
  <c r="I181" i="28" s="1"/>
  <c r="I198" i="28" s="1"/>
  <c r="I215" i="28" s="1"/>
  <c r="D56" i="28"/>
  <c r="D73" i="28" s="1"/>
  <c r="D90" i="28" s="1"/>
  <c r="D107" i="28" s="1"/>
  <c r="D124" i="28" s="1"/>
  <c r="D141" i="28" s="1"/>
  <c r="D158" i="28" s="1"/>
  <c r="D175" i="28" s="1"/>
  <c r="D192" i="28" s="1"/>
  <c r="D209" i="28" s="1"/>
  <c r="D226" i="28" s="1"/>
  <c r="B45" i="28"/>
  <c r="B62" i="28" s="1"/>
  <c r="B79" i="28" s="1"/>
  <c r="B96" i="28" s="1"/>
  <c r="B113" i="28" s="1"/>
  <c r="B130" i="28" s="1"/>
  <c r="B147" i="28" s="1"/>
  <c r="B164" i="28" s="1"/>
  <c r="B181" i="28" s="1"/>
  <c r="B198" i="28" s="1"/>
  <c r="B215" i="28" s="1"/>
  <c r="F45" i="28"/>
  <c r="F62" i="28" s="1"/>
  <c r="F79" i="28" s="1"/>
  <c r="F96" i="28" s="1"/>
  <c r="F113" i="28" s="1"/>
  <c r="F130" i="28" s="1"/>
  <c r="F147" i="28" s="1"/>
  <c r="F164" i="28" s="1"/>
  <c r="F181" i="28" s="1"/>
  <c r="F198" i="28" s="1"/>
  <c r="F215" i="28" s="1"/>
  <c r="N45" i="28"/>
  <c r="N62" i="28" s="1"/>
  <c r="N79" i="28" s="1"/>
  <c r="N96" i="28" s="1"/>
  <c r="N113" i="28" s="1"/>
  <c r="N130" i="28" s="1"/>
  <c r="N147" i="28" s="1"/>
  <c r="N164" i="28" s="1"/>
  <c r="N181" i="28" s="1"/>
  <c r="N198" i="28" s="1"/>
  <c r="N215" i="28" s="1"/>
  <c r="A45" i="28"/>
  <c r="A62" i="28" s="1"/>
  <c r="A79" i="28" s="1"/>
  <c r="A96" i="28" s="1"/>
  <c r="A113" i="28" s="1"/>
  <c r="A130" i="28" s="1"/>
  <c r="A147" i="28" s="1"/>
  <c r="A164" i="28" s="1"/>
  <c r="A181" i="28" s="1"/>
  <c r="A198" i="28" s="1"/>
  <c r="A215" i="28" s="1"/>
  <c r="A43" i="28"/>
  <c r="A60" i="28" s="1"/>
  <c r="A77" i="28" s="1"/>
  <c r="A94" i="28" s="1"/>
  <c r="A111" i="28" s="1"/>
  <c r="A128" i="28" s="1"/>
  <c r="A145" i="28" s="1"/>
  <c r="A162" i="28" s="1"/>
  <c r="A179" i="28" s="1"/>
  <c r="A196" i="28" s="1"/>
  <c r="A213" i="28" s="1"/>
  <c r="G56" i="28"/>
  <c r="G73" i="28" s="1"/>
  <c r="G90" i="28" s="1"/>
  <c r="G107" i="28" s="1"/>
  <c r="G124" i="28" s="1"/>
  <c r="G141" i="28" s="1"/>
  <c r="G158" i="28" s="1"/>
  <c r="G175" i="28" s="1"/>
  <c r="G192" i="28" s="1"/>
  <c r="G209" i="28" s="1"/>
  <c r="G226" i="28" s="1"/>
  <c r="K45" i="28"/>
  <c r="K62" i="28" s="1"/>
  <c r="K79" i="28" s="1"/>
  <c r="K96" i="28" s="1"/>
  <c r="K113" i="28" s="1"/>
  <c r="K130" i="28" s="1"/>
  <c r="K147" i="28" s="1"/>
  <c r="K164" i="28" s="1"/>
  <c r="K181" i="28" s="1"/>
  <c r="K198" i="28" s="1"/>
  <c r="K215" i="28" s="1"/>
  <c r="A56" i="28"/>
  <c r="A73" i="28" s="1"/>
  <c r="A90" i="28" s="1"/>
  <c r="A107" i="28" s="1"/>
  <c r="A124" i="28" s="1"/>
  <c r="A141" i="28" s="1"/>
  <c r="A158" i="28" s="1"/>
  <c r="A175" i="28" s="1"/>
  <c r="A192" i="28" s="1"/>
  <c r="A209" i="28" s="1"/>
  <c r="A226" i="28" s="1"/>
  <c r="I56" i="28"/>
  <c r="I73" i="28" s="1"/>
  <c r="I90" i="28" s="1"/>
  <c r="I107" i="28" s="1"/>
  <c r="I124" i="28" s="1"/>
  <c r="I141" i="28" s="1"/>
  <c r="I158" i="28" s="1"/>
  <c r="I175" i="28" s="1"/>
  <c r="I192" i="28" s="1"/>
  <c r="I209" i="28" s="1"/>
  <c r="I226" i="28" s="1"/>
  <c r="K56" i="28"/>
  <c r="K73" i="28" s="1"/>
  <c r="K90" i="28" s="1"/>
  <c r="K107" i="28" s="1"/>
  <c r="K124" i="28" s="1"/>
  <c r="K141" i="28" s="1"/>
  <c r="K158" i="28" s="1"/>
  <c r="K175" i="28" s="1"/>
  <c r="K192" i="28" s="1"/>
  <c r="K209" i="28" s="1"/>
  <c r="K226" i="28" s="1"/>
  <c r="A55" i="28"/>
  <c r="A72" i="28" s="1"/>
  <c r="A89" i="28" s="1"/>
  <c r="A106" i="28" s="1"/>
  <c r="A123" i="28" s="1"/>
  <c r="A140" i="28" s="1"/>
  <c r="A157" i="28" s="1"/>
  <c r="A174" i="28" s="1"/>
  <c r="A191" i="28" s="1"/>
  <c r="A208" i="28" s="1"/>
  <c r="A225" i="28" s="1"/>
  <c r="M45" i="28"/>
  <c r="M62" i="28" s="1"/>
  <c r="M79" i="28" s="1"/>
  <c r="M96" i="28" s="1"/>
  <c r="M113" i="28" s="1"/>
  <c r="M130" i="28" s="1"/>
  <c r="M147" i="28" s="1"/>
  <c r="M164" i="28" s="1"/>
  <c r="M181" i="28" s="1"/>
  <c r="M198" i="28" s="1"/>
  <c r="M215" i="28" s="1"/>
  <c r="D43" i="28"/>
  <c r="D60" i="28" s="1"/>
  <c r="D77" i="28" s="1"/>
  <c r="D94" i="28" s="1"/>
  <c r="D111" i="28" s="1"/>
  <c r="D128" i="28" s="1"/>
  <c r="D145" i="28" s="1"/>
  <c r="D162" i="28" s="1"/>
  <c r="D179" i="28" s="1"/>
  <c r="D196" i="28" s="1"/>
  <c r="D213" i="28" s="1"/>
  <c r="M56" i="28"/>
  <c r="M73" i="28" s="1"/>
  <c r="M90" i="28" s="1"/>
  <c r="M107" i="28" s="1"/>
  <c r="M124" i="28" s="1"/>
  <c r="M141" i="28" s="1"/>
  <c r="M158" i="28" s="1"/>
  <c r="M175" i="28" s="1"/>
  <c r="M192" i="28" s="1"/>
  <c r="M209" i="28" s="1"/>
  <c r="M226" i="28" s="1"/>
  <c r="G43" i="28"/>
  <c r="G60" i="28" s="1"/>
  <c r="G77" i="28" s="1"/>
  <c r="G94" i="28" s="1"/>
  <c r="G111" i="28" s="1"/>
  <c r="G128" i="28" s="1"/>
  <c r="G145" i="28" s="1"/>
  <c r="G162" i="28" s="1"/>
  <c r="G179" i="28" s="1"/>
  <c r="G196" i="28" s="1"/>
  <c r="G213" i="28" s="1"/>
  <c r="I159" i="30"/>
  <c r="I139" i="30"/>
  <c r="X200" i="30"/>
  <c r="I154" i="30"/>
  <c r="X110" i="30"/>
  <c r="G62" i="30"/>
  <c r="R62" i="30"/>
  <c r="K62" i="30" s="1"/>
  <c r="X138" i="30"/>
  <c r="I279" i="30"/>
  <c r="I161" i="30"/>
  <c r="R63" i="30"/>
  <c r="K63" i="30" s="1"/>
  <c r="G63" i="30"/>
  <c r="I32" i="25"/>
  <c r="I243" i="30"/>
  <c r="I198" i="30"/>
  <c r="I206" i="30"/>
  <c r="I208" i="30"/>
  <c r="B49" i="25"/>
  <c r="B68" i="25" s="1"/>
  <c r="B87" i="25" s="1"/>
  <c r="B106" i="25" s="1"/>
  <c r="B125" i="25" s="1"/>
  <c r="B144" i="25" s="1"/>
  <c r="B163" i="25" s="1"/>
  <c r="B182" i="25" s="1"/>
  <c r="B201" i="25" s="1"/>
  <c r="B220" i="25" s="1"/>
  <c r="B239" i="25" s="1"/>
  <c r="A61" i="25"/>
  <c r="A80" i="25" s="1"/>
  <c r="A99" i="25" s="1"/>
  <c r="A118" i="25" s="1"/>
  <c r="A137" i="25" s="1"/>
  <c r="A156" i="25" s="1"/>
  <c r="A175" i="25" s="1"/>
  <c r="A194" i="25" s="1"/>
  <c r="A213" i="25" s="1"/>
  <c r="A232" i="25" s="1"/>
  <c r="A251" i="25" s="1"/>
  <c r="K62" i="25"/>
  <c r="K81" i="25" s="1"/>
  <c r="K100" i="25" s="1"/>
  <c r="K119" i="25" s="1"/>
  <c r="K138" i="25" s="1"/>
  <c r="K157" i="25" s="1"/>
  <c r="K176" i="25" s="1"/>
  <c r="K195" i="25" s="1"/>
  <c r="K214" i="25" s="1"/>
  <c r="K233" i="25" s="1"/>
  <c r="K252" i="25" s="1"/>
  <c r="K47" i="25"/>
  <c r="K66" i="25" s="1"/>
  <c r="K85" i="25" s="1"/>
  <c r="K104" i="25" s="1"/>
  <c r="K123" i="25" s="1"/>
  <c r="K142" i="25" s="1"/>
  <c r="K161" i="25" s="1"/>
  <c r="K180" i="25" s="1"/>
  <c r="K199" i="25" s="1"/>
  <c r="K218" i="25" s="1"/>
  <c r="K237" i="25" s="1"/>
  <c r="A49" i="25"/>
  <c r="A68" i="25" s="1"/>
  <c r="A87" i="25" s="1"/>
  <c r="A106" i="25" s="1"/>
  <c r="A125" i="25" s="1"/>
  <c r="A144" i="25" s="1"/>
  <c r="A163" i="25" s="1"/>
  <c r="A182" i="25" s="1"/>
  <c r="A201" i="25" s="1"/>
  <c r="A220" i="25" s="1"/>
  <c r="A239" i="25" s="1"/>
  <c r="N49" i="25"/>
  <c r="N68" i="25" s="1"/>
  <c r="N87" i="25" s="1"/>
  <c r="N106" i="25" s="1"/>
  <c r="N125" i="25" s="1"/>
  <c r="N144" i="25" s="1"/>
  <c r="N163" i="25" s="1"/>
  <c r="N182" i="25" s="1"/>
  <c r="N201" i="25" s="1"/>
  <c r="N220" i="25" s="1"/>
  <c r="N239" i="25" s="1"/>
  <c r="M49" i="25"/>
  <c r="M68" i="25" s="1"/>
  <c r="M87" i="25" s="1"/>
  <c r="M106" i="25" s="1"/>
  <c r="M125" i="25" s="1"/>
  <c r="M144" i="25" s="1"/>
  <c r="M163" i="25" s="1"/>
  <c r="M182" i="25" s="1"/>
  <c r="M201" i="25" s="1"/>
  <c r="M220" i="25" s="1"/>
  <c r="M239" i="25" s="1"/>
  <c r="G62" i="25"/>
  <c r="G81" i="25" s="1"/>
  <c r="G100" i="25" s="1"/>
  <c r="G119" i="25" s="1"/>
  <c r="G138" i="25" s="1"/>
  <c r="G157" i="25" s="1"/>
  <c r="G176" i="25" s="1"/>
  <c r="G195" i="25" s="1"/>
  <c r="G214" i="25" s="1"/>
  <c r="G233" i="25" s="1"/>
  <c r="G252" i="25" s="1"/>
  <c r="D62" i="25"/>
  <c r="D81" i="25" s="1"/>
  <c r="D100" i="25" s="1"/>
  <c r="D119" i="25" s="1"/>
  <c r="D138" i="25" s="1"/>
  <c r="D157" i="25" s="1"/>
  <c r="D176" i="25" s="1"/>
  <c r="D195" i="25" s="1"/>
  <c r="D214" i="25" s="1"/>
  <c r="D233" i="25" s="1"/>
  <c r="D252" i="25" s="1"/>
  <c r="M62" i="25"/>
  <c r="M81" i="25" s="1"/>
  <c r="M100" i="25" s="1"/>
  <c r="M119" i="25" s="1"/>
  <c r="M138" i="25" s="1"/>
  <c r="M157" i="25" s="1"/>
  <c r="M176" i="25" s="1"/>
  <c r="M195" i="25" s="1"/>
  <c r="M214" i="25" s="1"/>
  <c r="M233" i="25" s="1"/>
  <c r="M252" i="25" s="1"/>
  <c r="F49" i="25"/>
  <c r="F68" i="25" s="1"/>
  <c r="F87" i="25" s="1"/>
  <c r="F106" i="25" s="1"/>
  <c r="F125" i="25" s="1"/>
  <c r="F144" i="25" s="1"/>
  <c r="F163" i="25" s="1"/>
  <c r="F182" i="25" s="1"/>
  <c r="F201" i="25" s="1"/>
  <c r="F220" i="25" s="1"/>
  <c r="F239" i="25" s="1"/>
  <c r="A47" i="25"/>
  <c r="A66" i="25" s="1"/>
  <c r="A85" i="25" s="1"/>
  <c r="A104" i="25" s="1"/>
  <c r="A123" i="25" s="1"/>
  <c r="A142" i="25" s="1"/>
  <c r="A161" i="25" s="1"/>
  <c r="A180" i="25" s="1"/>
  <c r="A199" i="25" s="1"/>
  <c r="A218" i="25" s="1"/>
  <c r="A237" i="25" s="1"/>
  <c r="G47" i="25"/>
  <c r="G66" i="25" s="1"/>
  <c r="G85" i="25" s="1"/>
  <c r="G104" i="25" s="1"/>
  <c r="G123" i="25" s="1"/>
  <c r="G142" i="25" s="1"/>
  <c r="G161" i="25" s="1"/>
  <c r="G180" i="25" s="1"/>
  <c r="G199" i="25" s="1"/>
  <c r="G218" i="25" s="1"/>
  <c r="G237" i="25" s="1"/>
  <c r="G49" i="25"/>
  <c r="G68" i="25" s="1"/>
  <c r="G87" i="25" s="1"/>
  <c r="G106" i="25" s="1"/>
  <c r="G125" i="25" s="1"/>
  <c r="G144" i="25" s="1"/>
  <c r="G163" i="25" s="1"/>
  <c r="G182" i="25" s="1"/>
  <c r="G201" i="25" s="1"/>
  <c r="G220" i="25" s="1"/>
  <c r="G239" i="25" s="1"/>
  <c r="I49" i="25"/>
  <c r="I68" i="25" s="1"/>
  <c r="I87" i="25" s="1"/>
  <c r="I106" i="25" s="1"/>
  <c r="I125" i="25" s="1"/>
  <c r="I144" i="25" s="1"/>
  <c r="I163" i="25" s="1"/>
  <c r="I182" i="25" s="1"/>
  <c r="I201" i="25" s="1"/>
  <c r="I220" i="25" s="1"/>
  <c r="I239" i="25" s="1"/>
  <c r="I62" i="25"/>
  <c r="I81" i="25" s="1"/>
  <c r="I100" i="25" s="1"/>
  <c r="I119" i="25" s="1"/>
  <c r="I138" i="25" s="1"/>
  <c r="I157" i="25" s="1"/>
  <c r="I176" i="25" s="1"/>
  <c r="I195" i="25" s="1"/>
  <c r="I214" i="25" s="1"/>
  <c r="I233" i="25" s="1"/>
  <c r="I252" i="25" s="1"/>
  <c r="A62" i="25"/>
  <c r="A81" i="25" s="1"/>
  <c r="A100" i="25" s="1"/>
  <c r="A119" i="25" s="1"/>
  <c r="A138" i="25" s="1"/>
  <c r="A157" i="25" s="1"/>
  <c r="A176" i="25" s="1"/>
  <c r="A195" i="25" s="1"/>
  <c r="A214" i="25" s="1"/>
  <c r="A233" i="25" s="1"/>
  <c r="A252" i="25" s="1"/>
  <c r="K49" i="25"/>
  <c r="K68" i="25" s="1"/>
  <c r="K87" i="25" s="1"/>
  <c r="K106" i="25" s="1"/>
  <c r="K125" i="25" s="1"/>
  <c r="K144" i="25" s="1"/>
  <c r="K163" i="25" s="1"/>
  <c r="K182" i="25" s="1"/>
  <c r="K201" i="25" s="1"/>
  <c r="K220" i="25" s="1"/>
  <c r="K239" i="25" s="1"/>
  <c r="D47" i="25"/>
  <c r="D66" i="25" s="1"/>
  <c r="D85" i="25" s="1"/>
  <c r="D104" i="25" s="1"/>
  <c r="D123" i="25" s="1"/>
  <c r="D142" i="25" s="1"/>
  <c r="D161" i="25" s="1"/>
  <c r="D180" i="25" s="1"/>
  <c r="D199" i="25" s="1"/>
  <c r="D218" i="25" s="1"/>
  <c r="D237" i="25" s="1"/>
  <c r="I134" i="30"/>
  <c r="H17" i="33"/>
  <c r="I228" i="30"/>
  <c r="I178" i="30"/>
  <c r="I177" i="30"/>
  <c r="I199" i="30"/>
  <c r="I157" i="30"/>
  <c r="I223" i="30"/>
  <c r="I174" i="30"/>
  <c r="G66" i="30"/>
  <c r="R66" i="30"/>
  <c r="K66" i="30" s="1"/>
  <c r="X15" i="28"/>
  <c r="H49" i="33"/>
  <c r="I179" i="30"/>
  <c r="I187" i="30"/>
  <c r="X112" i="30"/>
  <c r="X16" i="28"/>
  <c r="X111" i="30"/>
  <c r="I184" i="30"/>
  <c r="I200" i="30"/>
  <c r="X36" i="28"/>
  <c r="I186" i="30"/>
  <c r="I247" i="30"/>
  <c r="R95" i="30"/>
  <c r="M95" i="30" s="1"/>
  <c r="I162" i="30"/>
  <c r="G60" i="30"/>
  <c r="R60" i="30"/>
  <c r="M60" i="30" s="1"/>
  <c r="N60" i="30" s="1"/>
  <c r="I220" i="30"/>
  <c r="I38" i="25"/>
  <c r="I209" i="30"/>
  <c r="I135" i="30"/>
  <c r="I253" i="30"/>
  <c r="I176" i="30"/>
  <c r="G71" i="30"/>
  <c r="R71" i="30"/>
  <c r="K71" i="30" s="1"/>
  <c r="I180" i="30"/>
  <c r="X31" i="28"/>
  <c r="I153" i="30"/>
  <c r="G91" i="30"/>
  <c r="R91" i="30"/>
  <c r="K91" i="30" s="1"/>
  <c r="R89" i="30"/>
  <c r="K89" i="30" s="1"/>
  <c r="G89" i="30"/>
  <c r="I183" i="30"/>
  <c r="I40" i="25"/>
  <c r="G59" i="30"/>
  <c r="G73" i="30"/>
  <c r="R59" i="30"/>
  <c r="K59" i="30" s="1"/>
  <c r="I252" i="30"/>
  <c r="I27" i="30"/>
  <c r="F27" i="30"/>
  <c r="G93" i="30"/>
  <c r="R93" i="30"/>
  <c r="K93" i="30" s="1"/>
  <c r="I164" i="30"/>
  <c r="G94" i="30"/>
  <c r="R94" i="30"/>
  <c r="K94" i="30" s="1"/>
  <c r="X151" i="30"/>
  <c r="H33" i="33"/>
  <c r="X109" i="30"/>
  <c r="I141" i="30"/>
  <c r="G69" i="30"/>
  <c r="R69" i="30"/>
  <c r="K69" i="30" s="1"/>
  <c r="I35" i="25"/>
  <c r="I202" i="30"/>
  <c r="X30" i="28"/>
  <c r="I181" i="30"/>
  <c r="J2032" i="34"/>
  <c r="A2032" i="34" s="1"/>
  <c r="A2045" i="34" s="1"/>
  <c r="J2047" i="34"/>
  <c r="A2047" i="34" s="1"/>
  <c r="C2048" i="34" s="1"/>
  <c r="J2060" i="34"/>
  <c r="A2060" i="34" s="1"/>
  <c r="A2070" i="34" s="1"/>
  <c r="I246" i="30"/>
  <c r="H305" i="34"/>
  <c r="I132" i="30"/>
  <c r="I210" i="30"/>
  <c r="X114" i="30"/>
  <c r="G83" i="30"/>
  <c r="R83" i="30"/>
  <c r="K83" i="30" s="1"/>
  <c r="A325" i="31"/>
  <c r="A341" i="31" s="1"/>
  <c r="A357" i="31" s="1"/>
  <c r="A373" i="31" s="1"/>
  <c r="A389" i="31" s="1"/>
  <c r="A405" i="31" s="1"/>
  <c r="A315" i="31"/>
  <c r="A331" i="31" s="1"/>
  <c r="A347" i="31" s="1"/>
  <c r="A363" i="31" s="1"/>
  <c r="A379" i="31" s="1"/>
  <c r="A395" i="31" s="1"/>
  <c r="N315" i="31"/>
  <c r="N331" i="31" s="1"/>
  <c r="N347" i="31" s="1"/>
  <c r="N363" i="31" s="1"/>
  <c r="N379" i="31" s="1"/>
  <c r="N395" i="31" s="1"/>
  <c r="D313" i="31"/>
  <c r="D329" i="31" s="1"/>
  <c r="D345" i="31" s="1"/>
  <c r="D361" i="31" s="1"/>
  <c r="D377" i="31" s="1"/>
  <c r="D393" i="31" s="1"/>
  <c r="I325" i="31"/>
  <c r="I341" i="31" s="1"/>
  <c r="I357" i="31" s="1"/>
  <c r="I373" i="31" s="1"/>
  <c r="I389" i="31" s="1"/>
  <c r="I405" i="31" s="1"/>
  <c r="G325" i="31"/>
  <c r="G341" i="31" s="1"/>
  <c r="G357" i="31" s="1"/>
  <c r="G373" i="31" s="1"/>
  <c r="G389" i="31" s="1"/>
  <c r="G405" i="31" s="1"/>
  <c r="D325" i="31"/>
  <c r="D341" i="31" s="1"/>
  <c r="D357" i="31" s="1"/>
  <c r="D373" i="31" s="1"/>
  <c r="D389" i="31" s="1"/>
  <c r="D405" i="31" s="1"/>
  <c r="K313" i="31"/>
  <c r="K329" i="31" s="1"/>
  <c r="K345" i="31" s="1"/>
  <c r="K361" i="31" s="1"/>
  <c r="K377" i="31" s="1"/>
  <c r="K393" i="31" s="1"/>
  <c r="A324" i="31"/>
  <c r="A340" i="31" s="1"/>
  <c r="A356" i="31" s="1"/>
  <c r="A372" i="31" s="1"/>
  <c r="A388" i="31" s="1"/>
  <c r="A404" i="31" s="1"/>
  <c r="M315" i="31"/>
  <c r="M331" i="31" s="1"/>
  <c r="M347" i="31" s="1"/>
  <c r="M363" i="31" s="1"/>
  <c r="M379" i="31" s="1"/>
  <c r="M395" i="31" s="1"/>
  <c r="M325" i="31"/>
  <c r="M341" i="31" s="1"/>
  <c r="M357" i="31" s="1"/>
  <c r="M373" i="31" s="1"/>
  <c r="M389" i="31" s="1"/>
  <c r="M405" i="31" s="1"/>
  <c r="F315" i="31"/>
  <c r="F331" i="31" s="1"/>
  <c r="F347" i="31" s="1"/>
  <c r="F363" i="31" s="1"/>
  <c r="F379" i="31" s="1"/>
  <c r="F395" i="31" s="1"/>
  <c r="G313" i="31"/>
  <c r="G329" i="31" s="1"/>
  <c r="G345" i="31" s="1"/>
  <c r="G361" i="31" s="1"/>
  <c r="G377" i="31" s="1"/>
  <c r="G393" i="31" s="1"/>
  <c r="K315" i="31"/>
  <c r="K331" i="31" s="1"/>
  <c r="K347" i="31" s="1"/>
  <c r="K363" i="31" s="1"/>
  <c r="K379" i="31" s="1"/>
  <c r="K395" i="31" s="1"/>
  <c r="G315" i="31"/>
  <c r="G331" i="31" s="1"/>
  <c r="G347" i="31" s="1"/>
  <c r="G363" i="31" s="1"/>
  <c r="G379" i="31" s="1"/>
  <c r="G395" i="31" s="1"/>
  <c r="B315" i="31"/>
  <c r="B331" i="31" s="1"/>
  <c r="B347" i="31" s="1"/>
  <c r="B363" i="31" s="1"/>
  <c r="B379" i="31" s="1"/>
  <c r="B395" i="31" s="1"/>
  <c r="K325" i="31"/>
  <c r="K341" i="31" s="1"/>
  <c r="K357" i="31" s="1"/>
  <c r="K373" i="31" s="1"/>
  <c r="K389" i="31" s="1"/>
  <c r="K405" i="31" s="1"/>
  <c r="A313" i="31"/>
  <c r="A329" i="31" s="1"/>
  <c r="A345" i="31" s="1"/>
  <c r="A361" i="31" s="1"/>
  <c r="A377" i="31" s="1"/>
  <c r="A393" i="31" s="1"/>
  <c r="I315" i="31"/>
  <c r="I331" i="31" s="1"/>
  <c r="I347" i="31" s="1"/>
  <c r="I363" i="31" s="1"/>
  <c r="I379" i="31" s="1"/>
  <c r="I395" i="31" s="1"/>
  <c r="F142" i="30"/>
  <c r="I142" i="30"/>
  <c r="F42" i="25"/>
  <c r="F188" i="30"/>
  <c r="I188" i="30"/>
  <c r="I229" i="30"/>
  <c r="H98" i="34"/>
  <c r="I129" i="30"/>
  <c r="I140" i="30"/>
  <c r="G92" i="30"/>
  <c r="R92" i="30"/>
  <c r="K92" i="30" s="1"/>
  <c r="I39" i="25"/>
  <c r="X34" i="28"/>
  <c r="X108" i="30"/>
  <c r="I34" i="25"/>
  <c r="H29" i="34"/>
  <c r="X37" i="28"/>
  <c r="G68" i="30"/>
  <c r="R68" i="30"/>
  <c r="K68" i="30" s="1"/>
  <c r="G86" i="30"/>
  <c r="R86" i="30"/>
  <c r="K86" i="30" s="1"/>
  <c r="I224" i="30"/>
  <c r="I165" i="30"/>
  <c r="F165" i="30"/>
  <c r="J1825" i="34"/>
  <c r="A1825" i="34" s="1"/>
  <c r="I1826" i="34" s="1"/>
  <c r="J1853" i="34"/>
  <c r="A1853" i="34" s="1"/>
  <c r="A1863" i="34" s="1"/>
  <c r="J1840" i="34"/>
  <c r="A1840" i="34" s="1"/>
  <c r="A1851" i="34" s="1"/>
  <c r="I25" i="30"/>
  <c r="G84" i="30"/>
  <c r="R84" i="30"/>
  <c r="K84" i="30" s="1"/>
  <c r="I222" i="30"/>
  <c r="I158" i="30"/>
  <c r="X117" i="30"/>
  <c r="I138" i="30"/>
  <c r="I136" i="30"/>
  <c r="R70" i="30"/>
  <c r="K70" i="30" s="1"/>
  <c r="G70" i="30"/>
  <c r="X105" i="30"/>
  <c r="I274" i="30"/>
  <c r="I151" i="30"/>
  <c r="G65" i="30"/>
  <c r="R65" i="30"/>
  <c r="K65" i="30" s="1"/>
  <c r="G85" i="30"/>
  <c r="R85" i="30"/>
  <c r="K85" i="30" s="1"/>
  <c r="I231" i="30"/>
  <c r="H1656" i="34"/>
  <c r="H1587" i="34"/>
  <c r="H540" i="34"/>
  <c r="H1449" i="34"/>
  <c r="H1380" i="34"/>
  <c r="H333" i="34"/>
  <c r="H1518" i="34"/>
  <c r="H264" i="34"/>
  <c r="H471" i="34"/>
  <c r="H195" i="34"/>
  <c r="H402" i="34"/>
  <c r="X254" i="30"/>
  <c r="X107" i="30"/>
  <c r="W119" i="30"/>
  <c r="X207" i="30"/>
  <c r="X255" i="30"/>
  <c r="X243" i="30"/>
  <c r="X248" i="30"/>
  <c r="X140" i="30"/>
  <c r="X253" i="30"/>
  <c r="X231" i="30"/>
  <c r="X186" i="30"/>
  <c r="X159" i="30"/>
  <c r="X268" i="30"/>
  <c r="X269" i="30"/>
  <c r="X133" i="30"/>
  <c r="X40" i="25"/>
  <c r="X41" i="25"/>
  <c r="X251" i="30"/>
  <c r="X272" i="30"/>
  <c r="F333" i="30"/>
  <c r="H1725" i="34"/>
  <c r="H609" i="34"/>
  <c r="H527" i="34"/>
  <c r="H665" i="34"/>
  <c r="X301" i="30"/>
  <c r="X292" i="30"/>
  <c r="I346" i="30"/>
  <c r="X435" i="31"/>
  <c r="I347" i="30"/>
  <c r="X430" i="31"/>
  <c r="X433" i="31"/>
  <c r="X431" i="31"/>
  <c r="I445" i="31"/>
  <c r="I337" i="30"/>
  <c r="X323" i="30"/>
  <c r="X318" i="30"/>
  <c r="X434" i="31"/>
  <c r="X294" i="30"/>
  <c r="X429" i="31"/>
  <c r="I344" i="30"/>
  <c r="F452" i="31"/>
  <c r="I452" i="31"/>
  <c r="I450" i="31"/>
  <c r="X322" i="30"/>
  <c r="X313" i="30"/>
  <c r="X432" i="31"/>
  <c r="X291" i="30"/>
  <c r="X293" i="30"/>
  <c r="X312" i="30"/>
  <c r="W326" i="30"/>
  <c r="X320" i="30"/>
  <c r="I451" i="31"/>
  <c r="X299" i="30"/>
  <c r="I340" i="30"/>
  <c r="J2474" i="34"/>
  <c r="A2474" i="34" s="1"/>
  <c r="B2473" i="34" s="1"/>
  <c r="J2446" i="34"/>
  <c r="A2446" i="34" s="1"/>
  <c r="A2447" i="34" s="1"/>
  <c r="J2461" i="34"/>
  <c r="A2461" i="34" s="1"/>
  <c r="A2462" i="34" s="1"/>
  <c r="I342" i="30"/>
  <c r="I343" i="30"/>
  <c r="X319" i="30"/>
  <c r="X324" i="30"/>
  <c r="X317" i="30"/>
  <c r="F326" i="30"/>
  <c r="I326" i="30"/>
  <c r="I449" i="31"/>
  <c r="X315" i="30"/>
  <c r="X316" i="30"/>
  <c r="I336" i="30"/>
  <c r="I345" i="30"/>
  <c r="X298" i="30"/>
  <c r="I348" i="30"/>
  <c r="X289" i="30"/>
  <c r="X321" i="30"/>
  <c r="X290" i="30"/>
  <c r="I335" i="30"/>
  <c r="X314" i="30"/>
  <c r="I448" i="31"/>
  <c r="I459" i="31"/>
  <c r="I475" i="31" s="1"/>
  <c r="N459" i="31"/>
  <c r="N475" i="31" s="1"/>
  <c r="A468" i="31"/>
  <c r="A484" i="31" s="1"/>
  <c r="G457" i="31"/>
  <c r="G473" i="31" s="1"/>
  <c r="F459" i="31"/>
  <c r="F475" i="31" s="1"/>
  <c r="K469" i="31"/>
  <c r="K485" i="31" s="1"/>
  <c r="G459" i="31"/>
  <c r="G475" i="31" s="1"/>
  <c r="A459" i="31"/>
  <c r="A475" i="31" s="1"/>
  <c r="K457" i="31"/>
  <c r="K473" i="31" s="1"/>
  <c r="B459" i="31"/>
  <c r="B475" i="31" s="1"/>
  <c r="A457" i="31"/>
  <c r="A473" i="31" s="1"/>
  <c r="K459" i="31"/>
  <c r="K475" i="31" s="1"/>
  <c r="M469" i="31"/>
  <c r="M485" i="31" s="1"/>
  <c r="G469" i="31"/>
  <c r="G485" i="31" s="1"/>
  <c r="D457" i="31"/>
  <c r="D473" i="31" s="1"/>
  <c r="A469" i="31"/>
  <c r="A485" i="31" s="1"/>
  <c r="I469" i="31"/>
  <c r="I485" i="31" s="1"/>
  <c r="M459" i="31"/>
  <c r="M475" i="31" s="1"/>
  <c r="D469" i="31"/>
  <c r="D485" i="31" s="1"/>
  <c r="I339" i="30"/>
  <c r="I446" i="31"/>
  <c r="I447" i="31"/>
  <c r="I341" i="30"/>
  <c r="I338" i="30"/>
  <c r="X447" i="31"/>
  <c r="X451" i="31"/>
  <c r="X446" i="31"/>
  <c r="X449" i="31"/>
  <c r="X445" i="31"/>
  <c r="I349" i="30"/>
  <c r="F349" i="30"/>
  <c r="X450" i="31"/>
  <c r="X448" i="31"/>
  <c r="B504" i="31"/>
  <c r="A466" i="23"/>
  <c r="B274" i="25"/>
  <c r="B246" i="28"/>
  <c r="J2530" i="34"/>
  <c r="A2530" i="34" s="1"/>
  <c r="J2543" i="34"/>
  <c r="A2543" i="34" s="1"/>
  <c r="J2515" i="34"/>
  <c r="A2515" i="34" s="1"/>
  <c r="A2565" i="34"/>
  <c r="A470" i="33"/>
  <c r="AR34" i="32"/>
  <c r="M465" i="30"/>
  <c r="I369" i="30"/>
  <c r="I365" i="30"/>
  <c r="I364" i="30"/>
  <c r="C376" i="30"/>
  <c r="A425" i="30"/>
  <c r="A448" i="30" s="1"/>
  <c r="A471" i="30" s="1"/>
  <c r="A494" i="30" s="1"/>
  <c r="A517" i="30" s="1"/>
  <c r="A540" i="30" s="1"/>
  <c r="A563" i="30" s="1"/>
  <c r="A586" i="30" s="1"/>
  <c r="A609" i="30" s="1"/>
  <c r="A632" i="30" s="1"/>
  <c r="A655" i="30" s="1"/>
  <c r="A678" i="30" s="1"/>
  <c r="A701" i="30" s="1"/>
  <c r="A724" i="30" s="1"/>
  <c r="A747" i="30" s="1"/>
  <c r="A770" i="30" s="1"/>
  <c r="A793" i="30" s="1"/>
  <c r="A816" i="30" s="1"/>
  <c r="A839" i="30" s="1"/>
  <c r="A862" i="30" s="1"/>
  <c r="A885" i="30" s="1"/>
  <c r="A908" i="30" s="1"/>
  <c r="B425" i="30"/>
  <c r="B448" i="30" s="1"/>
  <c r="A469" i="30"/>
  <c r="A492" i="30" s="1"/>
  <c r="A515" i="30" s="1"/>
  <c r="A538" i="30" s="1"/>
  <c r="A561" i="30" s="1"/>
  <c r="A584" i="30" s="1"/>
  <c r="A607" i="30" s="1"/>
  <c r="A630" i="30" s="1"/>
  <c r="A653" i="30" s="1"/>
  <c r="A676" i="30" s="1"/>
  <c r="A699" i="30" s="1"/>
  <c r="A722" i="30" s="1"/>
  <c r="A745" i="30" s="1"/>
  <c r="A768" i="30" s="1"/>
  <c r="A791" i="30" s="1"/>
  <c r="A814" i="30" s="1"/>
  <c r="A837" i="30" s="1"/>
  <c r="A860" i="30" s="1"/>
  <c r="A883" i="30" s="1"/>
  <c r="A906" i="30" s="1"/>
  <c r="A376" i="30"/>
  <c r="D376" i="30"/>
  <c r="M425" i="30"/>
  <c r="M448" i="30" s="1"/>
  <c r="M471" i="30" s="1"/>
  <c r="M494" i="30" s="1"/>
  <c r="M517" i="30" s="1"/>
  <c r="M540" i="30" s="1"/>
  <c r="M563" i="30" s="1"/>
  <c r="M586" i="30" s="1"/>
  <c r="M609" i="30" s="1"/>
  <c r="M632" i="30" s="1"/>
  <c r="M655" i="30" s="1"/>
  <c r="M678" i="30" s="1"/>
  <c r="M701" i="30" s="1"/>
  <c r="M724" i="30" s="1"/>
  <c r="M747" i="30" s="1"/>
  <c r="M770" i="30" s="1"/>
  <c r="M793" i="30" s="1"/>
  <c r="M816" i="30" s="1"/>
  <c r="M839" i="30" s="1"/>
  <c r="M862" i="30" s="1"/>
  <c r="M885" i="30" s="1"/>
  <c r="M908" i="30" s="1"/>
  <c r="E376" i="30"/>
  <c r="A557" i="30"/>
  <c r="A580" i="30" s="1"/>
  <c r="A603" i="30" s="1"/>
  <c r="A626" i="30" s="1"/>
  <c r="A649" i="30" s="1"/>
  <c r="A672" i="30" s="1"/>
  <c r="A695" i="30" s="1"/>
  <c r="A718" i="30" s="1"/>
  <c r="A741" i="30" s="1"/>
  <c r="A764" i="30" s="1"/>
  <c r="A787" i="30" s="1"/>
  <c r="A810" i="30" s="1"/>
  <c r="A833" i="30" s="1"/>
  <c r="A856" i="30" s="1"/>
  <c r="A879" i="30" s="1"/>
  <c r="A902" i="30" s="1"/>
  <c r="A925" i="30" s="1"/>
  <c r="AR21" i="27"/>
  <c r="A310" i="26"/>
  <c r="S482" i="31"/>
  <c r="S467" i="31"/>
  <c r="A482" i="31"/>
  <c r="A462" i="31"/>
  <c r="F477" i="31"/>
  <c r="F466" i="31"/>
  <c r="T483" i="31"/>
  <c r="B462" i="31"/>
  <c r="B481" i="31"/>
  <c r="Q461" i="31"/>
  <c r="S466" i="31"/>
  <c r="T461" i="31"/>
  <c r="T464" i="31"/>
  <c r="U464" i="31"/>
  <c r="Q477" i="31"/>
  <c r="F478" i="31"/>
  <c r="U479" i="31"/>
  <c r="Q462" i="31"/>
  <c r="Q464" i="31"/>
  <c r="A481" i="31"/>
  <c r="B483" i="31"/>
  <c r="Q467" i="31"/>
  <c r="B466" i="31"/>
  <c r="S483" i="31"/>
  <c r="S477" i="31"/>
  <c r="A466" i="31"/>
  <c r="Q479" i="31"/>
  <c r="T466" i="31"/>
  <c r="S465" i="31"/>
  <c r="A467" i="31"/>
  <c r="T481" i="31"/>
  <c r="S481" i="31"/>
  <c r="B463" i="31"/>
  <c r="A465" i="31"/>
  <c r="T482" i="31"/>
  <c r="U480" i="31"/>
  <c r="F467" i="31"/>
  <c r="A464" i="31"/>
  <c r="B480" i="31"/>
  <c r="B477" i="31"/>
  <c r="Q481" i="31"/>
  <c r="T479" i="31"/>
  <c r="F482" i="31"/>
  <c r="T463" i="31"/>
  <c r="T478" i="31"/>
  <c r="Q465" i="31"/>
  <c r="Q483" i="31"/>
  <c r="T467" i="31"/>
  <c r="T477" i="31"/>
  <c r="F464" i="31"/>
  <c r="U462" i="31"/>
  <c r="U481" i="31"/>
  <c r="B478" i="31"/>
  <c r="U483" i="31"/>
  <c r="S462" i="31"/>
  <c r="B464" i="31"/>
  <c r="S480" i="31"/>
  <c r="F462" i="31"/>
  <c r="A477" i="31"/>
  <c r="B479" i="31"/>
  <c r="S461" i="31"/>
  <c r="S478" i="31"/>
  <c r="B461" i="31"/>
  <c r="S464" i="31"/>
  <c r="U466" i="31"/>
  <c r="Q480" i="31"/>
  <c r="F483" i="31"/>
  <c r="S463" i="31"/>
  <c r="S479" i="31"/>
  <c r="U467" i="31"/>
  <c r="U465" i="31"/>
  <c r="B482" i="31"/>
  <c r="Q466" i="31"/>
  <c r="A478" i="31"/>
  <c r="A463" i="31"/>
  <c r="B465" i="31"/>
  <c r="Q478" i="31"/>
  <c r="U482" i="31"/>
  <c r="F480" i="31"/>
  <c r="U463" i="31"/>
  <c r="T462" i="31"/>
  <c r="F461" i="31"/>
  <c r="F465" i="31"/>
  <c r="T465" i="31"/>
  <c r="A461" i="31"/>
  <c r="A479" i="31"/>
  <c r="T480" i="31"/>
  <c r="A483" i="31"/>
  <c r="F463" i="31"/>
  <c r="F479" i="31"/>
  <c r="U461" i="31"/>
  <c r="W461" i="31" s="1"/>
  <c r="U478" i="31"/>
  <c r="B467" i="31"/>
  <c r="F481" i="31"/>
  <c r="Q463" i="31"/>
  <c r="U477" i="31"/>
  <c r="A480" i="31"/>
  <c r="Q482" i="31"/>
  <c r="W273" i="30"/>
  <c r="A137" i="23"/>
  <c r="T185" i="28"/>
  <c r="F187" i="28"/>
  <c r="H184" i="29" s="1"/>
  <c r="A190" i="28"/>
  <c r="F183" i="28"/>
  <c r="Q183" i="28"/>
  <c r="F186" i="28"/>
  <c r="F166" i="28"/>
  <c r="S173" i="28"/>
  <c r="S172" i="28"/>
  <c r="A171" i="28"/>
  <c r="A173" i="28"/>
  <c r="A170" i="29" s="1"/>
  <c r="T173" i="28"/>
  <c r="F208" i="25"/>
  <c r="A205" i="25"/>
  <c r="B211" i="25"/>
  <c r="F211" i="25"/>
  <c r="S207" i="25"/>
  <c r="T205" i="25"/>
  <c r="A206" i="25"/>
  <c r="A398" i="31"/>
  <c r="F399" i="31"/>
  <c r="Q402" i="31"/>
  <c r="T398" i="31"/>
  <c r="B397" i="31"/>
  <c r="H366" i="34"/>
  <c r="A415" i="33"/>
  <c r="C413" i="33"/>
  <c r="A229" i="23"/>
  <c r="A148" i="23"/>
  <c r="A352" i="31"/>
  <c r="Q354" i="31"/>
  <c r="F351" i="31"/>
  <c r="T349" i="31"/>
  <c r="F352" i="31"/>
  <c r="A784" i="34"/>
  <c r="T168" i="25"/>
  <c r="F169" i="25"/>
  <c r="T172" i="25"/>
  <c r="B172" i="25"/>
  <c r="S167" i="25"/>
  <c r="U173" i="25"/>
  <c r="Q167" i="25"/>
  <c r="W232" i="30"/>
  <c r="W270" i="30"/>
  <c r="U154" i="28"/>
  <c r="F151" i="28"/>
  <c r="H148" i="29" s="1"/>
  <c r="U153" i="28"/>
  <c r="A154" i="28"/>
  <c r="A151" i="29" s="1"/>
  <c r="F155" i="28"/>
  <c r="H152" i="29" s="1"/>
  <c r="S153" i="28"/>
  <c r="A432" i="34"/>
  <c r="F48" i="28"/>
  <c r="U54" i="28"/>
  <c r="U49" i="28"/>
  <c r="Q53" i="28"/>
  <c r="F47" i="28"/>
  <c r="T133" i="28"/>
  <c r="P135" i="28"/>
  <c r="U132" i="28"/>
  <c r="F137" i="28"/>
  <c r="U136" i="28"/>
  <c r="Q132" i="28"/>
  <c r="U57" i="25"/>
  <c r="B57" i="25"/>
  <c r="T59" i="25"/>
  <c r="S55" i="25"/>
  <c r="F60" i="25"/>
  <c r="A54" i="25"/>
  <c r="T58" i="25"/>
  <c r="Q51" i="25"/>
  <c r="S336" i="31"/>
  <c r="S337" i="31"/>
  <c r="F333" i="31"/>
  <c r="U337" i="31"/>
  <c r="A333" i="31"/>
  <c r="Q153" i="25"/>
  <c r="S149" i="25"/>
  <c r="T151" i="25"/>
  <c r="F146" i="25"/>
  <c r="F147" i="25"/>
  <c r="F151" i="25"/>
  <c r="B148" i="25"/>
  <c r="B154" i="25"/>
  <c r="S382" i="31"/>
  <c r="F386" i="31"/>
  <c r="A382" i="31"/>
  <c r="U383" i="31"/>
  <c r="U381" i="31"/>
  <c r="B383" i="31"/>
  <c r="H340" i="23"/>
  <c r="A850" i="34"/>
  <c r="H643" i="34"/>
  <c r="H846" i="34"/>
  <c r="Q184" i="28"/>
  <c r="S187" i="28"/>
  <c r="A188" i="28"/>
  <c r="A185" i="29" s="1"/>
  <c r="A186" i="28"/>
  <c r="A183" i="29" s="1"/>
  <c r="T186" i="28"/>
  <c r="T189" i="28"/>
  <c r="B173" i="28"/>
  <c r="C170" i="29" s="1"/>
  <c r="B171" i="28"/>
  <c r="S171" i="28"/>
  <c r="Q167" i="28"/>
  <c r="A172" i="28"/>
  <c r="A170" i="28"/>
  <c r="A167" i="29" s="1"/>
  <c r="B203" i="25"/>
  <c r="U207" i="25"/>
  <c r="T209" i="25"/>
  <c r="U208" i="25"/>
  <c r="T212" i="25"/>
  <c r="U212" i="25"/>
  <c r="S211" i="25"/>
  <c r="C787" i="34"/>
  <c r="B400" i="31"/>
  <c r="F400" i="31"/>
  <c r="U402" i="31"/>
  <c r="A400" i="31"/>
  <c r="W400" i="31"/>
  <c r="W209" i="30"/>
  <c r="H414" i="33"/>
  <c r="H413" i="33"/>
  <c r="A349" i="31"/>
  <c r="T353" i="31"/>
  <c r="B349" i="31"/>
  <c r="S355" i="31"/>
  <c r="F353" i="31"/>
  <c r="A168" i="25"/>
  <c r="B171" i="25"/>
  <c r="F168" i="25"/>
  <c r="A165" i="25"/>
  <c r="Q174" i="25"/>
  <c r="S171" i="25"/>
  <c r="A174" i="25"/>
  <c r="C430" i="33"/>
  <c r="W38" i="25"/>
  <c r="C508" i="34"/>
  <c r="A250" i="23"/>
  <c r="A707" i="34"/>
  <c r="T153" i="28"/>
  <c r="T152" i="28"/>
  <c r="Q155" i="28"/>
  <c r="T149" i="28"/>
  <c r="A156" i="28"/>
  <c r="A153" i="29" s="1"/>
  <c r="A150" i="28"/>
  <c r="A147" i="29" s="1"/>
  <c r="B49" i="28"/>
  <c r="Q50" i="28"/>
  <c r="B50" i="28"/>
  <c r="Q48" i="28"/>
  <c r="F49" i="28"/>
  <c r="U53" i="28"/>
  <c r="W135" i="28"/>
  <c r="U139" i="28"/>
  <c r="T135" i="28"/>
  <c r="S132" i="28"/>
  <c r="A134" i="28"/>
  <c r="A131" i="29" s="1"/>
  <c r="Q138" i="28"/>
  <c r="B56" i="25"/>
  <c r="S59" i="25"/>
  <c r="T55" i="25"/>
  <c r="A58" i="25"/>
  <c r="S54" i="25"/>
  <c r="T53" i="25"/>
  <c r="S51" i="25"/>
  <c r="Q333" i="31"/>
  <c r="A334" i="31"/>
  <c r="W336" i="31"/>
  <c r="W334" i="31"/>
  <c r="A337" i="31"/>
  <c r="U153" i="25"/>
  <c r="A149" i="25"/>
  <c r="Q147" i="25"/>
  <c r="A150" i="25"/>
  <c r="T152" i="25"/>
  <c r="U151" i="25"/>
  <c r="U147" i="25"/>
  <c r="T383" i="31"/>
  <c r="S381" i="31"/>
  <c r="T384" i="31"/>
  <c r="S383" i="31"/>
  <c r="S387" i="31"/>
  <c r="W384" i="31"/>
  <c r="S93" i="25"/>
  <c r="B94" i="25"/>
  <c r="U92" i="25"/>
  <c r="Q91" i="25"/>
  <c r="S97" i="25"/>
  <c r="F91" i="25"/>
  <c r="B93" i="25"/>
  <c r="S112" i="25"/>
  <c r="S113" i="25"/>
  <c r="Q110" i="25"/>
  <c r="F108" i="25"/>
  <c r="U112" i="25"/>
  <c r="Q109" i="25"/>
  <c r="F115" i="25"/>
  <c r="W134" i="30"/>
  <c r="U323" i="31"/>
  <c r="W320" i="31"/>
  <c r="S323" i="31"/>
  <c r="B120" i="28"/>
  <c r="U120" i="28"/>
  <c r="T117" i="28"/>
  <c r="B121" i="28"/>
  <c r="U122" i="28"/>
  <c r="U115" i="28"/>
  <c r="U366" i="31"/>
  <c r="A366" i="31"/>
  <c r="F370" i="31"/>
  <c r="W370" i="31"/>
  <c r="F365" i="31"/>
  <c r="F190" i="25"/>
  <c r="C982" i="34"/>
  <c r="H439" i="34"/>
  <c r="U185" i="28"/>
  <c r="U188" i="28"/>
  <c r="B186" i="28"/>
  <c r="C183" i="29" s="1"/>
  <c r="Q185" i="28"/>
  <c r="T187" i="28"/>
  <c r="A184" i="28"/>
  <c r="W128" i="30"/>
  <c r="U172" i="28"/>
  <c r="B172" i="28"/>
  <c r="C169" i="29" s="1"/>
  <c r="Q173" i="28"/>
  <c r="F169" i="28"/>
  <c r="S168" i="28"/>
  <c r="Q207" i="25"/>
  <c r="B209" i="25"/>
  <c r="S209" i="25"/>
  <c r="B205" i="25"/>
  <c r="U203" i="25"/>
  <c r="Q205" i="25"/>
  <c r="B210" i="25"/>
  <c r="U403" i="31"/>
  <c r="T400" i="31"/>
  <c r="B401" i="31"/>
  <c r="A402" i="31"/>
  <c r="T402" i="31"/>
  <c r="H411" i="33"/>
  <c r="C416" i="33"/>
  <c r="A416" i="33"/>
  <c r="C375" i="33"/>
  <c r="H267" i="23"/>
  <c r="W354" i="31"/>
  <c r="S349" i="31"/>
  <c r="B353" i="31"/>
  <c r="S354" i="31"/>
  <c r="H914" i="34"/>
  <c r="C126" i="29"/>
  <c r="U183" i="28"/>
  <c r="A187" i="28"/>
  <c r="A184" i="29" s="1"/>
  <c r="B187" i="28"/>
  <c r="S184" i="28"/>
  <c r="W186" i="28"/>
  <c r="A185" i="28"/>
  <c r="A158" i="23"/>
  <c r="W203" i="30"/>
  <c r="U168" i="28"/>
  <c r="U167" i="28"/>
  <c r="S169" i="28"/>
  <c r="A166" i="28"/>
  <c r="A163" i="29" s="1"/>
  <c r="T171" i="28"/>
  <c r="Q170" i="28"/>
  <c r="Q204" i="25"/>
  <c r="U211" i="25"/>
  <c r="S206" i="25"/>
  <c r="A203" i="25"/>
  <c r="Q210" i="25"/>
  <c r="S205" i="25"/>
  <c r="Q211" i="25"/>
  <c r="C197" i="23"/>
  <c r="F401" i="31"/>
  <c r="W402" i="31"/>
  <c r="T401" i="31"/>
  <c r="S402" i="31"/>
  <c r="T403" i="31"/>
  <c r="A776" i="34"/>
  <c r="A411" i="33"/>
  <c r="W352" i="31"/>
  <c r="F349" i="31"/>
  <c r="S353" i="31"/>
  <c r="B350" i="31"/>
  <c r="T355" i="31"/>
  <c r="Q166" i="25"/>
  <c r="Q173" i="25"/>
  <c r="B165" i="25"/>
  <c r="B173" i="25"/>
  <c r="S174" i="25"/>
  <c r="U171" i="25"/>
  <c r="U169" i="25"/>
  <c r="A428" i="33"/>
  <c r="C649" i="34"/>
  <c r="W180" i="30"/>
  <c r="A705" i="34"/>
  <c r="B150" i="28"/>
  <c r="C147" i="29" s="1"/>
  <c r="U150" i="28"/>
  <c r="T150" i="28"/>
  <c r="W152" i="28"/>
  <c r="T154" i="28"/>
  <c r="U151" i="28"/>
  <c r="F50" i="28"/>
  <c r="P49" i="28"/>
  <c r="T53" i="28"/>
  <c r="F51" i="28"/>
  <c r="S51" i="28"/>
  <c r="B52" i="28"/>
  <c r="B135" i="28"/>
  <c r="Q133" i="28"/>
  <c r="A139" i="28"/>
  <c r="T137" i="28"/>
  <c r="T136" i="28"/>
  <c r="A135" i="28"/>
  <c r="A132" i="29" s="1"/>
  <c r="S60" i="25"/>
  <c r="F54" i="25"/>
  <c r="U59" i="25"/>
  <c r="Q56" i="25"/>
  <c r="A60" i="25"/>
  <c r="Q59" i="25"/>
  <c r="S53" i="25"/>
  <c r="U339" i="31"/>
  <c r="T336" i="31"/>
  <c r="U333" i="31"/>
  <c r="A338" i="31"/>
  <c r="F334" i="31"/>
  <c r="S146" i="25"/>
  <c r="B149" i="25"/>
  <c r="B152" i="25"/>
  <c r="A146" i="25"/>
  <c r="S147" i="25"/>
  <c r="F385" i="31"/>
  <c r="S386" i="31"/>
  <c r="T385" i="31"/>
  <c r="S385" i="31"/>
  <c r="B386" i="31"/>
  <c r="T96" i="25"/>
  <c r="Q89" i="25"/>
  <c r="T94" i="25"/>
  <c r="A90" i="25"/>
  <c r="U93" i="25"/>
  <c r="A89" i="25"/>
  <c r="B90" i="25"/>
  <c r="A221" i="23"/>
  <c r="B108" i="25"/>
  <c r="A115" i="25"/>
  <c r="T114" i="25"/>
  <c r="Q117" i="25"/>
  <c r="Q108" i="25"/>
  <c r="A112" i="25"/>
  <c r="U111" i="25"/>
  <c r="C990" i="34"/>
  <c r="T184" i="28"/>
  <c r="F185" i="28"/>
  <c r="F188" i="28"/>
  <c r="S190" i="28"/>
  <c r="B183" i="28"/>
  <c r="U187" i="28"/>
  <c r="H249" i="23"/>
  <c r="S170" i="28"/>
  <c r="T172" i="28"/>
  <c r="U171" i="28"/>
  <c r="W171" i="28" s="1"/>
  <c r="F172" i="28"/>
  <c r="H169" i="29" s="1"/>
  <c r="T169" i="28"/>
  <c r="U166" i="28"/>
  <c r="T208" i="25"/>
  <c r="B204" i="25"/>
  <c r="B212" i="25"/>
  <c r="S204" i="25"/>
  <c r="S212" i="25"/>
  <c r="B207" i="25"/>
  <c r="T204" i="25"/>
  <c r="I166" i="34"/>
  <c r="U400" i="31"/>
  <c r="Q398" i="31"/>
  <c r="U399" i="31"/>
  <c r="A397" i="31"/>
  <c r="S403" i="31"/>
  <c r="A412" i="33"/>
  <c r="C415" i="33"/>
  <c r="U354" i="31"/>
  <c r="A350" i="31"/>
  <c r="Q355" i="31"/>
  <c r="S351" i="31"/>
  <c r="W350" i="31"/>
  <c r="A353" i="31"/>
  <c r="T174" i="25"/>
  <c r="T165" i="25"/>
  <c r="A170" i="25"/>
  <c r="U168" i="25"/>
  <c r="Q170" i="25"/>
  <c r="T167" i="25"/>
  <c r="Q168" i="25"/>
  <c r="H430" i="33"/>
  <c r="C426" i="33"/>
  <c r="H298" i="23"/>
  <c r="C93" i="29"/>
  <c r="W160" i="30"/>
  <c r="A848" i="34"/>
  <c r="A149" i="28"/>
  <c r="A146" i="29" s="1"/>
  <c r="B153" i="28"/>
  <c r="C150" i="29" s="1"/>
  <c r="A152" i="28"/>
  <c r="B154" i="28"/>
  <c r="C151" i="29" s="1"/>
  <c r="S150" i="28"/>
  <c r="U149" i="28"/>
  <c r="A52" i="28"/>
  <c r="S50" i="28"/>
  <c r="Q52" i="28"/>
  <c r="U47" i="28"/>
  <c r="B54" i="28"/>
  <c r="F134" i="28"/>
  <c r="H131" i="29" s="1"/>
  <c r="F133" i="28"/>
  <c r="U134" i="28"/>
  <c r="F138" i="28"/>
  <c r="S133" i="28"/>
  <c r="A132" i="28"/>
  <c r="A129" i="29" s="1"/>
  <c r="B60" i="25"/>
  <c r="A53" i="25"/>
  <c r="T60" i="25"/>
  <c r="U51" i="25"/>
  <c r="Q53" i="25"/>
  <c r="S58" i="25"/>
  <c r="B51" i="25"/>
  <c r="Q60" i="25"/>
  <c r="S339" i="31"/>
  <c r="S333" i="31"/>
  <c r="U338" i="31"/>
  <c r="T333" i="31"/>
  <c r="T335" i="31"/>
  <c r="T334" i="31"/>
  <c r="F154" i="25"/>
  <c r="Q155" i="25"/>
  <c r="Q148" i="25"/>
  <c r="S152" i="25"/>
  <c r="U154" i="25"/>
  <c r="S148" i="25"/>
  <c r="A154" i="25"/>
  <c r="B153" i="25"/>
  <c r="T382" i="31"/>
  <c r="T381" i="31"/>
  <c r="B381" i="31"/>
  <c r="Q385" i="31"/>
  <c r="A387" i="31"/>
  <c r="A507" i="34"/>
  <c r="A95" i="25"/>
  <c r="S98" i="25"/>
  <c r="B95" i="25"/>
  <c r="U96" i="25"/>
  <c r="W93" i="25"/>
  <c r="A91" i="25"/>
  <c r="S95" i="25"/>
  <c r="U114" i="25"/>
  <c r="F114" i="25"/>
  <c r="A110" i="25"/>
  <c r="S108" i="25"/>
  <c r="U117" i="25"/>
  <c r="A111" i="25"/>
  <c r="U109" i="25"/>
  <c r="S117" i="25"/>
  <c r="F323" i="31"/>
  <c r="A319" i="31"/>
  <c r="B323" i="31"/>
  <c r="F321" i="31"/>
  <c r="U322" i="31"/>
  <c r="T320" i="31"/>
  <c r="B115" i="28"/>
  <c r="C332" i="23"/>
  <c r="S189" i="28"/>
  <c r="Q187" i="28"/>
  <c r="F189" i="28"/>
  <c r="B190" i="28"/>
  <c r="B184" i="28"/>
  <c r="C181" i="29" s="1"/>
  <c r="W185" i="28"/>
  <c r="A298" i="23"/>
  <c r="B166" i="28"/>
  <c r="S167" i="28"/>
  <c r="B167" i="28"/>
  <c r="C164" i="29" s="1"/>
  <c r="T170" i="28"/>
  <c r="Q172" i="28"/>
  <c r="T166" i="28"/>
  <c r="B206" i="25"/>
  <c r="T203" i="25"/>
  <c r="B208" i="25"/>
  <c r="F205" i="25"/>
  <c r="U206" i="25"/>
  <c r="Q203" i="25"/>
  <c r="C312" i="23"/>
  <c r="B185" i="28"/>
  <c r="F184" i="28"/>
  <c r="H181" i="29" s="1"/>
  <c r="Q190" i="28"/>
  <c r="S183" i="28"/>
  <c r="A189" i="28"/>
  <c r="A186" i="29" s="1"/>
  <c r="S186" i="28"/>
  <c r="H787" i="34"/>
  <c r="A778" i="34"/>
  <c r="U173" i="28"/>
  <c r="A167" i="28"/>
  <c r="A164" i="29" s="1"/>
  <c r="U170" i="28"/>
  <c r="A169" i="28"/>
  <c r="W168" i="28"/>
  <c r="W172" i="28"/>
  <c r="F212" i="25"/>
  <c r="A207" i="25"/>
  <c r="F203" i="25"/>
  <c r="A208" i="25"/>
  <c r="T206" i="25"/>
  <c r="U205" i="25"/>
  <c r="Q208" i="25"/>
  <c r="W278" i="30"/>
  <c r="S399" i="31"/>
  <c r="F402" i="31"/>
  <c r="Q401" i="31"/>
  <c r="W399" i="31"/>
  <c r="S400" i="31"/>
  <c r="Q400" i="31"/>
  <c r="A413" i="33"/>
  <c r="C412" i="33"/>
  <c r="A410" i="33"/>
  <c r="W300" i="30"/>
  <c r="A577" i="34"/>
  <c r="U353" i="31"/>
  <c r="S352" i="31"/>
  <c r="A355" i="31"/>
  <c r="U355" i="31"/>
  <c r="W353" i="31"/>
  <c r="Q353" i="31"/>
  <c r="B167" i="25"/>
  <c r="F172" i="25"/>
  <c r="B170" i="25"/>
  <c r="A169" i="25"/>
  <c r="U172" i="25"/>
  <c r="A167" i="25"/>
  <c r="T171" i="25"/>
  <c r="C429" i="33"/>
  <c r="A432" i="33"/>
  <c r="H431" i="33"/>
  <c r="H715" i="34"/>
  <c r="C251" i="23"/>
  <c r="W137" i="30"/>
  <c r="W275" i="30"/>
  <c r="B156" i="28"/>
  <c r="C153" i="29" s="1"/>
  <c r="T156" i="28"/>
  <c r="Q149" i="28"/>
  <c r="B155" i="28"/>
  <c r="B152" i="28"/>
  <c r="T155" i="28"/>
  <c r="P152" i="28"/>
  <c r="U52" i="28"/>
  <c r="A51" i="28"/>
  <c r="A48" i="29" s="1"/>
  <c r="W49" i="28"/>
  <c r="U48" i="28"/>
  <c r="T50" i="28"/>
  <c r="Q54" i="28"/>
  <c r="A50" i="28"/>
  <c r="F135" i="28"/>
  <c r="U135" i="28"/>
  <c r="B132" i="28"/>
  <c r="A138" i="28"/>
  <c r="A135" i="29" s="1"/>
  <c r="U138" i="28"/>
  <c r="T56" i="25"/>
  <c r="T51" i="25"/>
  <c r="F55" i="25"/>
  <c r="A57" i="25"/>
  <c r="U54" i="25"/>
  <c r="S57" i="25"/>
  <c r="Q58" i="25"/>
  <c r="H149" i="23"/>
  <c r="B189" i="28"/>
  <c r="T188" i="28"/>
  <c r="Q189" i="28"/>
  <c r="Q186" i="28"/>
  <c r="S185" i="28"/>
  <c r="C273" i="23"/>
  <c r="F168" i="28"/>
  <c r="H165" i="29" s="1"/>
  <c r="A168" i="28"/>
  <c r="Q169" i="28"/>
  <c r="T167" i="28"/>
  <c r="B168" i="28"/>
  <c r="W170" i="28"/>
  <c r="W173" i="28"/>
  <c r="Q212" i="25"/>
  <c r="U209" i="25"/>
  <c r="F206" i="25"/>
  <c r="A210" i="25"/>
  <c r="T210" i="25"/>
  <c r="F204" i="25"/>
  <c r="U204" i="25"/>
  <c r="S398" i="31"/>
  <c r="F397" i="31"/>
  <c r="A403" i="31"/>
  <c r="S401" i="31"/>
  <c r="A401" i="31"/>
  <c r="C414" i="33"/>
  <c r="C223" i="23"/>
  <c r="I85" i="23"/>
  <c r="I228" i="34"/>
  <c r="S350" i="31"/>
  <c r="U349" i="31"/>
  <c r="U351" i="31"/>
  <c r="B352" i="31"/>
  <c r="A351" i="31"/>
  <c r="Q350" i="31"/>
  <c r="U167" i="25"/>
  <c r="W167" i="25" s="1"/>
  <c r="U170" i="25"/>
  <c r="A172" i="25"/>
  <c r="T166" i="25"/>
  <c r="A171" i="25"/>
  <c r="T170" i="25"/>
  <c r="T173" i="25"/>
  <c r="W274" i="30"/>
  <c r="T183" i="28"/>
  <c r="S188" i="28"/>
  <c r="A183" i="28"/>
  <c r="U184" i="28"/>
  <c r="B188" i="28"/>
  <c r="H853" i="34"/>
  <c r="W204" i="30"/>
  <c r="T168" i="28"/>
  <c r="F167" i="28"/>
  <c r="Q168" i="28"/>
  <c r="S166" i="28"/>
  <c r="W166" i="28" s="1"/>
  <c r="Q171" i="28"/>
  <c r="F171" i="28"/>
  <c r="W169" i="28"/>
  <c r="S203" i="25"/>
  <c r="F207" i="25"/>
  <c r="T211" i="25"/>
  <c r="S208" i="25"/>
  <c r="F209" i="25"/>
  <c r="S210" i="25"/>
  <c r="Q206" i="25"/>
  <c r="H713" i="34"/>
  <c r="Q399" i="31"/>
  <c r="S397" i="31"/>
  <c r="B402" i="31"/>
  <c r="C399" i="33" s="1"/>
  <c r="B398" i="31"/>
  <c r="Q397" i="31"/>
  <c r="B403" i="31"/>
  <c r="I160" i="29"/>
  <c r="H410" i="33"/>
  <c r="H412" i="33"/>
  <c r="C204" i="23"/>
  <c r="H432" i="34"/>
  <c r="T350" i="31"/>
  <c r="Q351" i="31"/>
  <c r="F354" i="31"/>
  <c r="F350" i="31"/>
  <c r="B354" i="31"/>
  <c r="W351" i="31"/>
  <c r="F167" i="25"/>
  <c r="Q169" i="25"/>
  <c r="U165" i="25"/>
  <c r="F174" i="25"/>
  <c r="T169" i="25"/>
  <c r="S165" i="25"/>
  <c r="F173" i="25"/>
  <c r="C431" i="33"/>
  <c r="A426" i="33"/>
  <c r="A431" i="33"/>
  <c r="H427" i="33"/>
  <c r="W32" i="25"/>
  <c r="A243" i="23"/>
  <c r="F150" i="28"/>
  <c r="S152" i="28"/>
  <c r="Q153" i="28"/>
  <c r="F153" i="28"/>
  <c r="H150" i="29" s="1"/>
  <c r="Q156" i="28"/>
  <c r="F154" i="28"/>
  <c r="T48" i="28"/>
  <c r="T54" i="28"/>
  <c r="B53" i="28"/>
  <c r="A47" i="28"/>
  <c r="B47" i="28"/>
  <c r="S52" i="28"/>
  <c r="S48" i="28"/>
  <c r="B136" i="28"/>
  <c r="B137" i="28"/>
  <c r="B139" i="28"/>
  <c r="T132" i="28"/>
  <c r="S134" i="28"/>
  <c r="Q136" i="28"/>
  <c r="F56" i="25"/>
  <c r="U60" i="25"/>
  <c r="T54" i="25"/>
  <c r="U55" i="25"/>
  <c r="W55" i="25" s="1"/>
  <c r="F52" i="25"/>
  <c r="Q52" i="25"/>
  <c r="A56" i="25"/>
  <c r="W34" i="25"/>
  <c r="W277" i="30"/>
  <c r="U190" i="28"/>
  <c r="Q188" i="28"/>
  <c r="U186" i="28"/>
  <c r="F190" i="28"/>
  <c r="U189" i="28"/>
  <c r="T190" i="28"/>
  <c r="F173" i="28"/>
  <c r="H170" i="29" s="1"/>
  <c r="Q166" i="28"/>
  <c r="U169" i="28"/>
  <c r="B169" i="28"/>
  <c r="B170" i="28"/>
  <c r="F170" i="28"/>
  <c r="H167" i="29" s="1"/>
  <c r="W167" i="28"/>
  <c r="U210" i="25"/>
  <c r="F210" i="25"/>
  <c r="A209" i="25"/>
  <c r="Q209" i="25"/>
  <c r="A211" i="25"/>
  <c r="T207" i="25"/>
  <c r="A204" i="25"/>
  <c r="F398" i="31"/>
  <c r="F403" i="31"/>
  <c r="Q403" i="31"/>
  <c r="B399" i="31"/>
  <c r="U401" i="31"/>
  <c r="W401" i="31" s="1"/>
  <c r="T399" i="31"/>
  <c r="C411" i="33"/>
  <c r="A414" i="33"/>
  <c r="W205" i="30"/>
  <c r="A442" i="34"/>
  <c r="T352" i="31"/>
  <c r="T354" i="31"/>
  <c r="B355" i="31"/>
  <c r="Q352" i="31"/>
  <c r="A354" i="31"/>
  <c r="U174" i="25"/>
  <c r="A166" i="25"/>
  <c r="F170" i="25"/>
  <c r="F171" i="25"/>
  <c r="S166" i="25"/>
  <c r="U166" i="25"/>
  <c r="B174" i="25"/>
  <c r="C428" i="33"/>
  <c r="C432" i="33"/>
  <c r="C427" i="33"/>
  <c r="H373" i="34"/>
  <c r="Q152" i="28"/>
  <c r="T151" i="28"/>
  <c r="S149" i="28"/>
  <c r="F149" i="28"/>
  <c r="S154" i="28"/>
  <c r="B151" i="28"/>
  <c r="C148" i="29" s="1"/>
  <c r="S53" i="28"/>
  <c r="B51" i="28"/>
  <c r="Q47" i="28"/>
  <c r="T47" i="28"/>
  <c r="F52" i="28"/>
  <c r="F54" i="28"/>
  <c r="F53" i="28"/>
  <c r="S137" i="28"/>
  <c r="T138" i="28"/>
  <c r="Q134" i="28"/>
  <c r="Q139" i="28"/>
  <c r="A133" i="28"/>
  <c r="A130" i="29" s="1"/>
  <c r="S138" i="28"/>
  <c r="W138" i="28" s="1"/>
  <c r="U53" i="25"/>
  <c r="S56" i="25"/>
  <c r="A52" i="25"/>
  <c r="Q57" i="25"/>
  <c r="S52" i="25"/>
  <c r="A51" i="25"/>
  <c r="F58" i="25"/>
  <c r="B339" i="31"/>
  <c r="Q335" i="31"/>
  <c r="Q338" i="31"/>
  <c r="W338" i="31"/>
  <c r="U336" i="31"/>
  <c r="S150" i="25"/>
  <c r="U148" i="25"/>
  <c r="W148" i="25" s="1"/>
  <c r="T150" i="25"/>
  <c r="F155" i="25"/>
  <c r="F153" i="25"/>
  <c r="Q151" i="25"/>
  <c r="S151" i="25"/>
  <c r="W151" i="25" s="1"/>
  <c r="B384" i="31"/>
  <c r="W382" i="31"/>
  <c r="T386" i="31"/>
  <c r="U384" i="31"/>
  <c r="U385" i="31"/>
  <c r="F95" i="25"/>
  <c r="A92" i="25"/>
  <c r="F97" i="25"/>
  <c r="S94" i="25"/>
  <c r="Q92" i="25"/>
  <c r="Q90" i="25"/>
  <c r="T90" i="25"/>
  <c r="Q98" i="25"/>
  <c r="S110" i="25"/>
  <c r="A109" i="25"/>
  <c r="T115" i="25"/>
  <c r="F112" i="25"/>
  <c r="T116" i="25"/>
  <c r="B116" i="25"/>
  <c r="B110" i="25"/>
  <c r="A111" i="34"/>
  <c r="A322" i="31"/>
  <c r="U321" i="31"/>
  <c r="S320" i="31"/>
  <c r="A321" i="31"/>
  <c r="B321" i="31"/>
  <c r="Q323" i="31"/>
  <c r="B119" i="28"/>
  <c r="U118" i="28"/>
  <c r="F119" i="28"/>
  <c r="H116" i="29" s="1"/>
  <c r="U117" i="28"/>
  <c r="T121" i="28"/>
  <c r="F116" i="28"/>
  <c r="A105" i="34"/>
  <c r="W355" i="31"/>
  <c r="Q171" i="25"/>
  <c r="C436" i="34"/>
  <c r="A251" i="23"/>
  <c r="S151" i="28"/>
  <c r="P50" i="28"/>
  <c r="T49" i="28"/>
  <c r="S135" i="28"/>
  <c r="W134" i="28"/>
  <c r="B52" i="25"/>
  <c r="U58" i="25"/>
  <c r="F336" i="31"/>
  <c r="F339" i="31"/>
  <c r="W339" i="31"/>
  <c r="Q152" i="25"/>
  <c r="T149" i="25"/>
  <c r="F150" i="25"/>
  <c r="W386" i="31"/>
  <c r="F387" i="31"/>
  <c r="I235" i="34"/>
  <c r="F92" i="25"/>
  <c r="B89" i="25"/>
  <c r="U95" i="25"/>
  <c r="U89" i="25"/>
  <c r="T112" i="25"/>
  <c r="U113" i="25"/>
  <c r="F117" i="25"/>
  <c r="U115" i="25"/>
  <c r="Q319" i="31"/>
  <c r="W322" i="31"/>
  <c r="F320" i="31"/>
  <c r="F322" i="31"/>
  <c r="T318" i="31"/>
  <c r="U116" i="28"/>
  <c r="B116" i="28"/>
  <c r="Q118" i="28"/>
  <c r="T118" i="28"/>
  <c r="S119" i="28"/>
  <c r="S365" i="31"/>
  <c r="T368" i="31"/>
  <c r="B368" i="31"/>
  <c r="T193" i="25"/>
  <c r="B187" i="25"/>
  <c r="U187" i="25"/>
  <c r="F192" i="25"/>
  <c r="B184" i="25"/>
  <c r="F188" i="25"/>
  <c r="T187" i="25"/>
  <c r="U132" i="25"/>
  <c r="S135" i="25"/>
  <c r="T133" i="25"/>
  <c r="Q136" i="25"/>
  <c r="F134" i="25"/>
  <c r="S127" i="25"/>
  <c r="F136" i="25"/>
  <c r="F104" i="28"/>
  <c r="B104" i="28"/>
  <c r="S105" i="28"/>
  <c r="U101" i="28"/>
  <c r="T99" i="28"/>
  <c r="P100" i="28"/>
  <c r="B73" i="25"/>
  <c r="B79" i="25"/>
  <c r="U72" i="25"/>
  <c r="F73" i="25"/>
  <c r="S79" i="25"/>
  <c r="Q77" i="25"/>
  <c r="B84" i="28"/>
  <c r="A88" i="28"/>
  <c r="B88" i="28"/>
  <c r="Q81" i="28"/>
  <c r="F87" i="28"/>
  <c r="A67" i="28"/>
  <c r="S70" i="28"/>
  <c r="S68" i="28"/>
  <c r="Q66" i="28"/>
  <c r="U71" i="28"/>
  <c r="S69" i="28"/>
  <c r="A212" i="25"/>
  <c r="T351" i="31"/>
  <c r="Q165" i="25"/>
  <c r="H426" i="33"/>
  <c r="A427" i="33"/>
  <c r="H428" i="33"/>
  <c r="Q154" i="28"/>
  <c r="A49" i="28"/>
  <c r="B138" i="28"/>
  <c r="C135" i="29" s="1"/>
  <c r="W132" i="28"/>
  <c r="Q54" i="25"/>
  <c r="B59" i="25"/>
  <c r="T57" i="25"/>
  <c r="Q339" i="31"/>
  <c r="A339" i="31"/>
  <c r="F338" i="31"/>
  <c r="U146" i="25"/>
  <c r="W146" i="25" s="1"/>
  <c r="A148" i="25"/>
  <c r="B146" i="25"/>
  <c r="T147" i="25"/>
  <c r="A381" i="31"/>
  <c r="A384" i="31"/>
  <c r="B91" i="25"/>
  <c r="B97" i="25"/>
  <c r="F89" i="25"/>
  <c r="B92" i="25"/>
  <c r="Q113" i="25"/>
  <c r="S114" i="25"/>
  <c r="B112" i="25"/>
  <c r="W114" i="25"/>
  <c r="B318" i="31"/>
  <c r="U317" i="31"/>
  <c r="S318" i="31"/>
  <c r="P117" i="28"/>
  <c r="S115" i="28"/>
  <c r="A120" i="28"/>
  <c r="Q115" i="28"/>
  <c r="Q119" i="28"/>
  <c r="T365" i="31"/>
  <c r="Q371" i="31"/>
  <c r="B367" i="31"/>
  <c r="F366" i="31"/>
  <c r="T369" i="31"/>
  <c r="A185" i="25"/>
  <c r="B185" i="25"/>
  <c r="Q186" i="25"/>
  <c r="A187" i="25"/>
  <c r="F189" i="25"/>
  <c r="Q189" i="25"/>
  <c r="U193" i="25"/>
  <c r="F130" i="25"/>
  <c r="B135" i="25"/>
  <c r="Q133" i="25"/>
  <c r="B136" i="25"/>
  <c r="T128" i="25"/>
  <c r="F131" i="25"/>
  <c r="A129" i="25"/>
  <c r="T101" i="28"/>
  <c r="A101" i="28"/>
  <c r="U100" i="28"/>
  <c r="F98" i="28"/>
  <c r="T98" i="28"/>
  <c r="F101" i="28"/>
  <c r="B98" i="28"/>
  <c r="Q75" i="25"/>
  <c r="T78" i="25"/>
  <c r="F78" i="25"/>
  <c r="T73" i="25"/>
  <c r="T72" i="25"/>
  <c r="B77" i="25"/>
  <c r="F75" i="25"/>
  <c r="T85" i="28"/>
  <c r="F86" i="28"/>
  <c r="U84" i="28"/>
  <c r="W84" i="28"/>
  <c r="U88" i="28"/>
  <c r="S83" i="28"/>
  <c r="S81" i="28"/>
  <c r="B69" i="28"/>
  <c r="A69" i="28"/>
  <c r="Q70" i="28"/>
  <c r="B71" i="28"/>
  <c r="B67" i="28"/>
  <c r="H179" i="23"/>
  <c r="Q349" i="31"/>
  <c r="S170" i="25"/>
  <c r="C203" i="23"/>
  <c r="Q150" i="28"/>
  <c r="U152" i="28"/>
  <c r="W53" i="28"/>
  <c r="U137" i="28"/>
  <c r="F132" i="28"/>
  <c r="B58" i="25"/>
  <c r="F53" i="25"/>
  <c r="B336" i="31"/>
  <c r="Q337" i="31"/>
  <c r="H372" i="34"/>
  <c r="U149" i="25"/>
  <c r="S153" i="25"/>
  <c r="W153" i="25" s="1"/>
  <c r="A152" i="25"/>
  <c r="S384" i="31"/>
  <c r="B387" i="31"/>
  <c r="S91" i="25"/>
  <c r="T92" i="25"/>
  <c r="B98" i="25"/>
  <c r="S92" i="25"/>
  <c r="A108" i="25"/>
  <c r="T117" i="25"/>
  <c r="F116" i="25"/>
  <c r="T113" i="25"/>
  <c r="B111" i="25"/>
  <c r="S319" i="31"/>
  <c r="T319" i="31"/>
  <c r="T321" i="31"/>
  <c r="B322" i="31"/>
  <c r="Q317" i="31"/>
  <c r="A121" i="28"/>
  <c r="B118" i="28"/>
  <c r="A115" i="28"/>
  <c r="A122" i="28"/>
  <c r="Q369" i="31"/>
  <c r="A369" i="31"/>
  <c r="S369" i="31"/>
  <c r="F367" i="31"/>
  <c r="B366" i="31"/>
  <c r="S191" i="25"/>
  <c r="U191" i="25"/>
  <c r="W191" i="25" s="1"/>
  <c r="S193" i="25"/>
  <c r="Q187" i="25"/>
  <c r="B189" i="25"/>
  <c r="Q188" i="25"/>
  <c r="Q191" i="25"/>
  <c r="Q130" i="25"/>
  <c r="A131" i="25"/>
  <c r="S132" i="25"/>
  <c r="T127" i="25"/>
  <c r="F128" i="25"/>
  <c r="Q129" i="25"/>
  <c r="T129" i="25"/>
  <c r="B105" i="28"/>
  <c r="A100" i="28"/>
  <c r="Q104" i="28"/>
  <c r="T105" i="28"/>
  <c r="U103" i="28"/>
  <c r="Q74" i="25"/>
  <c r="U71" i="25"/>
  <c r="Q79" i="25"/>
  <c r="A72" i="25"/>
  <c r="F71" i="25"/>
  <c r="F72" i="25"/>
  <c r="F77" i="25"/>
  <c r="T87" i="28"/>
  <c r="T88" i="28"/>
  <c r="A86" i="28"/>
  <c r="W83" i="28"/>
  <c r="T81" i="28"/>
  <c r="B82" i="28"/>
  <c r="U83" i="28"/>
  <c r="F65" i="28"/>
  <c r="B64" i="28"/>
  <c r="U69" i="28"/>
  <c r="Q71" i="28"/>
  <c r="B66" i="28"/>
  <c r="F67" i="28"/>
  <c r="T397" i="31"/>
  <c r="S172" i="25"/>
  <c r="H429" i="33"/>
  <c r="A430" i="33"/>
  <c r="A429" i="33"/>
  <c r="U155" i="28"/>
  <c r="F152" i="28"/>
  <c r="H149" i="29" s="1"/>
  <c r="Q49" i="28"/>
  <c r="A53" i="28"/>
  <c r="U133" i="28"/>
  <c r="A136" i="28"/>
  <c r="A59" i="25"/>
  <c r="U56" i="25"/>
  <c r="W56" i="25" s="1"/>
  <c r="A55" i="25"/>
  <c r="B337" i="31"/>
  <c r="S335" i="31"/>
  <c r="B150" i="25"/>
  <c r="A155" i="25"/>
  <c r="A153" i="25"/>
  <c r="Q381" i="31"/>
  <c r="Q386" i="31"/>
  <c r="A93" i="25"/>
  <c r="F94" i="25"/>
  <c r="U94" i="25"/>
  <c r="W94" i="25"/>
  <c r="Q112" i="25"/>
  <c r="A117" i="25"/>
  <c r="Q116" i="25"/>
  <c r="B113" i="25"/>
  <c r="F113" i="25"/>
  <c r="F317" i="31"/>
  <c r="A323" i="31"/>
  <c r="T323" i="31"/>
  <c r="Q120" i="28"/>
  <c r="W118" i="28"/>
  <c r="U119" i="28"/>
  <c r="W119" i="28" s="1"/>
  <c r="S121" i="28"/>
  <c r="F121" i="28"/>
  <c r="B370" i="31"/>
  <c r="Q367" i="31"/>
  <c r="S370" i="31"/>
  <c r="U367" i="31"/>
  <c r="F184" i="25"/>
  <c r="A184" i="25"/>
  <c r="S188" i="25"/>
  <c r="F185" i="25"/>
  <c r="Q190" i="25"/>
  <c r="A190" i="25"/>
  <c r="A191" i="25"/>
  <c r="B127" i="25"/>
  <c r="A130" i="25"/>
  <c r="T132" i="25"/>
  <c r="S133" i="25"/>
  <c r="S136" i="25"/>
  <c r="Q127" i="25"/>
  <c r="U134" i="25"/>
  <c r="Q102" i="28"/>
  <c r="W101" i="28"/>
  <c r="Q99" i="28"/>
  <c r="Q98" i="28"/>
  <c r="S98" i="28"/>
  <c r="Q101" i="28"/>
  <c r="S78" i="25"/>
  <c r="F70" i="25"/>
  <c r="S73" i="25"/>
  <c r="A79" i="25"/>
  <c r="S76" i="25"/>
  <c r="F79" i="25"/>
  <c r="T71" i="25"/>
  <c r="F85" i="28"/>
  <c r="U81" i="28"/>
  <c r="T84" i="28"/>
  <c r="S82" i="28"/>
  <c r="B86" i="28"/>
  <c r="Q88" i="28"/>
  <c r="A504" i="34"/>
  <c r="W67" i="28"/>
  <c r="B65" i="28"/>
  <c r="S71" i="28"/>
  <c r="Q68" i="28"/>
  <c r="T71" i="28"/>
  <c r="W71" i="28"/>
  <c r="Q69" i="28"/>
  <c r="W398" i="31"/>
  <c r="S168" i="25"/>
  <c r="W165" i="25"/>
  <c r="W223" i="30"/>
  <c r="A571" i="34"/>
  <c r="W151" i="28"/>
  <c r="U156" i="28"/>
  <c r="W252" i="30"/>
  <c r="S54" i="28"/>
  <c r="F139" i="28"/>
  <c r="H136" i="29" s="1"/>
  <c r="P134" i="28"/>
  <c r="T52" i="25"/>
  <c r="F51" i="25"/>
  <c r="A335" i="31"/>
  <c r="F335" i="31"/>
  <c r="T338" i="31"/>
  <c r="S155" i="25"/>
  <c r="Q154" i="25"/>
  <c r="B147" i="25"/>
  <c r="F152" i="25"/>
  <c r="A383" i="31"/>
  <c r="A386" i="31"/>
  <c r="W227" i="30"/>
  <c r="Q97" i="25"/>
  <c r="A98" i="25"/>
  <c r="Q94" i="25"/>
  <c r="T95" i="25"/>
  <c r="S90" i="25"/>
  <c r="B117" i="25"/>
  <c r="F110" i="25"/>
  <c r="T111" i="25"/>
  <c r="Q114" i="25"/>
  <c r="B317" i="31"/>
  <c r="U318" i="31"/>
  <c r="U320" i="31"/>
  <c r="U319" i="31"/>
  <c r="F115" i="28"/>
  <c r="S117" i="28"/>
  <c r="F120" i="28"/>
  <c r="T122" i="28"/>
  <c r="S116" i="28"/>
  <c r="U365" i="31"/>
  <c r="W365" i="31" s="1"/>
  <c r="T367" i="31"/>
  <c r="U370" i="31"/>
  <c r="S368" i="31"/>
  <c r="U371" i="31"/>
  <c r="Q185" i="25"/>
  <c r="F193" i="25"/>
  <c r="A186" i="25"/>
  <c r="B191" i="25"/>
  <c r="F191" i="25"/>
  <c r="Q193" i="25"/>
  <c r="U190" i="25"/>
  <c r="W193" i="25"/>
  <c r="U130" i="25"/>
  <c r="T131" i="25"/>
  <c r="Q134" i="25"/>
  <c r="S128" i="25"/>
  <c r="T134" i="25"/>
  <c r="A128" i="25"/>
  <c r="B132" i="25"/>
  <c r="F132" i="25"/>
  <c r="T103" i="28"/>
  <c r="S99" i="28"/>
  <c r="F105" i="28"/>
  <c r="A98" i="28"/>
  <c r="U105" i="28"/>
  <c r="W105" i="28" s="1"/>
  <c r="A103" i="28"/>
  <c r="A77" i="25"/>
  <c r="U77" i="25"/>
  <c r="B71" i="25"/>
  <c r="A73" i="25"/>
  <c r="Q71" i="25"/>
  <c r="U79" i="25"/>
  <c r="U78" i="25"/>
  <c r="T77" i="25"/>
  <c r="U82" i="28"/>
  <c r="W82" i="28" s="1"/>
  <c r="A84" i="28"/>
  <c r="U85" i="28"/>
  <c r="A85" i="28"/>
  <c r="S86" i="28"/>
  <c r="S85" i="28"/>
  <c r="A150" i="23"/>
  <c r="U398" i="31"/>
  <c r="F165" i="25"/>
  <c r="A173" i="25"/>
  <c r="A151" i="28"/>
  <c r="Q151" i="28"/>
  <c r="U50" i="28"/>
  <c r="Q51" i="28"/>
  <c r="B134" i="28"/>
  <c r="T139" i="28"/>
  <c r="Q55" i="25"/>
  <c r="B54" i="25"/>
  <c r="Q334" i="31"/>
  <c r="T337" i="31"/>
  <c r="S338" i="31"/>
  <c r="Q149" i="25"/>
  <c r="U155" i="25"/>
  <c r="T154" i="25"/>
  <c r="Q146" i="25"/>
  <c r="Q382" i="31"/>
  <c r="F382" i="31"/>
  <c r="U387" i="31"/>
  <c r="S96" i="25"/>
  <c r="Q95" i="25"/>
  <c r="T89" i="25"/>
  <c r="A97" i="25"/>
  <c r="Q93" i="25"/>
  <c r="U110" i="25"/>
  <c r="F109" i="25"/>
  <c r="T108" i="25"/>
  <c r="B109" i="25"/>
  <c r="B320" i="31"/>
  <c r="A318" i="31"/>
  <c r="A320" i="31"/>
  <c r="Q321" i="31"/>
  <c r="U121" i="28"/>
  <c r="F118" i="28"/>
  <c r="A118" i="28"/>
  <c r="W121" i="28"/>
  <c r="F117" i="28"/>
  <c r="F368" i="31"/>
  <c r="Q368" i="31"/>
  <c r="U369" i="31"/>
  <c r="W369" i="31" s="1"/>
  <c r="F371" i="31"/>
  <c r="S367" i="31"/>
  <c r="S185" i="25"/>
  <c r="A189" i="25"/>
  <c r="B192" i="25"/>
  <c r="S189" i="25"/>
  <c r="S190" i="25"/>
  <c r="W190" i="25" s="1"/>
  <c r="S187" i="25"/>
  <c r="W187" i="25" s="1"/>
  <c r="U189" i="25"/>
  <c r="B134" i="25"/>
  <c r="U129" i="25"/>
  <c r="U127" i="25"/>
  <c r="W127" i="25" s="1"/>
  <c r="Q128" i="25"/>
  <c r="S131" i="25"/>
  <c r="A136" i="25"/>
  <c r="U136" i="25"/>
  <c r="F99" i="28"/>
  <c r="S100" i="28"/>
  <c r="B101" i="28"/>
  <c r="S103" i="28"/>
  <c r="W103" i="28" s="1"/>
  <c r="W100" i="28"/>
  <c r="U102" i="28"/>
  <c r="A74" i="25"/>
  <c r="Q73" i="25"/>
  <c r="B76" i="25"/>
  <c r="B70" i="25"/>
  <c r="U74" i="25"/>
  <c r="Q78" i="25"/>
  <c r="B74" i="25"/>
  <c r="U76" i="25"/>
  <c r="A81" i="28"/>
  <c r="F84" i="28"/>
  <c r="Q84" i="28"/>
  <c r="B87" i="28"/>
  <c r="S88" i="28"/>
  <c r="T86" i="28"/>
  <c r="A498" i="34"/>
  <c r="F68" i="28"/>
  <c r="P67" i="28"/>
  <c r="S64" i="28"/>
  <c r="U68" i="28"/>
  <c r="S66" i="28"/>
  <c r="F66" i="28"/>
  <c r="W69" i="28"/>
  <c r="A399" i="31"/>
  <c r="U352" i="31"/>
  <c r="S173" i="25"/>
  <c r="Q172" i="25"/>
  <c r="W37" i="25"/>
  <c r="A289" i="23"/>
  <c r="A155" i="28"/>
  <c r="F156" i="28"/>
  <c r="H153" i="29" s="1"/>
  <c r="S49" i="28"/>
  <c r="T52" i="28"/>
  <c r="S136" i="28"/>
  <c r="W136" i="28" s="1"/>
  <c r="F136" i="28"/>
  <c r="F59" i="25"/>
  <c r="B53" i="25"/>
  <c r="F337" i="31"/>
  <c r="B335" i="31"/>
  <c r="B334" i="31"/>
  <c r="Q150" i="25"/>
  <c r="T155" i="25"/>
  <c r="B155" i="25"/>
  <c r="S154" i="25"/>
  <c r="W154" i="25" s="1"/>
  <c r="B385" i="31"/>
  <c r="Q384" i="31"/>
  <c r="A385" i="31"/>
  <c r="T97" i="25"/>
  <c r="B96" i="25"/>
  <c r="A96" i="25"/>
  <c r="F90" i="25"/>
  <c r="U98" i="25"/>
  <c r="A113" i="25"/>
  <c r="A114" i="25"/>
  <c r="S116" i="25"/>
  <c r="F111" i="25"/>
  <c r="S317" i="31"/>
  <c r="Q320" i="31"/>
  <c r="S322" i="31"/>
  <c r="A117" i="28"/>
  <c r="Q117" i="28"/>
  <c r="B122" i="28"/>
  <c r="W117" i="28"/>
  <c r="U368" i="31"/>
  <c r="B369" i="31"/>
  <c r="A367" i="31"/>
  <c r="W366" i="31"/>
  <c r="A365" i="31"/>
  <c r="U188" i="25"/>
  <c r="W188" i="25" s="1"/>
  <c r="U186" i="25"/>
  <c r="S186" i="25"/>
  <c r="S184" i="25"/>
  <c r="B188" i="25"/>
  <c r="F187" i="25"/>
  <c r="A192" i="25"/>
  <c r="W189" i="25"/>
  <c r="S134" i="25"/>
  <c r="B128" i="25"/>
  <c r="Q135" i="25"/>
  <c r="U133" i="25"/>
  <c r="A127" i="25"/>
  <c r="T136" i="25"/>
  <c r="S129" i="25"/>
  <c r="W129" i="25" s="1"/>
  <c r="T104" i="28"/>
  <c r="B103" i="28"/>
  <c r="A105" i="28"/>
  <c r="Q100" i="28"/>
  <c r="U98" i="28"/>
  <c r="B78" i="25"/>
  <c r="Q76" i="25"/>
  <c r="S75" i="25"/>
  <c r="S70" i="25"/>
  <c r="F74" i="25"/>
  <c r="A70" i="25"/>
  <c r="S77" i="25"/>
  <c r="Q82" i="28"/>
  <c r="S87" i="28"/>
  <c r="F81" i="28"/>
  <c r="F88" i="28"/>
  <c r="U86" i="28"/>
  <c r="P84" i="28"/>
  <c r="U65" i="28"/>
  <c r="F69" i="28"/>
  <c r="U67" i="28"/>
  <c r="W66" i="28"/>
  <c r="B70" i="28"/>
  <c r="Q64" i="28"/>
  <c r="U64" i="28"/>
  <c r="W64" i="28" s="1"/>
  <c r="U397" i="31"/>
  <c r="U350" i="31"/>
  <c r="B169" i="25"/>
  <c r="S169" i="25"/>
  <c r="W131" i="30"/>
  <c r="S155" i="28"/>
  <c r="S156" i="28"/>
  <c r="W50" i="28"/>
  <c r="U51" i="28"/>
  <c r="W51" i="28" s="1"/>
  <c r="A48" i="28"/>
  <c r="Q135" i="28"/>
  <c r="B133" i="28"/>
  <c r="U52" i="25"/>
  <c r="U334" i="31"/>
  <c r="Q336" i="31"/>
  <c r="A336" i="31"/>
  <c r="U150" i="25"/>
  <c r="T153" i="25"/>
  <c r="A151" i="25"/>
  <c r="U152" i="25"/>
  <c r="Q383" i="31"/>
  <c r="U386" i="31"/>
  <c r="F381" i="31"/>
  <c r="C343" i="33"/>
  <c r="U91" i="25"/>
  <c r="T98" i="25"/>
  <c r="W96" i="25"/>
  <c r="F93" i="25"/>
  <c r="U90" i="25"/>
  <c r="T109" i="25"/>
  <c r="B114" i="25"/>
  <c r="T110" i="25"/>
  <c r="S115" i="25"/>
  <c r="F318" i="31"/>
  <c r="B319" i="31"/>
  <c r="Q322" i="31"/>
  <c r="P118" i="28"/>
  <c r="T120" i="28"/>
  <c r="F122" i="28"/>
  <c r="B117" i="28"/>
  <c r="Q116" i="28"/>
  <c r="Q365" i="31"/>
  <c r="T370" i="31"/>
  <c r="T366" i="31"/>
  <c r="W368" i="31"/>
  <c r="F369" i="31"/>
  <c r="A188" i="25"/>
  <c r="T185" i="25"/>
  <c r="B190" i="25"/>
  <c r="Q192" i="25"/>
  <c r="T189" i="25"/>
  <c r="T186" i="25"/>
  <c r="U184" i="25"/>
  <c r="W186" i="25"/>
  <c r="Q131" i="25"/>
  <c r="B130" i="25"/>
  <c r="S130" i="25"/>
  <c r="T130" i="25"/>
  <c r="B129" i="25"/>
  <c r="A134" i="25"/>
  <c r="U128" i="25"/>
  <c r="W132" i="25"/>
  <c r="Q105" i="28"/>
  <c r="U104" i="28"/>
  <c r="F103" i="28"/>
  <c r="A102" i="28"/>
  <c r="B100" i="28"/>
  <c r="S104" i="28"/>
  <c r="T79" i="25"/>
  <c r="U75" i="25"/>
  <c r="W75" i="25" s="1"/>
  <c r="T76" i="25"/>
  <c r="U73" i="25"/>
  <c r="F76" i="25"/>
  <c r="S72" i="25"/>
  <c r="A75" i="25"/>
  <c r="T82" i="28"/>
  <c r="Q85" i="28"/>
  <c r="F83" i="28"/>
  <c r="U87" i="28"/>
  <c r="B85" i="28"/>
  <c r="F82" i="28"/>
  <c r="C226" i="23"/>
  <c r="A68" i="28"/>
  <c r="T70" i="28"/>
  <c r="Q65" i="28"/>
  <c r="T69" i="28"/>
  <c r="T65" i="28"/>
  <c r="A70" i="28"/>
  <c r="B351" i="31"/>
  <c r="F166" i="25"/>
  <c r="B166" i="25"/>
  <c r="H432" i="33"/>
  <c r="A153" i="28"/>
  <c r="A150" i="29" s="1"/>
  <c r="W153" i="28"/>
  <c r="B48" i="28"/>
  <c r="T51" i="28"/>
  <c r="S47" i="28"/>
  <c r="W47" i="28" s="1"/>
  <c r="Q137" i="28"/>
  <c r="T134" i="28"/>
  <c r="F57" i="25"/>
  <c r="W60" i="25"/>
  <c r="U335" i="31"/>
  <c r="B333" i="31"/>
  <c r="T339" i="31"/>
  <c r="F149" i="25"/>
  <c r="B151" i="25"/>
  <c r="F148" i="25"/>
  <c r="T148" i="25"/>
  <c r="T387" i="31"/>
  <c r="F383" i="31"/>
  <c r="B382" i="31"/>
  <c r="F98" i="25"/>
  <c r="F96" i="25"/>
  <c r="S89" i="25"/>
  <c r="A94" i="25"/>
  <c r="Q115" i="25"/>
  <c r="A116" i="25"/>
  <c r="Q111" i="25"/>
  <c r="U108" i="25"/>
  <c r="W108" i="25" s="1"/>
  <c r="T317" i="31"/>
  <c r="S321" i="31"/>
  <c r="W321" i="31" s="1"/>
  <c r="A119" i="28"/>
  <c r="T115" i="28"/>
  <c r="T116" i="28"/>
  <c r="Q121" i="28"/>
  <c r="Q122" i="28"/>
  <c r="W182" i="30"/>
  <c r="A368" i="31"/>
  <c r="S371" i="31"/>
  <c r="T371" i="31"/>
  <c r="A371" i="31"/>
  <c r="B371" i="31"/>
  <c r="B186" i="25"/>
  <c r="T190" i="25"/>
  <c r="A193" i="25"/>
  <c r="F186" i="25"/>
  <c r="T191" i="25"/>
  <c r="T192" i="25"/>
  <c r="Q184" i="25"/>
  <c r="A132" i="25"/>
  <c r="F135" i="25"/>
  <c r="B133" i="25"/>
  <c r="B131" i="25"/>
  <c r="Q132" i="25"/>
  <c r="U135" i="25"/>
  <c r="W135" i="25" s="1"/>
  <c r="W136" i="25"/>
  <c r="A125" i="23"/>
  <c r="B102" i="28"/>
  <c r="B99" i="28"/>
  <c r="A99" i="28"/>
  <c r="A104" i="28"/>
  <c r="T102" i="28"/>
  <c r="U99" i="28"/>
  <c r="W99" i="28" s="1"/>
  <c r="T74" i="25"/>
  <c r="T75" i="25"/>
  <c r="U70" i="25"/>
  <c r="A71" i="25"/>
  <c r="Q70" i="25"/>
  <c r="Q72" i="25"/>
  <c r="B72" i="25"/>
  <c r="A82" i="28"/>
  <c r="Q87" i="28"/>
  <c r="Q83" i="28"/>
  <c r="S84" i="28"/>
  <c r="A83" i="28"/>
  <c r="W86" i="28"/>
  <c r="C509" i="34"/>
  <c r="C177" i="23"/>
  <c r="T67" i="28"/>
  <c r="F70" i="28"/>
  <c r="B68" i="28"/>
  <c r="A71" i="28"/>
  <c r="A64" i="28"/>
  <c r="F71" i="28"/>
  <c r="H415" i="33"/>
  <c r="H416" i="33"/>
  <c r="C410" i="33"/>
  <c r="F355" i="31"/>
  <c r="B168" i="25"/>
  <c r="A783" i="34"/>
  <c r="B149" i="28"/>
  <c r="P151" i="28"/>
  <c r="A54" i="28"/>
  <c r="A51" i="29" s="1"/>
  <c r="A137" i="28"/>
  <c r="S139" i="28"/>
  <c r="W139" i="28" s="1"/>
  <c r="B55" i="25"/>
  <c r="B338" i="31"/>
  <c r="S334" i="31"/>
  <c r="W333" i="31"/>
  <c r="A147" i="25"/>
  <c r="W150" i="25"/>
  <c r="T146" i="25"/>
  <c r="W155" i="25"/>
  <c r="U382" i="31"/>
  <c r="Q387" i="31"/>
  <c r="F384" i="31"/>
  <c r="T93" i="25"/>
  <c r="T91" i="25"/>
  <c r="Q96" i="25"/>
  <c r="U97" i="25"/>
  <c r="S109" i="25"/>
  <c r="S111" i="25"/>
  <c r="B115" i="25"/>
  <c r="U116" i="25"/>
  <c r="W318" i="31"/>
  <c r="A317" i="31"/>
  <c r="Q318" i="31"/>
  <c r="F319" i="31"/>
  <c r="T322" i="31"/>
  <c r="A116" i="28"/>
  <c r="S118" i="28"/>
  <c r="S120" i="28"/>
  <c r="T119" i="28"/>
  <c r="S122" i="28"/>
  <c r="H575" i="34"/>
  <c r="A370" i="31"/>
  <c r="Q366" i="31"/>
  <c r="S366" i="31"/>
  <c r="B365" i="31"/>
  <c r="Q370" i="31"/>
  <c r="T184" i="25"/>
  <c r="B193" i="25"/>
  <c r="U185" i="25"/>
  <c r="W185" i="25" s="1"/>
  <c r="U192" i="25"/>
  <c r="T188" i="25"/>
  <c r="W184" i="25"/>
  <c r="S192" i="25"/>
  <c r="W192" i="25" s="1"/>
  <c r="A133" i="25"/>
  <c r="A135" i="25"/>
  <c r="F127" i="25"/>
  <c r="U131" i="25"/>
  <c r="T135" i="25"/>
  <c r="F133" i="25"/>
  <c r="F129" i="25"/>
  <c r="S102" i="28"/>
  <c r="Q103" i="28"/>
  <c r="F100" i="28"/>
  <c r="S101" i="28"/>
  <c r="T100" i="28"/>
  <c r="P101" i="28"/>
  <c r="F102" i="28"/>
  <c r="S71" i="25"/>
  <c r="W71" i="25" s="1"/>
  <c r="A76" i="25"/>
  <c r="A78" i="25"/>
  <c r="S74" i="25"/>
  <c r="W74" i="25" s="1"/>
  <c r="T70" i="25"/>
  <c r="B75" i="25"/>
  <c r="W72" i="25"/>
  <c r="B83" i="28"/>
  <c r="B81" i="28"/>
  <c r="A87" i="28"/>
  <c r="P83" i="28"/>
  <c r="Q86" i="28"/>
  <c r="T83" i="28"/>
  <c r="H160" i="23"/>
  <c r="T64" i="28"/>
  <c r="S67" i="28"/>
  <c r="F64" i="28"/>
  <c r="U66" i="28"/>
  <c r="S65" i="28"/>
  <c r="P66" i="28"/>
  <c r="U70" i="28"/>
  <c r="P228" i="30"/>
  <c r="I86" i="23"/>
  <c r="W90" i="25"/>
  <c r="H98" i="29"/>
  <c r="C241" i="34"/>
  <c r="H365" i="33"/>
  <c r="A1787" i="34"/>
  <c r="A990" i="34"/>
  <c r="H725" i="34"/>
  <c r="J397" i="34"/>
  <c r="C1925" i="34"/>
  <c r="Q244" i="25"/>
  <c r="S218" i="28"/>
  <c r="H63" i="29"/>
  <c r="H242" i="34"/>
  <c r="C351" i="33"/>
  <c r="H177" i="34"/>
  <c r="J226" i="34"/>
  <c r="C362" i="23"/>
  <c r="U222" i="25"/>
  <c r="I195" i="29"/>
  <c r="H1931" i="34"/>
  <c r="H379" i="33"/>
  <c r="C384" i="34"/>
  <c r="I535" i="34"/>
  <c r="W168" i="25"/>
  <c r="S241" i="25"/>
  <c r="P320" i="30"/>
  <c r="F228" i="25"/>
  <c r="A447" i="33"/>
  <c r="F386" i="30"/>
  <c r="A242" i="25"/>
  <c r="A222" i="28"/>
  <c r="W210" i="25"/>
  <c r="A228" i="25"/>
  <c r="C114" i="29"/>
  <c r="H319" i="33"/>
  <c r="C588" i="34"/>
  <c r="A671" i="34"/>
  <c r="J85" i="23"/>
  <c r="A1927" i="34"/>
  <c r="U200" i="28"/>
  <c r="H182" i="29"/>
  <c r="W54" i="25"/>
  <c r="A331" i="33"/>
  <c r="A587" i="34"/>
  <c r="U231" i="25"/>
  <c r="P110" i="30"/>
  <c r="P108" i="30"/>
  <c r="I327" i="34"/>
  <c r="A394" i="33"/>
  <c r="C46" i="29"/>
  <c r="P159" i="30"/>
  <c r="A64" i="29"/>
  <c r="A589" i="34"/>
  <c r="Q218" i="28"/>
  <c r="A115" i="29"/>
  <c r="A99" i="29"/>
  <c r="C61" i="29"/>
  <c r="I58" i="23"/>
  <c r="B217" i="28"/>
  <c r="C740" i="34"/>
  <c r="F227" i="25"/>
  <c r="I328" i="34"/>
  <c r="A334" i="33"/>
  <c r="A65" i="29"/>
  <c r="S217" i="28"/>
  <c r="F247" i="25"/>
  <c r="B218" i="28"/>
  <c r="F383" i="30"/>
  <c r="A743" i="34"/>
  <c r="H366" i="33"/>
  <c r="A100" i="29"/>
  <c r="A586" i="34"/>
  <c r="C78" i="29"/>
  <c r="B256" i="25"/>
  <c r="C68" i="29"/>
  <c r="C51" i="29"/>
  <c r="C346" i="33"/>
  <c r="H178" i="34"/>
  <c r="U241" i="25"/>
  <c r="T223" i="28"/>
  <c r="A355" i="23"/>
  <c r="C744" i="34"/>
  <c r="T389" i="30"/>
  <c r="A65" i="28"/>
  <c r="P226" i="30"/>
  <c r="P182" i="30"/>
  <c r="I229" i="34"/>
  <c r="H68" i="29"/>
  <c r="C49" i="29"/>
  <c r="A351" i="33"/>
  <c r="H383" i="33"/>
  <c r="U386" i="30"/>
  <c r="Q207" i="28"/>
  <c r="Q222" i="28"/>
  <c r="S227" i="25"/>
  <c r="Q204" i="28"/>
  <c r="C879" i="34"/>
  <c r="C380" i="33"/>
  <c r="C97" i="29"/>
  <c r="H333" i="33"/>
  <c r="C100" i="29"/>
  <c r="C994" i="34"/>
  <c r="T219" i="28"/>
  <c r="T220" i="28"/>
  <c r="A379" i="33"/>
  <c r="H51" i="29"/>
  <c r="W171" i="25"/>
  <c r="A1858" i="34"/>
  <c r="H336" i="23"/>
  <c r="C344" i="23"/>
  <c r="T223" i="25"/>
  <c r="S222" i="25"/>
  <c r="B248" i="25"/>
  <c r="S381" i="30"/>
  <c r="H989" i="34"/>
  <c r="S248" i="25"/>
  <c r="C1050" i="34"/>
  <c r="W68" i="28"/>
  <c r="H100" i="29"/>
  <c r="H590" i="34"/>
  <c r="C352" i="33"/>
  <c r="T222" i="25"/>
  <c r="A217" i="28"/>
  <c r="C67" i="29"/>
  <c r="A44" i="29"/>
  <c r="A1859" i="34"/>
  <c r="C383" i="33"/>
  <c r="P112" i="30"/>
  <c r="P116" i="30"/>
  <c r="A382" i="34"/>
  <c r="H589" i="34"/>
  <c r="C117" i="29"/>
  <c r="C1860" i="34"/>
  <c r="F248" i="25"/>
  <c r="C386" i="34"/>
  <c r="C593" i="34"/>
  <c r="A116" i="29"/>
  <c r="I155" i="34"/>
  <c r="A445" i="33"/>
  <c r="S226" i="25"/>
  <c r="F393" i="30"/>
  <c r="H367" i="33"/>
  <c r="A80" i="29"/>
  <c r="C80" i="29"/>
  <c r="H742" i="34"/>
  <c r="H988" i="34"/>
  <c r="A247" i="25"/>
  <c r="F364" i="30"/>
  <c r="U223" i="25"/>
  <c r="H363" i="33"/>
  <c r="A47" i="29"/>
  <c r="C367" i="33"/>
  <c r="C350" i="33"/>
  <c r="T370" i="30"/>
  <c r="H2067" i="34"/>
  <c r="W92" i="25"/>
  <c r="H350" i="33"/>
  <c r="A66" i="29"/>
  <c r="H398" i="33"/>
  <c r="E489" i="31"/>
  <c r="T224" i="25"/>
  <c r="H1927" i="34"/>
  <c r="S219" i="28"/>
  <c r="C366" i="23"/>
  <c r="U221" i="28"/>
  <c r="B202" i="28"/>
  <c r="Q217" i="28"/>
  <c r="A992" i="34"/>
  <c r="A224" i="28"/>
  <c r="C1060" i="34"/>
  <c r="B250" i="25"/>
  <c r="S387" i="30"/>
  <c r="H986" i="34"/>
  <c r="H745" i="34"/>
  <c r="A446" i="33"/>
  <c r="U393" i="30"/>
  <c r="H917" i="34"/>
  <c r="C359" i="23"/>
  <c r="T366" i="30"/>
  <c r="C186" i="29"/>
  <c r="F223" i="28"/>
  <c r="P325" i="30"/>
  <c r="A1053" i="34"/>
  <c r="A218" i="28"/>
  <c r="T358" i="30"/>
  <c r="T217" i="28"/>
  <c r="C212" i="29"/>
  <c r="U359" i="30"/>
  <c r="A66" i="28"/>
  <c r="P227" i="30"/>
  <c r="P181" i="30"/>
  <c r="A362" i="33"/>
  <c r="C84" i="29"/>
  <c r="H115" i="29"/>
  <c r="H97" i="29"/>
  <c r="F245" i="25"/>
  <c r="C364" i="23"/>
  <c r="B391" i="30"/>
  <c r="F388" i="30"/>
  <c r="H335" i="23"/>
  <c r="F203" i="28"/>
  <c r="H335" i="33"/>
  <c r="A674" i="34"/>
  <c r="C592" i="34"/>
  <c r="I259" i="34"/>
  <c r="A985" i="34"/>
  <c r="S231" i="25"/>
  <c r="C743" i="34"/>
  <c r="H334" i="23"/>
  <c r="Q203" i="28"/>
  <c r="A172" i="34"/>
  <c r="H336" i="33"/>
  <c r="C586" i="34"/>
  <c r="A1792" i="34"/>
  <c r="B389" i="30"/>
  <c r="T367" i="30"/>
  <c r="S222" i="28"/>
  <c r="T204" i="28"/>
  <c r="T246" i="25"/>
  <c r="Q206" i="28"/>
  <c r="Q220" i="28"/>
  <c r="B249" i="25"/>
  <c r="F219" i="28"/>
  <c r="H216" i="29" s="1"/>
  <c r="H321" i="23"/>
  <c r="W58" i="25"/>
  <c r="H674" i="34"/>
  <c r="C62" i="29"/>
  <c r="A79" i="29"/>
  <c r="A988" i="34"/>
  <c r="I421" i="23"/>
  <c r="A320" i="33"/>
  <c r="W174" i="25"/>
  <c r="P134" i="30"/>
  <c r="A1793" i="34"/>
  <c r="P109" i="30"/>
  <c r="P118" i="30"/>
  <c r="H594" i="34"/>
  <c r="C366" i="33"/>
  <c r="C333" i="33"/>
  <c r="C337" i="23"/>
  <c r="H50" i="29"/>
  <c r="A363" i="33"/>
  <c r="H83" i="29"/>
  <c r="C1790" i="34"/>
  <c r="H732" i="34"/>
  <c r="U383" i="30"/>
  <c r="C331" i="33"/>
  <c r="A84" i="29"/>
  <c r="H101" i="29"/>
  <c r="U220" i="28"/>
  <c r="U204" i="28"/>
  <c r="F220" i="28"/>
  <c r="F382" i="30"/>
  <c r="Q67" i="28"/>
  <c r="P180" i="30"/>
  <c r="A333" i="33"/>
  <c r="H133" i="29"/>
  <c r="H396" i="33"/>
  <c r="A134" i="29"/>
  <c r="S246" i="25"/>
  <c r="T218" i="28"/>
  <c r="C981" i="34"/>
  <c r="S358" i="30"/>
  <c r="H313" i="23"/>
  <c r="H64" i="29"/>
  <c r="H173" i="34"/>
  <c r="A448" i="34"/>
  <c r="A981" i="34"/>
  <c r="T222" i="28"/>
  <c r="F217" i="28"/>
  <c r="S223" i="25"/>
  <c r="C1056" i="34"/>
  <c r="A398" i="33"/>
  <c r="C181" i="34"/>
  <c r="H66" i="29"/>
  <c r="H1787" i="34"/>
  <c r="F390" i="30"/>
  <c r="S247" i="25"/>
  <c r="Q225" i="25"/>
  <c r="U390" i="30"/>
  <c r="C2069" i="34"/>
  <c r="T386" i="30"/>
  <c r="T250" i="25"/>
  <c r="H918" i="34"/>
  <c r="S362" i="30"/>
  <c r="H380" i="33"/>
  <c r="A350" i="33"/>
  <c r="C134" i="29"/>
  <c r="C244" i="34"/>
  <c r="A341" i="23"/>
  <c r="U358" i="30"/>
  <c r="Q222" i="25"/>
  <c r="C176" i="34"/>
  <c r="C315" i="33"/>
  <c r="P136" i="30"/>
  <c r="A1789" i="34"/>
  <c r="P115" i="30"/>
  <c r="H381" i="33"/>
  <c r="C316" i="33"/>
  <c r="A114" i="29"/>
  <c r="H381" i="34"/>
  <c r="C187" i="29"/>
  <c r="A315" i="33"/>
  <c r="C102" i="29"/>
  <c r="C50" i="29"/>
  <c r="F394" i="30"/>
  <c r="H363" i="23"/>
  <c r="C2064" i="34"/>
  <c r="T66" i="28"/>
  <c r="I230" i="34"/>
  <c r="C63" i="29"/>
  <c r="H592" i="34"/>
  <c r="A588" i="34"/>
  <c r="W173" i="25"/>
  <c r="A231" i="25"/>
  <c r="Q223" i="25"/>
  <c r="T225" i="25"/>
  <c r="A1063" i="34"/>
  <c r="S202" i="28"/>
  <c r="T363" i="30"/>
  <c r="H921" i="34"/>
  <c r="C82" i="29"/>
  <c r="H135" i="29"/>
  <c r="W91" i="25"/>
  <c r="C1058" i="34"/>
  <c r="B394" i="30"/>
  <c r="C2067" i="34"/>
  <c r="C726" i="34"/>
  <c r="I439" i="33"/>
  <c r="H312" i="34"/>
  <c r="A46" i="29"/>
  <c r="A316" i="33"/>
  <c r="J83" i="23"/>
  <c r="H1053" i="34"/>
  <c r="Q223" i="28"/>
  <c r="P323" i="30"/>
  <c r="F201" i="28"/>
  <c r="C1926" i="34"/>
  <c r="A207" i="28"/>
  <c r="U382" i="30"/>
  <c r="C731" i="34"/>
  <c r="A993" i="34"/>
  <c r="A317" i="33"/>
  <c r="H46" i="29"/>
  <c r="H588" i="34"/>
  <c r="H47" i="29"/>
  <c r="Q245" i="25"/>
  <c r="T207" i="28"/>
  <c r="A724" i="34"/>
  <c r="H449" i="34"/>
  <c r="C395" i="33"/>
  <c r="P111" i="30"/>
  <c r="C362" i="33"/>
  <c r="C44" i="29"/>
  <c r="H320" i="33"/>
  <c r="C47" i="29"/>
  <c r="C1791" i="34"/>
  <c r="C363" i="33"/>
  <c r="H387" i="34"/>
  <c r="C132" i="29"/>
  <c r="A365" i="33"/>
  <c r="A206" i="28"/>
  <c r="B231" i="25"/>
  <c r="A180" i="29"/>
  <c r="W48" i="28"/>
  <c r="C96" i="29"/>
  <c r="A347" i="33"/>
  <c r="F218" i="28"/>
  <c r="W347" i="30"/>
  <c r="M489" i="31"/>
  <c r="P317" i="30"/>
  <c r="H1059" i="34"/>
  <c r="H364" i="33"/>
  <c r="P250" i="30"/>
  <c r="A97" i="29"/>
  <c r="C48" i="29"/>
  <c r="H448" i="33"/>
  <c r="U226" i="25"/>
  <c r="H250" i="34"/>
  <c r="W70" i="28"/>
  <c r="I87" i="23"/>
  <c r="C400" i="33"/>
  <c r="A102" i="29"/>
  <c r="W134" i="25"/>
  <c r="A118" i="29"/>
  <c r="A245" i="25"/>
  <c r="U248" i="25"/>
  <c r="B226" i="25"/>
  <c r="F391" i="30"/>
  <c r="H366" i="23"/>
  <c r="C1061" i="34"/>
  <c r="F359" i="30"/>
  <c r="C378" i="33"/>
  <c r="A594" i="34"/>
  <c r="C591" i="34"/>
  <c r="C336" i="33"/>
  <c r="S371" i="30"/>
  <c r="H343" i="23"/>
  <c r="C724" i="34"/>
  <c r="A994" i="34"/>
  <c r="T247" i="25"/>
  <c r="A383" i="34"/>
  <c r="A348" i="33"/>
  <c r="W110" i="25"/>
  <c r="A250" i="25"/>
  <c r="C730" i="34"/>
  <c r="A2064" i="34"/>
  <c r="C442" i="33"/>
  <c r="Q226" i="25"/>
  <c r="Q246" i="25"/>
  <c r="U370" i="30"/>
  <c r="C1054" i="34"/>
  <c r="H79" i="29"/>
  <c r="W57" i="25"/>
  <c r="H334" i="33"/>
  <c r="A366" i="33"/>
  <c r="A591" i="34"/>
  <c r="Q230" i="25"/>
  <c r="B223" i="25"/>
  <c r="A384" i="33"/>
  <c r="C595" i="34"/>
  <c r="A593" i="34"/>
  <c r="C676" i="34"/>
  <c r="J228" i="34"/>
  <c r="P107" i="30"/>
  <c r="H318" i="33"/>
  <c r="W156" i="28"/>
  <c r="A181" i="34"/>
  <c r="P158" i="30"/>
  <c r="C347" i="33"/>
  <c r="H382" i="33"/>
  <c r="C365" i="33"/>
  <c r="H347" i="33"/>
  <c r="W349" i="31"/>
  <c r="A113" i="29"/>
  <c r="H442" i="33"/>
  <c r="T371" i="30"/>
  <c r="H113" i="29"/>
  <c r="A45" i="29"/>
  <c r="A136" i="29"/>
  <c r="C1856" i="34"/>
  <c r="A363" i="23"/>
  <c r="S361" i="30"/>
  <c r="H726" i="34"/>
  <c r="H186" i="29"/>
  <c r="H315" i="34"/>
  <c r="P249" i="30"/>
  <c r="P251" i="30"/>
  <c r="W154" i="28"/>
  <c r="P274" i="30"/>
  <c r="C388" i="34"/>
  <c r="U203" i="28"/>
  <c r="A364" i="33"/>
  <c r="W169" i="25"/>
  <c r="C112" i="29"/>
  <c r="W130" i="25"/>
  <c r="H994" i="34"/>
  <c r="C1062" i="34"/>
  <c r="F488" i="31"/>
  <c r="A202" i="28"/>
  <c r="A388" i="30"/>
  <c r="A1062" i="34"/>
  <c r="A381" i="30"/>
  <c r="A391" i="30"/>
  <c r="E256" i="25"/>
  <c r="F229" i="25"/>
  <c r="A1052" i="34"/>
  <c r="H727" i="34"/>
  <c r="F225" i="25"/>
  <c r="I489" i="31"/>
  <c r="S385" i="30"/>
  <c r="C443" i="33"/>
  <c r="S250" i="25"/>
  <c r="H730" i="34"/>
  <c r="B204" i="28"/>
  <c r="F385" i="30"/>
  <c r="B383" i="30"/>
  <c r="F250" i="25"/>
  <c r="C445" i="33"/>
  <c r="S207" i="28"/>
  <c r="A744" i="34"/>
  <c r="W204" i="25"/>
  <c r="C185" i="29"/>
  <c r="Q248" i="25"/>
  <c r="S394" i="30"/>
  <c r="C741" i="34"/>
  <c r="A117" i="29"/>
  <c r="H134" i="29"/>
  <c r="A367" i="33"/>
  <c r="A388" i="34"/>
  <c r="C355" i="23"/>
  <c r="C1051" i="34"/>
  <c r="H916" i="34"/>
  <c r="H333" i="23"/>
  <c r="A1925" i="34"/>
  <c r="B207" i="28"/>
  <c r="A173" i="34"/>
  <c r="H67" i="29"/>
  <c r="C379" i="34"/>
  <c r="H744" i="34"/>
  <c r="J258" i="34"/>
  <c r="C335" i="23"/>
  <c r="T387" i="30"/>
  <c r="F371" i="30"/>
  <c r="C587" i="34"/>
  <c r="C65" i="29"/>
  <c r="A590" i="34"/>
  <c r="C182" i="29"/>
  <c r="B206" i="28"/>
  <c r="P324" i="30"/>
  <c r="S393" i="30"/>
  <c r="A731" i="34"/>
  <c r="S392" i="30"/>
  <c r="A368" i="30"/>
  <c r="F368" i="30"/>
  <c r="P321" i="30"/>
  <c r="T201" i="28"/>
  <c r="H84" i="29"/>
  <c r="H457" i="34"/>
  <c r="A592" i="34"/>
  <c r="A1862" i="34"/>
  <c r="M256" i="25"/>
  <c r="A226" i="25"/>
  <c r="W51" i="25"/>
  <c r="H316" i="33"/>
  <c r="C381" i="33"/>
  <c r="P135" i="30"/>
  <c r="C382" i="33"/>
  <c r="P106" i="30"/>
  <c r="A383" i="33"/>
  <c r="A449" i="34"/>
  <c r="H102" i="29"/>
  <c r="A378" i="33"/>
  <c r="C314" i="33"/>
  <c r="A330" i="33"/>
  <c r="C79" i="29"/>
  <c r="H130" i="29"/>
  <c r="A314" i="33"/>
  <c r="B224" i="28"/>
  <c r="W345" i="30"/>
  <c r="B382" i="30"/>
  <c r="H99" i="29"/>
  <c r="H352" i="33"/>
  <c r="H348" i="33"/>
  <c r="H1791" i="34"/>
  <c r="T362" i="30"/>
  <c r="H1055" i="34"/>
  <c r="U218" i="28"/>
  <c r="W208" i="25"/>
  <c r="A63" i="29"/>
  <c r="A179" i="34"/>
  <c r="C317" i="33"/>
  <c r="M230" i="28"/>
  <c r="H446" i="33"/>
  <c r="Q231" i="25"/>
  <c r="A390" i="30"/>
  <c r="F244" i="25"/>
  <c r="C343" i="23"/>
  <c r="T230" i="25"/>
  <c r="I396" i="34"/>
  <c r="C450" i="34"/>
  <c r="H380" i="34"/>
  <c r="A452" i="34"/>
  <c r="W211" i="25"/>
  <c r="B384" i="30"/>
  <c r="A358" i="23"/>
  <c r="T242" i="25"/>
  <c r="A187" i="29"/>
  <c r="C398" i="33"/>
  <c r="H81" i="29"/>
  <c r="A174" i="34"/>
  <c r="W205" i="25"/>
  <c r="C1927" i="34"/>
  <c r="S224" i="25"/>
  <c r="F229" i="28"/>
  <c r="A230" i="25"/>
  <c r="S360" i="30"/>
  <c r="Q243" i="25"/>
  <c r="P312" i="30"/>
  <c r="U243" i="25"/>
  <c r="P315" i="30"/>
  <c r="C384" i="33"/>
  <c r="A380" i="33"/>
  <c r="I465" i="34"/>
  <c r="H1792" i="34"/>
  <c r="C358" i="23"/>
  <c r="H2065" i="34"/>
  <c r="H384" i="33"/>
  <c r="H349" i="33"/>
  <c r="H591" i="34"/>
  <c r="H315" i="33"/>
  <c r="I226" i="34"/>
  <c r="H187" i="29"/>
  <c r="W109" i="25"/>
  <c r="A119" i="29"/>
  <c r="A81" i="29"/>
  <c r="A241" i="25"/>
  <c r="A223" i="25"/>
  <c r="U225" i="25"/>
  <c r="A201" i="28"/>
  <c r="A448" i="33"/>
  <c r="B219" i="28"/>
  <c r="A746" i="34"/>
  <c r="A62" i="29"/>
  <c r="A244" i="34"/>
  <c r="C136" i="29"/>
  <c r="H1858" i="34"/>
  <c r="H740" i="34"/>
  <c r="C739" i="34"/>
  <c r="A222" i="25"/>
  <c r="Q229" i="25"/>
  <c r="H118" i="29"/>
  <c r="W131" i="25"/>
  <c r="W54" i="28"/>
  <c r="C66" i="29"/>
  <c r="H318" i="23"/>
  <c r="S359" i="30"/>
  <c r="U388" i="30"/>
  <c r="A224" i="25"/>
  <c r="B388" i="30"/>
  <c r="A227" i="25"/>
  <c r="U364" i="30"/>
  <c r="S223" i="28"/>
  <c r="I211" i="29"/>
  <c r="C118" i="29"/>
  <c r="I534" i="34"/>
  <c r="C320" i="33"/>
  <c r="A332" i="33"/>
  <c r="C1793" i="34"/>
  <c r="F389" i="30"/>
  <c r="W184" i="28"/>
  <c r="C95" i="29"/>
  <c r="C85" i="29"/>
  <c r="H62" i="29"/>
  <c r="A78" i="29"/>
  <c r="S390" i="30"/>
  <c r="A246" i="34"/>
  <c r="P117" i="30"/>
  <c r="A318" i="33"/>
  <c r="H80" i="29"/>
  <c r="C131" i="29"/>
  <c r="H395" i="33"/>
  <c r="H96" i="29"/>
  <c r="H245" i="34"/>
  <c r="C318" i="33"/>
  <c r="H49" i="29"/>
  <c r="T68" i="28"/>
  <c r="I83" i="23"/>
  <c r="A67" i="29"/>
  <c r="H331" i="33"/>
  <c r="C83" i="29"/>
  <c r="C133" i="29"/>
  <c r="C1857" i="34"/>
  <c r="Q201" i="28"/>
  <c r="A205" i="28"/>
  <c r="A181" i="29"/>
  <c r="U250" i="25"/>
  <c r="C1052" i="34"/>
  <c r="H924" i="34"/>
  <c r="H185" i="29"/>
  <c r="A311" i="34"/>
  <c r="H317" i="33"/>
  <c r="A1791" i="34"/>
  <c r="C727" i="34"/>
  <c r="U219" i="28"/>
  <c r="A739" i="34"/>
  <c r="T245" i="25"/>
  <c r="A61" i="29"/>
  <c r="A82" i="29"/>
  <c r="C81" i="29"/>
  <c r="A243" i="25"/>
  <c r="B224" i="25"/>
  <c r="A1926" i="34"/>
  <c r="C447" i="33"/>
  <c r="B489" i="31"/>
  <c r="U206" i="28"/>
  <c r="C986" i="34"/>
  <c r="U230" i="25"/>
  <c r="F392" i="30"/>
  <c r="A982" i="34"/>
  <c r="A310" i="34"/>
  <c r="A595" i="34"/>
  <c r="A397" i="33"/>
  <c r="C101" i="29"/>
  <c r="H445" i="33"/>
  <c r="B227" i="25"/>
  <c r="A382" i="33"/>
  <c r="H595" i="34"/>
  <c r="C113" i="29"/>
  <c r="H45" i="29"/>
  <c r="A359" i="23"/>
  <c r="P113" i="30"/>
  <c r="P114" i="30"/>
  <c r="C594" i="34"/>
  <c r="A352" i="33"/>
  <c r="P157" i="30"/>
  <c r="C589" i="34"/>
  <c r="C45" i="29"/>
  <c r="H368" i="33"/>
  <c r="C385" i="34"/>
  <c r="C348" i="33"/>
  <c r="C1859" i="34"/>
  <c r="S365" i="30"/>
  <c r="S200" i="28"/>
  <c r="B203" i="28"/>
  <c r="A50" i="29"/>
  <c r="A98" i="29"/>
  <c r="H731" i="34"/>
  <c r="A365" i="30"/>
  <c r="A360" i="23"/>
  <c r="B228" i="25"/>
  <c r="C64" i="29"/>
  <c r="B244" i="25"/>
  <c r="A444" i="33"/>
  <c r="H1926" i="34"/>
  <c r="C671" i="34"/>
  <c r="F206" i="28"/>
  <c r="A182" i="29"/>
  <c r="A670" i="34"/>
  <c r="I466" i="34"/>
  <c r="A337" i="23"/>
  <c r="H991" i="34"/>
  <c r="H337" i="23"/>
  <c r="P297" i="30"/>
  <c r="P319" i="30"/>
  <c r="A334" i="23"/>
  <c r="A991" i="34"/>
  <c r="T205" i="28"/>
  <c r="T244" i="25"/>
  <c r="Q227" i="25"/>
  <c r="U242" i="25"/>
  <c r="W207" i="25"/>
  <c r="C1059" i="34"/>
  <c r="C211" i="29"/>
  <c r="A366" i="23"/>
  <c r="H315" i="23"/>
  <c r="Q241" i="25"/>
  <c r="B223" i="28"/>
  <c r="S220" i="28"/>
  <c r="A385" i="30"/>
  <c r="A364" i="23"/>
  <c r="U381" i="30"/>
  <c r="A221" i="28"/>
  <c r="F358" i="30"/>
  <c r="S201" i="28"/>
  <c r="H447" i="33"/>
  <c r="T393" i="30"/>
  <c r="A741" i="34"/>
  <c r="A246" i="25"/>
  <c r="F249" i="25"/>
  <c r="U369" i="30"/>
  <c r="T206" i="28"/>
  <c r="A1061" i="34"/>
  <c r="A389" i="30"/>
  <c r="C444" i="33"/>
  <c r="T383" i="30"/>
  <c r="S370" i="30"/>
  <c r="T243" i="25"/>
  <c r="U202" i="28"/>
  <c r="C98" i="29"/>
  <c r="H180" i="29"/>
  <c r="I258" i="34"/>
  <c r="C115" i="29"/>
  <c r="U247" i="25"/>
  <c r="C368" i="33"/>
  <c r="H332" i="33"/>
  <c r="H672" i="34"/>
  <c r="B201" i="28"/>
  <c r="H309" i="23"/>
  <c r="T241" i="25"/>
  <c r="T388" i="30"/>
  <c r="S389" i="30"/>
  <c r="A727" i="34"/>
  <c r="F387" i="30"/>
  <c r="C342" i="23"/>
  <c r="W212" i="25"/>
  <c r="C357" i="23"/>
  <c r="Q221" i="28"/>
  <c r="F204" i="28"/>
  <c r="H815" i="34"/>
  <c r="W189" i="28"/>
  <c r="B229" i="25"/>
  <c r="T227" i="25"/>
  <c r="T228" i="25"/>
  <c r="A740" i="34"/>
  <c r="F384" i="30"/>
  <c r="T229" i="25"/>
  <c r="C363" i="23"/>
  <c r="F224" i="28"/>
  <c r="U387" i="30"/>
  <c r="H314" i="23"/>
  <c r="S363" i="30"/>
  <c r="F205" i="28"/>
  <c r="A442" i="33"/>
  <c r="I230" i="28"/>
  <c r="F365" i="30"/>
  <c r="P186" i="28"/>
  <c r="H877" i="34"/>
  <c r="S230" i="25"/>
  <c r="B386" i="30"/>
  <c r="S225" i="25"/>
  <c r="A220" i="28"/>
  <c r="U223" i="28"/>
  <c r="H344" i="23"/>
  <c r="U367" i="30"/>
  <c r="C336" i="23"/>
  <c r="H1928" i="34"/>
  <c r="U394" i="30"/>
  <c r="A1050" i="34"/>
  <c r="B245" i="25"/>
  <c r="S382" i="30"/>
  <c r="C1053" i="34"/>
  <c r="H444" i="33"/>
  <c r="C992" i="34"/>
  <c r="F370" i="30"/>
  <c r="H443" i="33"/>
  <c r="T359" i="30"/>
  <c r="H993" i="34"/>
  <c r="H925" i="34"/>
  <c r="C422" i="23"/>
  <c r="C180" i="29"/>
  <c r="C733" i="34"/>
  <c r="A989" i="34"/>
  <c r="C1929" i="34"/>
  <c r="T392" i="30"/>
  <c r="H985" i="34"/>
  <c r="I212" i="29"/>
  <c r="S203" i="28"/>
  <c r="Q224" i="28"/>
  <c r="A204" i="28"/>
  <c r="F381" i="30"/>
  <c r="P168" i="28"/>
  <c r="Q202" i="28"/>
  <c r="H319" i="23"/>
  <c r="C985" i="34"/>
  <c r="H983" i="34"/>
  <c r="S383" i="30"/>
  <c r="C335" i="33"/>
  <c r="C984" i="34"/>
  <c r="C116" i="29"/>
  <c r="F224" i="25"/>
  <c r="H114" i="29"/>
  <c r="W70" i="25"/>
  <c r="H351" i="33"/>
  <c r="A223" i="28"/>
  <c r="A381" i="33"/>
  <c r="C456" i="34"/>
  <c r="A1861" i="34"/>
  <c r="A333" i="23"/>
  <c r="C367" i="23"/>
  <c r="F231" i="25"/>
  <c r="C338" i="23"/>
  <c r="A725" i="34"/>
  <c r="A229" i="25"/>
  <c r="A1056" i="34"/>
  <c r="H724" i="34"/>
  <c r="W339" i="30"/>
  <c r="A204" i="29"/>
  <c r="T390" i="30"/>
  <c r="H1925" i="34"/>
  <c r="U249" i="25"/>
  <c r="C194" i="29"/>
  <c r="A2068" i="34"/>
  <c r="T202" i="28"/>
  <c r="H913" i="34"/>
  <c r="A219" i="28"/>
  <c r="A986" i="34"/>
  <c r="C333" i="23"/>
  <c r="A1051" i="34"/>
  <c r="W340" i="30"/>
  <c r="C915" i="34"/>
  <c r="T203" i="28"/>
  <c r="C361" i="23"/>
  <c r="W203" i="25"/>
  <c r="F226" i="25"/>
  <c r="H922" i="34"/>
  <c r="A2066" i="34"/>
  <c r="B220" i="28"/>
  <c r="B241" i="25"/>
  <c r="H359" i="23"/>
  <c r="U368" i="30"/>
  <c r="F360" i="30"/>
  <c r="A387" i="30"/>
  <c r="U365" i="30"/>
  <c r="S204" i="28"/>
  <c r="T360" i="30"/>
  <c r="A342" i="23"/>
  <c r="Q219" i="28"/>
  <c r="C365" i="23"/>
  <c r="T221" i="28"/>
  <c r="S242" i="25"/>
  <c r="F222" i="28"/>
  <c r="A85" i="29"/>
  <c r="B393" i="30"/>
  <c r="A83" i="29"/>
  <c r="Q249" i="25"/>
  <c r="C382" i="34"/>
  <c r="H65" i="29"/>
  <c r="S391" i="30"/>
  <c r="H117" i="29"/>
  <c r="A96" i="29"/>
  <c r="C590" i="34"/>
  <c r="H1793" i="34"/>
  <c r="S205" i="28"/>
  <c r="T384" i="30"/>
  <c r="Q205" i="28"/>
  <c r="H2563" i="34"/>
  <c r="A244" i="25"/>
  <c r="U246" i="25"/>
  <c r="W337" i="30"/>
  <c r="H203" i="29"/>
  <c r="C987" i="34"/>
  <c r="P322" i="30"/>
  <c r="S229" i="25"/>
  <c r="S369" i="30"/>
  <c r="S367" i="30"/>
  <c r="A726" i="34"/>
  <c r="H812" i="34"/>
  <c r="H992" i="34"/>
  <c r="A248" i="25"/>
  <c r="A2063" i="34"/>
  <c r="H1054" i="34"/>
  <c r="U371" i="30"/>
  <c r="A732" i="34"/>
  <c r="U224" i="28"/>
  <c r="A2067" i="34"/>
  <c r="P314" i="30"/>
  <c r="T381" i="30"/>
  <c r="A383" i="30"/>
  <c r="Q242" i="25"/>
  <c r="F202" i="28"/>
  <c r="H984" i="34"/>
  <c r="A728" i="34"/>
  <c r="H311" i="23"/>
  <c r="H342" i="23"/>
  <c r="F221" i="28"/>
  <c r="H132" i="29"/>
  <c r="B230" i="25"/>
  <c r="A68" i="29"/>
  <c r="P272" i="30"/>
  <c r="A319" i="33"/>
  <c r="U207" i="28"/>
  <c r="C332" i="33"/>
  <c r="W170" i="25"/>
  <c r="C99" i="29"/>
  <c r="C356" i="23"/>
  <c r="B387" i="30"/>
  <c r="C1057" i="34"/>
  <c r="F243" i="25"/>
  <c r="S224" i="28"/>
  <c r="W336" i="30"/>
  <c r="W344" i="30"/>
  <c r="A392" i="30"/>
  <c r="H879" i="34"/>
  <c r="C745" i="34"/>
  <c r="Q200" i="28"/>
  <c r="P318" i="30"/>
  <c r="H364" i="23"/>
  <c r="F222" i="25"/>
  <c r="S364" i="30"/>
  <c r="A1055" i="34"/>
  <c r="S243" i="25"/>
  <c r="H813" i="34"/>
  <c r="A112" i="29"/>
  <c r="U385" i="30"/>
  <c r="A339" i="23"/>
  <c r="A368" i="33"/>
  <c r="A349" i="33"/>
  <c r="H739" i="34"/>
  <c r="A95" i="29"/>
  <c r="B205" i="28"/>
  <c r="A367" i="23"/>
  <c r="A202" i="29"/>
  <c r="W338" i="30"/>
  <c r="B230" i="28"/>
  <c r="J396" i="34"/>
  <c r="A1058" i="34"/>
  <c r="H310" i="23"/>
  <c r="A357" i="23"/>
  <c r="B385" i="30"/>
  <c r="U392" i="30"/>
  <c r="U360" i="30"/>
  <c r="S228" i="25"/>
  <c r="C810" i="34"/>
  <c r="P295" i="30"/>
  <c r="F200" i="28"/>
  <c r="W190" i="28"/>
  <c r="E230" i="28"/>
  <c r="J259" i="34"/>
  <c r="H1058" i="34"/>
  <c r="C991" i="34"/>
  <c r="T385" i="30"/>
  <c r="I422" i="23"/>
  <c r="A808" i="34"/>
  <c r="T226" i="25"/>
  <c r="P316" i="30"/>
  <c r="A133" i="29"/>
  <c r="H174" i="34"/>
  <c r="T382" i="30"/>
  <c r="C119" i="29"/>
  <c r="P273" i="30"/>
  <c r="C1788" i="34"/>
  <c r="U222" i="28"/>
  <c r="H48" i="29"/>
  <c r="A346" i="33"/>
  <c r="Q250" i="25"/>
  <c r="A340" i="23"/>
  <c r="C340" i="23"/>
  <c r="A203" i="28"/>
  <c r="P185" i="28"/>
  <c r="B200" i="28"/>
  <c r="C197" i="29" s="1"/>
  <c r="F246" i="25"/>
  <c r="C339" i="23"/>
  <c r="C360" i="23"/>
  <c r="T200" i="28"/>
  <c r="S386" i="30"/>
  <c r="H358" i="23"/>
  <c r="P169" i="28"/>
  <c r="C448" i="33"/>
  <c r="U391" i="30"/>
  <c r="I194" i="29"/>
  <c r="C746" i="34"/>
  <c r="T391" i="30"/>
  <c r="S245" i="25"/>
  <c r="S384" i="30"/>
  <c r="T249" i="25"/>
  <c r="A813" i="34"/>
  <c r="S221" i="28"/>
  <c r="F242" i="25"/>
  <c r="T368" i="30"/>
  <c r="H743" i="34"/>
  <c r="A443" i="33"/>
  <c r="P105" i="30"/>
  <c r="H82" i="29"/>
  <c r="A338" i="23"/>
  <c r="C440" i="33"/>
  <c r="W188" i="28"/>
  <c r="A335" i="33"/>
  <c r="A730" i="34"/>
  <c r="C330" i="33"/>
  <c r="W319" i="31"/>
  <c r="C729" i="34"/>
  <c r="W183" i="28"/>
  <c r="P296" i="30"/>
  <c r="F230" i="25"/>
  <c r="T361" i="30"/>
  <c r="W206" i="25"/>
  <c r="W335" i="30"/>
  <c r="A336" i="23"/>
  <c r="C725" i="34"/>
  <c r="H360" i="23"/>
  <c r="B243" i="25"/>
  <c r="U224" i="25"/>
  <c r="B247" i="25"/>
  <c r="T231" i="25"/>
  <c r="H728" i="34"/>
  <c r="T248" i="25"/>
  <c r="U245" i="25"/>
  <c r="U244" i="25"/>
  <c r="F255" i="25"/>
  <c r="U389" i="30"/>
  <c r="C439" i="33"/>
  <c r="W346" i="30"/>
  <c r="H2063" i="34"/>
  <c r="A384" i="30"/>
  <c r="Q228" i="25"/>
  <c r="F223" i="25"/>
  <c r="H746" i="34"/>
  <c r="A1054" i="34"/>
  <c r="A201" i="29"/>
  <c r="C184" i="29"/>
  <c r="B242" i="25"/>
  <c r="A343" i="23"/>
  <c r="A200" i="28"/>
  <c r="W209" i="25"/>
  <c r="C195" i="29"/>
  <c r="H733" i="34"/>
  <c r="A203" i="29"/>
  <c r="S366" i="30"/>
  <c r="S206" i="28"/>
  <c r="C732" i="34"/>
  <c r="A249" i="25"/>
  <c r="C446" i="33"/>
  <c r="U229" i="25"/>
  <c r="B221" i="28"/>
  <c r="S244" i="25"/>
  <c r="H339" i="23"/>
  <c r="U217" i="28"/>
  <c r="C421" i="23"/>
  <c r="C387" i="34"/>
  <c r="C129" i="29"/>
  <c r="H85" i="29"/>
  <c r="U384" i="30"/>
  <c r="B381" i="30"/>
  <c r="W78" i="25"/>
  <c r="A336" i="33"/>
  <c r="P313" i="30"/>
  <c r="A101" i="29"/>
  <c r="A49" i="29"/>
  <c r="U227" i="25"/>
  <c r="F207" i="28"/>
  <c r="A225" i="25"/>
  <c r="C993" i="34"/>
  <c r="C1063" i="34"/>
  <c r="F241" i="25"/>
  <c r="A983" i="34"/>
  <c r="A733" i="34"/>
  <c r="A393" i="30"/>
  <c r="I256" i="25"/>
  <c r="A394" i="30"/>
  <c r="T394" i="30"/>
  <c r="H220" i="29"/>
  <c r="B225" i="25"/>
  <c r="C1055" i="34"/>
  <c r="S249" i="25"/>
  <c r="T224" i="28"/>
  <c r="C202" i="29"/>
  <c r="A356" i="23"/>
  <c r="A729" i="34"/>
  <c r="U205" i="28"/>
  <c r="Q247" i="25"/>
  <c r="W187" i="28"/>
  <c r="B246" i="25"/>
  <c r="W149" i="28"/>
  <c r="H593" i="34"/>
  <c r="I397" i="34"/>
  <c r="B222" i="28"/>
  <c r="S388" i="30"/>
  <c r="C130" i="29"/>
  <c r="C174" i="34"/>
  <c r="H1929" i="34"/>
  <c r="U228" i="25"/>
  <c r="H119" i="29"/>
  <c r="B222" i="25"/>
  <c r="C728" i="34"/>
  <c r="B390" i="30"/>
  <c r="H920" i="34"/>
  <c r="U201" i="28"/>
  <c r="H982" i="34"/>
  <c r="Q224" i="25"/>
  <c r="H163" i="29"/>
  <c r="A168" i="29"/>
  <c r="H44" i="29"/>
  <c r="H330" i="33"/>
  <c r="C168" i="29"/>
  <c r="A169" i="29"/>
  <c r="H362" i="33"/>
  <c r="H166" i="29"/>
  <c r="H346" i="33"/>
  <c r="C163" i="29"/>
  <c r="A166" i="29"/>
  <c r="A165" i="29"/>
  <c r="C165" i="29"/>
  <c r="H394" i="33"/>
  <c r="H164" i="29"/>
  <c r="H168" i="29"/>
  <c r="H147" i="29"/>
  <c r="C166" i="29"/>
  <c r="C167" i="29"/>
  <c r="H146" i="29"/>
  <c r="H95" i="29"/>
  <c r="H129" i="29"/>
  <c r="H314" i="33"/>
  <c r="H112" i="29"/>
  <c r="H78" i="29"/>
  <c r="H378" i="33"/>
  <c r="H61" i="29"/>
  <c r="M318" i="30" l="1"/>
  <c r="N318" i="30" s="1"/>
  <c r="M319" i="30"/>
  <c r="N319" i="30" s="1"/>
  <c r="M320" i="30"/>
  <c r="N320" i="30" s="1"/>
  <c r="M296" i="30"/>
  <c r="N296" i="30" s="1"/>
  <c r="M295" i="30"/>
  <c r="N295" i="30" s="1"/>
  <c r="M297" i="30"/>
  <c r="N297" i="30" s="1"/>
  <c r="M273" i="30"/>
  <c r="N273" i="30" s="1"/>
  <c r="M272" i="30"/>
  <c r="N272" i="30" s="1"/>
  <c r="M274" i="30"/>
  <c r="N274" i="30" s="1"/>
  <c r="M251" i="30"/>
  <c r="N251" i="30" s="1"/>
  <c r="M249" i="30"/>
  <c r="N249" i="30" s="1"/>
  <c r="M250" i="30"/>
  <c r="N250" i="30" s="1"/>
  <c r="M227" i="30"/>
  <c r="N227" i="30" s="1"/>
  <c r="M226" i="30"/>
  <c r="N226" i="30" s="1"/>
  <c r="M228" i="30"/>
  <c r="N228" i="30" s="1"/>
  <c r="M180" i="30"/>
  <c r="N180" i="30" s="1"/>
  <c r="M181" i="30"/>
  <c r="N181" i="30" s="1"/>
  <c r="M182" i="30"/>
  <c r="N182" i="30" s="1"/>
  <c r="M157" i="30"/>
  <c r="N157" i="30" s="1"/>
  <c r="M158" i="30"/>
  <c r="N158" i="30" s="1"/>
  <c r="M159" i="30"/>
  <c r="N159" i="30" s="1"/>
  <c r="M135" i="30"/>
  <c r="N135" i="30" s="1"/>
  <c r="M136" i="30"/>
  <c r="N136" i="30" s="1"/>
  <c r="M134" i="30"/>
  <c r="N134" i="30" s="1"/>
  <c r="M71" i="30"/>
  <c r="N71" i="30" s="1"/>
  <c r="M94" i="30"/>
  <c r="N94" i="30" s="1"/>
  <c r="M113" i="30"/>
  <c r="N113" i="30" s="1"/>
  <c r="M111" i="30"/>
  <c r="N111" i="30" s="1"/>
  <c r="M112" i="30"/>
  <c r="N112" i="30" s="1"/>
  <c r="M83" i="30"/>
  <c r="N83" i="30" s="1"/>
  <c r="M92" i="30"/>
  <c r="N92" i="30" s="1"/>
  <c r="V92" i="30" s="1"/>
  <c r="M93" i="30"/>
  <c r="N93" i="30" s="1"/>
  <c r="M91" i="30"/>
  <c r="N91" i="30" s="1"/>
  <c r="M63" i="30"/>
  <c r="N63" i="30" s="1"/>
  <c r="M87" i="30"/>
  <c r="N87" i="30" s="1"/>
  <c r="M85" i="30"/>
  <c r="N85" i="30" s="1"/>
  <c r="M84" i="30"/>
  <c r="N84" i="30" s="1"/>
  <c r="M82" i="30"/>
  <c r="N82" i="30" s="1"/>
  <c r="M69" i="30"/>
  <c r="N69" i="30" s="1"/>
  <c r="M59" i="30"/>
  <c r="N59" i="30" s="1"/>
  <c r="M66" i="30"/>
  <c r="N66" i="30" s="1"/>
  <c r="M62" i="30"/>
  <c r="N62" i="30" s="1"/>
  <c r="M65" i="30"/>
  <c r="N65" i="30" s="1"/>
  <c r="M67" i="30"/>
  <c r="N67" i="30" s="1"/>
  <c r="M70" i="30"/>
  <c r="N70" i="30" s="1"/>
  <c r="M68" i="30"/>
  <c r="N68" i="30" s="1"/>
  <c r="M64" i="30"/>
  <c r="N64" i="30" s="1"/>
  <c r="B2376" i="34"/>
  <c r="I2390" i="34"/>
  <c r="C1785" i="34"/>
  <c r="A1757" i="34"/>
  <c r="H2378" i="34"/>
  <c r="A1794" i="34"/>
  <c r="A2390" i="34"/>
  <c r="I1794" i="34"/>
  <c r="I2324" i="34"/>
  <c r="C2324" i="34"/>
  <c r="A2324" i="34"/>
  <c r="A2196" i="34"/>
  <c r="B2100" i="34"/>
  <c r="A2171" i="34"/>
  <c r="A2334" i="34"/>
  <c r="A2114" i="34"/>
  <c r="H2171" i="34"/>
  <c r="I2334" i="34"/>
  <c r="H2102" i="34"/>
  <c r="H1757" i="34"/>
  <c r="A2127" i="34"/>
  <c r="I2183" i="34"/>
  <c r="A1785" i="34"/>
  <c r="H1785" i="34"/>
  <c r="B1783" i="34"/>
  <c r="H1794" i="34"/>
  <c r="J2199" i="34"/>
  <c r="B2115" i="34"/>
  <c r="H2309" i="34"/>
  <c r="J2130" i="34"/>
  <c r="B2128" i="34"/>
  <c r="I2130" i="34"/>
  <c r="A1769" i="34"/>
  <c r="A2139" i="34"/>
  <c r="A2130" i="34"/>
  <c r="I2139" i="34"/>
  <c r="A2199" i="34"/>
  <c r="H2117" i="34"/>
  <c r="J2309" i="34"/>
  <c r="I1769" i="34"/>
  <c r="A2309" i="34"/>
  <c r="B2307" i="34"/>
  <c r="I2309" i="34"/>
  <c r="A2321" i="34"/>
  <c r="I2321" i="34"/>
  <c r="J2102" i="34"/>
  <c r="K72" i="30"/>
  <c r="C2378" i="34"/>
  <c r="A2183" i="34"/>
  <c r="H2186" i="34"/>
  <c r="J2186" i="34"/>
  <c r="J2378" i="34"/>
  <c r="C2171" i="34"/>
  <c r="I2378" i="34"/>
  <c r="I2114" i="34"/>
  <c r="I2117" i="34"/>
  <c r="I2171" i="34"/>
  <c r="B2322" i="34"/>
  <c r="I2102" i="34"/>
  <c r="C2186" i="34"/>
  <c r="C2102" i="34"/>
  <c r="I2186" i="34"/>
  <c r="B2184" i="34"/>
  <c r="A2186" i="34"/>
  <c r="H2130" i="34"/>
  <c r="I2346" i="34"/>
  <c r="H2324" i="34"/>
  <c r="J2171" i="34"/>
  <c r="J2117" i="34"/>
  <c r="B1921" i="34"/>
  <c r="I1923" i="34"/>
  <c r="J2406" i="34"/>
  <c r="J2240" i="34"/>
  <c r="A2001" i="34"/>
  <c r="I2240" i="34"/>
  <c r="A2255" i="34"/>
  <c r="A2208" i="34"/>
  <c r="I2208" i="34"/>
  <c r="B2197" i="34"/>
  <c r="C2117" i="34"/>
  <c r="A2117" i="34"/>
  <c r="I1757" i="34"/>
  <c r="B1755" i="34"/>
  <c r="J1757" i="34"/>
  <c r="A2406" i="34"/>
  <c r="H2199" i="34"/>
  <c r="I2199" i="34"/>
  <c r="H1772" i="34"/>
  <c r="B2391" i="34"/>
  <c r="C2337" i="34"/>
  <c r="H2033" i="34"/>
  <c r="I2265" i="34"/>
  <c r="C1895" i="34"/>
  <c r="A1923" i="34"/>
  <c r="H2240" i="34"/>
  <c r="C1841" i="34"/>
  <c r="C1923" i="34"/>
  <c r="H2406" i="34"/>
  <c r="I2252" i="34"/>
  <c r="K60" i="30"/>
  <c r="H1992" i="34"/>
  <c r="A2268" i="34"/>
  <c r="I1841" i="34"/>
  <c r="A1992" i="34"/>
  <c r="B1977" i="34"/>
  <c r="B2335" i="34"/>
  <c r="C2393" i="34"/>
  <c r="H2337" i="34"/>
  <c r="H1826" i="34"/>
  <c r="A2403" i="34"/>
  <c r="B1770" i="34"/>
  <c r="A2346" i="34"/>
  <c r="J2393" i="34"/>
  <c r="A2415" i="34"/>
  <c r="B2404" i="34"/>
  <c r="A1989" i="34"/>
  <c r="A2393" i="34"/>
  <c r="J2255" i="34"/>
  <c r="I2415" i="34"/>
  <c r="I2268" i="34"/>
  <c r="B1824" i="34"/>
  <c r="K61" i="30"/>
  <c r="A1854" i="34"/>
  <c r="I1838" i="34"/>
  <c r="C1826" i="34"/>
  <c r="B1852" i="34"/>
  <c r="C2255" i="34"/>
  <c r="I2406" i="34"/>
  <c r="I2393" i="34"/>
  <c r="I2403" i="34"/>
  <c r="H2255" i="34"/>
  <c r="A2337" i="34"/>
  <c r="I1976" i="34"/>
  <c r="I2337" i="34"/>
  <c r="J1826" i="34"/>
  <c r="I2255" i="34"/>
  <c r="A1826" i="34"/>
  <c r="B2253" i="34"/>
  <c r="I1964" i="34"/>
  <c r="C2240" i="34"/>
  <c r="H1979" i="34"/>
  <c r="I1772" i="34"/>
  <c r="I2058" i="34"/>
  <c r="J1910" i="34"/>
  <c r="B1908" i="34"/>
  <c r="A2252" i="34"/>
  <c r="H1895" i="34"/>
  <c r="C1910" i="34"/>
  <c r="A2277" i="34"/>
  <c r="C1964" i="34"/>
  <c r="I1782" i="34"/>
  <c r="J1854" i="34"/>
  <c r="A1907" i="34"/>
  <c r="J1964" i="34"/>
  <c r="I1920" i="34"/>
  <c r="I2001" i="34"/>
  <c r="A1976" i="34"/>
  <c r="I2048" i="34"/>
  <c r="J1992" i="34"/>
  <c r="A1782" i="34"/>
  <c r="K96" i="30"/>
  <c r="K73" i="30"/>
  <c r="C2061" i="34"/>
  <c r="I2070" i="34"/>
  <c r="B2059" i="34"/>
  <c r="J2048" i="34"/>
  <c r="I1895" i="34"/>
  <c r="A2240" i="34"/>
  <c r="I1989" i="34"/>
  <c r="B2046" i="34"/>
  <c r="I1907" i="34"/>
  <c r="H1923" i="34"/>
  <c r="J1979" i="34"/>
  <c r="A1979" i="34"/>
  <c r="C2268" i="34"/>
  <c r="I1910" i="34"/>
  <c r="J1772" i="34"/>
  <c r="H2061" i="34"/>
  <c r="B1893" i="34"/>
  <c r="A1772" i="34"/>
  <c r="H2048" i="34"/>
  <c r="J2061" i="34"/>
  <c r="J1895" i="34"/>
  <c r="B1990" i="34"/>
  <c r="C1979" i="34"/>
  <c r="B1962" i="34"/>
  <c r="I2061" i="34"/>
  <c r="A1964" i="34"/>
  <c r="B1839" i="34"/>
  <c r="H1854" i="34"/>
  <c r="H1910" i="34"/>
  <c r="K95" i="30"/>
  <c r="C1854" i="34"/>
  <c r="J2268" i="34"/>
  <c r="X27" i="30"/>
  <c r="A1910" i="34"/>
  <c r="X119" i="30"/>
  <c r="A2033" i="34"/>
  <c r="A1841" i="34"/>
  <c r="I1851" i="34"/>
  <c r="J1841" i="34"/>
  <c r="A2058" i="34"/>
  <c r="I2045" i="34"/>
  <c r="I1854" i="34"/>
  <c r="H1863" i="34"/>
  <c r="J2033" i="34"/>
  <c r="A2048" i="34"/>
  <c r="C1992" i="34"/>
  <c r="I2033" i="34"/>
  <c r="B2031" i="34"/>
  <c r="H171" i="29"/>
  <c r="X70" i="28"/>
  <c r="I67" i="28"/>
  <c r="R66" i="28"/>
  <c r="K66" i="28" s="1"/>
  <c r="G66" i="28"/>
  <c r="M66" i="28"/>
  <c r="I72" i="28"/>
  <c r="F72" i="28"/>
  <c r="I86" i="28"/>
  <c r="G83" i="28"/>
  <c r="R83" i="28"/>
  <c r="K83" i="28" s="1"/>
  <c r="M83" i="28"/>
  <c r="N83" i="28" s="1"/>
  <c r="X72" i="25"/>
  <c r="X74" i="25"/>
  <c r="X71" i="25"/>
  <c r="G101" i="28"/>
  <c r="R101" i="28"/>
  <c r="K101" i="28" s="1"/>
  <c r="M101" i="28"/>
  <c r="I103" i="28"/>
  <c r="F137" i="25"/>
  <c r="I137" i="25"/>
  <c r="X192" i="25"/>
  <c r="X184" i="25"/>
  <c r="X185" i="25"/>
  <c r="I370" i="31"/>
  <c r="I366" i="31"/>
  <c r="H581" i="34"/>
  <c r="I318" i="31"/>
  <c r="X318" i="31"/>
  <c r="I96" i="25"/>
  <c r="I387" i="31"/>
  <c r="X155" i="25"/>
  <c r="X150" i="25"/>
  <c r="X333" i="31"/>
  <c r="X139" i="28"/>
  <c r="G151" i="28"/>
  <c r="R151" i="28"/>
  <c r="K151" i="28" s="1"/>
  <c r="X86" i="28"/>
  <c r="I83" i="28"/>
  <c r="I87" i="28"/>
  <c r="I72" i="25"/>
  <c r="I70" i="25"/>
  <c r="X99" i="28"/>
  <c r="X136" i="25"/>
  <c r="X135" i="25"/>
  <c r="I132" i="25"/>
  <c r="I184" i="25"/>
  <c r="X182" i="30"/>
  <c r="I122" i="28"/>
  <c r="I121" i="28"/>
  <c r="X321" i="31"/>
  <c r="X108" i="25"/>
  <c r="I111" i="25"/>
  <c r="I115" i="25"/>
  <c r="X60" i="25"/>
  <c r="I137" i="28"/>
  <c r="X47" i="28"/>
  <c r="X153" i="28"/>
  <c r="I65" i="28"/>
  <c r="I85" i="28"/>
  <c r="X75" i="25"/>
  <c r="I105" i="28"/>
  <c r="X132" i="25"/>
  <c r="I131" i="25"/>
  <c r="X186" i="25"/>
  <c r="I192" i="25"/>
  <c r="X368" i="31"/>
  <c r="I365" i="31"/>
  <c r="I116" i="28"/>
  <c r="G118" i="28"/>
  <c r="M118" i="28"/>
  <c r="N118" i="28" s="1"/>
  <c r="R118" i="28"/>
  <c r="K118" i="28" s="1"/>
  <c r="I322" i="31"/>
  <c r="X96" i="25"/>
  <c r="I388" i="31"/>
  <c r="F388" i="31"/>
  <c r="I383" i="31"/>
  <c r="I336" i="31"/>
  <c r="I135" i="28"/>
  <c r="X51" i="28"/>
  <c r="X50" i="28"/>
  <c r="X131" i="30"/>
  <c r="X64" i="28"/>
  <c r="I64" i="28"/>
  <c r="X66" i="28"/>
  <c r="G84" i="28"/>
  <c r="R84" i="28"/>
  <c r="K84" i="28" s="1"/>
  <c r="M84" i="28"/>
  <c r="N84" i="28" s="1"/>
  <c r="F89" i="28"/>
  <c r="I89" i="28"/>
  <c r="I82" i="28"/>
  <c r="I76" i="25"/>
  <c r="I100" i="28"/>
  <c r="X129" i="25"/>
  <c r="I135" i="25"/>
  <c r="X189" i="25"/>
  <c r="X188" i="25"/>
  <c r="X366" i="31"/>
  <c r="X117" i="28"/>
  <c r="I117" i="28"/>
  <c r="I320" i="31"/>
  <c r="I384" i="31"/>
  <c r="X154" i="25"/>
  <c r="I150" i="25"/>
  <c r="X136" i="28"/>
  <c r="X37" i="25"/>
  <c r="I172" i="25"/>
  <c r="X69" i="28"/>
  <c r="G67" i="28"/>
  <c r="R67" i="28"/>
  <c r="K67" i="28" s="1"/>
  <c r="M67" i="28"/>
  <c r="I84" i="28"/>
  <c r="I78" i="25"/>
  <c r="I73" i="25"/>
  <c r="X100" i="28"/>
  <c r="X103" i="28"/>
  <c r="I128" i="25"/>
  <c r="X127" i="25"/>
  <c r="X187" i="25"/>
  <c r="X190" i="25"/>
  <c r="X369" i="31"/>
  <c r="I368" i="31"/>
  <c r="X121" i="28"/>
  <c r="I321" i="31"/>
  <c r="I93" i="25"/>
  <c r="I95" i="25"/>
  <c r="I382" i="31"/>
  <c r="I146" i="25"/>
  <c r="I149" i="25"/>
  <c r="I334" i="31"/>
  <c r="I55" i="25"/>
  <c r="I51" i="28"/>
  <c r="I151" i="28"/>
  <c r="F175" i="25"/>
  <c r="I175" i="25"/>
  <c r="X82" i="28"/>
  <c r="I71" i="25"/>
  <c r="X105" i="28"/>
  <c r="I134" i="25"/>
  <c r="X193" i="25"/>
  <c r="I193" i="25"/>
  <c r="I185" i="25"/>
  <c r="X365" i="31"/>
  <c r="F123" i="28"/>
  <c r="I123" i="28"/>
  <c r="I114" i="25"/>
  <c r="I94" i="25"/>
  <c r="I97" i="25"/>
  <c r="X227" i="30"/>
  <c r="I154" i="25"/>
  <c r="I61" i="25"/>
  <c r="F61" i="25"/>
  <c r="R134" i="28"/>
  <c r="K134" i="28" s="1"/>
  <c r="M134" i="28"/>
  <c r="N134" i="28" s="1"/>
  <c r="G134" i="28"/>
  <c r="X252" i="30"/>
  <c r="X257" i="30" s="1"/>
  <c r="W257" i="30"/>
  <c r="X151" i="28"/>
  <c r="X223" i="30"/>
  <c r="W234" i="30"/>
  <c r="X165" i="25"/>
  <c r="X398" i="31"/>
  <c r="I69" i="28"/>
  <c r="X71" i="28"/>
  <c r="I68" i="28"/>
  <c r="X67" i="28"/>
  <c r="I88" i="28"/>
  <c r="I80" i="25"/>
  <c r="F80" i="25"/>
  <c r="I101" i="28"/>
  <c r="I98" i="28"/>
  <c r="I99" i="28"/>
  <c r="X101" i="28"/>
  <c r="I102" i="28"/>
  <c r="I127" i="25"/>
  <c r="I190" i="25"/>
  <c r="F194" i="25"/>
  <c r="I194" i="25"/>
  <c r="I367" i="31"/>
  <c r="X119" i="28"/>
  <c r="X118" i="28"/>
  <c r="I120" i="28"/>
  <c r="F324" i="31"/>
  <c r="I324" i="31"/>
  <c r="I116" i="25"/>
  <c r="I112" i="25"/>
  <c r="X94" i="25"/>
  <c r="I386" i="31"/>
  <c r="I381" i="31"/>
  <c r="X56" i="25"/>
  <c r="I49" i="28"/>
  <c r="I71" i="28"/>
  <c r="X83" i="28"/>
  <c r="I79" i="25"/>
  <c r="I74" i="25"/>
  <c r="I104" i="28"/>
  <c r="I129" i="25"/>
  <c r="I130" i="25"/>
  <c r="I191" i="25"/>
  <c r="I188" i="25"/>
  <c r="I187" i="25"/>
  <c r="X191" i="25"/>
  <c r="I369" i="31"/>
  <c r="I317" i="31"/>
  <c r="X153" i="25"/>
  <c r="I337" i="31"/>
  <c r="F140" i="28"/>
  <c r="I140" i="28"/>
  <c r="X53" i="28"/>
  <c r="I150" i="28"/>
  <c r="I349" i="31"/>
  <c r="I70" i="28"/>
  <c r="X84" i="28"/>
  <c r="I75" i="25"/>
  <c r="F106" i="28"/>
  <c r="I106" i="28"/>
  <c r="I133" i="25"/>
  <c r="I189" i="25"/>
  <c r="I186" i="25"/>
  <c r="I371" i="31"/>
  <c r="I119" i="28"/>
  <c r="I115" i="28"/>
  <c r="R117" i="28"/>
  <c r="K117" i="28" s="1"/>
  <c r="G117" i="28"/>
  <c r="M117" i="28"/>
  <c r="N117" i="28" s="1"/>
  <c r="X114" i="25"/>
  <c r="I113" i="25"/>
  <c r="F99" i="25"/>
  <c r="I99" i="25"/>
  <c r="X146" i="25"/>
  <c r="I339" i="31"/>
  <c r="I54" i="25"/>
  <c r="X132" i="28"/>
  <c r="I154" i="28"/>
  <c r="H433" i="33"/>
  <c r="I165" i="25"/>
  <c r="I66" i="28"/>
  <c r="I81" i="28"/>
  <c r="I77" i="25"/>
  <c r="R100" i="28"/>
  <c r="K100" i="28" s="1"/>
  <c r="M100" i="28"/>
  <c r="G100" i="28"/>
  <c r="I136" i="25"/>
  <c r="I118" i="28"/>
  <c r="X322" i="31"/>
  <c r="I319" i="31"/>
  <c r="X386" i="31"/>
  <c r="I152" i="25"/>
  <c r="X339" i="31"/>
  <c r="X134" i="28"/>
  <c r="R50" i="28"/>
  <c r="K50" i="28" s="1"/>
  <c r="G50" i="28"/>
  <c r="M50" i="28"/>
  <c r="N50" i="28" s="1"/>
  <c r="V50" i="28" s="1"/>
  <c r="I171" i="25"/>
  <c r="X355" i="31"/>
  <c r="I323" i="31"/>
  <c r="I98" i="25"/>
  <c r="I90" i="25"/>
  <c r="I92" i="25"/>
  <c r="X382" i="31"/>
  <c r="X151" i="25"/>
  <c r="I151" i="25"/>
  <c r="X148" i="25"/>
  <c r="X338" i="31"/>
  <c r="I338" i="31"/>
  <c r="I335" i="31"/>
  <c r="I57" i="25"/>
  <c r="X138" i="28"/>
  <c r="I139" i="28"/>
  <c r="I134" i="28"/>
  <c r="I47" i="28"/>
  <c r="F157" i="28"/>
  <c r="I157" i="28"/>
  <c r="I152" i="28"/>
  <c r="I352" i="31"/>
  <c r="X205" i="30"/>
  <c r="X401" i="31"/>
  <c r="I403" i="31"/>
  <c r="I209" i="25"/>
  <c r="X167" i="28"/>
  <c r="I166" i="28"/>
  <c r="I188" i="28"/>
  <c r="X277" i="30"/>
  <c r="X34" i="25"/>
  <c r="I52" i="25"/>
  <c r="X55" i="25"/>
  <c r="I136" i="28"/>
  <c r="I156" i="28"/>
  <c r="I153" i="28"/>
  <c r="X32" i="25"/>
  <c r="I169" i="25"/>
  <c r="X351" i="31"/>
  <c r="I351" i="31"/>
  <c r="H443" i="34"/>
  <c r="H417" i="33"/>
  <c r="I397" i="31"/>
  <c r="I399" i="31"/>
  <c r="H719" i="34"/>
  <c r="I206" i="25"/>
  <c r="X169" i="28"/>
  <c r="I171" i="28"/>
  <c r="X166" i="28"/>
  <c r="W174" i="28"/>
  <c r="I168" i="28"/>
  <c r="X204" i="30"/>
  <c r="X274" i="30"/>
  <c r="X167" i="25"/>
  <c r="I350" i="31"/>
  <c r="I404" i="31"/>
  <c r="F404" i="31"/>
  <c r="I212" i="25"/>
  <c r="X173" i="28"/>
  <c r="X170" i="28"/>
  <c r="I169" i="28"/>
  <c r="I186" i="28"/>
  <c r="I189" i="28"/>
  <c r="I58" i="25"/>
  <c r="I54" i="28"/>
  <c r="X49" i="28"/>
  <c r="G152" i="28"/>
  <c r="R152" i="28"/>
  <c r="K152" i="28" s="1"/>
  <c r="I149" i="28"/>
  <c r="X275" i="30"/>
  <c r="X137" i="30"/>
  <c r="I353" i="31"/>
  <c r="X353" i="31"/>
  <c r="X300" i="30"/>
  <c r="X303" i="30" s="1"/>
  <c r="W303" i="30"/>
  <c r="I400" i="31"/>
  <c r="X399" i="31"/>
  <c r="I401" i="31"/>
  <c r="X278" i="30"/>
  <c r="I208" i="25"/>
  <c r="I213" i="25"/>
  <c r="F213" i="25"/>
  <c r="X172" i="28"/>
  <c r="X168" i="28"/>
  <c r="H788" i="34"/>
  <c r="I190" i="28"/>
  <c r="I203" i="25"/>
  <c r="I172" i="28"/>
  <c r="X185" i="28"/>
  <c r="I187" i="28"/>
  <c r="X93" i="25"/>
  <c r="I385" i="31"/>
  <c r="I148" i="25"/>
  <c r="I155" i="25"/>
  <c r="I60" i="25"/>
  <c r="I53" i="25"/>
  <c r="I52" i="28"/>
  <c r="X160" i="30"/>
  <c r="X165" i="30" s="1"/>
  <c r="W165" i="30"/>
  <c r="I168" i="25"/>
  <c r="I170" i="25"/>
  <c r="X350" i="31"/>
  <c r="I355" i="31"/>
  <c r="I398" i="31"/>
  <c r="X171" i="28"/>
  <c r="I108" i="25"/>
  <c r="I117" i="25"/>
  <c r="I89" i="25"/>
  <c r="I59" i="25"/>
  <c r="I56" i="25"/>
  <c r="I133" i="28"/>
  <c r="R49" i="28"/>
  <c r="K49" i="28" s="1"/>
  <c r="G49" i="28"/>
  <c r="M49" i="28"/>
  <c r="N49" i="28" s="1"/>
  <c r="X152" i="28"/>
  <c r="X180" i="30"/>
  <c r="W188" i="30"/>
  <c r="I173" i="25"/>
  <c r="I166" i="25"/>
  <c r="F356" i="31"/>
  <c r="I356" i="31"/>
  <c r="X352" i="31"/>
  <c r="X402" i="31"/>
  <c r="I211" i="25"/>
  <c r="I210" i="25"/>
  <c r="I204" i="25"/>
  <c r="I170" i="28"/>
  <c r="X203" i="30"/>
  <c r="W211" i="30"/>
  <c r="X186" i="28"/>
  <c r="X354" i="31"/>
  <c r="I205" i="25"/>
  <c r="I207" i="25"/>
  <c r="I173" i="28"/>
  <c r="X128" i="30"/>
  <c r="W142" i="30"/>
  <c r="I185" i="28"/>
  <c r="F372" i="31"/>
  <c r="I372" i="31"/>
  <c r="X370" i="31"/>
  <c r="X320" i="31"/>
  <c r="X134" i="30"/>
  <c r="I109" i="25"/>
  <c r="F118" i="25"/>
  <c r="I118" i="25"/>
  <c r="I110" i="25"/>
  <c r="I91" i="25"/>
  <c r="X384" i="31"/>
  <c r="I147" i="25"/>
  <c r="X334" i="31"/>
  <c r="X336" i="31"/>
  <c r="I333" i="31"/>
  <c r="I138" i="28"/>
  <c r="X135" i="28"/>
  <c r="I48" i="28"/>
  <c r="I50" i="28"/>
  <c r="I155" i="28"/>
  <c r="X38" i="25"/>
  <c r="I174" i="25"/>
  <c r="X209" i="30"/>
  <c r="X400" i="31"/>
  <c r="I167" i="28"/>
  <c r="I184" i="28"/>
  <c r="H857" i="34"/>
  <c r="H650" i="34"/>
  <c r="I156" i="25"/>
  <c r="F156" i="25"/>
  <c r="I153" i="25"/>
  <c r="I340" i="31"/>
  <c r="F340" i="31"/>
  <c r="I51" i="25"/>
  <c r="I132" i="28"/>
  <c r="R135" i="28"/>
  <c r="K135" i="28" s="1"/>
  <c r="M135" i="28"/>
  <c r="N135" i="28" s="1"/>
  <c r="G135" i="28"/>
  <c r="I55" i="28"/>
  <c r="F55" i="28"/>
  <c r="I53" i="28"/>
  <c r="X270" i="30"/>
  <c r="W280" i="30"/>
  <c r="X232" i="30"/>
  <c r="I167" i="25"/>
  <c r="I354" i="31"/>
  <c r="H374" i="34"/>
  <c r="I402" i="31"/>
  <c r="I174" i="28"/>
  <c r="F174" i="28"/>
  <c r="I183" i="28"/>
  <c r="F191" i="28"/>
  <c r="I191" i="28"/>
  <c r="X273" i="30"/>
  <c r="A1838" i="34"/>
  <c r="A2061" i="34"/>
  <c r="C2033" i="34"/>
  <c r="I1863" i="34"/>
  <c r="H1841" i="34"/>
  <c r="I2277" i="34"/>
  <c r="H2268" i="34"/>
  <c r="J1785" i="34"/>
  <c r="A1932" i="34"/>
  <c r="I1932" i="34"/>
  <c r="G180" i="30"/>
  <c r="R180" i="30"/>
  <c r="K180" i="30" s="1"/>
  <c r="G181" i="30"/>
  <c r="R181" i="30"/>
  <c r="K181" i="30" s="1"/>
  <c r="G182" i="30"/>
  <c r="R182" i="30"/>
  <c r="K182" i="30" s="1"/>
  <c r="R227" i="30"/>
  <c r="K227" i="30" s="1"/>
  <c r="G227" i="30"/>
  <c r="G226" i="30"/>
  <c r="R226" i="30"/>
  <c r="K226" i="30" s="1"/>
  <c r="G228" i="30"/>
  <c r="R228" i="30"/>
  <c r="K228" i="30" s="1"/>
  <c r="H678" i="34"/>
  <c r="X130" i="25"/>
  <c r="X319" i="31"/>
  <c r="X169" i="25"/>
  <c r="X170" i="25"/>
  <c r="X92" i="25"/>
  <c r="R274" i="30"/>
  <c r="K274" i="30" s="1"/>
  <c r="G274" i="30"/>
  <c r="R273" i="30"/>
  <c r="K273" i="30" s="1"/>
  <c r="G273" i="30"/>
  <c r="R272" i="30"/>
  <c r="K272" i="30" s="1"/>
  <c r="G272" i="30"/>
  <c r="X154" i="28"/>
  <c r="X70" i="25"/>
  <c r="G251" i="30"/>
  <c r="R251" i="30"/>
  <c r="K251" i="30" s="1"/>
  <c r="R250" i="30"/>
  <c r="K250" i="30" s="1"/>
  <c r="G250" i="30"/>
  <c r="G249" i="30"/>
  <c r="R249" i="30"/>
  <c r="K249" i="30" s="1"/>
  <c r="X78" i="25"/>
  <c r="H369" i="33"/>
  <c r="X48" i="28"/>
  <c r="H120" i="29"/>
  <c r="H137" i="29"/>
  <c r="X349" i="31"/>
  <c r="H353" i="33"/>
  <c r="H103" i="29"/>
  <c r="R159" i="30"/>
  <c r="K159" i="30" s="1"/>
  <c r="G159" i="30"/>
  <c r="G157" i="30"/>
  <c r="R157" i="30"/>
  <c r="K157" i="30" s="1"/>
  <c r="R158" i="30"/>
  <c r="K158" i="30" s="1"/>
  <c r="G158" i="30"/>
  <c r="X149" i="28"/>
  <c r="X156" i="28"/>
  <c r="R118" i="30"/>
  <c r="R116" i="30"/>
  <c r="K116" i="30" s="1"/>
  <c r="G116" i="30"/>
  <c r="G108" i="30"/>
  <c r="R108" i="30"/>
  <c r="K108" i="30" s="1"/>
  <c r="R114" i="30"/>
  <c r="K114" i="30" s="1"/>
  <c r="G114" i="30"/>
  <c r="R117" i="30"/>
  <c r="K117" i="30" s="1"/>
  <c r="G117" i="30"/>
  <c r="G105" i="30"/>
  <c r="G119" i="30"/>
  <c r="R105" i="30"/>
  <c r="M105" i="30" s="1"/>
  <c r="N105" i="30" s="1"/>
  <c r="G106" i="30"/>
  <c r="R106" i="30"/>
  <c r="K106" i="30" s="1"/>
  <c r="G107" i="30"/>
  <c r="R107" i="30"/>
  <c r="K107" i="30" s="1"/>
  <c r="G111" i="30"/>
  <c r="R111" i="30"/>
  <c r="K111" i="30" s="1"/>
  <c r="G115" i="30"/>
  <c r="R115" i="30"/>
  <c r="K115" i="30" s="1"/>
  <c r="R109" i="30"/>
  <c r="K109" i="30" s="1"/>
  <c r="G109" i="30"/>
  <c r="G112" i="30"/>
  <c r="R112" i="30"/>
  <c r="K112" i="30" s="1"/>
  <c r="R110" i="30"/>
  <c r="K110" i="30" s="1"/>
  <c r="G110" i="30"/>
  <c r="R113" i="30"/>
  <c r="K113" i="30" s="1"/>
  <c r="G113" i="30"/>
  <c r="H52" i="29"/>
  <c r="H321" i="33"/>
  <c r="R136" i="30"/>
  <c r="K136" i="30" s="1"/>
  <c r="G136" i="30"/>
  <c r="R135" i="30"/>
  <c r="K135" i="30" s="1"/>
  <c r="G135" i="30"/>
  <c r="R134" i="30"/>
  <c r="K134" i="30" s="1"/>
  <c r="G134" i="30"/>
  <c r="H69" i="29"/>
  <c r="X174" i="25"/>
  <c r="X54" i="25"/>
  <c r="H458" i="34"/>
  <c r="X51" i="25"/>
  <c r="H596" i="34"/>
  <c r="X57" i="25"/>
  <c r="X58" i="25"/>
  <c r="X68" i="28"/>
  <c r="H86" i="29"/>
  <c r="X168" i="25"/>
  <c r="X110" i="25"/>
  <c r="X171" i="25"/>
  <c r="X54" i="28"/>
  <c r="X131" i="25"/>
  <c r="H320" i="34"/>
  <c r="H385" i="33"/>
  <c r="X91" i="25"/>
  <c r="H389" i="34"/>
  <c r="H182" i="34"/>
  <c r="H251" i="34"/>
  <c r="X173" i="25"/>
  <c r="X134" i="25"/>
  <c r="H337" i="33"/>
  <c r="X109" i="25"/>
  <c r="X90" i="25"/>
  <c r="F356" i="30"/>
  <c r="V88" i="30"/>
  <c r="V86" i="30"/>
  <c r="X188" i="28"/>
  <c r="X345" i="30"/>
  <c r="X190" i="28"/>
  <c r="X335" i="30"/>
  <c r="X347" i="30"/>
  <c r="X187" i="28"/>
  <c r="W191" i="28"/>
  <c r="X183" i="28"/>
  <c r="X184" i="28"/>
  <c r="X189" i="28"/>
  <c r="X342" i="30"/>
  <c r="X344" i="30"/>
  <c r="X209" i="25"/>
  <c r="X338" i="30"/>
  <c r="X203" i="25"/>
  <c r="X208" i="25"/>
  <c r="X343" i="30"/>
  <c r="X337" i="30"/>
  <c r="X211" i="25"/>
  <c r="X210" i="25"/>
  <c r="X341" i="30"/>
  <c r="X339" i="30"/>
  <c r="X346" i="30"/>
  <c r="X205" i="25"/>
  <c r="X336" i="30"/>
  <c r="W349" i="30"/>
  <c r="H734" i="34"/>
  <c r="X340" i="30"/>
  <c r="X207" i="25"/>
  <c r="X204" i="25"/>
  <c r="X212" i="25"/>
  <c r="X206" i="25"/>
  <c r="H926" i="34"/>
  <c r="H1932" i="34"/>
  <c r="H747" i="34"/>
  <c r="I2475" i="34"/>
  <c r="A2484" i="34"/>
  <c r="A2475" i="34"/>
  <c r="C2475" i="34"/>
  <c r="J2447" i="34"/>
  <c r="I2447" i="34"/>
  <c r="H2475" i="34"/>
  <c r="I2484" i="34"/>
  <c r="J2475" i="34"/>
  <c r="M152" i="28"/>
  <c r="A2459" i="34"/>
  <c r="X436" i="31"/>
  <c r="J2462" i="34"/>
  <c r="B2460" i="34"/>
  <c r="I2459" i="34"/>
  <c r="H2447" i="34"/>
  <c r="C2447" i="34"/>
  <c r="H2462" i="34"/>
  <c r="B2445" i="34"/>
  <c r="I2472" i="34"/>
  <c r="I2462" i="34"/>
  <c r="C2462" i="34"/>
  <c r="M151" i="28"/>
  <c r="A2472" i="34"/>
  <c r="X326" i="30"/>
  <c r="I223" i="25"/>
  <c r="G169" i="28"/>
  <c r="R169" i="28"/>
  <c r="K169" i="28" s="1"/>
  <c r="G168" i="28"/>
  <c r="R168" i="28"/>
  <c r="K168" i="28" s="1"/>
  <c r="I462" i="31"/>
  <c r="I461" i="31"/>
  <c r="I225" i="25"/>
  <c r="I226" i="25"/>
  <c r="I231" i="25"/>
  <c r="I228" i="25"/>
  <c r="R295" i="30"/>
  <c r="K295" i="30" s="1"/>
  <c r="G295" i="30"/>
  <c r="R296" i="30"/>
  <c r="K296" i="30" s="1"/>
  <c r="G296" i="30"/>
  <c r="R297" i="30"/>
  <c r="K297" i="30" s="1"/>
  <c r="G297" i="30"/>
  <c r="I232" i="25"/>
  <c r="F232" i="25"/>
  <c r="I203" i="28"/>
  <c r="I467" i="31"/>
  <c r="I227" i="25"/>
  <c r="R320" i="30"/>
  <c r="K320" i="30" s="1"/>
  <c r="G320" i="30"/>
  <c r="R325" i="30"/>
  <c r="M325" i="30" s="1"/>
  <c r="G317" i="30"/>
  <c r="R317" i="30"/>
  <c r="K317" i="30" s="1"/>
  <c r="R314" i="30"/>
  <c r="K314" i="30" s="1"/>
  <c r="G314" i="30"/>
  <c r="R316" i="30"/>
  <c r="K316" i="30" s="1"/>
  <c r="G316" i="30"/>
  <c r="R321" i="30"/>
  <c r="K321" i="30" s="1"/>
  <c r="G321" i="30"/>
  <c r="G322" i="30"/>
  <c r="R322" i="30"/>
  <c r="K322" i="30" s="1"/>
  <c r="R319" i="30"/>
  <c r="K319" i="30" s="1"/>
  <c r="G319" i="30"/>
  <c r="R315" i="30"/>
  <c r="K315" i="30" s="1"/>
  <c r="G315" i="30"/>
  <c r="R323" i="30"/>
  <c r="K323" i="30" s="1"/>
  <c r="G323" i="30"/>
  <c r="G312" i="30"/>
  <c r="R312" i="30"/>
  <c r="M312" i="30" s="1"/>
  <c r="N312" i="30" s="1"/>
  <c r="G326" i="30"/>
  <c r="R318" i="30"/>
  <c r="K318" i="30" s="1"/>
  <c r="G318" i="30"/>
  <c r="G324" i="30"/>
  <c r="R324" i="30"/>
  <c r="K324" i="30" s="1"/>
  <c r="G313" i="30"/>
  <c r="R313" i="30"/>
  <c r="K313" i="30" s="1"/>
  <c r="I200" i="28"/>
  <c r="I208" i="28"/>
  <c r="F208" i="28"/>
  <c r="I207" i="28"/>
  <c r="I466" i="31"/>
  <c r="I222" i="25"/>
  <c r="I224" i="25"/>
  <c r="I463" i="31"/>
  <c r="I468" i="31"/>
  <c r="F468" i="31"/>
  <c r="I229" i="25"/>
  <c r="I206" i="28"/>
  <c r="I465" i="31"/>
  <c r="I230" i="25"/>
  <c r="I202" i="28"/>
  <c r="I205" i="28"/>
  <c r="I204" i="28"/>
  <c r="I464" i="31"/>
  <c r="I201" i="28"/>
  <c r="I242" i="25"/>
  <c r="F484" i="31"/>
  <c r="I484" i="31"/>
  <c r="I478" i="31"/>
  <c r="I244" i="25"/>
  <c r="I482" i="31"/>
  <c r="I360" i="30"/>
  <c r="I481" i="31"/>
  <c r="I367" i="30"/>
  <c r="I363" i="30"/>
  <c r="I477" i="31"/>
  <c r="I362" i="30"/>
  <c r="I241" i="25"/>
  <c r="I358" i="30"/>
  <c r="I371" i="30"/>
  <c r="I245" i="25"/>
  <c r="I246" i="25"/>
  <c r="I359" i="30"/>
  <c r="I221" i="28"/>
  <c r="I250" i="25"/>
  <c r="I217" i="28"/>
  <c r="I368" i="30"/>
  <c r="I361" i="30"/>
  <c r="I218" i="28"/>
  <c r="I220" i="28"/>
  <c r="X461" i="31"/>
  <c r="I483" i="31"/>
  <c r="F225" i="28"/>
  <c r="I225" i="28"/>
  <c r="H995" i="34"/>
  <c r="I249" i="25"/>
  <c r="I366" i="30"/>
  <c r="I222" i="28"/>
  <c r="I247" i="25"/>
  <c r="I480" i="31"/>
  <c r="I372" i="30"/>
  <c r="F372" i="30"/>
  <c r="I223" i="28"/>
  <c r="F251" i="25"/>
  <c r="I251" i="25"/>
  <c r="I479" i="31"/>
  <c r="I370" i="30"/>
  <c r="I219" i="28"/>
  <c r="I224" i="28"/>
  <c r="I248" i="25"/>
  <c r="I243" i="25"/>
  <c r="R185" i="28"/>
  <c r="K185" i="28" s="1"/>
  <c r="G185" i="28"/>
  <c r="R186" i="28"/>
  <c r="K186" i="28" s="1"/>
  <c r="G186" i="28"/>
  <c r="F232" i="28"/>
  <c r="A489" i="23"/>
  <c r="G501" i="31"/>
  <c r="M243" i="28"/>
  <c r="I271" i="25"/>
  <c r="M491" i="31"/>
  <c r="K501" i="31"/>
  <c r="K232" i="28"/>
  <c r="N258" i="25"/>
  <c r="G491" i="31"/>
  <c r="G271" i="25"/>
  <c r="M258" i="25"/>
  <c r="A271" i="25"/>
  <c r="A243" i="28"/>
  <c r="I232" i="28"/>
  <c r="A258" i="25"/>
  <c r="F258" i="25"/>
  <c r="K489" i="31"/>
  <c r="D256" i="25"/>
  <c r="D501" i="31"/>
  <c r="M232" i="28"/>
  <c r="A256" i="25"/>
  <c r="A232" i="28"/>
  <c r="G232" i="28"/>
  <c r="I501" i="31"/>
  <c r="K258" i="25"/>
  <c r="N232" i="28"/>
  <c r="A242" i="28"/>
  <c r="K230" i="28"/>
  <c r="D489" i="31"/>
  <c r="A500" i="31"/>
  <c r="I243" i="28"/>
  <c r="X452" i="31"/>
  <c r="M271" i="25"/>
  <c r="I258" i="25"/>
  <c r="B491" i="31"/>
  <c r="A491" i="31"/>
  <c r="G489" i="31"/>
  <c r="A270" i="25"/>
  <c r="G230" i="28"/>
  <c r="A230" i="28"/>
  <c r="K256" i="25"/>
  <c r="B293" i="25"/>
  <c r="D230" i="28"/>
  <c r="B520" i="31"/>
  <c r="G243" i="28"/>
  <c r="D271" i="25"/>
  <c r="G258" i="25"/>
  <c r="A501" i="31"/>
  <c r="K243" i="28"/>
  <c r="D243" i="28"/>
  <c r="F491" i="31"/>
  <c r="I491" i="31"/>
  <c r="A489" i="31"/>
  <c r="M501" i="31"/>
  <c r="B258" i="25"/>
  <c r="K271" i="25"/>
  <c r="G256" i="25"/>
  <c r="B232" i="28"/>
  <c r="K491" i="31"/>
  <c r="B263" i="28"/>
  <c r="N491" i="31"/>
  <c r="A2531" i="34"/>
  <c r="I2541" i="34"/>
  <c r="A2541" i="34"/>
  <c r="J2531" i="34"/>
  <c r="I2531" i="34"/>
  <c r="C2531" i="34"/>
  <c r="H2531" i="34"/>
  <c r="B2529" i="34"/>
  <c r="A2634" i="34"/>
  <c r="A2528" i="34"/>
  <c r="I2528" i="34"/>
  <c r="B2514" i="34"/>
  <c r="I2516" i="34"/>
  <c r="J2516" i="34"/>
  <c r="C2516" i="34"/>
  <c r="H2516" i="34"/>
  <c r="A2516" i="34"/>
  <c r="B2542" i="34"/>
  <c r="I2544" i="34"/>
  <c r="I2553" i="34"/>
  <c r="C2544" i="34"/>
  <c r="H2544" i="34"/>
  <c r="J2544" i="34"/>
  <c r="A2553" i="34"/>
  <c r="A2544" i="34"/>
  <c r="H449" i="33"/>
  <c r="A486" i="33"/>
  <c r="AR35" i="32"/>
  <c r="M488" i="30"/>
  <c r="M511" i="30" s="1"/>
  <c r="M534" i="30" s="1"/>
  <c r="M557" i="30" s="1"/>
  <c r="M580" i="30" s="1"/>
  <c r="M603" i="30" s="1"/>
  <c r="M626" i="30" s="1"/>
  <c r="M649" i="30" s="1"/>
  <c r="M672" i="30" s="1"/>
  <c r="M695" i="30" s="1"/>
  <c r="M718" i="30" s="1"/>
  <c r="M741" i="30" s="1"/>
  <c r="M764" i="30" s="1"/>
  <c r="M787" i="30" s="1"/>
  <c r="M810" i="30" s="1"/>
  <c r="M833" i="30" s="1"/>
  <c r="M856" i="30" s="1"/>
  <c r="M879" i="30" s="1"/>
  <c r="M902" i="30" s="1"/>
  <c r="M925" i="30" s="1"/>
  <c r="I392" i="30"/>
  <c r="I388" i="30"/>
  <c r="I384" i="30"/>
  <c r="I389" i="30"/>
  <c r="I393" i="30"/>
  <c r="I381" i="30"/>
  <c r="I394" i="30"/>
  <c r="I385" i="30"/>
  <c r="I383" i="30"/>
  <c r="I387" i="30"/>
  <c r="I390" i="30"/>
  <c r="I386" i="30"/>
  <c r="I382" i="30"/>
  <c r="I391" i="30"/>
  <c r="F395" i="30"/>
  <c r="I395" i="30"/>
  <c r="B471" i="30"/>
  <c r="B494" i="30" s="1"/>
  <c r="B517" i="30" s="1"/>
  <c r="B540" i="30" s="1"/>
  <c r="B563" i="30" s="1"/>
  <c r="B586" i="30" s="1"/>
  <c r="B609" i="30" s="1"/>
  <c r="B632" i="30" s="1"/>
  <c r="B655" i="30" s="1"/>
  <c r="B678" i="30" s="1"/>
  <c r="B701" i="30" s="1"/>
  <c r="B724" i="30" s="1"/>
  <c r="B747" i="30" s="1"/>
  <c r="B770" i="30" s="1"/>
  <c r="B793" i="30" s="1"/>
  <c r="B816" i="30" s="1"/>
  <c r="B839" i="30" s="1"/>
  <c r="B862" i="30" s="1"/>
  <c r="B885" i="30" s="1"/>
  <c r="B908" i="30" s="1"/>
  <c r="D399" i="30"/>
  <c r="A399" i="30"/>
  <c r="C399" i="30"/>
  <c r="E399" i="30"/>
  <c r="AR22" i="27"/>
  <c r="A329" i="26"/>
  <c r="W467" i="31"/>
  <c r="W463" i="31"/>
  <c r="W466" i="31"/>
  <c r="W464" i="31"/>
  <c r="W462" i="31"/>
  <c r="W465" i="31"/>
  <c r="I158" i="34"/>
  <c r="I61" i="23"/>
  <c r="I57" i="23"/>
  <c r="I154" i="34"/>
  <c r="I64" i="23"/>
  <c r="I161" i="34"/>
  <c r="I63" i="23"/>
  <c r="I160" i="34"/>
  <c r="I157" i="34"/>
  <c r="I60" i="23"/>
  <c r="I223" i="34"/>
  <c r="I80" i="23"/>
  <c r="I91" i="23"/>
  <c r="I234" i="34"/>
  <c r="I162" i="34"/>
  <c r="I65" i="23"/>
  <c r="I231" i="34"/>
  <c r="I88" i="23"/>
  <c r="I227" i="34"/>
  <c r="I84" i="23"/>
  <c r="I222" i="34"/>
  <c r="I79" i="23"/>
  <c r="I68" i="23"/>
  <c r="I165" i="34"/>
  <c r="I81" i="23"/>
  <c r="I224" i="34"/>
  <c r="I159" i="34"/>
  <c r="I62" i="23"/>
  <c r="I66" i="23"/>
  <c r="I163" i="34"/>
  <c r="I90" i="23"/>
  <c r="I233" i="34"/>
  <c r="I59" i="23"/>
  <c r="I156" i="34"/>
  <c r="I164" i="34"/>
  <c r="I67" i="23"/>
  <c r="I232" i="34"/>
  <c r="I89" i="23"/>
  <c r="I153" i="34"/>
  <c r="I56" i="23"/>
  <c r="H450" i="34"/>
  <c r="C243" i="34"/>
  <c r="H456" i="34"/>
  <c r="A315" i="34"/>
  <c r="W115" i="25"/>
  <c r="H180" i="34"/>
  <c r="C380" i="34"/>
  <c r="A248" i="34"/>
  <c r="W116" i="28"/>
  <c r="H248" i="34"/>
  <c r="H451" i="34"/>
  <c r="C250" i="34"/>
  <c r="W89" i="25"/>
  <c r="I47" i="29"/>
  <c r="H316" i="34"/>
  <c r="H179" i="34"/>
  <c r="W166" i="25"/>
  <c r="C673" i="34"/>
  <c r="H151" i="29"/>
  <c r="H671" i="34"/>
  <c r="P161" i="30"/>
  <c r="P151" i="30"/>
  <c r="P162" i="30"/>
  <c r="P160" i="30"/>
  <c r="P153" i="30"/>
  <c r="P164" i="30"/>
  <c r="P155" i="30"/>
  <c r="P154" i="30"/>
  <c r="P152" i="30"/>
  <c r="P156" i="30"/>
  <c r="P163" i="30"/>
  <c r="H175" i="34"/>
  <c r="W381" i="31"/>
  <c r="A175" i="34"/>
  <c r="C1862" i="34"/>
  <c r="J229" i="34"/>
  <c r="A798" i="34"/>
  <c r="C815" i="34"/>
  <c r="H808" i="34"/>
  <c r="I102" i="23"/>
  <c r="W225" i="25"/>
  <c r="A1996" i="34"/>
  <c r="H810" i="34"/>
  <c r="H878" i="34"/>
  <c r="J157" i="34"/>
  <c r="C246" i="34"/>
  <c r="H454" i="34"/>
  <c r="A453" i="34"/>
  <c r="H317" i="34"/>
  <c r="H247" i="34"/>
  <c r="H314" i="34"/>
  <c r="I81" i="29"/>
  <c r="W317" i="31"/>
  <c r="W76" i="25"/>
  <c r="H243" i="34"/>
  <c r="C179" i="34"/>
  <c r="H246" i="34"/>
  <c r="C310" i="34"/>
  <c r="W385" i="31"/>
  <c r="W117" i="25"/>
  <c r="A386" i="34"/>
  <c r="C525" i="34"/>
  <c r="H181" i="34"/>
  <c r="P276" i="30"/>
  <c r="P269" i="30"/>
  <c r="P275" i="30"/>
  <c r="P266" i="30"/>
  <c r="P277" i="30"/>
  <c r="P270" i="30"/>
  <c r="P278" i="30"/>
  <c r="P268" i="30"/>
  <c r="P279" i="30"/>
  <c r="P271" i="30"/>
  <c r="P267" i="30"/>
  <c r="H1857" i="34"/>
  <c r="I224" i="23"/>
  <c r="J164" i="34"/>
  <c r="J58" i="23"/>
  <c r="H202" i="29"/>
  <c r="H1999" i="34"/>
  <c r="A1997" i="34"/>
  <c r="A1998" i="34"/>
  <c r="P335" i="30"/>
  <c r="W202" i="28"/>
  <c r="A2069" i="34"/>
  <c r="H882" i="34"/>
  <c r="C1996" i="34"/>
  <c r="H198" i="29"/>
  <c r="J328" i="34"/>
  <c r="H1996" i="34"/>
  <c r="W204" i="28"/>
  <c r="A812" i="34"/>
  <c r="A1994" i="34"/>
  <c r="I291" i="34"/>
  <c r="J67" i="23"/>
  <c r="C877" i="34"/>
  <c r="C214" i="29"/>
  <c r="C1994" i="34"/>
  <c r="H199" i="29"/>
  <c r="I63" i="29"/>
  <c r="W122" i="28"/>
  <c r="H319" i="34"/>
  <c r="W73" i="25"/>
  <c r="W133" i="25"/>
  <c r="W98" i="25"/>
  <c r="A152" i="29"/>
  <c r="C245" i="34"/>
  <c r="C455" i="34"/>
  <c r="A318" i="34"/>
  <c r="H453" i="34"/>
  <c r="A526" i="34"/>
  <c r="A243" i="34"/>
  <c r="H249" i="34"/>
  <c r="C313" i="34"/>
  <c r="I97" i="29"/>
  <c r="H313" i="34"/>
  <c r="C672" i="34"/>
  <c r="P301" i="30"/>
  <c r="P294" i="30"/>
  <c r="P289" i="30"/>
  <c r="P298" i="30"/>
  <c r="P290" i="30"/>
  <c r="P302" i="30"/>
  <c r="P299" i="30"/>
  <c r="P293" i="30"/>
  <c r="P292" i="30"/>
  <c r="P291" i="30"/>
  <c r="P300" i="30"/>
  <c r="A381" i="34"/>
  <c r="C311" i="34"/>
  <c r="A399" i="33"/>
  <c r="H397" i="33"/>
  <c r="H518" i="34"/>
  <c r="C178" i="34"/>
  <c r="H183" i="29"/>
  <c r="H1859" i="34"/>
  <c r="A1790" i="34"/>
  <c r="A1928" i="34"/>
  <c r="P337" i="30"/>
  <c r="P183" i="28"/>
  <c r="C200" i="29"/>
  <c r="P336" i="30"/>
  <c r="J230" i="34"/>
  <c r="H2000" i="34"/>
  <c r="W364" i="30"/>
  <c r="A796" i="34"/>
  <c r="H884" i="34"/>
  <c r="H797" i="34"/>
  <c r="W65" i="28"/>
  <c r="A249" i="34"/>
  <c r="W120" i="28"/>
  <c r="A242" i="34"/>
  <c r="C1650" i="34"/>
  <c r="W155" i="28"/>
  <c r="H311" i="34"/>
  <c r="A148" i="29"/>
  <c r="C453" i="34"/>
  <c r="I131" i="29"/>
  <c r="W335" i="31"/>
  <c r="C1582" i="34"/>
  <c r="H602" i="34"/>
  <c r="C149" i="29"/>
  <c r="A673" i="34"/>
  <c r="W95" i="25"/>
  <c r="C172" i="34"/>
  <c r="W115" i="28"/>
  <c r="C314" i="34"/>
  <c r="C397" i="33"/>
  <c r="H1856" i="34"/>
  <c r="H1789" i="34"/>
  <c r="A1929" i="34"/>
  <c r="J232" i="34"/>
  <c r="P343" i="30"/>
  <c r="H200" i="29"/>
  <c r="H1995" i="34"/>
  <c r="H1994" i="34"/>
  <c r="H880" i="34"/>
  <c r="A793" i="34"/>
  <c r="W366" i="30"/>
  <c r="W206" i="28"/>
  <c r="A884" i="34"/>
  <c r="C883" i="34"/>
  <c r="A247" i="34"/>
  <c r="A456" i="34"/>
  <c r="W104" i="28"/>
  <c r="C449" i="34"/>
  <c r="A317" i="34"/>
  <c r="W387" i="31"/>
  <c r="C1446" i="34"/>
  <c r="C1378" i="34"/>
  <c r="H455" i="34"/>
  <c r="H521" i="34"/>
  <c r="C381" i="34"/>
  <c r="C396" i="33"/>
  <c r="A672" i="34"/>
  <c r="C152" i="29"/>
  <c r="A312" i="34"/>
  <c r="A517" i="34"/>
  <c r="I46" i="29"/>
  <c r="W323" i="31"/>
  <c r="A676" i="34"/>
  <c r="H1860" i="34"/>
  <c r="C1858" i="34"/>
  <c r="C1789" i="34"/>
  <c r="A1930" i="34"/>
  <c r="W388" i="30"/>
  <c r="C794" i="34"/>
  <c r="J80" i="29"/>
  <c r="I394" i="34"/>
  <c r="A198" i="29"/>
  <c r="C1999" i="34"/>
  <c r="H1998" i="34"/>
  <c r="H796" i="34"/>
  <c r="H219" i="29"/>
  <c r="H814" i="34"/>
  <c r="A454" i="34"/>
  <c r="W397" i="31"/>
  <c r="W77" i="25"/>
  <c r="C317" i="34"/>
  <c r="A396" i="33"/>
  <c r="A245" i="34"/>
  <c r="W367" i="31"/>
  <c r="A319" i="34"/>
  <c r="A176" i="34"/>
  <c r="A379" i="34"/>
  <c r="C318" i="34"/>
  <c r="H526" i="34"/>
  <c r="W137" i="28"/>
  <c r="A177" i="34"/>
  <c r="H675" i="34"/>
  <c r="C1514" i="34"/>
  <c r="W133" i="28"/>
  <c r="W403" i="31"/>
  <c r="C520" i="34"/>
  <c r="H673" i="34"/>
  <c r="I132" i="29"/>
  <c r="A1860" i="34"/>
  <c r="A1857" i="34"/>
  <c r="A1788" i="34"/>
  <c r="C1930" i="34"/>
  <c r="W116" i="25"/>
  <c r="C146" i="29"/>
  <c r="W152" i="25"/>
  <c r="A241" i="34"/>
  <c r="W102" i="28"/>
  <c r="W85" i="28"/>
  <c r="P252" i="30"/>
  <c r="P254" i="30"/>
  <c r="P253" i="30"/>
  <c r="P246" i="30"/>
  <c r="P247" i="30"/>
  <c r="P248" i="30"/>
  <c r="P244" i="30"/>
  <c r="P243" i="30"/>
  <c r="P245" i="30"/>
  <c r="P256" i="30"/>
  <c r="P255" i="30"/>
  <c r="A451" i="34"/>
  <c r="C319" i="34"/>
  <c r="A450" i="34"/>
  <c r="C312" i="34"/>
  <c r="H400" i="33"/>
  <c r="A400" i="33"/>
  <c r="H399" i="33"/>
  <c r="C316" i="34"/>
  <c r="W53" i="25"/>
  <c r="W383" i="31"/>
  <c r="C675" i="34"/>
  <c r="W337" i="31"/>
  <c r="C1718" i="34"/>
  <c r="A1856" i="34"/>
  <c r="H1790" i="34"/>
  <c r="C1928" i="34"/>
  <c r="J60" i="23"/>
  <c r="A809" i="34"/>
  <c r="W226" i="25"/>
  <c r="P184" i="28"/>
  <c r="C203" i="29"/>
  <c r="C204" i="29"/>
  <c r="I148" i="29"/>
  <c r="C811" i="34"/>
  <c r="H800" i="34"/>
  <c r="C1995" i="34"/>
  <c r="C813" i="34"/>
  <c r="P190" i="28"/>
  <c r="J465" i="34"/>
  <c r="W230" i="25"/>
  <c r="W224" i="25"/>
  <c r="W201" i="28"/>
  <c r="A882" i="34"/>
  <c r="P188" i="28"/>
  <c r="W227" i="25"/>
  <c r="A797" i="34"/>
  <c r="A811" i="34"/>
  <c r="A881" i="34"/>
  <c r="H794" i="34"/>
  <c r="C2000" i="34"/>
  <c r="H799" i="34"/>
  <c r="H215" i="29"/>
  <c r="A200" i="29"/>
  <c r="H798" i="34"/>
  <c r="P187" i="28"/>
  <c r="W228" i="25"/>
  <c r="J131" i="29"/>
  <c r="W223" i="25"/>
  <c r="C2068" i="34"/>
  <c r="H2066" i="34"/>
  <c r="C795" i="34"/>
  <c r="A814" i="34"/>
  <c r="J88" i="23"/>
  <c r="J86" i="23"/>
  <c r="C880" i="34"/>
  <c r="P339" i="30"/>
  <c r="A810" i="34"/>
  <c r="W231" i="25"/>
  <c r="P345" i="30"/>
  <c r="A2065" i="34"/>
  <c r="A800" i="34"/>
  <c r="P346" i="30"/>
  <c r="C808" i="34"/>
  <c r="A879" i="34"/>
  <c r="P189" i="28"/>
  <c r="C884" i="34"/>
  <c r="H802" i="34"/>
  <c r="C802" i="34"/>
  <c r="J81" i="29"/>
  <c r="A883" i="34"/>
  <c r="J115" i="29"/>
  <c r="C809" i="34"/>
  <c r="W97" i="25"/>
  <c r="W128" i="25"/>
  <c r="I115" i="29"/>
  <c r="A522" i="34"/>
  <c r="A250" i="34"/>
  <c r="C448" i="34"/>
  <c r="A523" i="34"/>
  <c r="H452" i="34"/>
  <c r="A316" i="34"/>
  <c r="W150" i="28"/>
  <c r="P187" i="30"/>
  <c r="P185" i="30"/>
  <c r="P174" i="30"/>
  <c r="P186" i="30"/>
  <c r="P178" i="30"/>
  <c r="P175" i="30"/>
  <c r="P184" i="30"/>
  <c r="P183" i="30"/>
  <c r="P176" i="30"/>
  <c r="P179" i="30"/>
  <c r="P177" i="30"/>
  <c r="H386" i="34"/>
  <c r="W147" i="25"/>
  <c r="C1861" i="34"/>
  <c r="C1792" i="34"/>
  <c r="C1931" i="34"/>
  <c r="J79" i="23"/>
  <c r="J162" i="34"/>
  <c r="J165" i="34"/>
  <c r="H811" i="34"/>
  <c r="A1999" i="34"/>
  <c r="W200" i="28"/>
  <c r="C798" i="34"/>
  <c r="C799" i="34"/>
  <c r="J46" i="29"/>
  <c r="A197" i="29"/>
  <c r="P344" i="30"/>
  <c r="H809" i="34"/>
  <c r="C881" i="34"/>
  <c r="C797" i="34"/>
  <c r="H2064" i="34"/>
  <c r="J114" i="29"/>
  <c r="J534" i="34"/>
  <c r="I603" i="34"/>
  <c r="A802" i="34"/>
  <c r="C878" i="34"/>
  <c r="C1997" i="34"/>
  <c r="P342" i="30"/>
  <c r="A801" i="34"/>
  <c r="J222" i="34"/>
  <c r="J65" i="23"/>
  <c r="A199" i="29"/>
  <c r="A880" i="34"/>
  <c r="I532" i="34"/>
  <c r="H881" i="34"/>
  <c r="C812" i="34"/>
  <c r="J155" i="34"/>
  <c r="C2066" i="34"/>
  <c r="I467" i="34"/>
  <c r="C1998" i="34"/>
  <c r="H793" i="34"/>
  <c r="I643" i="34"/>
  <c r="P341" i="30"/>
  <c r="J87" i="23"/>
  <c r="W207" i="28"/>
  <c r="P347" i="30"/>
  <c r="C814" i="34"/>
  <c r="H201" i="29"/>
  <c r="H883" i="34"/>
  <c r="I98" i="29"/>
  <c r="C452" i="34"/>
  <c r="A455" i="34"/>
  <c r="C249" i="34"/>
  <c r="C526" i="34"/>
  <c r="W79" i="25"/>
  <c r="W371" i="31"/>
  <c r="H523" i="34"/>
  <c r="W81" i="28"/>
  <c r="C457" i="34"/>
  <c r="H318" i="34"/>
  <c r="P173" i="28"/>
  <c r="P172" i="28"/>
  <c r="P171" i="28"/>
  <c r="P170" i="28"/>
  <c r="P166" i="28"/>
  <c r="P167" i="28"/>
  <c r="A178" i="34"/>
  <c r="W172" i="25"/>
  <c r="C670" i="34"/>
  <c r="A149" i="29"/>
  <c r="W111" i="25"/>
  <c r="P128" i="30"/>
  <c r="P138" i="30"/>
  <c r="P140" i="30"/>
  <c r="P131" i="30"/>
  <c r="P141" i="30"/>
  <c r="P129" i="30"/>
  <c r="P130" i="30"/>
  <c r="P133" i="30"/>
  <c r="P137" i="30"/>
  <c r="P139" i="30"/>
  <c r="P132" i="30"/>
  <c r="A395" i="33"/>
  <c r="H1862" i="34"/>
  <c r="I82" i="23"/>
  <c r="I225" i="34"/>
  <c r="C1787" i="34"/>
  <c r="A1931" i="34"/>
  <c r="J68" i="23"/>
  <c r="H795" i="34"/>
  <c r="P340" i="30"/>
  <c r="W389" i="30"/>
  <c r="W222" i="25"/>
  <c r="J231" i="34"/>
  <c r="W205" i="28"/>
  <c r="H204" i="29"/>
  <c r="W229" i="25"/>
  <c r="H801" i="34"/>
  <c r="J132" i="29"/>
  <c r="C801" i="34"/>
  <c r="C796" i="34"/>
  <c r="A2000" i="34"/>
  <c r="C201" i="29"/>
  <c r="A1995" i="34"/>
  <c r="W203" i="28"/>
  <c r="C198" i="29"/>
  <c r="A877" i="34"/>
  <c r="I80" i="29"/>
  <c r="C454" i="34"/>
  <c r="W87" i="28"/>
  <c r="C451" i="34"/>
  <c r="W52" i="25"/>
  <c r="W98" i="28"/>
  <c r="I64" i="29"/>
  <c r="A457" i="34"/>
  <c r="C175" i="34"/>
  <c r="P231" i="30"/>
  <c r="P225" i="30"/>
  <c r="P232" i="30"/>
  <c r="P230" i="30"/>
  <c r="P224" i="30"/>
  <c r="P220" i="30"/>
  <c r="P222" i="30"/>
  <c r="P233" i="30"/>
  <c r="P229" i="30"/>
  <c r="P221" i="30"/>
  <c r="P223" i="30"/>
  <c r="W149" i="25"/>
  <c r="W88" i="28"/>
  <c r="I114" i="29"/>
  <c r="C180" i="34"/>
  <c r="H244" i="34"/>
  <c r="W113" i="25"/>
  <c r="A313" i="34"/>
  <c r="C674" i="34"/>
  <c r="W52" i="28"/>
  <c r="C524" i="34"/>
  <c r="W59" i="25"/>
  <c r="P198" i="30"/>
  <c r="P206" i="30"/>
  <c r="P199" i="30"/>
  <c r="P207" i="30"/>
  <c r="P209" i="30"/>
  <c r="P197" i="30"/>
  <c r="P201" i="30"/>
  <c r="P208" i="30"/>
  <c r="P203" i="30"/>
  <c r="P205" i="30"/>
  <c r="P204" i="30"/>
  <c r="P200" i="30"/>
  <c r="P210" i="30"/>
  <c r="P202" i="30"/>
  <c r="W112" i="25"/>
  <c r="A520" i="34"/>
  <c r="A675" i="34"/>
  <c r="H1861" i="34"/>
  <c r="H1788" i="34"/>
  <c r="H1930" i="34"/>
  <c r="A878" i="34"/>
  <c r="A794" i="34"/>
  <c r="A799" i="34"/>
  <c r="C800" i="34"/>
  <c r="C2065" i="34"/>
  <c r="H2068" i="34"/>
  <c r="W387" i="30"/>
  <c r="H197" i="29"/>
  <c r="A815" i="34"/>
  <c r="I604" i="34"/>
  <c r="P338" i="30"/>
  <c r="J535" i="34"/>
  <c r="A795" i="34"/>
  <c r="H1997" i="34"/>
  <c r="I149" i="29"/>
  <c r="J89" i="23"/>
  <c r="J466" i="34"/>
  <c r="C793" i="34"/>
  <c r="P348" i="30"/>
  <c r="H2069" i="34"/>
  <c r="H214" i="29"/>
  <c r="W365" i="30"/>
  <c r="J327" i="34"/>
  <c r="C882" i="34"/>
  <c r="A215" i="29"/>
  <c r="C2063" i="34"/>
  <c r="C199" i="29"/>
  <c r="M341" i="30" l="1"/>
  <c r="N341" i="30" s="1"/>
  <c r="M342" i="30"/>
  <c r="N342" i="30" s="1"/>
  <c r="M343" i="30"/>
  <c r="N343" i="30" s="1"/>
  <c r="M315" i="30"/>
  <c r="N315" i="30" s="1"/>
  <c r="M324" i="30"/>
  <c r="N324" i="30" s="1"/>
  <c r="M321" i="30"/>
  <c r="N321" i="30" s="1"/>
  <c r="M322" i="30"/>
  <c r="N322" i="30" s="1"/>
  <c r="M314" i="30"/>
  <c r="N314" i="30" s="1"/>
  <c r="M323" i="30"/>
  <c r="N323" i="30" s="1"/>
  <c r="M316" i="30"/>
  <c r="N316" i="30" s="1"/>
  <c r="M317" i="30"/>
  <c r="N317" i="30" s="1"/>
  <c r="M313" i="30"/>
  <c r="N313" i="30" s="1"/>
  <c r="M116" i="30"/>
  <c r="N116" i="30" s="1"/>
  <c r="M109" i="30"/>
  <c r="N109" i="30" s="1"/>
  <c r="M115" i="30"/>
  <c r="N115" i="30" s="1"/>
  <c r="M107" i="30"/>
  <c r="N107" i="30" s="1"/>
  <c r="V107" i="30" s="1"/>
  <c r="M106" i="30"/>
  <c r="N106" i="30" s="1"/>
  <c r="M117" i="30"/>
  <c r="N117" i="30" s="1"/>
  <c r="M110" i="30"/>
  <c r="N110" i="30" s="1"/>
  <c r="M108" i="30"/>
  <c r="N108" i="30" s="1"/>
  <c r="M114" i="30"/>
  <c r="N114" i="30" s="1"/>
  <c r="V64" i="30"/>
  <c r="X234" i="30"/>
  <c r="X188" i="30"/>
  <c r="X174" i="28"/>
  <c r="X142" i="30"/>
  <c r="X194" i="25"/>
  <c r="X280" i="30"/>
  <c r="X211" i="30"/>
  <c r="X112" i="25"/>
  <c r="R202" i="30"/>
  <c r="K202" i="30" s="1"/>
  <c r="G202" i="30"/>
  <c r="R210" i="30"/>
  <c r="M210" i="30" s="1"/>
  <c r="R200" i="30"/>
  <c r="K200" i="30" s="1"/>
  <c r="G200" i="30"/>
  <c r="R204" i="30"/>
  <c r="K204" i="30" s="1"/>
  <c r="G204" i="30"/>
  <c r="R205" i="30"/>
  <c r="K205" i="30" s="1"/>
  <c r="G205" i="30"/>
  <c r="G203" i="30"/>
  <c r="R203" i="30"/>
  <c r="K203" i="30" s="1"/>
  <c r="R208" i="30"/>
  <c r="K208" i="30" s="1"/>
  <c r="G208" i="30"/>
  <c r="G201" i="30"/>
  <c r="R201" i="30"/>
  <c r="K201" i="30" s="1"/>
  <c r="G211" i="30"/>
  <c r="G197" i="30"/>
  <c r="R197" i="30"/>
  <c r="K197" i="30" s="1"/>
  <c r="R209" i="30"/>
  <c r="K209" i="30" s="1"/>
  <c r="G209" i="30"/>
  <c r="G207" i="30"/>
  <c r="R207" i="30"/>
  <c r="K207" i="30" s="1"/>
  <c r="R199" i="30"/>
  <c r="K199" i="30" s="1"/>
  <c r="G199" i="30"/>
  <c r="G206" i="30"/>
  <c r="R206" i="30"/>
  <c r="K206" i="30" s="1"/>
  <c r="R198" i="30"/>
  <c r="K198" i="30" s="1"/>
  <c r="G198" i="30"/>
  <c r="X59" i="25"/>
  <c r="X52" i="28"/>
  <c r="X55" i="28" s="1"/>
  <c r="W55" i="28"/>
  <c r="X113" i="25"/>
  <c r="X88" i="28"/>
  <c r="X149" i="25"/>
  <c r="R223" i="30"/>
  <c r="K223" i="30" s="1"/>
  <c r="G223" i="30"/>
  <c r="G221" i="30"/>
  <c r="R221" i="30"/>
  <c r="K221" i="30" s="1"/>
  <c r="R229" i="30"/>
  <c r="K229" i="30" s="1"/>
  <c r="G229" i="30"/>
  <c r="R233" i="30"/>
  <c r="M233" i="30" s="1"/>
  <c r="G222" i="30"/>
  <c r="R222" i="30"/>
  <c r="K222" i="30" s="1"/>
  <c r="R220" i="30"/>
  <c r="K220" i="30" s="1"/>
  <c r="G220" i="30"/>
  <c r="G234" i="30"/>
  <c r="R224" i="30"/>
  <c r="K224" i="30" s="1"/>
  <c r="G224" i="30"/>
  <c r="R230" i="30"/>
  <c r="K230" i="30" s="1"/>
  <c r="G230" i="30"/>
  <c r="R232" i="30"/>
  <c r="K232" i="30" s="1"/>
  <c r="G232" i="30"/>
  <c r="G225" i="30"/>
  <c r="R225" i="30"/>
  <c r="K225" i="30" s="1"/>
  <c r="R231" i="30"/>
  <c r="K231" i="30" s="1"/>
  <c r="G231" i="30"/>
  <c r="W106" i="28"/>
  <c r="X98" i="28"/>
  <c r="X52" i="25"/>
  <c r="X87" i="28"/>
  <c r="R132" i="30"/>
  <c r="K132" i="30" s="1"/>
  <c r="G132" i="30"/>
  <c r="G139" i="30"/>
  <c r="R139" i="30"/>
  <c r="K139" i="30" s="1"/>
  <c r="G137" i="30"/>
  <c r="R137" i="30"/>
  <c r="K137" i="30" s="1"/>
  <c r="R133" i="30"/>
  <c r="K133" i="30" s="1"/>
  <c r="G133" i="30"/>
  <c r="G130" i="30"/>
  <c r="R130" i="30"/>
  <c r="K130" i="30" s="1"/>
  <c r="G129" i="30"/>
  <c r="R129" i="30"/>
  <c r="K129" i="30" s="1"/>
  <c r="R141" i="30"/>
  <c r="M141" i="30" s="1"/>
  <c r="R131" i="30"/>
  <c r="K131" i="30" s="1"/>
  <c r="G131" i="30"/>
  <c r="G140" i="30"/>
  <c r="R140" i="30"/>
  <c r="K140" i="30" s="1"/>
  <c r="G138" i="30"/>
  <c r="R138" i="30"/>
  <c r="K138" i="30" s="1"/>
  <c r="G142" i="30"/>
  <c r="R128" i="30"/>
  <c r="M128" i="30" s="1"/>
  <c r="N128" i="30" s="1"/>
  <c r="G128" i="30"/>
  <c r="X111" i="25"/>
  <c r="X172" i="25"/>
  <c r="G167" i="28"/>
  <c r="R167" i="28"/>
  <c r="K167" i="28" s="1"/>
  <c r="G166" i="28"/>
  <c r="R166" i="28"/>
  <c r="K166" i="28" s="1"/>
  <c r="G174" i="28"/>
  <c r="R170" i="28"/>
  <c r="K170" i="28" s="1"/>
  <c r="G170" i="28"/>
  <c r="G171" i="28"/>
  <c r="R171" i="28"/>
  <c r="K171" i="28" s="1"/>
  <c r="G172" i="28"/>
  <c r="R172" i="28"/>
  <c r="K172" i="28" s="1"/>
  <c r="R173" i="28"/>
  <c r="K173" i="28" s="1"/>
  <c r="G173" i="28"/>
  <c r="X81" i="28"/>
  <c r="W89" i="28"/>
  <c r="X371" i="31"/>
  <c r="X79" i="25"/>
  <c r="X147" i="25"/>
  <c r="R177" i="30"/>
  <c r="K177" i="30" s="1"/>
  <c r="G177" i="30"/>
  <c r="R179" i="30"/>
  <c r="K179" i="30" s="1"/>
  <c r="G179" i="30"/>
  <c r="R176" i="30"/>
  <c r="K176" i="30" s="1"/>
  <c r="G176" i="30"/>
  <c r="G183" i="30"/>
  <c r="R183" i="30"/>
  <c r="K183" i="30" s="1"/>
  <c r="G184" i="30"/>
  <c r="R184" i="30"/>
  <c r="K184" i="30" s="1"/>
  <c r="G175" i="30"/>
  <c r="R175" i="30"/>
  <c r="K175" i="30" s="1"/>
  <c r="R178" i="30"/>
  <c r="K178" i="30" s="1"/>
  <c r="G178" i="30"/>
  <c r="G186" i="30"/>
  <c r="R186" i="30"/>
  <c r="K186" i="30" s="1"/>
  <c r="R174" i="30"/>
  <c r="M174" i="30" s="1"/>
  <c r="N174" i="30" s="1"/>
  <c r="G174" i="30"/>
  <c r="G188" i="30"/>
  <c r="G185" i="30"/>
  <c r="R185" i="30"/>
  <c r="K185" i="30" s="1"/>
  <c r="R187" i="30"/>
  <c r="K187" i="30" s="1"/>
  <c r="X150" i="28"/>
  <c r="W157" i="28"/>
  <c r="X128" i="25"/>
  <c r="X97" i="25"/>
  <c r="X337" i="31"/>
  <c r="X383" i="31"/>
  <c r="X53" i="25"/>
  <c r="R255" i="30"/>
  <c r="K255" i="30" s="1"/>
  <c r="G255" i="30"/>
  <c r="R256" i="30"/>
  <c r="K256" i="30" s="1"/>
  <c r="R245" i="30"/>
  <c r="K245" i="30" s="1"/>
  <c r="G245" i="30"/>
  <c r="R243" i="30"/>
  <c r="M243" i="30" s="1"/>
  <c r="N243" i="30" s="1"/>
  <c r="G257" i="30"/>
  <c r="G243" i="30"/>
  <c r="G244" i="30"/>
  <c r="R244" i="30"/>
  <c r="K244" i="30" s="1"/>
  <c r="G248" i="30"/>
  <c r="R248" i="30"/>
  <c r="K248" i="30" s="1"/>
  <c r="G247" i="30"/>
  <c r="R247" i="30"/>
  <c r="K247" i="30" s="1"/>
  <c r="G246" i="30"/>
  <c r="R246" i="30"/>
  <c r="K246" i="30" s="1"/>
  <c r="R253" i="30"/>
  <c r="K253" i="30" s="1"/>
  <c r="G253" i="30"/>
  <c r="R254" i="30"/>
  <c r="K254" i="30" s="1"/>
  <c r="G254" i="30"/>
  <c r="G252" i="30"/>
  <c r="R252" i="30"/>
  <c r="K252" i="30" s="1"/>
  <c r="X85" i="28"/>
  <c r="X102" i="28"/>
  <c r="X152" i="25"/>
  <c r="X116" i="25"/>
  <c r="X403" i="31"/>
  <c r="X133" i="28"/>
  <c r="W140" i="28"/>
  <c r="X137" i="28"/>
  <c r="X367" i="31"/>
  <c r="X77" i="25"/>
  <c r="X397" i="31"/>
  <c r="X323" i="31"/>
  <c r="X387" i="31"/>
  <c r="X104" i="28"/>
  <c r="W123" i="28"/>
  <c r="X115" i="28"/>
  <c r="X95" i="25"/>
  <c r="X335" i="31"/>
  <c r="X155" i="28"/>
  <c r="X120" i="28"/>
  <c r="X65" i="28"/>
  <c r="X72" i="28" s="1"/>
  <c r="W72" i="28"/>
  <c r="H188" i="29"/>
  <c r="H401" i="33"/>
  <c r="R300" i="30"/>
  <c r="K300" i="30" s="1"/>
  <c r="G300" i="30"/>
  <c r="R291" i="30"/>
  <c r="K291" i="30" s="1"/>
  <c r="G291" i="30"/>
  <c r="R292" i="30"/>
  <c r="K292" i="30" s="1"/>
  <c r="G292" i="30"/>
  <c r="G293" i="30"/>
  <c r="R293" i="30"/>
  <c r="K293" i="30" s="1"/>
  <c r="R299" i="30"/>
  <c r="K299" i="30" s="1"/>
  <c r="G299" i="30"/>
  <c r="R302" i="30"/>
  <c r="M302" i="30" s="1"/>
  <c r="G290" i="30"/>
  <c r="R290" i="30"/>
  <c r="K290" i="30" s="1"/>
  <c r="G298" i="30"/>
  <c r="R298" i="30"/>
  <c r="K298" i="30" s="1"/>
  <c r="R289" i="30"/>
  <c r="M289" i="30" s="1"/>
  <c r="N289" i="30" s="1"/>
  <c r="G289" i="30"/>
  <c r="G303" i="30"/>
  <c r="R294" i="30"/>
  <c r="K294" i="30" s="1"/>
  <c r="G294" i="30"/>
  <c r="R301" i="30"/>
  <c r="K301" i="30" s="1"/>
  <c r="G301" i="30"/>
  <c r="X98" i="25"/>
  <c r="X133" i="25"/>
  <c r="X73" i="25"/>
  <c r="X122" i="28"/>
  <c r="R267" i="30"/>
  <c r="K267" i="30" s="1"/>
  <c r="G267" i="30"/>
  <c r="G271" i="30"/>
  <c r="R271" i="30"/>
  <c r="K271" i="30" s="1"/>
  <c r="R279" i="30"/>
  <c r="M279" i="30" s="1"/>
  <c r="G268" i="30"/>
  <c r="R268" i="30"/>
  <c r="K268" i="30" s="1"/>
  <c r="G278" i="30"/>
  <c r="R278" i="30"/>
  <c r="K278" i="30" s="1"/>
  <c r="G270" i="30"/>
  <c r="R270" i="30"/>
  <c r="K270" i="30" s="1"/>
  <c r="G277" i="30"/>
  <c r="R277" i="30"/>
  <c r="K277" i="30" s="1"/>
  <c r="G266" i="30"/>
  <c r="R266" i="30"/>
  <c r="M266" i="30" s="1"/>
  <c r="N266" i="30" s="1"/>
  <c r="G280" i="30"/>
  <c r="R275" i="30"/>
  <c r="K275" i="30" s="1"/>
  <c r="G275" i="30"/>
  <c r="R269" i="30"/>
  <c r="K269" i="30" s="1"/>
  <c r="G269" i="30"/>
  <c r="R276" i="30"/>
  <c r="K276" i="30" s="1"/>
  <c r="G276" i="30"/>
  <c r="X117" i="25"/>
  <c r="X385" i="31"/>
  <c r="X76" i="25"/>
  <c r="X317" i="31"/>
  <c r="X381" i="31"/>
  <c r="R163" i="30"/>
  <c r="K163" i="30" s="1"/>
  <c r="G163" i="30"/>
  <c r="G156" i="30"/>
  <c r="R156" i="30"/>
  <c r="K156" i="30" s="1"/>
  <c r="R152" i="30"/>
  <c r="K152" i="30" s="1"/>
  <c r="G152" i="30"/>
  <c r="G154" i="30"/>
  <c r="R154" i="30"/>
  <c r="K154" i="30" s="1"/>
  <c r="G155" i="30"/>
  <c r="R155" i="30"/>
  <c r="K155" i="30" s="1"/>
  <c r="R164" i="30"/>
  <c r="M164" i="30" s="1"/>
  <c r="R153" i="30"/>
  <c r="K153" i="30" s="1"/>
  <c r="G153" i="30"/>
  <c r="G160" i="30"/>
  <c r="R160" i="30"/>
  <c r="K160" i="30" s="1"/>
  <c r="G162" i="30"/>
  <c r="R162" i="30"/>
  <c r="K162" i="30" s="1"/>
  <c r="G151" i="30"/>
  <c r="G165" i="30"/>
  <c r="R151" i="30"/>
  <c r="K151" i="30" s="1"/>
  <c r="R161" i="30"/>
  <c r="K161" i="30" s="1"/>
  <c r="G161" i="30"/>
  <c r="H154" i="29"/>
  <c r="X166" i="25"/>
  <c r="X89" i="25"/>
  <c r="X116" i="28"/>
  <c r="X115" i="25"/>
  <c r="N67" i="28"/>
  <c r="N101" i="28"/>
  <c r="X356" i="31"/>
  <c r="N100" i="28"/>
  <c r="N66" i="28"/>
  <c r="V82" i="30"/>
  <c r="V91" i="30"/>
  <c r="V320" i="30"/>
  <c r="V68" i="30"/>
  <c r="V63" i="30"/>
  <c r="V70" i="30"/>
  <c r="V89" i="30"/>
  <c r="V90" i="30"/>
  <c r="V135" i="28"/>
  <c r="V84" i="28"/>
  <c r="V134" i="28"/>
  <c r="V117" i="28"/>
  <c r="K105" i="30"/>
  <c r="K119" i="30"/>
  <c r="V83" i="28"/>
  <c r="V49" i="28"/>
  <c r="V118" i="28"/>
  <c r="V61" i="30"/>
  <c r="M118" i="30"/>
  <c r="K118" i="30"/>
  <c r="F379" i="30"/>
  <c r="V297" i="30"/>
  <c r="X191" i="28"/>
  <c r="R187" i="28"/>
  <c r="K187" i="28" s="1"/>
  <c r="G187" i="28"/>
  <c r="R183" i="28"/>
  <c r="M183" i="28" s="1"/>
  <c r="G191" i="28"/>
  <c r="G183" i="28"/>
  <c r="R190" i="28"/>
  <c r="K190" i="28" s="1"/>
  <c r="G190" i="28"/>
  <c r="G184" i="28"/>
  <c r="R184" i="28"/>
  <c r="K184" i="28" s="1"/>
  <c r="R189" i="28"/>
  <c r="K189" i="28" s="1"/>
  <c r="G189" i="28"/>
  <c r="G188" i="28"/>
  <c r="R188" i="28"/>
  <c r="K188" i="28" s="1"/>
  <c r="X200" i="28"/>
  <c r="X207" i="28"/>
  <c r="X204" i="28"/>
  <c r="X224" i="25"/>
  <c r="X213" i="25"/>
  <c r="X228" i="25"/>
  <c r="X225" i="25"/>
  <c r="X349" i="30"/>
  <c r="X230" i="25"/>
  <c r="R342" i="30"/>
  <c r="K342" i="30" s="1"/>
  <c r="G342" i="30"/>
  <c r="G339" i="30"/>
  <c r="R339" i="30"/>
  <c r="K339" i="30" s="1"/>
  <c r="G346" i="30"/>
  <c r="R346" i="30"/>
  <c r="K346" i="30" s="1"/>
  <c r="G336" i="30"/>
  <c r="R336" i="30"/>
  <c r="K336" i="30" s="1"/>
  <c r="G347" i="30"/>
  <c r="R347" i="30"/>
  <c r="K347" i="30" s="1"/>
  <c r="G341" i="30"/>
  <c r="R341" i="30"/>
  <c r="K341" i="30" s="1"/>
  <c r="R337" i="30"/>
  <c r="K337" i="30" s="1"/>
  <c r="G337" i="30"/>
  <c r="R344" i="30"/>
  <c r="K344" i="30" s="1"/>
  <c r="G344" i="30"/>
  <c r="R343" i="30"/>
  <c r="K343" i="30" s="1"/>
  <c r="G343" i="30"/>
  <c r="R345" i="30"/>
  <c r="K345" i="30" s="1"/>
  <c r="G345" i="30"/>
  <c r="G349" i="30"/>
  <c r="R335" i="30"/>
  <c r="M335" i="30" s="1"/>
  <c r="N335" i="30" s="1"/>
  <c r="G335" i="30"/>
  <c r="R348" i="30"/>
  <c r="M348" i="30" s="1"/>
  <c r="G340" i="30"/>
  <c r="R340" i="30"/>
  <c r="K340" i="30" s="1"/>
  <c r="G338" i="30"/>
  <c r="R338" i="30"/>
  <c r="K338" i="30" s="1"/>
  <c r="X222" i="25"/>
  <c r="X226" i="25"/>
  <c r="X227" i="25"/>
  <c r="X201" i="28"/>
  <c r="W208" i="28"/>
  <c r="H2070" i="34"/>
  <c r="X465" i="31"/>
  <c r="X203" i="28"/>
  <c r="X223" i="25"/>
  <c r="X205" i="28"/>
  <c r="H803" i="34"/>
  <c r="X202" i="28"/>
  <c r="X229" i="25"/>
  <c r="X462" i="31"/>
  <c r="X464" i="31"/>
  <c r="X206" i="28"/>
  <c r="X231" i="25"/>
  <c r="X466" i="31"/>
  <c r="H885" i="34"/>
  <c r="X463" i="31"/>
  <c r="X467" i="31"/>
  <c r="H816" i="34"/>
  <c r="H2001" i="34"/>
  <c r="K312" i="30"/>
  <c r="M168" i="28"/>
  <c r="N168" i="28" s="1"/>
  <c r="N152" i="28"/>
  <c r="M169" i="28"/>
  <c r="K325" i="30"/>
  <c r="N151" i="28"/>
  <c r="H205" i="29"/>
  <c r="K326" i="30"/>
  <c r="X364" i="30"/>
  <c r="X388" i="30"/>
  <c r="X365" i="30"/>
  <c r="X366" i="30"/>
  <c r="X389" i="30"/>
  <c r="X387" i="30"/>
  <c r="M186" i="28"/>
  <c r="A512" i="23"/>
  <c r="B536" i="31"/>
  <c r="B312" i="25"/>
  <c r="B280" i="28"/>
  <c r="M185" i="28"/>
  <c r="A2703" i="34"/>
  <c r="V312" i="30"/>
  <c r="A502" i="33"/>
  <c r="AR36" i="32"/>
  <c r="A422" i="30"/>
  <c r="C422" i="30"/>
  <c r="E422" i="30"/>
  <c r="D422" i="30"/>
  <c r="AR23" i="27"/>
  <c r="A348" i="26"/>
  <c r="J154" i="34"/>
  <c r="J57" i="23"/>
  <c r="J158" i="34"/>
  <c r="J61" i="23"/>
  <c r="J161" i="34"/>
  <c r="J64" i="23"/>
  <c r="J63" i="23"/>
  <c r="J160" i="34"/>
  <c r="J80" i="23"/>
  <c r="J223" i="34"/>
  <c r="J91" i="23"/>
  <c r="J234" i="34"/>
  <c r="J227" i="34"/>
  <c r="J84" i="23"/>
  <c r="J224" i="34"/>
  <c r="J81" i="23"/>
  <c r="J153" i="34"/>
  <c r="J56" i="23"/>
  <c r="J59" i="23"/>
  <c r="J156" i="34"/>
  <c r="J90" i="23"/>
  <c r="J233" i="34"/>
  <c r="J66" i="23"/>
  <c r="J163" i="34"/>
  <c r="J159" i="34"/>
  <c r="J62" i="23"/>
  <c r="P133" i="28"/>
  <c r="P136" i="28"/>
  <c r="P138" i="28"/>
  <c r="P139" i="28"/>
  <c r="P137" i="28"/>
  <c r="P132" i="28"/>
  <c r="J225" i="34"/>
  <c r="J82" i="23"/>
  <c r="I468" i="34"/>
  <c r="I850" i="34"/>
  <c r="I316" i="23"/>
  <c r="J399" i="34"/>
  <c r="I110" i="23"/>
  <c r="I304" i="34"/>
  <c r="J537" i="34"/>
  <c r="I132" i="23"/>
  <c r="I780" i="34"/>
  <c r="I400" i="34"/>
  <c r="I113" i="23"/>
  <c r="P54" i="28"/>
  <c r="P53" i="28"/>
  <c r="P47" i="28"/>
  <c r="P48" i="28"/>
  <c r="P51" i="28"/>
  <c r="P52" i="28"/>
  <c r="I649" i="34"/>
  <c r="I442" i="34"/>
  <c r="J98" i="29"/>
  <c r="I464" i="34"/>
  <c r="I782" i="34"/>
  <c r="I125" i="23"/>
  <c r="I292" i="23"/>
  <c r="J395" i="34"/>
  <c r="J538" i="34"/>
  <c r="I300" i="34"/>
  <c r="I470" i="34"/>
  <c r="I115" i="23"/>
  <c r="J103" i="23"/>
  <c r="J149" i="29"/>
  <c r="I539" i="34"/>
  <c r="I367" i="34"/>
  <c r="I269" i="23"/>
  <c r="I671" i="34"/>
  <c r="I533" i="34"/>
  <c r="I301" i="34"/>
  <c r="I329" i="34"/>
  <c r="J292" i="34"/>
  <c r="I712" i="34"/>
  <c r="I131" i="23"/>
  <c r="I178" i="23"/>
  <c r="I247" i="23"/>
  <c r="I302" i="34"/>
  <c r="I271" i="23"/>
  <c r="I360" i="34"/>
  <c r="J293" i="34"/>
  <c r="J464" i="34"/>
  <c r="I469" i="34"/>
  <c r="I111" i="23"/>
  <c r="I326" i="34"/>
  <c r="I248" i="23"/>
  <c r="J536" i="34"/>
  <c r="J398" i="34"/>
  <c r="I315" i="23"/>
  <c r="I112" i="23"/>
  <c r="I580" i="34"/>
  <c r="J97" i="29"/>
  <c r="I179" i="23"/>
  <c r="I505" i="34"/>
  <c r="I713" i="34"/>
  <c r="J63" i="29"/>
  <c r="I506" i="34"/>
  <c r="J224" i="23"/>
  <c r="I107" i="23"/>
  <c r="I155" i="23"/>
  <c r="I366" i="34"/>
  <c r="J291" i="34"/>
  <c r="I106" i="23"/>
  <c r="I368" i="34"/>
  <c r="I331" i="34"/>
  <c r="J113" i="23"/>
  <c r="I399" i="34"/>
  <c r="I672" i="34"/>
  <c r="J394" i="34"/>
  <c r="J366" i="34"/>
  <c r="I104" i="23"/>
  <c r="I781" i="34"/>
  <c r="I670" i="34"/>
  <c r="I711" i="34"/>
  <c r="J469" i="34"/>
  <c r="I918" i="34"/>
  <c r="I849" i="34"/>
  <c r="J604" i="34"/>
  <c r="J539" i="34"/>
  <c r="P70" i="28"/>
  <c r="P68" i="28"/>
  <c r="P65" i="28"/>
  <c r="P69" i="28"/>
  <c r="P71" i="28"/>
  <c r="P64" i="28"/>
  <c r="I177" i="23"/>
  <c r="J643" i="34"/>
  <c r="I296" i="34"/>
  <c r="I436" i="34"/>
  <c r="I103" i="23"/>
  <c r="I401" i="34"/>
  <c r="J400" i="34"/>
  <c r="J102" i="23"/>
  <c r="I395" i="34"/>
  <c r="I325" i="34"/>
  <c r="I133" i="23"/>
  <c r="I294" i="34"/>
  <c r="J532" i="34"/>
  <c r="J603" i="34"/>
  <c r="I108" i="23"/>
  <c r="I398" i="34"/>
  <c r="I676" i="34"/>
  <c r="J131" i="23"/>
  <c r="I644" i="34"/>
  <c r="I223" i="23"/>
  <c r="I154" i="23"/>
  <c r="P149" i="28"/>
  <c r="P153" i="28"/>
  <c r="P154" i="28"/>
  <c r="P156" i="28"/>
  <c r="P150" i="28"/>
  <c r="P155" i="28"/>
  <c r="I504" i="34"/>
  <c r="I435" i="34"/>
  <c r="I463" i="34"/>
  <c r="I270" i="23"/>
  <c r="I292" i="34"/>
  <c r="I674" i="34"/>
  <c r="I373" i="34"/>
  <c r="I105" i="23"/>
  <c r="I293" i="23"/>
  <c r="I297" i="34"/>
  <c r="J107" i="23"/>
  <c r="I240" i="23"/>
  <c r="I705" i="34"/>
  <c r="I256" i="34"/>
  <c r="J296" i="34"/>
  <c r="I246" i="23"/>
  <c r="P102" i="28"/>
  <c r="P105" i="28"/>
  <c r="P99" i="28"/>
  <c r="P103" i="28"/>
  <c r="P104" i="28"/>
  <c r="P98" i="28"/>
  <c r="I109" i="23"/>
  <c r="I538" i="34"/>
  <c r="I675" i="34"/>
  <c r="J463" i="34"/>
  <c r="I298" i="34"/>
  <c r="I919" i="34"/>
  <c r="J533" i="34"/>
  <c r="J104" i="23"/>
  <c r="J467" i="34"/>
  <c r="J302" i="34"/>
  <c r="I536" i="34"/>
  <c r="I673" i="34"/>
  <c r="P120" i="28"/>
  <c r="P119" i="28"/>
  <c r="P116" i="28"/>
  <c r="P122" i="28"/>
  <c r="P115" i="28"/>
  <c r="P121" i="28"/>
  <c r="I263" i="23"/>
  <c r="I774" i="34"/>
  <c r="I225" i="23"/>
  <c r="I642" i="34"/>
  <c r="I156" i="23"/>
  <c r="I293" i="34"/>
  <c r="I303" i="34"/>
  <c r="I330" i="34"/>
  <c r="I537" i="34"/>
  <c r="I677" i="34"/>
  <c r="P86" i="28"/>
  <c r="P82" i="28"/>
  <c r="P87" i="28"/>
  <c r="P85" i="28"/>
  <c r="P81" i="28"/>
  <c r="P88" i="28"/>
  <c r="I171" i="23"/>
  <c r="I498" i="34"/>
  <c r="J64" i="29"/>
  <c r="I437" i="34"/>
  <c r="I114" i="23"/>
  <c r="I332" i="34"/>
  <c r="I299" i="34"/>
  <c r="I601" i="34"/>
  <c r="I295" i="34"/>
  <c r="X175" i="25" l="1"/>
  <c r="M345" i="30"/>
  <c r="N345" i="30" s="1"/>
  <c r="M346" i="30"/>
  <c r="N346" i="30" s="1"/>
  <c r="M344" i="30"/>
  <c r="N344" i="30" s="1"/>
  <c r="M339" i="30"/>
  <c r="N339" i="30" s="1"/>
  <c r="M347" i="30"/>
  <c r="N347" i="30" s="1"/>
  <c r="M337" i="30"/>
  <c r="N337" i="30" s="1"/>
  <c r="M340" i="30"/>
  <c r="N340" i="30" s="1"/>
  <c r="M336" i="30"/>
  <c r="N336" i="30" s="1"/>
  <c r="M338" i="30"/>
  <c r="N338" i="30" s="1"/>
  <c r="M298" i="30"/>
  <c r="N298" i="30" s="1"/>
  <c r="V298" i="30" s="1"/>
  <c r="M290" i="30"/>
  <c r="N290" i="30" s="1"/>
  <c r="V290" i="30" s="1"/>
  <c r="M294" i="30"/>
  <c r="N294" i="30" s="1"/>
  <c r="V294" i="30" s="1"/>
  <c r="M301" i="30"/>
  <c r="N301" i="30" s="1"/>
  <c r="M299" i="30"/>
  <c r="N299" i="30" s="1"/>
  <c r="V299" i="30" s="1"/>
  <c r="M269" i="30"/>
  <c r="N269" i="30" s="1"/>
  <c r="V269" i="30" s="1"/>
  <c r="M293" i="30"/>
  <c r="N293" i="30" s="1"/>
  <c r="M275" i="30"/>
  <c r="N275" i="30" s="1"/>
  <c r="V275" i="30" s="1"/>
  <c r="M292" i="30"/>
  <c r="N292" i="30" s="1"/>
  <c r="M291" i="30"/>
  <c r="N291" i="30" s="1"/>
  <c r="V291" i="30" s="1"/>
  <c r="M277" i="30"/>
  <c r="N277" i="30" s="1"/>
  <c r="V277" i="30" s="1"/>
  <c r="M300" i="30"/>
  <c r="N300" i="30" s="1"/>
  <c r="V300" i="30" s="1"/>
  <c r="M276" i="30"/>
  <c r="N276" i="30" s="1"/>
  <c r="M270" i="30"/>
  <c r="N270" i="30" s="1"/>
  <c r="M254" i="30"/>
  <c r="N254" i="30" s="1"/>
  <c r="V254" i="30" s="1"/>
  <c r="M278" i="30"/>
  <c r="N278" i="30" s="1"/>
  <c r="M253" i="30"/>
  <c r="N253" i="30" s="1"/>
  <c r="V253" i="30" s="1"/>
  <c r="M268" i="30"/>
  <c r="N268" i="30" s="1"/>
  <c r="M246" i="30"/>
  <c r="N246" i="30" s="1"/>
  <c r="M271" i="30"/>
  <c r="N271" i="30" s="1"/>
  <c r="M248" i="30"/>
  <c r="N248" i="30" s="1"/>
  <c r="V248" i="30" s="1"/>
  <c r="M267" i="30"/>
  <c r="N267" i="30" s="1"/>
  <c r="V267" i="30" s="1"/>
  <c r="M252" i="30"/>
  <c r="N252" i="30" s="1"/>
  <c r="M247" i="30"/>
  <c r="N247" i="30" s="1"/>
  <c r="M178" i="30"/>
  <c r="N178" i="30" s="1"/>
  <c r="M244" i="30"/>
  <c r="N244" i="30" s="1"/>
  <c r="M232" i="30"/>
  <c r="N232" i="30" s="1"/>
  <c r="M230" i="30"/>
  <c r="N230" i="30" s="1"/>
  <c r="M245" i="30"/>
  <c r="N245" i="30" s="1"/>
  <c r="V245" i="30" s="1"/>
  <c r="M224" i="30"/>
  <c r="N224" i="30" s="1"/>
  <c r="M255" i="30"/>
  <c r="N255" i="30" s="1"/>
  <c r="M231" i="30"/>
  <c r="N231" i="30" s="1"/>
  <c r="M225" i="30"/>
  <c r="N225" i="30" s="1"/>
  <c r="M220" i="30"/>
  <c r="N220" i="30" s="1"/>
  <c r="M209" i="30"/>
  <c r="N209" i="30" s="1"/>
  <c r="M222" i="30"/>
  <c r="N222" i="30" s="1"/>
  <c r="M197" i="30"/>
  <c r="N197" i="30" s="1"/>
  <c r="M229" i="30"/>
  <c r="N229" i="30" s="1"/>
  <c r="M201" i="30"/>
  <c r="N201" i="30" s="1"/>
  <c r="M221" i="30"/>
  <c r="N221" i="30" s="1"/>
  <c r="M205" i="30"/>
  <c r="N205" i="30" s="1"/>
  <c r="M223" i="30"/>
  <c r="N223" i="30" s="1"/>
  <c r="M207" i="30"/>
  <c r="N207" i="30" s="1"/>
  <c r="M140" i="30"/>
  <c r="N140" i="30" s="1"/>
  <c r="M208" i="30"/>
  <c r="N208" i="30" s="1"/>
  <c r="V208" i="30" s="1"/>
  <c r="M186" i="30"/>
  <c r="N186" i="30" s="1"/>
  <c r="M203" i="30"/>
  <c r="N203" i="30" s="1"/>
  <c r="M198" i="30"/>
  <c r="N198" i="30" s="1"/>
  <c r="M204" i="30"/>
  <c r="N204" i="30" s="1"/>
  <c r="M206" i="30"/>
  <c r="N206" i="30" s="1"/>
  <c r="M200" i="30"/>
  <c r="N200" i="30" s="1"/>
  <c r="V200" i="30" s="1"/>
  <c r="M199" i="30"/>
  <c r="N199" i="30" s="1"/>
  <c r="M202" i="30"/>
  <c r="N202" i="30" s="1"/>
  <c r="M175" i="30"/>
  <c r="N175" i="30" s="1"/>
  <c r="V175" i="30" s="1"/>
  <c r="M185" i="30"/>
  <c r="N185" i="30" s="1"/>
  <c r="V185" i="30" s="1"/>
  <c r="M151" i="30"/>
  <c r="N151" i="30" s="1"/>
  <c r="M162" i="30"/>
  <c r="N162" i="30" s="1"/>
  <c r="M176" i="30"/>
  <c r="N176" i="30" s="1"/>
  <c r="M184" i="30"/>
  <c r="N184" i="30" s="1"/>
  <c r="M183" i="30"/>
  <c r="N183" i="30" s="1"/>
  <c r="V183" i="30" s="1"/>
  <c r="M155" i="30"/>
  <c r="N155" i="30" s="1"/>
  <c r="M179" i="30"/>
  <c r="N179" i="30" s="1"/>
  <c r="M154" i="30"/>
  <c r="N154" i="30" s="1"/>
  <c r="M177" i="30"/>
  <c r="N177" i="30" s="1"/>
  <c r="V177" i="30" s="1"/>
  <c r="M161" i="30"/>
  <c r="N161" i="30" s="1"/>
  <c r="V161" i="30" s="1"/>
  <c r="M153" i="30"/>
  <c r="N153" i="30" s="1"/>
  <c r="M131" i="30"/>
  <c r="N131" i="30" s="1"/>
  <c r="M152" i="30"/>
  <c r="N152" i="30" s="1"/>
  <c r="M160" i="30"/>
  <c r="N160" i="30" s="1"/>
  <c r="M129" i="30"/>
  <c r="N129" i="30" s="1"/>
  <c r="M156" i="30"/>
  <c r="N156" i="30" s="1"/>
  <c r="M130" i="30"/>
  <c r="N130" i="30" s="1"/>
  <c r="M163" i="30"/>
  <c r="N163" i="30" s="1"/>
  <c r="M138" i="30"/>
  <c r="N138" i="30" s="1"/>
  <c r="M133" i="30"/>
  <c r="N133" i="30" s="1"/>
  <c r="M137" i="30"/>
  <c r="N137" i="30" s="1"/>
  <c r="M139" i="30"/>
  <c r="N139" i="30" s="1"/>
  <c r="M132" i="30"/>
  <c r="N132" i="30" s="1"/>
  <c r="V289" i="30"/>
  <c r="M171" i="28"/>
  <c r="N171" i="28" s="1"/>
  <c r="V171" i="28" s="1"/>
  <c r="M172" i="28"/>
  <c r="N172" i="28" s="1"/>
  <c r="V172" i="28" s="1"/>
  <c r="M256" i="30"/>
  <c r="V60" i="30"/>
  <c r="V67" i="30"/>
  <c r="M173" i="28"/>
  <c r="N173" i="28" s="1"/>
  <c r="V173" i="28" s="1"/>
  <c r="V66" i="30"/>
  <c r="K210" i="30"/>
  <c r="K141" i="30"/>
  <c r="M170" i="28"/>
  <c r="N170" i="28" s="1"/>
  <c r="V170" i="28" s="1"/>
  <c r="V83" i="30"/>
  <c r="X157" i="28"/>
  <c r="K289" i="30"/>
  <c r="V87" i="30"/>
  <c r="M187" i="30"/>
  <c r="M96" i="30"/>
  <c r="H97" i="30" s="1"/>
  <c r="X324" i="31"/>
  <c r="L74" i="30"/>
  <c r="X61" i="25"/>
  <c r="K233" i="30"/>
  <c r="K174" i="30"/>
  <c r="K303" i="30"/>
  <c r="K279" i="30"/>
  <c r="V84" i="30"/>
  <c r="J69" i="23"/>
  <c r="J167" i="34"/>
  <c r="C211" i="34" s="1"/>
  <c r="V65" i="30"/>
  <c r="K142" i="30"/>
  <c r="M167" i="28"/>
  <c r="N167" i="28" s="1"/>
  <c r="X80" i="25"/>
  <c r="X372" i="31"/>
  <c r="X140" i="28"/>
  <c r="X89" i="28"/>
  <c r="K234" i="30"/>
  <c r="K165" i="30"/>
  <c r="V69" i="30"/>
  <c r="K128" i="30"/>
  <c r="X99" i="25"/>
  <c r="V93" i="30"/>
  <c r="K164" i="30"/>
  <c r="V62" i="30"/>
  <c r="L97" i="30"/>
  <c r="X118" i="25"/>
  <c r="X137" i="25"/>
  <c r="M73" i="30"/>
  <c r="H74" i="30" s="1"/>
  <c r="V59" i="30"/>
  <c r="G88" i="28"/>
  <c r="R88" i="28"/>
  <c r="K88" i="28" s="1"/>
  <c r="R81" i="28"/>
  <c r="M81" i="28" s="1"/>
  <c r="G89" i="28"/>
  <c r="G81" i="28"/>
  <c r="G85" i="28"/>
  <c r="R85" i="28"/>
  <c r="K85" i="28" s="1"/>
  <c r="G87" i="28"/>
  <c r="R87" i="28"/>
  <c r="K87" i="28" s="1"/>
  <c r="R82" i="28"/>
  <c r="K82" i="28" s="1"/>
  <c r="G82" i="28"/>
  <c r="G86" i="28"/>
  <c r="R86" i="28"/>
  <c r="K86" i="28" s="1"/>
  <c r="R121" i="28"/>
  <c r="K121" i="28" s="1"/>
  <c r="G121" i="28"/>
  <c r="G115" i="28"/>
  <c r="G123" i="28"/>
  <c r="R115" i="28"/>
  <c r="M115" i="28" s="1"/>
  <c r="R122" i="28"/>
  <c r="K122" i="28" s="1"/>
  <c r="G122" i="28"/>
  <c r="R116" i="28"/>
  <c r="K116" i="28" s="1"/>
  <c r="G116" i="28"/>
  <c r="R119" i="28"/>
  <c r="K119" i="28" s="1"/>
  <c r="G119" i="28"/>
  <c r="G120" i="28"/>
  <c r="R120" i="28"/>
  <c r="K120" i="28" s="1"/>
  <c r="G98" i="28"/>
  <c r="G106" i="28"/>
  <c r="R98" i="28"/>
  <c r="R104" i="28"/>
  <c r="K104" i="28" s="1"/>
  <c r="G104" i="28"/>
  <c r="G103" i="28"/>
  <c r="R103" i="28"/>
  <c r="K103" i="28" s="1"/>
  <c r="G99" i="28"/>
  <c r="R99" i="28"/>
  <c r="K99" i="28" s="1"/>
  <c r="G105" i="28"/>
  <c r="R105" i="28"/>
  <c r="K105" i="28" s="1"/>
  <c r="R102" i="28"/>
  <c r="K102" i="28" s="1"/>
  <c r="G102" i="28"/>
  <c r="G155" i="28"/>
  <c r="R155" i="28"/>
  <c r="K155" i="28" s="1"/>
  <c r="R150" i="28"/>
  <c r="K150" i="28" s="1"/>
  <c r="G150" i="28"/>
  <c r="G156" i="28"/>
  <c r="R156" i="28"/>
  <c r="K156" i="28" s="1"/>
  <c r="G154" i="28"/>
  <c r="R154" i="28"/>
  <c r="K154" i="28" s="1"/>
  <c r="G153" i="28"/>
  <c r="R153" i="28"/>
  <c r="K153" i="28" s="1"/>
  <c r="R149" i="28"/>
  <c r="M149" i="28" s="1"/>
  <c r="G149" i="28"/>
  <c r="G157" i="28"/>
  <c r="G64" i="28"/>
  <c r="G72" i="28"/>
  <c r="R64" i="28"/>
  <c r="M64" i="28" s="1"/>
  <c r="N64" i="28" s="1"/>
  <c r="G71" i="28"/>
  <c r="R71" i="28"/>
  <c r="K71" i="28" s="1"/>
  <c r="R69" i="28"/>
  <c r="K69" i="28" s="1"/>
  <c r="G69" i="28"/>
  <c r="G65" i="28"/>
  <c r="R65" i="28"/>
  <c r="K65" i="28" s="1"/>
  <c r="R68" i="28"/>
  <c r="K68" i="28" s="1"/>
  <c r="G68" i="28"/>
  <c r="R70" i="28"/>
  <c r="K70" i="28" s="1"/>
  <c r="G70" i="28"/>
  <c r="R52" i="28"/>
  <c r="K52" i="28" s="1"/>
  <c r="G52" i="28"/>
  <c r="R51" i="28"/>
  <c r="K51" i="28" s="1"/>
  <c r="G51" i="28"/>
  <c r="R48" i="28"/>
  <c r="K48" i="28" s="1"/>
  <c r="G48" i="28"/>
  <c r="G47" i="28"/>
  <c r="G55" i="28"/>
  <c r="R47" i="28"/>
  <c r="M47" i="28" s="1"/>
  <c r="N47" i="28" s="1"/>
  <c r="G53" i="28"/>
  <c r="R53" i="28"/>
  <c r="K53" i="28" s="1"/>
  <c r="R54" i="28"/>
  <c r="K54" i="28" s="1"/>
  <c r="G54" i="28"/>
  <c r="J92" i="23"/>
  <c r="J236" i="34"/>
  <c r="C280" i="34" s="1"/>
  <c r="G132" i="28"/>
  <c r="R132" i="28"/>
  <c r="G140" i="28"/>
  <c r="R137" i="28"/>
  <c r="K137" i="28" s="1"/>
  <c r="G137" i="28"/>
  <c r="R139" i="28"/>
  <c r="K139" i="28" s="1"/>
  <c r="G139" i="28"/>
  <c r="G138" i="28"/>
  <c r="R138" i="28"/>
  <c r="K138" i="28" s="1"/>
  <c r="R136" i="28"/>
  <c r="K136" i="28" s="1"/>
  <c r="G136" i="28"/>
  <c r="R133" i="28"/>
  <c r="K133" i="28" s="1"/>
  <c r="G133" i="28"/>
  <c r="V67" i="28"/>
  <c r="X123" i="28"/>
  <c r="V174" i="30"/>
  <c r="X106" i="28"/>
  <c r="V243" i="30"/>
  <c r="V266" i="30"/>
  <c r="K211" i="30"/>
  <c r="K257" i="30"/>
  <c r="K302" i="30"/>
  <c r="K266" i="30"/>
  <c r="M166" i="28"/>
  <c r="N166" i="28" s="1"/>
  <c r="V166" i="28" s="1"/>
  <c r="V66" i="28"/>
  <c r="X404" i="31"/>
  <c r="K280" i="30"/>
  <c r="V100" i="28"/>
  <c r="X156" i="25"/>
  <c r="K174" i="28"/>
  <c r="V101" i="28"/>
  <c r="X340" i="31"/>
  <c r="K188" i="30"/>
  <c r="K243" i="30"/>
  <c r="V85" i="30"/>
  <c r="X388" i="31"/>
  <c r="V227" i="30"/>
  <c r="V250" i="30"/>
  <c r="V159" i="30"/>
  <c r="V273" i="30"/>
  <c r="V249" i="30"/>
  <c r="V110" i="30"/>
  <c r="V106" i="30"/>
  <c r="V134" i="30"/>
  <c r="V105" i="30"/>
  <c r="V116" i="30"/>
  <c r="F402" i="30"/>
  <c r="M188" i="28"/>
  <c r="N188" i="28" s="1"/>
  <c r="V188" i="28" s="1"/>
  <c r="J540" i="34"/>
  <c r="E556" i="34" s="1"/>
  <c r="K348" i="30"/>
  <c r="M190" i="28"/>
  <c r="N190" i="28" s="1"/>
  <c r="V190" i="28" s="1"/>
  <c r="M187" i="28"/>
  <c r="N187" i="28" s="1"/>
  <c r="K191" i="28"/>
  <c r="M184" i="28"/>
  <c r="N184" i="28" s="1"/>
  <c r="V184" i="28" s="1"/>
  <c r="K183" i="28"/>
  <c r="M189" i="28"/>
  <c r="N189" i="28" s="1"/>
  <c r="V189" i="28" s="1"/>
  <c r="X208" i="28"/>
  <c r="K335" i="30"/>
  <c r="K349" i="30"/>
  <c r="X232" i="25"/>
  <c r="X468" i="31"/>
  <c r="N169" i="28"/>
  <c r="V151" i="28"/>
  <c r="V152" i="28"/>
  <c r="V296" i="30"/>
  <c r="V295" i="30"/>
  <c r="V168" i="28"/>
  <c r="N186" i="28"/>
  <c r="V186" i="28" s="1"/>
  <c r="N185" i="28"/>
  <c r="A535" i="23"/>
  <c r="B297" i="28"/>
  <c r="N183" i="28"/>
  <c r="B331" i="25"/>
  <c r="B552" i="31"/>
  <c r="V313" i="30"/>
  <c r="V317" i="30"/>
  <c r="V314" i="30"/>
  <c r="V315" i="30"/>
  <c r="V316" i="30"/>
  <c r="V322" i="30"/>
  <c r="A518" i="33"/>
  <c r="AR37" i="32"/>
  <c r="V323" i="30"/>
  <c r="V321" i="30"/>
  <c r="V335" i="30"/>
  <c r="D445" i="30"/>
  <c r="C445" i="30"/>
  <c r="A445" i="30"/>
  <c r="E445" i="30"/>
  <c r="AR24" i="27"/>
  <c r="A367" i="26"/>
  <c r="I647" i="34"/>
  <c r="I228" i="23"/>
  <c r="I176" i="23"/>
  <c r="I503" i="34"/>
  <c r="I220" i="23"/>
  <c r="I639" i="34"/>
  <c r="I363" i="34"/>
  <c r="I128" i="23"/>
  <c r="I570" i="34"/>
  <c r="I197" i="23"/>
  <c r="I576" i="34"/>
  <c r="I203" i="23"/>
  <c r="I202" i="23"/>
  <c r="I575" i="34"/>
  <c r="I182" i="23"/>
  <c r="I509" i="34"/>
  <c r="I245" i="23"/>
  <c r="I710" i="34"/>
  <c r="I174" i="23"/>
  <c r="I501" i="34"/>
  <c r="I569" i="34"/>
  <c r="I196" i="23"/>
  <c r="I714" i="34"/>
  <c r="I249" i="23"/>
  <c r="I638" i="34"/>
  <c r="I219" i="23"/>
  <c r="I227" i="23"/>
  <c r="I646" i="34"/>
  <c r="I775" i="34"/>
  <c r="I264" i="23"/>
  <c r="I274" i="23"/>
  <c r="I785" i="34"/>
  <c r="I783" i="34"/>
  <c r="I272" i="23"/>
  <c r="I571" i="34"/>
  <c r="I198" i="23"/>
  <c r="I244" i="23"/>
  <c r="I709" i="34"/>
  <c r="I242" i="23"/>
  <c r="I707" i="34"/>
  <c r="I266" i="23"/>
  <c r="I777" i="34"/>
  <c r="I289" i="23"/>
  <c r="I846" i="34"/>
  <c r="I847" i="34"/>
  <c r="I290" i="23"/>
  <c r="I252" i="23"/>
  <c r="I717" i="34"/>
  <c r="I430" i="34"/>
  <c r="I149" i="23"/>
  <c r="I577" i="34"/>
  <c r="I204" i="23"/>
  <c r="I776" i="34"/>
  <c r="I265" i="23"/>
  <c r="I205" i="23"/>
  <c r="I578" i="34"/>
  <c r="I511" i="34"/>
  <c r="I150" i="23"/>
  <c r="I431" i="34"/>
  <c r="I369" i="34"/>
  <c r="I134" i="23"/>
  <c r="I502" i="34"/>
  <c r="I175" i="23"/>
  <c r="F95" i="23"/>
  <c r="I508" i="34"/>
  <c r="I181" i="23"/>
  <c r="I786" i="34"/>
  <c r="I275" i="23"/>
  <c r="C72" i="23"/>
  <c r="I361" i="34"/>
  <c r="I126" i="23"/>
  <c r="I499" i="34"/>
  <c r="I172" i="23"/>
  <c r="I218" i="23"/>
  <c r="I637" i="34"/>
  <c r="I636" i="34"/>
  <c r="I217" i="23"/>
  <c r="I267" i="23"/>
  <c r="I778" i="34"/>
  <c r="I222" i="23"/>
  <c r="I641" i="34"/>
  <c r="I136" i="23"/>
  <c r="I371" i="34"/>
  <c r="I567" i="34"/>
  <c r="I194" i="23"/>
  <c r="I160" i="23"/>
  <c r="I441" i="34"/>
  <c r="I434" i="34"/>
  <c r="I153" i="23"/>
  <c r="I273" i="23"/>
  <c r="I784" i="34"/>
  <c r="I158" i="23"/>
  <c r="I439" i="34"/>
  <c r="C95" i="23"/>
  <c r="I221" i="23"/>
  <c r="I640" i="34"/>
  <c r="I507" i="34"/>
  <c r="I180" i="23"/>
  <c r="I706" i="34"/>
  <c r="I241" i="23"/>
  <c r="I362" i="34"/>
  <c r="I127" i="23"/>
  <c r="I226" i="23"/>
  <c r="I645" i="34"/>
  <c r="I716" i="34"/>
  <c r="I251" i="23"/>
  <c r="I148" i="23"/>
  <c r="I429" i="34"/>
  <c r="I648" i="34"/>
  <c r="I229" i="23"/>
  <c r="I135" i="23"/>
  <c r="I370" i="34"/>
  <c r="I206" i="23"/>
  <c r="I579" i="34"/>
  <c r="I199" i="23"/>
  <c r="I572" i="34"/>
  <c r="F72" i="23"/>
  <c r="I574" i="34"/>
  <c r="I201" i="23"/>
  <c r="I364" i="34"/>
  <c r="I129" i="23"/>
  <c r="I200" i="23"/>
  <c r="I573" i="34"/>
  <c r="I44" i="29"/>
  <c r="I268" i="23"/>
  <c r="I779" i="34"/>
  <c r="I250" i="23"/>
  <c r="I715" i="34"/>
  <c r="I500" i="34"/>
  <c r="I173" i="23"/>
  <c r="J200" i="23"/>
  <c r="J242" i="23"/>
  <c r="J195" i="23"/>
  <c r="J468" i="34"/>
  <c r="J180" i="23"/>
  <c r="J158" i="23"/>
  <c r="J109" i="23"/>
  <c r="J125" i="23"/>
  <c r="J220" i="23"/>
  <c r="J711" i="34"/>
  <c r="J361" i="34"/>
  <c r="J149" i="23"/>
  <c r="J368" i="34"/>
  <c r="J503" i="34"/>
  <c r="J573" i="34"/>
  <c r="J707" i="34"/>
  <c r="J568" i="34"/>
  <c r="J221" i="23"/>
  <c r="J508" i="34"/>
  <c r="J196" i="23"/>
  <c r="J509" i="34"/>
  <c r="J227" i="23"/>
  <c r="J294" i="34"/>
  <c r="J316" i="23"/>
  <c r="J331" i="34"/>
  <c r="J360" i="34"/>
  <c r="J248" i="23"/>
  <c r="J295" i="34"/>
  <c r="J246" i="23"/>
  <c r="J325" i="34"/>
  <c r="J265" i="23"/>
  <c r="J133" i="23"/>
  <c r="J326" i="34"/>
  <c r="J510" i="34"/>
  <c r="J299" i="34"/>
  <c r="J244" i="23"/>
  <c r="J779" i="34"/>
  <c r="J601" i="34"/>
  <c r="I146" i="29"/>
  <c r="I61" i="29"/>
  <c r="J774" i="34"/>
  <c r="J263" i="23"/>
  <c r="I257" i="34"/>
  <c r="J110" i="23"/>
  <c r="J268" i="23"/>
  <c r="J199" i="23"/>
  <c r="I433" i="34"/>
  <c r="I152" i="23"/>
  <c r="J440" i="34"/>
  <c r="J225" i="23"/>
  <c r="J570" i="34"/>
  <c r="J437" i="34"/>
  <c r="J250" i="23"/>
  <c r="J640" i="34"/>
  <c r="J181" i="23"/>
  <c r="J569" i="34"/>
  <c r="J182" i="23"/>
  <c r="I606" i="34"/>
  <c r="J646" i="34"/>
  <c r="J105" i="23"/>
  <c r="J919" i="34"/>
  <c r="J675" i="34"/>
  <c r="J132" i="23"/>
  <c r="J713" i="34"/>
  <c r="J198" i="23"/>
  <c r="J106" i="23"/>
  <c r="J636" i="34"/>
  <c r="J332" i="34"/>
  <c r="J776" i="34"/>
  <c r="J644" i="34"/>
  <c r="J197" i="23"/>
  <c r="J156" i="23"/>
  <c r="J715" i="34"/>
  <c r="J371" i="34"/>
  <c r="J172" i="23"/>
  <c r="I602" i="34"/>
  <c r="I262" i="34"/>
  <c r="J647" i="34"/>
  <c r="J301" i="34"/>
  <c r="J637" i="34"/>
  <c r="J367" i="34"/>
  <c r="J571" i="34"/>
  <c r="J108" i="23"/>
  <c r="J217" i="23"/>
  <c r="J717" i="34"/>
  <c r="J785" i="34"/>
  <c r="J223" i="23"/>
  <c r="J716" i="34"/>
  <c r="J438" i="34"/>
  <c r="J203" i="23"/>
  <c r="J300" i="34"/>
  <c r="I260" i="34"/>
  <c r="J710" i="34"/>
  <c r="J157" i="23"/>
  <c r="I510" i="34"/>
  <c r="I183" i="23"/>
  <c r="I438" i="34"/>
  <c r="I157" i="23"/>
  <c r="J159" i="23"/>
  <c r="J148" i="23"/>
  <c r="J576" i="34"/>
  <c r="J370" i="34"/>
  <c r="J329" i="34"/>
  <c r="J578" i="34"/>
  <c r="J135" i="23"/>
  <c r="I195" i="23"/>
  <c r="I568" i="34"/>
  <c r="I440" i="34"/>
  <c r="I159" i="23"/>
  <c r="I365" i="34"/>
  <c r="I130" i="23"/>
  <c r="J194" i="23"/>
  <c r="J506" i="34"/>
  <c r="J642" i="34"/>
  <c r="J435" i="34"/>
  <c r="J270" i="23"/>
  <c r="J136" i="23"/>
  <c r="J499" i="34"/>
  <c r="J228" i="23"/>
  <c r="J112" i="23"/>
  <c r="J218" i="23"/>
  <c r="J470" i="34"/>
  <c r="J297" i="34"/>
  <c r="J256" i="34"/>
  <c r="J330" i="34"/>
  <c r="J252" i="23"/>
  <c r="J260" i="34"/>
  <c r="J274" i="23"/>
  <c r="J567" i="34"/>
  <c r="J179" i="23"/>
  <c r="J154" i="23"/>
  <c r="J781" i="34"/>
  <c r="J501" i="34"/>
  <c r="J502" i="34"/>
  <c r="J401" i="34"/>
  <c r="J436" i="34"/>
  <c r="J183" i="23"/>
  <c r="J777" i="34"/>
  <c r="I112" i="29"/>
  <c r="J431" i="34"/>
  <c r="I78" i="29"/>
  <c r="J177" i="23"/>
  <c r="J251" i="23"/>
  <c r="J174" i="23"/>
  <c r="J175" i="23"/>
  <c r="J173" i="23"/>
  <c r="J257" i="34"/>
  <c r="J171" i="23"/>
  <c r="J498" i="34"/>
  <c r="J429" i="34"/>
  <c r="J504" i="34"/>
  <c r="J245" i="23"/>
  <c r="J155" i="23"/>
  <c r="I263" i="34"/>
  <c r="J114" i="23"/>
  <c r="J500" i="34"/>
  <c r="J152" i="23"/>
  <c r="I607" i="34"/>
  <c r="J266" i="23"/>
  <c r="J205" i="23"/>
  <c r="J673" i="34"/>
  <c r="J44" i="29"/>
  <c r="J150" i="23"/>
  <c r="J572" i="34"/>
  <c r="I708" i="34"/>
  <c r="I243" i="23"/>
  <c r="I151" i="23"/>
  <c r="I432" i="34"/>
  <c r="I372" i="34"/>
  <c r="I137" i="23"/>
  <c r="J786" i="34"/>
  <c r="J505" i="34"/>
  <c r="J775" i="34"/>
  <c r="J247" i="23"/>
  <c r="J782" i="34"/>
  <c r="J303" i="34"/>
  <c r="J240" i="23"/>
  <c r="J705" i="34"/>
  <c r="J275" i="23"/>
  <c r="J178" i="23"/>
  <c r="J264" i="23"/>
  <c r="J712" i="34"/>
  <c r="J271" i="23"/>
  <c r="J507" i="34"/>
  <c r="J439" i="34"/>
  <c r="J298" i="34"/>
  <c r="J160" i="23"/>
  <c r="J608" i="34"/>
  <c r="J639" i="34"/>
  <c r="J126" i="23"/>
  <c r="J430" i="34"/>
  <c r="J780" i="34"/>
  <c r="J176" i="23"/>
  <c r="J111" i="23"/>
  <c r="I608" i="34"/>
  <c r="I261" i="34"/>
  <c r="J709" i="34"/>
  <c r="J433" i="34"/>
  <c r="J671" i="34"/>
  <c r="J263" i="34"/>
  <c r="J441" i="34"/>
  <c r="I605" i="34"/>
  <c r="J269" i="23"/>
  <c r="M53" i="28" l="1"/>
  <c r="M133" i="28"/>
  <c r="N133" i="28" s="1"/>
  <c r="M119" i="28"/>
  <c r="N119" i="28" s="1"/>
  <c r="M88" i="28"/>
  <c r="V222" i="30"/>
  <c r="M70" i="28"/>
  <c r="N70" i="28" s="1"/>
  <c r="M155" i="28"/>
  <c r="N155" i="28" s="1"/>
  <c r="V96" i="30"/>
  <c r="B97" i="30" s="1"/>
  <c r="M150" i="28"/>
  <c r="M154" i="28"/>
  <c r="N154" i="28" s="1"/>
  <c r="M102" i="28"/>
  <c r="N102" i="28" s="1"/>
  <c r="M139" i="28"/>
  <c r="N139" i="28" s="1"/>
  <c r="C213" i="34"/>
  <c r="M104" i="28"/>
  <c r="N104" i="28" s="1"/>
  <c r="V293" i="30"/>
  <c r="V292" i="30"/>
  <c r="M105" i="28"/>
  <c r="M82" i="28"/>
  <c r="K64" i="28"/>
  <c r="V73" i="30"/>
  <c r="B74" i="30" s="1"/>
  <c r="M156" i="28"/>
  <c r="K47" i="28"/>
  <c r="V225" i="30"/>
  <c r="V276" i="30"/>
  <c r="V132" i="30"/>
  <c r="M54" i="28"/>
  <c r="M48" i="28"/>
  <c r="M138" i="28"/>
  <c r="M103" i="28"/>
  <c r="N103" i="28" s="1"/>
  <c r="M69" i="28"/>
  <c r="N69" i="28" s="1"/>
  <c r="M52" i="28"/>
  <c r="K157" i="28"/>
  <c r="M87" i="28"/>
  <c r="K55" i="28"/>
  <c r="K72" i="28"/>
  <c r="M71" i="28"/>
  <c r="M99" i="28"/>
  <c r="M85" i="28"/>
  <c r="C282" i="34"/>
  <c r="M132" i="28"/>
  <c r="K140" i="28"/>
  <c r="K132" i="28"/>
  <c r="M122" i="28"/>
  <c r="M86" i="28"/>
  <c r="M120" i="28"/>
  <c r="N115" i="28"/>
  <c r="K115" i="28"/>
  <c r="K123" i="28"/>
  <c r="N81" i="28"/>
  <c r="M65" i="28"/>
  <c r="K149" i="28"/>
  <c r="K81" i="28"/>
  <c r="K89" i="28"/>
  <c r="M153" i="28"/>
  <c r="N153" i="28" s="1"/>
  <c r="M137" i="28"/>
  <c r="M51" i="28"/>
  <c r="M136" i="28"/>
  <c r="M116" i="28"/>
  <c r="M121" i="28"/>
  <c r="M68" i="28"/>
  <c r="N149" i="28"/>
  <c r="V149" i="28" s="1"/>
  <c r="M98" i="28"/>
  <c r="K98" i="28"/>
  <c r="K106" i="28"/>
  <c r="V151" i="30"/>
  <c r="V197" i="30"/>
  <c r="V162" i="30"/>
  <c r="V180" i="30"/>
  <c r="V226" i="30"/>
  <c r="V228" i="30"/>
  <c r="V203" i="30"/>
  <c r="V181" i="30"/>
  <c r="V182" i="30"/>
  <c r="V157" i="30"/>
  <c r="M188" i="30"/>
  <c r="H189" i="30" s="1"/>
  <c r="V198" i="30"/>
  <c r="V274" i="30"/>
  <c r="E74" i="30"/>
  <c r="V158" i="30"/>
  <c r="V139" i="30"/>
  <c r="V224" i="30"/>
  <c r="V155" i="30"/>
  <c r="M119" i="30"/>
  <c r="H120" i="30" s="1"/>
  <c r="V199" i="30"/>
  <c r="V176" i="30"/>
  <c r="V184" i="30"/>
  <c r="V231" i="30"/>
  <c r="V230" i="30"/>
  <c r="V178" i="30"/>
  <c r="V160" i="30"/>
  <c r="J512" i="34"/>
  <c r="C556" i="34" s="1"/>
  <c r="J184" i="23"/>
  <c r="J471" i="34"/>
  <c r="E487" i="34" s="1"/>
  <c r="J115" i="23"/>
  <c r="J305" i="34"/>
  <c r="V136" i="30"/>
  <c r="V272" i="30"/>
  <c r="V152" i="30"/>
  <c r="V247" i="30"/>
  <c r="V268" i="30"/>
  <c r="L189" i="30"/>
  <c r="V129" i="30"/>
  <c r="V138" i="30"/>
  <c r="V113" i="30"/>
  <c r="V64" i="28"/>
  <c r="V220" i="30"/>
  <c r="V111" i="30"/>
  <c r="V179" i="30"/>
  <c r="V109" i="30"/>
  <c r="V223" i="30"/>
  <c r="V201" i="30"/>
  <c r="V153" i="30"/>
  <c r="V251" i="30"/>
  <c r="V135" i="30"/>
  <c r="V128" i="30"/>
  <c r="V221" i="30"/>
  <c r="V112" i="30"/>
  <c r="V271" i="30"/>
  <c r="V202" i="30"/>
  <c r="V114" i="30"/>
  <c r="V115" i="30"/>
  <c r="L120" i="30"/>
  <c r="N53" i="28"/>
  <c r="V53" i="28" s="1"/>
  <c r="V108" i="30"/>
  <c r="V206" i="30"/>
  <c r="F425" i="30"/>
  <c r="J402" i="34"/>
  <c r="E418" i="34" s="1"/>
  <c r="J333" i="34"/>
  <c r="E349" i="34" s="1"/>
  <c r="V47" i="28"/>
  <c r="L327" i="30"/>
  <c r="M174" i="28"/>
  <c r="H175" i="28" s="1"/>
  <c r="V169" i="28"/>
  <c r="V167" i="28"/>
  <c r="L175" i="28"/>
  <c r="V319" i="30"/>
  <c r="M326" i="30"/>
  <c r="H327" i="30" s="1"/>
  <c r="V318" i="30"/>
  <c r="V185" i="28"/>
  <c r="V187" i="28"/>
  <c r="V183" i="28"/>
  <c r="L192" i="28"/>
  <c r="M191" i="28"/>
  <c r="H192" i="28" s="1"/>
  <c r="B568" i="31"/>
  <c r="B350" i="25"/>
  <c r="B314" i="28"/>
  <c r="A558" i="23"/>
  <c r="V346" i="30"/>
  <c r="V339" i="30"/>
  <c r="V344" i="30"/>
  <c r="V342" i="30"/>
  <c r="V336" i="30"/>
  <c r="V341" i="30"/>
  <c r="V338" i="30"/>
  <c r="V337" i="30"/>
  <c r="A534" i="33"/>
  <c r="AR38" i="32"/>
  <c r="V345" i="30"/>
  <c r="L350" i="30"/>
  <c r="V340" i="30"/>
  <c r="M349" i="30"/>
  <c r="V343" i="30"/>
  <c r="A468" i="30"/>
  <c r="D468" i="30"/>
  <c r="E468" i="30"/>
  <c r="C468" i="30"/>
  <c r="AR25" i="27"/>
  <c r="A386" i="26"/>
  <c r="J128" i="23"/>
  <c r="J363" i="34"/>
  <c r="I50" i="29"/>
  <c r="J575" i="34"/>
  <c r="J202" i="23"/>
  <c r="I130" i="29"/>
  <c r="I116" i="29"/>
  <c r="I85" i="29"/>
  <c r="J638" i="34"/>
  <c r="J219" i="23"/>
  <c r="J249" i="23"/>
  <c r="J714" i="34"/>
  <c r="I67" i="29"/>
  <c r="I152" i="29"/>
  <c r="I147" i="29"/>
  <c r="I151" i="29"/>
  <c r="I101" i="29"/>
  <c r="I99" i="29"/>
  <c r="J369" i="34"/>
  <c r="J134" i="23"/>
  <c r="I136" i="29"/>
  <c r="J204" i="23"/>
  <c r="J577" i="34"/>
  <c r="I102" i="29"/>
  <c r="B73" i="23"/>
  <c r="J222" i="23"/>
  <c r="J641" i="34"/>
  <c r="I79" i="29"/>
  <c r="J153" i="23"/>
  <c r="J434" i="34"/>
  <c r="J778" i="34"/>
  <c r="J267" i="23"/>
  <c r="I153" i="29"/>
  <c r="J364" i="34"/>
  <c r="J129" i="23"/>
  <c r="I66" i="29"/>
  <c r="I100" i="29"/>
  <c r="I51" i="29"/>
  <c r="I49" i="29"/>
  <c r="I45" i="29"/>
  <c r="I84" i="29"/>
  <c r="I135" i="29"/>
  <c r="J648" i="34"/>
  <c r="J229" i="23"/>
  <c r="J226" i="23"/>
  <c r="J645" i="34"/>
  <c r="J241" i="23"/>
  <c r="J706" i="34"/>
  <c r="J362" i="34"/>
  <c r="J127" i="23"/>
  <c r="J201" i="23"/>
  <c r="J574" i="34"/>
  <c r="J579" i="34"/>
  <c r="J206" i="23"/>
  <c r="J130" i="29"/>
  <c r="I150" i="29"/>
  <c r="B96" i="23"/>
  <c r="J602" i="34"/>
  <c r="J100" i="29"/>
  <c r="J262" i="34"/>
  <c r="I119" i="29"/>
  <c r="J116" i="29"/>
  <c r="I134" i="29"/>
  <c r="I68" i="29"/>
  <c r="I83" i="29"/>
  <c r="I48" i="29"/>
  <c r="I117" i="29"/>
  <c r="I133" i="29"/>
  <c r="F187" i="23"/>
  <c r="I96" i="29"/>
  <c r="F118" i="23"/>
  <c r="J151" i="29"/>
  <c r="J605" i="34"/>
  <c r="J66" i="29"/>
  <c r="I82" i="29"/>
  <c r="I113" i="29"/>
  <c r="J432" i="34"/>
  <c r="J151" i="23"/>
  <c r="I62" i="29"/>
  <c r="I118" i="29"/>
  <c r="F73" i="23"/>
  <c r="C118" i="23"/>
  <c r="J137" i="23"/>
  <c r="J372" i="34"/>
  <c r="J136" i="29"/>
  <c r="I65" i="29"/>
  <c r="J606" i="34"/>
  <c r="J50" i="29"/>
  <c r="J99" i="29"/>
  <c r="J101" i="29"/>
  <c r="I129" i="29"/>
  <c r="J112" i="29"/>
  <c r="J708" i="34"/>
  <c r="J243" i="23"/>
  <c r="J365" i="34"/>
  <c r="J130" i="23"/>
  <c r="I95" i="29"/>
  <c r="J607" i="34"/>
  <c r="J261" i="34"/>
  <c r="J67" i="29"/>
  <c r="J78" i="29"/>
  <c r="C187" i="23"/>
  <c r="V131" i="30" l="1"/>
  <c r="M165" i="30"/>
  <c r="H166" i="30" s="1"/>
  <c r="V205" i="30"/>
  <c r="E97" i="30"/>
  <c r="V303" i="30"/>
  <c r="E304" i="30" s="1"/>
  <c r="V252" i="30"/>
  <c r="N88" i="28"/>
  <c r="M234" i="30"/>
  <c r="H235" i="30" s="1"/>
  <c r="N150" i="28"/>
  <c r="V150" i="28" s="1"/>
  <c r="V157" i="28" s="1"/>
  <c r="M257" i="30"/>
  <c r="H258" i="30" s="1"/>
  <c r="V207" i="30"/>
  <c r="M303" i="30"/>
  <c r="H304" i="30" s="1"/>
  <c r="L304" i="30"/>
  <c r="V137" i="30"/>
  <c r="N156" i="28"/>
  <c r="V156" i="28" s="1"/>
  <c r="M280" i="30"/>
  <c r="H281" i="30" s="1"/>
  <c r="L281" i="30"/>
  <c r="V270" i="30"/>
  <c r="V280" i="30" s="1"/>
  <c r="E281" i="30" s="1"/>
  <c r="V156" i="30"/>
  <c r="N82" i="28"/>
  <c r="M89" i="28" s="1"/>
  <c r="H90" i="28" s="1"/>
  <c r="N105" i="28"/>
  <c r="J581" i="34"/>
  <c r="C625" i="34" s="1"/>
  <c r="J207" i="23"/>
  <c r="J650" i="34"/>
  <c r="C696" i="34" s="1"/>
  <c r="J230" i="23"/>
  <c r="V130" i="30"/>
  <c r="V204" i="30"/>
  <c r="V229" i="30"/>
  <c r="V234" i="30" s="1"/>
  <c r="E235" i="30" s="1"/>
  <c r="M211" i="30"/>
  <c r="H212" i="30" s="1"/>
  <c r="L212" i="30"/>
  <c r="N87" i="28"/>
  <c r="M142" i="30"/>
  <c r="H143" i="30" s="1"/>
  <c r="N138" i="28"/>
  <c r="V138" i="28" s="1"/>
  <c r="N48" i="28"/>
  <c r="L235" i="30"/>
  <c r="V244" i="30"/>
  <c r="N52" i="28"/>
  <c r="N54" i="28"/>
  <c r="J138" i="23"/>
  <c r="J374" i="34"/>
  <c r="C420" i="34" s="1"/>
  <c r="J253" i="23"/>
  <c r="J719" i="34"/>
  <c r="C763" i="34" s="1"/>
  <c r="J161" i="23"/>
  <c r="J443" i="34"/>
  <c r="C489" i="34" s="1"/>
  <c r="V81" i="28"/>
  <c r="N98" i="28"/>
  <c r="V133" i="30"/>
  <c r="V246" i="30"/>
  <c r="V115" i="28"/>
  <c r="N132" i="28"/>
  <c r="V104" i="28"/>
  <c r="V102" i="28"/>
  <c r="N68" i="28"/>
  <c r="V139" i="28"/>
  <c r="L258" i="30"/>
  <c r="N121" i="28"/>
  <c r="N65" i="28"/>
  <c r="V154" i="30"/>
  <c r="N116" i="28"/>
  <c r="M123" i="28" s="1"/>
  <c r="H124" i="28" s="1"/>
  <c r="N85" i="28"/>
  <c r="N99" i="28"/>
  <c r="N136" i="28"/>
  <c r="N120" i="28"/>
  <c r="N51" i="28"/>
  <c r="N86" i="28"/>
  <c r="N71" i="28"/>
  <c r="N137" i="28"/>
  <c r="V137" i="28" s="1"/>
  <c r="V119" i="28"/>
  <c r="N122" i="28"/>
  <c r="V103" i="28"/>
  <c r="L143" i="30"/>
  <c r="L166" i="30"/>
  <c r="V133" i="28"/>
  <c r="V188" i="30"/>
  <c r="E189" i="30" s="1"/>
  <c r="V154" i="28"/>
  <c r="V70" i="28"/>
  <c r="C558" i="34"/>
  <c r="V119" i="30"/>
  <c r="V155" i="28"/>
  <c r="J264" i="34"/>
  <c r="E280" i="34" s="1"/>
  <c r="J609" i="34"/>
  <c r="E625" i="34" s="1"/>
  <c r="C351" i="34"/>
  <c r="C349" i="34"/>
  <c r="V69" i="28"/>
  <c r="V153" i="28"/>
  <c r="F448" i="30"/>
  <c r="V174" i="28"/>
  <c r="E175" i="28" s="1"/>
  <c r="V326" i="30"/>
  <c r="B327" i="30" s="1"/>
  <c r="H350" i="30"/>
  <c r="V191" i="28"/>
  <c r="E192" i="28" s="1"/>
  <c r="B584" i="31"/>
  <c r="B369" i="25"/>
  <c r="A581" i="23"/>
  <c r="B331" i="28"/>
  <c r="A550" i="33"/>
  <c r="AR39" i="32"/>
  <c r="V349" i="30"/>
  <c r="E491" i="30"/>
  <c r="A491" i="30"/>
  <c r="D491" i="30"/>
  <c r="C491" i="30"/>
  <c r="AR26" i="27"/>
  <c r="A405" i="26"/>
  <c r="A499" i="31"/>
  <c r="B499" i="31"/>
  <c r="B494" i="31"/>
  <c r="W478" i="31"/>
  <c r="S493" i="31"/>
  <c r="S498" i="31"/>
  <c r="U498" i="31"/>
  <c r="T498" i="31"/>
  <c r="Q494" i="31"/>
  <c r="W483" i="31"/>
  <c r="Q498" i="31"/>
  <c r="A495" i="31"/>
  <c r="Q493" i="31"/>
  <c r="S495" i="31"/>
  <c r="U495" i="31"/>
  <c r="Q496" i="31"/>
  <c r="S496" i="31"/>
  <c r="T497" i="31"/>
  <c r="F497" i="31"/>
  <c r="W480" i="31"/>
  <c r="A493" i="31"/>
  <c r="S494" i="31"/>
  <c r="B493" i="31"/>
  <c r="B497" i="31"/>
  <c r="T494" i="31"/>
  <c r="F498" i="31"/>
  <c r="S497" i="31"/>
  <c r="F499" i="31"/>
  <c r="B496" i="31"/>
  <c r="A497" i="31"/>
  <c r="W481" i="31"/>
  <c r="T499" i="31"/>
  <c r="U496" i="31"/>
  <c r="A498" i="31"/>
  <c r="W482" i="31"/>
  <c r="U494" i="31"/>
  <c r="W494" i="31" s="1"/>
  <c r="W477" i="31"/>
  <c r="Q499" i="31"/>
  <c r="B498" i="31"/>
  <c r="W479" i="31"/>
  <c r="F493" i="31"/>
  <c r="Q495" i="31"/>
  <c r="B495" i="31"/>
  <c r="U497" i="31"/>
  <c r="T495" i="31"/>
  <c r="U499" i="31"/>
  <c r="U493" i="31"/>
  <c r="W493" i="31" s="1"/>
  <c r="T493" i="31"/>
  <c r="F496" i="31"/>
  <c r="F495" i="31"/>
  <c r="F494" i="31"/>
  <c r="S499" i="31"/>
  <c r="Q497" i="31"/>
  <c r="W495" i="31"/>
  <c r="T496" i="31"/>
  <c r="W497" i="31"/>
  <c r="A494" i="31"/>
  <c r="A496" i="31"/>
  <c r="W498" i="31"/>
  <c r="W499" i="31"/>
  <c r="F164" i="23"/>
  <c r="F96" i="23"/>
  <c r="J85" i="29"/>
  <c r="F233" i="23"/>
  <c r="J147" i="29"/>
  <c r="J79" i="29"/>
  <c r="J102" i="29"/>
  <c r="F141" i="23"/>
  <c r="J135" i="29"/>
  <c r="J45" i="29"/>
  <c r="C233" i="23"/>
  <c r="J49" i="29"/>
  <c r="F210" i="23"/>
  <c r="J51" i="29"/>
  <c r="C210" i="23"/>
  <c r="J84" i="29"/>
  <c r="P207" i="28"/>
  <c r="Q237" i="28"/>
  <c r="S239" i="28"/>
  <c r="F241" i="28"/>
  <c r="W223" i="28"/>
  <c r="U241" i="28"/>
  <c r="T234" i="28"/>
  <c r="B235" i="28"/>
  <c r="W220" i="28"/>
  <c r="W217" i="28"/>
  <c r="A237" i="28"/>
  <c r="F235" i="28"/>
  <c r="Q239" i="28"/>
  <c r="P205" i="28"/>
  <c r="B236" i="28"/>
  <c r="B238" i="28"/>
  <c r="U238" i="28"/>
  <c r="B241" i="28"/>
  <c r="Q235" i="28"/>
  <c r="F234" i="28"/>
  <c r="J113" i="29"/>
  <c r="W221" i="28"/>
  <c r="J96" i="29"/>
  <c r="F236" i="28"/>
  <c r="Q241" i="28"/>
  <c r="W218" i="28"/>
  <c r="J48" i="29"/>
  <c r="B237" i="28"/>
  <c r="A239" i="28"/>
  <c r="S238" i="28"/>
  <c r="P201" i="28"/>
  <c r="A235" i="28"/>
  <c r="P206" i="28"/>
  <c r="P203" i="28"/>
  <c r="T236" i="28"/>
  <c r="S236" i="28"/>
  <c r="S234" i="28"/>
  <c r="T238" i="28"/>
  <c r="T237" i="28"/>
  <c r="W222" i="28"/>
  <c r="B234" i="28"/>
  <c r="W219" i="28"/>
  <c r="J118" i="29"/>
  <c r="J83" i="29"/>
  <c r="J129" i="29"/>
  <c r="J62" i="29"/>
  <c r="J68" i="29"/>
  <c r="A236" i="28"/>
  <c r="Q240" i="28"/>
  <c r="Q236" i="28"/>
  <c r="U234" i="28"/>
  <c r="U237" i="28"/>
  <c r="S235" i="28"/>
  <c r="T241" i="28"/>
  <c r="F188" i="23"/>
  <c r="B239" i="28"/>
  <c r="F238" i="28"/>
  <c r="J82" i="29"/>
  <c r="J119" i="29"/>
  <c r="S237" i="28"/>
  <c r="F239" i="28"/>
  <c r="T235" i="28"/>
  <c r="T239" i="28"/>
  <c r="F88" i="29"/>
  <c r="J133" i="29"/>
  <c r="F234" i="23"/>
  <c r="F237" i="28"/>
  <c r="U240" i="28"/>
  <c r="T240" i="28"/>
  <c r="J95" i="29"/>
  <c r="C141" i="23"/>
  <c r="A238" i="28"/>
  <c r="A241" i="28"/>
  <c r="P202" i="28"/>
  <c r="J65" i="29"/>
  <c r="J117" i="29"/>
  <c r="C164" i="23"/>
  <c r="U236" i="28"/>
  <c r="B240" i="28"/>
  <c r="S241" i="28"/>
  <c r="W236" i="28"/>
  <c r="S240" i="28"/>
  <c r="Q238" i="28"/>
  <c r="F240" i="28"/>
  <c r="W224" i="28"/>
  <c r="P204" i="28"/>
  <c r="P200" i="28"/>
  <c r="A234" i="28"/>
  <c r="A240" i="28"/>
  <c r="U235" i="28"/>
  <c r="U239" i="28"/>
  <c r="Q234" i="28"/>
  <c r="F122" i="29"/>
  <c r="B304" i="30" l="1"/>
  <c r="V211" i="30"/>
  <c r="E212" i="30" s="1"/>
  <c r="M157" i="28"/>
  <c r="H158" i="28" s="1"/>
  <c r="C418" i="34"/>
  <c r="V88" i="28"/>
  <c r="V257" i="30"/>
  <c r="B258" i="30" s="1"/>
  <c r="L158" i="28"/>
  <c r="L56" i="28"/>
  <c r="C627" i="34"/>
  <c r="V142" i="30"/>
  <c r="E143" i="30" s="1"/>
  <c r="B189" i="30"/>
  <c r="V165" i="30"/>
  <c r="B166" i="30" s="1"/>
  <c r="J86" i="29"/>
  <c r="V105" i="28"/>
  <c r="C765" i="34"/>
  <c r="L73" i="28"/>
  <c r="V82" i="28"/>
  <c r="V89" i="28" s="1"/>
  <c r="B90" i="28" s="1"/>
  <c r="C694" i="34"/>
  <c r="V87" i="28"/>
  <c r="V54" i="28"/>
  <c r="V52" i="28"/>
  <c r="M55" i="28"/>
  <c r="H56" i="28" s="1"/>
  <c r="V48" i="28"/>
  <c r="V55" i="28" s="1"/>
  <c r="B56" i="28" s="1"/>
  <c r="J103" i="29"/>
  <c r="V120" i="28"/>
  <c r="V68" i="28"/>
  <c r="V98" i="28"/>
  <c r="M106" i="28"/>
  <c r="H107" i="28" s="1"/>
  <c r="L107" i="28"/>
  <c r="V136" i="28"/>
  <c r="V122" i="28"/>
  <c r="V85" i="28"/>
  <c r="V71" i="28"/>
  <c r="V65" i="28"/>
  <c r="V72" i="28" s="1"/>
  <c r="M72" i="28"/>
  <c r="H73" i="28" s="1"/>
  <c r="V132" i="28"/>
  <c r="V140" i="28" s="1"/>
  <c r="M140" i="28"/>
  <c r="H141" i="28" s="1"/>
  <c r="L141" i="28"/>
  <c r="V86" i="28"/>
  <c r="V121" i="28"/>
  <c r="V51" i="28"/>
  <c r="V99" i="28"/>
  <c r="V116" i="28"/>
  <c r="V123" i="28" s="1"/>
  <c r="L124" i="28"/>
  <c r="C487" i="34"/>
  <c r="L90" i="28"/>
  <c r="B120" i="30"/>
  <c r="E120" i="30"/>
  <c r="B281" i="30"/>
  <c r="B235" i="30"/>
  <c r="E158" i="28"/>
  <c r="B158" i="28"/>
  <c r="F471" i="30"/>
  <c r="B175" i="28"/>
  <c r="E327" i="30"/>
  <c r="X497" i="31"/>
  <c r="I238" i="28"/>
  <c r="R203" i="28"/>
  <c r="K203" i="28" s="1"/>
  <c r="G203" i="28"/>
  <c r="X495" i="31"/>
  <c r="X223" i="28"/>
  <c r="X218" i="28"/>
  <c r="I497" i="31"/>
  <c r="I240" i="28"/>
  <c r="I236" i="28"/>
  <c r="R205" i="28"/>
  <c r="K205" i="28" s="1"/>
  <c r="G205" i="28"/>
  <c r="X220" i="28"/>
  <c r="X493" i="31"/>
  <c r="I495" i="31"/>
  <c r="X221" i="28"/>
  <c r="F500" i="31"/>
  <c r="I500" i="31"/>
  <c r="X479" i="31"/>
  <c r="I499" i="31"/>
  <c r="X477" i="31"/>
  <c r="X494" i="31"/>
  <c r="R204" i="28"/>
  <c r="K204" i="28" s="1"/>
  <c r="G204" i="28"/>
  <c r="I235" i="28"/>
  <c r="X482" i="31"/>
  <c r="I241" i="28"/>
  <c r="X481" i="31"/>
  <c r="I234" i="28"/>
  <c r="X219" i="28"/>
  <c r="X480" i="31"/>
  <c r="I237" i="28"/>
  <c r="I496" i="31"/>
  <c r="X224" i="28"/>
  <c r="G207" i="28"/>
  <c r="R207" i="28"/>
  <c r="K207" i="28" s="1"/>
  <c r="X222" i="28"/>
  <c r="R202" i="28"/>
  <c r="K202" i="28" s="1"/>
  <c r="G202" i="28"/>
  <c r="I242" i="28"/>
  <c r="F242" i="28"/>
  <c r="I493" i="31"/>
  <c r="I498" i="31"/>
  <c r="G201" i="28"/>
  <c r="R201" i="28"/>
  <c r="M201" i="28" s="1"/>
  <c r="N201" i="28" s="1"/>
  <c r="X483" i="31"/>
  <c r="I494" i="31"/>
  <c r="I239" i="28"/>
  <c r="R206" i="28"/>
  <c r="K206" i="28" s="1"/>
  <c r="G206" i="28"/>
  <c r="X217" i="28"/>
  <c r="W225" i="28"/>
  <c r="R200" i="28"/>
  <c r="K200" i="28" s="1"/>
  <c r="G208" i="28"/>
  <c r="G200" i="28"/>
  <c r="X478" i="31"/>
  <c r="M203" i="28"/>
  <c r="N203" i="28" s="1"/>
  <c r="X236" i="28"/>
  <c r="X498" i="31"/>
  <c r="X499" i="31"/>
  <c r="B350" i="30"/>
  <c r="E350" i="30"/>
  <c r="B192" i="28"/>
  <c r="B388" i="25"/>
  <c r="A604" i="23"/>
  <c r="B348" i="28"/>
  <c r="B600" i="31"/>
  <c r="A566" i="33"/>
  <c r="AR40" i="32"/>
  <c r="A514" i="30"/>
  <c r="E514" i="30"/>
  <c r="C514" i="30"/>
  <c r="D514" i="30"/>
  <c r="AR27" i="27"/>
  <c r="A424" i="26"/>
  <c r="W496" i="31"/>
  <c r="F211" i="23"/>
  <c r="C54" i="29"/>
  <c r="B188" i="23"/>
  <c r="C71" i="29"/>
  <c r="F54" i="29"/>
  <c r="B119" i="23"/>
  <c r="C88" i="29"/>
  <c r="F105" i="29"/>
  <c r="C105" i="29"/>
  <c r="F71" i="29"/>
  <c r="C122" i="29"/>
  <c r="F142" i="23"/>
  <c r="F119" i="23"/>
  <c r="B165" i="23"/>
  <c r="B234" i="23"/>
  <c r="B212" i="30" l="1"/>
  <c r="E258" i="30"/>
  <c r="B143" i="30"/>
  <c r="E166" i="30"/>
  <c r="V106" i="28"/>
  <c r="B107" i="28" s="1"/>
  <c r="E90" i="28"/>
  <c r="E56" i="28"/>
  <c r="B141" i="28"/>
  <c r="E141" i="28"/>
  <c r="E124" i="28"/>
  <c r="B124" i="28"/>
  <c r="B73" i="28"/>
  <c r="E73" i="28"/>
  <c r="F494" i="30"/>
  <c r="K201" i="28"/>
  <c r="M207" i="28"/>
  <c r="N207" i="28" s="1"/>
  <c r="M204" i="28"/>
  <c r="X484" i="31"/>
  <c r="X225" i="28"/>
  <c r="X496" i="31"/>
  <c r="X500" i="31" s="1"/>
  <c r="H2139" i="34"/>
  <c r="M206" i="28"/>
  <c r="N206" i="28" s="1"/>
  <c r="V206" i="28" s="1"/>
  <c r="M202" i="28"/>
  <c r="M205" i="28"/>
  <c r="K208" i="28"/>
  <c r="M200" i="28"/>
  <c r="V203" i="28"/>
  <c r="V201" i="28"/>
  <c r="B365" i="28"/>
  <c r="B616" i="31"/>
  <c r="A627" i="23"/>
  <c r="B407" i="25"/>
  <c r="A582" i="33"/>
  <c r="AR41" i="32"/>
  <c r="E537" i="30"/>
  <c r="A537" i="30"/>
  <c r="D537" i="30"/>
  <c r="C537" i="30"/>
  <c r="AR28" i="27"/>
  <c r="AR29" i="27" s="1"/>
  <c r="A443" i="26"/>
  <c r="A480" i="30"/>
  <c r="A486" i="30"/>
  <c r="U531" i="30"/>
  <c r="F478" i="30"/>
  <c r="T500" i="30"/>
  <c r="T499" i="30"/>
  <c r="S478" i="30"/>
  <c r="B485" i="30"/>
  <c r="U483" i="30"/>
  <c r="T501" i="30"/>
  <c r="T478" i="30"/>
  <c r="F522" i="30"/>
  <c r="B525" i="30"/>
  <c r="A505" i="30"/>
  <c r="U478" i="30"/>
  <c r="U527" i="30"/>
  <c r="A519" i="30"/>
  <c r="S503" i="30"/>
  <c r="U499" i="30"/>
  <c r="U529" i="30"/>
  <c r="B526" i="30"/>
  <c r="S532" i="30"/>
  <c r="S476" i="30"/>
  <c r="T504" i="30"/>
  <c r="T522" i="30"/>
  <c r="A475" i="30"/>
  <c r="A520" i="30"/>
  <c r="U528" i="30"/>
  <c r="T521" i="30"/>
  <c r="B478" i="30"/>
  <c r="T507" i="30"/>
  <c r="U500" i="30"/>
  <c r="S502" i="30"/>
  <c r="A521" i="30"/>
  <c r="S520" i="30"/>
  <c r="F499" i="30"/>
  <c r="U504" i="30"/>
  <c r="B499" i="30"/>
  <c r="T508" i="30"/>
  <c r="T524" i="30"/>
  <c r="U506" i="30"/>
  <c r="A498" i="30"/>
  <c r="S531" i="30"/>
  <c r="T485" i="30"/>
  <c r="B480" i="30"/>
  <c r="F486" i="30"/>
  <c r="T481" i="30"/>
  <c r="A522" i="30"/>
  <c r="U473" i="30"/>
  <c r="A485" i="30"/>
  <c r="F485" i="30"/>
  <c r="B508" i="30"/>
  <c r="S482" i="30"/>
  <c r="B474" i="30"/>
  <c r="B484" i="30"/>
  <c r="B500" i="30"/>
  <c r="F506" i="30"/>
  <c r="U496" i="30"/>
  <c r="B504" i="30"/>
  <c r="F497" i="30"/>
  <c r="T520" i="30"/>
  <c r="T519" i="30"/>
  <c r="A476" i="30"/>
  <c r="B477" i="30"/>
  <c r="S498" i="30"/>
  <c r="U524" i="30"/>
  <c r="U479" i="30"/>
  <c r="T530" i="30"/>
  <c r="A506" i="30"/>
  <c r="T486" i="30"/>
  <c r="B506" i="30"/>
  <c r="A477" i="30"/>
  <c r="T523" i="30"/>
  <c r="T474" i="30"/>
  <c r="S529" i="30"/>
  <c r="S530" i="30"/>
  <c r="S499" i="30"/>
  <c r="A482" i="30"/>
  <c r="A504" i="30"/>
  <c r="T527" i="30"/>
  <c r="U522" i="30"/>
  <c r="F482" i="30"/>
  <c r="S528" i="30"/>
  <c r="F503" i="30"/>
  <c r="T502" i="30"/>
  <c r="F483" i="30"/>
  <c r="T526" i="30"/>
  <c r="S527" i="30"/>
  <c r="U508" i="30"/>
  <c r="S523" i="30"/>
  <c r="U480" i="30"/>
  <c r="S500" i="30"/>
  <c r="B503" i="30"/>
  <c r="B531" i="30"/>
  <c r="S479" i="30"/>
  <c r="F477" i="30"/>
  <c r="A483" i="30"/>
  <c r="A502" i="30"/>
  <c r="F531" i="30"/>
  <c r="A496" i="30"/>
  <c r="B475" i="30"/>
  <c r="U503" i="30"/>
  <c r="U507" i="30"/>
  <c r="F496" i="30"/>
  <c r="A503" i="30"/>
  <c r="A497" i="30"/>
  <c r="T473" i="30"/>
  <c r="B483" i="30"/>
  <c r="A532" i="30"/>
  <c r="A508" i="30"/>
  <c r="F530" i="30"/>
  <c r="U485" i="30"/>
  <c r="F521" i="30"/>
  <c r="S475" i="30"/>
  <c r="F529" i="30"/>
  <c r="A501" i="30"/>
  <c r="B479" i="30"/>
  <c r="A524" i="30"/>
  <c r="S507" i="30"/>
  <c r="U525" i="30"/>
  <c r="A473" i="30"/>
  <c r="F479" i="30"/>
  <c r="F498" i="30"/>
  <c r="A525" i="30"/>
  <c r="B496" i="30"/>
  <c r="U502" i="30"/>
  <c r="F507" i="30"/>
  <c r="U477" i="30"/>
  <c r="U474" i="30"/>
  <c r="T531" i="30"/>
  <c r="B476" i="30"/>
  <c r="U475" i="30"/>
  <c r="F481" i="30"/>
  <c r="S473" i="30"/>
  <c r="F500" i="30"/>
  <c r="U532" i="30"/>
  <c r="U484" i="30"/>
  <c r="B532" i="30"/>
  <c r="S480" i="30"/>
  <c r="T482" i="30"/>
  <c r="A479" i="30"/>
  <c r="S483" i="30"/>
  <c r="A499" i="30"/>
  <c r="F475" i="30"/>
  <c r="T483" i="30"/>
  <c r="F509" i="30"/>
  <c r="T532" i="30"/>
  <c r="F502" i="30"/>
  <c r="F528" i="30"/>
  <c r="F474" i="30"/>
  <c r="U509" i="30"/>
  <c r="B507" i="30"/>
  <c r="T484" i="30"/>
  <c r="A509" i="30"/>
  <c r="S521" i="30"/>
  <c r="S522" i="30"/>
  <c r="B473" i="30"/>
  <c r="F484" i="30"/>
  <c r="A507" i="30"/>
  <c r="T509" i="30"/>
  <c r="A478" i="30"/>
  <c r="S481" i="30"/>
  <c r="B501" i="30"/>
  <c r="A481" i="30"/>
  <c r="T503" i="30"/>
  <c r="T496" i="30"/>
  <c r="F526" i="30"/>
  <c r="U526" i="30"/>
  <c r="S506" i="30"/>
  <c r="T475" i="30"/>
  <c r="S496" i="30"/>
  <c r="T505" i="30"/>
  <c r="A523" i="30"/>
  <c r="B502" i="30"/>
  <c r="A528" i="30"/>
  <c r="A474" i="30"/>
  <c r="S486" i="30"/>
  <c r="T477" i="30"/>
  <c r="A500" i="30"/>
  <c r="U530" i="30"/>
  <c r="F501" i="30"/>
  <c r="B481" i="30"/>
  <c r="U476" i="30"/>
  <c r="T480" i="30"/>
  <c r="T528" i="30"/>
  <c r="A526" i="30"/>
  <c r="S505" i="30"/>
  <c r="B530" i="30"/>
  <c r="F476" i="30"/>
  <c r="U498" i="30"/>
  <c r="B486" i="30"/>
  <c r="F480" i="30"/>
  <c r="B509" i="30"/>
  <c r="U497" i="30"/>
  <c r="F525" i="30"/>
  <c r="T529" i="30"/>
  <c r="A531" i="30"/>
  <c r="A484" i="30"/>
  <c r="B497" i="30"/>
  <c r="U521" i="30"/>
  <c r="T498" i="30"/>
  <c r="A527" i="30"/>
  <c r="U501" i="30"/>
  <c r="S508" i="30"/>
  <c r="S519" i="30"/>
  <c r="A529" i="30"/>
  <c r="F527" i="30"/>
  <c r="A530" i="30"/>
  <c r="F524" i="30"/>
  <c r="U520" i="30"/>
  <c r="F508" i="30"/>
  <c r="S525" i="30"/>
  <c r="B498" i="30"/>
  <c r="S504" i="30"/>
  <c r="S497" i="30"/>
  <c r="S474" i="30"/>
  <c r="S501" i="30"/>
  <c r="T476" i="30"/>
  <c r="S485" i="30"/>
  <c r="S526" i="30"/>
  <c r="U505" i="30"/>
  <c r="B505" i="30"/>
  <c r="U481" i="30"/>
  <c r="F523" i="30"/>
  <c r="U482" i="30"/>
  <c r="F473" i="30"/>
  <c r="U519" i="30"/>
  <c r="T506" i="30"/>
  <c r="B519" i="30"/>
  <c r="F504" i="30"/>
  <c r="T479" i="30"/>
  <c r="F505" i="30"/>
  <c r="S477" i="30"/>
  <c r="T525" i="30"/>
  <c r="B523" i="30"/>
  <c r="S509" i="30"/>
  <c r="S484" i="30"/>
  <c r="U523" i="30"/>
  <c r="U486" i="30"/>
  <c r="T497" i="30"/>
  <c r="B482" i="30"/>
  <c r="A555" i="30"/>
  <c r="W480" i="30"/>
  <c r="B542" i="30"/>
  <c r="F520" i="30"/>
  <c r="S550" i="30"/>
  <c r="U554" i="30"/>
  <c r="T548" i="30"/>
  <c r="T542" i="30"/>
  <c r="T555" i="30"/>
  <c r="W523" i="30"/>
  <c r="W476" i="30"/>
  <c r="T551" i="30"/>
  <c r="W506" i="30"/>
  <c r="B520" i="30"/>
  <c r="U555" i="30"/>
  <c r="W529" i="30"/>
  <c r="W530" i="30"/>
  <c r="A552" i="30"/>
  <c r="S547" i="30"/>
  <c r="T547" i="30"/>
  <c r="S544" i="30"/>
  <c r="U552" i="30"/>
  <c r="S554" i="30"/>
  <c r="W526" i="30"/>
  <c r="W482" i="30"/>
  <c r="U544" i="30"/>
  <c r="A544" i="30"/>
  <c r="S524" i="30"/>
  <c r="W502" i="30"/>
  <c r="F532" i="30"/>
  <c r="W484" i="30"/>
  <c r="U549" i="30"/>
  <c r="T550" i="30"/>
  <c r="B547" i="30"/>
  <c r="W473" i="30"/>
  <c r="W496" i="30"/>
  <c r="A549" i="30"/>
  <c r="B553" i="30"/>
  <c r="W500" i="30"/>
  <c r="S543" i="30"/>
  <c r="U547" i="30"/>
  <c r="B546" i="30"/>
  <c r="B549" i="30"/>
  <c r="B529" i="30"/>
  <c r="W520" i="30"/>
  <c r="A545" i="30"/>
  <c r="S555" i="30"/>
  <c r="S542" i="30"/>
  <c r="W505" i="30"/>
  <c r="T549" i="30"/>
  <c r="W527" i="30"/>
  <c r="W504" i="30"/>
  <c r="S553" i="30"/>
  <c r="T546" i="30"/>
  <c r="B527" i="30"/>
  <c r="U551" i="30"/>
  <c r="W477" i="30"/>
  <c r="A550" i="30"/>
  <c r="W475" i="30"/>
  <c r="T543" i="30"/>
  <c r="U542" i="30"/>
  <c r="W528" i="30"/>
  <c r="A548" i="30"/>
  <c r="B522" i="30"/>
  <c r="S545" i="30"/>
  <c r="B544" i="30"/>
  <c r="T545" i="30"/>
  <c r="W503" i="30"/>
  <c r="W481" i="30"/>
  <c r="A546" i="30"/>
  <c r="W508" i="30"/>
  <c r="U546" i="30"/>
  <c r="F553" i="30"/>
  <c r="T554" i="30"/>
  <c r="F542" i="30"/>
  <c r="A554" i="30"/>
  <c r="W485" i="30"/>
  <c r="B528" i="30"/>
  <c r="S551" i="30"/>
  <c r="W479" i="30"/>
  <c r="S549" i="30"/>
  <c r="W531" i="30"/>
  <c r="A542" i="30"/>
  <c r="S548" i="30"/>
  <c r="T544" i="30"/>
  <c r="W478" i="30"/>
  <c r="S546" i="30"/>
  <c r="T552" i="30"/>
  <c r="B521" i="30"/>
  <c r="W507" i="30"/>
  <c r="S552" i="30"/>
  <c r="U550" i="30"/>
  <c r="W474" i="30"/>
  <c r="W501" i="30"/>
  <c r="B555" i="30"/>
  <c r="B554" i="30"/>
  <c r="B550" i="30"/>
  <c r="A553" i="30"/>
  <c r="U553" i="30"/>
  <c r="W497" i="30"/>
  <c r="B543" i="30"/>
  <c r="A547" i="30"/>
  <c r="U543" i="30"/>
  <c r="W519" i="30"/>
  <c r="B524" i="30"/>
  <c r="U545" i="30"/>
  <c r="A543" i="30"/>
  <c r="W483" i="30"/>
  <c r="B545" i="30"/>
  <c r="W521" i="30"/>
  <c r="W522" i="30"/>
  <c r="F519" i="30"/>
  <c r="W525" i="30"/>
  <c r="U548" i="30"/>
  <c r="B211" i="23"/>
  <c r="B142" i="23"/>
  <c r="F165" i="23"/>
  <c r="H496" i="33"/>
  <c r="W242" i="25"/>
  <c r="F173" i="29"/>
  <c r="I317" i="23"/>
  <c r="U439" i="30"/>
  <c r="H237" i="29"/>
  <c r="B411" i="30"/>
  <c r="A491" i="33"/>
  <c r="A268" i="25"/>
  <c r="U411" i="30"/>
  <c r="A947" i="34"/>
  <c r="H869" i="34"/>
  <c r="S407" i="30"/>
  <c r="A412" i="30"/>
  <c r="A474" i="33"/>
  <c r="H361" i="23"/>
  <c r="A461" i="33"/>
  <c r="H2478" i="34"/>
  <c r="C863" i="34"/>
  <c r="C493" i="33"/>
  <c r="I318" i="23"/>
  <c r="C491" i="33"/>
  <c r="F450" i="30"/>
  <c r="H1465" i="34"/>
  <c r="A1398" i="34"/>
  <c r="E370" i="25"/>
  <c r="A2203" i="34"/>
  <c r="H461" i="33"/>
  <c r="F325" i="23"/>
  <c r="U431" i="30"/>
  <c r="U433" i="30"/>
  <c r="A407" i="30"/>
  <c r="H864" i="34"/>
  <c r="W368" i="30"/>
  <c r="A862" i="34"/>
  <c r="C461" i="33"/>
  <c r="F415" i="30"/>
  <c r="I313" i="25"/>
  <c r="Q264" i="25"/>
  <c r="H1062" i="34"/>
  <c r="T461" i="30"/>
  <c r="I471" i="33"/>
  <c r="F260" i="25"/>
  <c r="J746" i="34"/>
  <c r="I298" i="23"/>
  <c r="U260" i="25"/>
  <c r="S455" i="30"/>
  <c r="C383" i="23"/>
  <c r="W392" i="30"/>
  <c r="A2275" i="34"/>
  <c r="U434" i="30"/>
  <c r="M569" i="31"/>
  <c r="J315" i="23"/>
  <c r="I294" i="23"/>
  <c r="I184" i="29"/>
  <c r="J340" i="23"/>
  <c r="S265" i="25"/>
  <c r="C864" i="34"/>
  <c r="W240" i="28"/>
  <c r="H382" i="23"/>
  <c r="H867" i="34"/>
  <c r="A433" i="30"/>
  <c r="B450" i="30"/>
  <c r="A1397" i="34"/>
  <c r="A439" i="30"/>
  <c r="H480" i="23"/>
  <c r="J918" i="34"/>
  <c r="F436" i="30"/>
  <c r="C951" i="34"/>
  <c r="T260" i="25"/>
  <c r="E332" i="28"/>
  <c r="I335" i="23"/>
  <c r="B428" i="30"/>
  <c r="A266" i="25"/>
  <c r="F157" i="29"/>
  <c r="T416" i="30"/>
  <c r="B264" i="25"/>
  <c r="H2134" i="34"/>
  <c r="C236" i="29"/>
  <c r="J341" i="23"/>
  <c r="H491" i="33"/>
  <c r="A408" i="30"/>
  <c r="F407" i="30"/>
  <c r="T268" i="25"/>
  <c r="B332" i="28"/>
  <c r="A262" i="25"/>
  <c r="W410" i="30"/>
  <c r="C1465" i="34"/>
  <c r="F536" i="31"/>
  <c r="C460" i="33"/>
  <c r="U404" i="30"/>
  <c r="E537" i="31"/>
  <c r="J783" i="34"/>
  <c r="C1403" i="34"/>
  <c r="S429" i="30"/>
  <c r="U440" i="30"/>
  <c r="I513" i="23"/>
  <c r="W369" i="30"/>
  <c r="W390" i="30"/>
  <c r="I923" i="34"/>
  <c r="A2205" i="34"/>
  <c r="T414" i="30"/>
  <c r="H1400" i="34"/>
  <c r="H494" i="33"/>
  <c r="B313" i="25"/>
  <c r="C491" i="23"/>
  <c r="H475" i="33"/>
  <c r="C500" i="23"/>
  <c r="H2409" i="34"/>
  <c r="F460" i="30"/>
  <c r="E247" i="28"/>
  <c r="H458" i="33"/>
  <c r="B460" i="30"/>
  <c r="S457" i="30"/>
  <c r="A1119" i="34"/>
  <c r="A948" i="34"/>
  <c r="A260" i="25"/>
  <c r="A462" i="30"/>
  <c r="U450" i="30"/>
  <c r="W249" i="25"/>
  <c r="C2409" i="34"/>
  <c r="T435" i="30"/>
  <c r="F417" i="30"/>
  <c r="F302" i="23"/>
  <c r="C947" i="34"/>
  <c r="J320" i="23"/>
  <c r="B440" i="30"/>
  <c r="J982" i="34"/>
  <c r="C217" i="29"/>
  <c r="F584" i="31"/>
  <c r="A1129" i="34"/>
  <c r="F267" i="25"/>
  <c r="A221" i="29"/>
  <c r="F261" i="25"/>
  <c r="S413" i="30"/>
  <c r="A404" i="30"/>
  <c r="B351" i="25"/>
  <c r="I745" i="34"/>
  <c r="J313" i="23"/>
  <c r="H460" i="33"/>
  <c r="A415" i="30"/>
  <c r="T432" i="30"/>
  <c r="A476" i="33"/>
  <c r="C325" i="23"/>
  <c r="I340" i="23"/>
  <c r="W248" i="25"/>
  <c r="H1132" i="34"/>
  <c r="I311" i="23"/>
  <c r="B72" i="29"/>
  <c r="I739" i="34"/>
  <c r="C492" i="33"/>
  <c r="H866" i="34"/>
  <c r="S451" i="30"/>
  <c r="C488" i="33"/>
  <c r="J288" i="23"/>
  <c r="A868" i="34"/>
  <c r="I313" i="23"/>
  <c r="B392" i="30"/>
  <c r="J670" i="34"/>
  <c r="I488" i="33"/>
  <c r="I921" i="34"/>
  <c r="I915" i="34"/>
  <c r="A460" i="30"/>
  <c r="H357" i="23"/>
  <c r="W363" i="30"/>
  <c r="B157" i="29"/>
  <c r="J310" i="23"/>
  <c r="I315" i="28"/>
  <c r="A380" i="23"/>
  <c r="W434" i="30"/>
  <c r="F431" i="30"/>
  <c r="H428" i="23" s="1"/>
  <c r="C2272" i="34"/>
  <c r="B264" i="28"/>
  <c r="B298" i="28"/>
  <c r="T269" i="25"/>
  <c r="P217" i="28"/>
  <c r="C862" i="34"/>
  <c r="I983" i="34"/>
  <c r="J850" i="34"/>
  <c r="F413" i="30"/>
  <c r="I297" i="23"/>
  <c r="I740" i="34"/>
  <c r="A378" i="23"/>
  <c r="E553" i="31"/>
  <c r="M313" i="25"/>
  <c r="B191" i="29"/>
  <c r="S438" i="30"/>
  <c r="H2275" i="34"/>
  <c r="H462" i="33"/>
  <c r="H2562" i="34"/>
  <c r="A365" i="23"/>
  <c r="A456" i="30"/>
  <c r="A453" i="23" s="1"/>
  <c r="A1060" i="34"/>
  <c r="W381" i="30"/>
  <c r="S452" i="30"/>
  <c r="W244" i="25"/>
  <c r="C220" i="29"/>
  <c r="H1052" i="34"/>
  <c r="A1127" i="34"/>
  <c r="B427" i="30"/>
  <c r="F140" i="29"/>
  <c r="B370" i="25"/>
  <c r="F456" i="30"/>
  <c r="H453" i="23" s="1"/>
  <c r="A264" i="25"/>
  <c r="H385" i="23"/>
  <c r="C494" i="23"/>
  <c r="C378" i="23"/>
  <c r="J986" i="34"/>
  <c r="H410" i="23"/>
  <c r="A2479" i="34"/>
  <c r="S461" i="30"/>
  <c r="A416" i="30"/>
  <c r="S414" i="30"/>
  <c r="C173" i="29"/>
  <c r="H2135" i="34"/>
  <c r="A480" i="23"/>
  <c r="C478" i="33"/>
  <c r="H949" i="34"/>
  <c r="J286" i="23"/>
  <c r="C2204" i="34"/>
  <c r="C462" i="33"/>
  <c r="A867" i="34"/>
  <c r="T459" i="30"/>
  <c r="U453" i="30"/>
  <c r="J309" i="23"/>
  <c r="F293" i="25"/>
  <c r="A390" i="23"/>
  <c r="S267" i="25"/>
  <c r="I814" i="34"/>
  <c r="H2548" i="34"/>
  <c r="H2340" i="34"/>
  <c r="H1541" i="34"/>
  <c r="H2343" i="34"/>
  <c r="C1544" i="34"/>
  <c r="H2410" i="34"/>
  <c r="H527" i="23"/>
  <c r="A939" i="34"/>
  <c r="A1539" i="34"/>
  <c r="H1535" i="34"/>
  <c r="H2481" i="34"/>
  <c r="A2409" i="34"/>
  <c r="I197" i="29"/>
  <c r="A2132" i="34"/>
  <c r="H218" i="29"/>
  <c r="A459" i="30"/>
  <c r="B415" i="30"/>
  <c r="H221" i="29"/>
  <c r="J847" i="34"/>
  <c r="C2632" i="34"/>
  <c r="W384" i="30"/>
  <c r="F263" i="25"/>
  <c r="I988" i="34"/>
  <c r="H950" i="34"/>
  <c r="B267" i="25"/>
  <c r="B294" i="25"/>
  <c r="A263" i="25"/>
  <c r="H1131" i="34"/>
  <c r="F404" i="30"/>
  <c r="I472" i="33"/>
  <c r="C560" i="23"/>
  <c r="I291" i="23"/>
  <c r="A495" i="33"/>
  <c r="E298" i="28"/>
  <c r="A477" i="33"/>
  <c r="S415" i="30"/>
  <c r="W383" i="30"/>
  <c r="P224" i="28"/>
  <c r="A458" i="30"/>
  <c r="H1060" i="34"/>
  <c r="I744" i="34"/>
  <c r="A361" i="23"/>
  <c r="S268" i="25"/>
  <c r="A1132" i="34"/>
  <c r="U265" i="25"/>
  <c r="H2273" i="34"/>
  <c r="I487" i="33"/>
  <c r="S431" i="30"/>
  <c r="W431" i="30" s="1"/>
  <c r="H384" i="23"/>
  <c r="C2270" i="34"/>
  <c r="A492" i="33"/>
  <c r="J924" i="34"/>
  <c r="A220" i="29"/>
  <c r="T261" i="25"/>
  <c r="H1051" i="34"/>
  <c r="C490" i="23"/>
  <c r="A2136" i="34"/>
  <c r="T462" i="30"/>
  <c r="J298" i="23"/>
  <c r="H234" i="29"/>
  <c r="M315" i="28"/>
  <c r="E351" i="25"/>
  <c r="S264" i="25"/>
  <c r="B434" i="30"/>
  <c r="C1264" i="34" s="1"/>
  <c r="J296" i="23"/>
  <c r="H870" i="34"/>
  <c r="J922" i="34"/>
  <c r="A952" i="34"/>
  <c r="F274" i="25"/>
  <c r="M332" i="25"/>
  <c r="U406" i="30"/>
  <c r="M521" i="31"/>
  <c r="C2201" i="34"/>
  <c r="A1128" i="34"/>
  <c r="H492" i="33"/>
  <c r="U454" i="30"/>
  <c r="B453" i="30"/>
  <c r="A216" i="29"/>
  <c r="F406" i="30"/>
  <c r="A1057" i="34"/>
  <c r="A1405" i="34"/>
  <c r="F257" i="23"/>
  <c r="C2563" i="34"/>
  <c r="A384" i="23"/>
  <c r="J336" i="23"/>
  <c r="H2480" i="34"/>
  <c r="C475" i="33"/>
  <c r="A429" i="30"/>
  <c r="M298" i="28"/>
  <c r="C472" i="33"/>
  <c r="I585" i="31"/>
  <c r="H1126" i="34"/>
  <c r="C228" i="29"/>
  <c r="F297" i="28"/>
  <c r="A385" i="23"/>
  <c r="S412" i="30"/>
  <c r="H1396" i="34"/>
  <c r="F349" i="23"/>
  <c r="W370" i="30"/>
  <c r="H1188" i="34"/>
  <c r="I344" i="23"/>
  <c r="J992" i="34"/>
  <c r="H477" i="33"/>
  <c r="H472" i="23"/>
  <c r="S430" i="30"/>
  <c r="S433" i="30"/>
  <c r="C1270" i="34"/>
  <c r="B414" i="30"/>
  <c r="H2205" i="34"/>
  <c r="H478" i="33"/>
  <c r="H404" i="23"/>
  <c r="A236" i="29"/>
  <c r="F123" i="29"/>
  <c r="F268" i="25"/>
  <c r="M585" i="31"/>
  <c r="J921" i="34"/>
  <c r="C866" i="34"/>
  <c r="H1120" i="34"/>
  <c r="I741" i="34"/>
  <c r="J183" i="29"/>
  <c r="C476" i="23"/>
  <c r="F269" i="25"/>
  <c r="C1401" i="34"/>
  <c r="H470" i="23"/>
  <c r="A1121" i="34"/>
  <c r="U451" i="30"/>
  <c r="H1063" i="34"/>
  <c r="S409" i="30"/>
  <c r="H2272" i="34"/>
  <c r="H1545" i="34"/>
  <c r="A1466" i="34"/>
  <c r="A404" i="23"/>
  <c r="A1474" i="34"/>
  <c r="C2482" i="34"/>
  <c r="H2271" i="34"/>
  <c r="I815" i="34"/>
  <c r="C1468" i="34"/>
  <c r="A931" i="34"/>
  <c r="A1540" i="34"/>
  <c r="H2477" i="34"/>
  <c r="H940" i="34"/>
  <c r="I203" i="29"/>
  <c r="A1537" i="34"/>
  <c r="H1201" i="34"/>
  <c r="C1405" i="34"/>
  <c r="C504" i="23"/>
  <c r="W451" i="30"/>
  <c r="A2413" i="34"/>
  <c r="C2483" i="34"/>
  <c r="A2276" i="34"/>
  <c r="A1403" i="34"/>
  <c r="H2408" i="34"/>
  <c r="H932" i="34"/>
  <c r="H1469" i="34"/>
  <c r="A1468" i="34"/>
  <c r="A455" i="23"/>
  <c r="H1468" i="34"/>
  <c r="F174" i="29"/>
  <c r="C2135" i="34"/>
  <c r="C2412" i="34"/>
  <c r="B266" i="25"/>
  <c r="F552" i="31"/>
  <c r="J317" i="23"/>
  <c r="C952" i="34"/>
  <c r="F463" i="30"/>
  <c r="F405" i="30"/>
  <c r="T463" i="30"/>
  <c r="J342" i="23"/>
  <c r="U460" i="30"/>
  <c r="T428" i="30"/>
  <c r="A389" i="23"/>
  <c r="E264" i="28"/>
  <c r="J167" i="29"/>
  <c r="J182" i="29"/>
  <c r="M264" i="28"/>
  <c r="M537" i="31"/>
  <c r="I536" i="33" s="1"/>
  <c r="A413" i="30"/>
  <c r="I332" i="28"/>
  <c r="C479" i="33"/>
  <c r="U264" i="25"/>
  <c r="T404" i="30"/>
  <c r="H233" i="29"/>
  <c r="U268" i="25"/>
  <c r="W268" i="25" s="1"/>
  <c r="B452" i="30"/>
  <c r="M553" i="31"/>
  <c r="E569" i="31"/>
  <c r="S260" i="25"/>
  <c r="A232" i="29"/>
  <c r="I310" i="23"/>
  <c r="C445" i="23"/>
  <c r="H1057" i="34"/>
  <c r="T267" i="25"/>
  <c r="W385" i="30"/>
  <c r="F350" i="25"/>
  <c r="B349" i="23"/>
  <c r="A381" i="23"/>
  <c r="T429" i="30"/>
  <c r="I180" i="29"/>
  <c r="T264" i="25"/>
  <c r="A477" i="23"/>
  <c r="C865" i="34"/>
  <c r="I198" i="29"/>
  <c r="I186" i="29"/>
  <c r="H1125" i="34"/>
  <c r="A438" i="30"/>
  <c r="C2138" i="34"/>
  <c r="M294" i="25"/>
  <c r="C1127" i="34"/>
  <c r="H386" i="23"/>
  <c r="C235" i="29"/>
  <c r="J169" i="29"/>
  <c r="J272" i="23"/>
  <c r="C1131" i="34"/>
  <c r="C513" i="23"/>
  <c r="A870" i="34"/>
  <c r="H464" i="33"/>
  <c r="H495" i="23"/>
  <c r="A1122" i="34"/>
  <c r="F432" i="30"/>
  <c r="S437" i="30"/>
  <c r="Q262" i="25"/>
  <c r="F191" i="29"/>
  <c r="F410" i="30"/>
  <c r="H1194" i="34" s="1"/>
  <c r="C216" i="29"/>
  <c r="C2562" i="34"/>
  <c r="I742" i="34"/>
  <c r="J845" i="34"/>
  <c r="S463" i="30"/>
  <c r="A953" i="34"/>
  <c r="H389" i="23"/>
  <c r="A434" i="30"/>
  <c r="A431" i="23" s="1"/>
  <c r="C868" i="34"/>
  <c r="J985" i="34"/>
  <c r="T407" i="30"/>
  <c r="F263" i="28"/>
  <c r="T430" i="30"/>
  <c r="T457" i="30"/>
  <c r="I843" i="34"/>
  <c r="C232" i="29"/>
  <c r="A231" i="29"/>
  <c r="H478" i="23"/>
  <c r="A412" i="23"/>
  <c r="C953" i="34"/>
  <c r="C1329" i="34"/>
  <c r="C2136" i="34"/>
  <c r="I337" i="23"/>
  <c r="C1328" i="34"/>
  <c r="A490" i="33"/>
  <c r="H388" i="23"/>
  <c r="A493" i="33"/>
  <c r="H1056" i="34"/>
  <c r="H1402" i="34"/>
  <c r="F156" i="29"/>
  <c r="I332" i="25"/>
  <c r="U428" i="30"/>
  <c r="W237" i="28"/>
  <c r="F331" i="25"/>
  <c r="C190" i="29"/>
  <c r="H401" i="23"/>
  <c r="U438" i="30"/>
  <c r="I490" i="23"/>
  <c r="A1464" i="34"/>
  <c r="H1123" i="34"/>
  <c r="C496" i="33"/>
  <c r="F430" i="30"/>
  <c r="B430" i="30"/>
  <c r="C1130" i="34"/>
  <c r="C2700" i="34"/>
  <c r="H407" i="23"/>
  <c r="I445" i="23"/>
  <c r="F72" i="29"/>
  <c r="A1395" i="34"/>
  <c r="B457" i="30"/>
  <c r="A1263" i="34"/>
  <c r="B432" i="30"/>
  <c r="C429" i="23" s="1"/>
  <c r="H2482" i="34"/>
  <c r="C502" i="23"/>
  <c r="A526" i="23"/>
  <c r="J916" i="34"/>
  <c r="H367" i="23"/>
  <c r="B436" i="30"/>
  <c r="T456" i="30"/>
  <c r="H2274" i="34"/>
  <c r="E294" i="25"/>
  <c r="A435" i="30"/>
  <c r="I166" i="29"/>
  <c r="I787" i="34"/>
  <c r="C1125" i="34"/>
  <c r="I338" i="23"/>
  <c r="C949" i="34"/>
  <c r="U458" i="30"/>
  <c r="S408" i="30"/>
  <c r="A218" i="29"/>
  <c r="J333" i="23"/>
  <c r="J990" i="34"/>
  <c r="S440" i="30"/>
  <c r="H1467" i="34"/>
  <c r="T427" i="30"/>
  <c r="H362" i="23"/>
  <c r="I505" i="31"/>
  <c r="H868" i="34"/>
  <c r="H2701" i="34"/>
  <c r="A2477" i="34"/>
  <c r="A458" i="33"/>
  <c r="J676" i="34"/>
  <c r="C1128" i="34"/>
  <c r="H381" i="23"/>
  <c r="F348" i="23"/>
  <c r="J343" i="23"/>
  <c r="J185" i="29"/>
  <c r="H953" i="34"/>
  <c r="A2133" i="34"/>
  <c r="A431" i="30"/>
  <c r="S406" i="30"/>
  <c r="C221" i="29"/>
  <c r="F190" i="29"/>
  <c r="I264" i="28"/>
  <c r="J811" i="34"/>
  <c r="J784" i="34"/>
  <c r="I985" i="34"/>
  <c r="B174" i="29"/>
  <c r="H474" i="33"/>
  <c r="A1130" i="34"/>
  <c r="T265" i="25"/>
  <c r="A409" i="30"/>
  <c r="J164" i="29"/>
  <c r="A472" i="23"/>
  <c r="U409" i="30"/>
  <c r="J981" i="34"/>
  <c r="J739" i="34"/>
  <c r="F331" i="28"/>
  <c r="A2201" i="34"/>
  <c r="J273" i="23"/>
  <c r="F303" i="23"/>
  <c r="T440" i="30"/>
  <c r="I468" i="23"/>
  <c r="H355" i="23"/>
  <c r="A866" i="34"/>
  <c r="C2134" i="34"/>
  <c r="C1399" i="34"/>
  <c r="I553" i="31"/>
  <c r="P223" i="28"/>
  <c r="W234" i="28"/>
  <c r="I319" i="23"/>
  <c r="B106" i="29"/>
  <c r="J744" i="34"/>
  <c r="H495" i="33"/>
  <c r="I914" i="34"/>
  <c r="C381" i="23"/>
  <c r="I916" i="34"/>
  <c r="H1130" i="34"/>
  <c r="J186" i="29"/>
  <c r="J848" i="34"/>
  <c r="I334" i="23"/>
  <c r="C474" i="33"/>
  <c r="C559" i="23"/>
  <c r="A1059" i="34"/>
  <c r="C433" i="23"/>
  <c r="A410" i="30"/>
  <c r="I718" i="34"/>
  <c r="W246" i="25"/>
  <c r="B409" i="30"/>
  <c r="A949" i="34"/>
  <c r="C871" i="34"/>
  <c r="E585" i="31"/>
  <c r="H496" i="23"/>
  <c r="I521" i="31"/>
  <c r="F461" i="30"/>
  <c r="T266" i="25"/>
  <c r="H1474" i="34"/>
  <c r="A2482" i="34"/>
  <c r="T431" i="30"/>
  <c r="J187" i="29"/>
  <c r="I845" i="34"/>
  <c r="C1464" i="34"/>
  <c r="J168" i="29"/>
  <c r="I992" i="34"/>
  <c r="T415" i="30"/>
  <c r="A462" i="33"/>
  <c r="B281" i="28"/>
  <c r="U462" i="30"/>
  <c r="E521" i="31"/>
  <c r="A951" i="34"/>
  <c r="I851" i="34"/>
  <c r="S416" i="30"/>
  <c r="A432" i="30"/>
  <c r="H476" i="23"/>
  <c r="C389" i="23"/>
  <c r="C475" i="23"/>
  <c r="F55" i="29"/>
  <c r="J335" i="23"/>
  <c r="H1397" i="34"/>
  <c r="I312" i="23"/>
  <c r="U457" i="30"/>
  <c r="I342" i="23"/>
  <c r="A471" i="23"/>
  <c r="C331" i="29"/>
  <c r="F600" i="31"/>
  <c r="A2412" i="34"/>
  <c r="H473" i="23"/>
  <c r="A934" i="34"/>
  <c r="C1408" i="34"/>
  <c r="A410" i="23"/>
  <c r="A2414" i="34"/>
  <c r="C1395" i="34"/>
  <c r="C934" i="34"/>
  <c r="H935" i="34"/>
  <c r="A1262" i="34"/>
  <c r="A933" i="34"/>
  <c r="A2343" i="34"/>
  <c r="A2342" i="34"/>
  <c r="C2344" i="34"/>
  <c r="C936" i="34"/>
  <c r="A1332" i="34"/>
  <c r="A501" i="23"/>
  <c r="H518" i="23"/>
  <c r="H412" i="23"/>
  <c r="I813" i="34"/>
  <c r="W239" i="28"/>
  <c r="S262" i="25"/>
  <c r="B437" i="30"/>
  <c r="C434" i="23" s="1"/>
  <c r="J851" i="34"/>
  <c r="S434" i="30"/>
  <c r="C1126" i="34"/>
  <c r="I848" i="34"/>
  <c r="C412" i="23"/>
  <c r="C1121" i="34"/>
  <c r="J318" i="23"/>
  <c r="H2138" i="34"/>
  <c r="W362" i="30"/>
  <c r="A479" i="33"/>
  <c r="J917" i="34"/>
  <c r="M281" i="28"/>
  <c r="F256" i="23"/>
  <c r="C487" i="33"/>
  <c r="I989" i="34"/>
  <c r="S450" i="30"/>
  <c r="H865" i="34"/>
  <c r="J741" i="34"/>
  <c r="H383" i="23"/>
  <c r="A2137" i="34"/>
  <c r="U407" i="30"/>
  <c r="J915" i="34"/>
  <c r="P218" i="28"/>
  <c r="F462" i="30"/>
  <c r="H459" i="23" s="1"/>
  <c r="U266" i="25"/>
  <c r="W250" i="25"/>
  <c r="A869" i="34"/>
  <c r="C234" i="29"/>
  <c r="I991" i="34"/>
  <c r="C231" i="29"/>
  <c r="J312" i="23"/>
  <c r="E275" i="25"/>
  <c r="U429" i="30"/>
  <c r="S459" i="30"/>
  <c r="I569" i="31"/>
  <c r="S436" i="30"/>
  <c r="U417" i="30"/>
  <c r="J334" i="23"/>
  <c r="A267" i="25"/>
  <c r="T412" i="30"/>
  <c r="J677" i="34"/>
  <c r="H951" i="34"/>
  <c r="I295" i="23"/>
  <c r="U408" i="30"/>
  <c r="W408" i="30" s="1"/>
  <c r="U414" i="30"/>
  <c r="Q267" i="25"/>
  <c r="U456" i="30"/>
  <c r="U267" i="25"/>
  <c r="C536" i="23"/>
  <c r="B521" i="31"/>
  <c r="I296" i="23"/>
  <c r="A233" i="29"/>
  <c r="F280" i="28"/>
  <c r="U430" i="30"/>
  <c r="W430" i="30" s="1"/>
  <c r="S427" i="30"/>
  <c r="I925" i="34"/>
  <c r="P220" i="28"/>
  <c r="A1125" i="34"/>
  <c r="W358" i="30"/>
  <c r="A452" i="30"/>
  <c r="I321" i="23"/>
  <c r="S405" i="30"/>
  <c r="F437" i="30"/>
  <c r="F457" i="30"/>
  <c r="U452" i="30"/>
  <c r="U463" i="30"/>
  <c r="J321" i="23"/>
  <c r="S435" i="30"/>
  <c r="C458" i="33"/>
  <c r="F312" i="25"/>
  <c r="H1124" i="34"/>
  <c r="A460" i="33"/>
  <c r="E281" i="28"/>
  <c r="C280" i="29" s="1"/>
  <c r="B262" i="25"/>
  <c r="B406" i="30"/>
  <c r="I560" i="23"/>
  <c r="I164" i="29"/>
  <c r="I455" i="33"/>
  <c r="F435" i="30"/>
  <c r="A946" i="34"/>
  <c r="A2270" i="34"/>
  <c r="H1121" i="34"/>
  <c r="I187" i="29"/>
  <c r="F416" i="30"/>
  <c r="H413" i="23" s="1"/>
  <c r="C256" i="23"/>
  <c r="U262" i="25"/>
  <c r="J292" i="23"/>
  <c r="J181" i="29"/>
  <c r="A871" i="34"/>
  <c r="I536" i="23"/>
  <c r="C238" i="29"/>
  <c r="C480" i="33"/>
  <c r="I314" i="29"/>
  <c r="C1397" i="34"/>
  <c r="H387" i="23"/>
  <c r="B569" i="31"/>
  <c r="C463" i="33"/>
  <c r="A463" i="33"/>
  <c r="I200" i="29"/>
  <c r="P219" i="28"/>
  <c r="A405" i="30"/>
  <c r="A437" i="30"/>
  <c r="F246" i="28"/>
  <c r="C481" i="23"/>
  <c r="C464" i="33"/>
  <c r="A406" i="30"/>
  <c r="B438" i="30"/>
  <c r="U435" i="30"/>
  <c r="S404" i="30"/>
  <c r="I456" i="33"/>
  <c r="W386" i="30"/>
  <c r="C1396" i="34"/>
  <c r="J198" i="29"/>
  <c r="A1401" i="34"/>
  <c r="I281" i="28"/>
  <c r="A478" i="33"/>
  <c r="H1129" i="34"/>
  <c r="I467" i="23"/>
  <c r="H236" i="29"/>
  <c r="H1200" i="34"/>
  <c r="J146" i="29"/>
  <c r="A219" i="29"/>
  <c r="A430" i="30"/>
  <c r="A1260" i="34" s="1"/>
  <c r="C279" i="23"/>
  <c r="J674" i="34"/>
  <c r="H1339" i="34"/>
  <c r="C2341" i="34"/>
  <c r="C583" i="23"/>
  <c r="A470" i="23"/>
  <c r="H939" i="34"/>
  <c r="I204" i="29"/>
  <c r="C516" i="23"/>
  <c r="H525" i="23"/>
  <c r="A1542" i="34"/>
  <c r="C1336" i="34"/>
  <c r="H2549" i="34"/>
  <c r="C447" i="23"/>
  <c r="C1476" i="34"/>
  <c r="J814" i="34"/>
  <c r="A495" i="23"/>
  <c r="T438" i="30"/>
  <c r="B315" i="28"/>
  <c r="F438" i="30"/>
  <c r="F440" i="30"/>
  <c r="J293" i="23"/>
  <c r="C514" i="23"/>
  <c r="Q268" i="25"/>
  <c r="W361" i="30"/>
  <c r="Q265" i="25"/>
  <c r="C1119" i="34"/>
  <c r="I811" i="34"/>
  <c r="T455" i="30"/>
  <c r="H463" i="33"/>
  <c r="F568" i="31"/>
  <c r="I912" i="34"/>
  <c r="I844" i="34"/>
  <c r="C302" i="23"/>
  <c r="J853" i="34"/>
  <c r="I852" i="34"/>
  <c r="J150" i="29"/>
  <c r="J295" i="23"/>
  <c r="S417" i="30"/>
  <c r="I981" i="34"/>
  <c r="C948" i="34"/>
  <c r="I275" i="25"/>
  <c r="J852" i="34"/>
  <c r="C869" i="34"/>
  <c r="J314" i="23"/>
  <c r="J339" i="23"/>
  <c r="Q266" i="25"/>
  <c r="Q263" i="25"/>
  <c r="I183" i="29"/>
  <c r="B408" i="30"/>
  <c r="B585" i="31"/>
  <c r="I746" i="34"/>
  <c r="I165" i="29"/>
  <c r="C476" i="33"/>
  <c r="B463" i="30"/>
  <c r="H217" i="29"/>
  <c r="Q269" i="25"/>
  <c r="I185" i="29"/>
  <c r="J319" i="23"/>
  <c r="A455" i="30"/>
  <c r="W247" i="25"/>
  <c r="J988" i="34"/>
  <c r="M370" i="25"/>
  <c r="W241" i="28"/>
  <c r="W245" i="25"/>
  <c r="J740" i="34"/>
  <c r="C379" i="23"/>
  <c r="C870" i="34"/>
  <c r="W367" i="30"/>
  <c r="A2135" i="34"/>
  <c r="E505" i="31"/>
  <c r="C504" i="33" s="1"/>
  <c r="F520" i="31"/>
  <c r="I247" i="28"/>
  <c r="A451" i="30"/>
  <c r="A448" i="23" s="1"/>
  <c r="A474" i="23"/>
  <c r="S458" i="30"/>
  <c r="H490" i="33"/>
  <c r="C493" i="23"/>
  <c r="I339" i="23"/>
  <c r="U410" i="30"/>
  <c r="I182" i="29"/>
  <c r="C950" i="34"/>
  <c r="I309" i="23"/>
  <c r="B429" i="30"/>
  <c r="J297" i="23"/>
  <c r="B263" i="25"/>
  <c r="A440" i="30"/>
  <c r="I298" i="28"/>
  <c r="F408" i="30"/>
  <c r="B257" i="23"/>
  <c r="C219" i="29"/>
  <c r="F414" i="30"/>
  <c r="T263" i="25"/>
  <c r="S462" i="30"/>
  <c r="W462" i="30" s="1"/>
  <c r="H238" i="29"/>
  <c r="A865" i="34"/>
  <c r="H479" i="33"/>
  <c r="P221" i="28"/>
  <c r="C2132" i="34"/>
  <c r="A388" i="23"/>
  <c r="T437" i="30"/>
  <c r="U416" i="30"/>
  <c r="I855" i="34"/>
  <c r="S453" i="30"/>
  <c r="W453" i="30" s="1"/>
  <c r="J745" i="34"/>
  <c r="U461" i="30"/>
  <c r="H1408" i="34"/>
  <c r="B461" i="30"/>
  <c r="I333" i="23"/>
  <c r="A1123" i="34"/>
  <c r="C472" i="23"/>
  <c r="U415" i="30"/>
  <c r="J809" i="34"/>
  <c r="B417" i="30"/>
  <c r="A2204" i="34"/>
  <c r="S460" i="30"/>
  <c r="F279" i="23"/>
  <c r="C1469" i="34"/>
  <c r="T452" i="30"/>
  <c r="H380" i="23"/>
  <c r="H2700" i="34"/>
  <c r="A461" i="30"/>
  <c r="H1406" i="34"/>
  <c r="P222" i="28"/>
  <c r="H1127" i="34"/>
  <c r="C1407" i="34"/>
  <c r="C2203" i="34"/>
  <c r="I168" i="29"/>
  <c r="Q261" i="25"/>
  <c r="T433" i="30"/>
  <c r="W435" i="30"/>
  <c r="F455" i="30"/>
  <c r="B439" i="30"/>
  <c r="C1269" i="34"/>
  <c r="H494" i="23"/>
  <c r="U427" i="30"/>
  <c r="C459" i="33"/>
  <c r="C480" i="23"/>
  <c r="B389" i="25"/>
  <c r="W415" i="30"/>
  <c r="A1334" i="34"/>
  <c r="I551" i="33"/>
  <c r="C933" i="34"/>
  <c r="A2341" i="34"/>
  <c r="C523" i="23"/>
  <c r="H2276" i="34"/>
  <c r="H1332" i="34"/>
  <c r="C552" i="33"/>
  <c r="C2414" i="34"/>
  <c r="A497" i="23"/>
  <c r="A452" i="23"/>
  <c r="C2410" i="34"/>
  <c r="A435" i="23"/>
  <c r="C1473" i="34"/>
  <c r="A519" i="23"/>
  <c r="H497" i="23"/>
  <c r="C1545" i="34"/>
  <c r="H1331" i="34"/>
  <c r="H1261" i="34"/>
  <c r="H1398" i="34"/>
  <c r="C1474" i="34"/>
  <c r="W407" i="30"/>
  <c r="C2339" i="34"/>
  <c r="C2547" i="34"/>
  <c r="H1471" i="34"/>
  <c r="H2345" i="34"/>
  <c r="A1396" i="34"/>
  <c r="A2272" i="34"/>
  <c r="B458" i="30"/>
  <c r="C455" i="23" s="1"/>
  <c r="I856" i="34"/>
  <c r="J843" i="34"/>
  <c r="I167" i="29"/>
  <c r="H2483" i="34"/>
  <c r="T408" i="30"/>
  <c r="H2133" i="34"/>
  <c r="S269" i="25"/>
  <c r="C156" i="29"/>
  <c r="J855" i="34"/>
  <c r="Q260" i="25"/>
  <c r="J984" i="34"/>
  <c r="A417" i="30"/>
  <c r="A1201" i="34" s="1"/>
  <c r="J165" i="29"/>
  <c r="F454" i="30"/>
  <c r="J923" i="34"/>
  <c r="J987" i="34"/>
  <c r="C537" i="23"/>
  <c r="C139" i="29"/>
  <c r="I559" i="23"/>
  <c r="I351" i="25"/>
  <c r="H365" i="23"/>
  <c r="C494" i="33"/>
  <c r="J184" i="29"/>
  <c r="W241" i="25"/>
  <c r="J163" i="29"/>
  <c r="H862" i="34"/>
  <c r="I514" i="23"/>
  <c r="A238" i="29"/>
  <c r="I170" i="29"/>
  <c r="M505" i="31"/>
  <c r="B537" i="31"/>
  <c r="C535" i="33" s="1"/>
  <c r="C444" i="23"/>
  <c r="I853" i="34"/>
  <c r="A235" i="29"/>
  <c r="A459" i="33"/>
  <c r="H946" i="34"/>
  <c r="A950" i="34"/>
  <c r="T454" i="30"/>
  <c r="I917" i="34"/>
  <c r="A217" i="29"/>
  <c r="H863" i="34"/>
  <c r="A453" i="30"/>
  <c r="A1329" i="34" s="1"/>
  <c r="J294" i="23"/>
  <c r="W359" i="30"/>
  <c r="A436" i="30"/>
  <c r="C218" i="29"/>
  <c r="A457" i="30"/>
  <c r="F439" i="30"/>
  <c r="H1050" i="34"/>
  <c r="J289" i="23"/>
  <c r="A463" i="30"/>
  <c r="W238" i="28"/>
  <c r="B462" i="30"/>
  <c r="S439" i="30"/>
  <c r="I314" i="23"/>
  <c r="A450" i="23"/>
  <c r="F266" i="25"/>
  <c r="W393" i="30"/>
  <c r="J991" i="34"/>
  <c r="I913" i="34"/>
  <c r="B435" i="30"/>
  <c r="C1265" i="34" s="1"/>
  <c r="T411" i="30"/>
  <c r="T450" i="30"/>
  <c r="A1131" i="34"/>
  <c r="I343" i="23"/>
  <c r="I993" i="34"/>
  <c r="C2701" i="34"/>
  <c r="A496" i="33"/>
  <c r="F452" i="30"/>
  <c r="H449" i="23" s="1"/>
  <c r="H493" i="33"/>
  <c r="F89" i="29"/>
  <c r="H476" i="33"/>
  <c r="J846" i="34"/>
  <c r="A269" i="25"/>
  <c r="A382" i="30"/>
  <c r="A1120" i="34" s="1"/>
  <c r="J844" i="34"/>
  <c r="B455" i="30"/>
  <c r="C1331" i="34" s="1"/>
  <c r="I320" i="23"/>
  <c r="S410" i="30"/>
  <c r="A414" i="30"/>
  <c r="T453" i="30"/>
  <c r="B412" i="30"/>
  <c r="C409" i="23" s="1"/>
  <c r="A362" i="23"/>
  <c r="A427" i="30"/>
  <c r="H475" i="23"/>
  <c r="I229" i="29"/>
  <c r="J344" i="23"/>
  <c r="C233" i="29"/>
  <c r="W360" i="30"/>
  <c r="J311" i="23"/>
  <c r="C2133" i="34"/>
  <c r="H1403" i="34"/>
  <c r="M247" i="28"/>
  <c r="C495" i="33"/>
  <c r="C496" i="23"/>
  <c r="C1471" i="34"/>
  <c r="B410" i="30"/>
  <c r="A387" i="23"/>
  <c r="I181" i="29"/>
  <c r="C384" i="23"/>
  <c r="T460" i="30"/>
  <c r="B431" i="30"/>
  <c r="C1261" i="34" s="1"/>
  <c r="B89" i="29"/>
  <c r="J914" i="34"/>
  <c r="S263" i="25"/>
  <c r="B268" i="25"/>
  <c r="B407" i="30"/>
  <c r="C1191" i="34" s="1"/>
  <c r="J912" i="34"/>
  <c r="C1122" i="34"/>
  <c r="C1124" i="34"/>
  <c r="J854" i="34"/>
  <c r="J170" i="29"/>
  <c r="T458" i="30"/>
  <c r="B55" i="29"/>
  <c r="W382" i="30"/>
  <c r="I922" i="34"/>
  <c r="C2273" i="34"/>
  <c r="J200" i="29"/>
  <c r="U432" i="30"/>
  <c r="B303" i="23"/>
  <c r="S454" i="30"/>
  <c r="A480" i="33"/>
  <c r="C2205" i="34"/>
  <c r="C382" i="23"/>
  <c r="A863" i="34"/>
  <c r="C490" i="33"/>
  <c r="A2206" i="34"/>
  <c r="A864" i="34"/>
  <c r="B275" i="25"/>
  <c r="J983" i="34"/>
  <c r="U263" i="25"/>
  <c r="W263" i="25" s="1"/>
  <c r="A2271" i="34"/>
  <c r="C468" i="23"/>
  <c r="M275" i="25"/>
  <c r="C380" i="23"/>
  <c r="U412" i="30"/>
  <c r="B247" i="28"/>
  <c r="F459" i="30"/>
  <c r="H456" i="23" s="1"/>
  <c r="A265" i="25"/>
  <c r="H390" i="23"/>
  <c r="S411" i="30"/>
  <c r="B505" i="31"/>
  <c r="M351" i="25"/>
  <c r="J152" i="29"/>
  <c r="H2132" i="34"/>
  <c r="C215" i="29"/>
  <c r="C386" i="23"/>
  <c r="H2136" i="34"/>
  <c r="C390" i="23"/>
  <c r="F458" i="30"/>
  <c r="S428" i="30"/>
  <c r="W428" i="30" s="1"/>
  <c r="I370" i="25"/>
  <c r="W235" i="28"/>
  <c r="J337" i="23"/>
  <c r="T405" i="30"/>
  <c r="H459" i="33"/>
  <c r="A2134" i="34"/>
  <c r="H1061" i="34"/>
  <c r="J332" i="23"/>
  <c r="C388" i="23"/>
  <c r="F409" i="30"/>
  <c r="H1193" i="34" s="1"/>
  <c r="C1132" i="34"/>
  <c r="W243" i="25"/>
  <c r="B451" i="30"/>
  <c r="U437" i="30"/>
  <c r="J291" i="23"/>
  <c r="C1123" i="34"/>
  <c r="C477" i="33"/>
  <c r="J743" i="34"/>
  <c r="A386" i="30"/>
  <c r="B459" i="30"/>
  <c r="A454" i="30"/>
  <c r="A451" i="23" s="1"/>
  <c r="H1122" i="34"/>
  <c r="F429" i="30"/>
  <c r="C229" i="29"/>
  <c r="J166" i="29"/>
  <c r="B261" i="25"/>
  <c r="I920" i="34"/>
  <c r="A234" i="29"/>
  <c r="A457" i="23"/>
  <c r="C1267" i="34"/>
  <c r="T410" i="30"/>
  <c r="C2137" i="34"/>
  <c r="A938" i="34"/>
  <c r="U405" i="30"/>
  <c r="W405" i="30" s="1"/>
  <c r="H433" i="23"/>
  <c r="H1266" i="34"/>
  <c r="A1188" i="34"/>
  <c r="A432" i="23"/>
  <c r="A494" i="33"/>
  <c r="U459" i="30"/>
  <c r="A411" i="30"/>
  <c r="A1195" i="34" s="1"/>
  <c r="H1464" i="34"/>
  <c r="B260" i="25"/>
  <c r="B416" i="30"/>
  <c r="I924" i="34"/>
  <c r="H1466" i="34"/>
  <c r="B405" i="30"/>
  <c r="C402" i="23" s="1"/>
  <c r="T406" i="30"/>
  <c r="H948" i="34"/>
  <c r="B269" i="25"/>
  <c r="A1328" i="34"/>
  <c r="J153" i="29"/>
  <c r="H1326" i="34"/>
  <c r="H501" i="23"/>
  <c r="I982" i="34"/>
  <c r="C404" i="23"/>
  <c r="H504" i="23"/>
  <c r="S456" i="30"/>
  <c r="H1189" i="34"/>
  <c r="I537" i="23"/>
  <c r="B140" i="29"/>
  <c r="B280" i="23"/>
  <c r="A475" i="23"/>
  <c r="H1328" i="34"/>
  <c r="J913" i="34"/>
  <c r="F262" i="25"/>
  <c r="S261" i="25"/>
  <c r="I294" i="25"/>
  <c r="E313" i="25"/>
  <c r="H2137" i="34"/>
  <c r="T417" i="30"/>
  <c r="I987" i="34"/>
  <c r="S266" i="25"/>
  <c r="W266" i="25" s="1"/>
  <c r="A382" i="23"/>
  <c r="A2138" i="34"/>
  <c r="F326" i="23"/>
  <c r="I491" i="23"/>
  <c r="F504" i="31"/>
  <c r="H480" i="33"/>
  <c r="F451" i="30"/>
  <c r="B123" i="29"/>
  <c r="C1120" i="34"/>
  <c r="B553" i="31"/>
  <c r="C1129" i="34"/>
  <c r="C867" i="34"/>
  <c r="F139" i="29"/>
  <c r="I287" i="23"/>
  <c r="C471" i="33"/>
  <c r="C2274" i="34"/>
  <c r="U413" i="30"/>
  <c r="W413" i="30" s="1"/>
  <c r="E332" i="25"/>
  <c r="I228" i="29"/>
  <c r="J849" i="34"/>
  <c r="F433" i="30"/>
  <c r="H1263" i="34" s="1"/>
  <c r="A386" i="23"/>
  <c r="I288" i="23"/>
  <c r="H947" i="34"/>
  <c r="H952" i="34"/>
  <c r="J290" i="23"/>
  <c r="C237" i="29"/>
  <c r="H231" i="29"/>
  <c r="B413" i="30"/>
  <c r="C410" i="23" s="1"/>
  <c r="I444" i="23"/>
  <c r="A1335" i="34"/>
  <c r="A1126" i="34"/>
  <c r="H232" i="29"/>
  <c r="A428" i="30"/>
  <c r="U436" i="30"/>
  <c r="I169" i="29"/>
  <c r="J338" i="23"/>
  <c r="T413" i="30"/>
  <c r="C387" i="23"/>
  <c r="A261" i="25"/>
  <c r="B332" i="25"/>
  <c r="B456" i="30"/>
  <c r="H356" i="23"/>
  <c r="I854" i="34"/>
  <c r="H235" i="29"/>
  <c r="T439" i="30"/>
  <c r="M332" i="28"/>
  <c r="I537" i="31"/>
  <c r="I535" i="33" s="1"/>
  <c r="I809" i="34"/>
  <c r="I336" i="23"/>
  <c r="I990" i="34"/>
  <c r="I984" i="34"/>
  <c r="A464" i="33"/>
  <c r="F453" i="30"/>
  <c r="H871" i="34"/>
  <c r="F369" i="25"/>
  <c r="J672" i="34"/>
  <c r="H378" i="23"/>
  <c r="A449" i="23"/>
  <c r="H482" i="23"/>
  <c r="T409" i="30"/>
  <c r="B433" i="30"/>
  <c r="F264" i="25"/>
  <c r="U455" i="30"/>
  <c r="B326" i="23"/>
  <c r="I994" i="34"/>
  <c r="B454" i="30"/>
  <c r="C1330" i="34" s="1"/>
  <c r="A1404" i="34"/>
  <c r="B265" i="25"/>
  <c r="U261" i="25"/>
  <c r="W261" i="25" s="1"/>
  <c r="T436" i="30"/>
  <c r="I341" i="23"/>
  <c r="F280" i="23"/>
  <c r="B404" i="30"/>
  <c r="C1188" i="34" s="1"/>
  <c r="F314" i="28"/>
  <c r="C1400" i="34"/>
  <c r="C467" i="23"/>
  <c r="C2275" i="34"/>
  <c r="H477" i="23"/>
  <c r="J993" i="34"/>
  <c r="H474" i="23"/>
  <c r="C2207" i="34"/>
  <c r="H1191" i="34"/>
  <c r="F434" i="30"/>
  <c r="H431" i="23" s="1"/>
  <c r="F265" i="25"/>
  <c r="C470" i="23"/>
  <c r="A1197" i="34"/>
  <c r="T451" i="30"/>
  <c r="C946" i="34"/>
  <c r="C1198" i="34"/>
  <c r="T262" i="25"/>
  <c r="J180" i="29"/>
  <c r="C2411" i="34"/>
  <c r="J920" i="34"/>
  <c r="C263" i="29"/>
  <c r="A237" i="29"/>
  <c r="T434" i="30"/>
  <c r="C457" i="23"/>
  <c r="A214" i="29"/>
  <c r="F412" i="30"/>
  <c r="C2408" i="34"/>
  <c r="A1257" i="34"/>
  <c r="C1467" i="34"/>
  <c r="H1405" i="34"/>
  <c r="C1263" i="34"/>
  <c r="U269" i="25"/>
  <c r="I743" i="34"/>
  <c r="I332" i="23"/>
  <c r="C385" i="23"/>
  <c r="H2202" i="34"/>
  <c r="C519" i="33"/>
  <c r="C1201" i="34"/>
  <c r="I520" i="33"/>
  <c r="A2339" i="34"/>
  <c r="I202" i="29"/>
  <c r="H2412" i="34"/>
  <c r="C262" i="29"/>
  <c r="C1337" i="34"/>
  <c r="C454" i="23"/>
  <c r="C2202" i="34"/>
  <c r="A1477" i="34"/>
  <c r="C2477" i="34"/>
  <c r="C1262" i="34"/>
  <c r="A1533" i="34"/>
  <c r="A1476" i="34"/>
  <c r="H938" i="34"/>
  <c r="W409" i="30"/>
  <c r="H498" i="23"/>
  <c r="A429" i="23"/>
  <c r="H2204" i="34"/>
  <c r="H503" i="23"/>
  <c r="H2203" i="34"/>
  <c r="A521" i="23"/>
  <c r="C405" i="23"/>
  <c r="W461" i="30"/>
  <c r="C2548" i="34"/>
  <c r="A456" i="23"/>
  <c r="I331" i="29"/>
  <c r="A2478" i="34"/>
  <c r="A935" i="34"/>
  <c r="C1540" i="34"/>
  <c r="C2271" i="34"/>
  <c r="A402" i="23"/>
  <c r="A505" i="23"/>
  <c r="A2410" i="34"/>
  <c r="W391" i="30"/>
  <c r="H406" i="23"/>
  <c r="C1533" i="34"/>
  <c r="I262" i="29"/>
  <c r="A525" i="23"/>
  <c r="W429" i="30"/>
  <c r="H524" i="23"/>
  <c r="H1542" i="34"/>
  <c r="C1335" i="34"/>
  <c r="A1196" i="34"/>
  <c r="W267" i="25"/>
  <c r="H500" i="23"/>
  <c r="C520" i="23"/>
  <c r="C2345" i="34"/>
  <c r="H933" i="34"/>
  <c r="C1258" i="34"/>
  <c r="C430" i="23"/>
  <c r="H1262" i="34"/>
  <c r="W260" i="25"/>
  <c r="H2206" i="34"/>
  <c r="A936" i="34"/>
  <c r="A499" i="23"/>
  <c r="H481" i="23"/>
  <c r="C2206" i="34"/>
  <c r="H936" i="34"/>
  <c r="H2341" i="34"/>
  <c r="A1407" i="34"/>
  <c r="I552" i="33"/>
  <c r="H447" i="23"/>
  <c r="A434" i="23"/>
  <c r="H2411" i="34"/>
  <c r="A1190" i="34"/>
  <c r="I201" i="29"/>
  <c r="A528" i="23"/>
  <c r="A1471" i="34"/>
  <c r="C1398" i="34"/>
  <c r="A403" i="23"/>
  <c r="A1408" i="34"/>
  <c r="H1260" i="34"/>
  <c r="I601" i="31"/>
  <c r="C2340" i="34"/>
  <c r="A458" i="23"/>
  <c r="I808" i="34"/>
  <c r="A1543" i="34"/>
  <c r="W460" i="30"/>
  <c r="C450" i="23"/>
  <c r="C1537" i="34"/>
  <c r="A518" i="23"/>
  <c r="W416" i="30"/>
  <c r="I163" i="29"/>
  <c r="I986" i="34"/>
  <c r="F411" i="30"/>
  <c r="H408" i="23" s="1"/>
  <c r="W454" i="30"/>
  <c r="C1266" i="34"/>
  <c r="W262" i="25"/>
  <c r="H2550" i="34"/>
  <c r="A1545" i="34"/>
  <c r="H1540" i="34"/>
  <c r="H1543" i="34"/>
  <c r="A473" i="23"/>
  <c r="C503" i="23"/>
  <c r="H1472" i="34"/>
  <c r="H1404" i="34"/>
  <c r="C431" i="23"/>
  <c r="C246" i="29"/>
  <c r="H2414" i="34"/>
  <c r="W459" i="30"/>
  <c r="C937" i="34"/>
  <c r="H2413" i="34"/>
  <c r="A500" i="23"/>
  <c r="A2274" i="34"/>
  <c r="C330" i="29"/>
  <c r="C406" i="23"/>
  <c r="A517" i="23"/>
  <c r="A1192" i="34"/>
  <c r="H1195" i="34"/>
  <c r="C1268" i="34"/>
  <c r="A2340" i="34"/>
  <c r="H931" i="34"/>
  <c r="C1475" i="34"/>
  <c r="A2273" i="34"/>
  <c r="M389" i="25"/>
  <c r="C426" i="23"/>
  <c r="A1534" i="34"/>
  <c r="P236" i="28"/>
  <c r="W269" i="25"/>
  <c r="H411" i="23"/>
  <c r="C935" i="34"/>
  <c r="F348" i="28"/>
  <c r="H505" i="23"/>
  <c r="A496" i="23"/>
  <c r="A522" i="23"/>
  <c r="H2344" i="34"/>
  <c r="A481" i="23"/>
  <c r="A2551" i="34"/>
  <c r="C522" i="23"/>
  <c r="C1190" i="34"/>
  <c r="C498" i="23"/>
  <c r="A494" i="23"/>
  <c r="C313" i="29"/>
  <c r="H402" i="23"/>
  <c r="C2342" i="34"/>
  <c r="A1472" i="34"/>
  <c r="H2339" i="34"/>
  <c r="H471" i="23"/>
  <c r="H522" i="23"/>
  <c r="C1339" i="34"/>
  <c r="I519" i="33"/>
  <c r="H526" i="23"/>
  <c r="A2408" i="34"/>
  <c r="A1475" i="34"/>
  <c r="I279" i="29"/>
  <c r="W414" i="30"/>
  <c r="P237" i="28"/>
  <c r="A1265" i="34"/>
  <c r="C2276" i="34"/>
  <c r="C473" i="23"/>
  <c r="A1402" i="34"/>
  <c r="H2546" i="34"/>
  <c r="A2344" i="34"/>
  <c r="J203" i="29"/>
  <c r="H427" i="23"/>
  <c r="I503" i="33"/>
  <c r="C432" i="23"/>
  <c r="W264" i="25"/>
  <c r="H1401" i="34"/>
  <c r="A479" i="23"/>
  <c r="A450" i="30"/>
  <c r="C456" i="23"/>
  <c r="E349" i="28"/>
  <c r="C1539" i="34"/>
  <c r="A1337" i="34"/>
  <c r="A502" i="23"/>
  <c r="A523" i="23"/>
  <c r="H429" i="23"/>
  <c r="C2546" i="34"/>
  <c r="H528" i="23"/>
  <c r="C1334" i="34"/>
  <c r="A1336" i="34"/>
  <c r="A436" i="23"/>
  <c r="C501" i="23"/>
  <c r="A447" i="23"/>
  <c r="I245" i="29"/>
  <c r="C527" i="23"/>
  <c r="A428" i="23"/>
  <c r="C2343" i="34"/>
  <c r="W438" i="30"/>
  <c r="H2479" i="34"/>
  <c r="C453" i="23"/>
  <c r="C296" i="29"/>
  <c r="C2479" i="34"/>
  <c r="A1544" i="34"/>
  <c r="H520" i="23"/>
  <c r="A383" i="23"/>
  <c r="A475" i="33"/>
  <c r="J287" i="23"/>
  <c r="J989" i="34"/>
  <c r="H1470" i="34"/>
  <c r="C1327" i="34"/>
  <c r="H499" i="23"/>
  <c r="C932" i="34"/>
  <c r="H2342" i="34"/>
  <c r="C505" i="23"/>
  <c r="A498" i="23"/>
  <c r="C1196" i="34"/>
  <c r="A2483" i="34"/>
  <c r="A1269" i="34"/>
  <c r="H2201" i="34"/>
  <c r="A1536" i="34"/>
  <c r="A1541" i="34"/>
  <c r="H523" i="23"/>
  <c r="E601" i="31"/>
  <c r="C1200" i="34"/>
  <c r="A459" i="23"/>
  <c r="E389" i="25"/>
  <c r="C1257" i="34"/>
  <c r="I504" i="33"/>
  <c r="H2552" i="34"/>
  <c r="I330" i="29"/>
  <c r="H1477" i="34"/>
  <c r="C931" i="34"/>
  <c r="A524" i="23"/>
  <c r="H1190" i="34"/>
  <c r="A1261" i="34"/>
  <c r="C1404" i="34"/>
  <c r="C348" i="23"/>
  <c r="A407" i="23"/>
  <c r="W436" i="30"/>
  <c r="H934" i="34"/>
  <c r="A503" i="23"/>
  <c r="A2207" i="34"/>
  <c r="W452" i="30"/>
  <c r="I389" i="25"/>
  <c r="B349" i="28"/>
  <c r="C1197" i="34"/>
  <c r="H1538" i="34"/>
  <c r="W450" i="30"/>
  <c r="J815" i="34"/>
  <c r="C497" i="23"/>
  <c r="C2481" i="34"/>
  <c r="H521" i="23"/>
  <c r="S432" i="30"/>
  <c r="W432" i="30" s="1"/>
  <c r="A413" i="23"/>
  <c r="F428" i="30"/>
  <c r="F427" i="30"/>
  <c r="A476" i="23"/>
  <c r="H1270" i="34"/>
  <c r="H436" i="23"/>
  <c r="A379" i="23"/>
  <c r="W406" i="30"/>
  <c r="A1338" i="34"/>
  <c r="H1336" i="34"/>
  <c r="H1335" i="34"/>
  <c r="W437" i="30"/>
  <c r="C451" i="23"/>
  <c r="C1472" i="34"/>
  <c r="C279" i="29"/>
  <c r="A1535" i="34"/>
  <c r="H403" i="23"/>
  <c r="A1400" i="34"/>
  <c r="C478" i="23"/>
  <c r="C2413" i="34"/>
  <c r="A1470" i="34"/>
  <c r="M601" i="31"/>
  <c r="A504" i="23"/>
  <c r="C449" i="23"/>
  <c r="H1128" i="34"/>
  <c r="H1473" i="34"/>
  <c r="J742" i="34"/>
  <c r="M349" i="28"/>
  <c r="H1338" i="34"/>
  <c r="I246" i="29"/>
  <c r="C458" i="23"/>
  <c r="H1537" i="34"/>
  <c r="I297" i="29"/>
  <c r="H1536" i="34"/>
  <c r="A1473" i="34"/>
  <c r="C551" i="33"/>
  <c r="A2202" i="34"/>
  <c r="I286" i="23"/>
  <c r="E315" i="28"/>
  <c r="C314" i="29" s="1"/>
  <c r="H2270" i="34"/>
  <c r="I199" i="29"/>
  <c r="C939" i="34"/>
  <c r="C1470" i="34"/>
  <c r="C582" i="23"/>
  <c r="H502" i="23"/>
  <c r="I810" i="34"/>
  <c r="C495" i="23"/>
  <c r="C1402" i="34"/>
  <c r="C2480" i="34"/>
  <c r="I582" i="23"/>
  <c r="W439" i="30"/>
  <c r="A1199" i="34"/>
  <c r="A527" i="23"/>
  <c r="A2345" i="34"/>
  <c r="H405" i="23"/>
  <c r="C1546" i="34"/>
  <c r="I349" i="28"/>
  <c r="C1195" i="34"/>
  <c r="H493" i="23"/>
  <c r="F388" i="25"/>
  <c r="C2550" i="34"/>
  <c r="H1119" i="34"/>
  <c r="H379" i="23"/>
  <c r="A430" i="23"/>
  <c r="H1395" i="34"/>
  <c r="A2411" i="34"/>
  <c r="W427" i="30"/>
  <c r="C536" i="33"/>
  <c r="A516" i="23"/>
  <c r="H519" i="23"/>
  <c r="A478" i="23"/>
  <c r="H2207" i="34"/>
  <c r="W265" i="25"/>
  <c r="A1538" i="34"/>
  <c r="I583" i="23"/>
  <c r="A1469" i="34"/>
  <c r="B601" i="31"/>
  <c r="I812" i="34"/>
  <c r="I280" i="29"/>
  <c r="A2481" i="34"/>
  <c r="A2480" i="34"/>
  <c r="A1330" i="34"/>
  <c r="A520" i="23"/>
  <c r="C474" i="23"/>
  <c r="C938" i="34"/>
  <c r="C528" i="23"/>
  <c r="A1124" i="34"/>
  <c r="A426" i="23"/>
  <c r="H1269" i="34"/>
  <c r="H430" i="23"/>
  <c r="A427" i="23"/>
  <c r="H1264" i="34"/>
  <c r="W455" i="30"/>
  <c r="A1270" i="34"/>
  <c r="H1539" i="34"/>
  <c r="C2478" i="34"/>
  <c r="H1544" i="34"/>
  <c r="A1546" i="34"/>
  <c r="J204" i="29"/>
  <c r="H1399" i="34"/>
  <c r="C1260" i="34"/>
  <c r="A1193" i="34"/>
  <c r="A406" i="23"/>
  <c r="H458" i="23"/>
  <c r="H1337" i="34"/>
  <c r="H434" i="23"/>
  <c r="H1267" i="34"/>
  <c r="H454" i="23"/>
  <c r="H1333" i="34"/>
  <c r="H1265" i="34"/>
  <c r="H432" i="23"/>
  <c r="H435" i="23"/>
  <c r="H1268" i="34"/>
  <c r="H451" i="23"/>
  <c r="H1330" i="34"/>
  <c r="A433" i="23"/>
  <c r="A1266" i="34"/>
  <c r="A454" i="23"/>
  <c r="A1333" i="34"/>
  <c r="C1338" i="34"/>
  <c r="A1198" i="34"/>
  <c r="C1194" i="34"/>
  <c r="H1334" i="34"/>
  <c r="H455" i="23"/>
  <c r="H1259" i="34"/>
  <c r="H426" i="23"/>
  <c r="H448" i="23"/>
  <c r="H1327" i="34"/>
  <c r="A1258" i="34"/>
  <c r="A425" i="23"/>
  <c r="H450" i="23"/>
  <c r="H1329" i="34"/>
  <c r="H409" i="23"/>
  <c r="H1258" i="34"/>
  <c r="H425" i="23"/>
  <c r="H424" i="23"/>
  <c r="H1257" i="34"/>
  <c r="E107" i="28" l="1"/>
  <c r="H465" i="33"/>
  <c r="I497" i="30"/>
  <c r="I441" i="30"/>
  <c r="F441" i="30"/>
  <c r="I525" i="30"/>
  <c r="X405" i="30"/>
  <c r="J322" i="23"/>
  <c r="I479" i="30"/>
  <c r="X435" i="30"/>
  <c r="I433" i="30"/>
  <c r="I506" i="30"/>
  <c r="I459" i="30"/>
  <c r="I261" i="25"/>
  <c r="I487" i="30"/>
  <c r="F487" i="30"/>
  <c r="X386" i="30"/>
  <c r="I414" i="30"/>
  <c r="I434" i="30"/>
  <c r="J299" i="23"/>
  <c r="I476" i="30"/>
  <c r="X390" i="30"/>
  <c r="X369" i="30"/>
  <c r="J188" i="29"/>
  <c r="I406" i="30"/>
  <c r="R222" i="28"/>
  <c r="K222" i="28" s="1"/>
  <c r="G222" i="28"/>
  <c r="H1133" i="34"/>
  <c r="I415" i="30"/>
  <c r="J2737" i="34"/>
  <c r="A2737" i="34" s="1"/>
  <c r="C2738" i="34" s="1"/>
  <c r="J2722" i="34"/>
  <c r="A2722" i="34" s="1"/>
  <c r="J2723" i="34" s="1"/>
  <c r="J2750" i="34"/>
  <c r="A2750" i="34" s="1"/>
  <c r="H2751" i="34" s="1"/>
  <c r="I451" i="30"/>
  <c r="M249" i="28"/>
  <c r="M266" i="28" s="1"/>
  <c r="M283" i="28" s="1"/>
  <c r="M300" i="28" s="1"/>
  <c r="M317" i="28" s="1"/>
  <c r="M334" i="28" s="1"/>
  <c r="M351" i="28" s="1"/>
  <c r="G260" i="28"/>
  <c r="G277" i="28" s="1"/>
  <c r="G294" i="28" s="1"/>
  <c r="G311" i="28" s="1"/>
  <c r="G328" i="28" s="1"/>
  <c r="G345" i="28" s="1"/>
  <c r="G362" i="28" s="1"/>
  <c r="M260" i="28"/>
  <c r="M277" i="28" s="1"/>
  <c r="M294" i="28" s="1"/>
  <c r="M311" i="28" s="1"/>
  <c r="M328" i="28" s="1"/>
  <c r="M345" i="28" s="1"/>
  <c r="M362" i="28" s="1"/>
  <c r="G247" i="28"/>
  <c r="G264" i="28" s="1"/>
  <c r="G281" i="28" s="1"/>
  <c r="G298" i="28" s="1"/>
  <c r="G315" i="28" s="1"/>
  <c r="G332" i="28" s="1"/>
  <c r="G349" i="28" s="1"/>
  <c r="K247" i="28"/>
  <c r="K264" i="28" s="1"/>
  <c r="K281" i="28" s="1"/>
  <c r="K298" i="28" s="1"/>
  <c r="K315" i="28" s="1"/>
  <c r="K332" i="28" s="1"/>
  <c r="K349" i="28" s="1"/>
  <c r="A260" i="28"/>
  <c r="A277" i="28" s="1"/>
  <c r="A294" i="28" s="1"/>
  <c r="A311" i="28" s="1"/>
  <c r="A328" i="28" s="1"/>
  <c r="A345" i="28" s="1"/>
  <c r="A362" i="28" s="1"/>
  <c r="F249" i="28"/>
  <c r="F266" i="28" s="1"/>
  <c r="F283" i="28" s="1"/>
  <c r="F300" i="28" s="1"/>
  <c r="F317" i="28" s="1"/>
  <c r="F334" i="28" s="1"/>
  <c r="F351" i="28" s="1"/>
  <c r="A247" i="28"/>
  <c r="A264" i="28" s="1"/>
  <c r="A281" i="28" s="1"/>
  <c r="A298" i="28" s="1"/>
  <c r="A315" i="28" s="1"/>
  <c r="A332" i="28" s="1"/>
  <c r="A349" i="28" s="1"/>
  <c r="G249" i="28"/>
  <c r="G266" i="28" s="1"/>
  <c r="G283" i="28" s="1"/>
  <c r="G300" i="28" s="1"/>
  <c r="G317" i="28" s="1"/>
  <c r="G334" i="28" s="1"/>
  <c r="G351" i="28" s="1"/>
  <c r="K260" i="28"/>
  <c r="K277" i="28" s="1"/>
  <c r="K294" i="28" s="1"/>
  <c r="K311" i="28" s="1"/>
  <c r="K328" i="28" s="1"/>
  <c r="K345" i="28" s="1"/>
  <c r="A259" i="28"/>
  <c r="A276" i="28" s="1"/>
  <c r="A293" i="28" s="1"/>
  <c r="A310" i="28" s="1"/>
  <c r="A327" i="28" s="1"/>
  <c r="A344" i="28" s="1"/>
  <c r="A361" i="28" s="1"/>
  <c r="B249" i="28"/>
  <c r="B266" i="28" s="1"/>
  <c r="B283" i="28" s="1"/>
  <c r="B300" i="28" s="1"/>
  <c r="B317" i="28" s="1"/>
  <c r="B334" i="28" s="1"/>
  <c r="B351" i="28" s="1"/>
  <c r="D247" i="28"/>
  <c r="D264" i="28" s="1"/>
  <c r="D281" i="28" s="1"/>
  <c r="D298" i="28" s="1"/>
  <c r="D315" i="28" s="1"/>
  <c r="D332" i="28" s="1"/>
  <c r="D349" i="28" s="1"/>
  <c r="I260" i="28"/>
  <c r="I277" i="28" s="1"/>
  <c r="I294" i="28" s="1"/>
  <c r="I311" i="28" s="1"/>
  <c r="I328" i="28" s="1"/>
  <c r="I345" i="28" s="1"/>
  <c r="I362" i="28" s="1"/>
  <c r="I249" i="28"/>
  <c r="I266" i="28" s="1"/>
  <c r="I283" i="28" s="1"/>
  <c r="I300" i="28" s="1"/>
  <c r="I317" i="28" s="1"/>
  <c r="I334" i="28" s="1"/>
  <c r="I351" i="28" s="1"/>
  <c r="K249" i="28"/>
  <c r="K266" i="28" s="1"/>
  <c r="K283" i="28" s="1"/>
  <c r="K300" i="28" s="1"/>
  <c r="K317" i="28" s="1"/>
  <c r="K334" i="28" s="1"/>
  <c r="K351" i="28" s="1"/>
  <c r="D260" i="28"/>
  <c r="D277" i="28" s="1"/>
  <c r="D294" i="28" s="1"/>
  <c r="D311" i="28" s="1"/>
  <c r="D328" i="28" s="1"/>
  <c r="D345" i="28" s="1"/>
  <c r="D362" i="28" s="1"/>
  <c r="N249" i="28"/>
  <c r="N266" i="28" s="1"/>
  <c r="N283" i="28" s="1"/>
  <c r="N300" i="28" s="1"/>
  <c r="N317" i="28" s="1"/>
  <c r="N334" i="28" s="1"/>
  <c r="N351" i="28" s="1"/>
  <c r="A249" i="28"/>
  <c r="A266" i="28" s="1"/>
  <c r="A283" i="28" s="1"/>
  <c r="A300" i="28" s="1"/>
  <c r="A317" i="28" s="1"/>
  <c r="A334" i="28" s="1"/>
  <c r="A351" i="28" s="1"/>
  <c r="I452" i="30"/>
  <c r="J788" i="34"/>
  <c r="C834" i="34" s="1"/>
  <c r="X430" i="30"/>
  <c r="R219" i="28"/>
  <c r="K219" i="28" s="1"/>
  <c r="G219" i="28"/>
  <c r="M219" i="28"/>
  <c r="N219" i="28" s="1"/>
  <c r="X237" i="28"/>
  <c r="X391" i="30"/>
  <c r="I431" i="30"/>
  <c r="I498" i="30"/>
  <c r="S543" i="31"/>
  <c r="F541" i="31"/>
  <c r="Q546" i="31"/>
  <c r="Q541" i="31"/>
  <c r="A547" i="31"/>
  <c r="I541" i="31"/>
  <c r="Q544" i="31"/>
  <c r="F543" i="31"/>
  <c r="A542" i="31"/>
  <c r="U543" i="31"/>
  <c r="T547" i="31"/>
  <c r="F548" i="31"/>
  <c r="T545" i="31"/>
  <c r="T544" i="31"/>
  <c r="U547" i="31"/>
  <c r="U546" i="31"/>
  <c r="U545" i="31"/>
  <c r="I548" i="31"/>
  <c r="S547" i="31"/>
  <c r="B541" i="31"/>
  <c r="F547" i="31"/>
  <c r="S546" i="31"/>
  <c r="W542" i="31"/>
  <c r="B545" i="31"/>
  <c r="T543" i="31"/>
  <c r="Q543" i="31"/>
  <c r="Q542" i="31"/>
  <c r="B544" i="31"/>
  <c r="I542" i="31"/>
  <c r="W546" i="31"/>
  <c r="A544" i="31"/>
  <c r="Q545" i="31"/>
  <c r="U541" i="31"/>
  <c r="S542" i="31"/>
  <c r="F545" i="31"/>
  <c r="X541" i="31"/>
  <c r="I544" i="31"/>
  <c r="W545" i="31"/>
  <c r="W543" i="31"/>
  <c r="A546" i="31"/>
  <c r="T542" i="31"/>
  <c r="U542" i="31"/>
  <c r="A545" i="31"/>
  <c r="T541" i="31"/>
  <c r="I546" i="31"/>
  <c r="I547" i="31"/>
  <c r="W544" i="31"/>
  <c r="W547" i="31"/>
  <c r="Q547" i="31"/>
  <c r="F544" i="31"/>
  <c r="B546" i="31"/>
  <c r="F542" i="31"/>
  <c r="S545" i="31"/>
  <c r="S544" i="31"/>
  <c r="S541" i="31"/>
  <c r="W541" i="31" s="1"/>
  <c r="T546" i="31"/>
  <c r="A543" i="31"/>
  <c r="B543" i="31"/>
  <c r="I543" i="31"/>
  <c r="A541" i="31"/>
  <c r="B547" i="31"/>
  <c r="U544" i="31"/>
  <c r="F546" i="31"/>
  <c r="B542" i="31"/>
  <c r="I545" i="31"/>
  <c r="X410" i="30"/>
  <c r="I529" i="30"/>
  <c r="X370" i="30"/>
  <c r="I410" i="30"/>
  <c r="X431" i="30"/>
  <c r="X360" i="30"/>
  <c r="I528" i="30"/>
  <c r="I480" i="30"/>
  <c r="X246" i="25"/>
  <c r="I436" i="30"/>
  <c r="I437" i="30"/>
  <c r="I477" i="30"/>
  <c r="X244" i="25"/>
  <c r="W395" i="30"/>
  <c r="X381" i="30"/>
  <c r="R221" i="28"/>
  <c r="K221" i="28" s="1"/>
  <c r="G221" i="28"/>
  <c r="I457" i="30"/>
  <c r="I505" i="30"/>
  <c r="J2612" i="34"/>
  <c r="A2612" i="34" s="1"/>
  <c r="A2613" i="34" s="1"/>
  <c r="J2599" i="34"/>
  <c r="A2599" i="34" s="1"/>
  <c r="C2600" i="34" s="1"/>
  <c r="J2584" i="34"/>
  <c r="A2584" i="34" s="1"/>
  <c r="I2585" i="34" s="1"/>
  <c r="I453" i="30"/>
  <c r="I430" i="30"/>
  <c r="I475" i="30"/>
  <c r="I416" i="30"/>
  <c r="I407" i="30"/>
  <c r="I496" i="30"/>
  <c r="I503" i="30"/>
  <c r="I409" i="30"/>
  <c r="I509" i="30"/>
  <c r="X243" i="25"/>
  <c r="I484" i="30"/>
  <c r="W242" i="28"/>
  <c r="X234" i="28"/>
  <c r="I532" i="30"/>
  <c r="J345" i="23"/>
  <c r="G223" i="28"/>
  <c r="R223" i="28"/>
  <c r="K223" i="28" s="1"/>
  <c r="I483" i="30"/>
  <c r="R217" i="28"/>
  <c r="M217" i="28" s="1"/>
  <c r="G217" i="28"/>
  <c r="G225" i="28"/>
  <c r="I482" i="30"/>
  <c r="I405" i="30"/>
  <c r="I262" i="25"/>
  <c r="X240" i="28"/>
  <c r="I531" i="30"/>
  <c r="I439" i="30"/>
  <c r="I450" i="30"/>
  <c r="W372" i="30"/>
  <c r="X358" i="30"/>
  <c r="X235" i="28"/>
  <c r="I411" i="30"/>
  <c r="B277" i="25"/>
  <c r="B296" i="25" s="1"/>
  <c r="B315" i="25" s="1"/>
  <c r="B334" i="25" s="1"/>
  <c r="B353" i="25" s="1"/>
  <c r="B372" i="25" s="1"/>
  <c r="B391" i="25" s="1"/>
  <c r="M290" i="25"/>
  <c r="M309" i="25" s="1"/>
  <c r="M328" i="25" s="1"/>
  <c r="M347" i="25" s="1"/>
  <c r="M366" i="25" s="1"/>
  <c r="M385" i="25" s="1"/>
  <c r="M404" i="25" s="1"/>
  <c r="A275" i="25"/>
  <c r="A294" i="25" s="1"/>
  <c r="A313" i="25" s="1"/>
  <c r="A332" i="25" s="1"/>
  <c r="A351" i="25" s="1"/>
  <c r="A370" i="25" s="1"/>
  <c r="A389" i="25" s="1"/>
  <c r="D275" i="25"/>
  <c r="D294" i="25" s="1"/>
  <c r="D313" i="25" s="1"/>
  <c r="D332" i="25" s="1"/>
  <c r="D351" i="25" s="1"/>
  <c r="D370" i="25" s="1"/>
  <c r="D389" i="25" s="1"/>
  <c r="K290" i="25"/>
  <c r="K309" i="25" s="1"/>
  <c r="K328" i="25" s="1"/>
  <c r="K347" i="25" s="1"/>
  <c r="K366" i="25" s="1"/>
  <c r="K385" i="25" s="1"/>
  <c r="K404" i="25" s="1"/>
  <c r="G290" i="25"/>
  <c r="G309" i="25" s="1"/>
  <c r="G328" i="25" s="1"/>
  <c r="G347" i="25" s="1"/>
  <c r="G366" i="25" s="1"/>
  <c r="G385" i="25" s="1"/>
  <c r="G404" i="25" s="1"/>
  <c r="D290" i="25"/>
  <c r="D309" i="25" s="1"/>
  <c r="D328" i="25" s="1"/>
  <c r="D347" i="25" s="1"/>
  <c r="D366" i="25" s="1"/>
  <c r="D385" i="25" s="1"/>
  <c r="D404" i="25" s="1"/>
  <c r="G275" i="25"/>
  <c r="G294" i="25" s="1"/>
  <c r="G313" i="25" s="1"/>
  <c r="G332" i="25" s="1"/>
  <c r="G351" i="25" s="1"/>
  <c r="G370" i="25" s="1"/>
  <c r="G389" i="25" s="1"/>
  <c r="K277" i="25"/>
  <c r="K296" i="25" s="1"/>
  <c r="K315" i="25" s="1"/>
  <c r="K334" i="25" s="1"/>
  <c r="K353" i="25" s="1"/>
  <c r="K372" i="25" s="1"/>
  <c r="K391" i="25" s="1"/>
  <c r="I277" i="25"/>
  <c r="I296" i="25" s="1"/>
  <c r="I315" i="25" s="1"/>
  <c r="I334" i="25" s="1"/>
  <c r="I353" i="25" s="1"/>
  <c r="I372" i="25" s="1"/>
  <c r="I391" i="25" s="1"/>
  <c r="K275" i="25"/>
  <c r="K294" i="25" s="1"/>
  <c r="K313" i="25" s="1"/>
  <c r="K332" i="25" s="1"/>
  <c r="K351" i="25" s="1"/>
  <c r="K370" i="25" s="1"/>
  <c r="K389" i="25" s="1"/>
  <c r="G277" i="25"/>
  <c r="G296" i="25" s="1"/>
  <c r="G315" i="25" s="1"/>
  <c r="G334" i="25" s="1"/>
  <c r="G353" i="25" s="1"/>
  <c r="G372" i="25" s="1"/>
  <c r="G391" i="25" s="1"/>
  <c r="A289" i="25"/>
  <c r="A308" i="25" s="1"/>
  <c r="A327" i="25" s="1"/>
  <c r="A346" i="25" s="1"/>
  <c r="A365" i="25" s="1"/>
  <c r="A384" i="25" s="1"/>
  <c r="A403" i="25" s="1"/>
  <c r="A277" i="25"/>
  <c r="A296" i="25" s="1"/>
  <c r="A315" i="25" s="1"/>
  <c r="A334" i="25" s="1"/>
  <c r="A353" i="25" s="1"/>
  <c r="A372" i="25" s="1"/>
  <c r="A391" i="25" s="1"/>
  <c r="M277" i="25"/>
  <c r="M296" i="25" s="1"/>
  <c r="M315" i="25" s="1"/>
  <c r="M334" i="25" s="1"/>
  <c r="M353" i="25" s="1"/>
  <c r="M372" i="25" s="1"/>
  <c r="M391" i="25" s="1"/>
  <c r="A290" i="25"/>
  <c r="A309" i="25" s="1"/>
  <c r="A328" i="25" s="1"/>
  <c r="A347" i="25" s="1"/>
  <c r="A366" i="25" s="1"/>
  <c r="A385" i="25" s="1"/>
  <c r="A404" i="25" s="1"/>
  <c r="F277" i="25"/>
  <c r="F296" i="25" s="1"/>
  <c r="F315" i="25" s="1"/>
  <c r="F334" i="25" s="1"/>
  <c r="F353" i="25" s="1"/>
  <c r="F372" i="25" s="1"/>
  <c r="F391" i="25" s="1"/>
  <c r="I290" i="25"/>
  <c r="I309" i="25" s="1"/>
  <c r="I328" i="25" s="1"/>
  <c r="I347" i="25" s="1"/>
  <c r="I366" i="25" s="1"/>
  <c r="I385" i="25" s="1"/>
  <c r="I404" i="25" s="1"/>
  <c r="N277" i="25"/>
  <c r="N296" i="25" s="1"/>
  <c r="N315" i="25" s="1"/>
  <c r="N334" i="25" s="1"/>
  <c r="N353" i="25" s="1"/>
  <c r="N372" i="25" s="1"/>
  <c r="N391" i="25" s="1"/>
  <c r="X434" i="30"/>
  <c r="R220" i="28"/>
  <c r="K220" i="28" s="1"/>
  <c r="G220" i="28"/>
  <c r="M220" i="28"/>
  <c r="N220" i="28" s="1"/>
  <c r="V220" i="28" s="1"/>
  <c r="H497" i="33"/>
  <c r="I440" i="30"/>
  <c r="X393" i="30"/>
  <c r="X363" i="30"/>
  <c r="S528" i="31"/>
  <c r="U525" i="31"/>
  <c r="A531" i="31"/>
  <c r="U528" i="31"/>
  <c r="F528" i="31"/>
  <c r="T525" i="31"/>
  <c r="S525" i="31"/>
  <c r="Q527" i="31"/>
  <c r="F525" i="31"/>
  <c r="F526" i="31"/>
  <c r="I526" i="31"/>
  <c r="T529" i="31"/>
  <c r="S526" i="31"/>
  <c r="F527" i="31"/>
  <c r="T530" i="31"/>
  <c r="Q530" i="31"/>
  <c r="I530" i="31"/>
  <c r="U529" i="31"/>
  <c r="T527" i="31"/>
  <c r="A527" i="31"/>
  <c r="B531" i="31"/>
  <c r="S527" i="31"/>
  <c r="I527" i="31"/>
  <c r="Q531" i="31"/>
  <c r="S529" i="31"/>
  <c r="B530" i="31"/>
  <c r="U531" i="31"/>
  <c r="F530" i="31"/>
  <c r="A529" i="31"/>
  <c r="I529" i="31"/>
  <c r="I528" i="31"/>
  <c r="X530" i="31"/>
  <c r="W528" i="31"/>
  <c r="F531" i="31"/>
  <c r="Q528" i="31"/>
  <c r="A530" i="31"/>
  <c r="T531" i="31"/>
  <c r="B527" i="31"/>
  <c r="A526" i="31"/>
  <c r="F532" i="31"/>
  <c r="W531" i="31"/>
  <c r="B525" i="31"/>
  <c r="U530" i="31"/>
  <c r="W525" i="31"/>
  <c r="F529" i="31"/>
  <c r="S531" i="31"/>
  <c r="I532" i="31"/>
  <c r="X526" i="31"/>
  <c r="W529" i="31"/>
  <c r="Q526" i="31"/>
  <c r="A525" i="31"/>
  <c r="B529" i="31"/>
  <c r="S530" i="31"/>
  <c r="W526" i="31"/>
  <c r="I525" i="31"/>
  <c r="X525" i="31"/>
  <c r="Q525" i="31"/>
  <c r="Q529" i="31"/>
  <c r="A528" i="31"/>
  <c r="W530" i="31"/>
  <c r="U527" i="31"/>
  <c r="W527" i="31"/>
  <c r="B526" i="31"/>
  <c r="B528" i="31"/>
  <c r="T528" i="31"/>
  <c r="U526" i="31"/>
  <c r="T526" i="31"/>
  <c r="I531" i="31"/>
  <c r="J747" i="34"/>
  <c r="E763" i="34" s="1"/>
  <c r="J276" i="23"/>
  <c r="X392" i="30"/>
  <c r="I413" i="30"/>
  <c r="X238" i="28"/>
  <c r="X367" i="30"/>
  <c r="I473" i="30"/>
  <c r="J995" i="34"/>
  <c r="C1039" i="34" s="1"/>
  <c r="X413" i="30"/>
  <c r="J678" i="34"/>
  <c r="E694" i="34" s="1"/>
  <c r="I510" i="30"/>
  <c r="F510" i="30"/>
  <c r="H1064" i="34"/>
  <c r="I267" i="25"/>
  <c r="X245" i="25"/>
  <c r="F270" i="25"/>
  <c r="I270" i="25"/>
  <c r="X241" i="28"/>
  <c r="I462" i="30"/>
  <c r="I461" i="30"/>
  <c r="X359" i="30"/>
  <c r="X247" i="25"/>
  <c r="H481" i="33"/>
  <c r="H239" i="29"/>
  <c r="I412" i="30"/>
  <c r="I264" i="25"/>
  <c r="I454" i="30"/>
  <c r="I269" i="25"/>
  <c r="H222" i="29"/>
  <c r="I526" i="30"/>
  <c r="H954" i="34"/>
  <c r="I502" i="30"/>
  <c r="I429" i="30"/>
  <c r="X368" i="30"/>
  <c r="X248" i="25"/>
  <c r="I527" i="30"/>
  <c r="X385" i="30"/>
  <c r="I474" i="30"/>
  <c r="I432" i="30"/>
  <c r="I523" i="30"/>
  <c r="I263" i="25"/>
  <c r="I486" i="30"/>
  <c r="I266" i="25"/>
  <c r="I530" i="30"/>
  <c r="X250" i="25"/>
  <c r="I519" i="30"/>
  <c r="I520" i="30"/>
  <c r="H872" i="34"/>
  <c r="R218" i="28"/>
  <c r="K218" i="28" s="1"/>
  <c r="G218" i="28"/>
  <c r="I464" i="30"/>
  <c r="F464" i="30"/>
  <c r="J171" i="29"/>
  <c r="X241" i="25"/>
  <c r="I404" i="30"/>
  <c r="R224" i="28"/>
  <c r="K224" i="28" s="1"/>
  <c r="G224" i="28"/>
  <c r="X383" i="30"/>
  <c r="A596" i="31"/>
  <c r="G585" i="31"/>
  <c r="F587" i="31"/>
  <c r="S593" i="31"/>
  <c r="F590" i="31"/>
  <c r="Q594" i="31"/>
  <c r="B595" i="31"/>
  <c r="B593" i="31"/>
  <c r="T594" i="31"/>
  <c r="A591" i="31"/>
  <c r="M587" i="31"/>
  <c r="D597" i="31"/>
  <c r="G587" i="31"/>
  <c r="U592" i="31"/>
  <c r="A589" i="31"/>
  <c r="B594" i="31"/>
  <c r="T595" i="31"/>
  <c r="Q589" i="31"/>
  <c r="G597" i="31"/>
  <c r="K597" i="31"/>
  <c r="U593" i="31"/>
  <c r="F594" i="31"/>
  <c r="U589" i="31"/>
  <c r="Q590" i="31"/>
  <c r="T592" i="31"/>
  <c r="U594" i="31"/>
  <c r="D585" i="31"/>
  <c r="M597" i="31"/>
  <c r="T591" i="31"/>
  <c r="B591" i="31"/>
  <c r="F592" i="31"/>
  <c r="I597" i="31"/>
  <c r="B590" i="31"/>
  <c r="S594" i="31"/>
  <c r="S590" i="31"/>
  <c r="A594" i="31"/>
  <c r="A595" i="31"/>
  <c r="K587" i="31"/>
  <c r="A585" i="31"/>
  <c r="F591" i="31"/>
  <c r="F589" i="31"/>
  <c r="S591" i="31"/>
  <c r="I587" i="31"/>
  <c r="U595" i="31"/>
  <c r="A590" i="31"/>
  <c r="Q592" i="31"/>
  <c r="U591" i="31"/>
  <c r="B587" i="31"/>
  <c r="Q593" i="31"/>
  <c r="U590" i="31"/>
  <c r="F593" i="31"/>
  <c r="S589" i="31"/>
  <c r="B592" i="31"/>
  <c r="T589" i="31"/>
  <c r="N587" i="31"/>
  <c r="A593" i="31"/>
  <c r="S595" i="31"/>
  <c r="T590" i="31"/>
  <c r="F595" i="31"/>
  <c r="K585" i="31"/>
  <c r="A587" i="31"/>
  <c r="A597" i="31"/>
  <c r="T593" i="31"/>
  <c r="Q595" i="31"/>
  <c r="Q591" i="31"/>
  <c r="S592" i="31"/>
  <c r="B589" i="31"/>
  <c r="A592" i="31"/>
  <c r="I481" i="30"/>
  <c r="X382" i="30"/>
  <c r="I427" i="30"/>
  <c r="I485" i="30"/>
  <c r="I524" i="30"/>
  <c r="I508" i="30"/>
  <c r="I458" i="30"/>
  <c r="Q511" i="31"/>
  <c r="A516" i="31"/>
  <c r="A532" i="31" s="1"/>
  <c r="A548" i="31" s="1"/>
  <c r="A564" i="31" s="1"/>
  <c r="K507" i="31"/>
  <c r="K523" i="31" s="1"/>
  <c r="K539" i="31" s="1"/>
  <c r="K555" i="31" s="1"/>
  <c r="A515" i="31"/>
  <c r="A505" i="31"/>
  <c r="A521" i="31" s="1"/>
  <c r="A537" i="31" s="1"/>
  <c r="A553" i="31" s="1"/>
  <c r="A569" i="31" s="1"/>
  <c r="A512" i="31"/>
  <c r="S512" i="31"/>
  <c r="X513" i="31"/>
  <c r="I514" i="31"/>
  <c r="U514" i="31"/>
  <c r="Q514" i="31"/>
  <c r="F514" i="31"/>
  <c r="M507" i="31"/>
  <c r="M523" i="31" s="1"/>
  <c r="M539" i="31" s="1"/>
  <c r="M555" i="31" s="1"/>
  <c r="M571" i="31" s="1"/>
  <c r="K505" i="31"/>
  <c r="K521" i="31" s="1"/>
  <c r="K537" i="31" s="1"/>
  <c r="K553" i="31" s="1"/>
  <c r="K569" i="31" s="1"/>
  <c r="T509" i="31"/>
  <c r="U509" i="31"/>
  <c r="W509" i="31"/>
  <c r="F515" i="31"/>
  <c r="S510" i="31"/>
  <c r="B507" i="31"/>
  <c r="B523" i="31" s="1"/>
  <c r="B539" i="31" s="1"/>
  <c r="B555" i="31" s="1"/>
  <c r="B571" i="31" s="1"/>
  <c r="M517" i="31"/>
  <c r="M533" i="31" s="1"/>
  <c r="M549" i="31" s="1"/>
  <c r="M565" i="31" s="1"/>
  <c r="M581" i="31" s="1"/>
  <c r="A517" i="31"/>
  <c r="A533" i="31" s="1"/>
  <c r="A549" i="31" s="1"/>
  <c r="A565" i="31" s="1"/>
  <c r="B515" i="31"/>
  <c r="Q512" i="31"/>
  <c r="W510" i="31"/>
  <c r="I507" i="31"/>
  <c r="I523" i="31" s="1"/>
  <c r="I539" i="31" s="1"/>
  <c r="I555" i="31" s="1"/>
  <c r="I571" i="31" s="1"/>
  <c r="B512" i="31"/>
  <c r="K517" i="31"/>
  <c r="K533" i="31" s="1"/>
  <c r="K549" i="31" s="1"/>
  <c r="K565" i="31" s="1"/>
  <c r="F512" i="31"/>
  <c r="F509" i="31"/>
  <c r="S513" i="31"/>
  <c r="F513" i="31"/>
  <c r="I511" i="31"/>
  <c r="W512" i="31"/>
  <c r="G517" i="31"/>
  <c r="G533" i="31" s="1"/>
  <c r="G549" i="31" s="1"/>
  <c r="G565" i="31" s="1"/>
  <c r="G581" i="31" s="1"/>
  <c r="B510" i="31"/>
  <c r="N507" i="31"/>
  <c r="N523" i="31" s="1"/>
  <c r="N539" i="31" s="1"/>
  <c r="N555" i="31" s="1"/>
  <c r="B511" i="31"/>
  <c r="F510" i="31"/>
  <c r="T510" i="31"/>
  <c r="S511" i="31"/>
  <c r="I515" i="31"/>
  <c r="T514" i="31"/>
  <c r="Q510" i="31"/>
  <c r="G505" i="31"/>
  <c r="G521" i="31" s="1"/>
  <c r="G537" i="31" s="1"/>
  <c r="G553" i="31" s="1"/>
  <c r="A514" i="31"/>
  <c r="Q515" i="31"/>
  <c r="W515" i="31"/>
  <c r="T512" i="31"/>
  <c r="X515" i="31"/>
  <c r="G507" i="31"/>
  <c r="G523" i="31" s="1"/>
  <c r="G539" i="31" s="1"/>
  <c r="G555" i="31" s="1"/>
  <c r="G571" i="31" s="1"/>
  <c r="S509" i="31"/>
  <c r="D505" i="31"/>
  <c r="D521" i="31" s="1"/>
  <c r="D537" i="31" s="1"/>
  <c r="D553" i="31" s="1"/>
  <c r="F511" i="31"/>
  <c r="T515" i="31"/>
  <c r="B509" i="31"/>
  <c r="A511" i="31"/>
  <c r="I510" i="31"/>
  <c r="F507" i="31"/>
  <c r="F523" i="31" s="1"/>
  <c r="F539" i="31" s="1"/>
  <c r="F555" i="31" s="1"/>
  <c r="B514" i="31"/>
  <c r="A507" i="31"/>
  <c r="A523" i="31" s="1"/>
  <c r="A539" i="31" s="1"/>
  <c r="A555" i="31" s="1"/>
  <c r="Q509" i="31"/>
  <c r="U512" i="31"/>
  <c r="U510" i="31"/>
  <c r="A510" i="31"/>
  <c r="I513" i="31"/>
  <c r="I509" i="31"/>
  <c r="I516" i="31"/>
  <c r="W511" i="31"/>
  <c r="S514" i="31"/>
  <c r="W514" i="31"/>
  <c r="U511" i="31"/>
  <c r="A509" i="31"/>
  <c r="S515" i="31"/>
  <c r="U515" i="31"/>
  <c r="U513" i="31"/>
  <c r="W513" i="31" s="1"/>
  <c r="I512" i="31"/>
  <c r="X514" i="31"/>
  <c r="F516" i="31"/>
  <c r="B513" i="31"/>
  <c r="I517" i="31"/>
  <c r="I533" i="31" s="1"/>
  <c r="I549" i="31" s="1"/>
  <c r="I565" i="31" s="1"/>
  <c r="A513" i="31"/>
  <c r="T511" i="31"/>
  <c r="D517" i="31"/>
  <c r="D533" i="31" s="1"/>
  <c r="D549" i="31" s="1"/>
  <c r="D565" i="31" s="1"/>
  <c r="D581" i="31" s="1"/>
  <c r="Q513" i="31"/>
  <c r="T513" i="31"/>
  <c r="U575" i="31"/>
  <c r="T576" i="31"/>
  <c r="B575" i="31"/>
  <c r="A571" i="31"/>
  <c r="B578" i="31"/>
  <c r="Q576" i="31"/>
  <c r="I577" i="31"/>
  <c r="I581" i="31"/>
  <c r="F579" i="31"/>
  <c r="T577" i="31"/>
  <c r="F575" i="31"/>
  <c r="F576" i="31"/>
  <c r="S576" i="31"/>
  <c r="W575" i="31"/>
  <c r="F571" i="31"/>
  <c r="A580" i="31"/>
  <c r="T573" i="31"/>
  <c r="B577" i="31"/>
  <c r="U576" i="31"/>
  <c r="A574" i="31"/>
  <c r="I573" i="31"/>
  <c r="A576" i="31"/>
  <c r="K581" i="31"/>
  <c r="A577" i="31"/>
  <c r="U574" i="31"/>
  <c r="Q574" i="31"/>
  <c r="S577" i="31"/>
  <c r="I579" i="31"/>
  <c r="W579" i="31"/>
  <c r="W576" i="31"/>
  <c r="D569" i="31"/>
  <c r="F573" i="31"/>
  <c r="A581" i="31"/>
  <c r="B574" i="31"/>
  <c r="Q573" i="31"/>
  <c r="B573" i="31"/>
  <c r="I580" i="31"/>
  <c r="I574" i="31"/>
  <c r="U573" i="31"/>
  <c r="G569" i="31"/>
  <c r="S578" i="31"/>
  <c r="Q577" i="31"/>
  <c r="T575" i="31"/>
  <c r="S575" i="31"/>
  <c r="F580" i="31"/>
  <c r="W574" i="31"/>
  <c r="A573" i="31"/>
  <c r="Q578" i="31"/>
  <c r="A578" i="31"/>
  <c r="S574" i="31"/>
  <c r="S573" i="31"/>
  <c r="Q575" i="31"/>
  <c r="I578" i="31"/>
  <c r="I576" i="31"/>
  <c r="T578" i="31"/>
  <c r="U577" i="31"/>
  <c r="T574" i="31"/>
  <c r="B579" i="31"/>
  <c r="A575" i="31"/>
  <c r="K571" i="31"/>
  <c r="U578" i="31"/>
  <c r="S579" i="31"/>
  <c r="N571" i="31"/>
  <c r="T579" i="31"/>
  <c r="U579" i="31"/>
  <c r="W573" i="31"/>
  <c r="W577" i="31"/>
  <c r="F577" i="31"/>
  <c r="F574" i="31"/>
  <c r="Q579" i="31"/>
  <c r="F578" i="31"/>
  <c r="A579" i="31"/>
  <c r="B576" i="31"/>
  <c r="I575" i="31"/>
  <c r="W578" i="31"/>
  <c r="F418" i="30"/>
  <c r="I418" i="30"/>
  <c r="I455" i="30"/>
  <c r="I507" i="30"/>
  <c r="I521" i="30"/>
  <c r="X362" i="30"/>
  <c r="I428" i="30"/>
  <c r="I435" i="30"/>
  <c r="I260" i="25"/>
  <c r="I522" i="30"/>
  <c r="I504" i="30"/>
  <c r="X249" i="25"/>
  <c r="J926" i="34"/>
  <c r="C970" i="34" s="1"/>
  <c r="I265" i="25"/>
  <c r="I463" i="30"/>
  <c r="X361" i="30"/>
  <c r="I417" i="30"/>
  <c r="I268" i="25"/>
  <c r="X384" i="30"/>
  <c r="I408" i="30"/>
  <c r="I478" i="30"/>
  <c r="I501" i="30"/>
  <c r="I456" i="30"/>
  <c r="U557" i="31"/>
  <c r="T561" i="31"/>
  <c r="U559" i="31"/>
  <c r="B561" i="31"/>
  <c r="B563" i="31"/>
  <c r="X560" i="31"/>
  <c r="W560" i="31"/>
  <c r="A557" i="31"/>
  <c r="S557" i="31"/>
  <c r="T562" i="31"/>
  <c r="A563" i="31"/>
  <c r="I564" i="31"/>
  <c r="X559" i="31"/>
  <c r="X561" i="31"/>
  <c r="X557" i="31"/>
  <c r="B562" i="31"/>
  <c r="Q557" i="31"/>
  <c r="T563" i="31"/>
  <c r="Q560" i="31"/>
  <c r="S561" i="31"/>
  <c r="F564" i="31"/>
  <c r="X562" i="31"/>
  <c r="T557" i="31"/>
  <c r="A562" i="31"/>
  <c r="T560" i="31"/>
  <c r="W559" i="31"/>
  <c r="A558" i="31"/>
  <c r="I562" i="31"/>
  <c r="I557" i="31"/>
  <c r="B558" i="31"/>
  <c r="F558" i="31"/>
  <c r="F563" i="31"/>
  <c r="B559" i="31"/>
  <c r="T558" i="31"/>
  <c r="F557" i="31"/>
  <c r="A559" i="31"/>
  <c r="U563" i="31"/>
  <c r="S559" i="31"/>
  <c r="Q558" i="31"/>
  <c r="Q561" i="31"/>
  <c r="S563" i="31"/>
  <c r="I563" i="31"/>
  <c r="W563" i="31"/>
  <c r="F561" i="31"/>
  <c r="Q559" i="31"/>
  <c r="T559" i="31"/>
  <c r="U561" i="31"/>
  <c r="S558" i="31"/>
  <c r="W558" i="31" s="1"/>
  <c r="I559" i="31"/>
  <c r="B560" i="31"/>
  <c r="A561" i="31"/>
  <c r="U560" i="31"/>
  <c r="B557" i="31"/>
  <c r="F562" i="31"/>
  <c r="F560" i="31"/>
  <c r="I561" i="31"/>
  <c r="X563" i="31"/>
  <c r="Q563" i="31"/>
  <c r="U558" i="31"/>
  <c r="A560" i="31"/>
  <c r="W561" i="31"/>
  <c r="Q562" i="31"/>
  <c r="I560" i="31"/>
  <c r="S560" i="31"/>
  <c r="U562" i="31"/>
  <c r="W562" i="31" s="1"/>
  <c r="S562" i="31"/>
  <c r="F559" i="31"/>
  <c r="W557" i="31"/>
  <c r="I558" i="31"/>
  <c r="X558" i="31"/>
  <c r="I499" i="30"/>
  <c r="I500" i="30"/>
  <c r="I460" i="30"/>
  <c r="J857" i="34"/>
  <c r="C901" i="34" s="1"/>
  <c r="X242" i="25"/>
  <c r="I438" i="30"/>
  <c r="X239" i="28"/>
  <c r="F517" i="30"/>
  <c r="X507" i="30"/>
  <c r="X439" i="30"/>
  <c r="X503" i="30"/>
  <c r="X496" i="30"/>
  <c r="X502" i="30"/>
  <c r="X406" i="30"/>
  <c r="X409" i="30"/>
  <c r="X438" i="30"/>
  <c r="X266" i="25"/>
  <c r="X429" i="30"/>
  <c r="X408" i="30"/>
  <c r="X483" i="30"/>
  <c r="X427" i="30"/>
  <c r="X268" i="25"/>
  <c r="X265" i="25"/>
  <c r="X432" i="30"/>
  <c r="X436" i="30"/>
  <c r="X508" i="30"/>
  <c r="X501" i="30"/>
  <c r="X485" i="30"/>
  <c r="X260" i="25"/>
  <c r="X264" i="25"/>
  <c r="X437" i="30"/>
  <c r="X415" i="30"/>
  <c r="X269" i="25"/>
  <c r="X479" i="30"/>
  <c r="X455" i="30"/>
  <c r="X414" i="30"/>
  <c r="X481" i="30"/>
  <c r="X459" i="30"/>
  <c r="X453" i="30"/>
  <c r="X462" i="30"/>
  <c r="X416" i="30"/>
  <c r="X428" i="30"/>
  <c r="H1340" i="34"/>
  <c r="X474" i="30"/>
  <c r="X452" i="30"/>
  <c r="X267" i="25"/>
  <c r="X475" i="30"/>
  <c r="X263" i="25"/>
  <c r="X451" i="30"/>
  <c r="X477" i="30"/>
  <c r="X476" i="30"/>
  <c r="X262" i="25"/>
  <c r="X480" i="30"/>
  <c r="X478" i="30"/>
  <c r="H941" i="34"/>
  <c r="X482" i="30"/>
  <c r="X454" i="30"/>
  <c r="X407" i="30"/>
  <c r="X484" i="30"/>
  <c r="X461" i="30"/>
  <c r="X460" i="30"/>
  <c r="H1271" i="34"/>
  <c r="X473" i="30"/>
  <c r="W487" i="30"/>
  <c r="X261" i="25"/>
  <c r="X450" i="30"/>
  <c r="A2723" i="34"/>
  <c r="N204" i="28"/>
  <c r="X511" i="31"/>
  <c r="H2208" i="34"/>
  <c r="X529" i="31"/>
  <c r="X510" i="31"/>
  <c r="X516" i="31" s="1"/>
  <c r="X509" i="31"/>
  <c r="X543" i="31"/>
  <c r="X528" i="31"/>
  <c r="H2415" i="34"/>
  <c r="X512" i="31"/>
  <c r="X545" i="31"/>
  <c r="R237" i="28"/>
  <c r="K237" i="28" s="1"/>
  <c r="G237" i="28"/>
  <c r="G236" i="28"/>
  <c r="R236" i="28"/>
  <c r="K236" i="28" s="1"/>
  <c r="X527" i="31"/>
  <c r="X532" i="31" s="1"/>
  <c r="H2277" i="34"/>
  <c r="X542" i="31"/>
  <c r="X547" i="31"/>
  <c r="X531" i="31"/>
  <c r="X546" i="31"/>
  <c r="H2346" i="34"/>
  <c r="H2484" i="34"/>
  <c r="X544" i="31"/>
  <c r="N200" i="28"/>
  <c r="V200" i="28" s="1"/>
  <c r="N202" i="28"/>
  <c r="N205" i="28"/>
  <c r="V205" i="28" s="1"/>
  <c r="M237" i="28"/>
  <c r="V207" i="28"/>
  <c r="X527" i="30"/>
  <c r="X525" i="30"/>
  <c r="X526" i="30"/>
  <c r="X497" i="30"/>
  <c r="X577" i="31"/>
  <c r="X504" i="30"/>
  <c r="X500" i="30"/>
  <c r="X506" i="30"/>
  <c r="X505" i="30"/>
  <c r="X573" i="31"/>
  <c r="X578" i="31"/>
  <c r="I593" i="31"/>
  <c r="I594" i="31"/>
  <c r="X574" i="31"/>
  <c r="I595" i="31"/>
  <c r="I592" i="31"/>
  <c r="X575" i="31"/>
  <c r="I591" i="31"/>
  <c r="I533" i="30"/>
  <c r="F533" i="30"/>
  <c r="I596" i="31"/>
  <c r="F596" i="31"/>
  <c r="X579" i="31"/>
  <c r="X576" i="31"/>
  <c r="I590" i="31"/>
  <c r="I589" i="31"/>
  <c r="A613" i="31"/>
  <c r="K601" i="31"/>
  <c r="A603" i="31"/>
  <c r="N603" i="31"/>
  <c r="K603" i="31"/>
  <c r="B426" i="25"/>
  <c r="B603" i="31"/>
  <c r="I613" i="31"/>
  <c r="I603" i="31"/>
  <c r="A650" i="23"/>
  <c r="D601" i="31"/>
  <c r="A601" i="31"/>
  <c r="G613" i="31"/>
  <c r="K362" i="28"/>
  <c r="B382" i="28"/>
  <c r="G603" i="31"/>
  <c r="B632" i="31"/>
  <c r="M603" i="31"/>
  <c r="M613" i="31"/>
  <c r="K613" i="31"/>
  <c r="A612" i="31"/>
  <c r="X564" i="31"/>
  <c r="F603" i="31"/>
  <c r="D613" i="31"/>
  <c r="G601" i="31"/>
  <c r="A598" i="33"/>
  <c r="AR42" i="32"/>
  <c r="AR30" i="27"/>
  <c r="X530" i="30"/>
  <c r="X520" i="30"/>
  <c r="X519" i="30"/>
  <c r="X531" i="30"/>
  <c r="X523" i="30"/>
  <c r="X529" i="30"/>
  <c r="X521" i="30"/>
  <c r="X528" i="30"/>
  <c r="X522" i="30"/>
  <c r="I554" i="30"/>
  <c r="I550" i="30"/>
  <c r="I546" i="30"/>
  <c r="I542" i="30"/>
  <c r="I547" i="30"/>
  <c r="I552" i="30"/>
  <c r="I548" i="30"/>
  <c r="I544" i="30"/>
  <c r="I549" i="30"/>
  <c r="I543" i="30"/>
  <c r="I551" i="30"/>
  <c r="I545" i="30"/>
  <c r="I555" i="30"/>
  <c r="C560" i="30"/>
  <c r="D560" i="30"/>
  <c r="E560" i="30"/>
  <c r="A560" i="30"/>
  <c r="A462" i="26"/>
  <c r="F605" i="31"/>
  <c r="W591" i="31"/>
  <c r="Q610" i="31"/>
  <c r="F610" i="31"/>
  <c r="S609" i="31"/>
  <c r="S611" i="31"/>
  <c r="B607" i="31"/>
  <c r="U605" i="31"/>
  <c r="F607" i="31"/>
  <c r="A611" i="31"/>
  <c r="T607" i="31"/>
  <c r="T605" i="31"/>
  <c r="A608" i="31"/>
  <c r="Q607" i="31"/>
  <c r="B611" i="31"/>
  <c r="W593" i="31"/>
  <c r="F609" i="31"/>
  <c r="T610" i="31"/>
  <c r="Q608" i="31"/>
  <c r="W595" i="31"/>
  <c r="T606" i="31"/>
  <c r="W589" i="31"/>
  <c r="B608" i="31"/>
  <c r="T609" i="31"/>
  <c r="B610" i="31"/>
  <c r="U609" i="31"/>
  <c r="U608" i="31"/>
  <c r="B605" i="31"/>
  <c r="F608" i="31"/>
  <c r="F606" i="31"/>
  <c r="S610" i="31"/>
  <c r="A606" i="31"/>
  <c r="Q609" i="31"/>
  <c r="S605" i="31"/>
  <c r="T608" i="31"/>
  <c r="Q606" i="31"/>
  <c r="Q611" i="31"/>
  <c r="U607" i="31"/>
  <c r="B606" i="31"/>
  <c r="S606" i="31"/>
  <c r="W592" i="31"/>
  <c r="U611" i="31"/>
  <c r="A607" i="31"/>
  <c r="U606" i="31"/>
  <c r="S607" i="31"/>
  <c r="A605" i="31"/>
  <c r="T611" i="31"/>
  <c r="U610" i="31"/>
  <c r="W594" i="31"/>
  <c r="B609" i="31"/>
  <c r="Q605" i="31"/>
  <c r="W590" i="31"/>
  <c r="S608" i="31"/>
  <c r="A610" i="31"/>
  <c r="A609" i="31"/>
  <c r="F611" i="31"/>
  <c r="A568" i="30"/>
  <c r="T565" i="30"/>
  <c r="F543" i="30"/>
  <c r="F544" i="30"/>
  <c r="F551" i="30"/>
  <c r="S570" i="30"/>
  <c r="P482" i="30"/>
  <c r="A577" i="30"/>
  <c r="S573" i="30"/>
  <c r="F554" i="30"/>
  <c r="F545" i="30"/>
  <c r="A572" i="30"/>
  <c r="W547" i="30"/>
  <c r="F555" i="30"/>
  <c r="P481" i="30"/>
  <c r="A570" i="30"/>
  <c r="P477" i="30"/>
  <c r="U577" i="30"/>
  <c r="B572" i="30"/>
  <c r="U578" i="30"/>
  <c r="P473" i="30"/>
  <c r="B569" i="30"/>
  <c r="P475" i="30"/>
  <c r="P483" i="30"/>
  <c r="T574" i="30"/>
  <c r="F573" i="30"/>
  <c r="S574" i="30"/>
  <c r="P474" i="30"/>
  <c r="W554" i="30"/>
  <c r="A565" i="30"/>
  <c r="T570" i="30"/>
  <c r="F549" i="30"/>
  <c r="A576" i="30"/>
  <c r="A574" i="30"/>
  <c r="A567" i="30"/>
  <c r="F572" i="30"/>
  <c r="B568" i="30"/>
  <c r="B566" i="30"/>
  <c r="B571" i="30"/>
  <c r="A578" i="30"/>
  <c r="F552" i="30"/>
  <c r="W552" i="30"/>
  <c r="S576" i="30"/>
  <c r="W550" i="30"/>
  <c r="F578" i="30"/>
  <c r="W542" i="30"/>
  <c r="T566" i="30"/>
  <c r="A575" i="30"/>
  <c r="B573" i="30"/>
  <c r="S578" i="30"/>
  <c r="P486" i="30"/>
  <c r="M486" i="30" s="1"/>
  <c r="N486" i="30" s="1"/>
  <c r="W524" i="30"/>
  <c r="F566" i="30"/>
  <c r="U567" i="30"/>
  <c r="S569" i="30"/>
  <c r="U566" i="30"/>
  <c r="W553" i="30"/>
  <c r="W549" i="30"/>
  <c r="B548" i="30"/>
  <c r="W498" i="30"/>
  <c r="W499" i="30"/>
  <c r="B574" i="30"/>
  <c r="S565" i="30"/>
  <c r="F567" i="30"/>
  <c r="T573" i="30"/>
  <c r="W545" i="30"/>
  <c r="T572" i="30"/>
  <c r="P478" i="30"/>
  <c r="F547" i="30"/>
  <c r="P479" i="30"/>
  <c r="P485" i="30"/>
  <c r="W548" i="30"/>
  <c r="W543" i="30"/>
  <c r="W546" i="30"/>
  <c r="P476" i="30"/>
  <c r="T576" i="30"/>
  <c r="S567" i="30"/>
  <c r="T568" i="30"/>
  <c r="U576" i="30"/>
  <c r="B551" i="30"/>
  <c r="A551" i="30"/>
  <c r="F574" i="30"/>
  <c r="U571" i="30"/>
  <c r="P480" i="30"/>
  <c r="W551" i="30"/>
  <c r="S575" i="30"/>
  <c r="B565" i="30"/>
  <c r="T553" i="30"/>
  <c r="U572" i="30"/>
  <c r="U568" i="30"/>
  <c r="A573" i="30"/>
  <c r="B577" i="30"/>
  <c r="B567" i="30"/>
  <c r="B578" i="30"/>
  <c r="F548" i="30"/>
  <c r="P484" i="30"/>
  <c r="B575" i="30"/>
  <c r="U573" i="30"/>
  <c r="U569" i="30"/>
  <c r="T575" i="30"/>
  <c r="B552" i="30"/>
  <c r="A569" i="30"/>
  <c r="W544" i="30"/>
  <c r="A571" i="30"/>
  <c r="T567" i="30"/>
  <c r="F550" i="30"/>
  <c r="S566" i="30"/>
  <c r="F546" i="30"/>
  <c r="J1408" i="34"/>
  <c r="F106" i="29"/>
  <c r="A1326" i="34"/>
  <c r="C459" i="23"/>
  <c r="C427" i="23"/>
  <c r="P457" i="30"/>
  <c r="F303" i="25"/>
  <c r="S254" i="28"/>
  <c r="Q324" i="28"/>
  <c r="T303" i="28"/>
  <c r="B383" i="25"/>
  <c r="S324" i="25"/>
  <c r="F288" i="28"/>
  <c r="S336" i="28"/>
  <c r="B364" i="25"/>
  <c r="S395" i="25"/>
  <c r="A401" i="25"/>
  <c r="F359" i="28"/>
  <c r="H517" i="23"/>
  <c r="A539" i="23"/>
  <c r="B299" i="25"/>
  <c r="A344" i="25"/>
  <c r="U326" i="28"/>
  <c r="P382" i="30"/>
  <c r="A270" i="28"/>
  <c r="Q382" i="25"/>
  <c r="P235" i="28"/>
  <c r="P364" i="30"/>
  <c r="Q283" i="25"/>
  <c r="U286" i="28"/>
  <c r="S341" i="28"/>
  <c r="C297" i="29"/>
  <c r="Q400" i="25"/>
  <c r="B366" i="28"/>
  <c r="J2743" i="34"/>
  <c r="T302" i="25"/>
  <c r="F336" i="25"/>
  <c r="B306" i="28"/>
  <c r="F274" i="28"/>
  <c r="F318" i="25"/>
  <c r="B285" i="25"/>
  <c r="T292" i="28"/>
  <c r="Q364" i="25"/>
  <c r="C524" i="23"/>
  <c r="I884" i="34"/>
  <c r="H570" i="33"/>
  <c r="U301" i="25"/>
  <c r="W253" i="28"/>
  <c r="C540" i="33"/>
  <c r="A307" i="28"/>
  <c r="U378" i="25"/>
  <c r="B320" i="25"/>
  <c r="S337" i="28"/>
  <c r="F359" i="25"/>
  <c r="A2743" i="34"/>
  <c r="H1280" i="34"/>
  <c r="A1069" i="34"/>
  <c r="A358" i="28"/>
  <c r="H1145" i="34"/>
  <c r="Q355" i="28"/>
  <c r="A254" i="28"/>
  <c r="Q337" i="25"/>
  <c r="A306" i="28"/>
  <c r="A273" i="28"/>
  <c r="U324" i="25"/>
  <c r="U287" i="25"/>
  <c r="B337" i="28"/>
  <c r="F357" i="25"/>
  <c r="C482" i="23"/>
  <c r="H1276" i="34"/>
  <c r="S396" i="25"/>
  <c r="J197" i="29"/>
  <c r="C1362" i="34"/>
  <c r="J2741" i="34"/>
  <c r="F304" i="25"/>
  <c r="U257" i="28"/>
  <c r="C538" i="33"/>
  <c r="Q323" i="28"/>
  <c r="F269" i="28"/>
  <c r="F375" i="25"/>
  <c r="U281" i="25"/>
  <c r="Q337" i="28"/>
  <c r="A355" i="25"/>
  <c r="C1141" i="34"/>
  <c r="A1282" i="34"/>
  <c r="A1084" i="34"/>
  <c r="T299" i="25"/>
  <c r="S345" i="25"/>
  <c r="Q320" i="28"/>
  <c r="Q308" i="28"/>
  <c r="S379" i="25"/>
  <c r="Q326" i="25"/>
  <c r="A1327" i="34"/>
  <c r="A525" i="33"/>
  <c r="F363" i="25"/>
  <c r="C1215" i="34"/>
  <c r="C2758" i="34"/>
  <c r="C567" i="33"/>
  <c r="H575" i="33"/>
  <c r="H516" i="23"/>
  <c r="T359" i="28"/>
  <c r="M617" i="31"/>
  <c r="B408" i="25"/>
  <c r="F256" i="28"/>
  <c r="B337" i="25"/>
  <c r="A319" i="28"/>
  <c r="T274" i="28"/>
  <c r="T374" i="25"/>
  <c r="B318" i="25"/>
  <c r="U290" i="28"/>
  <c r="A337" i="28"/>
  <c r="H507" i="33"/>
  <c r="C2616" i="34"/>
  <c r="E617" i="31"/>
  <c r="C1614" i="34"/>
  <c r="J2747" i="34"/>
  <c r="A1213" i="34"/>
  <c r="H1476" i="34"/>
  <c r="Q343" i="25"/>
  <c r="F324" i="28"/>
  <c r="Q275" i="28"/>
  <c r="T381" i="25"/>
  <c r="W324" i="25"/>
  <c r="Q292" i="28"/>
  <c r="U340" i="28"/>
  <c r="U359" i="25"/>
  <c r="A1016" i="34"/>
  <c r="C1348" i="34"/>
  <c r="C1278" i="34"/>
  <c r="Q396" i="25"/>
  <c r="C1226" i="34"/>
  <c r="U306" i="25"/>
  <c r="A256" i="28"/>
  <c r="C542" i="33"/>
  <c r="F303" i="28"/>
  <c r="A271" i="28"/>
  <c r="A319" i="25"/>
  <c r="S281" i="25"/>
  <c r="A289" i="28"/>
  <c r="Q357" i="25"/>
  <c r="C1157" i="34"/>
  <c r="C540" i="23"/>
  <c r="C2549" i="34"/>
  <c r="C1291" i="34"/>
  <c r="H1138" i="34"/>
  <c r="C1296" i="34"/>
  <c r="A1360" i="34"/>
  <c r="A1224" i="34"/>
  <c r="A1297" i="34"/>
  <c r="H1360" i="34"/>
  <c r="A316" i="29"/>
  <c r="C1294" i="34"/>
  <c r="H1069" i="34"/>
  <c r="T291" i="28"/>
  <c r="J813" i="34"/>
  <c r="J199" i="29"/>
  <c r="S306" i="25"/>
  <c r="Q252" i="28"/>
  <c r="A345" i="25"/>
  <c r="C401" i="23"/>
  <c r="I296" i="29"/>
  <c r="S338" i="28"/>
  <c r="J810" i="34"/>
  <c r="A1018" i="34"/>
  <c r="C1158" i="34"/>
  <c r="H1077" i="34"/>
  <c r="A2549" i="34"/>
  <c r="A1076" i="34"/>
  <c r="A1614" i="34"/>
  <c r="S341" i="25"/>
  <c r="T302" i="28"/>
  <c r="U355" i="25"/>
  <c r="C526" i="23"/>
  <c r="U353" i="28"/>
  <c r="I2744" i="34"/>
  <c r="Q360" i="28"/>
  <c r="A1015" i="34"/>
  <c r="H1363" i="34"/>
  <c r="A303" i="29"/>
  <c r="H1015" i="34"/>
  <c r="H1196" i="34"/>
  <c r="C436" i="23"/>
  <c r="W433" i="30"/>
  <c r="P458" i="30"/>
  <c r="T301" i="25"/>
  <c r="A342" i="25"/>
  <c r="F325" i="28"/>
  <c r="F304" i="28"/>
  <c r="S376" i="25"/>
  <c r="U322" i="25"/>
  <c r="W288" i="28"/>
  <c r="T337" i="28"/>
  <c r="C1406" i="34"/>
  <c r="U358" i="28"/>
  <c r="H2747" i="34"/>
  <c r="S401" i="25"/>
  <c r="C576" i="33"/>
  <c r="F356" i="28"/>
  <c r="B397" i="25"/>
  <c r="C1189" i="34"/>
  <c r="Q341" i="25"/>
  <c r="T306" i="28"/>
  <c r="P383" i="30"/>
  <c r="T275" i="28"/>
  <c r="T323" i="25"/>
  <c r="P238" i="28"/>
  <c r="P363" i="30"/>
  <c r="Q282" i="25"/>
  <c r="B292" i="28"/>
  <c r="A1268" i="34"/>
  <c r="C512" i="33"/>
  <c r="E408" i="25"/>
  <c r="U253" i="28"/>
  <c r="A340" i="25"/>
  <c r="Q302" i="28"/>
  <c r="C448" i="23"/>
  <c r="F323" i="25"/>
  <c r="U279" i="25"/>
  <c r="H525" i="33"/>
  <c r="Q360" i="25"/>
  <c r="B400" i="25"/>
  <c r="H2620" i="34"/>
  <c r="B306" i="25"/>
  <c r="Q339" i="25"/>
  <c r="A321" i="28"/>
  <c r="T308" i="28"/>
  <c r="F378" i="25"/>
  <c r="F317" i="25"/>
  <c r="T279" i="25"/>
  <c r="F339" i="28"/>
  <c r="Q356" i="25"/>
  <c r="F365" i="28"/>
  <c r="A1228" i="34"/>
  <c r="J202" i="29"/>
  <c r="P321" i="28"/>
  <c r="C1538" i="34"/>
  <c r="U299" i="25"/>
  <c r="B254" i="28"/>
  <c r="F337" i="25"/>
  <c r="Q304" i="28"/>
  <c r="W271" i="28"/>
  <c r="U323" i="25"/>
  <c r="B279" i="25"/>
  <c r="S343" i="28"/>
  <c r="A359" i="25"/>
  <c r="I2747" i="34"/>
  <c r="J881" i="34"/>
  <c r="A1613" i="34"/>
  <c r="U396" i="25"/>
  <c r="I882" i="34"/>
  <c r="C2757" i="34"/>
  <c r="P253" i="28"/>
  <c r="J808" i="34"/>
  <c r="T305" i="25"/>
  <c r="U254" i="28"/>
  <c r="A543" i="33"/>
  <c r="Q309" i="28"/>
  <c r="T272" i="28"/>
  <c r="S319" i="25"/>
  <c r="F282" i="25"/>
  <c r="B339" i="28"/>
  <c r="A363" i="25"/>
  <c r="C1279" i="34"/>
  <c r="S355" i="28"/>
  <c r="S256" i="28"/>
  <c r="F345" i="25"/>
  <c r="A325" i="28"/>
  <c r="S303" i="28"/>
  <c r="A381" i="25"/>
  <c r="Q318" i="25"/>
  <c r="Q288" i="28"/>
  <c r="F336" i="28"/>
  <c r="B355" i="25"/>
  <c r="F396" i="25"/>
  <c r="C2746" i="34"/>
  <c r="A2741" i="34"/>
  <c r="B354" i="28"/>
  <c r="B396" i="25"/>
  <c r="A1608" i="34"/>
  <c r="Q258" i="28"/>
  <c r="T340" i="25"/>
  <c r="S325" i="28"/>
  <c r="F268" i="28"/>
  <c r="Q379" i="25"/>
  <c r="T287" i="25"/>
  <c r="T289" i="28"/>
  <c r="T358" i="25"/>
  <c r="C558" i="33"/>
  <c r="A1225" i="34"/>
  <c r="F397" i="25"/>
  <c r="A2746" i="34"/>
  <c r="A1089" i="34"/>
  <c r="H1283" i="34"/>
  <c r="C1292" i="34"/>
  <c r="A1348" i="34"/>
  <c r="C1436" i="34"/>
  <c r="U255" i="28"/>
  <c r="T345" i="25"/>
  <c r="S321" i="28"/>
  <c r="U270" i="28"/>
  <c r="B379" i="25"/>
  <c r="A1467" i="34"/>
  <c r="F292" i="28"/>
  <c r="Q339" i="28"/>
  <c r="T357" i="25"/>
  <c r="C572" i="33"/>
  <c r="A1072" i="34"/>
  <c r="I2758" i="34"/>
  <c r="I949" i="34"/>
  <c r="H1019" i="34"/>
  <c r="C1603" i="34"/>
  <c r="T394" i="25"/>
  <c r="T300" i="25"/>
  <c r="T258" i="28"/>
  <c r="C539" i="33"/>
  <c r="F308" i="28"/>
  <c r="H305" i="29" s="1"/>
  <c r="Q376" i="25"/>
  <c r="S321" i="25"/>
  <c r="T283" i="25"/>
  <c r="A291" i="28"/>
  <c r="A357" i="25"/>
  <c r="H1087" i="34"/>
  <c r="H2621" i="34"/>
  <c r="F399" i="25"/>
  <c r="A357" i="28"/>
  <c r="A2547" i="34"/>
  <c r="H285" i="29"/>
  <c r="C289" i="29"/>
  <c r="H1229" i="34"/>
  <c r="C1155" i="34"/>
  <c r="C1345" i="34"/>
  <c r="A1277" i="34"/>
  <c r="H2743" i="34"/>
  <c r="H457" i="23"/>
  <c r="A322" i="28"/>
  <c r="T307" i="28"/>
  <c r="Q377" i="25"/>
  <c r="I880" i="34"/>
  <c r="T336" i="28"/>
  <c r="C1227" i="34"/>
  <c r="W456" i="30"/>
  <c r="H452" i="23"/>
  <c r="W412" i="30"/>
  <c r="P456" i="30"/>
  <c r="S303" i="25"/>
  <c r="F340" i="25"/>
  <c r="S319" i="28"/>
  <c r="F271" i="28"/>
  <c r="B377" i="25"/>
  <c r="T285" i="25"/>
  <c r="A287" i="28"/>
  <c r="Q336" i="28"/>
  <c r="H511" i="33"/>
  <c r="C1084" i="34"/>
  <c r="I567" i="33"/>
  <c r="C1610" i="34"/>
  <c r="H2744" i="34"/>
  <c r="U399" i="25"/>
  <c r="I617" i="31"/>
  <c r="B251" i="28"/>
  <c r="I879" i="34"/>
  <c r="S304" i="28"/>
  <c r="P386" i="30"/>
  <c r="S271" i="28"/>
  <c r="A323" i="25"/>
  <c r="P239" i="28"/>
  <c r="P368" i="30"/>
  <c r="A280" i="25"/>
  <c r="H524" i="33"/>
  <c r="S361" i="25"/>
  <c r="A506" i="33"/>
  <c r="H2742" i="34"/>
  <c r="C1222" i="34"/>
  <c r="A356" i="28"/>
  <c r="A251" i="28"/>
  <c r="Q338" i="25"/>
  <c r="F306" i="28"/>
  <c r="H303" i="29" s="1"/>
  <c r="S378" i="25"/>
  <c r="Q322" i="25"/>
  <c r="B282" i="25"/>
  <c r="H526" i="33"/>
  <c r="B360" i="25"/>
  <c r="H2617" i="34"/>
  <c r="C1354" i="34"/>
  <c r="H2759" i="34"/>
  <c r="F360" i="28"/>
  <c r="T304" i="25"/>
  <c r="B338" i="25"/>
  <c r="Q319" i="28"/>
  <c r="A308" i="28"/>
  <c r="B378" i="25"/>
  <c r="H1475" i="34"/>
  <c r="F291" i="28"/>
  <c r="B343" i="28"/>
  <c r="T361" i="25"/>
  <c r="A1227" i="34"/>
  <c r="A572" i="33"/>
  <c r="Q397" i="25"/>
  <c r="T399" i="25"/>
  <c r="H1534" i="34"/>
  <c r="C568" i="33"/>
  <c r="F307" i="25"/>
  <c r="Q256" i="28"/>
  <c r="B342" i="25"/>
  <c r="U306" i="28"/>
  <c r="U377" i="25"/>
  <c r="A318" i="25"/>
  <c r="A283" i="25"/>
  <c r="A336" i="28"/>
  <c r="A333" i="29" s="1"/>
  <c r="A482" i="23"/>
  <c r="H1224" i="34"/>
  <c r="B395" i="25"/>
  <c r="A1147" i="34"/>
  <c r="C1210" i="34"/>
  <c r="C2741" i="34"/>
  <c r="H1211" i="34"/>
  <c r="Q299" i="25"/>
  <c r="S336" i="25"/>
  <c r="H541" i="33"/>
  <c r="A303" i="28"/>
  <c r="F270" i="28"/>
  <c r="S318" i="25"/>
  <c r="S286" i="25"/>
  <c r="B340" i="28"/>
  <c r="T360" i="25"/>
  <c r="H1349" i="34"/>
  <c r="A2620" i="34"/>
  <c r="B258" i="28"/>
  <c r="C255" i="29" s="1"/>
  <c r="B344" i="25"/>
  <c r="Q321" i="28"/>
  <c r="A405" i="23"/>
  <c r="F376" i="25"/>
  <c r="Q323" i="25"/>
  <c r="U292" i="28"/>
  <c r="A341" i="28"/>
  <c r="A360" i="25"/>
  <c r="I606" i="23"/>
  <c r="F357" i="28"/>
  <c r="F402" i="25"/>
  <c r="F393" i="25"/>
  <c r="C1015" i="34"/>
  <c r="A302" i="25"/>
  <c r="F251" i="28"/>
  <c r="U341" i="25"/>
  <c r="Q322" i="28"/>
  <c r="B271" i="28"/>
  <c r="T379" i="25"/>
  <c r="Q288" i="25"/>
  <c r="S286" i="28"/>
  <c r="U360" i="25"/>
  <c r="A559" i="33"/>
  <c r="J2744" i="34"/>
  <c r="C1602" i="34"/>
  <c r="H1020" i="34"/>
  <c r="C1213" i="34"/>
  <c r="C2753" i="34"/>
  <c r="A1223" i="34"/>
  <c r="H1213" i="34"/>
  <c r="T356" i="28"/>
  <c r="U256" i="28"/>
  <c r="T337" i="25"/>
  <c r="B322" i="28"/>
  <c r="Q270" i="28"/>
  <c r="S383" i="25"/>
  <c r="B284" i="25"/>
  <c r="U287" i="28"/>
  <c r="A343" i="28"/>
  <c r="S356" i="25"/>
  <c r="A574" i="33"/>
  <c r="S398" i="25"/>
  <c r="C1360" i="34"/>
  <c r="T354" i="28"/>
  <c r="H576" i="33"/>
  <c r="J2746" i="34"/>
  <c r="U300" i="25"/>
  <c r="A1200" i="34"/>
  <c r="A320" i="28"/>
  <c r="U305" i="28"/>
  <c r="T378" i="25"/>
  <c r="B323" i="25"/>
  <c r="T282" i="25"/>
  <c r="C522" i="33"/>
  <c r="F364" i="25"/>
  <c r="A540" i="23"/>
  <c r="Q358" i="28"/>
  <c r="T355" i="28"/>
  <c r="A1605" i="34"/>
  <c r="S353" i="28"/>
  <c r="A1366" i="34"/>
  <c r="Q354" i="28"/>
  <c r="H1085" i="34"/>
  <c r="C1087" i="34"/>
  <c r="A288" i="29"/>
  <c r="H1000" i="34"/>
  <c r="C503" i="33"/>
  <c r="H1198" i="34"/>
  <c r="A1259" i="34"/>
  <c r="P388" i="30"/>
  <c r="S304" i="25"/>
  <c r="S343" i="25"/>
  <c r="F323" i="28"/>
  <c r="B268" i="28"/>
  <c r="B376" i="25"/>
  <c r="U282" i="25"/>
  <c r="B291" i="28"/>
  <c r="C288" i="29" s="1"/>
  <c r="A1339" i="34"/>
  <c r="H510" i="33"/>
  <c r="C2744" i="34"/>
  <c r="C1541" i="34"/>
  <c r="F354" i="28"/>
  <c r="T398" i="25"/>
  <c r="Q257" i="28"/>
  <c r="I216" i="29"/>
  <c r="P305" i="28"/>
  <c r="P392" i="30"/>
  <c r="A1264" i="34"/>
  <c r="U326" i="25"/>
  <c r="P241" i="28"/>
  <c r="P360" i="30"/>
  <c r="Q285" i="25"/>
  <c r="H528" i="33"/>
  <c r="U356" i="25"/>
  <c r="A554" i="33"/>
  <c r="A1144" i="34"/>
  <c r="S257" i="28"/>
  <c r="A540" i="33"/>
  <c r="F309" i="28"/>
  <c r="H306" i="29" s="1"/>
  <c r="A376" i="25"/>
  <c r="F320" i="25"/>
  <c r="Q286" i="25"/>
  <c r="B341" i="28"/>
  <c r="S360" i="25"/>
  <c r="W360" i="25" s="1"/>
  <c r="B401" i="25"/>
  <c r="S358" i="28"/>
  <c r="C2745" i="34"/>
  <c r="U393" i="25"/>
  <c r="F300" i="25"/>
  <c r="Q344" i="25"/>
  <c r="B323" i="28"/>
  <c r="Q269" i="28"/>
  <c r="A383" i="25"/>
  <c r="U286" i="25"/>
  <c r="T285" i="28"/>
  <c r="U338" i="28"/>
  <c r="H1407" i="34"/>
  <c r="C541" i="23"/>
  <c r="J201" i="29"/>
  <c r="I605" i="23"/>
  <c r="S400" i="25"/>
  <c r="A2745" i="34"/>
  <c r="T306" i="25"/>
  <c r="Q253" i="28"/>
  <c r="A539" i="33"/>
  <c r="A309" i="28"/>
  <c r="F383" i="25"/>
  <c r="Q321" i="25"/>
  <c r="C1332" i="34"/>
  <c r="B338" i="28"/>
  <c r="A509" i="33"/>
  <c r="U394" i="25"/>
  <c r="A1071" i="34"/>
  <c r="A394" i="25"/>
  <c r="A1003" i="34"/>
  <c r="H1005" i="34"/>
  <c r="B393" i="25"/>
  <c r="C1534" i="34"/>
  <c r="T303" i="25"/>
  <c r="T343" i="25"/>
  <c r="A538" i="33"/>
  <c r="A304" i="28"/>
  <c r="U269" i="28"/>
  <c r="S326" i="25"/>
  <c r="S287" i="28"/>
  <c r="Q338" i="28"/>
  <c r="A1399" i="34"/>
  <c r="C1536" i="34"/>
  <c r="H1006" i="34"/>
  <c r="H1159" i="34"/>
  <c r="A303" i="25"/>
  <c r="F252" i="28"/>
  <c r="T338" i="25"/>
  <c r="B326" i="28"/>
  <c r="S268" i="28"/>
  <c r="T375" i="25"/>
  <c r="U325" i="25"/>
  <c r="F286" i="28"/>
  <c r="B336" i="28"/>
  <c r="F360" i="25"/>
  <c r="W339" i="28"/>
  <c r="H1088" i="34"/>
  <c r="H1602" i="34"/>
  <c r="C2754" i="34"/>
  <c r="F355" i="28"/>
  <c r="S354" i="28"/>
  <c r="H1346" i="34"/>
  <c r="F305" i="25"/>
  <c r="U252" i="28"/>
  <c r="U338" i="25"/>
  <c r="B309" i="28"/>
  <c r="Q274" i="28"/>
  <c r="H1197" i="34"/>
  <c r="Q287" i="25"/>
  <c r="H558" i="33"/>
  <c r="Q395" i="25"/>
  <c r="A1606" i="34"/>
  <c r="A1604" i="34"/>
  <c r="T358" i="28"/>
  <c r="T401" i="25"/>
  <c r="S317" i="25"/>
  <c r="A285" i="25"/>
  <c r="C526" i="33"/>
  <c r="C525" i="23"/>
  <c r="H1367" i="34"/>
  <c r="J812" i="34"/>
  <c r="C1159" i="34"/>
  <c r="H1153" i="34"/>
  <c r="C1154" i="34"/>
  <c r="A1296" i="34"/>
  <c r="A1022" i="34"/>
  <c r="H1016" i="34"/>
  <c r="A322" i="29"/>
  <c r="C1229" i="34"/>
  <c r="A1159" i="34"/>
  <c r="P288" i="28"/>
  <c r="H2754" i="34"/>
  <c r="W411" i="30"/>
  <c r="H1192" i="34"/>
  <c r="I313" i="29"/>
  <c r="P387" i="30"/>
  <c r="C435" i="23"/>
  <c r="Q336" i="25"/>
  <c r="U322" i="28"/>
  <c r="U273" i="28"/>
  <c r="S374" i="25"/>
  <c r="F285" i="25"/>
  <c r="F289" i="28"/>
  <c r="Q361" i="25"/>
  <c r="A510" i="33"/>
  <c r="I881" i="34"/>
  <c r="Q394" i="25"/>
  <c r="U395" i="25"/>
  <c r="A2758" i="34"/>
  <c r="I2740" i="34"/>
  <c r="B307" i="25"/>
  <c r="F257" i="28"/>
  <c r="A1406" i="34"/>
  <c r="B307" i="28"/>
  <c r="P393" i="30"/>
  <c r="A382" i="25"/>
  <c r="S323" i="25"/>
  <c r="W323" i="25" s="1"/>
  <c r="P371" i="30"/>
  <c r="P366" i="30"/>
  <c r="Q279" i="25"/>
  <c r="C525" i="33"/>
  <c r="U363" i="25"/>
  <c r="Q353" i="28"/>
  <c r="A1615" i="34"/>
  <c r="A300" i="25"/>
  <c r="Q254" i="28"/>
  <c r="A326" i="28"/>
  <c r="B308" i="28"/>
  <c r="S375" i="25"/>
  <c r="F324" i="25"/>
  <c r="A279" i="25"/>
  <c r="F338" i="28"/>
  <c r="H335" i="29" s="1"/>
  <c r="S364" i="25"/>
  <c r="S399" i="25"/>
  <c r="U400" i="25"/>
  <c r="H2547" i="34"/>
  <c r="C1085" i="34"/>
  <c r="F301" i="25"/>
  <c r="B340" i="25"/>
  <c r="F319" i="28"/>
  <c r="A268" i="28"/>
  <c r="Q378" i="25"/>
  <c r="F287" i="25"/>
  <c r="T287" i="28"/>
  <c r="T340" i="28"/>
  <c r="I263" i="29"/>
  <c r="C543" i="23"/>
  <c r="H2616" i="34"/>
  <c r="A1607" i="34"/>
  <c r="A1612" i="34"/>
  <c r="T353" i="28"/>
  <c r="A305" i="25"/>
  <c r="A252" i="28"/>
  <c r="S320" i="28"/>
  <c r="F302" i="28"/>
  <c r="S380" i="25"/>
  <c r="F325" i="25"/>
  <c r="T290" i="28"/>
  <c r="A340" i="28"/>
  <c r="C507" i="33"/>
  <c r="H1293" i="34"/>
  <c r="H571" i="33"/>
  <c r="C1282" i="34"/>
  <c r="H2615" i="34"/>
  <c r="M408" i="25"/>
  <c r="C2621" i="34"/>
  <c r="W404" i="30"/>
  <c r="T344" i="25"/>
  <c r="C1477" i="34"/>
  <c r="Q306" i="28"/>
  <c r="Q375" i="25"/>
  <c r="S322" i="25"/>
  <c r="A285" i="28"/>
  <c r="A1465" i="34"/>
  <c r="C509" i="33"/>
  <c r="I2754" i="34"/>
  <c r="A550" i="23"/>
  <c r="A544" i="23"/>
  <c r="C337" i="29"/>
  <c r="U305" i="25"/>
  <c r="B252" i="28"/>
  <c r="F338" i="25"/>
  <c r="S326" i="28"/>
  <c r="U275" i="28"/>
  <c r="U376" i="25"/>
  <c r="A287" i="25"/>
  <c r="A288" i="28"/>
  <c r="A285" i="29" s="1"/>
  <c r="F341" i="28"/>
  <c r="A401" i="23"/>
  <c r="A570" i="33"/>
  <c r="E366" i="28"/>
  <c r="S393" i="25"/>
  <c r="H1352" i="34"/>
  <c r="A2742" i="34"/>
  <c r="T357" i="28"/>
  <c r="U303" i="25"/>
  <c r="B256" i="28"/>
  <c r="C411" i="23"/>
  <c r="S306" i="28"/>
  <c r="A275" i="28"/>
  <c r="U321" i="25"/>
  <c r="T281" i="25"/>
  <c r="H523" i="33"/>
  <c r="S363" i="25"/>
  <c r="W363" i="25" s="1"/>
  <c r="H559" i="33"/>
  <c r="I2742" i="34"/>
  <c r="A1004" i="34"/>
  <c r="A575" i="33"/>
  <c r="C518" i="23"/>
  <c r="Q307" i="25"/>
  <c r="Q255" i="28"/>
  <c r="U343" i="25"/>
  <c r="S305" i="28"/>
  <c r="Q272" i="28"/>
  <c r="A322" i="25"/>
  <c r="S282" i="25"/>
  <c r="A292" i="28"/>
  <c r="A493" i="23"/>
  <c r="H506" i="33"/>
  <c r="C1609" i="34"/>
  <c r="P287" i="28"/>
  <c r="A1365" i="34"/>
  <c r="C1153" i="34"/>
  <c r="A341" i="25"/>
  <c r="Q317" i="25"/>
  <c r="T355" i="25"/>
  <c r="C542" i="23"/>
  <c r="C323" i="29"/>
  <c r="C407" i="23"/>
  <c r="W458" i="30"/>
  <c r="A937" i="34"/>
  <c r="P389" i="30"/>
  <c r="C413" i="23"/>
  <c r="U344" i="25"/>
  <c r="T319" i="28"/>
  <c r="T269" i="28"/>
  <c r="A325" i="25"/>
  <c r="F283" i="25"/>
  <c r="A528" i="33"/>
  <c r="S359" i="25"/>
  <c r="A555" i="33"/>
  <c r="C606" i="23"/>
  <c r="S357" i="28"/>
  <c r="C1017" i="34"/>
  <c r="W270" i="28"/>
  <c r="H1533" i="34"/>
  <c r="Q306" i="25"/>
  <c r="A1267" i="34"/>
  <c r="T321" i="28"/>
  <c r="B304" i="28"/>
  <c r="P384" i="30"/>
  <c r="S381" i="25"/>
  <c r="U319" i="25"/>
  <c r="P365" i="30"/>
  <c r="P358" i="30"/>
  <c r="Q284" i="25"/>
  <c r="A342" i="28"/>
  <c r="A339" i="29" s="1"/>
  <c r="A361" i="25"/>
  <c r="H1021" i="34"/>
  <c r="C571" i="33"/>
  <c r="C570" i="33"/>
  <c r="Q304" i="25"/>
  <c r="A337" i="25"/>
  <c r="U321" i="28"/>
  <c r="T305" i="28"/>
  <c r="F379" i="25"/>
  <c r="A326" i="25"/>
  <c r="S289" i="28"/>
  <c r="F343" i="28"/>
  <c r="F358" i="25"/>
  <c r="A2546" i="34"/>
  <c r="A298" i="25"/>
  <c r="B341" i="25"/>
  <c r="U320" i="28"/>
  <c r="B272" i="28"/>
  <c r="B326" i="25"/>
  <c r="S288" i="25"/>
  <c r="S285" i="28"/>
  <c r="U336" i="28"/>
  <c r="W336" i="28" s="1"/>
  <c r="A507" i="33"/>
  <c r="A573" i="33"/>
  <c r="B356" i="28"/>
  <c r="A2747" i="34"/>
  <c r="A549" i="23"/>
  <c r="A2548" i="34"/>
  <c r="Q303" i="25"/>
  <c r="A257" i="28"/>
  <c r="F322" i="28"/>
  <c r="U302" i="28"/>
  <c r="U383" i="25"/>
  <c r="T322" i="25"/>
  <c r="B285" i="28"/>
  <c r="U362" i="25"/>
  <c r="A511" i="33"/>
  <c r="U402" i="25"/>
  <c r="I2745" i="34"/>
  <c r="Q399" i="25"/>
  <c r="A542" i="23"/>
  <c r="F407" i="25"/>
  <c r="A1000" i="34"/>
  <c r="T252" i="28"/>
  <c r="A339" i="25"/>
  <c r="S322" i="28"/>
  <c r="B305" i="28"/>
  <c r="B382" i="25"/>
  <c r="Q324" i="25"/>
  <c r="A286" i="28"/>
  <c r="A283" i="29" s="1"/>
  <c r="C245" i="29"/>
  <c r="A508" i="33"/>
  <c r="C2552" i="34"/>
  <c r="B358" i="28"/>
  <c r="S302" i="25"/>
  <c r="A255" i="28"/>
  <c r="H544" i="33"/>
  <c r="B320" i="28"/>
  <c r="T270" i="28"/>
  <c r="U379" i="25"/>
  <c r="B288" i="25"/>
  <c r="Q285" i="28"/>
  <c r="F337" i="28"/>
  <c r="H512" i="33"/>
  <c r="A1293" i="34"/>
  <c r="C1295" i="34"/>
  <c r="I2759" i="34"/>
  <c r="A1021" i="34"/>
  <c r="F401" i="25"/>
  <c r="I2756" i="34"/>
  <c r="S300" i="25"/>
  <c r="B255" i="28"/>
  <c r="H538" i="33"/>
  <c r="U303" i="28"/>
  <c r="C403" i="23"/>
  <c r="S320" i="25"/>
  <c r="B281" i="25"/>
  <c r="A524" i="33"/>
  <c r="B363" i="25"/>
  <c r="C1199" i="34"/>
  <c r="S356" i="28"/>
  <c r="T400" i="25"/>
  <c r="I2743" i="34"/>
  <c r="J216" i="29"/>
  <c r="B298" i="25"/>
  <c r="T257" i="28"/>
  <c r="A408" i="23"/>
  <c r="U308" i="28"/>
  <c r="T273" i="28"/>
  <c r="T319" i="25"/>
  <c r="F280" i="25"/>
  <c r="W287" i="28"/>
  <c r="H1199" i="34"/>
  <c r="C511" i="33"/>
  <c r="C336" i="29"/>
  <c r="P322" i="28"/>
  <c r="W379" i="25"/>
  <c r="B321" i="28"/>
  <c r="H1078" i="34"/>
  <c r="C517" i="23"/>
  <c r="A424" i="23"/>
  <c r="A1331" i="34"/>
  <c r="C425" i="23"/>
  <c r="C479" i="23"/>
  <c r="U258" i="28"/>
  <c r="S338" i="25"/>
  <c r="W338" i="25" s="1"/>
  <c r="B302" i="28"/>
  <c r="B275" i="28"/>
  <c r="T326" i="25"/>
  <c r="T280" i="25"/>
  <c r="C523" i="33"/>
  <c r="S358" i="25"/>
  <c r="H556" i="33"/>
  <c r="H2745" i="34"/>
  <c r="C2740" i="34"/>
  <c r="T360" i="28"/>
  <c r="I234" i="29"/>
  <c r="Q359" i="28"/>
  <c r="C1542" i="34"/>
  <c r="B300" i="25"/>
  <c r="T336" i="25"/>
  <c r="Q326" i="28"/>
  <c r="F307" i="28"/>
  <c r="P390" i="30"/>
  <c r="U382" i="25"/>
  <c r="T321" i="25"/>
  <c r="P359" i="30"/>
  <c r="P361" i="30"/>
  <c r="B290" i="28"/>
  <c r="T339" i="28"/>
  <c r="Q358" i="25"/>
  <c r="A396" i="25"/>
  <c r="U356" i="28"/>
  <c r="H1351" i="34"/>
  <c r="C2551" i="34"/>
  <c r="S305" i="25"/>
  <c r="F342" i="25"/>
  <c r="U319" i="28"/>
  <c r="U274" i="28"/>
  <c r="U375" i="25"/>
  <c r="A281" i="25"/>
  <c r="Q290" i="28"/>
  <c r="Q340" i="28"/>
  <c r="C471" i="23"/>
  <c r="C1007" i="34"/>
  <c r="B355" i="28"/>
  <c r="H286" i="29"/>
  <c r="S255" i="28"/>
  <c r="A338" i="25"/>
  <c r="C1193" i="34"/>
  <c r="S270" i="28"/>
  <c r="U318" i="25"/>
  <c r="B280" i="25"/>
  <c r="B286" i="28"/>
  <c r="B358" i="25"/>
  <c r="C555" i="33"/>
  <c r="A402" i="25"/>
  <c r="C573" i="33"/>
  <c r="S359" i="28"/>
  <c r="T395" i="25"/>
  <c r="C1209" i="34"/>
  <c r="T397" i="25"/>
  <c r="F302" i="25"/>
  <c r="Q340" i="25"/>
  <c r="B324" i="28"/>
  <c r="F272" i="28"/>
  <c r="B380" i="25"/>
  <c r="C1259" i="34"/>
  <c r="Q291" i="28"/>
  <c r="B356" i="25"/>
  <c r="C506" i="33"/>
  <c r="F616" i="31"/>
  <c r="H340" i="29"/>
  <c r="T393" i="25"/>
  <c r="A1005" i="34"/>
  <c r="P271" i="28"/>
  <c r="B353" i="28"/>
  <c r="A2754" i="34"/>
  <c r="W254" i="28"/>
  <c r="F341" i="25"/>
  <c r="A323" i="28"/>
  <c r="S307" i="28"/>
  <c r="T376" i="25"/>
  <c r="F322" i="25"/>
  <c r="S290" i="28"/>
  <c r="W290" i="28" s="1"/>
  <c r="U357" i="25"/>
  <c r="H560" i="33"/>
  <c r="C1535" i="34"/>
  <c r="A359" i="28"/>
  <c r="B303" i="25"/>
  <c r="F254" i="28"/>
  <c r="A541" i="33"/>
  <c r="U307" i="28"/>
  <c r="W307" i="28" s="1"/>
  <c r="Q273" i="28"/>
  <c r="U374" i="25"/>
  <c r="T284" i="25"/>
  <c r="A932" i="34"/>
  <c r="S339" i="28"/>
  <c r="C508" i="33"/>
  <c r="J884" i="34"/>
  <c r="H1139" i="34"/>
  <c r="H2757" i="34"/>
  <c r="U401" i="25"/>
  <c r="Q298" i="25"/>
  <c r="U251" i="28"/>
  <c r="H539" i="33"/>
  <c r="A305" i="28"/>
  <c r="B381" i="25"/>
  <c r="T317" i="25"/>
  <c r="S287" i="25"/>
  <c r="W287" i="25" s="1"/>
  <c r="U343" i="28"/>
  <c r="W343" i="28" s="1"/>
  <c r="B362" i="25"/>
  <c r="A1088" i="34"/>
  <c r="A1211" i="34"/>
  <c r="C1347" i="34"/>
  <c r="H1350" i="34"/>
  <c r="U359" i="28"/>
  <c r="B359" i="28"/>
  <c r="C1543" i="34"/>
  <c r="C2747" i="34"/>
  <c r="A304" i="25"/>
  <c r="S258" i="28"/>
  <c r="A542" i="33"/>
  <c r="F305" i="28"/>
  <c r="F377" i="25"/>
  <c r="Q325" i="25"/>
  <c r="F279" i="25"/>
  <c r="C528" i="33"/>
  <c r="H479" i="23"/>
  <c r="C510" i="33"/>
  <c r="H1546" i="34"/>
  <c r="C1228" i="34"/>
  <c r="A547" i="23"/>
  <c r="A1208" i="34"/>
  <c r="C550" i="23"/>
  <c r="A546" i="23"/>
  <c r="F253" i="28"/>
  <c r="F339" i="25"/>
  <c r="S323" i="28"/>
  <c r="U271" i="28"/>
  <c r="S377" i="25"/>
  <c r="I214" i="29"/>
  <c r="S292" i="28"/>
  <c r="U342" i="28"/>
  <c r="T359" i="25"/>
  <c r="C348" i="29"/>
  <c r="C1071" i="34"/>
  <c r="J2742" i="34"/>
  <c r="C1225" i="34"/>
  <c r="A253" i="29"/>
  <c r="H1223" i="34"/>
  <c r="H1295" i="34"/>
  <c r="H1227" i="34"/>
  <c r="A323" i="29"/>
  <c r="C1021" i="34"/>
  <c r="H336" i="29"/>
  <c r="H299" i="29"/>
  <c r="A320" i="29"/>
  <c r="H1086" i="34"/>
  <c r="C249" i="29"/>
  <c r="C268" i="29"/>
  <c r="A317" i="29"/>
  <c r="A411" i="23"/>
  <c r="W457" i="30"/>
  <c r="C1326" i="34"/>
  <c r="P434" i="30"/>
  <c r="Q300" i="25"/>
  <c r="B253" i="28"/>
  <c r="Q342" i="25"/>
  <c r="S309" i="28"/>
  <c r="T271" i="28"/>
  <c r="U320" i="25"/>
  <c r="T286" i="25"/>
  <c r="S340" i="28"/>
  <c r="F355" i="25"/>
  <c r="H572" i="33"/>
  <c r="F394" i="25"/>
  <c r="C1615" i="34"/>
  <c r="H539" i="23"/>
  <c r="A397" i="25"/>
  <c r="C1605" i="34"/>
  <c r="B301" i="25"/>
  <c r="S339" i="25"/>
  <c r="Q325" i="28"/>
  <c r="P391" i="30"/>
  <c r="P385" i="30"/>
  <c r="F380" i="25"/>
  <c r="F321" i="25"/>
  <c r="P370" i="30"/>
  <c r="P367" i="30"/>
  <c r="B288" i="28"/>
  <c r="U341" i="28"/>
  <c r="B361" i="25"/>
  <c r="A576" i="33"/>
  <c r="C2759" i="34"/>
  <c r="B304" i="25"/>
  <c r="B345" i="25"/>
  <c r="F320" i="28"/>
  <c r="S275" i="28"/>
  <c r="W275" i="28" s="1"/>
  <c r="T377" i="25"/>
  <c r="F284" i="25"/>
  <c r="T286" i="28"/>
  <c r="F340" i="28"/>
  <c r="H337" i="29" s="1"/>
  <c r="A512" i="33"/>
  <c r="A2616" i="34"/>
  <c r="A393" i="25"/>
  <c r="C1216" i="34"/>
  <c r="B257" i="28"/>
  <c r="B339" i="25"/>
  <c r="A302" i="28"/>
  <c r="U268" i="28"/>
  <c r="B319" i="25"/>
  <c r="A284" i="25"/>
  <c r="F287" i="28"/>
  <c r="S362" i="25"/>
  <c r="W362" i="25" s="1"/>
  <c r="C557" i="33"/>
  <c r="A2757" i="34"/>
  <c r="C2619" i="34"/>
  <c r="C544" i="23"/>
  <c r="H2619" i="34"/>
  <c r="F358" i="28"/>
  <c r="S301" i="25"/>
  <c r="U340" i="25"/>
  <c r="T320" i="28"/>
  <c r="S273" i="28"/>
  <c r="W273" i="28" s="1"/>
  <c r="A375" i="25"/>
  <c r="S280" i="25"/>
  <c r="F290" i="28"/>
  <c r="T362" i="25"/>
  <c r="A560" i="33"/>
  <c r="I347" i="29"/>
  <c r="A543" i="23"/>
  <c r="H1613" i="34"/>
  <c r="C1224" i="34"/>
  <c r="I2753" i="34"/>
  <c r="H1208" i="34"/>
  <c r="H2755" i="34"/>
  <c r="Q302" i="25"/>
  <c r="A258" i="28"/>
  <c r="T342" i="25"/>
  <c r="F326" i="28"/>
  <c r="C499" i="23"/>
  <c r="A374" i="25"/>
  <c r="B322" i="25"/>
  <c r="U291" i="28"/>
  <c r="U364" i="25"/>
  <c r="W364" i="25" s="1"/>
  <c r="C428" i="23"/>
  <c r="C1353" i="34"/>
  <c r="A2744" i="34"/>
  <c r="A2740" i="34"/>
  <c r="B399" i="25"/>
  <c r="A299" i="25"/>
  <c r="A253" i="28"/>
  <c r="C543" i="33"/>
  <c r="T309" i="28"/>
  <c r="A269" i="28"/>
  <c r="A320" i="25"/>
  <c r="U288" i="25"/>
  <c r="H522" i="33"/>
  <c r="Q359" i="25"/>
  <c r="H1279" i="34"/>
  <c r="A541" i="23"/>
  <c r="H1284" i="34"/>
  <c r="A337" i="29"/>
  <c r="H333" i="29"/>
  <c r="C333" i="29"/>
  <c r="H1008" i="34"/>
  <c r="A571" i="33"/>
  <c r="A307" i="25"/>
  <c r="S342" i="25"/>
  <c r="T323" i="28"/>
  <c r="Q303" i="28"/>
  <c r="F382" i="25"/>
  <c r="B324" i="25"/>
  <c r="Q280" i="25"/>
  <c r="T341" i="28"/>
  <c r="Q355" i="25"/>
  <c r="J2745" i="34"/>
  <c r="A1349" i="34"/>
  <c r="B398" i="25"/>
  <c r="U355" i="28"/>
  <c r="H1090" i="34"/>
  <c r="A395" i="25"/>
  <c r="H1429" i="34"/>
  <c r="F299" i="25"/>
  <c r="T256" i="28"/>
  <c r="H543" i="33"/>
  <c r="S308" i="28"/>
  <c r="F374" i="25"/>
  <c r="T320" i="25"/>
  <c r="F288" i="25"/>
  <c r="A522" i="33"/>
  <c r="A356" i="25"/>
  <c r="H554" i="33"/>
  <c r="A1141" i="34"/>
  <c r="I2746" i="34"/>
  <c r="A1353" i="34"/>
  <c r="A1090" i="34"/>
  <c r="I348" i="29"/>
  <c r="B394" i="25"/>
  <c r="Q301" i="25"/>
  <c r="S251" i="28"/>
  <c r="U337" i="25"/>
  <c r="B319" i="28"/>
  <c r="S274" i="28"/>
  <c r="A380" i="25"/>
  <c r="I877" i="34"/>
  <c r="T288" i="28"/>
  <c r="A339" i="28"/>
  <c r="A336" i="29" s="1"/>
  <c r="C477" i="23"/>
  <c r="C1001" i="34"/>
  <c r="S394" i="25"/>
  <c r="A1075" i="34"/>
  <c r="P254" i="28"/>
  <c r="Q401" i="25"/>
  <c r="F395" i="25"/>
  <c r="A1281" i="34"/>
  <c r="H320" i="29"/>
  <c r="H304" i="29"/>
  <c r="A1298" i="34"/>
  <c r="C254" i="29"/>
  <c r="C251" i="29"/>
  <c r="H1222" i="34"/>
  <c r="A1295" i="34"/>
  <c r="A1153" i="34"/>
  <c r="A1019" i="34"/>
  <c r="A1085" i="34"/>
  <c r="H248" i="29"/>
  <c r="A1091" i="34"/>
  <c r="H289" i="29"/>
  <c r="A1294" i="34"/>
  <c r="C1090" i="34"/>
  <c r="A1363" i="34"/>
  <c r="C1091" i="34"/>
  <c r="C1156" i="34"/>
  <c r="H317" i="29"/>
  <c r="H1298" i="34"/>
  <c r="U325" i="28"/>
  <c r="Q357" i="28"/>
  <c r="C2756" i="34"/>
  <c r="B283" i="25"/>
  <c r="B289" i="28"/>
  <c r="U337" i="28"/>
  <c r="A556" i="33"/>
  <c r="C1284" i="34"/>
  <c r="H1142" i="34"/>
  <c r="C551" i="23"/>
  <c r="H1018" i="34"/>
  <c r="H283" i="29"/>
  <c r="C1019" i="34"/>
  <c r="H1158" i="34"/>
  <c r="A1017" i="34"/>
  <c r="B374" i="25"/>
  <c r="A340" i="29"/>
  <c r="H1089" i="34"/>
  <c r="H338" i="29"/>
  <c r="H1225" i="34"/>
  <c r="W319" i="25"/>
  <c r="A248" i="29"/>
  <c r="H1022" i="34"/>
  <c r="H334" i="29"/>
  <c r="A940" i="34"/>
  <c r="A1194" i="34"/>
  <c r="A1191" i="34"/>
  <c r="P433" i="30"/>
  <c r="S307" i="25"/>
  <c r="S252" i="28"/>
  <c r="A544" i="33"/>
  <c r="W304" i="28"/>
  <c r="U380" i="25"/>
  <c r="W380" i="25" s="1"/>
  <c r="A324" i="25"/>
  <c r="S279" i="25"/>
  <c r="F342" i="28"/>
  <c r="H339" i="29" s="1"/>
  <c r="T363" i="25"/>
  <c r="H1366" i="34"/>
  <c r="C1606" i="34"/>
  <c r="I2757" i="34"/>
  <c r="H574" i="33"/>
  <c r="C1607" i="34"/>
  <c r="F353" i="28"/>
  <c r="F306" i="25"/>
  <c r="Q345" i="25"/>
  <c r="S324" i="28"/>
  <c r="P394" i="30"/>
  <c r="F275" i="28"/>
  <c r="Q381" i="25"/>
  <c r="P240" i="28"/>
  <c r="P362" i="30"/>
  <c r="A282" i="25"/>
  <c r="U288" i="28"/>
  <c r="B342" i="28"/>
  <c r="U361" i="25"/>
  <c r="W361" i="25" s="1"/>
  <c r="H2753" i="34"/>
  <c r="C574" i="33"/>
  <c r="A1001" i="34"/>
  <c r="U304" i="25"/>
  <c r="W304" i="25" s="1"/>
  <c r="A343" i="25"/>
  <c r="U323" i="28"/>
  <c r="T268" i="28"/>
  <c r="F381" i="25"/>
  <c r="T288" i="25"/>
  <c r="Q287" i="28"/>
  <c r="S342" i="28"/>
  <c r="H508" i="33"/>
  <c r="T402" i="25"/>
  <c r="H1074" i="34"/>
  <c r="A1086" i="34"/>
  <c r="C519" i="23"/>
  <c r="T254" i="28"/>
  <c r="H540" i="33"/>
  <c r="Q307" i="28"/>
  <c r="Q374" i="25"/>
  <c r="Q319" i="25"/>
  <c r="U283" i="25"/>
  <c r="C527" i="33"/>
  <c r="F361" i="25"/>
  <c r="A557" i="33"/>
  <c r="C1077" i="34"/>
  <c r="C1088" i="34"/>
  <c r="C1281" i="34"/>
  <c r="C520" i="33"/>
  <c r="U336" i="25"/>
  <c r="W336" i="25" s="1"/>
  <c r="A324" i="28"/>
  <c r="B270" i="28"/>
  <c r="Q380" i="25"/>
  <c r="F281" i="25"/>
  <c r="Q286" i="28"/>
  <c r="S355" i="25"/>
  <c r="H555" i="33"/>
  <c r="H2756" i="34"/>
  <c r="U360" i="28"/>
  <c r="I366" i="28"/>
  <c r="A1155" i="34"/>
  <c r="C340" i="29"/>
  <c r="B305" i="25"/>
  <c r="Q251" i="28"/>
  <c r="U339" i="25"/>
  <c r="B325" i="28"/>
  <c r="F273" i="28"/>
  <c r="T382" i="25"/>
  <c r="Q281" i="25"/>
  <c r="H527" i="33"/>
  <c r="S357" i="25"/>
  <c r="W357" i="25" s="1"/>
  <c r="A2550" i="34"/>
  <c r="B617" i="31"/>
  <c r="C335" i="29"/>
  <c r="A2618" i="34"/>
  <c r="W338" i="28"/>
  <c r="U302" i="25"/>
  <c r="S344" i="25"/>
  <c r="W344" i="25" s="1"/>
  <c r="C544" i="33"/>
  <c r="W305" i="28"/>
  <c r="U272" i="28"/>
  <c r="T325" i="25"/>
  <c r="S283" i="25"/>
  <c r="A526" i="33"/>
  <c r="B357" i="25"/>
  <c r="C556" i="33"/>
  <c r="A545" i="23"/>
  <c r="B357" i="28"/>
  <c r="A399" i="25"/>
  <c r="U354" i="28"/>
  <c r="C334" i="29"/>
  <c r="H1091" i="34"/>
  <c r="J880" i="34"/>
  <c r="A306" i="25"/>
  <c r="T341" i="25"/>
  <c r="W321" i="28"/>
  <c r="P304" i="28"/>
  <c r="A377" i="25"/>
  <c r="A321" i="25"/>
  <c r="U285" i="28"/>
  <c r="W285" i="28" s="1"/>
  <c r="U339" i="28"/>
  <c r="A409" i="23"/>
  <c r="W320" i="25"/>
  <c r="A1603" i="34"/>
  <c r="H1362" i="34"/>
  <c r="A1602" i="34"/>
  <c r="C1212" i="34"/>
  <c r="A355" i="28"/>
  <c r="A301" i="25"/>
  <c r="S337" i="25"/>
  <c r="T326" i="28"/>
  <c r="T304" i="28"/>
  <c r="T380" i="25"/>
  <c r="T318" i="25"/>
  <c r="S284" i="25"/>
  <c r="A338" i="28"/>
  <c r="A364" i="25"/>
  <c r="H557" i="33"/>
  <c r="J879" i="34"/>
  <c r="I408" i="25"/>
  <c r="H1215" i="34"/>
  <c r="P270" i="28"/>
  <c r="C1613" i="34"/>
  <c r="F298" i="25"/>
  <c r="T253" i="28"/>
  <c r="T339" i="25"/>
  <c r="C424" i="23"/>
  <c r="B273" i="28"/>
  <c r="S325" i="25"/>
  <c r="A286" i="25"/>
  <c r="B287" i="28"/>
  <c r="T342" i="28"/>
  <c r="C559" i="33"/>
  <c r="W257" i="28"/>
  <c r="T396" i="25"/>
  <c r="C2742" i="34"/>
  <c r="H2741" i="34"/>
  <c r="H1291" i="34"/>
  <c r="C1018" i="34"/>
  <c r="C1086" i="34"/>
  <c r="A282" i="29"/>
  <c r="A252" i="29"/>
  <c r="H1154" i="34"/>
  <c r="C253" i="29"/>
  <c r="A272" i="29"/>
  <c r="H1160" i="34"/>
  <c r="C1293" i="34"/>
  <c r="A1087" i="34"/>
  <c r="F343" i="25"/>
  <c r="F398" i="25"/>
  <c r="C1346" i="34"/>
  <c r="B302" i="25"/>
  <c r="T251" i="28"/>
  <c r="S340" i="25"/>
  <c r="S302" i="28"/>
  <c r="B274" i="28"/>
  <c r="C271" i="29" s="1"/>
  <c r="F326" i="25"/>
  <c r="C521" i="23"/>
  <c r="C272" i="29"/>
  <c r="C285" i="29"/>
  <c r="H1292" i="34"/>
  <c r="H316" i="29"/>
  <c r="H1294" i="34"/>
  <c r="C267" i="29"/>
  <c r="H323" i="29"/>
  <c r="A1154" i="34"/>
  <c r="A2615" i="34"/>
  <c r="A299" i="29"/>
  <c r="A334" i="29"/>
  <c r="C284" i="29"/>
  <c r="A1222" i="34"/>
  <c r="C321" i="29"/>
  <c r="A301" i="29"/>
  <c r="C1022" i="34"/>
  <c r="A250" i="29"/>
  <c r="A1156" i="34"/>
  <c r="A1291" i="34"/>
  <c r="H1296" i="34"/>
  <c r="A1160" i="34"/>
  <c r="C316" i="29"/>
  <c r="Q268" i="28"/>
  <c r="F286" i="25"/>
  <c r="A290" i="28"/>
  <c r="A287" i="29" s="1"/>
  <c r="T364" i="25"/>
  <c r="U298" i="25"/>
  <c r="W322" i="28"/>
  <c r="H1017" i="34"/>
  <c r="B343" i="25"/>
  <c r="A551" i="23"/>
  <c r="C1016" i="34"/>
  <c r="H1345" i="34"/>
  <c r="A1292" i="34"/>
  <c r="C270" i="29"/>
  <c r="H937" i="34"/>
  <c r="C1333" i="34"/>
  <c r="P435" i="30"/>
  <c r="S298" i="25"/>
  <c r="F255" i="28"/>
  <c r="H542" i="33"/>
  <c r="Q305" i="28"/>
  <c r="T383" i="25"/>
  <c r="U317" i="25"/>
  <c r="Q289" i="28"/>
  <c r="Q343" i="28"/>
  <c r="Q363" i="25"/>
  <c r="H2551" i="34"/>
  <c r="B402" i="25"/>
  <c r="C1604" i="34"/>
  <c r="H2746" i="34"/>
  <c r="Q305" i="25"/>
  <c r="F344" i="25"/>
  <c r="U324" i="28"/>
  <c r="P381" i="30"/>
  <c r="B269" i="28"/>
  <c r="A379" i="25"/>
  <c r="P234" i="28"/>
  <c r="P369" i="30"/>
  <c r="S285" i="25"/>
  <c r="S291" i="28"/>
  <c r="T338" i="28"/>
  <c r="C1192" i="34"/>
  <c r="A354" i="28"/>
  <c r="A1350" i="34"/>
  <c r="B360" i="28"/>
  <c r="T298" i="25"/>
  <c r="U345" i="25"/>
  <c r="T325" i="28"/>
  <c r="A274" i="28"/>
  <c r="F319" i="25"/>
  <c r="B286" i="25"/>
  <c r="F285" i="28"/>
  <c r="H282" i="29" s="1"/>
  <c r="U358" i="25"/>
  <c r="W358" i="25" s="1"/>
  <c r="C408" i="23"/>
  <c r="W279" i="25"/>
  <c r="Q393" i="25"/>
  <c r="U397" i="25"/>
  <c r="H1207" i="34"/>
  <c r="S253" i="28"/>
  <c r="C541" i="33"/>
  <c r="U309" i="28"/>
  <c r="W309" i="28" s="1"/>
  <c r="A378" i="25"/>
  <c r="T324" i="25"/>
  <c r="U285" i="25"/>
  <c r="W285" i="25" s="1"/>
  <c r="A527" i="33"/>
  <c r="A362" i="25"/>
  <c r="H1140" i="34"/>
  <c r="F400" i="25"/>
  <c r="A2552" i="34"/>
  <c r="U398" i="25"/>
  <c r="C1466" i="34"/>
  <c r="B336" i="25"/>
  <c r="F321" i="28"/>
  <c r="S272" i="28"/>
  <c r="W272" i="28" s="1"/>
  <c r="B317" i="25"/>
  <c r="U280" i="25"/>
  <c r="S288" i="28"/>
  <c r="F362" i="25"/>
  <c r="A558" i="33"/>
  <c r="H2740" i="34"/>
  <c r="A1609" i="34"/>
  <c r="A398" i="25"/>
  <c r="I568" i="33"/>
  <c r="C1147" i="34"/>
  <c r="C2743" i="34"/>
  <c r="M366" i="28"/>
  <c r="S299" i="25"/>
  <c r="F258" i="28"/>
  <c r="A1189" i="34"/>
  <c r="T322" i="28"/>
  <c r="A272" i="28"/>
  <c r="U381" i="25"/>
  <c r="A288" i="25"/>
  <c r="C524" i="33"/>
  <c r="A358" i="25"/>
  <c r="A353" i="28"/>
  <c r="C1364" i="34"/>
  <c r="A400" i="25"/>
  <c r="S402" i="25"/>
  <c r="A2753" i="34"/>
  <c r="T307" i="25"/>
  <c r="A336" i="25"/>
  <c r="B303" i="28"/>
  <c r="C452" i="23"/>
  <c r="A317" i="25"/>
  <c r="B287" i="25"/>
  <c r="A523" i="33"/>
  <c r="B359" i="25"/>
  <c r="C554" i="33"/>
  <c r="H550" i="23"/>
  <c r="A1214" i="34"/>
  <c r="A2759" i="34"/>
  <c r="C1078" i="34"/>
  <c r="J217" i="29"/>
  <c r="A338" i="29"/>
  <c r="A360" i="28"/>
  <c r="T255" i="28"/>
  <c r="U342" i="25"/>
  <c r="T324" i="28"/>
  <c r="Q271" i="28"/>
  <c r="B375" i="25"/>
  <c r="Q320" i="25"/>
  <c r="U289" i="28"/>
  <c r="Q341" i="28"/>
  <c r="H509" i="33"/>
  <c r="Q356" i="28"/>
  <c r="H265" i="29"/>
  <c r="S360" i="28"/>
  <c r="H573" i="33"/>
  <c r="A2621" i="34"/>
  <c r="C347" i="29"/>
  <c r="C539" i="23"/>
  <c r="U307" i="25"/>
  <c r="U304" i="28"/>
  <c r="Q383" i="25"/>
  <c r="B321" i="25"/>
  <c r="U284" i="25"/>
  <c r="Q342" i="28"/>
  <c r="F356" i="25"/>
  <c r="C1283" i="34"/>
  <c r="Q398" i="25"/>
  <c r="A1216" i="34"/>
  <c r="C605" i="23"/>
  <c r="H1155" i="34"/>
  <c r="Q402" i="25"/>
  <c r="A1361" i="34"/>
  <c r="A1158" i="34"/>
  <c r="C318" i="29"/>
  <c r="A268" i="29"/>
  <c r="I2755" i="34"/>
  <c r="H1156" i="34"/>
  <c r="C1160" i="34"/>
  <c r="H319" i="29"/>
  <c r="C1297" i="34"/>
  <c r="C252" i="29"/>
  <c r="A1157" i="34"/>
  <c r="Q362" i="25"/>
  <c r="H1297" i="34"/>
  <c r="H1228" i="34"/>
  <c r="A286" i="29"/>
  <c r="S397" i="25"/>
  <c r="C283" i="29"/>
  <c r="A321" i="29"/>
  <c r="H255" i="29"/>
  <c r="H270" i="29"/>
  <c r="H249" i="29"/>
  <c r="C1298" i="34"/>
  <c r="H1361" i="34"/>
  <c r="H1084" i="34"/>
  <c r="H302" i="29"/>
  <c r="H250" i="29"/>
  <c r="C1089" i="34"/>
  <c r="C940" i="34"/>
  <c r="S269" i="28"/>
  <c r="S382" i="25"/>
  <c r="W382" i="25" s="1"/>
  <c r="B325" i="25"/>
  <c r="I217" i="29"/>
  <c r="T343" i="28"/>
  <c r="T356" i="25"/>
  <c r="U357" i="28"/>
  <c r="W342" i="28"/>
  <c r="C546" i="23"/>
  <c r="C304" i="29"/>
  <c r="C1223" i="34"/>
  <c r="C338" i="29"/>
  <c r="A306" i="29"/>
  <c r="C339" i="29"/>
  <c r="A335" i="29"/>
  <c r="M456" i="30" l="1"/>
  <c r="N456" i="30" s="1"/>
  <c r="M458" i="30"/>
  <c r="N458" i="30" s="1"/>
  <c r="M457" i="30"/>
  <c r="N457" i="30" s="1"/>
  <c r="M435" i="30"/>
  <c r="N435" i="30" s="1"/>
  <c r="M433" i="30"/>
  <c r="N433" i="30" s="1"/>
  <c r="M434" i="30"/>
  <c r="N434" i="30" s="1"/>
  <c r="M389" i="30"/>
  <c r="N389" i="30" s="1"/>
  <c r="M387" i="30"/>
  <c r="N387" i="30" s="1"/>
  <c r="M388" i="30"/>
  <c r="N388" i="30" s="1"/>
  <c r="M365" i="30"/>
  <c r="N365" i="30" s="1"/>
  <c r="M366" i="30"/>
  <c r="N366" i="30" s="1"/>
  <c r="M364" i="30"/>
  <c r="N364" i="30" s="1"/>
  <c r="C832" i="34"/>
  <c r="M221" i="28"/>
  <c r="X457" i="30"/>
  <c r="X458" i="30"/>
  <c r="X411" i="30"/>
  <c r="X412" i="30"/>
  <c r="W464" i="30"/>
  <c r="X456" i="30"/>
  <c r="W441" i="30"/>
  <c r="X433" i="30"/>
  <c r="X441" i="30" s="1"/>
  <c r="A2622" i="34"/>
  <c r="J2613" i="34"/>
  <c r="I2723" i="34"/>
  <c r="M222" i="28"/>
  <c r="N222" i="28" s="1"/>
  <c r="K217" i="28"/>
  <c r="I2613" i="34"/>
  <c r="H2613" i="34"/>
  <c r="G389" i="30"/>
  <c r="R389" i="30"/>
  <c r="K389" i="30" s="1"/>
  <c r="R387" i="30"/>
  <c r="K387" i="30" s="1"/>
  <c r="G387" i="30"/>
  <c r="G388" i="30"/>
  <c r="R388" i="30"/>
  <c r="K388" i="30" s="1"/>
  <c r="R456" i="30"/>
  <c r="K456" i="30" s="1"/>
  <c r="G456" i="30"/>
  <c r="G458" i="30"/>
  <c r="R458" i="30"/>
  <c r="K458" i="30" s="1"/>
  <c r="R457" i="30"/>
  <c r="K457" i="30" s="1"/>
  <c r="G457" i="30"/>
  <c r="R435" i="30"/>
  <c r="K435" i="30" s="1"/>
  <c r="G435" i="30"/>
  <c r="G433" i="30"/>
  <c r="R433" i="30"/>
  <c r="K433" i="30" s="1"/>
  <c r="R434" i="30"/>
  <c r="K434" i="30" s="1"/>
  <c r="G434" i="30"/>
  <c r="I2597" i="34"/>
  <c r="J2751" i="34"/>
  <c r="X242" i="28"/>
  <c r="B2749" i="34"/>
  <c r="B2583" i="34"/>
  <c r="A2751" i="34"/>
  <c r="M224" i="28"/>
  <c r="A2760" i="34"/>
  <c r="H2723" i="34"/>
  <c r="I2760" i="34"/>
  <c r="A2600" i="34"/>
  <c r="I2600" i="34"/>
  <c r="K225" i="28"/>
  <c r="H2585" i="34"/>
  <c r="A2597" i="34"/>
  <c r="I2751" i="34"/>
  <c r="J2760" i="34"/>
  <c r="C2751" i="34"/>
  <c r="B2721" i="34"/>
  <c r="A2735" i="34"/>
  <c r="C2723" i="34"/>
  <c r="H2748" i="34"/>
  <c r="J2748" i="34"/>
  <c r="C2585" i="34"/>
  <c r="X251" i="25"/>
  <c r="A2585" i="34"/>
  <c r="A2738" i="34"/>
  <c r="M223" i="28"/>
  <c r="J2585" i="34"/>
  <c r="C903" i="34"/>
  <c r="X395" i="30"/>
  <c r="H2600" i="34"/>
  <c r="I2735" i="34"/>
  <c r="I2610" i="34"/>
  <c r="X372" i="30"/>
  <c r="J2738" i="34"/>
  <c r="I2748" i="34"/>
  <c r="I2738" i="34"/>
  <c r="J2600" i="34"/>
  <c r="M218" i="28"/>
  <c r="B2598" i="34"/>
  <c r="I2622" i="34"/>
  <c r="C2613" i="34"/>
  <c r="B2611" i="34"/>
  <c r="A2748" i="34"/>
  <c r="B2736" i="34"/>
  <c r="I357" i="25"/>
  <c r="I317" i="25"/>
  <c r="I377" i="25"/>
  <c r="I376" i="25"/>
  <c r="X322" i="28"/>
  <c r="I308" i="25"/>
  <c r="F308" i="25"/>
  <c r="I301" i="25"/>
  <c r="H561" i="33"/>
  <c r="H513" i="33"/>
  <c r="I339" i="28"/>
  <c r="I342" i="28"/>
  <c r="X287" i="28"/>
  <c r="I292" i="28"/>
  <c r="F289" i="25"/>
  <c r="I289" i="25"/>
  <c r="X324" i="25"/>
  <c r="I325" i="25"/>
  <c r="I383" i="25"/>
  <c r="I384" i="25"/>
  <c r="F384" i="25"/>
  <c r="I272" i="28"/>
  <c r="I268" i="28"/>
  <c r="I270" i="28"/>
  <c r="I275" i="28"/>
  <c r="I343" i="25"/>
  <c r="I255" i="28"/>
  <c r="I252" i="28"/>
  <c r="I307" i="25"/>
  <c r="I355" i="25"/>
  <c r="I362" i="25"/>
  <c r="I341" i="28"/>
  <c r="I280" i="25"/>
  <c r="I287" i="25"/>
  <c r="I288" i="25"/>
  <c r="I320" i="25"/>
  <c r="H1202" i="34"/>
  <c r="I379" i="25"/>
  <c r="I274" i="28"/>
  <c r="I276" i="28"/>
  <c r="F276" i="28"/>
  <c r="I271" i="28"/>
  <c r="R304" i="28"/>
  <c r="K304" i="28" s="1"/>
  <c r="G304" i="28"/>
  <c r="I303" i="28"/>
  <c r="I322" i="28"/>
  <c r="X321" i="28"/>
  <c r="H545" i="33"/>
  <c r="F259" i="28"/>
  <c r="I259" i="28"/>
  <c r="I258" i="28"/>
  <c r="I298" i="25"/>
  <c r="X499" i="30"/>
  <c r="I359" i="25"/>
  <c r="F344" i="28"/>
  <c r="I344" i="28"/>
  <c r="H529" i="33"/>
  <c r="I285" i="28"/>
  <c r="I288" i="28"/>
  <c r="I323" i="25"/>
  <c r="I318" i="25"/>
  <c r="I326" i="25"/>
  <c r="I273" i="28"/>
  <c r="I308" i="28"/>
  <c r="X305" i="28"/>
  <c r="I321" i="28"/>
  <c r="I320" i="28"/>
  <c r="X498" i="30"/>
  <c r="W510" i="30"/>
  <c r="I338" i="28"/>
  <c r="I337" i="28"/>
  <c r="I281" i="25"/>
  <c r="I324" i="25"/>
  <c r="I375" i="25"/>
  <c r="I306" i="28"/>
  <c r="I309" i="28"/>
  <c r="I323" i="28"/>
  <c r="I251" i="28"/>
  <c r="X254" i="28"/>
  <c r="X404" i="30"/>
  <c r="W418" i="30"/>
  <c r="I299" i="25"/>
  <c r="I302" i="25"/>
  <c r="I286" i="28"/>
  <c r="I291" i="28"/>
  <c r="I321" i="25"/>
  <c r="I380" i="25"/>
  <c r="X271" i="28"/>
  <c r="F310" i="28"/>
  <c r="I310" i="28"/>
  <c r="I304" i="28"/>
  <c r="I337" i="25"/>
  <c r="I340" i="25"/>
  <c r="I253" i="28"/>
  <c r="I256" i="28"/>
  <c r="I303" i="25"/>
  <c r="H1409" i="34"/>
  <c r="I356" i="25"/>
  <c r="X285" i="25"/>
  <c r="H1478" i="34"/>
  <c r="F327" i="25"/>
  <c r="I327" i="25"/>
  <c r="I319" i="25"/>
  <c r="I378" i="25"/>
  <c r="I374" i="25"/>
  <c r="I269" i="28"/>
  <c r="I307" i="28"/>
  <c r="F327" i="28"/>
  <c r="I327" i="28"/>
  <c r="I319" i="28"/>
  <c r="I344" i="25"/>
  <c r="I339" i="25"/>
  <c r="X253" i="28"/>
  <c r="I360" i="25"/>
  <c r="I364" i="25"/>
  <c r="I340" i="28"/>
  <c r="I293" i="28"/>
  <c r="F293" i="28"/>
  <c r="I287" i="28"/>
  <c r="I290" i="28"/>
  <c r="I286" i="25"/>
  <c r="I322" i="25"/>
  <c r="I302" i="28"/>
  <c r="I338" i="25"/>
  <c r="F346" i="25"/>
  <c r="I346" i="25"/>
  <c r="I254" i="28"/>
  <c r="I304" i="25"/>
  <c r="I358" i="25"/>
  <c r="I284" i="25"/>
  <c r="I279" i="25"/>
  <c r="I285" i="25"/>
  <c r="I282" i="25"/>
  <c r="I283" i="25"/>
  <c r="R367" i="30"/>
  <c r="K367" i="30" s="1"/>
  <c r="G367" i="30"/>
  <c r="G361" i="30"/>
  <c r="R361" i="30"/>
  <c r="K361" i="30" s="1"/>
  <c r="R358" i="30"/>
  <c r="M358" i="30" s="1"/>
  <c r="N358" i="30" s="1"/>
  <c r="G372" i="30"/>
  <c r="G358" i="30"/>
  <c r="R366" i="30"/>
  <c r="K366" i="30" s="1"/>
  <c r="G366" i="30"/>
  <c r="R360" i="30"/>
  <c r="K360" i="30" s="1"/>
  <c r="G360" i="30"/>
  <c r="R368" i="30"/>
  <c r="K368" i="30" s="1"/>
  <c r="G368" i="30"/>
  <c r="R363" i="30"/>
  <c r="K363" i="30" s="1"/>
  <c r="G363" i="30"/>
  <c r="R364" i="30"/>
  <c r="K364" i="30" s="1"/>
  <c r="G364" i="30"/>
  <c r="G369" i="30"/>
  <c r="R369" i="30"/>
  <c r="K369" i="30" s="1"/>
  <c r="R362" i="30"/>
  <c r="K362" i="30" s="1"/>
  <c r="G362" i="30"/>
  <c r="G370" i="30"/>
  <c r="R370" i="30"/>
  <c r="K370" i="30" s="1"/>
  <c r="G359" i="30"/>
  <c r="R359" i="30"/>
  <c r="K359" i="30" s="1"/>
  <c r="G365" i="30"/>
  <c r="R365" i="30"/>
  <c r="K365" i="30" s="1"/>
  <c r="R371" i="30"/>
  <c r="K371" i="30" s="1"/>
  <c r="R241" i="28"/>
  <c r="K241" i="28" s="1"/>
  <c r="G241" i="28"/>
  <c r="R239" i="28"/>
  <c r="K239" i="28" s="1"/>
  <c r="G239" i="28"/>
  <c r="R238" i="28"/>
  <c r="K238" i="28" s="1"/>
  <c r="G238" i="28"/>
  <c r="G235" i="28"/>
  <c r="R235" i="28"/>
  <c r="K235" i="28" s="1"/>
  <c r="G234" i="28"/>
  <c r="G242" i="28"/>
  <c r="R234" i="28"/>
  <c r="K234" i="28" s="1"/>
  <c r="R240" i="28"/>
  <c r="K240" i="28" s="1"/>
  <c r="G240" i="28"/>
  <c r="I382" i="25"/>
  <c r="I381" i="25"/>
  <c r="R385" i="30"/>
  <c r="K385" i="30" s="1"/>
  <c r="G385" i="30"/>
  <c r="R390" i="30"/>
  <c r="K390" i="30" s="1"/>
  <c r="G390" i="30"/>
  <c r="R384" i="30"/>
  <c r="K384" i="30" s="1"/>
  <c r="G384" i="30"/>
  <c r="G393" i="30"/>
  <c r="R393" i="30"/>
  <c r="K393" i="30" s="1"/>
  <c r="G392" i="30"/>
  <c r="R392" i="30"/>
  <c r="K392" i="30" s="1"/>
  <c r="R386" i="30"/>
  <c r="K386" i="30" s="1"/>
  <c r="G386" i="30"/>
  <c r="R383" i="30"/>
  <c r="K383" i="30" s="1"/>
  <c r="G383" i="30"/>
  <c r="G382" i="30"/>
  <c r="R382" i="30"/>
  <c r="K382" i="30" s="1"/>
  <c r="G395" i="30"/>
  <c r="G381" i="30"/>
  <c r="R381" i="30"/>
  <c r="M381" i="30" s="1"/>
  <c r="N381" i="30" s="1"/>
  <c r="R394" i="30"/>
  <c r="K394" i="30" s="1"/>
  <c r="G391" i="30"/>
  <c r="R391" i="30"/>
  <c r="K391" i="30" s="1"/>
  <c r="R305" i="28"/>
  <c r="K305" i="28" s="1"/>
  <c r="G305" i="28"/>
  <c r="I325" i="28"/>
  <c r="I326" i="28"/>
  <c r="I341" i="25"/>
  <c r="I345" i="25"/>
  <c r="I257" i="28"/>
  <c r="I305" i="25"/>
  <c r="I306" i="25"/>
  <c r="I363" i="25"/>
  <c r="I365" i="25"/>
  <c r="F365" i="25"/>
  <c r="I361" i="25"/>
  <c r="I336" i="28"/>
  <c r="I343" i="28"/>
  <c r="X288" i="28"/>
  <c r="I289" i="28"/>
  <c r="I305" i="28"/>
  <c r="X304" i="28"/>
  <c r="I324" i="28"/>
  <c r="I342" i="25"/>
  <c r="I336" i="25"/>
  <c r="I300" i="25"/>
  <c r="N217" i="28"/>
  <c r="H2760" i="34"/>
  <c r="C972" i="34"/>
  <c r="H2738" i="34"/>
  <c r="A2610" i="34"/>
  <c r="C1041" i="34"/>
  <c r="F540" i="30"/>
  <c r="X361" i="25"/>
  <c r="X320" i="25"/>
  <c r="X279" i="25"/>
  <c r="X304" i="25"/>
  <c r="X272" i="28"/>
  <c r="X362" i="25"/>
  <c r="H1023" i="34"/>
  <c r="X285" i="28"/>
  <c r="X287" i="25"/>
  <c r="H1092" i="34"/>
  <c r="X357" i="25"/>
  <c r="X344" i="25"/>
  <c r="H1286" i="34"/>
  <c r="X307" i="28"/>
  <c r="X290" i="28"/>
  <c r="X275" i="28"/>
  <c r="X323" i="25"/>
  <c r="X358" i="25"/>
  <c r="H1161" i="34"/>
  <c r="H1299" i="34"/>
  <c r="X360" i="25"/>
  <c r="X257" i="28"/>
  <c r="X363" i="25"/>
  <c r="X309" i="28"/>
  <c r="X273" i="28"/>
  <c r="X270" i="28"/>
  <c r="X364" i="25"/>
  <c r="X319" i="25"/>
  <c r="X270" i="25"/>
  <c r="H1079" i="34"/>
  <c r="X336" i="25"/>
  <c r="H1217" i="34"/>
  <c r="R475" i="30"/>
  <c r="K475" i="30" s="1"/>
  <c r="G475" i="30"/>
  <c r="R479" i="30"/>
  <c r="K479" i="30" s="1"/>
  <c r="G479" i="30"/>
  <c r="G480" i="30"/>
  <c r="R480" i="30"/>
  <c r="K480" i="30" s="1"/>
  <c r="R483" i="30"/>
  <c r="K483" i="30" s="1"/>
  <c r="G483" i="30"/>
  <c r="G485" i="30"/>
  <c r="R485" i="30"/>
  <c r="K485" i="30" s="1"/>
  <c r="R482" i="30"/>
  <c r="K482" i="30" s="1"/>
  <c r="G482" i="30"/>
  <c r="R481" i="30"/>
  <c r="K481" i="30" s="1"/>
  <c r="G481" i="30"/>
  <c r="R484" i="30"/>
  <c r="K484" i="30" s="1"/>
  <c r="G484" i="30"/>
  <c r="R486" i="30"/>
  <c r="R474" i="30"/>
  <c r="K474" i="30" s="1"/>
  <c r="G474" i="30"/>
  <c r="R477" i="30"/>
  <c r="K477" i="30" s="1"/>
  <c r="G477" i="30"/>
  <c r="R478" i="30"/>
  <c r="K478" i="30" s="1"/>
  <c r="G478" i="30"/>
  <c r="R476" i="30"/>
  <c r="K476" i="30" s="1"/>
  <c r="G476" i="30"/>
  <c r="G473" i="30"/>
  <c r="R473" i="30"/>
  <c r="G487" i="30"/>
  <c r="X338" i="25"/>
  <c r="X487" i="30"/>
  <c r="V204" i="28"/>
  <c r="J816" i="34"/>
  <c r="E832" i="34" s="1"/>
  <c r="J205" i="29"/>
  <c r="H2553" i="34"/>
  <c r="R287" i="28"/>
  <c r="K287" i="28" s="1"/>
  <c r="G287" i="28"/>
  <c r="M287" i="28"/>
  <c r="N287" i="28" s="1"/>
  <c r="G288" i="28"/>
  <c r="R288" i="28"/>
  <c r="K288" i="28" s="1"/>
  <c r="M288" i="28"/>
  <c r="N288" i="28" s="1"/>
  <c r="V288" i="28" s="1"/>
  <c r="R270" i="28"/>
  <c r="K270" i="28" s="1"/>
  <c r="G270" i="28"/>
  <c r="G271" i="28"/>
  <c r="R271" i="28"/>
  <c r="K271" i="28" s="1"/>
  <c r="G253" i="28"/>
  <c r="R253" i="28"/>
  <c r="K253" i="28" s="1"/>
  <c r="R254" i="28"/>
  <c r="K254" i="28" s="1"/>
  <c r="G254" i="28"/>
  <c r="M254" i="28"/>
  <c r="X548" i="31"/>
  <c r="M236" i="28"/>
  <c r="N236" i="28" s="1"/>
  <c r="V236" i="28" s="1"/>
  <c r="V202" i="28"/>
  <c r="V208" i="28" s="1"/>
  <c r="E209" i="28" s="1"/>
  <c r="L209" i="28"/>
  <c r="M208" i="28"/>
  <c r="H209" i="28" s="1"/>
  <c r="M270" i="28"/>
  <c r="N237" i="28"/>
  <c r="V219" i="28"/>
  <c r="X550" i="30"/>
  <c r="X548" i="30"/>
  <c r="X549" i="30"/>
  <c r="X382" i="25"/>
  <c r="X591" i="31"/>
  <c r="X338" i="28"/>
  <c r="X380" i="25"/>
  <c r="X342" i="28"/>
  <c r="H341" i="29"/>
  <c r="X336" i="28"/>
  <c r="X343" i="28"/>
  <c r="X379" i="25"/>
  <c r="H1355" i="34"/>
  <c r="X592" i="31"/>
  <c r="X593" i="31"/>
  <c r="W533" i="30"/>
  <c r="X524" i="30"/>
  <c r="X533" i="30" s="1"/>
  <c r="X339" i="28"/>
  <c r="X595" i="31"/>
  <c r="I553" i="30"/>
  <c r="I605" i="31"/>
  <c r="F556" i="30"/>
  <c r="I556" i="30"/>
  <c r="I358" i="28"/>
  <c r="I397" i="25"/>
  <c r="I612" i="31"/>
  <c r="F612" i="31"/>
  <c r="X590" i="31"/>
  <c r="I359" i="28"/>
  <c r="I395" i="25"/>
  <c r="I394" i="25"/>
  <c r="X589" i="31"/>
  <c r="I611" i="31"/>
  <c r="I356" i="28"/>
  <c r="I357" i="28"/>
  <c r="N619" i="31"/>
  <c r="D629" i="31"/>
  <c r="I629" i="31"/>
  <c r="D617" i="31"/>
  <c r="K619" i="31"/>
  <c r="B619" i="31"/>
  <c r="M619" i="31"/>
  <c r="I619" i="31"/>
  <c r="A629" i="31"/>
  <c r="F619" i="31"/>
  <c r="A617" i="31"/>
  <c r="K629" i="31"/>
  <c r="M629" i="31"/>
  <c r="G629" i="31"/>
  <c r="G619" i="31"/>
  <c r="A628" i="31"/>
  <c r="K617" i="31"/>
  <c r="G617" i="31"/>
  <c r="A619" i="31"/>
  <c r="R322" i="28"/>
  <c r="K322" i="28" s="1"/>
  <c r="G322" i="28"/>
  <c r="R321" i="28"/>
  <c r="K321" i="28" s="1"/>
  <c r="G321" i="28"/>
  <c r="I396" i="25"/>
  <c r="I609" i="31"/>
  <c r="I360" i="28"/>
  <c r="I393" i="25"/>
  <c r="I353" i="28"/>
  <c r="H1547" i="34"/>
  <c r="I610" i="31"/>
  <c r="I399" i="25"/>
  <c r="F361" i="28"/>
  <c r="I361" i="28"/>
  <c r="X594" i="31"/>
  <c r="I606" i="31"/>
  <c r="I400" i="25"/>
  <c r="I355" i="28"/>
  <c r="I608" i="31"/>
  <c r="I607" i="31"/>
  <c r="I354" i="28"/>
  <c r="I401" i="25"/>
  <c r="I403" i="25"/>
  <c r="F403" i="25"/>
  <c r="I398" i="25"/>
  <c r="I402" i="25"/>
  <c r="A423" i="25"/>
  <c r="M304" i="28"/>
  <c r="A673" i="23"/>
  <c r="M423" i="25"/>
  <c r="I368" i="28"/>
  <c r="B368" i="28"/>
  <c r="B399" i="28"/>
  <c r="M305" i="28"/>
  <c r="A379" i="28"/>
  <c r="G408" i="25"/>
  <c r="A422" i="25"/>
  <c r="B410" i="25"/>
  <c r="G379" i="28"/>
  <c r="M379" i="28"/>
  <c r="K379" i="28"/>
  <c r="M368" i="28"/>
  <c r="F410" i="25"/>
  <c r="I379" i="28"/>
  <c r="A408" i="25"/>
  <c r="K368" i="28"/>
  <c r="D366" i="28"/>
  <c r="K408" i="25"/>
  <c r="G368" i="28"/>
  <c r="M410" i="25"/>
  <c r="D408" i="25"/>
  <c r="A378" i="28"/>
  <c r="B445" i="25"/>
  <c r="N368" i="28"/>
  <c r="X580" i="31"/>
  <c r="O638" i="31"/>
  <c r="O642" i="31"/>
  <c r="O640" i="31"/>
  <c r="F368" i="28"/>
  <c r="G366" i="28"/>
  <c r="I410" i="25"/>
  <c r="G410" i="25"/>
  <c r="K410" i="25"/>
  <c r="A368" i="28"/>
  <c r="A410" i="25"/>
  <c r="K366" i="28"/>
  <c r="K423" i="25"/>
  <c r="G423" i="25"/>
  <c r="D423" i="25"/>
  <c r="D379" i="28"/>
  <c r="N410" i="25"/>
  <c r="A366" i="28"/>
  <c r="I423" i="25"/>
  <c r="H577" i="33"/>
  <c r="AR43" i="32"/>
  <c r="AR31" i="27"/>
  <c r="X546" i="30"/>
  <c r="X554" i="30"/>
  <c r="X545" i="30"/>
  <c r="X553" i="30"/>
  <c r="X552" i="30"/>
  <c r="X544" i="30"/>
  <c r="X543" i="30"/>
  <c r="X551" i="30"/>
  <c r="W556" i="30"/>
  <c r="X542" i="30"/>
  <c r="X547" i="30"/>
  <c r="I574" i="30"/>
  <c r="I570" i="30"/>
  <c r="I566" i="30"/>
  <c r="I575" i="30"/>
  <c r="I567" i="30"/>
  <c r="I573" i="30"/>
  <c r="I565" i="30"/>
  <c r="I568" i="30"/>
  <c r="I576" i="30"/>
  <c r="I572" i="30"/>
  <c r="E583" i="30"/>
  <c r="C583" i="30"/>
  <c r="A583" i="30"/>
  <c r="D583" i="30"/>
  <c r="A481" i="26"/>
  <c r="S622" i="31"/>
  <c r="Q626" i="31"/>
  <c r="B625" i="31"/>
  <c r="Q627" i="31"/>
  <c r="S598" i="30"/>
  <c r="S595" i="30"/>
  <c r="S600" i="30"/>
  <c r="U626" i="31"/>
  <c r="A622" i="31"/>
  <c r="Q623" i="31"/>
  <c r="Q624" i="31"/>
  <c r="S624" i="31"/>
  <c r="U599" i="30"/>
  <c r="T600" i="30"/>
  <c r="A591" i="30"/>
  <c r="S592" i="30"/>
  <c r="A599" i="30"/>
  <c r="S594" i="30"/>
  <c r="T588" i="30"/>
  <c r="A595" i="30"/>
  <c r="A590" i="30"/>
  <c r="T589" i="30"/>
  <c r="T626" i="31"/>
  <c r="B626" i="31"/>
  <c r="S621" i="31"/>
  <c r="U623" i="31"/>
  <c r="Q621" i="31"/>
  <c r="S593" i="30"/>
  <c r="U593" i="30"/>
  <c r="W611" i="31"/>
  <c r="T621" i="31"/>
  <c r="T622" i="31"/>
  <c r="A626" i="31"/>
  <c r="F625" i="31"/>
  <c r="T624" i="31"/>
  <c r="A627" i="31"/>
  <c r="S590" i="30"/>
  <c r="A589" i="30"/>
  <c r="F596" i="30"/>
  <c r="U596" i="30"/>
  <c r="T623" i="31"/>
  <c r="U627" i="31"/>
  <c r="B621" i="31"/>
  <c r="U621" i="31"/>
  <c r="F622" i="31"/>
  <c r="T599" i="30"/>
  <c r="S601" i="30"/>
  <c r="U601" i="30"/>
  <c r="U590" i="30"/>
  <c r="B594" i="30"/>
  <c r="T593" i="30"/>
  <c r="A624" i="31"/>
  <c r="F623" i="31"/>
  <c r="B627" i="31"/>
  <c r="S626" i="31"/>
  <c r="W626" i="31" s="1"/>
  <c r="B622" i="31"/>
  <c r="A621" i="31"/>
  <c r="B601" i="30"/>
  <c r="U597" i="30"/>
  <c r="U595" i="30"/>
  <c r="A592" i="30"/>
  <c r="B592" i="30"/>
  <c r="U594" i="30"/>
  <c r="A598" i="30"/>
  <c r="S623" i="31"/>
  <c r="A623" i="31"/>
  <c r="B623" i="31"/>
  <c r="A625" i="31"/>
  <c r="U625" i="31"/>
  <c r="S596" i="30"/>
  <c r="W609" i="31"/>
  <c r="S591" i="30"/>
  <c r="T601" i="30"/>
  <c r="S588" i="30"/>
  <c r="S597" i="30"/>
  <c r="T596" i="30"/>
  <c r="F597" i="30"/>
  <c r="F593" i="30"/>
  <c r="W607" i="31"/>
  <c r="Q625" i="31"/>
  <c r="F626" i="31"/>
  <c r="S627" i="31"/>
  <c r="U622" i="31"/>
  <c r="W622" i="31" s="1"/>
  <c r="Q622" i="31"/>
  <c r="S589" i="30"/>
  <c r="W608" i="31"/>
  <c r="B600" i="30"/>
  <c r="W610" i="31"/>
  <c r="B590" i="30"/>
  <c r="W605" i="31"/>
  <c r="F621" i="31"/>
  <c r="F624" i="31"/>
  <c r="W627" i="31"/>
  <c r="T625" i="31"/>
  <c r="S625" i="31"/>
  <c r="A594" i="30"/>
  <c r="W606" i="31"/>
  <c r="U591" i="30"/>
  <c r="U600" i="30"/>
  <c r="U598" i="30"/>
  <c r="T597" i="30"/>
  <c r="A600" i="30"/>
  <c r="B597" i="30"/>
  <c r="S599" i="30"/>
  <c r="F627" i="31"/>
  <c r="U624" i="31"/>
  <c r="B624" i="31"/>
  <c r="T627" i="31"/>
  <c r="W621" i="31"/>
  <c r="A596" i="30"/>
  <c r="T591" i="30"/>
  <c r="B596" i="30"/>
  <c r="T594" i="30"/>
  <c r="T598" i="30"/>
  <c r="T590" i="30"/>
  <c r="T592" i="30"/>
  <c r="T595" i="30"/>
  <c r="U588" i="30"/>
  <c r="U592" i="30"/>
  <c r="F590" i="30"/>
  <c r="U589" i="30"/>
  <c r="T578" i="30"/>
  <c r="P554" i="30"/>
  <c r="P519" i="30"/>
  <c r="S571" i="30"/>
  <c r="W569" i="30"/>
  <c r="W567" i="30"/>
  <c r="P545" i="30"/>
  <c r="P527" i="30"/>
  <c r="F576" i="30"/>
  <c r="P544" i="30"/>
  <c r="W576" i="30"/>
  <c r="P496" i="30"/>
  <c r="P504" i="30"/>
  <c r="P507" i="30"/>
  <c r="P497" i="30"/>
  <c r="P509" i="30"/>
  <c r="M509" i="30" s="1"/>
  <c r="N509" i="30" s="1"/>
  <c r="P501" i="30"/>
  <c r="P502" i="30"/>
  <c r="P506" i="30"/>
  <c r="P500" i="30"/>
  <c r="P499" i="30"/>
  <c r="P505" i="30"/>
  <c r="P503" i="30"/>
  <c r="P498" i="30"/>
  <c r="P508" i="30"/>
  <c r="P522" i="30"/>
  <c r="B570" i="30"/>
  <c r="U565" i="30"/>
  <c r="W573" i="30"/>
  <c r="P531" i="30"/>
  <c r="B576" i="30"/>
  <c r="P543" i="30"/>
  <c r="P526" i="30"/>
  <c r="P525" i="30"/>
  <c r="P546" i="30"/>
  <c r="U574" i="30"/>
  <c r="P553" i="30"/>
  <c r="U575" i="30"/>
  <c r="P549" i="30"/>
  <c r="F565" i="30"/>
  <c r="F568" i="30"/>
  <c r="P548" i="30"/>
  <c r="S577" i="30"/>
  <c r="P532" i="30"/>
  <c r="M532" i="30" s="1"/>
  <c r="N532" i="30" s="1"/>
  <c r="P528" i="30"/>
  <c r="S568" i="30"/>
  <c r="F577" i="30"/>
  <c r="F570" i="30"/>
  <c r="T571" i="30"/>
  <c r="P552" i="30"/>
  <c r="P542" i="30"/>
  <c r="W566" i="30"/>
  <c r="P524" i="30"/>
  <c r="P555" i="30"/>
  <c r="M555" i="30" s="1"/>
  <c r="N555" i="30" s="1"/>
  <c r="P550" i="30"/>
  <c r="P523" i="30"/>
  <c r="U570" i="30"/>
  <c r="F569" i="30"/>
  <c r="T577" i="30"/>
  <c r="P529" i="30"/>
  <c r="P551" i="30"/>
  <c r="T569" i="30"/>
  <c r="P521" i="30"/>
  <c r="P547" i="30"/>
  <c r="S572" i="30"/>
  <c r="P520" i="30"/>
  <c r="P530" i="30"/>
  <c r="F575" i="30"/>
  <c r="F571" i="30"/>
  <c r="A566" i="30"/>
  <c r="I218" i="29"/>
  <c r="J1615" i="34"/>
  <c r="J1546" i="34"/>
  <c r="J1477" i="34"/>
  <c r="C1146" i="34"/>
  <c r="A1207" i="34"/>
  <c r="H252" i="29"/>
  <c r="W325" i="25"/>
  <c r="C1366" i="34"/>
  <c r="W251" i="28"/>
  <c r="A1345" i="34"/>
  <c r="H1210" i="34"/>
  <c r="C1351" i="34"/>
  <c r="C1069" i="34"/>
  <c r="H1004" i="34"/>
  <c r="W376" i="25"/>
  <c r="C305" i="29"/>
  <c r="A1074" i="34"/>
  <c r="H1285" i="34"/>
  <c r="W286" i="25"/>
  <c r="P462" i="30"/>
  <c r="P453" i="30"/>
  <c r="P455" i="30"/>
  <c r="P463" i="30"/>
  <c r="P461" i="30"/>
  <c r="P460" i="30"/>
  <c r="P454" i="30"/>
  <c r="P459" i="30"/>
  <c r="P452" i="30"/>
  <c r="P451" i="30"/>
  <c r="P450" i="30"/>
  <c r="A1280" i="34"/>
  <c r="A1020" i="34"/>
  <c r="A270" i="29"/>
  <c r="P412" i="30"/>
  <c r="W283" i="25"/>
  <c r="C364" i="29"/>
  <c r="H1604" i="34"/>
  <c r="A249" i="29"/>
  <c r="A417" i="25"/>
  <c r="H588" i="33"/>
  <c r="S416" i="25"/>
  <c r="H570" i="23"/>
  <c r="I365" i="29"/>
  <c r="Q419" i="25"/>
  <c r="P405" i="30"/>
  <c r="A1678" i="34"/>
  <c r="A1675" i="34"/>
  <c r="W360" i="28"/>
  <c r="B374" i="28"/>
  <c r="H547" i="23"/>
  <c r="C319" i="29"/>
  <c r="C1430" i="34"/>
  <c r="H1607" i="34"/>
  <c r="H321" i="29"/>
  <c r="W357" i="28"/>
  <c r="A413" i="25"/>
  <c r="F415" i="25"/>
  <c r="C588" i="33"/>
  <c r="C1680" i="34"/>
  <c r="A374" i="28"/>
  <c r="J1155" i="34"/>
  <c r="Q420" i="25"/>
  <c r="A355" i="29"/>
  <c r="A1682" i="34"/>
  <c r="A1611" i="34"/>
  <c r="A1436" i="34"/>
  <c r="A370" i="28"/>
  <c r="W269" i="28"/>
  <c r="A1279" i="34"/>
  <c r="C1214" i="34"/>
  <c r="A1285" i="34"/>
  <c r="H272" i="29"/>
  <c r="H1009" i="34"/>
  <c r="A1346" i="34"/>
  <c r="H1348" i="34"/>
  <c r="H269" i="29"/>
  <c r="C1002" i="34"/>
  <c r="A1146" i="34"/>
  <c r="W326" i="28"/>
  <c r="H254" i="29"/>
  <c r="W326" i="25"/>
  <c r="W300" i="25"/>
  <c r="A1139" i="34"/>
  <c r="C1000" i="34"/>
  <c r="W306" i="25"/>
  <c r="A251" i="29"/>
  <c r="I221" i="29"/>
  <c r="H1364" i="34"/>
  <c r="A1610" i="34"/>
  <c r="H1420" i="34"/>
  <c r="W324" i="28"/>
  <c r="F416" i="25"/>
  <c r="C589" i="33"/>
  <c r="A371" i="28"/>
  <c r="W358" i="28"/>
  <c r="H267" i="29"/>
  <c r="H354" i="29"/>
  <c r="F376" i="28"/>
  <c r="S374" i="28"/>
  <c r="A375" i="28"/>
  <c r="P414" i="30"/>
  <c r="B371" i="28"/>
  <c r="W397" i="25"/>
  <c r="C548" i="23"/>
  <c r="A565" i="23"/>
  <c r="A1674" i="34"/>
  <c r="C1020" i="34"/>
  <c r="H355" i="29"/>
  <c r="C568" i="23"/>
  <c r="A300" i="29"/>
  <c r="C1433" i="34"/>
  <c r="A588" i="33"/>
  <c r="C1417" i="34"/>
  <c r="A1673" i="34"/>
  <c r="J234" i="29"/>
  <c r="M633" i="31"/>
  <c r="C2620" i="34"/>
  <c r="C615" i="33"/>
  <c r="A1009" i="34"/>
  <c r="I633" i="31"/>
  <c r="F632" i="31"/>
  <c r="A1414" i="34"/>
  <c r="I364" i="29"/>
  <c r="I355" i="23"/>
  <c r="S373" i="28"/>
  <c r="H1610" i="34"/>
  <c r="F208" i="29"/>
  <c r="A574" i="23"/>
  <c r="A271" i="29"/>
  <c r="I233" i="29"/>
  <c r="A1415" i="34"/>
  <c r="H1612" i="34"/>
  <c r="A573" i="23"/>
  <c r="A354" i="29"/>
  <c r="H1277" i="34"/>
  <c r="W381" i="25"/>
  <c r="W298" i="25"/>
  <c r="A1362" i="34"/>
  <c r="A1145" i="34"/>
  <c r="W308" i="28"/>
  <c r="W301" i="25"/>
  <c r="W258" i="28"/>
  <c r="H1073" i="34"/>
  <c r="W303" i="28"/>
  <c r="H1209" i="34"/>
  <c r="H1157" i="34"/>
  <c r="H1354" i="34"/>
  <c r="W356" i="25"/>
  <c r="C1367" i="34"/>
  <c r="W321" i="25"/>
  <c r="A318" i="29"/>
  <c r="W340" i="28"/>
  <c r="W378" i="25"/>
  <c r="I883" i="34"/>
  <c r="H1226" i="34"/>
  <c r="U412" i="25"/>
  <c r="U371" i="28"/>
  <c r="A421" i="25"/>
  <c r="Q416" i="25"/>
  <c r="H2758" i="34"/>
  <c r="S412" i="25"/>
  <c r="H1419" i="34"/>
  <c r="T373" i="28"/>
  <c r="C1681" i="34"/>
  <c r="J2756" i="34"/>
  <c r="I1086" i="34"/>
  <c r="H1611" i="34"/>
  <c r="A1680" i="34"/>
  <c r="H1414" i="34"/>
  <c r="P417" i="30"/>
  <c r="A419" i="25"/>
  <c r="W356" i="28"/>
  <c r="A1417" i="34"/>
  <c r="U415" i="25"/>
  <c r="J2753" i="34"/>
  <c r="A1433" i="34"/>
  <c r="C545" i="23"/>
  <c r="Q414" i="25"/>
  <c r="I378" i="23"/>
  <c r="I1265" i="34"/>
  <c r="I584" i="33"/>
  <c r="J949" i="34"/>
  <c r="C1421" i="34"/>
  <c r="F375" i="28"/>
  <c r="A420" i="25"/>
  <c r="C1144" i="34"/>
  <c r="T371" i="28"/>
  <c r="M427" i="25"/>
  <c r="H318" i="29"/>
  <c r="F372" i="28"/>
  <c r="C1419" i="34"/>
  <c r="B415" i="25"/>
  <c r="A2756" i="34"/>
  <c r="W396" i="25"/>
  <c r="H352" i="29"/>
  <c r="H541" i="23"/>
  <c r="C1072" i="34"/>
  <c r="A1431" i="34"/>
  <c r="U421" i="25"/>
  <c r="H548" i="23"/>
  <c r="H1432" i="34"/>
  <c r="C628" i="23"/>
  <c r="H301" i="29"/>
  <c r="H1680" i="34"/>
  <c r="H353" i="29"/>
  <c r="A1418" i="34"/>
  <c r="H351" i="29"/>
  <c r="W354" i="28"/>
  <c r="H1435" i="34"/>
  <c r="Q417" i="25"/>
  <c r="S417" i="25"/>
  <c r="J951" i="34"/>
  <c r="H1416" i="34"/>
  <c r="A1278" i="34"/>
  <c r="P404" i="30"/>
  <c r="A1684" i="34"/>
  <c r="B417" i="25"/>
  <c r="C562" i="23"/>
  <c r="A357" i="29"/>
  <c r="C1420" i="34"/>
  <c r="B376" i="28"/>
  <c r="I2741" i="34"/>
  <c r="H549" i="23"/>
  <c r="F414" i="25"/>
  <c r="A1434" i="34"/>
  <c r="I1119" i="34"/>
  <c r="H551" i="23"/>
  <c r="U417" i="25"/>
  <c r="A1677" i="34"/>
  <c r="J1156" i="34"/>
  <c r="F374" i="28"/>
  <c r="H1003" i="34"/>
  <c r="I284" i="29"/>
  <c r="F418" i="25"/>
  <c r="Q377" i="28"/>
  <c r="C1431" i="34"/>
  <c r="C1499" i="34"/>
  <c r="H1431" i="34"/>
  <c r="C306" i="29"/>
  <c r="W402" i="25"/>
  <c r="C563" i="23"/>
  <c r="A1683" i="34"/>
  <c r="H1606" i="34"/>
  <c r="W284" i="25"/>
  <c r="A269" i="29"/>
  <c r="H1007" i="34"/>
  <c r="A1142" i="34"/>
  <c r="W337" i="28"/>
  <c r="H1070" i="34"/>
  <c r="C1140" i="34"/>
  <c r="C1352" i="34"/>
  <c r="A1209" i="34"/>
  <c r="C1009" i="34"/>
  <c r="A1212" i="34"/>
  <c r="W305" i="25"/>
  <c r="A1229" i="34"/>
  <c r="A1367" i="34"/>
  <c r="H288" i="29"/>
  <c r="C1350" i="34"/>
  <c r="H322" i="29"/>
  <c r="C1139" i="34"/>
  <c r="C1006" i="34"/>
  <c r="I220" i="29"/>
  <c r="A590" i="33"/>
  <c r="Q375" i="28"/>
  <c r="H564" i="23"/>
  <c r="F207" i="29"/>
  <c r="C265" i="29"/>
  <c r="A2619" i="34"/>
  <c r="H540" i="23"/>
  <c r="C1142" i="34"/>
  <c r="W299" i="25"/>
  <c r="H1147" i="34"/>
  <c r="A1077" i="34"/>
  <c r="C286" i="29"/>
  <c r="C1145" i="34"/>
  <c r="C1075" i="34"/>
  <c r="A302" i="29"/>
  <c r="A1002" i="34"/>
  <c r="C317" i="29"/>
  <c r="W282" i="25"/>
  <c r="W322" i="25"/>
  <c r="A1006" i="34"/>
  <c r="A1354" i="34"/>
  <c r="C1005" i="34"/>
  <c r="C1349" i="34"/>
  <c r="W255" i="28"/>
  <c r="P429" i="30"/>
  <c r="P439" i="30"/>
  <c r="P440" i="30"/>
  <c r="P431" i="30"/>
  <c r="P438" i="30"/>
  <c r="P430" i="30"/>
  <c r="P432" i="30"/>
  <c r="P427" i="30"/>
  <c r="P428" i="30"/>
  <c r="P437" i="30"/>
  <c r="P436" i="30"/>
  <c r="H253" i="29"/>
  <c r="H271" i="29"/>
  <c r="I215" i="29"/>
  <c r="J2758" i="34"/>
  <c r="H357" i="29"/>
  <c r="C583" i="33"/>
  <c r="H1421" i="34"/>
  <c r="S419" i="25"/>
  <c r="F371" i="28"/>
  <c r="C1423" i="34"/>
  <c r="T370" i="28"/>
  <c r="A1422" i="34"/>
  <c r="J233" i="29"/>
  <c r="T372" i="28"/>
  <c r="C564" i="23"/>
  <c r="C571" i="23"/>
  <c r="B377" i="28"/>
  <c r="A266" i="29"/>
  <c r="P413" i="30"/>
  <c r="F412" i="25"/>
  <c r="E427" i="25"/>
  <c r="A592" i="33"/>
  <c r="T419" i="25"/>
  <c r="I251" i="29"/>
  <c r="I628" i="23"/>
  <c r="W393" i="25"/>
  <c r="Q415" i="25"/>
  <c r="A1215" i="34"/>
  <c r="I285" i="29"/>
  <c r="F370" i="28"/>
  <c r="A568" i="23"/>
  <c r="A586" i="33"/>
  <c r="C2617" i="34"/>
  <c r="H1417" i="34"/>
  <c r="A1364" i="34"/>
  <c r="I583" i="33"/>
  <c r="A1432" i="34"/>
  <c r="U377" i="28"/>
  <c r="B420" i="25"/>
  <c r="C1415" i="34"/>
  <c r="C1008" i="34"/>
  <c r="F373" i="28"/>
  <c r="A566" i="23"/>
  <c r="C2618" i="34"/>
  <c r="C574" i="23"/>
  <c r="J2754" i="34"/>
  <c r="C570" i="23"/>
  <c r="T413" i="25"/>
  <c r="W307" i="25"/>
  <c r="W280" i="25"/>
  <c r="W302" i="28"/>
  <c r="W302" i="25"/>
  <c r="C1004" i="34"/>
  <c r="H1353" i="34"/>
  <c r="C250" i="29"/>
  <c r="W374" i="25"/>
  <c r="W375" i="25"/>
  <c r="C302" i="29"/>
  <c r="A1143" i="34"/>
  <c r="H1146" i="34"/>
  <c r="W317" i="25"/>
  <c r="C320" i="29"/>
  <c r="W383" i="25"/>
  <c r="C1003" i="34"/>
  <c r="C1276" i="34"/>
  <c r="W345" i="25"/>
  <c r="C303" i="29"/>
  <c r="I878" i="34"/>
  <c r="I1225" i="34"/>
  <c r="H1609" i="34"/>
  <c r="C1432" i="34"/>
  <c r="C357" i="29"/>
  <c r="A377" i="28"/>
  <c r="A571" i="23"/>
  <c r="F419" i="25"/>
  <c r="A572" i="23"/>
  <c r="A1671" i="34"/>
  <c r="C1208" i="34"/>
  <c r="E383" i="28"/>
  <c r="C365" i="29"/>
  <c r="C1429" i="34"/>
  <c r="F426" i="25"/>
  <c r="H251" i="29"/>
  <c r="P409" i="30"/>
  <c r="C1612" i="34"/>
  <c r="A1429" i="34"/>
  <c r="T420" i="25"/>
  <c r="F413" i="25"/>
  <c r="W400" i="25"/>
  <c r="H356" i="29"/>
  <c r="Q372" i="28"/>
  <c r="H571" i="23"/>
  <c r="W353" i="28"/>
  <c r="J2759" i="34"/>
  <c r="H569" i="23"/>
  <c r="H545" i="23"/>
  <c r="M383" i="28"/>
  <c r="H1608" i="34"/>
  <c r="H587" i="33"/>
  <c r="A1681" i="34"/>
  <c r="A1226" i="34"/>
  <c r="H2618" i="34"/>
  <c r="H1423" i="34"/>
  <c r="J214" i="29"/>
  <c r="A564" i="23"/>
  <c r="J219" i="29"/>
  <c r="H1615" i="34"/>
  <c r="C322" i="29"/>
  <c r="I948" i="34"/>
  <c r="E633" i="31"/>
  <c r="B413" i="25"/>
  <c r="U418" i="25"/>
  <c r="W289" i="28"/>
  <c r="C1138" i="34"/>
  <c r="W340" i="25"/>
  <c r="W339" i="25"/>
  <c r="W325" i="28"/>
  <c r="A1078" i="34"/>
  <c r="C1074" i="34"/>
  <c r="W319" i="28"/>
  <c r="A1210" i="34"/>
  <c r="W343" i="25"/>
  <c r="W320" i="28"/>
  <c r="W252" i="28"/>
  <c r="H1071" i="34"/>
  <c r="W256" i="28"/>
  <c r="C248" i="29"/>
  <c r="A1352" i="34"/>
  <c r="W355" i="25"/>
  <c r="A1276" i="34"/>
  <c r="W341" i="28"/>
  <c r="A319" i="29"/>
  <c r="A415" i="25"/>
  <c r="C572" i="23"/>
  <c r="U373" i="28"/>
  <c r="T377" i="28"/>
  <c r="A356" i="29"/>
  <c r="A1416" i="34"/>
  <c r="I302" i="29"/>
  <c r="C1678" i="34"/>
  <c r="U375" i="28"/>
  <c r="C1418" i="34"/>
  <c r="H1365" i="34"/>
  <c r="C352" i="29"/>
  <c r="F377" i="28"/>
  <c r="W399" i="25"/>
  <c r="H266" i="29"/>
  <c r="P415" i="30"/>
  <c r="B373" i="28"/>
  <c r="F382" i="28"/>
  <c r="H586" i="33"/>
  <c r="Q376" i="28"/>
  <c r="Q371" i="28"/>
  <c r="C2615" i="34"/>
  <c r="A589" i="33"/>
  <c r="C587" i="33"/>
  <c r="H1430" i="34"/>
  <c r="F420" i="25"/>
  <c r="A353" i="29"/>
  <c r="I615" i="33"/>
  <c r="A1430" i="34"/>
  <c r="S415" i="25"/>
  <c r="J2755" i="34"/>
  <c r="A1423" i="34"/>
  <c r="A373" i="28"/>
  <c r="I616" i="33"/>
  <c r="J877" i="34"/>
  <c r="C1416" i="34"/>
  <c r="U376" i="28"/>
  <c r="H287" i="29"/>
  <c r="F417" i="25"/>
  <c r="B427" i="25"/>
  <c r="A351" i="29"/>
  <c r="I629" i="23"/>
  <c r="T415" i="25"/>
  <c r="H592" i="33"/>
  <c r="B412" i="25"/>
  <c r="T414" i="25"/>
  <c r="A1435" i="34"/>
  <c r="C356" i="29"/>
  <c r="C629" i="23"/>
  <c r="I219" i="29"/>
  <c r="W318" i="25"/>
  <c r="B416" i="25"/>
  <c r="S371" i="28"/>
  <c r="C569" i="23"/>
  <c r="H1603" i="34"/>
  <c r="H546" i="23"/>
  <c r="H1614" i="34"/>
  <c r="A412" i="25"/>
  <c r="I951" i="34"/>
  <c r="A352" i="29"/>
  <c r="S420" i="25"/>
  <c r="I432" i="23"/>
  <c r="P416" i="30"/>
  <c r="A1679" i="34"/>
  <c r="U370" i="28"/>
  <c r="S372" i="28"/>
  <c r="H542" i="23"/>
  <c r="H1672" i="34"/>
  <c r="S413" i="25"/>
  <c r="H1436" i="34"/>
  <c r="I1156" i="34"/>
  <c r="U419" i="25"/>
  <c r="C1671" i="34"/>
  <c r="C207" i="29"/>
  <c r="U372" i="28"/>
  <c r="W394" i="25"/>
  <c r="C353" i="29"/>
  <c r="J2757" i="34"/>
  <c r="H544" i="23"/>
  <c r="H300" i="29"/>
  <c r="C565" i="23"/>
  <c r="T418" i="25"/>
  <c r="T421" i="25"/>
  <c r="H1679" i="34"/>
  <c r="S370" i="28"/>
  <c r="A376" i="28"/>
  <c r="H1422" i="34"/>
  <c r="J882" i="34"/>
  <c r="B419" i="25"/>
  <c r="I1050" i="34"/>
  <c r="I1018" i="34"/>
  <c r="C1608" i="34"/>
  <c r="S421" i="25"/>
  <c r="A304" i="29"/>
  <c r="H1673" i="34"/>
  <c r="A1501" i="34"/>
  <c r="C549" i="23"/>
  <c r="W342" i="25"/>
  <c r="C1207" i="34"/>
  <c r="C1073" i="34"/>
  <c r="C1076" i="34"/>
  <c r="A1351" i="34"/>
  <c r="A1070" i="34"/>
  <c r="W292" i="28"/>
  <c r="H1143" i="34"/>
  <c r="C287" i="29"/>
  <c r="C282" i="29"/>
  <c r="W306" i="28"/>
  <c r="A265" i="29"/>
  <c r="H1076" i="34"/>
  <c r="C1365" i="34"/>
  <c r="W286" i="28"/>
  <c r="A284" i="29"/>
  <c r="H1216" i="34"/>
  <c r="W341" i="25"/>
  <c r="H1075" i="34"/>
  <c r="A267" i="29"/>
  <c r="U413" i="25"/>
  <c r="P406" i="30"/>
  <c r="A587" i="33"/>
  <c r="T374" i="28"/>
  <c r="H350" i="29"/>
  <c r="C1435" i="34"/>
  <c r="A569" i="23"/>
  <c r="C1684" i="34"/>
  <c r="H284" i="29"/>
  <c r="I1224" i="34"/>
  <c r="U416" i="25"/>
  <c r="C1434" i="34"/>
  <c r="C1503" i="34"/>
  <c r="H1434" i="34"/>
  <c r="C592" i="33"/>
  <c r="C1611" i="34"/>
  <c r="T412" i="25"/>
  <c r="A1420" i="34"/>
  <c r="Q374" i="28"/>
  <c r="A414" i="25"/>
  <c r="P339" i="28"/>
  <c r="J948" i="34"/>
  <c r="B372" i="28"/>
  <c r="C1280" i="34"/>
  <c r="A1283" i="34"/>
  <c r="H1214" i="34"/>
  <c r="H1002" i="34"/>
  <c r="W274" i="28"/>
  <c r="W291" i="28"/>
  <c r="W377" i="25"/>
  <c r="H1212" i="34"/>
  <c r="C299" i="29"/>
  <c r="C269" i="29"/>
  <c r="W303" i="25"/>
  <c r="C1211" i="34"/>
  <c r="H1281" i="34"/>
  <c r="H1141" i="34"/>
  <c r="A1073" i="34"/>
  <c r="H268" i="29"/>
  <c r="A1284" i="34"/>
  <c r="W281" i="25"/>
  <c r="H1278" i="34"/>
  <c r="C1070" i="34"/>
  <c r="P411" i="30"/>
  <c r="A255" i="29"/>
  <c r="U374" i="28"/>
  <c r="C354" i="29"/>
  <c r="J284" i="29"/>
  <c r="A416" i="25"/>
  <c r="C616" i="33"/>
  <c r="C1673" i="34"/>
  <c r="S414" i="25"/>
  <c r="W398" i="25"/>
  <c r="B383" i="28"/>
  <c r="B375" i="28"/>
  <c r="P407" i="30"/>
  <c r="C2755" i="34"/>
  <c r="B414" i="25"/>
  <c r="B421" i="25"/>
  <c r="C584" i="33"/>
  <c r="H1678" i="34"/>
  <c r="J285" i="29"/>
  <c r="A1421" i="34"/>
  <c r="A567" i="23"/>
  <c r="C1672" i="34"/>
  <c r="C586" i="33"/>
  <c r="A305" i="29"/>
  <c r="C350" i="29"/>
  <c r="C547" i="23"/>
  <c r="H591" i="33"/>
  <c r="H589" i="33"/>
  <c r="H1433" i="34"/>
  <c r="T416" i="25"/>
  <c r="T417" i="25"/>
  <c r="B418" i="25"/>
  <c r="I383" i="28"/>
  <c r="A591" i="33"/>
  <c r="C1677" i="34"/>
  <c r="S375" i="28"/>
  <c r="A418" i="25"/>
  <c r="T376" i="28"/>
  <c r="Q418" i="25"/>
  <c r="C566" i="23"/>
  <c r="C1674" i="34"/>
  <c r="C1683" i="34"/>
  <c r="A1138" i="34"/>
  <c r="C266" i="29"/>
  <c r="A1007" i="34"/>
  <c r="H1282" i="34"/>
  <c r="W337" i="25"/>
  <c r="C1143" i="34"/>
  <c r="W323" i="28"/>
  <c r="C1277" i="34"/>
  <c r="H1001" i="34"/>
  <c r="C301" i="29"/>
  <c r="A1008" i="34"/>
  <c r="H1072" i="34"/>
  <c r="W268" i="28"/>
  <c r="A1347" i="34"/>
  <c r="H1347" i="34"/>
  <c r="C1363" i="34"/>
  <c r="A1140" i="34"/>
  <c r="C1361" i="34"/>
  <c r="C1285" i="34"/>
  <c r="P410" i="30"/>
  <c r="A254" i="29"/>
  <c r="H543" i="23"/>
  <c r="A350" i="29"/>
  <c r="H1415" i="34"/>
  <c r="H1418" i="34"/>
  <c r="C1422" i="34"/>
  <c r="A289" i="29"/>
  <c r="Q421" i="25"/>
  <c r="S377" i="28"/>
  <c r="Q370" i="28"/>
  <c r="U414" i="25"/>
  <c r="P338" i="28"/>
  <c r="S418" i="25"/>
  <c r="C1679" i="34"/>
  <c r="F421" i="25"/>
  <c r="P408" i="30"/>
  <c r="J2740" i="34"/>
  <c r="A372" i="28"/>
  <c r="A548" i="23"/>
  <c r="W401" i="25"/>
  <c r="A2617" i="34"/>
  <c r="I301" i="29"/>
  <c r="Q373" i="28"/>
  <c r="C351" i="29"/>
  <c r="I267" i="29"/>
  <c r="W355" i="28"/>
  <c r="T375" i="28"/>
  <c r="W395" i="25"/>
  <c r="C590" i="33"/>
  <c r="I427" i="25"/>
  <c r="H563" i="23"/>
  <c r="A1676" i="34"/>
  <c r="I1155" i="34"/>
  <c r="C591" i="33"/>
  <c r="C1414" i="34"/>
  <c r="W359" i="25"/>
  <c r="U420" i="25"/>
  <c r="Q413" i="25"/>
  <c r="C355" i="29"/>
  <c r="H1144" i="34"/>
  <c r="B633" i="31"/>
  <c r="S376" i="28"/>
  <c r="H1605" i="34"/>
  <c r="H1503" i="34"/>
  <c r="B370" i="28"/>
  <c r="W288" i="25"/>
  <c r="A1419" i="34"/>
  <c r="W359" i="28"/>
  <c r="Q412" i="25"/>
  <c r="H590" i="33"/>
  <c r="A562" i="23"/>
  <c r="C300" i="29"/>
  <c r="A570" i="23"/>
  <c r="A2755" i="34"/>
  <c r="M410" i="30" l="1"/>
  <c r="N410" i="30" s="1"/>
  <c r="M411" i="30"/>
  <c r="N411" i="30" s="1"/>
  <c r="M412" i="30"/>
  <c r="N412" i="30" s="1"/>
  <c r="M392" i="30"/>
  <c r="N392" i="30" s="1"/>
  <c r="M393" i="30"/>
  <c r="N393" i="30" s="1"/>
  <c r="M359" i="30"/>
  <c r="N359" i="30" s="1"/>
  <c r="M384" i="30"/>
  <c r="N384" i="30" s="1"/>
  <c r="M361" i="30"/>
  <c r="N361" i="30" s="1"/>
  <c r="M390" i="30"/>
  <c r="N390" i="30" s="1"/>
  <c r="M382" i="30"/>
  <c r="N382" i="30" s="1"/>
  <c r="M391" i="30"/>
  <c r="N391" i="30" s="1"/>
  <c r="M383" i="30"/>
  <c r="N383" i="30" s="1"/>
  <c r="M385" i="30"/>
  <c r="N385" i="30" s="1"/>
  <c r="M386" i="30"/>
  <c r="N386" i="30" s="1"/>
  <c r="M360" i="30"/>
  <c r="N360" i="30" s="1"/>
  <c r="M370" i="30"/>
  <c r="N370" i="30" s="1"/>
  <c r="M367" i="30"/>
  <c r="N367" i="30" s="1"/>
  <c r="M363" i="30"/>
  <c r="N363" i="30" s="1"/>
  <c r="M362" i="30"/>
  <c r="N362" i="30" s="1"/>
  <c r="M368" i="30"/>
  <c r="N368" i="30" s="1"/>
  <c r="M369" i="30"/>
  <c r="N369" i="30" s="1"/>
  <c r="N221" i="28"/>
  <c r="X464" i="30"/>
  <c r="X418" i="30"/>
  <c r="W276" i="28"/>
  <c r="X268" i="28"/>
  <c r="X323" i="28"/>
  <c r="X337" i="25"/>
  <c r="X281" i="25"/>
  <c r="X303" i="25"/>
  <c r="X377" i="25"/>
  <c r="X291" i="28"/>
  <c r="X274" i="28"/>
  <c r="X341" i="25"/>
  <c r="X286" i="28"/>
  <c r="W293" i="28"/>
  <c r="X306" i="28"/>
  <c r="X292" i="28"/>
  <c r="X342" i="25"/>
  <c r="X341" i="28"/>
  <c r="X355" i="25"/>
  <c r="X256" i="28"/>
  <c r="X252" i="28"/>
  <c r="X320" i="28"/>
  <c r="X343" i="25"/>
  <c r="X319" i="28"/>
  <c r="X325" i="28"/>
  <c r="X339" i="25"/>
  <c r="X340" i="25"/>
  <c r="X289" i="28"/>
  <c r="X345" i="25"/>
  <c r="X383" i="25"/>
  <c r="X317" i="25"/>
  <c r="X375" i="25"/>
  <c r="X374" i="25"/>
  <c r="X302" i="25"/>
  <c r="W310" i="28"/>
  <c r="X302" i="28"/>
  <c r="X280" i="25"/>
  <c r="X307" i="25"/>
  <c r="G436" i="30"/>
  <c r="R436" i="30"/>
  <c r="K436" i="30" s="1"/>
  <c r="G437" i="30"/>
  <c r="R437" i="30"/>
  <c r="K437" i="30" s="1"/>
  <c r="G428" i="30"/>
  <c r="R428" i="30"/>
  <c r="K428" i="30" s="1"/>
  <c r="G427" i="30"/>
  <c r="G441" i="30"/>
  <c r="R427" i="30"/>
  <c r="M427" i="30" s="1"/>
  <c r="N427" i="30" s="1"/>
  <c r="R432" i="30"/>
  <c r="K432" i="30" s="1"/>
  <c r="G432" i="30"/>
  <c r="G430" i="30"/>
  <c r="R430" i="30"/>
  <c r="K430" i="30" s="1"/>
  <c r="G438" i="30"/>
  <c r="R438" i="30"/>
  <c r="K438" i="30" s="1"/>
  <c r="R431" i="30"/>
  <c r="K431" i="30" s="1"/>
  <c r="G431" i="30"/>
  <c r="R440" i="30"/>
  <c r="K440" i="30" s="1"/>
  <c r="R439" i="30"/>
  <c r="K439" i="30" s="1"/>
  <c r="G439" i="30"/>
  <c r="G429" i="30"/>
  <c r="R429" i="30"/>
  <c r="K429" i="30" s="1"/>
  <c r="X255" i="28"/>
  <c r="X322" i="25"/>
  <c r="X282" i="25"/>
  <c r="X299" i="25"/>
  <c r="X305" i="25"/>
  <c r="W344" i="28"/>
  <c r="X337" i="28"/>
  <c r="X284" i="25"/>
  <c r="X378" i="25"/>
  <c r="X340" i="28"/>
  <c r="X321" i="25"/>
  <c r="X356" i="25"/>
  <c r="X303" i="28"/>
  <c r="X258" i="28"/>
  <c r="X301" i="25"/>
  <c r="X308" i="28"/>
  <c r="X298" i="25"/>
  <c r="X381" i="25"/>
  <c r="X306" i="25"/>
  <c r="X300" i="25"/>
  <c r="X326" i="25"/>
  <c r="X326" i="28"/>
  <c r="X269" i="28"/>
  <c r="G464" i="30"/>
  <c r="G450" i="30"/>
  <c r="R450" i="30"/>
  <c r="M450" i="30" s="1"/>
  <c r="N450" i="30" s="1"/>
  <c r="G451" i="30"/>
  <c r="R451" i="30"/>
  <c r="K451" i="30" s="1"/>
  <c r="G452" i="30"/>
  <c r="R452" i="30"/>
  <c r="K452" i="30" s="1"/>
  <c r="R459" i="30"/>
  <c r="K459" i="30" s="1"/>
  <c r="G459" i="30"/>
  <c r="G454" i="30"/>
  <c r="R454" i="30"/>
  <c r="K454" i="30" s="1"/>
  <c r="R460" i="30"/>
  <c r="K460" i="30" s="1"/>
  <c r="G460" i="30"/>
  <c r="R461" i="30"/>
  <c r="K461" i="30" s="1"/>
  <c r="G461" i="30"/>
  <c r="R463" i="30"/>
  <c r="K463" i="30" s="1"/>
  <c r="R455" i="30"/>
  <c r="K455" i="30" s="1"/>
  <c r="G455" i="30"/>
  <c r="G453" i="30"/>
  <c r="R453" i="30"/>
  <c r="K453" i="30" s="1"/>
  <c r="G462" i="30"/>
  <c r="R462" i="30"/>
  <c r="K462" i="30" s="1"/>
  <c r="X286" i="25"/>
  <c r="X376" i="25"/>
  <c r="W259" i="28"/>
  <c r="X251" i="28"/>
  <c r="X325" i="25"/>
  <c r="M239" i="28"/>
  <c r="V387" i="30"/>
  <c r="R412" i="30"/>
  <c r="K412" i="30" s="1"/>
  <c r="G412" i="30"/>
  <c r="R410" i="30"/>
  <c r="K410" i="30" s="1"/>
  <c r="G410" i="30"/>
  <c r="G411" i="30"/>
  <c r="R411" i="30"/>
  <c r="K411" i="30" s="1"/>
  <c r="N224" i="28"/>
  <c r="V224" i="28" s="1"/>
  <c r="F2764" i="34"/>
  <c r="X510" i="30"/>
  <c r="M235" i="28"/>
  <c r="E2764" i="34"/>
  <c r="K358" i="30"/>
  <c r="M371" i="30"/>
  <c r="M394" i="30"/>
  <c r="N223" i="28"/>
  <c r="N218" i="28"/>
  <c r="X288" i="25"/>
  <c r="H307" i="29"/>
  <c r="H1148" i="34"/>
  <c r="H290" i="29"/>
  <c r="H324" i="29"/>
  <c r="X359" i="25"/>
  <c r="H1010" i="34"/>
  <c r="R416" i="30"/>
  <c r="K416" i="30" s="1"/>
  <c r="G416" i="30"/>
  <c r="R415" i="30"/>
  <c r="K415" i="30" s="1"/>
  <c r="G415" i="30"/>
  <c r="R409" i="30"/>
  <c r="K409" i="30" s="1"/>
  <c r="G409" i="30"/>
  <c r="G413" i="30"/>
  <c r="R413" i="30"/>
  <c r="K413" i="30" s="1"/>
  <c r="G418" i="30"/>
  <c r="G404" i="30"/>
  <c r="R404" i="30"/>
  <c r="K404" i="30" s="1"/>
  <c r="R417" i="30"/>
  <c r="M417" i="30" s="1"/>
  <c r="G414" i="30"/>
  <c r="R414" i="30"/>
  <c r="K414" i="30" s="1"/>
  <c r="G405" i="30"/>
  <c r="R405" i="30"/>
  <c r="K405" i="30" s="1"/>
  <c r="R408" i="30"/>
  <c r="K408" i="30" s="1"/>
  <c r="G408" i="30"/>
  <c r="G407" i="30"/>
  <c r="R407" i="30"/>
  <c r="K407" i="30" s="1"/>
  <c r="G406" i="30"/>
  <c r="R406" i="30"/>
  <c r="K406" i="30" s="1"/>
  <c r="H273" i="29"/>
  <c r="H256" i="29"/>
  <c r="R508" i="30"/>
  <c r="K508" i="30" s="1"/>
  <c r="G508" i="30"/>
  <c r="R498" i="30"/>
  <c r="K498" i="30" s="1"/>
  <c r="G498" i="30"/>
  <c r="G503" i="30"/>
  <c r="R503" i="30"/>
  <c r="K503" i="30" s="1"/>
  <c r="G505" i="30"/>
  <c r="R505" i="30"/>
  <c r="K505" i="30" s="1"/>
  <c r="R499" i="30"/>
  <c r="K499" i="30" s="1"/>
  <c r="G499" i="30"/>
  <c r="G500" i="30"/>
  <c r="R500" i="30"/>
  <c r="K500" i="30" s="1"/>
  <c r="G506" i="30"/>
  <c r="R506" i="30"/>
  <c r="K506" i="30" s="1"/>
  <c r="R502" i="30"/>
  <c r="K502" i="30" s="1"/>
  <c r="G502" i="30"/>
  <c r="G501" i="30"/>
  <c r="R501" i="30"/>
  <c r="K501" i="30" s="1"/>
  <c r="R509" i="30"/>
  <c r="G497" i="30"/>
  <c r="R497" i="30"/>
  <c r="K497" i="30" s="1"/>
  <c r="R507" i="30"/>
  <c r="K507" i="30" s="1"/>
  <c r="G507" i="30"/>
  <c r="R504" i="30"/>
  <c r="K504" i="30" s="1"/>
  <c r="G504" i="30"/>
  <c r="G510" i="30"/>
  <c r="G496" i="30"/>
  <c r="R496" i="30"/>
  <c r="V496" i="30" s="1"/>
  <c r="X324" i="28"/>
  <c r="W327" i="28"/>
  <c r="H1230" i="34"/>
  <c r="H1368" i="34"/>
  <c r="X283" i="25"/>
  <c r="X318" i="25"/>
  <c r="M241" i="28"/>
  <c r="K381" i="30"/>
  <c r="M238" i="28"/>
  <c r="M240" i="28"/>
  <c r="K372" i="30"/>
  <c r="K242" i="28"/>
  <c r="V217" i="28"/>
  <c r="M234" i="28"/>
  <c r="V381" i="30"/>
  <c r="K395" i="30"/>
  <c r="F563" i="30"/>
  <c r="V222" i="28"/>
  <c r="K473" i="30"/>
  <c r="K487" i="30"/>
  <c r="K486" i="30"/>
  <c r="H2622" i="34"/>
  <c r="H1437" i="34"/>
  <c r="M253" i="28"/>
  <c r="V435" i="30"/>
  <c r="N254" i="28"/>
  <c r="V254" i="28" s="1"/>
  <c r="M271" i="28"/>
  <c r="N271" i="28" s="1"/>
  <c r="X622" i="31"/>
  <c r="I621" i="31"/>
  <c r="X626" i="31"/>
  <c r="X621" i="31"/>
  <c r="I622" i="31"/>
  <c r="I624" i="31"/>
  <c r="I627" i="31"/>
  <c r="I623" i="31"/>
  <c r="X627" i="31"/>
  <c r="I626" i="31"/>
  <c r="I628" i="31"/>
  <c r="F628" i="31"/>
  <c r="I625" i="31"/>
  <c r="N270" i="28"/>
  <c r="V270" i="28" s="1"/>
  <c r="B209" i="28"/>
  <c r="V237" i="28"/>
  <c r="X573" i="30"/>
  <c r="R549" i="30"/>
  <c r="K549" i="30" s="1"/>
  <c r="G549" i="30"/>
  <c r="R550" i="30"/>
  <c r="K550" i="30" s="1"/>
  <c r="G550" i="30"/>
  <c r="R548" i="30"/>
  <c r="K548" i="30" s="1"/>
  <c r="G548" i="30"/>
  <c r="R525" i="30"/>
  <c r="K525" i="30" s="1"/>
  <c r="G525" i="30"/>
  <c r="R526" i="30"/>
  <c r="K526" i="30" s="1"/>
  <c r="G526" i="30"/>
  <c r="R527" i="30"/>
  <c r="K527" i="30" s="1"/>
  <c r="G527" i="30"/>
  <c r="X395" i="25"/>
  <c r="X353" i="28"/>
  <c r="X360" i="28"/>
  <c r="X400" i="25"/>
  <c r="M321" i="28"/>
  <c r="X354" i="28"/>
  <c r="X607" i="31"/>
  <c r="X402" i="25"/>
  <c r="X398" i="25"/>
  <c r="X355" i="28"/>
  <c r="X394" i="25"/>
  <c r="X358" i="28"/>
  <c r="X356" i="28"/>
  <c r="H358" i="29"/>
  <c r="X359" i="28"/>
  <c r="R524" i="30"/>
  <c r="K524" i="30" s="1"/>
  <c r="G524" i="30"/>
  <c r="R530" i="30"/>
  <c r="K530" i="30" s="1"/>
  <c r="G530" i="30"/>
  <c r="G529" i="30"/>
  <c r="R529" i="30"/>
  <c r="K529" i="30" s="1"/>
  <c r="G523" i="30"/>
  <c r="R523" i="30"/>
  <c r="K523" i="30" s="1"/>
  <c r="R522" i="30"/>
  <c r="K522" i="30" s="1"/>
  <c r="G522" i="30"/>
  <c r="R532" i="30"/>
  <c r="G531" i="30"/>
  <c r="R531" i="30"/>
  <c r="K531" i="30" s="1"/>
  <c r="G528" i="30"/>
  <c r="R528" i="30"/>
  <c r="K528" i="30" s="1"/>
  <c r="R520" i="30"/>
  <c r="K520" i="30" s="1"/>
  <c r="G520" i="30"/>
  <c r="R521" i="30"/>
  <c r="K521" i="30" s="1"/>
  <c r="G521" i="30"/>
  <c r="G533" i="30"/>
  <c r="G519" i="30"/>
  <c r="R519" i="30"/>
  <c r="X401" i="25"/>
  <c r="X610" i="31"/>
  <c r="X357" i="28"/>
  <c r="W361" i="28"/>
  <c r="H1424" i="34"/>
  <c r="X399" i="25"/>
  <c r="G338" i="28"/>
  <c r="R338" i="28"/>
  <c r="K338" i="28" s="1"/>
  <c r="G339" i="28"/>
  <c r="R339" i="28"/>
  <c r="K339" i="28" s="1"/>
  <c r="X609" i="31"/>
  <c r="X393" i="25"/>
  <c r="I569" i="30"/>
  <c r="I371" i="28"/>
  <c r="I376" i="28"/>
  <c r="I415" i="25"/>
  <c r="I412" i="25"/>
  <c r="I421" i="25"/>
  <c r="M643" i="31"/>
  <c r="N643" i="31" s="1"/>
  <c r="G640" i="31"/>
  <c r="X642" i="31"/>
  <c r="G643" i="31"/>
  <c r="B643" i="31"/>
  <c r="G635" i="31"/>
  <c r="W642" i="31"/>
  <c r="T639" i="31"/>
  <c r="B642" i="31"/>
  <c r="T642" i="31"/>
  <c r="G642" i="31"/>
  <c r="A642" i="31"/>
  <c r="K639" i="31"/>
  <c r="G641" i="31"/>
  <c r="K642" i="31"/>
  <c r="K641" i="31"/>
  <c r="Q641" i="31"/>
  <c r="V638" i="31"/>
  <c r="V639" i="31"/>
  <c r="V641" i="31"/>
  <c r="P639" i="31"/>
  <c r="F641" i="31"/>
  <c r="X637" i="31"/>
  <c r="X638" i="31"/>
  <c r="X640" i="31"/>
  <c r="R638" i="31"/>
  <c r="I640" i="31"/>
  <c r="A637" i="31"/>
  <c r="L645" i="31"/>
  <c r="B640" i="31"/>
  <c r="K635" i="31"/>
  <c r="U639" i="31"/>
  <c r="B635" i="31"/>
  <c r="B645" i="31"/>
  <c r="R639" i="31"/>
  <c r="H645" i="31"/>
  <c r="A638" i="31"/>
  <c r="M635" i="31"/>
  <c r="I643" i="31"/>
  <c r="K638" i="31"/>
  <c r="F642" i="31"/>
  <c r="F635" i="31"/>
  <c r="R642" i="31"/>
  <c r="W641" i="31"/>
  <c r="N635" i="31"/>
  <c r="W639" i="31"/>
  <c r="F639" i="31"/>
  <c r="X639" i="31"/>
  <c r="F640" i="31"/>
  <c r="F643" i="31"/>
  <c r="F638" i="31"/>
  <c r="K637" i="31"/>
  <c r="B639" i="31"/>
  <c r="S639" i="31"/>
  <c r="S642" i="31"/>
  <c r="G637" i="31"/>
  <c r="D645" i="31"/>
  <c r="I637" i="31"/>
  <c r="U638" i="31"/>
  <c r="U641" i="31"/>
  <c r="M644" i="31"/>
  <c r="K643" i="31"/>
  <c r="I641" i="31"/>
  <c r="A635" i="31"/>
  <c r="A640" i="31"/>
  <c r="T640" i="31"/>
  <c r="U643" i="31"/>
  <c r="I635" i="31"/>
  <c r="S638" i="31"/>
  <c r="S640" i="31"/>
  <c r="G645" i="31"/>
  <c r="I638" i="31"/>
  <c r="M639" i="31"/>
  <c r="N639" i="31" s="1"/>
  <c r="V643" i="31"/>
  <c r="U637" i="31"/>
  <c r="W638" i="31"/>
  <c r="R637" i="31"/>
  <c r="K633" i="31"/>
  <c r="Q637" i="31"/>
  <c r="G644" i="31"/>
  <c r="X643" i="31"/>
  <c r="D633" i="31"/>
  <c r="U642" i="31"/>
  <c r="W643" i="31"/>
  <c r="I644" i="31"/>
  <c r="Q640" i="31"/>
  <c r="U640" i="31"/>
  <c r="B641" i="31"/>
  <c r="K645" i="31"/>
  <c r="R641" i="31"/>
  <c r="A644" i="31"/>
  <c r="R643" i="31"/>
  <c r="I645" i="31"/>
  <c r="Q639" i="31"/>
  <c r="P640" i="31"/>
  <c r="B638" i="31"/>
  <c r="P643" i="31"/>
  <c r="T638" i="31"/>
  <c r="V644" i="31"/>
  <c r="Q643" i="31"/>
  <c r="Q642" i="31"/>
  <c r="F637" i="31"/>
  <c r="M640" i="31"/>
  <c r="N640" i="31" s="1"/>
  <c r="S637" i="31"/>
  <c r="S643" i="31"/>
  <c r="M642" i="31"/>
  <c r="N642" i="31" s="1"/>
  <c r="I639" i="31"/>
  <c r="M638" i="31"/>
  <c r="N638" i="31" s="1"/>
  <c r="W637" i="31"/>
  <c r="A633" i="31"/>
  <c r="A645" i="31"/>
  <c r="F644" i="31"/>
  <c r="N645" i="31"/>
  <c r="G639" i="31"/>
  <c r="E645" i="31"/>
  <c r="V637" i="31"/>
  <c r="K644" i="31"/>
  <c r="M637" i="31"/>
  <c r="N637" i="31" s="1"/>
  <c r="B637" i="31"/>
  <c r="X644" i="31"/>
  <c r="J645" i="31"/>
  <c r="I642" i="31"/>
  <c r="M645" i="31"/>
  <c r="M641" i="31"/>
  <c r="N641" i="31" s="1"/>
  <c r="T643" i="31"/>
  <c r="W640" i="31"/>
  <c r="V642" i="31"/>
  <c r="T637" i="31"/>
  <c r="X641" i="31"/>
  <c r="A643" i="31"/>
  <c r="P641" i="31"/>
  <c r="S641" i="31"/>
  <c r="R640" i="31"/>
  <c r="A639" i="31"/>
  <c r="W644" i="31"/>
  <c r="G633" i="31"/>
  <c r="G638" i="31"/>
  <c r="A641" i="31"/>
  <c r="Q638" i="31"/>
  <c r="P642" i="31"/>
  <c r="K640" i="31"/>
  <c r="P638" i="31"/>
  <c r="T641" i="31"/>
  <c r="P637" i="31"/>
  <c r="V640" i="31"/>
  <c r="X608" i="31"/>
  <c r="I413" i="25"/>
  <c r="X396" i="25"/>
  <c r="X611" i="31"/>
  <c r="I419" i="25"/>
  <c r="H1616" i="34"/>
  <c r="I418" i="25"/>
  <c r="I414" i="25"/>
  <c r="I577" i="30"/>
  <c r="I420" i="25"/>
  <c r="I571" i="30"/>
  <c r="F579" i="30"/>
  <c r="I579" i="30"/>
  <c r="X397" i="25"/>
  <c r="I375" i="28"/>
  <c r="I372" i="28"/>
  <c r="X606" i="31"/>
  <c r="I578" i="30"/>
  <c r="F422" i="25"/>
  <c r="I422" i="25"/>
  <c r="I374" i="28"/>
  <c r="I377" i="28"/>
  <c r="I373" i="28"/>
  <c r="I378" i="28"/>
  <c r="F378" i="28"/>
  <c r="I417" i="25"/>
  <c r="I416" i="25"/>
  <c r="I370" i="28"/>
  <c r="X605" i="31"/>
  <c r="F385" i="28"/>
  <c r="M442" i="25"/>
  <c r="G383" i="28"/>
  <c r="A395" i="28"/>
  <c r="V287" i="28"/>
  <c r="D427" i="25"/>
  <c r="M396" i="28"/>
  <c r="G396" i="28"/>
  <c r="A383" i="28"/>
  <c r="B429" i="25"/>
  <c r="A441" i="25"/>
  <c r="D396" i="28"/>
  <c r="G427" i="25"/>
  <c r="D442" i="25"/>
  <c r="A396" i="28"/>
  <c r="M322" i="28"/>
  <c r="M429" i="25"/>
  <c r="N429" i="25"/>
  <c r="G385" i="28"/>
  <c r="A696" i="23"/>
  <c r="G442" i="25"/>
  <c r="K442" i="25"/>
  <c r="K427" i="25"/>
  <c r="N305" i="28"/>
  <c r="K383" i="28"/>
  <c r="D383" i="28"/>
  <c r="A429" i="25"/>
  <c r="N385" i="28"/>
  <c r="K385" i="28"/>
  <c r="N304" i="28"/>
  <c r="X596" i="31"/>
  <c r="B464" i="25"/>
  <c r="A427" i="25"/>
  <c r="A442" i="25"/>
  <c r="I396" i="28"/>
  <c r="B416" i="28"/>
  <c r="I442" i="25"/>
  <c r="F429" i="25"/>
  <c r="A385" i="28"/>
  <c r="M385" i="28"/>
  <c r="K396" i="28"/>
  <c r="B385" i="28"/>
  <c r="K429" i="25"/>
  <c r="G429" i="25"/>
  <c r="I385" i="28"/>
  <c r="I429" i="25"/>
  <c r="H593" i="33"/>
  <c r="AR32" i="27"/>
  <c r="X556" i="30"/>
  <c r="X569" i="30"/>
  <c r="X567" i="30"/>
  <c r="G545" i="30"/>
  <c r="R545" i="30"/>
  <c r="K545" i="30" s="1"/>
  <c r="R555" i="30"/>
  <c r="R552" i="30"/>
  <c r="K552" i="30" s="1"/>
  <c r="G552" i="30"/>
  <c r="G544" i="30"/>
  <c r="R544" i="30"/>
  <c r="K544" i="30" s="1"/>
  <c r="G551" i="30"/>
  <c r="R551" i="30"/>
  <c r="K551" i="30" s="1"/>
  <c r="R554" i="30"/>
  <c r="K554" i="30" s="1"/>
  <c r="G554" i="30"/>
  <c r="G542" i="30"/>
  <c r="G556" i="30"/>
  <c r="R542" i="30"/>
  <c r="R547" i="30"/>
  <c r="K547" i="30" s="1"/>
  <c r="G547" i="30"/>
  <c r="R546" i="30"/>
  <c r="K546" i="30" s="1"/>
  <c r="G546" i="30"/>
  <c r="R543" i="30"/>
  <c r="K543" i="30" s="1"/>
  <c r="G543" i="30"/>
  <c r="R553" i="30"/>
  <c r="K553" i="30" s="1"/>
  <c r="G553" i="30"/>
  <c r="X566" i="30"/>
  <c r="X576" i="30"/>
  <c r="I601" i="30"/>
  <c r="I597" i="30"/>
  <c r="I593" i="30"/>
  <c r="I589" i="30"/>
  <c r="I598" i="30"/>
  <c r="I594" i="30"/>
  <c r="I590" i="30"/>
  <c r="I592" i="30"/>
  <c r="I600" i="30"/>
  <c r="I588" i="30"/>
  <c r="I596" i="30"/>
  <c r="I595" i="30"/>
  <c r="I591" i="30"/>
  <c r="I599" i="30"/>
  <c r="A606" i="30"/>
  <c r="C606" i="30"/>
  <c r="E606" i="30"/>
  <c r="D606" i="30"/>
  <c r="A500" i="26"/>
  <c r="S617" i="30"/>
  <c r="W624" i="31"/>
  <c r="S616" i="30"/>
  <c r="F615" i="30"/>
  <c r="A614" i="30"/>
  <c r="T621" i="30"/>
  <c r="F612" i="30"/>
  <c r="A620" i="30"/>
  <c r="T616" i="30"/>
  <c r="A613" i="30"/>
  <c r="U611" i="30"/>
  <c r="B622" i="30"/>
  <c r="T619" i="30"/>
  <c r="B598" i="30"/>
  <c r="F598" i="30"/>
  <c r="B612" i="30"/>
  <c r="F623" i="30"/>
  <c r="A588" i="30"/>
  <c r="A624" i="30"/>
  <c r="A618" i="30"/>
  <c r="S612" i="30"/>
  <c r="U618" i="30"/>
  <c r="W590" i="30"/>
  <c r="F591" i="30"/>
  <c r="B620" i="30"/>
  <c r="T622" i="30"/>
  <c r="W595" i="30"/>
  <c r="F620" i="30"/>
  <c r="A597" i="30"/>
  <c r="A623" i="30"/>
  <c r="T624" i="30"/>
  <c r="U614" i="30"/>
  <c r="B617" i="30"/>
  <c r="A616" i="30"/>
  <c r="F621" i="30"/>
  <c r="B613" i="30"/>
  <c r="W594" i="30"/>
  <c r="U622" i="30"/>
  <c r="A593" i="30"/>
  <c r="A622" i="30"/>
  <c r="S624" i="30"/>
  <c r="W625" i="31"/>
  <c r="F613" i="30"/>
  <c r="T611" i="30"/>
  <c r="F619" i="30"/>
  <c r="W588" i="30"/>
  <c r="F601" i="30"/>
  <c r="B614" i="30"/>
  <c r="W593" i="30"/>
  <c r="S619" i="30"/>
  <c r="B599" i="30"/>
  <c r="A615" i="30"/>
  <c r="U615" i="30"/>
  <c r="W589" i="30"/>
  <c r="B618" i="30"/>
  <c r="U616" i="30"/>
  <c r="W597" i="30"/>
  <c r="F614" i="30"/>
  <c r="S623" i="30"/>
  <c r="B621" i="30"/>
  <c r="B589" i="30"/>
  <c r="B619" i="30"/>
  <c r="A612" i="30"/>
  <c r="S621" i="30"/>
  <c r="F616" i="30"/>
  <c r="S611" i="30"/>
  <c r="U617" i="30"/>
  <c r="B595" i="30"/>
  <c r="F589" i="30"/>
  <c r="B591" i="30"/>
  <c r="T615" i="30"/>
  <c r="A601" i="30"/>
  <c r="U624" i="30"/>
  <c r="T613" i="30"/>
  <c r="F594" i="30"/>
  <c r="B611" i="30"/>
  <c r="F592" i="30"/>
  <c r="T612" i="30"/>
  <c r="B588" i="30"/>
  <c r="S620" i="30"/>
  <c r="A619" i="30"/>
  <c r="W599" i="30"/>
  <c r="A621" i="30"/>
  <c r="F595" i="30"/>
  <c r="A611" i="30"/>
  <c r="F588" i="30"/>
  <c r="B593" i="30"/>
  <c r="S622" i="30"/>
  <c r="W600" i="30"/>
  <c r="W591" i="30"/>
  <c r="F622" i="30"/>
  <c r="A617" i="30"/>
  <c r="W623" i="31"/>
  <c r="W598" i="30"/>
  <c r="W592" i="30"/>
  <c r="B615" i="30"/>
  <c r="W596" i="30"/>
  <c r="S618" i="30"/>
  <c r="B623" i="30"/>
  <c r="F599" i="30"/>
  <c r="F600" i="30"/>
  <c r="S615" i="30"/>
  <c r="B624" i="30"/>
  <c r="B616" i="30"/>
  <c r="F624" i="30"/>
  <c r="W568" i="30"/>
  <c r="W565" i="30"/>
  <c r="W572" i="30"/>
  <c r="W570" i="30"/>
  <c r="W571" i="30"/>
  <c r="W574" i="30"/>
  <c r="W577" i="30"/>
  <c r="W575" i="30"/>
  <c r="J218" i="29"/>
  <c r="P269" i="28"/>
  <c r="P274" i="28"/>
  <c r="P273" i="28"/>
  <c r="P275" i="28"/>
  <c r="P272" i="28"/>
  <c r="P268" i="28"/>
  <c r="I455" i="23"/>
  <c r="J384" i="23"/>
  <c r="I1056" i="34"/>
  <c r="J883" i="34"/>
  <c r="I1058" i="34"/>
  <c r="A393" i="28"/>
  <c r="J476" i="23"/>
  <c r="C603" i="33"/>
  <c r="P356" i="28"/>
  <c r="I952" i="34"/>
  <c r="C1682" i="34"/>
  <c r="W413" i="25"/>
  <c r="A1750" i="34"/>
  <c r="U437" i="25"/>
  <c r="H567" i="23"/>
  <c r="P353" i="28"/>
  <c r="J1224" i="34"/>
  <c r="U435" i="25"/>
  <c r="S392" i="28"/>
  <c r="H1742" i="34"/>
  <c r="I470" i="23"/>
  <c r="A439" i="25"/>
  <c r="A1485" i="34"/>
  <c r="I1404" i="34"/>
  <c r="F394" i="28"/>
  <c r="H1502" i="34"/>
  <c r="H565" i="23"/>
  <c r="I318" i="29"/>
  <c r="P355" i="28"/>
  <c r="S431" i="25"/>
  <c r="F393" i="28"/>
  <c r="M446" i="25"/>
  <c r="A1492" i="34"/>
  <c r="Q391" i="28"/>
  <c r="P285" i="28"/>
  <c r="P292" i="28"/>
  <c r="P290" i="28"/>
  <c r="P286" i="28"/>
  <c r="P291" i="28"/>
  <c r="P289" i="28"/>
  <c r="I236" i="29"/>
  <c r="I1334" i="34"/>
  <c r="J1125" i="34"/>
  <c r="I361" i="23"/>
  <c r="J220" i="29"/>
  <c r="I363" i="23"/>
  <c r="S436" i="25"/>
  <c r="I478" i="23"/>
  <c r="H566" i="23"/>
  <c r="P354" i="28"/>
  <c r="I946" i="34"/>
  <c r="U394" i="28"/>
  <c r="C594" i="23"/>
  <c r="Q392" i="28"/>
  <c r="P357" i="28"/>
  <c r="J1474" i="34"/>
  <c r="A586" i="23"/>
  <c r="I360" i="33"/>
  <c r="I1015" i="34"/>
  <c r="T432" i="25"/>
  <c r="C1487" i="34"/>
  <c r="A1483" i="34"/>
  <c r="I505" i="23"/>
  <c r="A1484" i="34"/>
  <c r="Q439" i="25"/>
  <c r="J1476" i="34"/>
  <c r="I471" i="23"/>
  <c r="I367" i="23"/>
  <c r="A390" i="28"/>
  <c r="A1489" i="34"/>
  <c r="H622" i="33"/>
  <c r="H1483" i="34"/>
  <c r="I1053" i="34"/>
  <c r="A374" i="29"/>
  <c r="A1502" i="34"/>
  <c r="A591" i="23"/>
  <c r="I1120" i="34"/>
  <c r="C1749" i="34"/>
  <c r="H1677" i="34"/>
  <c r="P303" i="28"/>
  <c r="P308" i="28"/>
  <c r="P309" i="28"/>
  <c r="P306" i="28"/>
  <c r="P302" i="28"/>
  <c r="P307" i="28"/>
  <c r="I387" i="23"/>
  <c r="I1332" i="34"/>
  <c r="I430" i="23"/>
  <c r="I1051" i="34"/>
  <c r="I1060" i="34"/>
  <c r="I382" i="23"/>
  <c r="Q394" i="28"/>
  <c r="W636" i="31"/>
  <c r="C621" i="33"/>
  <c r="S439" i="25"/>
  <c r="I503" i="23"/>
  <c r="I231" i="29"/>
  <c r="H1748" i="34"/>
  <c r="A431" i="25"/>
  <c r="A592" i="23"/>
  <c r="A1498" i="34"/>
  <c r="C1500" i="34"/>
  <c r="Q432" i="25"/>
  <c r="C624" i="33"/>
  <c r="I446" i="25"/>
  <c r="H603" i="33"/>
  <c r="F389" i="28"/>
  <c r="I1464" i="34"/>
  <c r="U436" i="25"/>
  <c r="A368" i="29"/>
  <c r="S438" i="25"/>
  <c r="C1490" i="34"/>
  <c r="I1062" i="34"/>
  <c r="A372" i="29"/>
  <c r="H1492" i="34"/>
  <c r="J1225" i="34"/>
  <c r="C367" i="29"/>
  <c r="I1396" i="34"/>
  <c r="I358" i="23"/>
  <c r="J1018" i="34"/>
  <c r="A438" i="25"/>
  <c r="I1084" i="34"/>
  <c r="I379" i="23"/>
  <c r="T438" i="25"/>
  <c r="U389" i="28"/>
  <c r="J432" i="23"/>
  <c r="U431" i="25"/>
  <c r="J355" i="23"/>
  <c r="B434" i="25"/>
  <c r="A603" i="33"/>
  <c r="I1017" i="34"/>
  <c r="C371" i="29"/>
  <c r="F434" i="25"/>
  <c r="I1201" i="34"/>
  <c r="A596" i="23"/>
  <c r="H368" i="29"/>
  <c r="A388" i="28"/>
  <c r="H371" i="29"/>
  <c r="I473" i="23"/>
  <c r="U434" i="25"/>
  <c r="H1486" i="34"/>
  <c r="B393" i="28"/>
  <c r="I1055" i="34"/>
  <c r="C606" i="33"/>
  <c r="H606" i="33"/>
  <c r="H602" i="33"/>
  <c r="J505" i="23"/>
  <c r="I1397" i="34"/>
  <c r="H1484" i="34"/>
  <c r="F392" i="28"/>
  <c r="W371" i="28"/>
  <c r="H1500" i="34"/>
  <c r="A371" i="29"/>
  <c r="H618" i="33"/>
  <c r="I493" i="23"/>
  <c r="A1504" i="34"/>
  <c r="T439" i="25"/>
  <c r="A1751" i="34"/>
  <c r="I1128" i="34"/>
  <c r="I453" i="23"/>
  <c r="I1263" i="34"/>
  <c r="I356" i="23"/>
  <c r="I365" i="23"/>
  <c r="I1123" i="34"/>
  <c r="I1401" i="34"/>
  <c r="I1087" i="34"/>
  <c r="C381" i="29"/>
  <c r="J267" i="29"/>
  <c r="H1682" i="34"/>
  <c r="P326" i="28"/>
  <c r="C1498" i="34"/>
  <c r="C1746" i="34"/>
  <c r="C608" i="33"/>
  <c r="C607" i="33"/>
  <c r="C1504" i="34"/>
  <c r="I482" i="23"/>
  <c r="C1505" i="34"/>
  <c r="J378" i="23"/>
  <c r="I382" i="29"/>
  <c r="T388" i="28"/>
  <c r="I476" i="23"/>
  <c r="H370" i="29"/>
  <c r="F440" i="25"/>
  <c r="I1475" i="34"/>
  <c r="A620" i="33"/>
  <c r="C573" i="23"/>
  <c r="C1486" i="34"/>
  <c r="I504" i="23"/>
  <c r="S437" i="25"/>
  <c r="I1124" i="34"/>
  <c r="I1360" i="34"/>
  <c r="H605" i="33"/>
  <c r="S389" i="28"/>
  <c r="J301" i="29"/>
  <c r="A389" i="28"/>
  <c r="A437" i="25"/>
  <c r="I472" i="23"/>
  <c r="J1401" i="34"/>
  <c r="C373" i="29"/>
  <c r="J1050" i="34"/>
  <c r="A1741" i="34"/>
  <c r="Q433" i="25"/>
  <c r="H1676" i="34"/>
  <c r="I1405" i="34"/>
  <c r="U432" i="25"/>
  <c r="A1746" i="34"/>
  <c r="I1474" i="34"/>
  <c r="I360" i="23"/>
  <c r="B446" i="25"/>
  <c r="A1567" i="34"/>
  <c r="A622" i="33"/>
  <c r="A391" i="28"/>
  <c r="P336" i="28"/>
  <c r="P343" i="28"/>
  <c r="P337" i="28"/>
  <c r="P340" i="28"/>
  <c r="P341" i="28"/>
  <c r="P342" i="28"/>
  <c r="I431" i="23"/>
  <c r="I385" i="23"/>
  <c r="I386" i="23"/>
  <c r="I381" i="23"/>
  <c r="I362" i="23"/>
  <c r="I364" i="23"/>
  <c r="I1398" i="34"/>
  <c r="H562" i="23"/>
  <c r="F387" i="28"/>
  <c r="B437" i="25"/>
  <c r="P319" i="28"/>
  <c r="H367" i="29"/>
  <c r="P360" i="28"/>
  <c r="A1505" i="34"/>
  <c r="U440" i="25"/>
  <c r="B387" i="28"/>
  <c r="W420" i="25"/>
  <c r="J1086" i="34"/>
  <c r="J1119" i="34"/>
  <c r="U393" i="28"/>
  <c r="F438" i="25"/>
  <c r="A595" i="23"/>
  <c r="T436" i="25"/>
  <c r="Q436" i="25"/>
  <c r="H572" i="23"/>
  <c r="I1402" i="34"/>
  <c r="P358" i="28"/>
  <c r="J1265" i="34"/>
  <c r="A593" i="23"/>
  <c r="I383" i="23"/>
  <c r="B208" i="29"/>
  <c r="C1744" i="34"/>
  <c r="F437" i="25"/>
  <c r="I1400" i="34"/>
  <c r="J268" i="29"/>
  <c r="T389" i="28"/>
  <c r="I381" i="29"/>
  <c r="W414" i="25"/>
  <c r="W370" i="28"/>
  <c r="C1485" i="34"/>
  <c r="I424" i="23"/>
  <c r="I1257" i="34"/>
  <c r="I1264" i="34"/>
  <c r="I1126" i="34"/>
  <c r="I1127" i="34"/>
  <c r="I1122" i="34"/>
  <c r="I1057" i="34"/>
  <c r="I1059" i="34"/>
  <c r="F435" i="25"/>
  <c r="C370" i="29"/>
  <c r="A618" i="33"/>
  <c r="W417" i="25"/>
  <c r="F432" i="25"/>
  <c r="P324" i="28"/>
  <c r="C619" i="33"/>
  <c r="C622" i="33"/>
  <c r="U392" i="28"/>
  <c r="A1503" i="34"/>
  <c r="A589" i="23"/>
  <c r="U388" i="28"/>
  <c r="C382" i="29"/>
  <c r="B431" i="25"/>
  <c r="Q387" i="28"/>
  <c r="C1492" i="34"/>
  <c r="A436" i="25"/>
  <c r="I477" i="23"/>
  <c r="S435" i="25"/>
  <c r="E400" i="28"/>
  <c r="C372" i="29"/>
  <c r="W372" i="28"/>
  <c r="W377" i="28"/>
  <c r="F445" i="25"/>
  <c r="A604" i="33"/>
  <c r="A394" i="28"/>
  <c r="W376" i="28"/>
  <c r="H1505" i="34"/>
  <c r="T437" i="25"/>
  <c r="I599" i="33"/>
  <c r="S434" i="25"/>
  <c r="C599" i="33"/>
  <c r="S440" i="25"/>
  <c r="S433" i="25"/>
  <c r="C1502" i="34"/>
  <c r="A621" i="33"/>
  <c r="I1395" i="34"/>
  <c r="I651" i="23"/>
  <c r="Q431" i="25"/>
  <c r="S432" i="25"/>
  <c r="C623" i="33"/>
  <c r="I1052" i="34"/>
  <c r="H620" i="33"/>
  <c r="C600" i="33"/>
  <c r="H624" i="33"/>
  <c r="A432" i="25"/>
  <c r="T431" i="25"/>
  <c r="I357" i="23"/>
  <c r="B400" i="28"/>
  <c r="H372" i="29"/>
  <c r="B439" i="25"/>
  <c r="U387" i="28"/>
  <c r="C1484" i="34"/>
  <c r="Q388" i="28"/>
  <c r="I600" i="33"/>
  <c r="A1491" i="34"/>
  <c r="F433" i="25"/>
  <c r="A605" i="33"/>
  <c r="C567" i="23"/>
  <c r="I1399" i="34"/>
  <c r="H1504" i="34"/>
  <c r="H1498" i="34"/>
  <c r="Q434" i="25"/>
  <c r="H1501" i="34"/>
  <c r="P252" i="28"/>
  <c r="P257" i="28"/>
  <c r="P256" i="28"/>
  <c r="P258" i="28"/>
  <c r="P251" i="28"/>
  <c r="P255" i="28"/>
  <c r="I454" i="23"/>
  <c r="J454" i="23"/>
  <c r="I1054" i="34"/>
  <c r="I1121" i="34"/>
  <c r="I1129" i="34"/>
  <c r="J215" i="29"/>
  <c r="A619" i="33"/>
  <c r="H619" i="33"/>
  <c r="A1500" i="34"/>
  <c r="A387" i="28"/>
  <c r="P323" i="28"/>
  <c r="S393" i="28"/>
  <c r="T394" i="28"/>
  <c r="U390" i="28"/>
  <c r="A367" i="29"/>
  <c r="C1676" i="34"/>
  <c r="W419" i="25"/>
  <c r="H373" i="29"/>
  <c r="J1475" i="34"/>
  <c r="I481" i="23"/>
  <c r="H1749" i="34"/>
  <c r="B391" i="28"/>
  <c r="W374" i="28"/>
  <c r="H573" i="23"/>
  <c r="H1489" i="34"/>
  <c r="H608" i="33"/>
  <c r="C604" i="33"/>
  <c r="A440" i="25"/>
  <c r="C1742" i="34"/>
  <c r="U439" i="25"/>
  <c r="H1745" i="34"/>
  <c r="H374" i="29"/>
  <c r="W421" i="25"/>
  <c r="H574" i="23"/>
  <c r="C1748" i="34"/>
  <c r="A1490" i="34"/>
  <c r="A1747" i="34"/>
  <c r="E446" i="25"/>
  <c r="C1752" i="34"/>
  <c r="B389" i="28"/>
  <c r="U391" i="28"/>
  <c r="H594" i="23"/>
  <c r="A373" i="29"/>
  <c r="W375" i="28"/>
  <c r="B438" i="25"/>
  <c r="B394" i="28"/>
  <c r="I235" i="29"/>
  <c r="H1485" i="34"/>
  <c r="B432" i="25"/>
  <c r="F388" i="28"/>
  <c r="A433" i="25"/>
  <c r="I950" i="34"/>
  <c r="I1403" i="34"/>
  <c r="T387" i="28"/>
  <c r="A597" i="23"/>
  <c r="C618" i="33"/>
  <c r="C1483" i="34"/>
  <c r="I400" i="28"/>
  <c r="I1293" i="34"/>
  <c r="B388" i="28"/>
  <c r="H587" i="23"/>
  <c r="Q435" i="25"/>
  <c r="C605" i="33"/>
  <c r="H1499" i="34"/>
  <c r="A624" i="33"/>
  <c r="I475" i="23"/>
  <c r="H604" i="33"/>
  <c r="I238" i="29"/>
  <c r="B440" i="25"/>
  <c r="C1489" i="34"/>
  <c r="C591" i="23"/>
  <c r="A607" i="33"/>
  <c r="I1333" i="34"/>
  <c r="J1333" i="34"/>
  <c r="I359" i="23"/>
  <c r="I380" i="23"/>
  <c r="I388" i="23"/>
  <c r="J878" i="34"/>
  <c r="S394" i="28"/>
  <c r="A1487" i="34"/>
  <c r="I1408" i="34"/>
  <c r="A1743" i="34"/>
  <c r="P325" i="28"/>
  <c r="A392" i="28"/>
  <c r="I652" i="23"/>
  <c r="Q440" i="25"/>
  <c r="I1407" i="34"/>
  <c r="C652" i="23"/>
  <c r="C651" i="23"/>
  <c r="I1326" i="34"/>
  <c r="S391" i="28"/>
  <c r="C1753" i="34"/>
  <c r="J503" i="23"/>
  <c r="Q438" i="25"/>
  <c r="A623" i="33"/>
  <c r="A1672" i="34"/>
  <c r="I474" i="23"/>
  <c r="C368" i="29"/>
  <c r="J302" i="29"/>
  <c r="H1681" i="34"/>
  <c r="C593" i="23"/>
  <c r="F399" i="28"/>
  <c r="I1222" i="34"/>
  <c r="A588" i="23"/>
  <c r="I479" i="23"/>
  <c r="T390" i="28"/>
  <c r="Q390" i="28"/>
  <c r="F436" i="25"/>
  <c r="U438" i="25"/>
  <c r="T392" i="28"/>
  <c r="W415" i="25"/>
  <c r="H1671" i="34"/>
  <c r="S387" i="28"/>
  <c r="H593" i="23"/>
  <c r="W416" i="25"/>
  <c r="I1406" i="34"/>
  <c r="C369" i="29"/>
  <c r="C1491" i="34"/>
  <c r="B433" i="25"/>
  <c r="I366" i="23"/>
  <c r="C602" i="33"/>
  <c r="A1499" i="34"/>
  <c r="H1488" i="34"/>
  <c r="U433" i="25"/>
  <c r="T393" i="28"/>
  <c r="Q437" i="25"/>
  <c r="I268" i="29"/>
  <c r="I1061" i="34"/>
  <c r="C587" i="23"/>
  <c r="H1684" i="34"/>
  <c r="I1125" i="34"/>
  <c r="J455" i="23"/>
  <c r="I947" i="34"/>
  <c r="I1063" i="34"/>
  <c r="I1131" i="34"/>
  <c r="I1130" i="34"/>
  <c r="B436" i="25"/>
  <c r="J1087" i="34"/>
  <c r="C620" i="33"/>
  <c r="T433" i="25"/>
  <c r="P320" i="28"/>
  <c r="I1476" i="34"/>
  <c r="S390" i="28"/>
  <c r="C1501" i="34"/>
  <c r="I1294" i="34"/>
  <c r="A602" i="33"/>
  <c r="H623" i="33"/>
  <c r="H1491" i="34"/>
  <c r="C1488" i="34"/>
  <c r="C597" i="23"/>
  <c r="H1675" i="34"/>
  <c r="M400" i="28"/>
  <c r="P359" i="28"/>
  <c r="I480" i="23"/>
  <c r="W373" i="28"/>
  <c r="I1153" i="34"/>
  <c r="W412" i="25"/>
  <c r="W418" i="25"/>
  <c r="A369" i="29"/>
  <c r="A434" i="25"/>
  <c r="A606" i="33"/>
  <c r="I384" i="23"/>
  <c r="J1334" i="34"/>
  <c r="I232" i="29"/>
  <c r="I1132" i="34"/>
  <c r="I390" i="23"/>
  <c r="I389" i="23"/>
  <c r="T434" i="25"/>
  <c r="J504" i="23"/>
  <c r="Q389" i="28"/>
  <c r="I237" i="29"/>
  <c r="A1488" i="34"/>
  <c r="J251" i="29"/>
  <c r="H1683" i="34"/>
  <c r="H1487" i="34"/>
  <c r="H1490" i="34"/>
  <c r="A587" i="23"/>
  <c r="H590" i="23"/>
  <c r="H369" i="29"/>
  <c r="Q393" i="28"/>
  <c r="C374" i="29"/>
  <c r="T440" i="25"/>
  <c r="B390" i="28"/>
  <c r="T435" i="25"/>
  <c r="B392" i="28"/>
  <c r="A370" i="29"/>
  <c r="H621" i="33"/>
  <c r="H607" i="33"/>
  <c r="T391" i="28"/>
  <c r="C1675" i="34"/>
  <c r="A435" i="25"/>
  <c r="F431" i="25"/>
  <c r="A1486" i="34"/>
  <c r="A1742" i="34"/>
  <c r="B435" i="25"/>
  <c r="A608" i="33"/>
  <c r="A563" i="23"/>
  <c r="I953" i="34"/>
  <c r="F439" i="25"/>
  <c r="I319" i="29"/>
  <c r="F390" i="28"/>
  <c r="I447" i="23"/>
  <c r="H568" i="23"/>
  <c r="S388" i="28"/>
  <c r="I250" i="29"/>
  <c r="H1674" i="34"/>
  <c r="F391" i="28"/>
  <c r="M439" i="30" l="1"/>
  <c r="N439" i="30" s="1"/>
  <c r="M453" i="30"/>
  <c r="N453" i="30" s="1"/>
  <c r="M455" i="30"/>
  <c r="N455" i="30" s="1"/>
  <c r="M461" i="30"/>
  <c r="N461" i="30" s="1"/>
  <c r="M460" i="30"/>
  <c r="N460" i="30" s="1"/>
  <c r="M462" i="30"/>
  <c r="N462" i="30" s="1"/>
  <c r="M454" i="30"/>
  <c r="N454" i="30" s="1"/>
  <c r="M459" i="30"/>
  <c r="N459" i="30" s="1"/>
  <c r="M452" i="30"/>
  <c r="N452" i="30" s="1"/>
  <c r="M432" i="30"/>
  <c r="N432" i="30" s="1"/>
  <c r="M451" i="30"/>
  <c r="N451" i="30" s="1"/>
  <c r="M429" i="30"/>
  <c r="N429" i="30" s="1"/>
  <c r="M431" i="30"/>
  <c r="N431" i="30" s="1"/>
  <c r="M438" i="30"/>
  <c r="N438" i="30" s="1"/>
  <c r="M430" i="30"/>
  <c r="N430" i="30" s="1"/>
  <c r="M413" i="30"/>
  <c r="N413" i="30" s="1"/>
  <c r="M409" i="30"/>
  <c r="N409" i="30" s="1"/>
  <c r="M415" i="30"/>
  <c r="N415" i="30" s="1"/>
  <c r="M428" i="30"/>
  <c r="N428" i="30" s="1"/>
  <c r="M437" i="30"/>
  <c r="N437" i="30" s="1"/>
  <c r="M436" i="30"/>
  <c r="N436" i="30" s="1"/>
  <c r="M404" i="30"/>
  <c r="N404" i="30" s="1"/>
  <c r="M416" i="30"/>
  <c r="N416" i="30" s="1"/>
  <c r="M406" i="30"/>
  <c r="N406" i="30" s="1"/>
  <c r="M407" i="30"/>
  <c r="N407" i="30" s="1"/>
  <c r="M405" i="30"/>
  <c r="N405" i="30" s="1"/>
  <c r="M414" i="30"/>
  <c r="N414" i="30" s="1"/>
  <c r="M408" i="30"/>
  <c r="N408" i="30" s="1"/>
  <c r="V221" i="28"/>
  <c r="K450" i="30"/>
  <c r="M440" i="30"/>
  <c r="K427" i="30"/>
  <c r="X276" i="28"/>
  <c r="X308" i="25"/>
  <c r="X384" i="25"/>
  <c r="X344" i="28"/>
  <c r="X310" i="28"/>
  <c r="M463" i="30"/>
  <c r="K441" i="30"/>
  <c r="X259" i="28"/>
  <c r="K464" i="30"/>
  <c r="X346" i="25"/>
  <c r="X293" i="28"/>
  <c r="G255" i="28"/>
  <c r="R255" i="28"/>
  <c r="K255" i="28" s="1"/>
  <c r="R251" i="28"/>
  <c r="M251" i="28" s="1"/>
  <c r="N251" i="28" s="1"/>
  <c r="G251" i="28"/>
  <c r="G259" i="28"/>
  <c r="G258" i="28"/>
  <c r="R258" i="28"/>
  <c r="K258" i="28" s="1"/>
  <c r="R256" i="28"/>
  <c r="K256" i="28" s="1"/>
  <c r="G256" i="28"/>
  <c r="G257" i="28"/>
  <c r="R257" i="28"/>
  <c r="K257" i="28" s="1"/>
  <c r="G252" i="28"/>
  <c r="R252" i="28"/>
  <c r="K252" i="28" s="1"/>
  <c r="G342" i="28"/>
  <c r="R342" i="28"/>
  <c r="K342" i="28" s="1"/>
  <c r="R341" i="28"/>
  <c r="K341" i="28" s="1"/>
  <c r="G341" i="28"/>
  <c r="R340" i="28"/>
  <c r="K340" i="28" s="1"/>
  <c r="G340" i="28"/>
  <c r="G337" i="28"/>
  <c r="R337" i="28"/>
  <c r="K337" i="28" s="1"/>
  <c r="R343" i="28"/>
  <c r="K343" i="28" s="1"/>
  <c r="G343" i="28"/>
  <c r="R336" i="28"/>
  <c r="M336" i="28" s="1"/>
  <c r="N336" i="28" s="1"/>
  <c r="G336" i="28"/>
  <c r="G344" i="28"/>
  <c r="G307" i="28"/>
  <c r="R307" i="28"/>
  <c r="K307" i="28" s="1"/>
  <c r="G302" i="28"/>
  <c r="R302" i="28"/>
  <c r="M302" i="28" s="1"/>
  <c r="N302" i="28" s="1"/>
  <c r="V302" i="28" s="1"/>
  <c r="G310" i="28"/>
  <c r="R306" i="28"/>
  <c r="K306" i="28" s="1"/>
  <c r="G306" i="28"/>
  <c r="G309" i="28"/>
  <c r="R309" i="28"/>
  <c r="K309" i="28" s="1"/>
  <c r="G308" i="28"/>
  <c r="R308" i="28"/>
  <c r="K308" i="28" s="1"/>
  <c r="R303" i="28"/>
  <c r="K303" i="28" s="1"/>
  <c r="G303" i="28"/>
  <c r="R289" i="28"/>
  <c r="K289" i="28" s="1"/>
  <c r="G289" i="28"/>
  <c r="G291" i="28"/>
  <c r="R291" i="28"/>
  <c r="K291" i="28" s="1"/>
  <c r="R286" i="28"/>
  <c r="K286" i="28" s="1"/>
  <c r="G286" i="28"/>
  <c r="G290" i="28"/>
  <c r="R290" i="28"/>
  <c r="K290" i="28" s="1"/>
  <c r="R292" i="28"/>
  <c r="K292" i="28" s="1"/>
  <c r="G292" i="28"/>
  <c r="G285" i="28"/>
  <c r="G293" i="28"/>
  <c r="R285" i="28"/>
  <c r="M285" i="28" s="1"/>
  <c r="N285" i="28" s="1"/>
  <c r="G276" i="28"/>
  <c r="G268" i="28"/>
  <c r="R268" i="28"/>
  <c r="M268" i="28" s="1"/>
  <c r="R272" i="28"/>
  <c r="K272" i="28" s="1"/>
  <c r="G272" i="28"/>
  <c r="R275" i="28"/>
  <c r="K275" i="28" s="1"/>
  <c r="G275" i="28"/>
  <c r="G273" i="28"/>
  <c r="R273" i="28"/>
  <c r="K273" i="28" s="1"/>
  <c r="R274" i="28"/>
  <c r="K274" i="28" s="1"/>
  <c r="G274" i="28"/>
  <c r="R269" i="28"/>
  <c r="K269" i="28" s="1"/>
  <c r="G269" i="28"/>
  <c r="X327" i="28"/>
  <c r="X365" i="25"/>
  <c r="X327" i="25"/>
  <c r="N239" i="28"/>
  <c r="V434" i="30"/>
  <c r="V456" i="30"/>
  <c r="V433" i="30"/>
  <c r="V458" i="30"/>
  <c r="V457" i="30"/>
  <c r="N235" i="28"/>
  <c r="V365" i="30"/>
  <c r="V368" i="30"/>
  <c r="V223" i="28"/>
  <c r="J885" i="34"/>
  <c r="E901" i="34" s="1"/>
  <c r="K509" i="30"/>
  <c r="X289" i="25"/>
  <c r="K496" i="30"/>
  <c r="K510" i="30"/>
  <c r="V218" i="28"/>
  <c r="V225" i="28" s="1"/>
  <c r="M225" i="28"/>
  <c r="H226" i="28" s="1"/>
  <c r="V385" i="30"/>
  <c r="K417" i="30"/>
  <c r="L226" i="28"/>
  <c r="G320" i="28"/>
  <c r="R320" i="28"/>
  <c r="K320" i="28" s="1"/>
  <c r="R325" i="28"/>
  <c r="K325" i="28" s="1"/>
  <c r="G325" i="28"/>
  <c r="G323" i="28"/>
  <c r="R323" i="28"/>
  <c r="K323" i="28" s="1"/>
  <c r="R324" i="28"/>
  <c r="K324" i="28" s="1"/>
  <c r="G324" i="28"/>
  <c r="R319" i="28"/>
  <c r="M319" i="28" s="1"/>
  <c r="G319" i="28"/>
  <c r="G327" i="28"/>
  <c r="G326" i="28"/>
  <c r="R326" i="28"/>
  <c r="K326" i="28" s="1"/>
  <c r="V360" i="30"/>
  <c r="V363" i="30"/>
  <c r="N238" i="28"/>
  <c r="V382" i="30"/>
  <c r="N241" i="28"/>
  <c r="V386" i="30"/>
  <c r="V358" i="30"/>
  <c r="N234" i="28"/>
  <c r="N240" i="28"/>
  <c r="K418" i="30"/>
  <c r="F586" i="30"/>
  <c r="V479" i="30"/>
  <c r="X623" i="31"/>
  <c r="H625" i="33"/>
  <c r="X625" i="31"/>
  <c r="H1506" i="34"/>
  <c r="X624" i="31"/>
  <c r="N253" i="28"/>
  <c r="N321" i="28"/>
  <c r="V321" i="28" s="1"/>
  <c r="V271" i="28"/>
  <c r="X571" i="30"/>
  <c r="X572" i="30"/>
  <c r="V550" i="30"/>
  <c r="V527" i="30"/>
  <c r="K519" i="30"/>
  <c r="X361" i="28"/>
  <c r="X577" i="30"/>
  <c r="X417" i="25"/>
  <c r="H375" i="29"/>
  <c r="X372" i="28"/>
  <c r="X575" i="30"/>
  <c r="X574" i="30"/>
  <c r="X419" i="25"/>
  <c r="X565" i="30"/>
  <c r="X377" i="28"/>
  <c r="X568" i="30"/>
  <c r="K532" i="30"/>
  <c r="K533" i="30"/>
  <c r="X612" i="31"/>
  <c r="M339" i="28"/>
  <c r="G355" i="28"/>
  <c r="R355" i="28"/>
  <c r="K355" i="28" s="1"/>
  <c r="G359" i="28"/>
  <c r="R359" i="28"/>
  <c r="K359" i="28" s="1"/>
  <c r="G356" i="28"/>
  <c r="R356" i="28"/>
  <c r="K356" i="28" s="1"/>
  <c r="G357" i="28"/>
  <c r="R357" i="28"/>
  <c r="K357" i="28" s="1"/>
  <c r="G354" i="28"/>
  <c r="R354" i="28"/>
  <c r="K354" i="28" s="1"/>
  <c r="G353" i="28"/>
  <c r="R353" i="28"/>
  <c r="M353" i="28" s="1"/>
  <c r="G361" i="28"/>
  <c r="G360" i="28"/>
  <c r="R360" i="28"/>
  <c r="K360" i="28" s="1"/>
  <c r="R358" i="28"/>
  <c r="K358" i="28" s="1"/>
  <c r="G358" i="28"/>
  <c r="X416" i="25"/>
  <c r="W579" i="30"/>
  <c r="X570" i="30"/>
  <c r="X370" i="28"/>
  <c r="H1493" i="34"/>
  <c r="X420" i="25"/>
  <c r="X415" i="25"/>
  <c r="X374" i="28"/>
  <c r="X421" i="25"/>
  <c r="X373" i="28"/>
  <c r="X412" i="25"/>
  <c r="X371" i="28"/>
  <c r="M338" i="28"/>
  <c r="X403" i="25"/>
  <c r="I432" i="25"/>
  <c r="I438" i="25"/>
  <c r="I395" i="28"/>
  <c r="F395" i="28"/>
  <c r="I433" i="25"/>
  <c r="I391" i="28"/>
  <c r="I434" i="25"/>
  <c r="I437" i="25"/>
  <c r="I439" i="25"/>
  <c r="I392" i="28"/>
  <c r="I393" i="28"/>
  <c r="X413" i="25"/>
  <c r="I387" i="28"/>
  <c r="I394" i="28"/>
  <c r="X418" i="25"/>
  <c r="H1685" i="34"/>
  <c r="I440" i="25"/>
  <c r="I431" i="25"/>
  <c r="I389" i="28"/>
  <c r="I435" i="25"/>
  <c r="I388" i="28"/>
  <c r="X376" i="28"/>
  <c r="I436" i="25"/>
  <c r="I602" i="30"/>
  <c r="F602" i="30"/>
  <c r="X375" i="28"/>
  <c r="W378" i="28"/>
  <c r="X414" i="25"/>
  <c r="I390" i="28"/>
  <c r="F441" i="25"/>
  <c r="I441" i="25"/>
  <c r="I461" i="25"/>
  <c r="N402" i="28"/>
  <c r="A412" i="28"/>
  <c r="A448" i="25"/>
  <c r="G400" i="28"/>
  <c r="A402" i="28"/>
  <c r="F448" i="25"/>
  <c r="G446" i="25"/>
  <c r="M461" i="25"/>
  <c r="A413" i="28"/>
  <c r="D413" i="28"/>
  <c r="B433" i="28"/>
  <c r="D400" i="28"/>
  <c r="V305" i="28"/>
  <c r="K446" i="25"/>
  <c r="B448" i="25"/>
  <c r="I413" i="28"/>
  <c r="K461" i="25"/>
  <c r="A400" i="28"/>
  <c r="F402" i="28"/>
  <c r="I448" i="25"/>
  <c r="A461" i="25"/>
  <c r="G461" i="25"/>
  <c r="I402" i="28"/>
  <c r="A446" i="25"/>
  <c r="G413" i="28"/>
  <c r="B483" i="25"/>
  <c r="A460" i="25"/>
  <c r="K400" i="28"/>
  <c r="K448" i="25"/>
  <c r="G402" i="28"/>
  <c r="B402" i="28"/>
  <c r="N448" i="25"/>
  <c r="M413" i="28"/>
  <c r="A719" i="23"/>
  <c r="K413" i="28"/>
  <c r="M448" i="25"/>
  <c r="G448" i="25"/>
  <c r="M402" i="28"/>
  <c r="N322" i="28"/>
  <c r="V304" i="28"/>
  <c r="D446" i="25"/>
  <c r="K402" i="28"/>
  <c r="D461" i="25"/>
  <c r="V542" i="30"/>
  <c r="V519" i="30"/>
  <c r="V506" i="30"/>
  <c r="V507" i="30"/>
  <c r="H609" i="33"/>
  <c r="AR33" i="27"/>
  <c r="K555" i="30"/>
  <c r="W602" i="30"/>
  <c r="X588" i="30"/>
  <c r="X597" i="30"/>
  <c r="X600" i="30"/>
  <c r="X598" i="30"/>
  <c r="X599" i="30"/>
  <c r="X590" i="30"/>
  <c r="X592" i="30"/>
  <c r="X594" i="30"/>
  <c r="X596" i="30"/>
  <c r="X591" i="30"/>
  <c r="X593" i="30"/>
  <c r="X589" i="30"/>
  <c r="X595" i="30"/>
  <c r="K556" i="30"/>
  <c r="K542" i="30"/>
  <c r="I616" i="30"/>
  <c r="I612" i="30"/>
  <c r="I613" i="30"/>
  <c r="I622" i="30"/>
  <c r="I621" i="30"/>
  <c r="I624" i="30"/>
  <c r="I619" i="30"/>
  <c r="I615" i="30"/>
  <c r="I611" i="30"/>
  <c r="E629" i="30"/>
  <c r="C629" i="30"/>
  <c r="A629" i="30"/>
  <c r="D629" i="30"/>
  <c r="A519" i="26"/>
  <c r="P600" i="30"/>
  <c r="U638" i="30"/>
  <c r="F636" i="30"/>
  <c r="W617" i="30"/>
  <c r="B634" i="30"/>
  <c r="B644" i="30"/>
  <c r="F640" i="30"/>
  <c r="P599" i="30"/>
  <c r="A634" i="30"/>
  <c r="A639" i="30"/>
  <c r="F644" i="30"/>
  <c r="A643" i="30"/>
  <c r="T623" i="30"/>
  <c r="W615" i="30"/>
  <c r="P597" i="30"/>
  <c r="F618" i="30"/>
  <c r="A635" i="30"/>
  <c r="P589" i="30"/>
  <c r="T614" i="30"/>
  <c r="P594" i="30"/>
  <c r="F634" i="30"/>
  <c r="P596" i="30"/>
  <c r="T642" i="30"/>
  <c r="W616" i="30"/>
  <c r="U620" i="30"/>
  <c r="U619" i="30"/>
  <c r="P592" i="30"/>
  <c r="A640" i="30"/>
  <c r="F641" i="30"/>
  <c r="B635" i="30"/>
  <c r="S646" i="30"/>
  <c r="A636" i="30"/>
  <c r="P588" i="30"/>
  <c r="P590" i="30"/>
  <c r="A646" i="30"/>
  <c r="F639" i="30"/>
  <c r="P601" i="30"/>
  <c r="M601" i="30" s="1"/>
  <c r="N601" i="30" s="1"/>
  <c r="F611" i="30"/>
  <c r="B639" i="30"/>
  <c r="W622" i="30"/>
  <c r="P598" i="30"/>
  <c r="W611" i="30"/>
  <c r="U643" i="30"/>
  <c r="T618" i="30"/>
  <c r="U634" i="30"/>
  <c r="W618" i="30"/>
  <c r="U621" i="30"/>
  <c r="U644" i="30"/>
  <c r="A638" i="30"/>
  <c r="B643" i="30"/>
  <c r="S641" i="30"/>
  <c r="S613" i="30"/>
  <c r="P591" i="30"/>
  <c r="T639" i="30"/>
  <c r="U642" i="30"/>
  <c r="P593" i="30"/>
  <c r="F647" i="30"/>
  <c r="U641" i="30"/>
  <c r="F646" i="30"/>
  <c r="T620" i="30"/>
  <c r="F645" i="30"/>
  <c r="A645" i="30"/>
  <c r="B645" i="30"/>
  <c r="U645" i="30"/>
  <c r="U637" i="30"/>
  <c r="B642" i="30"/>
  <c r="F643" i="30"/>
  <c r="F617" i="30"/>
  <c r="B641" i="30"/>
  <c r="T635" i="30"/>
  <c r="P595" i="30"/>
  <c r="U612" i="30"/>
  <c r="A644" i="30"/>
  <c r="B636" i="30"/>
  <c r="B647" i="30"/>
  <c r="S614" i="30"/>
  <c r="S637" i="30"/>
  <c r="T617" i="30"/>
  <c r="A641" i="30"/>
  <c r="S644" i="30"/>
  <c r="U613" i="30"/>
  <c r="U635" i="30"/>
  <c r="U623" i="30"/>
  <c r="A647" i="30"/>
  <c r="F642" i="30"/>
  <c r="P569" i="30"/>
  <c r="P574" i="30"/>
  <c r="P572" i="30"/>
  <c r="P565" i="30"/>
  <c r="P571" i="30"/>
  <c r="P576" i="30"/>
  <c r="P577" i="30"/>
  <c r="P567" i="30"/>
  <c r="P578" i="30"/>
  <c r="M578" i="30" s="1"/>
  <c r="N578" i="30" s="1"/>
  <c r="P575" i="30"/>
  <c r="P570" i="30"/>
  <c r="P568" i="30"/>
  <c r="P573" i="30"/>
  <c r="P566" i="30"/>
  <c r="J1753" i="34"/>
  <c r="J1684" i="34"/>
  <c r="I428" i="23"/>
  <c r="I1261" i="34"/>
  <c r="I1268" i="34"/>
  <c r="I435" i="23"/>
  <c r="I425" i="23"/>
  <c r="I1258" i="34"/>
  <c r="I1330" i="34"/>
  <c r="I451" i="23"/>
  <c r="I434" i="23"/>
  <c r="I1267" i="34"/>
  <c r="I1335" i="34"/>
  <c r="I456" i="23"/>
  <c r="I1270" i="34"/>
  <c r="I436" i="23"/>
  <c r="I1269" i="34"/>
  <c r="I1337" i="34"/>
  <c r="I458" i="23"/>
  <c r="I1327" i="34"/>
  <c r="I448" i="23"/>
  <c r="I457" i="23"/>
  <c r="I1336" i="34"/>
  <c r="I1338" i="34"/>
  <c r="I459" i="23"/>
  <c r="I1339" i="34"/>
  <c r="I429" i="23"/>
  <c r="I1262" i="34"/>
  <c r="I1266" i="34"/>
  <c r="I433" i="23"/>
  <c r="I1328" i="34"/>
  <c r="I449" i="23"/>
  <c r="I452" i="23"/>
  <c r="I1331" i="34"/>
  <c r="J387" i="23"/>
  <c r="J1195" i="34"/>
  <c r="I1196" i="34"/>
  <c r="I1467" i="34"/>
  <c r="I1465" i="34"/>
  <c r="I1189" i="34"/>
  <c r="I1199" i="34"/>
  <c r="I497" i="23"/>
  <c r="J366" i="23"/>
  <c r="U409" i="28"/>
  <c r="I1614" i="34"/>
  <c r="J1395" i="34"/>
  <c r="A1554" i="34"/>
  <c r="P377" i="28"/>
  <c r="J950" i="34"/>
  <c r="J1017" i="34"/>
  <c r="Q454" i="25"/>
  <c r="H385" i="29"/>
  <c r="A1555" i="34"/>
  <c r="I1154" i="34"/>
  <c r="C390" i="29"/>
  <c r="A1752" i="34"/>
  <c r="A1740" i="34"/>
  <c r="W438" i="25"/>
  <c r="F404" i="28"/>
  <c r="J952" i="34"/>
  <c r="A1556" i="34"/>
  <c r="Q457" i="25"/>
  <c r="H1567" i="34"/>
  <c r="S454" i="25"/>
  <c r="C1810" i="34"/>
  <c r="I1223" i="34"/>
  <c r="J1019" i="34"/>
  <c r="J1160" i="34"/>
  <c r="A1569" i="34"/>
  <c r="Q455" i="25"/>
  <c r="A405" i="28"/>
  <c r="U452" i="25"/>
  <c r="H1554" i="34"/>
  <c r="A455" i="25"/>
  <c r="T457" i="25"/>
  <c r="I1542" i="34"/>
  <c r="J389" i="23"/>
  <c r="J519" i="23"/>
  <c r="I1091" i="34"/>
  <c r="C675" i="23"/>
  <c r="I465" i="25"/>
  <c r="H1740" i="34"/>
  <c r="W388" i="28"/>
  <c r="H1753" i="34"/>
  <c r="H1751" i="34"/>
  <c r="H1552" i="34"/>
  <c r="J1464" i="34"/>
  <c r="I1610" i="34"/>
  <c r="I335" i="29"/>
  <c r="F453" i="25"/>
  <c r="B406" i="28"/>
  <c r="J360" i="23"/>
  <c r="J1406" i="34"/>
  <c r="C386" i="29"/>
  <c r="T408" i="28"/>
  <c r="I1536" i="34"/>
  <c r="H1555" i="34"/>
  <c r="J318" i="29"/>
  <c r="H1744" i="34"/>
  <c r="J493" i="23"/>
  <c r="A410" i="28"/>
  <c r="I518" i="23"/>
  <c r="T406" i="28"/>
  <c r="B408" i="28"/>
  <c r="B407" i="28"/>
  <c r="H616" i="23"/>
  <c r="A1570" i="34"/>
  <c r="F411" i="28"/>
  <c r="F456" i="25"/>
  <c r="T456" i="25"/>
  <c r="J250" i="29"/>
  <c r="B404" i="28"/>
  <c r="I399" i="29"/>
  <c r="C608" i="23"/>
  <c r="F457" i="25"/>
  <c r="J527" i="23"/>
  <c r="U411" i="28"/>
  <c r="I282" i="29"/>
  <c r="J1128" i="34"/>
  <c r="J408" i="23"/>
  <c r="I409" i="23"/>
  <c r="I496" i="23"/>
  <c r="I494" i="23"/>
  <c r="I402" i="23"/>
  <c r="I412" i="23"/>
  <c r="I1468" i="34"/>
  <c r="I410" i="23"/>
  <c r="C615" i="23"/>
  <c r="A1810" i="34"/>
  <c r="B410" i="28"/>
  <c r="H597" i="23"/>
  <c r="H619" i="23"/>
  <c r="J946" i="34"/>
  <c r="J1294" i="34"/>
  <c r="J1404" i="34"/>
  <c r="I520" i="23"/>
  <c r="I1544" i="34"/>
  <c r="C1553" i="34"/>
  <c r="J1545" i="34"/>
  <c r="T455" i="25"/>
  <c r="J475" i="23"/>
  <c r="J237" i="29"/>
  <c r="T411" i="28"/>
  <c r="H617" i="23"/>
  <c r="E465" i="25"/>
  <c r="H585" i="23"/>
  <c r="I1226" i="34"/>
  <c r="C589" i="23"/>
  <c r="C1815" i="34"/>
  <c r="Q408" i="28"/>
  <c r="C1743" i="34"/>
  <c r="A1748" i="34"/>
  <c r="C1751" i="34"/>
  <c r="T459" i="25"/>
  <c r="Q456" i="25"/>
  <c r="J1153" i="34"/>
  <c r="J953" i="34"/>
  <c r="J478" i="23"/>
  <c r="I1537" i="34"/>
  <c r="A1552" i="34"/>
  <c r="J1015" i="34"/>
  <c r="S451" i="25"/>
  <c r="I1363" i="34"/>
  <c r="I522" i="23"/>
  <c r="T458" i="25"/>
  <c r="I674" i="23"/>
  <c r="Q411" i="28"/>
  <c r="C1573" i="34"/>
  <c r="I1020" i="34"/>
  <c r="I548" i="23"/>
  <c r="I376" i="33"/>
  <c r="J333" i="29"/>
  <c r="C399" i="29"/>
  <c r="J516" i="23"/>
  <c r="B411" i="28"/>
  <c r="J522" i="23"/>
  <c r="J1158" i="34"/>
  <c r="I547" i="23"/>
  <c r="A585" i="23"/>
  <c r="Q451" i="25"/>
  <c r="I248" i="29"/>
  <c r="I407" i="23"/>
  <c r="J1127" i="34"/>
  <c r="J1054" i="34"/>
  <c r="J381" i="23"/>
  <c r="J380" i="23"/>
  <c r="I1473" i="34"/>
  <c r="J1123" i="34"/>
  <c r="I495" i="23"/>
  <c r="I1197" i="34"/>
  <c r="A1817" i="34"/>
  <c r="A1574" i="34"/>
  <c r="H595" i="23"/>
  <c r="J480" i="23"/>
  <c r="A1815" i="34"/>
  <c r="J231" i="29"/>
  <c r="C1558" i="34"/>
  <c r="W390" i="28"/>
  <c r="Q407" i="28"/>
  <c r="A1571" i="34"/>
  <c r="C1574" i="34"/>
  <c r="F407" i="28"/>
  <c r="H1561" i="34"/>
  <c r="I1022" i="34"/>
  <c r="W394" i="28"/>
  <c r="J474" i="23"/>
  <c r="I1613" i="34"/>
  <c r="C592" i="23"/>
  <c r="H1817" i="34"/>
  <c r="J1537" i="34"/>
  <c r="J1542" i="34"/>
  <c r="I1540" i="34"/>
  <c r="H1559" i="34"/>
  <c r="I1367" i="34"/>
  <c r="C674" i="23"/>
  <c r="T453" i="25"/>
  <c r="J238" i="29"/>
  <c r="Q410" i="28"/>
  <c r="A594" i="23"/>
  <c r="A615" i="23"/>
  <c r="J1157" i="34"/>
  <c r="C1552" i="34"/>
  <c r="A404" i="28"/>
  <c r="I1019" i="34"/>
  <c r="A388" i="29"/>
  <c r="H1812" i="34"/>
  <c r="C620" i="23"/>
  <c r="J1396" i="34"/>
  <c r="H1571" i="34"/>
  <c r="W434" i="25"/>
  <c r="P373" i="28"/>
  <c r="C595" i="23"/>
  <c r="I1612" i="34"/>
  <c r="I333" i="29"/>
  <c r="I1194" i="34"/>
  <c r="J386" i="23"/>
  <c r="J359" i="23"/>
  <c r="J1122" i="34"/>
  <c r="J1121" i="34"/>
  <c r="I502" i="23"/>
  <c r="J382" i="23"/>
  <c r="I1466" i="34"/>
  <c r="I1227" i="34"/>
  <c r="I550" i="23"/>
  <c r="C596" i="23"/>
  <c r="A619" i="23"/>
  <c r="H1811" i="34"/>
  <c r="T410" i="28"/>
  <c r="C1560" i="34"/>
  <c r="J1541" i="34"/>
  <c r="C384" i="29"/>
  <c r="U456" i="25"/>
  <c r="S459" i="25"/>
  <c r="H596" i="23"/>
  <c r="J1293" i="34"/>
  <c r="C1747" i="34"/>
  <c r="F406" i="28"/>
  <c r="I542" i="23"/>
  <c r="H1568" i="34"/>
  <c r="J528" i="23"/>
  <c r="C588" i="23"/>
  <c r="I1534" i="34"/>
  <c r="C391" i="29"/>
  <c r="F464" i="25"/>
  <c r="A1557" i="34"/>
  <c r="U454" i="25"/>
  <c r="S406" i="28"/>
  <c r="A614" i="23"/>
  <c r="J1544" i="34"/>
  <c r="H387" i="29"/>
  <c r="A387" i="29"/>
  <c r="I501" i="23"/>
  <c r="F408" i="28"/>
  <c r="I523" i="23"/>
  <c r="A1559" i="34"/>
  <c r="H1572" i="34"/>
  <c r="J520" i="23"/>
  <c r="M465" i="25"/>
  <c r="F454" i="25"/>
  <c r="A1812" i="34"/>
  <c r="T405" i="28"/>
  <c r="H1570" i="34"/>
  <c r="H1818" i="34"/>
  <c r="A453" i="25"/>
  <c r="P372" i="28"/>
  <c r="C590" i="23"/>
  <c r="C1812" i="34"/>
  <c r="I528" i="23"/>
  <c r="J1536" i="34"/>
  <c r="C613" i="23"/>
  <c r="J1360" i="34"/>
  <c r="A406" i="28"/>
  <c r="C585" i="23"/>
  <c r="J482" i="23"/>
  <c r="F458" i="25"/>
  <c r="A454" i="25"/>
  <c r="A407" i="28"/>
  <c r="I546" i="23"/>
  <c r="I675" i="23"/>
  <c r="J319" i="29"/>
  <c r="A456" i="25"/>
  <c r="I521" i="23"/>
  <c r="H618" i="23"/>
  <c r="Q450" i="25"/>
  <c r="H1743" i="34"/>
  <c r="I1545" i="34"/>
  <c r="I1535" i="34"/>
  <c r="J1407" i="34"/>
  <c r="I539" i="23"/>
  <c r="P374" i="28"/>
  <c r="W391" i="28"/>
  <c r="U453" i="25"/>
  <c r="J1022" i="34"/>
  <c r="H1557" i="34"/>
  <c r="B465" i="25"/>
  <c r="I265" i="29"/>
  <c r="J1264" i="34"/>
  <c r="J1194" i="34"/>
  <c r="J361" i="23"/>
  <c r="J356" i="23"/>
  <c r="J1129" i="34"/>
  <c r="F224" i="29"/>
  <c r="J1058" i="34"/>
  <c r="J1131" i="34"/>
  <c r="C1821" i="34"/>
  <c r="Q406" i="28"/>
  <c r="J1222" i="34"/>
  <c r="J521" i="23"/>
  <c r="H591" i="23"/>
  <c r="J526" i="23"/>
  <c r="I1085" i="34"/>
  <c r="U405" i="28"/>
  <c r="Q405" i="28"/>
  <c r="C1556" i="34"/>
  <c r="J1535" i="34"/>
  <c r="J473" i="23"/>
  <c r="J479" i="23"/>
  <c r="P370" i="28"/>
  <c r="C398" i="29"/>
  <c r="C1741" i="34"/>
  <c r="A459" i="25"/>
  <c r="S407" i="28"/>
  <c r="A385" i="29"/>
  <c r="T452" i="25"/>
  <c r="C1811" i="34"/>
  <c r="A1813" i="34"/>
  <c r="C1559" i="34"/>
  <c r="F416" i="28"/>
  <c r="F405" i="28"/>
  <c r="C1567" i="34"/>
  <c r="I1089" i="34"/>
  <c r="J1402" i="34"/>
  <c r="A386" i="29"/>
  <c r="I1472" i="34"/>
  <c r="J1538" i="34"/>
  <c r="C1740" i="34"/>
  <c r="I336" i="29"/>
  <c r="J1397" i="34"/>
  <c r="I1228" i="34"/>
  <c r="A409" i="28"/>
  <c r="B450" i="25"/>
  <c r="J1053" i="34"/>
  <c r="H1820" i="34"/>
  <c r="I499" i="23"/>
  <c r="H620" i="23"/>
  <c r="J1399" i="34"/>
  <c r="C387" i="29"/>
  <c r="I541" i="23"/>
  <c r="J1405" i="34"/>
  <c r="P376" i="28"/>
  <c r="A450" i="25"/>
  <c r="I1604" i="34"/>
  <c r="A620" i="23"/>
  <c r="I1365" i="34"/>
  <c r="A618" i="23"/>
  <c r="I1259" i="34"/>
  <c r="I426" i="23"/>
  <c r="J431" i="23"/>
  <c r="J407" i="23"/>
  <c r="J1056" i="34"/>
  <c r="J1051" i="34"/>
  <c r="J388" i="23"/>
  <c r="C224" i="29"/>
  <c r="J363" i="23"/>
  <c r="J390" i="23"/>
  <c r="A1744" i="34"/>
  <c r="H384" i="29"/>
  <c r="A610" i="23"/>
  <c r="H1750" i="34"/>
  <c r="C1561" i="34"/>
  <c r="A1821" i="34"/>
  <c r="A1573" i="34"/>
  <c r="I543" i="23"/>
  <c r="C1557" i="34"/>
  <c r="J518" i="23"/>
  <c r="A1553" i="34"/>
  <c r="A616" i="23"/>
  <c r="I1159" i="34"/>
  <c r="P375" i="28"/>
  <c r="H1821" i="34"/>
  <c r="I544" i="23"/>
  <c r="A1745" i="34"/>
  <c r="H1819" i="34"/>
  <c r="I1543" i="34"/>
  <c r="F450" i="25"/>
  <c r="I1158" i="34"/>
  <c r="S408" i="28"/>
  <c r="B455" i="25"/>
  <c r="J524" i="23"/>
  <c r="J1533" i="34"/>
  <c r="S456" i="25"/>
  <c r="A411" i="28"/>
  <c r="J1400" i="34"/>
  <c r="I1021" i="34"/>
  <c r="H1747" i="34"/>
  <c r="H1574" i="34"/>
  <c r="I1603" i="34"/>
  <c r="I516" i="23"/>
  <c r="J545" i="23"/>
  <c r="J477" i="23"/>
  <c r="W440" i="25"/>
  <c r="J358" i="23"/>
  <c r="C1570" i="34"/>
  <c r="C617" i="23"/>
  <c r="I1541" i="34"/>
  <c r="I1470" i="34"/>
  <c r="A1814" i="34"/>
  <c r="U459" i="25"/>
  <c r="T404" i="28"/>
  <c r="S457" i="25"/>
  <c r="A389" i="29"/>
  <c r="I551" i="23"/>
  <c r="C1745" i="34"/>
  <c r="J1326" i="34"/>
  <c r="H1752" i="34"/>
  <c r="H1810" i="34"/>
  <c r="S450" i="25"/>
  <c r="J447" i="23"/>
  <c r="A391" i="29"/>
  <c r="J472" i="23"/>
  <c r="I450" i="23"/>
  <c r="I1329" i="34"/>
  <c r="J1332" i="34"/>
  <c r="J1263" i="34"/>
  <c r="J232" i="29"/>
  <c r="I1193" i="34"/>
  <c r="J1057" i="34"/>
  <c r="I1200" i="34"/>
  <c r="I411" i="23"/>
  <c r="I1190" i="34"/>
  <c r="W432" i="25"/>
  <c r="A611" i="23"/>
  <c r="S452" i="25"/>
  <c r="U451" i="25"/>
  <c r="I1361" i="34"/>
  <c r="B458" i="25"/>
  <c r="I417" i="28"/>
  <c r="C1750" i="34"/>
  <c r="E417" i="28"/>
  <c r="J1016" i="34"/>
  <c r="T451" i="25"/>
  <c r="S458" i="25"/>
  <c r="A1749" i="34"/>
  <c r="A1822" i="34"/>
  <c r="W392" i="28"/>
  <c r="B409" i="28"/>
  <c r="J282" i="29"/>
  <c r="C618" i="23"/>
  <c r="H388" i="29"/>
  <c r="A1560" i="34"/>
  <c r="H1814" i="34"/>
  <c r="J1608" i="34"/>
  <c r="Q409" i="28"/>
  <c r="A1816" i="34"/>
  <c r="Q459" i="25"/>
  <c r="C1817" i="34"/>
  <c r="A1753" i="34"/>
  <c r="J1398" i="34"/>
  <c r="F451" i="25"/>
  <c r="H390" i="29"/>
  <c r="W436" i="25"/>
  <c r="F455" i="25"/>
  <c r="I526" i="23"/>
  <c r="I1602" i="34"/>
  <c r="U406" i="28"/>
  <c r="H1813" i="34"/>
  <c r="Q458" i="25"/>
  <c r="B452" i="25"/>
  <c r="W387" i="28"/>
  <c r="U407" i="28"/>
  <c r="J383" i="23"/>
  <c r="I1611" i="34"/>
  <c r="A613" i="23"/>
  <c r="W389" i="28"/>
  <c r="J357" i="23"/>
  <c r="B457" i="25"/>
  <c r="A1558" i="34"/>
  <c r="B456" i="25"/>
  <c r="J453" i="23"/>
  <c r="J430" i="23"/>
  <c r="J947" i="34"/>
  <c r="I406" i="23"/>
  <c r="J362" i="23"/>
  <c r="I413" i="23"/>
  <c r="I1198" i="34"/>
  <c r="I403" i="23"/>
  <c r="H612" i="23"/>
  <c r="I519" i="23"/>
  <c r="H611" i="23"/>
  <c r="A1561" i="34"/>
  <c r="C1571" i="34"/>
  <c r="C612" i="23"/>
  <c r="C611" i="23"/>
  <c r="I1364" i="34"/>
  <c r="P371" i="28"/>
  <c r="A451" i="25"/>
  <c r="H386" i="29"/>
  <c r="H1560" i="34"/>
  <c r="H391" i="29"/>
  <c r="F452" i="25"/>
  <c r="T407" i="28"/>
  <c r="I1229" i="34"/>
  <c r="H1746" i="34"/>
  <c r="J1543" i="34"/>
  <c r="A1811" i="34"/>
  <c r="J1084" i="34"/>
  <c r="J379" i="23"/>
  <c r="C1555" i="34"/>
  <c r="C619" i="23"/>
  <c r="C1572" i="34"/>
  <c r="Q452" i="25"/>
  <c r="J1403" i="34"/>
  <c r="U404" i="28"/>
  <c r="A609" i="23"/>
  <c r="I1471" i="34"/>
  <c r="S411" i="28"/>
  <c r="J525" i="23"/>
  <c r="J1534" i="34"/>
  <c r="S404" i="28"/>
  <c r="I524" i="23"/>
  <c r="B459" i="25"/>
  <c r="U457" i="25"/>
  <c r="J1124" i="34"/>
  <c r="J1052" i="34"/>
  <c r="H1553" i="34"/>
  <c r="J424" i="23"/>
  <c r="J1257" i="34"/>
  <c r="I408" i="23"/>
  <c r="J385" i="23"/>
  <c r="I1469" i="34"/>
  <c r="I405" i="23"/>
  <c r="J365" i="23"/>
  <c r="J364" i="23"/>
  <c r="I1191" i="34"/>
  <c r="A1568" i="34"/>
  <c r="U455" i="25"/>
  <c r="C1822" i="34"/>
  <c r="I1291" i="34"/>
  <c r="C385" i="29"/>
  <c r="C1554" i="34"/>
  <c r="A390" i="29"/>
  <c r="C614" i="23"/>
  <c r="A458" i="25"/>
  <c r="A408" i="28"/>
  <c r="C1813" i="34"/>
  <c r="I401" i="23"/>
  <c r="I1088" i="34"/>
  <c r="I527" i="23"/>
  <c r="I525" i="23"/>
  <c r="H1558" i="34"/>
  <c r="A612" i="23"/>
  <c r="A1572" i="34"/>
  <c r="T409" i="28"/>
  <c r="A1820" i="34"/>
  <c r="J1120" i="34"/>
  <c r="I540" i="23"/>
  <c r="I1090" i="34"/>
  <c r="U410" i="28"/>
  <c r="W433" i="25"/>
  <c r="H1638" i="34"/>
  <c r="I500" i="23"/>
  <c r="J481" i="23"/>
  <c r="H592" i="23"/>
  <c r="A457" i="25"/>
  <c r="Q404" i="28"/>
  <c r="A608" i="23"/>
  <c r="A1819" i="34"/>
  <c r="U458" i="25"/>
  <c r="C1816" i="34"/>
  <c r="C586" i="23"/>
  <c r="A384" i="29"/>
  <c r="I1605" i="34"/>
  <c r="T450" i="25"/>
  <c r="J1020" i="34"/>
  <c r="J367" i="23"/>
  <c r="F410" i="28"/>
  <c r="J1021" i="34"/>
  <c r="I1157" i="34"/>
  <c r="H1569" i="34"/>
  <c r="I1608" i="34"/>
  <c r="H586" i="23"/>
  <c r="I1538" i="34"/>
  <c r="C1569" i="34"/>
  <c r="C1814" i="34"/>
  <c r="I1477" i="34"/>
  <c r="F459" i="25"/>
  <c r="B451" i="25"/>
  <c r="C389" i="29"/>
  <c r="J1062" i="34"/>
  <c r="I545" i="23"/>
  <c r="W439" i="25"/>
  <c r="W431" i="25"/>
  <c r="J299" i="29"/>
  <c r="I1160" i="34"/>
  <c r="H1573" i="34"/>
  <c r="Q453" i="25"/>
  <c r="I1429" i="34"/>
  <c r="H389" i="29"/>
  <c r="F409" i="28"/>
  <c r="I299" i="29"/>
  <c r="I427" i="23"/>
  <c r="I1260" i="34"/>
  <c r="J236" i="29"/>
  <c r="I1195" i="34"/>
  <c r="J1126" i="34"/>
  <c r="I498" i="23"/>
  <c r="I1192" i="34"/>
  <c r="J1060" i="34"/>
  <c r="J1059" i="34"/>
  <c r="I404" i="23"/>
  <c r="J1061" i="34"/>
  <c r="U408" i="28"/>
  <c r="I1539" i="34"/>
  <c r="C616" i="23"/>
  <c r="A617" i="23"/>
  <c r="I1366" i="34"/>
  <c r="I316" i="29"/>
  <c r="S453" i="25"/>
  <c r="A590" i="23"/>
  <c r="I1362" i="34"/>
  <c r="B454" i="25"/>
  <c r="C610" i="23"/>
  <c r="S405" i="28"/>
  <c r="C1819" i="34"/>
  <c r="B453" i="25"/>
  <c r="I398" i="29"/>
  <c r="I1188" i="34"/>
  <c r="I1609" i="34"/>
  <c r="H1741" i="34"/>
  <c r="I1533" i="34"/>
  <c r="I350" i="29"/>
  <c r="W437" i="25"/>
  <c r="A1809" i="34"/>
  <c r="I517" i="23"/>
  <c r="H588" i="23"/>
  <c r="W393" i="28"/>
  <c r="S409" i="28"/>
  <c r="I1606" i="34"/>
  <c r="S455" i="25"/>
  <c r="C609" i="23"/>
  <c r="B405" i="28"/>
  <c r="C1568" i="34"/>
  <c r="W435" i="25"/>
  <c r="J1130" i="34"/>
  <c r="U450" i="25"/>
  <c r="M417" i="28"/>
  <c r="J517" i="23"/>
  <c r="I549" i="23"/>
  <c r="H609" i="23"/>
  <c r="J470" i="23"/>
  <c r="S410" i="28"/>
  <c r="J471" i="23"/>
  <c r="J248" i="29"/>
  <c r="I1016" i="34"/>
  <c r="C388" i="29"/>
  <c r="H589" i="23"/>
  <c r="H610" i="23"/>
  <c r="J1055" i="34"/>
  <c r="B417" i="28"/>
  <c r="A452" i="25"/>
  <c r="C1820" i="34"/>
  <c r="A1818" i="34"/>
  <c r="T454" i="25"/>
  <c r="H1556" i="34"/>
  <c r="C1818" i="34"/>
  <c r="C1809" i="34"/>
  <c r="J1539" i="34"/>
  <c r="I1607" i="34"/>
  <c r="K251" i="28" l="1"/>
  <c r="M272" i="28"/>
  <c r="N272" i="28" s="1"/>
  <c r="V461" i="30"/>
  <c r="M343" i="28"/>
  <c r="N343" i="28" s="1"/>
  <c r="V343" i="28" s="1"/>
  <c r="M289" i="28"/>
  <c r="M275" i="28"/>
  <c r="N275" i="28" s="1"/>
  <c r="V451" i="30"/>
  <c r="M308" i="28"/>
  <c r="N308" i="28" s="1"/>
  <c r="M341" i="28"/>
  <c r="N341" i="28" s="1"/>
  <c r="M306" i="28"/>
  <c r="N306" i="28" s="1"/>
  <c r="M303" i="28"/>
  <c r="N303" i="28" s="1"/>
  <c r="V432" i="30"/>
  <c r="K276" i="28"/>
  <c r="M256" i="28"/>
  <c r="K302" i="28"/>
  <c r="M273" i="28"/>
  <c r="N273" i="28" s="1"/>
  <c r="M258" i="28"/>
  <c r="M337" i="28"/>
  <c r="N337" i="28" s="1"/>
  <c r="M340" i="28"/>
  <c r="N340" i="28" s="1"/>
  <c r="V340" i="28" s="1"/>
  <c r="M290" i="28"/>
  <c r="M252" i="28"/>
  <c r="K285" i="28"/>
  <c r="M257" i="28"/>
  <c r="M309" i="28"/>
  <c r="M286" i="28"/>
  <c r="N286" i="28" s="1"/>
  <c r="K336" i="28"/>
  <c r="M291" i="28"/>
  <c r="N291" i="28" s="1"/>
  <c r="M342" i="28"/>
  <c r="K268" i="28"/>
  <c r="V436" i="30"/>
  <c r="M274" i="28"/>
  <c r="N274" i="28" s="1"/>
  <c r="K344" i="28"/>
  <c r="M255" i="28"/>
  <c r="M292" i="28"/>
  <c r="M269" i="28"/>
  <c r="N269" i="28" s="1"/>
  <c r="K293" i="28"/>
  <c r="K259" i="28"/>
  <c r="V427" i="30"/>
  <c r="V453" i="30"/>
  <c r="K310" i="28"/>
  <c r="M307" i="28"/>
  <c r="N307" i="28" s="1"/>
  <c r="N268" i="28"/>
  <c r="V268" i="28" s="1"/>
  <c r="V239" i="28"/>
  <c r="V390" i="30"/>
  <c r="V388" i="30"/>
  <c r="V410" i="30"/>
  <c r="V389" i="30"/>
  <c r="V411" i="30"/>
  <c r="V362" i="30"/>
  <c r="V235" i="28"/>
  <c r="V364" i="30"/>
  <c r="V359" i="30"/>
  <c r="V384" i="30"/>
  <c r="V383" i="30"/>
  <c r="K319" i="28"/>
  <c r="M372" i="30"/>
  <c r="H373" i="30" s="1"/>
  <c r="M326" i="28"/>
  <c r="M320" i="28"/>
  <c r="V391" i="30"/>
  <c r="B226" i="28"/>
  <c r="E226" i="28"/>
  <c r="V407" i="30"/>
  <c r="V414" i="30"/>
  <c r="V366" i="30"/>
  <c r="V415" i="30"/>
  <c r="V367" i="30"/>
  <c r="M325" i="28"/>
  <c r="J1064" i="34"/>
  <c r="C1110" i="34" s="1"/>
  <c r="J368" i="23"/>
  <c r="J1133" i="34"/>
  <c r="C1177" i="34" s="1"/>
  <c r="J391" i="23"/>
  <c r="J954" i="34"/>
  <c r="E970" i="34" s="1"/>
  <c r="M395" i="30"/>
  <c r="H396" i="30" s="1"/>
  <c r="M324" i="28"/>
  <c r="V361" i="30"/>
  <c r="V392" i="30"/>
  <c r="K327" i="28"/>
  <c r="V241" i="28"/>
  <c r="L373" i="30"/>
  <c r="L396" i="30"/>
  <c r="V240" i="28"/>
  <c r="M323" i="28"/>
  <c r="L243" i="28"/>
  <c r="V234" i="28"/>
  <c r="M242" i="28"/>
  <c r="H243" i="28" s="1"/>
  <c r="V238" i="28"/>
  <c r="N319" i="28"/>
  <c r="V369" i="30"/>
  <c r="F609" i="30"/>
  <c r="V437" i="30"/>
  <c r="V428" i="30"/>
  <c r="V438" i="30"/>
  <c r="V478" i="30"/>
  <c r="V476" i="30"/>
  <c r="V475" i="30"/>
  <c r="V483" i="30"/>
  <c r="V474" i="30"/>
  <c r="V482" i="30"/>
  <c r="V484" i="30"/>
  <c r="J483" i="23"/>
  <c r="J1409" i="34"/>
  <c r="V450" i="30"/>
  <c r="V480" i="30"/>
  <c r="V473" i="30"/>
  <c r="L488" i="30"/>
  <c r="M487" i="30"/>
  <c r="H488" i="30" s="1"/>
  <c r="V481" i="30"/>
  <c r="V477" i="30"/>
  <c r="X628" i="31"/>
  <c r="H1575" i="34"/>
  <c r="J1023" i="34"/>
  <c r="E1039" i="34" s="1"/>
  <c r="V285" i="28"/>
  <c r="V251" i="28"/>
  <c r="V253" i="28"/>
  <c r="R572" i="30"/>
  <c r="K572" i="30" s="1"/>
  <c r="G572" i="30"/>
  <c r="R573" i="30"/>
  <c r="K573" i="30" s="1"/>
  <c r="G573" i="30"/>
  <c r="R571" i="30"/>
  <c r="K571" i="30" s="1"/>
  <c r="G571" i="30"/>
  <c r="V548" i="30"/>
  <c r="V525" i="30"/>
  <c r="M533" i="30"/>
  <c r="V497" i="30"/>
  <c r="K353" i="28"/>
  <c r="M355" i="28"/>
  <c r="X579" i="30"/>
  <c r="M359" i="28"/>
  <c r="M360" i="28"/>
  <c r="M358" i="28"/>
  <c r="M354" i="28"/>
  <c r="X431" i="25"/>
  <c r="X434" i="25"/>
  <c r="H392" i="29"/>
  <c r="M357" i="28"/>
  <c r="K361" i="28"/>
  <c r="M356" i="28"/>
  <c r="N339" i="28"/>
  <c r="X437" i="25"/>
  <c r="H1562" i="34"/>
  <c r="X435" i="25"/>
  <c r="X393" i="28"/>
  <c r="X394" i="28"/>
  <c r="X387" i="28"/>
  <c r="X388" i="28"/>
  <c r="X389" i="28"/>
  <c r="X439" i="25"/>
  <c r="G575" i="30"/>
  <c r="R575" i="30"/>
  <c r="K575" i="30" s="1"/>
  <c r="R578" i="30"/>
  <c r="G570" i="30"/>
  <c r="R570" i="30"/>
  <c r="K570" i="30" s="1"/>
  <c r="R577" i="30"/>
  <c r="K577" i="30" s="1"/>
  <c r="G577" i="30"/>
  <c r="G565" i="30"/>
  <c r="G579" i="30"/>
  <c r="R565" i="30"/>
  <c r="R566" i="30"/>
  <c r="K566" i="30" s="1"/>
  <c r="G566" i="30"/>
  <c r="R568" i="30"/>
  <c r="K568" i="30" s="1"/>
  <c r="G568" i="30"/>
  <c r="G567" i="30"/>
  <c r="R567" i="30"/>
  <c r="K567" i="30" s="1"/>
  <c r="G576" i="30"/>
  <c r="R576" i="30"/>
  <c r="K576" i="30" s="1"/>
  <c r="R574" i="30"/>
  <c r="K574" i="30" s="1"/>
  <c r="G574" i="30"/>
  <c r="R569" i="30"/>
  <c r="K569" i="30" s="1"/>
  <c r="G569" i="30"/>
  <c r="X432" i="25"/>
  <c r="X440" i="25"/>
  <c r="X391" i="28"/>
  <c r="X433" i="25"/>
  <c r="X438" i="25"/>
  <c r="N338" i="28"/>
  <c r="X378" i="28"/>
  <c r="X422" i="25"/>
  <c r="I623" i="30"/>
  <c r="I450" i="25"/>
  <c r="I412" i="28"/>
  <c r="F412" i="28"/>
  <c r="I451" i="25"/>
  <c r="I455" i="25"/>
  <c r="I452" i="25"/>
  <c r="I404" i="28"/>
  <c r="F625" i="30"/>
  <c r="I625" i="30"/>
  <c r="F460" i="25"/>
  <c r="I460" i="25"/>
  <c r="I459" i="25"/>
  <c r="I618" i="30"/>
  <c r="I407" i="28"/>
  <c r="I620" i="30"/>
  <c r="X436" i="25"/>
  <c r="R373" i="28"/>
  <c r="K373" i="28" s="1"/>
  <c r="G373" i="28"/>
  <c r="G377" i="28"/>
  <c r="R377" i="28"/>
  <c r="K377" i="28" s="1"/>
  <c r="R371" i="28"/>
  <c r="K371" i="28" s="1"/>
  <c r="G371" i="28"/>
  <c r="G376" i="28"/>
  <c r="R376" i="28"/>
  <c r="K376" i="28" s="1"/>
  <c r="G370" i="28"/>
  <c r="R370" i="28"/>
  <c r="G378" i="28"/>
  <c r="G375" i="28"/>
  <c r="R375" i="28"/>
  <c r="K375" i="28" s="1"/>
  <c r="R374" i="28"/>
  <c r="K374" i="28" s="1"/>
  <c r="G374" i="28"/>
  <c r="G372" i="28"/>
  <c r="R372" i="28"/>
  <c r="K372" i="28" s="1"/>
  <c r="I411" i="28"/>
  <c r="I410" i="28"/>
  <c r="I614" i="30"/>
  <c r="H1754" i="34"/>
  <c r="I457" i="25"/>
  <c r="X392" i="28"/>
  <c r="I409" i="28"/>
  <c r="I617" i="30"/>
  <c r="I456" i="25"/>
  <c r="X390" i="28"/>
  <c r="W395" i="28"/>
  <c r="I453" i="25"/>
  <c r="I458" i="25"/>
  <c r="I454" i="25"/>
  <c r="I405" i="28"/>
  <c r="I406" i="28"/>
  <c r="I408" i="28"/>
  <c r="V336" i="28"/>
  <c r="G480" i="25"/>
  <c r="K467" i="25"/>
  <c r="K417" i="28"/>
  <c r="A480" i="25"/>
  <c r="A479" i="25"/>
  <c r="D465" i="25"/>
  <c r="I467" i="25"/>
  <c r="V322" i="28"/>
  <c r="F419" i="28"/>
  <c r="M419" i="28"/>
  <c r="N353" i="28"/>
  <c r="A417" i="28"/>
  <c r="B502" i="25"/>
  <c r="K480" i="25"/>
  <c r="D430" i="28"/>
  <c r="G467" i="25"/>
  <c r="I430" i="28"/>
  <c r="A430" i="28"/>
  <c r="M467" i="25"/>
  <c r="B467" i="25"/>
  <c r="G465" i="25"/>
  <c r="K430" i="28"/>
  <c r="K465" i="25"/>
  <c r="F467" i="25"/>
  <c r="A419" i="28"/>
  <c r="M480" i="25"/>
  <c r="D417" i="28"/>
  <c r="A742" i="23"/>
  <c r="M430" i="28"/>
  <c r="A429" i="28"/>
  <c r="A467" i="25"/>
  <c r="N467" i="25"/>
  <c r="N419" i="28"/>
  <c r="B419" i="28"/>
  <c r="G430" i="28"/>
  <c r="I480" i="25"/>
  <c r="G417" i="28"/>
  <c r="D480" i="25"/>
  <c r="A465" i="25"/>
  <c r="B450" i="28"/>
  <c r="K419" i="28"/>
  <c r="G419" i="28"/>
  <c r="I419" i="28"/>
  <c r="E488" i="30"/>
  <c r="V520" i="30"/>
  <c r="V524" i="30"/>
  <c r="V529" i="30"/>
  <c r="V522" i="30"/>
  <c r="V523" i="30"/>
  <c r="AR34" i="27"/>
  <c r="V521" i="30"/>
  <c r="X602" i="30"/>
  <c r="E603" i="30" s="1"/>
  <c r="X622" i="30"/>
  <c r="X611" i="30"/>
  <c r="X615" i="30"/>
  <c r="G595" i="30"/>
  <c r="R595" i="30"/>
  <c r="K595" i="30" s="1"/>
  <c r="G597" i="30"/>
  <c r="R597" i="30"/>
  <c r="K597" i="30" s="1"/>
  <c r="G598" i="30"/>
  <c r="R598" i="30"/>
  <c r="K598" i="30" s="1"/>
  <c r="G602" i="30"/>
  <c r="R588" i="30"/>
  <c r="G588" i="30"/>
  <c r="G594" i="30"/>
  <c r="R594" i="30"/>
  <c r="K594" i="30" s="1"/>
  <c r="R590" i="30"/>
  <c r="K590" i="30" s="1"/>
  <c r="G590" i="30"/>
  <c r="G599" i="30"/>
  <c r="R599" i="30"/>
  <c r="K599" i="30" s="1"/>
  <c r="G591" i="30"/>
  <c r="R591" i="30"/>
  <c r="K591" i="30" s="1"/>
  <c r="G593" i="30"/>
  <c r="R593" i="30"/>
  <c r="K593" i="30" s="1"/>
  <c r="G600" i="30"/>
  <c r="R600" i="30"/>
  <c r="K600" i="30" s="1"/>
  <c r="R601" i="30"/>
  <c r="R596" i="30"/>
  <c r="K596" i="30" s="1"/>
  <c r="G596" i="30"/>
  <c r="R592" i="30"/>
  <c r="K592" i="30" s="1"/>
  <c r="G592" i="30"/>
  <c r="R589" i="30"/>
  <c r="K589" i="30" s="1"/>
  <c r="G589" i="30"/>
  <c r="X617" i="30"/>
  <c r="X616" i="30"/>
  <c r="X618" i="30"/>
  <c r="V528" i="30"/>
  <c r="V530" i="30"/>
  <c r="I642" i="30"/>
  <c r="I639" i="30"/>
  <c r="I635" i="30"/>
  <c r="A652" i="30"/>
  <c r="C652" i="30"/>
  <c r="E652" i="30"/>
  <c r="D652" i="30"/>
  <c r="A538" i="26"/>
  <c r="T644" i="30"/>
  <c r="F662" i="30"/>
  <c r="B658" i="30"/>
  <c r="B638" i="30"/>
  <c r="W621" i="30"/>
  <c r="A642" i="30"/>
  <c r="B637" i="30"/>
  <c r="F659" i="30"/>
  <c r="F635" i="30"/>
  <c r="T636" i="30"/>
  <c r="F668" i="30"/>
  <c r="U639" i="30"/>
  <c r="T634" i="30"/>
  <c r="F670" i="30"/>
  <c r="W641" i="30"/>
  <c r="B662" i="30"/>
  <c r="T662" i="30"/>
  <c r="B646" i="30"/>
  <c r="W612" i="30"/>
  <c r="T646" i="30"/>
  <c r="U659" i="30"/>
  <c r="A657" i="30"/>
  <c r="W620" i="30"/>
  <c r="U646" i="30"/>
  <c r="W619" i="30"/>
  <c r="T669" i="30"/>
  <c r="A666" i="30"/>
  <c r="B668" i="30"/>
  <c r="B663" i="30"/>
  <c r="T663" i="30"/>
  <c r="U640" i="30"/>
  <c r="W637" i="30"/>
  <c r="S642" i="30"/>
  <c r="S636" i="30"/>
  <c r="U636" i="30"/>
  <c r="T643" i="30"/>
  <c r="S640" i="30"/>
  <c r="B667" i="30"/>
  <c r="T670" i="30"/>
  <c r="T637" i="30"/>
  <c r="U661" i="30"/>
  <c r="F661" i="30"/>
  <c r="U666" i="30"/>
  <c r="W623" i="30"/>
  <c r="F637" i="30"/>
  <c r="U660" i="30"/>
  <c r="U668" i="30"/>
  <c r="T645" i="30"/>
  <c r="A659" i="30"/>
  <c r="T647" i="30"/>
  <c r="S635" i="30"/>
  <c r="S645" i="30"/>
  <c r="T665" i="30"/>
  <c r="F660" i="30"/>
  <c r="B660" i="30"/>
  <c r="T640" i="30"/>
  <c r="S669" i="30"/>
  <c r="S643" i="30"/>
  <c r="S657" i="30"/>
  <c r="A637" i="30"/>
  <c r="F657" i="30"/>
  <c r="S647" i="30"/>
  <c r="W613" i="30"/>
  <c r="T638" i="30"/>
  <c r="U647" i="30"/>
  <c r="U669" i="30"/>
  <c r="S638" i="30"/>
  <c r="A669" i="30"/>
  <c r="U662" i="30"/>
  <c r="T666" i="30"/>
  <c r="S665" i="30"/>
  <c r="F658" i="30"/>
  <c r="T641" i="30"/>
  <c r="S634" i="30"/>
  <c r="W614" i="30"/>
  <c r="S639" i="30"/>
  <c r="B640" i="30"/>
  <c r="F638" i="30"/>
  <c r="F663" i="30"/>
  <c r="W644" i="30"/>
  <c r="J425" i="23"/>
  <c r="J1258" i="34"/>
  <c r="J435" i="23"/>
  <c r="J1268" i="34"/>
  <c r="J428" i="23"/>
  <c r="J1261" i="34"/>
  <c r="J451" i="23"/>
  <c r="J1330" i="34"/>
  <c r="J434" i="23"/>
  <c r="J1267" i="34"/>
  <c r="J1335" i="34"/>
  <c r="J456" i="23"/>
  <c r="I269" i="29"/>
  <c r="J458" i="23"/>
  <c r="J1337" i="34"/>
  <c r="J1269" i="34"/>
  <c r="J436" i="23"/>
  <c r="I340" i="29"/>
  <c r="J459" i="23"/>
  <c r="J1338" i="34"/>
  <c r="J457" i="23"/>
  <c r="J1336" i="34"/>
  <c r="I286" i="29"/>
  <c r="I272" i="29"/>
  <c r="J1327" i="34"/>
  <c r="J448" i="23"/>
  <c r="I305" i="29"/>
  <c r="I338" i="29"/>
  <c r="I303" i="29"/>
  <c r="I300" i="29"/>
  <c r="I334" i="29"/>
  <c r="J429" i="23"/>
  <c r="J1262" i="34"/>
  <c r="I253" i="29"/>
  <c r="I270" i="29"/>
  <c r="I255" i="29"/>
  <c r="I337" i="29"/>
  <c r="I287" i="29"/>
  <c r="I249" i="29"/>
  <c r="J433" i="23"/>
  <c r="J1266" i="34"/>
  <c r="I271" i="29"/>
  <c r="I252" i="29"/>
  <c r="I254" i="29"/>
  <c r="I306" i="29"/>
  <c r="I283" i="29"/>
  <c r="I288" i="29"/>
  <c r="J1328" i="34"/>
  <c r="J449" i="23"/>
  <c r="I339" i="29"/>
  <c r="C1637" i="34"/>
  <c r="J409" i="23"/>
  <c r="J406" i="23"/>
  <c r="F225" i="29"/>
  <c r="J1189" i="34"/>
  <c r="J499" i="23"/>
  <c r="T472" i="25"/>
  <c r="B424" i="28"/>
  <c r="W408" i="28"/>
  <c r="H1886" i="34"/>
  <c r="H1639" i="34"/>
  <c r="H1822" i="34"/>
  <c r="I484" i="25"/>
  <c r="H1624" i="34"/>
  <c r="C1629" i="34"/>
  <c r="C1639" i="34"/>
  <c r="P394" i="28"/>
  <c r="B470" i="25"/>
  <c r="J523" i="23"/>
  <c r="A1641" i="34"/>
  <c r="J1604" i="34"/>
  <c r="C364" i="33"/>
  <c r="P388" i="28"/>
  <c r="Q424" i="28"/>
  <c r="F241" i="29"/>
  <c r="S475" i="25"/>
  <c r="H1640" i="34"/>
  <c r="S478" i="25"/>
  <c r="C639" i="23"/>
  <c r="Q426" i="28"/>
  <c r="Q421" i="28"/>
  <c r="H1630" i="34"/>
  <c r="J316" i="29"/>
  <c r="A1890" i="34"/>
  <c r="F472" i="25"/>
  <c r="F478" i="25"/>
  <c r="J1197" i="34"/>
  <c r="B475" i="25"/>
  <c r="J1154" i="34"/>
  <c r="C638" i="23"/>
  <c r="A1626" i="34"/>
  <c r="A642" i="23"/>
  <c r="H639" i="23"/>
  <c r="A1891" i="34"/>
  <c r="F433" i="28"/>
  <c r="I351" i="29"/>
  <c r="S474" i="25"/>
  <c r="C697" i="23"/>
  <c r="I321" i="29"/>
  <c r="I1296" i="34"/>
  <c r="A635" i="23"/>
  <c r="J1367" i="34"/>
  <c r="C241" i="29"/>
  <c r="J1613" i="34"/>
  <c r="S426" i="28"/>
  <c r="B472" i="25"/>
  <c r="C642" i="23"/>
  <c r="A632" i="23"/>
  <c r="A1621" i="34"/>
  <c r="W405" i="28"/>
  <c r="H615" i="23"/>
  <c r="F475" i="25"/>
  <c r="H1815" i="34"/>
  <c r="J1611" i="34"/>
  <c r="J270" i="29"/>
  <c r="S424" i="28"/>
  <c r="C1891" i="34"/>
  <c r="F486" i="23"/>
  <c r="A643" i="23"/>
  <c r="W410" i="28"/>
  <c r="A1643" i="34"/>
  <c r="E484" i="25"/>
  <c r="Q427" i="28"/>
  <c r="A475" i="25"/>
  <c r="J549" i="23"/>
  <c r="C1708" i="34"/>
  <c r="B471" i="25"/>
  <c r="A1887" i="34"/>
  <c r="F474" i="25"/>
  <c r="Q470" i="25"/>
  <c r="F471" i="25"/>
  <c r="C394" i="23"/>
  <c r="J1361" i="34"/>
  <c r="J547" i="23"/>
  <c r="U422" i="28"/>
  <c r="H613" i="23"/>
  <c r="I1671" i="34"/>
  <c r="I1546" i="34"/>
  <c r="A1628" i="34"/>
  <c r="B421" i="28"/>
  <c r="A470" i="25"/>
  <c r="B425" i="28"/>
  <c r="H403" i="29"/>
  <c r="A406" i="29"/>
  <c r="J1472" i="34"/>
  <c r="T470" i="25"/>
  <c r="A425" i="28"/>
  <c r="A1638" i="34"/>
  <c r="I304" i="29"/>
  <c r="J1196" i="34"/>
  <c r="J1193" i="34"/>
  <c r="J1473" i="34"/>
  <c r="J1468" i="34"/>
  <c r="J1188" i="34"/>
  <c r="I1433" i="34"/>
  <c r="I1432" i="34"/>
  <c r="J1603" i="34"/>
  <c r="J1088" i="34"/>
  <c r="A478" i="25"/>
  <c r="H1889" i="34"/>
  <c r="F483" i="25"/>
  <c r="A402" i="29"/>
  <c r="C403" i="29"/>
  <c r="H1885" i="34"/>
  <c r="U428" i="28"/>
  <c r="J1364" i="34"/>
  <c r="A1705" i="34"/>
  <c r="C1889" i="34"/>
  <c r="S477" i="25"/>
  <c r="U424" i="28"/>
  <c r="C1641" i="34"/>
  <c r="W451" i="25"/>
  <c r="U426" i="28"/>
  <c r="A477" i="25"/>
  <c r="J1226" i="34"/>
  <c r="J1614" i="34"/>
  <c r="A1622" i="34"/>
  <c r="B434" i="28"/>
  <c r="A1630" i="34"/>
  <c r="A405" i="29"/>
  <c r="J1291" i="34"/>
  <c r="H1625" i="34"/>
  <c r="B478" i="25"/>
  <c r="S473" i="25"/>
  <c r="J410" i="23"/>
  <c r="A427" i="28"/>
  <c r="I697" i="23"/>
  <c r="B477" i="25"/>
  <c r="J1429" i="34"/>
  <c r="P389" i="28"/>
  <c r="J1085" i="34"/>
  <c r="C1622" i="34"/>
  <c r="U472" i="25"/>
  <c r="H1878" i="34"/>
  <c r="J1090" i="34"/>
  <c r="C1642" i="34"/>
  <c r="J546" i="23"/>
  <c r="I1434" i="34"/>
  <c r="F487" i="23"/>
  <c r="Q471" i="25"/>
  <c r="A1889" i="34"/>
  <c r="P393" i="28"/>
  <c r="T421" i="28"/>
  <c r="P387" i="28"/>
  <c r="C1636" i="34"/>
  <c r="C641" i="23"/>
  <c r="I1436" i="34"/>
  <c r="F426" i="28"/>
  <c r="A404" i="29"/>
  <c r="I289" i="29"/>
  <c r="J265" i="29"/>
  <c r="J496" i="23"/>
  <c r="F371" i="23"/>
  <c r="J502" i="23"/>
  <c r="J497" i="23"/>
  <c r="J401" i="23"/>
  <c r="J1609" i="34"/>
  <c r="I353" i="29"/>
  <c r="H1628" i="34"/>
  <c r="F602" i="23"/>
  <c r="J272" i="29"/>
  <c r="C416" i="29"/>
  <c r="A426" i="28"/>
  <c r="F424" i="28"/>
  <c r="A473" i="25"/>
  <c r="T471" i="25"/>
  <c r="T475" i="25"/>
  <c r="B476" i="25"/>
  <c r="C1643" i="34"/>
  <c r="J1605" i="34"/>
  <c r="Q469" i="25"/>
  <c r="H636" i="23"/>
  <c r="A428" i="28"/>
  <c r="T428" i="28"/>
  <c r="A1636" i="34"/>
  <c r="S471" i="25"/>
  <c r="T474" i="25"/>
  <c r="U475" i="25"/>
  <c r="S470" i="25"/>
  <c r="T425" i="28"/>
  <c r="A638" i="23"/>
  <c r="H1621" i="34"/>
  <c r="J1227" i="34"/>
  <c r="J1362" i="34"/>
  <c r="H408" i="29"/>
  <c r="U474" i="25"/>
  <c r="A1880" i="34"/>
  <c r="C1883" i="34"/>
  <c r="C1623" i="34"/>
  <c r="A1629" i="34"/>
  <c r="C486" i="23"/>
  <c r="I392" i="33"/>
  <c r="S476" i="25"/>
  <c r="A471" i="25"/>
  <c r="A636" i="23"/>
  <c r="B484" i="25"/>
  <c r="T423" i="28"/>
  <c r="A1637" i="34"/>
  <c r="H1884" i="34"/>
  <c r="I354" i="29"/>
  <c r="U473" i="25"/>
  <c r="H642" i="23"/>
  <c r="C401" i="29"/>
  <c r="M434" i="28"/>
  <c r="I356" i="29"/>
  <c r="B428" i="28"/>
  <c r="I415" i="29"/>
  <c r="J338" i="29"/>
  <c r="C1630" i="34"/>
  <c r="J1365" i="34"/>
  <c r="A408" i="29"/>
  <c r="T426" i="28"/>
  <c r="H1887" i="34"/>
  <c r="U477" i="25"/>
  <c r="C407" i="29"/>
  <c r="C1628" i="34"/>
  <c r="W458" i="25"/>
  <c r="J427" i="23"/>
  <c r="J1260" i="34"/>
  <c r="J1331" i="34"/>
  <c r="J452" i="23"/>
  <c r="J1467" i="34"/>
  <c r="I1298" i="34"/>
  <c r="J403" i="23"/>
  <c r="J404" i="23"/>
  <c r="I1431" i="34"/>
  <c r="J1223" i="34"/>
  <c r="B469" i="25"/>
  <c r="A1888" i="34"/>
  <c r="J334" i="29"/>
  <c r="C1626" i="34"/>
  <c r="U476" i="25"/>
  <c r="U423" i="28"/>
  <c r="T424" i="28"/>
  <c r="C1878" i="34"/>
  <c r="E434" i="28"/>
  <c r="A476" i="25"/>
  <c r="Q477" i="25"/>
  <c r="H1883" i="34"/>
  <c r="J1229" i="34"/>
  <c r="M484" i="25"/>
  <c r="U425" i="28"/>
  <c r="J541" i="23"/>
  <c r="C632" i="23"/>
  <c r="H641" i="23"/>
  <c r="I357" i="29"/>
  <c r="I266" i="29"/>
  <c r="J1469" i="34"/>
  <c r="I323" i="29"/>
  <c r="J1190" i="34"/>
  <c r="J1191" i="34"/>
  <c r="J542" i="23"/>
  <c r="U471" i="25"/>
  <c r="B473" i="25"/>
  <c r="Q428" i="28"/>
  <c r="T427" i="28"/>
  <c r="I320" i="29"/>
  <c r="Q472" i="25"/>
  <c r="J1610" i="34"/>
  <c r="H406" i="29"/>
  <c r="F423" i="28"/>
  <c r="H1809" i="34"/>
  <c r="H1816" i="34"/>
  <c r="J288" i="29"/>
  <c r="W453" i="25"/>
  <c r="C1879" i="34"/>
  <c r="T422" i="28"/>
  <c r="A1642" i="34"/>
  <c r="F394" i="23"/>
  <c r="C1888" i="34"/>
  <c r="P391" i="28"/>
  <c r="Q425" i="28"/>
  <c r="S469" i="25"/>
  <c r="J498" i="23"/>
  <c r="I317" i="29"/>
  <c r="I322" i="29"/>
  <c r="J1198" i="34"/>
  <c r="U470" i="25"/>
  <c r="W454" i="25"/>
  <c r="A421" i="28"/>
  <c r="C1638" i="34"/>
  <c r="U478" i="25"/>
  <c r="I1295" i="34"/>
  <c r="J1159" i="34"/>
  <c r="I355" i="29"/>
  <c r="C1885" i="34"/>
  <c r="I562" i="23"/>
  <c r="P392" i="28"/>
  <c r="J304" i="29"/>
  <c r="A1639" i="34"/>
  <c r="A641" i="23"/>
  <c r="H640" i="23"/>
  <c r="J500" i="23"/>
  <c r="H404" i="29"/>
  <c r="F425" i="28"/>
  <c r="J266" i="29"/>
  <c r="A469" i="25"/>
  <c r="C415" i="29"/>
  <c r="A1625" i="34"/>
  <c r="J494" i="23"/>
  <c r="I1292" i="34"/>
  <c r="I1297" i="34"/>
  <c r="J411" i="23"/>
  <c r="H614" i="23"/>
  <c r="B423" i="28"/>
  <c r="H637" i="23"/>
  <c r="H638" i="23"/>
  <c r="W406" i="28"/>
  <c r="H405" i="29"/>
  <c r="W459" i="25"/>
  <c r="C636" i="23"/>
  <c r="S472" i="25"/>
  <c r="C1621" i="34"/>
  <c r="F469" i="25"/>
  <c r="F470" i="25"/>
  <c r="C406" i="29"/>
  <c r="A472" i="25"/>
  <c r="S427" i="28"/>
  <c r="J335" i="29"/>
  <c r="J1471" i="34"/>
  <c r="C402" i="29"/>
  <c r="J271" i="29"/>
  <c r="I352" i="29"/>
  <c r="H643" i="23"/>
  <c r="H1643" i="34"/>
  <c r="Q475" i="25"/>
  <c r="J1089" i="34"/>
  <c r="A640" i="23"/>
  <c r="W455" i="25"/>
  <c r="T469" i="25"/>
  <c r="H1626" i="34"/>
  <c r="Q473" i="25"/>
  <c r="J1602" i="34"/>
  <c r="J1607" i="34"/>
  <c r="W409" i="28"/>
  <c r="H1636" i="34"/>
  <c r="A423" i="28"/>
  <c r="C1887" i="34"/>
  <c r="H402" i="29"/>
  <c r="I1430" i="34"/>
  <c r="W407" i="28"/>
  <c r="J337" i="29"/>
  <c r="A424" i="28"/>
  <c r="J1465" i="34"/>
  <c r="B225" i="29"/>
  <c r="J1466" i="34"/>
  <c r="J412" i="23"/>
  <c r="T473" i="25"/>
  <c r="S421" i="28"/>
  <c r="A1878" i="34"/>
  <c r="A637" i="23"/>
  <c r="H1627" i="34"/>
  <c r="T478" i="25"/>
  <c r="H1622" i="34"/>
  <c r="A1623" i="34"/>
  <c r="J551" i="23"/>
  <c r="W456" i="25"/>
  <c r="J283" i="29"/>
  <c r="C1625" i="34"/>
  <c r="C1640" i="34"/>
  <c r="W411" i="28"/>
  <c r="H633" i="23"/>
  <c r="Q422" i="28"/>
  <c r="J539" i="23"/>
  <c r="U427" i="28"/>
  <c r="Q476" i="25"/>
  <c r="H1629" i="34"/>
  <c r="A1706" i="34"/>
  <c r="A1884" i="34"/>
  <c r="H1642" i="34"/>
  <c r="J501" i="23"/>
  <c r="J550" i="23"/>
  <c r="W452" i="25"/>
  <c r="I434" i="28"/>
  <c r="J1363" i="34"/>
  <c r="J1366" i="34"/>
  <c r="F422" i="28"/>
  <c r="C404" i="29"/>
  <c r="A1879" i="34"/>
  <c r="J1329" i="34"/>
  <c r="J450" i="23"/>
  <c r="J405" i="23"/>
  <c r="J413" i="23"/>
  <c r="J495" i="23"/>
  <c r="J1199" i="34"/>
  <c r="B426" i="28"/>
  <c r="I698" i="23"/>
  <c r="B474" i="25"/>
  <c r="A401" i="29"/>
  <c r="C1880" i="34"/>
  <c r="A422" i="28"/>
  <c r="F428" i="28"/>
  <c r="F427" i="28"/>
  <c r="J303" i="29"/>
  <c r="T476" i="25"/>
  <c r="H608" i="23"/>
  <c r="F477" i="25"/>
  <c r="H1888" i="34"/>
  <c r="U469" i="25"/>
  <c r="P390" i="28"/>
  <c r="J1612" i="34"/>
  <c r="F476" i="25"/>
  <c r="C408" i="29"/>
  <c r="S423" i="28"/>
  <c r="Q423" i="28"/>
  <c r="W404" i="28"/>
  <c r="C698" i="23"/>
  <c r="J269" i="29"/>
  <c r="J426" i="23"/>
  <c r="J1259" i="34"/>
  <c r="J1192" i="34"/>
  <c r="J1200" i="34"/>
  <c r="J402" i="23"/>
  <c r="J1470" i="34"/>
  <c r="B422" i="28"/>
  <c r="J1540" i="34"/>
  <c r="C405" i="29"/>
  <c r="H1623" i="34"/>
  <c r="H631" i="23"/>
  <c r="S428" i="28"/>
  <c r="Q478" i="25"/>
  <c r="J340" i="29"/>
  <c r="W450" i="25"/>
  <c r="I1435" i="34"/>
  <c r="A1883" i="34"/>
  <c r="A1627" i="34"/>
  <c r="A1640" i="34"/>
  <c r="W457" i="25"/>
  <c r="B427" i="28"/>
  <c r="J540" i="23"/>
  <c r="F421" i="28"/>
  <c r="C1624" i="34"/>
  <c r="J544" i="23"/>
  <c r="J548" i="23"/>
  <c r="H401" i="29"/>
  <c r="A407" i="29"/>
  <c r="T477" i="25"/>
  <c r="Q474" i="25"/>
  <c r="H1637" i="34"/>
  <c r="C631" i="23"/>
  <c r="H1641" i="34"/>
  <c r="S425" i="28"/>
  <c r="C371" i="23"/>
  <c r="H407" i="29"/>
  <c r="S422" i="28"/>
  <c r="J305" i="29"/>
  <c r="J1228" i="34"/>
  <c r="C1627" i="34"/>
  <c r="C1886" i="34"/>
  <c r="J543" i="23"/>
  <c r="A1624" i="34"/>
  <c r="J1091" i="34"/>
  <c r="J1606" i="34"/>
  <c r="A474" i="25"/>
  <c r="H1890" i="34"/>
  <c r="F473" i="25"/>
  <c r="I416" i="29"/>
  <c r="A403" i="29"/>
  <c r="C640" i="23"/>
  <c r="A631" i="23"/>
  <c r="J300" i="29"/>
  <c r="A1882" i="34"/>
  <c r="U421" i="28"/>
  <c r="V431" i="30" l="1"/>
  <c r="V454" i="30"/>
  <c r="V459" i="30"/>
  <c r="L442" i="30"/>
  <c r="N289" i="28"/>
  <c r="V460" i="30"/>
  <c r="N290" i="28"/>
  <c r="N258" i="28"/>
  <c r="N256" i="28"/>
  <c r="V452" i="30"/>
  <c r="L465" i="30"/>
  <c r="N309" i="28"/>
  <c r="V309" i="28" s="1"/>
  <c r="V430" i="30"/>
  <c r="N257" i="28"/>
  <c r="N255" i="28"/>
  <c r="N342" i="28"/>
  <c r="L345" i="28" s="1"/>
  <c r="N252" i="28"/>
  <c r="J1271" i="34"/>
  <c r="C1315" i="34" s="1"/>
  <c r="J437" i="23"/>
  <c r="J460" i="23"/>
  <c r="J1340" i="34"/>
  <c r="C1386" i="34" s="1"/>
  <c r="V429" i="30"/>
  <c r="M441" i="30"/>
  <c r="H442" i="30" s="1"/>
  <c r="V455" i="30"/>
  <c r="N292" i="28"/>
  <c r="M464" i="30"/>
  <c r="H465" i="30" s="1"/>
  <c r="V242" i="28"/>
  <c r="B243" i="28" s="1"/>
  <c r="V412" i="30"/>
  <c r="V501" i="30"/>
  <c r="V499" i="30"/>
  <c r="V409" i="30"/>
  <c r="V395" i="30"/>
  <c r="B396" i="30" s="1"/>
  <c r="V408" i="30"/>
  <c r="L511" i="30"/>
  <c r="N320" i="28"/>
  <c r="M327" i="28" s="1"/>
  <c r="H328" i="28" s="1"/>
  <c r="N326" i="28"/>
  <c r="V500" i="30"/>
  <c r="V405" i="30"/>
  <c r="V498" i="30"/>
  <c r="V372" i="30"/>
  <c r="N325" i="28"/>
  <c r="V406" i="30"/>
  <c r="V505" i="30"/>
  <c r="M418" i="30"/>
  <c r="H419" i="30" s="1"/>
  <c r="C1108" i="34"/>
  <c r="J414" i="23"/>
  <c r="J1202" i="34"/>
  <c r="C1248" i="34" s="1"/>
  <c r="J506" i="23"/>
  <c r="J1478" i="34"/>
  <c r="C1524" i="34" s="1"/>
  <c r="N324" i="28"/>
  <c r="L419" i="30"/>
  <c r="V319" i="28"/>
  <c r="V504" i="30"/>
  <c r="V503" i="30"/>
  <c r="N323" i="28"/>
  <c r="V413" i="30"/>
  <c r="C1179" i="34"/>
  <c r="V404" i="30"/>
  <c r="V502" i="30"/>
  <c r="M510" i="30"/>
  <c r="H511" i="30" s="1"/>
  <c r="F632" i="30"/>
  <c r="M293" i="28"/>
  <c r="H294" i="28" s="1"/>
  <c r="V291" i="28"/>
  <c r="J290" i="29"/>
  <c r="J1161" i="34"/>
  <c r="E1177" i="34" s="1"/>
  <c r="V286" i="28"/>
  <c r="V293" i="28" s="1"/>
  <c r="E294" i="28" s="1"/>
  <c r="V272" i="28"/>
  <c r="V308" i="28"/>
  <c r="V275" i="28"/>
  <c r="V303" i="28"/>
  <c r="V310" i="28" s="1"/>
  <c r="E311" i="28" s="1"/>
  <c r="M310" i="28"/>
  <c r="H311" i="28" s="1"/>
  <c r="V307" i="28"/>
  <c r="J1092" i="34"/>
  <c r="E1108" i="34" s="1"/>
  <c r="J273" i="29"/>
  <c r="J1230" i="34"/>
  <c r="E1246" i="34" s="1"/>
  <c r="L277" i="28"/>
  <c r="V269" i="28"/>
  <c r="V276" i="28" s="1"/>
  <c r="B277" i="28" s="1"/>
  <c r="M276" i="28"/>
  <c r="H277" i="28" s="1"/>
  <c r="V273" i="28"/>
  <c r="V274" i="28"/>
  <c r="V306" i="28"/>
  <c r="C1453" i="34"/>
  <c r="C1455" i="34"/>
  <c r="V487" i="30"/>
  <c r="B488" i="30" s="1"/>
  <c r="H1644" i="34"/>
  <c r="J1368" i="34"/>
  <c r="E1384" i="34" s="1"/>
  <c r="N356" i="28"/>
  <c r="V356" i="28" s="1"/>
  <c r="V341" i="28"/>
  <c r="L534" i="30"/>
  <c r="X641" i="30"/>
  <c r="J1547" i="34"/>
  <c r="C1591" i="34" s="1"/>
  <c r="J529" i="23"/>
  <c r="E511" i="30"/>
  <c r="V526" i="30"/>
  <c r="V533" i="30" s="1"/>
  <c r="B534" i="30" s="1"/>
  <c r="V549" i="30"/>
  <c r="H534" i="30"/>
  <c r="X614" i="30"/>
  <c r="K578" i="30"/>
  <c r="K565" i="30"/>
  <c r="N355" i="28"/>
  <c r="K579" i="30"/>
  <c r="X623" i="30"/>
  <c r="H409" i="29"/>
  <c r="M344" i="28"/>
  <c r="H345" i="28" s="1"/>
  <c r="N359" i="28"/>
  <c r="N360" i="28"/>
  <c r="V337" i="28"/>
  <c r="N354" i="28"/>
  <c r="N358" i="28"/>
  <c r="X454" i="25"/>
  <c r="X450" i="25"/>
  <c r="X408" i="28"/>
  <c r="X455" i="25"/>
  <c r="X457" i="25"/>
  <c r="N357" i="28"/>
  <c r="X441" i="25"/>
  <c r="V339" i="28"/>
  <c r="X459" i="25"/>
  <c r="X621" i="30"/>
  <c r="H1631" i="34"/>
  <c r="X619" i="30"/>
  <c r="X613" i="30"/>
  <c r="X404" i="28"/>
  <c r="X410" i="28"/>
  <c r="X409" i="28"/>
  <c r="X452" i="25"/>
  <c r="X411" i="28"/>
  <c r="X407" i="28"/>
  <c r="X620" i="30"/>
  <c r="X451" i="25"/>
  <c r="W625" i="30"/>
  <c r="X612" i="30"/>
  <c r="X406" i="28"/>
  <c r="V338" i="28"/>
  <c r="M375" i="28"/>
  <c r="M371" i="28"/>
  <c r="M377" i="28"/>
  <c r="X395" i="28"/>
  <c r="I644" i="30"/>
  <c r="F429" i="28"/>
  <c r="I429" i="28"/>
  <c r="I645" i="30"/>
  <c r="I636" i="30"/>
  <c r="I478" i="25"/>
  <c r="I638" i="30"/>
  <c r="I421" i="28"/>
  <c r="I471" i="25"/>
  <c r="I422" i="28"/>
  <c r="I641" i="30"/>
  <c r="I475" i="25"/>
  <c r="I476" i="25"/>
  <c r="I425" i="28"/>
  <c r="X458" i="25"/>
  <c r="I426" i="28"/>
  <c r="G388" i="28"/>
  <c r="R388" i="28"/>
  <c r="K388" i="28" s="1"/>
  <c r="R392" i="28"/>
  <c r="K392" i="28" s="1"/>
  <c r="G392" i="28"/>
  <c r="R393" i="28"/>
  <c r="K393" i="28" s="1"/>
  <c r="G393" i="28"/>
  <c r="G390" i="28"/>
  <c r="R390" i="28"/>
  <c r="K390" i="28" s="1"/>
  <c r="R394" i="28"/>
  <c r="K394" i="28" s="1"/>
  <c r="G394" i="28"/>
  <c r="R391" i="28"/>
  <c r="K391" i="28" s="1"/>
  <c r="G391" i="28"/>
  <c r="G389" i="28"/>
  <c r="R389" i="28"/>
  <c r="K389" i="28" s="1"/>
  <c r="R387" i="28"/>
  <c r="G387" i="28"/>
  <c r="G395" i="28"/>
  <c r="H1823" i="34"/>
  <c r="I423" i="28"/>
  <c r="X405" i="28"/>
  <c r="W412" i="28"/>
  <c r="F648" i="30"/>
  <c r="I648" i="30"/>
  <c r="I427" i="28"/>
  <c r="I479" i="25"/>
  <c r="F479" i="25"/>
  <c r="I472" i="25"/>
  <c r="X453" i="25"/>
  <c r="I647" i="30"/>
  <c r="I634" i="30"/>
  <c r="I428" i="28"/>
  <c r="I473" i="25"/>
  <c r="I643" i="30"/>
  <c r="I640" i="30"/>
  <c r="I424" i="28"/>
  <c r="X456" i="25"/>
  <c r="I474" i="25"/>
  <c r="I646" i="30"/>
  <c r="I470" i="25"/>
  <c r="I477" i="25"/>
  <c r="I469" i="25"/>
  <c r="I637" i="30"/>
  <c r="K484" i="25"/>
  <c r="G434" i="28"/>
  <c r="K447" i="28"/>
  <c r="V353" i="28"/>
  <c r="M436" i="28"/>
  <c r="I499" i="25"/>
  <c r="G484" i="25"/>
  <c r="G447" i="28"/>
  <c r="B486" i="25"/>
  <c r="F436" i="28"/>
  <c r="B436" i="28"/>
  <c r="M486" i="25"/>
  <c r="I486" i="25"/>
  <c r="M372" i="28"/>
  <c r="A447" i="28"/>
  <c r="I447" i="28"/>
  <c r="D484" i="25"/>
  <c r="N436" i="28"/>
  <c r="A765" i="23"/>
  <c r="G486" i="25"/>
  <c r="M374" i="28"/>
  <c r="A498" i="25"/>
  <c r="K499" i="25"/>
  <c r="A499" i="25"/>
  <c r="D447" i="28"/>
  <c r="K434" i="28"/>
  <c r="D499" i="25"/>
  <c r="I436" i="28"/>
  <c r="K486" i="25"/>
  <c r="G436" i="28"/>
  <c r="D434" i="28"/>
  <c r="G499" i="25"/>
  <c r="M370" i="28"/>
  <c r="K370" i="28"/>
  <c r="K378" i="28"/>
  <c r="N486" i="25"/>
  <c r="K436" i="28"/>
  <c r="A486" i="25"/>
  <c r="B521" i="25"/>
  <c r="M499" i="25"/>
  <c r="M376" i="28"/>
  <c r="B467" i="28"/>
  <c r="A436" i="28"/>
  <c r="A446" i="28"/>
  <c r="M447" i="28"/>
  <c r="F486" i="25"/>
  <c r="A434" i="28"/>
  <c r="A484" i="25"/>
  <c r="M373" i="28"/>
  <c r="V588" i="30"/>
  <c r="J1616" i="34"/>
  <c r="V546" i="30"/>
  <c r="V544" i="30"/>
  <c r="V551" i="30"/>
  <c r="V547" i="30"/>
  <c r="V552" i="30"/>
  <c r="V553" i="30"/>
  <c r="AR35" i="27"/>
  <c r="K588" i="30"/>
  <c r="V545" i="30"/>
  <c r="L557" i="30"/>
  <c r="X644" i="30"/>
  <c r="X637" i="30"/>
  <c r="J552" i="23"/>
  <c r="V543" i="30"/>
  <c r="M556" i="30"/>
  <c r="K601" i="30"/>
  <c r="V565" i="30"/>
  <c r="K602" i="30"/>
  <c r="I663" i="30"/>
  <c r="I670" i="30"/>
  <c r="I665" i="30"/>
  <c r="I669" i="30"/>
  <c r="I666" i="30"/>
  <c r="I662" i="30"/>
  <c r="A675" i="30"/>
  <c r="D675" i="30"/>
  <c r="C675" i="30"/>
  <c r="E675" i="30"/>
  <c r="A557" i="26"/>
  <c r="U488" i="25"/>
  <c r="A670" i="30"/>
  <c r="F445" i="28"/>
  <c r="W646" i="30"/>
  <c r="F443" i="28"/>
  <c r="F665" i="30"/>
  <c r="T439" i="28"/>
  <c r="B493" i="25"/>
  <c r="S682" i="30"/>
  <c r="U489" i="25"/>
  <c r="A665" i="30"/>
  <c r="B693" i="30"/>
  <c r="B680" i="30"/>
  <c r="B444" i="28"/>
  <c r="Q438" i="28"/>
  <c r="S687" i="30"/>
  <c r="F681" i="30"/>
  <c r="P617" i="30"/>
  <c r="W634" i="30"/>
  <c r="B494" i="25"/>
  <c r="U444" i="28"/>
  <c r="T488" i="25"/>
  <c r="Q493" i="25"/>
  <c r="Q497" i="25"/>
  <c r="A693" i="30"/>
  <c r="A496" i="25"/>
  <c r="Q494" i="25"/>
  <c r="A488" i="25"/>
  <c r="T495" i="25"/>
  <c r="T445" i="28"/>
  <c r="T443" i="28"/>
  <c r="B491" i="25"/>
  <c r="A661" i="30"/>
  <c r="P611" i="30"/>
  <c r="S492" i="25"/>
  <c r="Q496" i="25"/>
  <c r="W645" i="30"/>
  <c r="Q439" i="28"/>
  <c r="T681" i="30"/>
  <c r="S489" i="25"/>
  <c r="S488" i="25"/>
  <c r="A667" i="30"/>
  <c r="Q441" i="28"/>
  <c r="F688" i="30"/>
  <c r="A684" i="30"/>
  <c r="P614" i="30"/>
  <c r="B666" i="30"/>
  <c r="U683" i="30"/>
  <c r="Q443" i="28"/>
  <c r="F689" i="30"/>
  <c r="P613" i="30"/>
  <c r="P612" i="30"/>
  <c r="U686" i="30"/>
  <c r="U493" i="25"/>
  <c r="U494" i="25"/>
  <c r="A662" i="30"/>
  <c r="T690" i="30"/>
  <c r="F492" i="25"/>
  <c r="B438" i="28"/>
  <c r="B664" i="30"/>
  <c r="F683" i="30"/>
  <c r="T661" i="30"/>
  <c r="A688" i="30"/>
  <c r="A440" i="28"/>
  <c r="F667" i="30"/>
  <c r="S441" i="28"/>
  <c r="B683" i="30"/>
  <c r="S496" i="25"/>
  <c r="B496" i="25"/>
  <c r="S494" i="25"/>
  <c r="T496" i="25"/>
  <c r="T684" i="30"/>
  <c r="A680" i="30"/>
  <c r="A442" i="28"/>
  <c r="F685" i="30"/>
  <c r="B441" i="28"/>
  <c r="U689" i="30"/>
  <c r="T490" i="25"/>
  <c r="S490" i="25"/>
  <c r="Q444" i="28"/>
  <c r="S667" i="30"/>
  <c r="S495" i="25"/>
  <c r="T667" i="30"/>
  <c r="U490" i="25"/>
  <c r="A664" i="30"/>
  <c r="F493" i="25"/>
  <c r="F496" i="25"/>
  <c r="A690" i="30"/>
  <c r="T664" i="30"/>
  <c r="A443" i="28"/>
  <c r="F682" i="30"/>
  <c r="U496" i="25"/>
  <c r="T438" i="28"/>
  <c r="F692" i="30"/>
  <c r="Q488" i="25"/>
  <c r="A497" i="25"/>
  <c r="B670" i="30"/>
  <c r="U442" i="28"/>
  <c r="P620" i="30"/>
  <c r="B497" i="25"/>
  <c r="B681" i="30"/>
  <c r="B488" i="25"/>
  <c r="S659" i="30"/>
  <c r="T492" i="25"/>
  <c r="B439" i="28"/>
  <c r="P623" i="30"/>
  <c r="T660" i="30"/>
  <c r="S497" i="25"/>
  <c r="F686" i="30"/>
  <c r="A445" i="28"/>
  <c r="B659" i="30"/>
  <c r="A495" i="25"/>
  <c r="Q492" i="25"/>
  <c r="T659" i="30"/>
  <c r="T658" i="30"/>
  <c r="A439" i="28"/>
  <c r="F495" i="25"/>
  <c r="P619" i="30"/>
  <c r="W635" i="30"/>
  <c r="B489" i="25"/>
  <c r="S438" i="28"/>
  <c r="Q495" i="25"/>
  <c r="W642" i="30"/>
  <c r="A441" i="28"/>
  <c r="B691" i="30"/>
  <c r="W639" i="30"/>
  <c r="B665" i="30"/>
  <c r="B440" i="28"/>
  <c r="S491" i="25"/>
  <c r="T657" i="30"/>
  <c r="T441" i="28"/>
  <c r="B443" i="28"/>
  <c r="U492" i="25"/>
  <c r="U664" i="30"/>
  <c r="A490" i="25"/>
  <c r="S439" i="28"/>
  <c r="U440" i="28"/>
  <c r="W640" i="30"/>
  <c r="B442" i="28"/>
  <c r="W638" i="30"/>
  <c r="F438" i="28"/>
  <c r="T668" i="30"/>
  <c r="F441" i="28"/>
  <c r="U657" i="30"/>
  <c r="Q445" i="28"/>
  <c r="B492" i="25"/>
  <c r="U670" i="30"/>
  <c r="B661" i="30"/>
  <c r="A660" i="30"/>
  <c r="T489" i="25"/>
  <c r="P618" i="30"/>
  <c r="U681" i="30"/>
  <c r="S690" i="30"/>
  <c r="F680" i="30"/>
  <c r="F490" i="25"/>
  <c r="F669" i="30"/>
  <c r="A444" i="28"/>
  <c r="P622" i="30"/>
  <c r="S683" i="30"/>
  <c r="T440" i="28"/>
  <c r="P616" i="30"/>
  <c r="S666" i="30"/>
  <c r="B669" i="30"/>
  <c r="B686" i="30"/>
  <c r="S445" i="28"/>
  <c r="T493" i="25"/>
  <c r="W643" i="30"/>
  <c r="S662" i="30"/>
  <c r="S444" i="28"/>
  <c r="S658" i="30"/>
  <c r="F489" i="25"/>
  <c r="F664" i="30"/>
  <c r="F684" i="30"/>
  <c r="A493" i="25"/>
  <c r="S670" i="30"/>
  <c r="A491" i="25"/>
  <c r="Q489" i="25"/>
  <c r="Q490" i="25"/>
  <c r="F687" i="30"/>
  <c r="W636" i="30"/>
  <c r="S661" i="30"/>
  <c r="U692" i="30"/>
  <c r="A438" i="28"/>
  <c r="F691" i="30"/>
  <c r="U438" i="28"/>
  <c r="U495" i="25"/>
  <c r="Q491" i="25"/>
  <c r="S660" i="30"/>
  <c r="B490" i="25"/>
  <c r="Q442" i="28"/>
  <c r="S442" i="28"/>
  <c r="U491" i="25"/>
  <c r="A489" i="25"/>
  <c r="U497" i="25"/>
  <c r="T442" i="28"/>
  <c r="U680" i="30"/>
  <c r="A492" i="25"/>
  <c r="B657" i="30"/>
  <c r="U667" i="30"/>
  <c r="U658" i="30"/>
  <c r="S664" i="30"/>
  <c r="P615" i="30"/>
  <c r="A668" i="30"/>
  <c r="U445" i="28"/>
  <c r="A494" i="25"/>
  <c r="B692" i="30"/>
  <c r="F497" i="25"/>
  <c r="U441" i="28"/>
  <c r="P621" i="30"/>
  <c r="A658" i="30"/>
  <c r="F494" i="25"/>
  <c r="T688" i="30"/>
  <c r="B495" i="25"/>
  <c r="B445" i="28"/>
  <c r="F444" i="28"/>
  <c r="F491" i="25"/>
  <c r="T693" i="30"/>
  <c r="T491" i="25"/>
  <c r="F442" i="28"/>
  <c r="U665" i="30"/>
  <c r="S493" i="25"/>
  <c r="F439" i="28"/>
  <c r="U443" i="28"/>
  <c r="S668" i="30"/>
  <c r="A663" i="30"/>
  <c r="F693" i="30"/>
  <c r="W669" i="30"/>
  <c r="T444" i="28"/>
  <c r="F666" i="30"/>
  <c r="T494" i="25"/>
  <c r="T497" i="25"/>
  <c r="S663" i="30"/>
  <c r="F440" i="28"/>
  <c r="Q440" i="28"/>
  <c r="F690" i="30"/>
  <c r="U663" i="30"/>
  <c r="S440" i="28"/>
  <c r="S443" i="28"/>
  <c r="F488" i="25"/>
  <c r="U439" i="28"/>
  <c r="P624" i="30"/>
  <c r="M624" i="30" s="1"/>
  <c r="N624" i="30" s="1"/>
  <c r="J1822" i="34"/>
  <c r="C440" i="23"/>
  <c r="J286" i="29"/>
  <c r="J287" i="29"/>
  <c r="J255" i="29"/>
  <c r="J253" i="29"/>
  <c r="C463" i="23"/>
  <c r="J306" i="29"/>
  <c r="J254" i="29"/>
  <c r="J252" i="29"/>
  <c r="J339" i="29"/>
  <c r="C1711" i="34"/>
  <c r="J1297" i="34"/>
  <c r="I590" i="23"/>
  <c r="I1500" i="34"/>
  <c r="A1699" i="34"/>
  <c r="C1958" i="34"/>
  <c r="J1434" i="34"/>
  <c r="C1882" i="34"/>
  <c r="I1748" i="34"/>
  <c r="C1952" i="34"/>
  <c r="C635" i="23"/>
  <c r="P404" i="28"/>
  <c r="J357" i="29"/>
  <c r="I597" i="23"/>
  <c r="C422" i="29"/>
  <c r="W474" i="25"/>
  <c r="P411" i="28"/>
  <c r="C1706" i="34"/>
  <c r="J1677" i="34"/>
  <c r="J353" i="29"/>
  <c r="A1780" i="34"/>
  <c r="I367" i="29"/>
  <c r="A663" i="23"/>
  <c r="J571" i="23"/>
  <c r="H1948" i="34"/>
  <c r="C441" i="29"/>
  <c r="I1682" i="34"/>
  <c r="C1775" i="34"/>
  <c r="J1292" i="34"/>
  <c r="M503" i="25"/>
  <c r="F532" i="23"/>
  <c r="P409" i="28"/>
  <c r="A1709" i="34"/>
  <c r="C425" i="29"/>
  <c r="H1690" i="34"/>
  <c r="W472" i="25"/>
  <c r="B242" i="29"/>
  <c r="F417" i="23"/>
  <c r="B533" i="23"/>
  <c r="H1693" i="34"/>
  <c r="H657" i="23"/>
  <c r="C532" i="23"/>
  <c r="I1751" i="34"/>
  <c r="H658" i="23"/>
  <c r="I1679" i="34"/>
  <c r="C660" i="23"/>
  <c r="I1678" i="34"/>
  <c r="I721" i="23"/>
  <c r="H1692" i="34"/>
  <c r="I720" i="23"/>
  <c r="A1712" i="34"/>
  <c r="C721" i="23"/>
  <c r="I565" i="23"/>
  <c r="I374" i="29"/>
  <c r="C343" i="29"/>
  <c r="C275" i="29"/>
  <c r="C1884" i="34"/>
  <c r="A1692" i="34"/>
  <c r="A1949" i="34"/>
  <c r="W427" i="28"/>
  <c r="H1711" i="34"/>
  <c r="I1677" i="34"/>
  <c r="H1695" i="34"/>
  <c r="A1886" i="34"/>
  <c r="H1780" i="34"/>
  <c r="A1696" i="34"/>
  <c r="A1947" i="34"/>
  <c r="J562" i="23"/>
  <c r="C657" i="23"/>
  <c r="H632" i="23"/>
  <c r="C1780" i="34"/>
  <c r="A423" i="29"/>
  <c r="W473" i="25"/>
  <c r="C1710" i="34"/>
  <c r="H1697" i="34"/>
  <c r="H1691" i="34"/>
  <c r="H1880" i="34"/>
  <c r="J574" i="23"/>
  <c r="C643" i="23"/>
  <c r="J1296" i="34"/>
  <c r="H435" i="29"/>
  <c r="H1951" i="34"/>
  <c r="H1775" i="34"/>
  <c r="B395" i="23"/>
  <c r="C1709" i="34"/>
  <c r="I1676" i="34"/>
  <c r="C440" i="29"/>
  <c r="F310" i="29"/>
  <c r="J565" i="23"/>
  <c r="I368" i="29"/>
  <c r="A1707" i="34"/>
  <c r="I1744" i="34"/>
  <c r="J356" i="29"/>
  <c r="I1504" i="34"/>
  <c r="W423" i="28"/>
  <c r="C1712" i="34"/>
  <c r="H665" i="23"/>
  <c r="J1431" i="34"/>
  <c r="H1707" i="34"/>
  <c r="I586" i="23"/>
  <c r="C1950" i="34"/>
  <c r="B487" i="23"/>
  <c r="J564" i="23"/>
  <c r="F309" i="29"/>
  <c r="I566" i="23"/>
  <c r="J1432" i="34"/>
  <c r="C1697" i="34"/>
  <c r="A654" i="23"/>
  <c r="I1681" i="34"/>
  <c r="A420" i="29"/>
  <c r="J1435" i="34"/>
  <c r="I1672" i="34"/>
  <c r="C1957" i="34"/>
  <c r="P410" i="28"/>
  <c r="A1959" i="34"/>
  <c r="H655" i="23"/>
  <c r="I591" i="23"/>
  <c r="F509" i="23"/>
  <c r="W476" i="25"/>
  <c r="J568" i="23"/>
  <c r="A1779" i="34"/>
  <c r="C417" i="23"/>
  <c r="P406" i="28"/>
  <c r="A1691" i="34"/>
  <c r="J1433" i="34"/>
  <c r="J572" i="23"/>
  <c r="I595" i="23"/>
  <c r="H1958" i="34"/>
  <c r="A1881" i="34"/>
  <c r="F275" i="29"/>
  <c r="J354" i="29"/>
  <c r="I568" i="23"/>
  <c r="C1948" i="34"/>
  <c r="J1430" i="34"/>
  <c r="F293" i="29"/>
  <c r="J317" i="29"/>
  <c r="A666" i="23"/>
  <c r="F292" i="29"/>
  <c r="A1778" i="34"/>
  <c r="F510" i="23"/>
  <c r="C555" i="23"/>
  <c r="I432" i="29"/>
  <c r="A425" i="29"/>
  <c r="B503" i="25"/>
  <c r="I1675" i="34"/>
  <c r="J355" i="29"/>
  <c r="I573" i="23"/>
  <c r="C637" i="23"/>
  <c r="I574" i="23"/>
  <c r="AL29" i="27"/>
  <c r="H418" i="29"/>
  <c r="C509" i="23"/>
  <c r="A1776" i="34"/>
  <c r="J1680" i="34"/>
  <c r="A1695" i="34"/>
  <c r="A1711" i="34"/>
  <c r="I371" i="29"/>
  <c r="E503" i="25"/>
  <c r="W478" i="25"/>
  <c r="P405" i="28"/>
  <c r="H1949" i="34"/>
  <c r="J1674" i="34"/>
  <c r="A1710" i="34"/>
  <c r="A1693" i="34"/>
  <c r="C1696" i="34"/>
  <c r="I1673" i="34"/>
  <c r="W421" i="28"/>
  <c r="H660" i="23"/>
  <c r="A418" i="29"/>
  <c r="I563" i="23"/>
  <c r="H421" i="29"/>
  <c r="I370" i="29"/>
  <c r="I585" i="23"/>
  <c r="I1683" i="34"/>
  <c r="I372" i="29"/>
  <c r="I1743" i="34"/>
  <c r="C1881" i="34"/>
  <c r="H419" i="29"/>
  <c r="A1885" i="34"/>
  <c r="J1675" i="34"/>
  <c r="I408" i="33"/>
  <c r="I503" i="25"/>
  <c r="H1952" i="34"/>
  <c r="A1708" i="34"/>
  <c r="I1499" i="34"/>
  <c r="J351" i="29"/>
  <c r="H635" i="23"/>
  <c r="A639" i="23"/>
  <c r="A1698" i="34"/>
  <c r="C634" i="23"/>
  <c r="A424" i="29"/>
  <c r="P408" i="28"/>
  <c r="J1682" i="34"/>
  <c r="C664" i="23"/>
  <c r="H1696" i="34"/>
  <c r="I1680" i="34"/>
  <c r="C1890" i="34"/>
  <c r="A422" i="29"/>
  <c r="C419" i="29"/>
  <c r="I587" i="23"/>
  <c r="C1694" i="34"/>
  <c r="H1947" i="34"/>
  <c r="C659" i="23"/>
  <c r="J352" i="29"/>
  <c r="I1749" i="34"/>
  <c r="W426" i="28"/>
  <c r="J1298" i="34"/>
  <c r="H634" i="23"/>
  <c r="H424" i="29"/>
  <c r="W475" i="25"/>
  <c r="A633" i="23"/>
  <c r="I1615" i="34"/>
  <c r="W477" i="25"/>
  <c r="I1750" i="34"/>
  <c r="C1698" i="34"/>
  <c r="I1674" i="34"/>
  <c r="H1708" i="34"/>
  <c r="A419" i="29"/>
  <c r="H1705" i="34"/>
  <c r="I373" i="29"/>
  <c r="C1778" i="34"/>
  <c r="C420" i="29"/>
  <c r="J320" i="29"/>
  <c r="H656" i="23"/>
  <c r="H1881" i="34"/>
  <c r="C1693" i="34"/>
  <c r="I1505" i="34"/>
  <c r="J1436" i="34"/>
  <c r="C1774" i="34"/>
  <c r="H654" i="23"/>
  <c r="H1950" i="34"/>
  <c r="C1705" i="34"/>
  <c r="H1706" i="34"/>
  <c r="W422" i="28"/>
  <c r="H1891" i="34"/>
  <c r="J567" i="23"/>
  <c r="C633" i="23"/>
  <c r="C423" i="29"/>
  <c r="I1502" i="34"/>
  <c r="I1745" i="34"/>
  <c r="I592" i="23"/>
  <c r="F440" i="23"/>
  <c r="F326" i="29"/>
  <c r="C1707" i="34"/>
  <c r="J321" i="29"/>
  <c r="I570" i="23"/>
  <c r="J566" i="23"/>
  <c r="H1712" i="34"/>
  <c r="I572" i="23"/>
  <c r="C1695" i="34"/>
  <c r="J1676" i="34"/>
  <c r="I1746" i="34"/>
  <c r="I1498" i="34"/>
  <c r="F502" i="25"/>
  <c r="W471" i="25"/>
  <c r="J323" i="29"/>
  <c r="J1681" i="34"/>
  <c r="A1956" i="34"/>
  <c r="C1690" i="34"/>
  <c r="C1691" i="34"/>
  <c r="J1672" i="34"/>
  <c r="A421" i="29"/>
  <c r="I1752" i="34"/>
  <c r="J289" i="29"/>
  <c r="I451" i="28"/>
  <c r="I1741" i="34"/>
  <c r="H1698" i="34"/>
  <c r="B276" i="29"/>
  <c r="F463" i="23"/>
  <c r="I567" i="23"/>
  <c r="H425" i="29"/>
  <c r="C424" i="29"/>
  <c r="C1953" i="34"/>
  <c r="W424" i="28"/>
  <c r="J573" i="23"/>
  <c r="C433" i="29"/>
  <c r="C665" i="23"/>
  <c r="E451" i="28"/>
  <c r="H423" i="29"/>
  <c r="W428" i="28"/>
  <c r="C432" i="29"/>
  <c r="H1694" i="34"/>
  <c r="H1778" i="34"/>
  <c r="H1699" i="34"/>
  <c r="C1699" i="34"/>
  <c r="I1747" i="34"/>
  <c r="J1683" i="34"/>
  <c r="C418" i="29"/>
  <c r="I569" i="23"/>
  <c r="I1740" i="34"/>
  <c r="H659" i="23"/>
  <c r="J563" i="23"/>
  <c r="I1742" i="34"/>
  <c r="W470" i="25"/>
  <c r="A1690" i="34"/>
  <c r="H1882" i="34"/>
  <c r="I596" i="23"/>
  <c r="I1503" i="34"/>
  <c r="P407" i="28"/>
  <c r="I593" i="23"/>
  <c r="F343" i="29"/>
  <c r="C1692" i="34"/>
  <c r="H1709" i="34"/>
  <c r="I433" i="29"/>
  <c r="I564" i="23"/>
  <c r="I589" i="23"/>
  <c r="W469" i="25"/>
  <c r="I369" i="29"/>
  <c r="M451" i="28"/>
  <c r="W425" i="28"/>
  <c r="A634" i="23"/>
  <c r="I1501" i="34"/>
  <c r="I594" i="23"/>
  <c r="H1953" i="34"/>
  <c r="I588" i="23"/>
  <c r="J1673" i="34"/>
  <c r="H1710" i="34"/>
  <c r="H422" i="29"/>
  <c r="I571" i="23"/>
  <c r="J1295" i="34"/>
  <c r="A1694" i="34"/>
  <c r="A1697" i="34"/>
  <c r="J1671" i="34"/>
  <c r="H420" i="29"/>
  <c r="B451" i="28"/>
  <c r="H1879" i="34"/>
  <c r="C720" i="23"/>
  <c r="A1774" i="34"/>
  <c r="F450" i="28"/>
  <c r="C421" i="29"/>
  <c r="E243" i="28" l="1"/>
  <c r="L311" i="28"/>
  <c r="V289" i="28"/>
  <c r="V464" i="30"/>
  <c r="B465" i="30" s="1"/>
  <c r="C1384" i="34"/>
  <c r="V256" i="28"/>
  <c r="V258" i="28"/>
  <c r="V290" i="28"/>
  <c r="L260" i="28"/>
  <c r="V252" i="28"/>
  <c r="V259" i="28" s="1"/>
  <c r="B260" i="28" s="1"/>
  <c r="M259" i="28"/>
  <c r="H260" i="28" s="1"/>
  <c r="C1317" i="34"/>
  <c r="V342" i="28"/>
  <c r="V255" i="28"/>
  <c r="V257" i="28"/>
  <c r="V441" i="30"/>
  <c r="B442" i="30" s="1"/>
  <c r="V292" i="28"/>
  <c r="L294" i="28"/>
  <c r="E396" i="30"/>
  <c r="B373" i="30"/>
  <c r="E373" i="30"/>
  <c r="V326" i="28"/>
  <c r="V320" i="28"/>
  <c r="V327" i="28" s="1"/>
  <c r="B328" i="28" s="1"/>
  <c r="V418" i="30"/>
  <c r="B419" i="30" s="1"/>
  <c r="V325" i="28"/>
  <c r="V510" i="30"/>
  <c r="B511" i="30" s="1"/>
  <c r="J1299" i="34"/>
  <c r="E1315" i="34" s="1"/>
  <c r="C1522" i="34"/>
  <c r="C1246" i="34"/>
  <c r="V324" i="28"/>
  <c r="L328" i="28"/>
  <c r="V323" i="28"/>
  <c r="F655" i="30"/>
  <c r="B294" i="28"/>
  <c r="B311" i="28"/>
  <c r="E277" i="28"/>
  <c r="H1713" i="34"/>
  <c r="J1437" i="34"/>
  <c r="E1453" i="34" s="1"/>
  <c r="N377" i="28"/>
  <c r="V377" i="28" s="1"/>
  <c r="N371" i="28"/>
  <c r="V371" i="28" s="1"/>
  <c r="N375" i="28"/>
  <c r="V375" i="28" s="1"/>
  <c r="C1593" i="34"/>
  <c r="X640" i="30"/>
  <c r="X642" i="30"/>
  <c r="V571" i="30"/>
  <c r="H557" i="30"/>
  <c r="V355" i="28"/>
  <c r="V344" i="28"/>
  <c r="B345" i="28" s="1"/>
  <c r="X625" i="30"/>
  <c r="E626" i="30" s="1"/>
  <c r="M361" i="28"/>
  <c r="H362" i="28" s="1"/>
  <c r="X643" i="30"/>
  <c r="L362" i="28"/>
  <c r="X412" i="28"/>
  <c r="V359" i="28"/>
  <c r="V360" i="28"/>
  <c r="V358" i="28"/>
  <c r="V354" i="28"/>
  <c r="H426" i="29"/>
  <c r="X634" i="30"/>
  <c r="X636" i="30"/>
  <c r="X646" i="30"/>
  <c r="X639" i="30"/>
  <c r="X635" i="30"/>
  <c r="X645" i="30"/>
  <c r="V357" i="28"/>
  <c r="X423" i="28"/>
  <c r="X476" i="25"/>
  <c r="X473" i="25"/>
  <c r="X472" i="25"/>
  <c r="X471" i="25"/>
  <c r="H1700" i="34"/>
  <c r="X421" i="28"/>
  <c r="X422" i="28"/>
  <c r="X426" i="28"/>
  <c r="W648" i="30"/>
  <c r="X638" i="30"/>
  <c r="X425" i="28"/>
  <c r="X474" i="25"/>
  <c r="X469" i="25"/>
  <c r="X477" i="25"/>
  <c r="G615" i="30"/>
  <c r="R615" i="30"/>
  <c r="K615" i="30" s="1"/>
  <c r="R611" i="30"/>
  <c r="G611" i="30"/>
  <c r="G625" i="30"/>
  <c r="R618" i="30"/>
  <c r="K618" i="30" s="1"/>
  <c r="G618" i="30"/>
  <c r="G613" i="30"/>
  <c r="R613" i="30"/>
  <c r="K613" i="30" s="1"/>
  <c r="R616" i="30"/>
  <c r="K616" i="30" s="1"/>
  <c r="G616" i="30"/>
  <c r="R620" i="30"/>
  <c r="K620" i="30" s="1"/>
  <c r="G620" i="30"/>
  <c r="G623" i="30"/>
  <c r="R623" i="30"/>
  <c r="K623" i="30" s="1"/>
  <c r="R619" i="30"/>
  <c r="K619" i="30" s="1"/>
  <c r="G619" i="30"/>
  <c r="R624" i="30"/>
  <c r="R617" i="30"/>
  <c r="K617" i="30" s="1"/>
  <c r="G617" i="30"/>
  <c r="R621" i="30"/>
  <c r="K621" i="30" s="1"/>
  <c r="G621" i="30"/>
  <c r="R612" i="30"/>
  <c r="K612" i="30" s="1"/>
  <c r="G612" i="30"/>
  <c r="R622" i="30"/>
  <c r="K622" i="30" s="1"/>
  <c r="G622" i="30"/>
  <c r="G614" i="30"/>
  <c r="R614" i="30"/>
  <c r="K614" i="30" s="1"/>
  <c r="X460" i="25"/>
  <c r="M391" i="28"/>
  <c r="I657" i="30"/>
  <c r="X428" i="28"/>
  <c r="I664" i="30"/>
  <c r="X478" i="25"/>
  <c r="X424" i="28"/>
  <c r="W429" i="28"/>
  <c r="X427" i="28"/>
  <c r="I441" i="28"/>
  <c r="I661" i="30"/>
  <c r="I489" i="25"/>
  <c r="X470" i="25"/>
  <c r="I492" i="25"/>
  <c r="I497" i="25"/>
  <c r="I445" i="28"/>
  <c r="I490" i="25"/>
  <c r="I493" i="25"/>
  <c r="I444" i="28"/>
  <c r="I491" i="25"/>
  <c r="I440" i="28"/>
  <c r="X475" i="25"/>
  <c r="I667" i="30"/>
  <c r="I660" i="30"/>
  <c r="I498" i="25"/>
  <c r="F498" i="25"/>
  <c r="I659" i="30"/>
  <c r="I658" i="30"/>
  <c r="I443" i="28"/>
  <c r="I495" i="25"/>
  <c r="I668" i="30"/>
  <c r="I496" i="25"/>
  <c r="I671" i="30"/>
  <c r="F671" i="30"/>
  <c r="I488" i="25"/>
  <c r="I438" i="28"/>
  <c r="I439" i="28"/>
  <c r="H1892" i="34"/>
  <c r="G411" i="28"/>
  <c r="R411" i="28"/>
  <c r="K411" i="28" s="1"/>
  <c r="R406" i="28"/>
  <c r="K406" i="28" s="1"/>
  <c r="G406" i="28"/>
  <c r="G410" i="28"/>
  <c r="R410" i="28"/>
  <c r="K410" i="28" s="1"/>
  <c r="R404" i="28"/>
  <c r="G404" i="28"/>
  <c r="G412" i="28"/>
  <c r="R409" i="28"/>
  <c r="K409" i="28" s="1"/>
  <c r="G409" i="28"/>
  <c r="G405" i="28"/>
  <c r="R405" i="28"/>
  <c r="K405" i="28" s="1"/>
  <c r="R407" i="28"/>
  <c r="K407" i="28" s="1"/>
  <c r="G407" i="28"/>
  <c r="R408" i="28"/>
  <c r="K408" i="28" s="1"/>
  <c r="G408" i="28"/>
  <c r="I442" i="28"/>
  <c r="F446" i="28"/>
  <c r="I446" i="28"/>
  <c r="I494" i="25"/>
  <c r="B540" i="25"/>
  <c r="M505" i="25"/>
  <c r="M388" i="28"/>
  <c r="N373" i="28"/>
  <c r="A505" i="25"/>
  <c r="D464" i="28"/>
  <c r="B453" i="28"/>
  <c r="A518" i="25"/>
  <c r="K518" i="25"/>
  <c r="F453" i="28"/>
  <c r="M518" i="25"/>
  <c r="B505" i="25"/>
  <c r="A517" i="25"/>
  <c r="G464" i="28"/>
  <c r="A463" i="28"/>
  <c r="K453" i="28"/>
  <c r="N374" i="28"/>
  <c r="N505" i="25"/>
  <c r="G505" i="25"/>
  <c r="A453" i="28"/>
  <c r="G503" i="25"/>
  <c r="M387" i="28"/>
  <c r="K387" i="28"/>
  <c r="K395" i="28"/>
  <c r="A503" i="25"/>
  <c r="I518" i="25"/>
  <c r="N370" i="28"/>
  <c r="M453" i="28"/>
  <c r="M389" i="28"/>
  <c r="G518" i="25"/>
  <c r="D451" i="28"/>
  <c r="A451" i="28"/>
  <c r="G453" i="28"/>
  <c r="K505" i="25"/>
  <c r="B484" i="28"/>
  <c r="I453" i="28"/>
  <c r="K464" i="28"/>
  <c r="M394" i="28"/>
  <c r="G451" i="28"/>
  <c r="N376" i="28"/>
  <c r="A788" i="23"/>
  <c r="M390" i="28"/>
  <c r="N453" i="28"/>
  <c r="K503" i="25"/>
  <c r="D503" i="25"/>
  <c r="I464" i="28"/>
  <c r="M393" i="28"/>
  <c r="A464" i="28"/>
  <c r="F505" i="25"/>
  <c r="D518" i="25"/>
  <c r="N372" i="28"/>
  <c r="M464" i="28"/>
  <c r="K451" i="28"/>
  <c r="I505" i="25"/>
  <c r="M392" i="28"/>
  <c r="V574" i="30"/>
  <c r="V570" i="30"/>
  <c r="V567" i="30"/>
  <c r="V576" i="30"/>
  <c r="V566" i="30"/>
  <c r="V568" i="30"/>
  <c r="V569" i="30"/>
  <c r="C1660" i="34"/>
  <c r="C1662" i="34"/>
  <c r="AR36" i="27"/>
  <c r="V556" i="30"/>
  <c r="B557" i="30" s="1"/>
  <c r="E534" i="30"/>
  <c r="X669" i="30"/>
  <c r="V575" i="30"/>
  <c r="I693" i="30"/>
  <c r="I684" i="30"/>
  <c r="I681" i="30"/>
  <c r="I690" i="30"/>
  <c r="I688" i="30"/>
  <c r="F694" i="30"/>
  <c r="D698" i="30"/>
  <c r="A698" i="30"/>
  <c r="E698" i="30"/>
  <c r="C698" i="30"/>
  <c r="A576" i="26"/>
  <c r="P640" i="30"/>
  <c r="W495" i="25"/>
  <c r="S681" i="30"/>
  <c r="B508" i="25"/>
  <c r="W445" i="28"/>
  <c r="B510" i="25"/>
  <c r="T692" i="30"/>
  <c r="A686" i="30"/>
  <c r="Q510" i="25"/>
  <c r="B687" i="30"/>
  <c r="F706" i="30"/>
  <c r="B509" i="25"/>
  <c r="U712" i="30"/>
  <c r="S711" i="30"/>
  <c r="F508" i="25"/>
  <c r="B689" i="30"/>
  <c r="F710" i="30"/>
  <c r="Q509" i="25"/>
  <c r="A507" i="25"/>
  <c r="F461" i="28"/>
  <c r="S511" i="25"/>
  <c r="T680" i="30"/>
  <c r="Q511" i="25"/>
  <c r="A711" i="30"/>
  <c r="W488" i="25"/>
  <c r="W664" i="30"/>
  <c r="B457" i="28"/>
  <c r="Q458" i="28"/>
  <c r="A689" i="30"/>
  <c r="U458" i="28"/>
  <c r="U707" i="30"/>
  <c r="P635" i="30"/>
  <c r="B684" i="30"/>
  <c r="W659" i="30"/>
  <c r="B704" i="30"/>
  <c r="T461" i="28"/>
  <c r="P638" i="30"/>
  <c r="P642" i="30"/>
  <c r="B713" i="30"/>
  <c r="W660" i="30"/>
  <c r="Q515" i="25"/>
  <c r="F507" i="25"/>
  <c r="U685" i="30"/>
  <c r="U684" i="30"/>
  <c r="A710" i="30"/>
  <c r="Q514" i="25"/>
  <c r="S515" i="25"/>
  <c r="B462" i="28"/>
  <c r="B707" i="30"/>
  <c r="F459" i="28"/>
  <c r="S710" i="30"/>
  <c r="B511" i="25"/>
  <c r="Q508" i="25"/>
  <c r="T686" i="30"/>
  <c r="S462" i="28"/>
  <c r="A459" i="28"/>
  <c r="A692" i="30"/>
  <c r="B711" i="30"/>
  <c r="A515" i="25"/>
  <c r="W667" i="30"/>
  <c r="A687" i="30"/>
  <c r="A514" i="25"/>
  <c r="T682" i="30"/>
  <c r="W444" i="28"/>
  <c r="F462" i="28"/>
  <c r="F715" i="30"/>
  <c r="B514" i="25"/>
  <c r="F511" i="25"/>
  <c r="P643" i="30"/>
  <c r="U687" i="30"/>
  <c r="W497" i="25"/>
  <c r="P637" i="30"/>
  <c r="A714" i="30"/>
  <c r="B708" i="30"/>
  <c r="F711" i="30"/>
  <c r="B456" i="28"/>
  <c r="S509" i="25"/>
  <c r="P646" i="30"/>
  <c r="W657" i="30"/>
  <c r="A462" i="28"/>
  <c r="T508" i="25"/>
  <c r="Q455" i="28"/>
  <c r="A511" i="25"/>
  <c r="A510" i="25"/>
  <c r="W496" i="25"/>
  <c r="W440" i="28"/>
  <c r="S685" i="30"/>
  <c r="T710" i="30"/>
  <c r="B705" i="30"/>
  <c r="W658" i="30"/>
  <c r="U514" i="25"/>
  <c r="U693" i="30"/>
  <c r="S508" i="25"/>
  <c r="W492" i="25"/>
  <c r="S458" i="28"/>
  <c r="B507" i="25"/>
  <c r="S461" i="28"/>
  <c r="P641" i="30"/>
  <c r="T514" i="25"/>
  <c r="A685" i="30"/>
  <c r="S684" i="30"/>
  <c r="Q461" i="28"/>
  <c r="F513" i="25"/>
  <c r="P636" i="30"/>
  <c r="T510" i="25"/>
  <c r="T704" i="30"/>
  <c r="T516" i="25"/>
  <c r="F457" i="28"/>
  <c r="B710" i="30"/>
  <c r="T459" i="28"/>
  <c r="A704" i="30"/>
  <c r="F709" i="30"/>
  <c r="B682" i="30"/>
  <c r="U513" i="25"/>
  <c r="S714" i="30"/>
  <c r="T687" i="30"/>
  <c r="S688" i="30"/>
  <c r="T513" i="25"/>
  <c r="S457" i="28"/>
  <c r="T703" i="30"/>
  <c r="P645" i="30"/>
  <c r="A457" i="28"/>
  <c r="S510" i="25"/>
  <c r="A682" i="30"/>
  <c r="F460" i="28"/>
  <c r="S689" i="30"/>
  <c r="S459" i="28"/>
  <c r="B512" i="25"/>
  <c r="U462" i="28"/>
  <c r="S693" i="30"/>
  <c r="S705" i="30"/>
  <c r="F456" i="28"/>
  <c r="S707" i="30"/>
  <c r="U510" i="25"/>
  <c r="A683" i="30"/>
  <c r="U714" i="30"/>
  <c r="U455" i="28"/>
  <c r="S692" i="30"/>
  <c r="W661" i="30"/>
  <c r="B455" i="28"/>
  <c r="U512" i="25"/>
  <c r="S456" i="28"/>
  <c r="F512" i="25"/>
  <c r="A455" i="28"/>
  <c r="S709" i="30"/>
  <c r="W662" i="30"/>
  <c r="T455" i="28"/>
  <c r="U508" i="25"/>
  <c r="W666" i="30"/>
  <c r="T462" i="28"/>
  <c r="A456" i="28"/>
  <c r="U459" i="28"/>
  <c r="U460" i="28"/>
  <c r="S507" i="25"/>
  <c r="A712" i="30"/>
  <c r="U509" i="25"/>
  <c r="W490" i="25"/>
  <c r="W683" i="30"/>
  <c r="U682" i="30"/>
  <c r="A460" i="28"/>
  <c r="Q460" i="28"/>
  <c r="T509" i="25"/>
  <c r="A708" i="30"/>
  <c r="B516" i="25"/>
  <c r="S514" i="25"/>
  <c r="T457" i="28"/>
  <c r="T507" i="25"/>
  <c r="T691" i="30"/>
  <c r="W663" i="30"/>
  <c r="W442" i="28"/>
  <c r="A458" i="28"/>
  <c r="B715" i="30"/>
  <c r="S691" i="30"/>
  <c r="T708" i="30"/>
  <c r="P647" i="30"/>
  <c r="M647" i="30" s="1"/>
  <c r="N647" i="30" s="1"/>
  <c r="F514" i="25"/>
  <c r="W665" i="30"/>
  <c r="T685" i="30"/>
  <c r="B706" i="30"/>
  <c r="U690" i="30"/>
  <c r="A703" i="30"/>
  <c r="S716" i="30"/>
  <c r="S680" i="30"/>
  <c r="B515" i="25"/>
  <c r="U507" i="25"/>
  <c r="B458" i="28"/>
  <c r="S516" i="25"/>
  <c r="W441" i="28"/>
  <c r="A512" i="25"/>
  <c r="Q507" i="25"/>
  <c r="A691" i="30"/>
  <c r="A513" i="25"/>
  <c r="T705" i="30"/>
  <c r="Q512" i="25"/>
  <c r="T712" i="30"/>
  <c r="T711" i="30"/>
  <c r="Q513" i="25"/>
  <c r="U705" i="30"/>
  <c r="W489" i="25"/>
  <c r="U516" i="25"/>
  <c r="T689" i="30"/>
  <c r="T456" i="28"/>
  <c r="F704" i="30"/>
  <c r="Q459" i="28"/>
  <c r="B685" i="30"/>
  <c r="B688" i="30"/>
  <c r="B716" i="30"/>
  <c r="W493" i="25"/>
  <c r="A509" i="25"/>
  <c r="Q456" i="28"/>
  <c r="T515" i="25"/>
  <c r="U704" i="30"/>
  <c r="A707" i="30"/>
  <c r="W443" i="28"/>
  <c r="S513" i="25"/>
  <c r="F510" i="25"/>
  <c r="B461" i="28"/>
  <c r="Q516" i="25"/>
  <c r="B460" i="28"/>
  <c r="P639" i="30"/>
  <c r="A681" i="30"/>
  <c r="S715" i="30"/>
  <c r="P634" i="30"/>
  <c r="T511" i="25"/>
  <c r="U710" i="30"/>
  <c r="A516" i="25"/>
  <c r="F455" i="28"/>
  <c r="U515" i="25"/>
  <c r="T460" i="28"/>
  <c r="Q462" i="28"/>
  <c r="U691" i="30"/>
  <c r="F515" i="25"/>
  <c r="S686" i="30"/>
  <c r="W491" i="25"/>
  <c r="Q457" i="28"/>
  <c r="W439" i="28"/>
  <c r="A508" i="25"/>
  <c r="A705" i="30"/>
  <c r="S455" i="28"/>
  <c r="S703" i="30"/>
  <c r="B513" i="25"/>
  <c r="A709" i="30"/>
  <c r="P644" i="30"/>
  <c r="U708" i="30"/>
  <c r="U511" i="25"/>
  <c r="W438" i="28"/>
  <c r="B690" i="30"/>
  <c r="F516" i="25"/>
  <c r="U688" i="30"/>
  <c r="T714" i="30"/>
  <c r="T458" i="28"/>
  <c r="B703" i="30"/>
  <c r="F458" i="28"/>
  <c r="T707" i="30"/>
  <c r="S460" i="28"/>
  <c r="W494" i="25"/>
  <c r="T512" i="25"/>
  <c r="U461" i="28"/>
  <c r="A713" i="30"/>
  <c r="S713" i="30"/>
  <c r="U457" i="28"/>
  <c r="T715" i="30"/>
  <c r="A461" i="28"/>
  <c r="T709" i="30"/>
  <c r="T683" i="30"/>
  <c r="S512" i="25"/>
  <c r="B712" i="30"/>
  <c r="W668" i="30"/>
  <c r="B709" i="30"/>
  <c r="U456" i="28"/>
  <c r="U706" i="30"/>
  <c r="B459" i="28"/>
  <c r="F509" i="25"/>
  <c r="J1891" i="34"/>
  <c r="F242" i="29"/>
  <c r="C309" i="29"/>
  <c r="B464" i="23"/>
  <c r="C258" i="29"/>
  <c r="B259" i="29"/>
  <c r="F258" i="29"/>
  <c r="B441" i="23"/>
  <c r="B327" i="29"/>
  <c r="C1759" i="34"/>
  <c r="F625" i="23"/>
  <c r="A1768" i="34"/>
  <c r="C689" i="23"/>
  <c r="H1846" i="34"/>
  <c r="H2024" i="34"/>
  <c r="H439" i="29"/>
  <c r="J1752" i="34"/>
  <c r="J589" i="23"/>
  <c r="C1955" i="34"/>
  <c r="A1767" i="34"/>
  <c r="H677" i="23"/>
  <c r="C326" i="29"/>
  <c r="J1678" i="34"/>
  <c r="H1768" i="34"/>
  <c r="F360" i="29"/>
  <c r="J373" i="29"/>
  <c r="J596" i="23"/>
  <c r="A1844" i="34"/>
  <c r="H436" i="29"/>
  <c r="C1762" i="34"/>
  <c r="J367" i="29"/>
  <c r="C292" i="29"/>
  <c r="B418" i="23"/>
  <c r="I1567" i="34"/>
  <c r="J1504" i="34"/>
  <c r="C1776" i="34"/>
  <c r="A1953" i="34"/>
  <c r="H437" i="29"/>
  <c r="H1763" i="34"/>
  <c r="I385" i="29"/>
  <c r="A661" i="23"/>
  <c r="H664" i="23"/>
  <c r="H1959" i="34"/>
  <c r="H684" i="23"/>
  <c r="I384" i="29"/>
  <c r="H662" i="23"/>
  <c r="I387" i="29"/>
  <c r="I1568" i="34"/>
  <c r="H1848" i="34"/>
  <c r="A2020" i="34"/>
  <c r="J595" i="23"/>
  <c r="E522" i="25"/>
  <c r="C1951" i="34"/>
  <c r="A1781" i="34"/>
  <c r="C1765" i="34"/>
  <c r="J590" i="23"/>
  <c r="C1767" i="34"/>
  <c r="H1956" i="34"/>
  <c r="A437" i="29"/>
  <c r="F276" i="29"/>
  <c r="I386" i="29"/>
  <c r="H680" i="23"/>
  <c r="H2019" i="34"/>
  <c r="H1767" i="34"/>
  <c r="A1951" i="34"/>
  <c r="P428" i="28"/>
  <c r="J1748" i="34"/>
  <c r="J371" i="29"/>
  <c r="J1679" i="34"/>
  <c r="C743" i="23"/>
  <c r="J1740" i="34"/>
  <c r="A1759" i="34"/>
  <c r="C1846" i="34"/>
  <c r="I743" i="23"/>
  <c r="I1571" i="34"/>
  <c r="C1760" i="34"/>
  <c r="A2016" i="34"/>
  <c r="I1570" i="34"/>
  <c r="A1760" i="34"/>
  <c r="A657" i="23"/>
  <c r="H1759" i="34"/>
  <c r="B510" i="23"/>
  <c r="A1960" i="34"/>
  <c r="H2021" i="34"/>
  <c r="H2020" i="34"/>
  <c r="C436" i="29"/>
  <c r="B468" i="28"/>
  <c r="AL30" i="27"/>
  <c r="J374" i="29"/>
  <c r="C454" i="29"/>
  <c r="I391" i="29"/>
  <c r="H685" i="23"/>
  <c r="A656" i="23"/>
  <c r="A439" i="29"/>
  <c r="B293" i="29"/>
  <c r="H679" i="23"/>
  <c r="C654" i="23"/>
  <c r="J372" i="29"/>
  <c r="P421" i="28"/>
  <c r="I1569" i="34"/>
  <c r="C435" i="29"/>
  <c r="A685" i="23"/>
  <c r="J593" i="23"/>
  <c r="J1749" i="34"/>
  <c r="F533" i="23"/>
  <c r="P425" i="28"/>
  <c r="A660" i="23"/>
  <c r="H1781" i="34"/>
  <c r="C2027" i="34"/>
  <c r="C683" i="23"/>
  <c r="J1743" i="34"/>
  <c r="H1960" i="34"/>
  <c r="M522" i="25"/>
  <c r="J594" i="23"/>
  <c r="H2029" i="34"/>
  <c r="F467" i="28"/>
  <c r="F395" i="23"/>
  <c r="A1762" i="34"/>
  <c r="A1777" i="34"/>
  <c r="H1779" i="34"/>
  <c r="H2022" i="34"/>
  <c r="A1954" i="34"/>
  <c r="J1501" i="34"/>
  <c r="A1846" i="34"/>
  <c r="J592" i="23"/>
  <c r="H678" i="23"/>
  <c r="H440" i="29"/>
  <c r="C439" i="29"/>
  <c r="J1746" i="34"/>
  <c r="A1764" i="34"/>
  <c r="I1684" i="34"/>
  <c r="C1843" i="34"/>
  <c r="A1843" i="34"/>
  <c r="A1766" i="34"/>
  <c r="C1949" i="34"/>
  <c r="I1573" i="34"/>
  <c r="C438" i="29"/>
  <c r="F555" i="23"/>
  <c r="J1741" i="34"/>
  <c r="A1849" i="34"/>
  <c r="H2017" i="34"/>
  <c r="C658" i="23"/>
  <c r="A677" i="23"/>
  <c r="C2017" i="34"/>
  <c r="C656" i="23"/>
  <c r="I468" i="28"/>
  <c r="A687" i="23"/>
  <c r="H1760" i="34"/>
  <c r="A659" i="23"/>
  <c r="J370" i="29"/>
  <c r="I1574" i="34"/>
  <c r="H682" i="23"/>
  <c r="C2016" i="34"/>
  <c r="B344" i="29"/>
  <c r="A435" i="29"/>
  <c r="A1775" i="34"/>
  <c r="P424" i="28"/>
  <c r="C661" i="23"/>
  <c r="H681" i="23"/>
  <c r="H1955" i="34"/>
  <c r="H661" i="23"/>
  <c r="C662" i="23"/>
  <c r="A1850" i="34"/>
  <c r="C1956" i="34"/>
  <c r="P427" i="28"/>
  <c r="M468" i="28"/>
  <c r="H1765" i="34"/>
  <c r="J570" i="23"/>
  <c r="H1957" i="34"/>
  <c r="C744" i="23"/>
  <c r="H2026" i="34"/>
  <c r="I389" i="29"/>
  <c r="J1498" i="34"/>
  <c r="C442" i="29"/>
  <c r="I390" i="29"/>
  <c r="J1503" i="34"/>
  <c r="H1843" i="34"/>
  <c r="A438" i="29"/>
  <c r="A2029" i="34"/>
  <c r="J1500" i="34"/>
  <c r="A664" i="23"/>
  <c r="C663" i="23"/>
  <c r="J1747" i="34"/>
  <c r="H2025" i="34"/>
  <c r="P422" i="28"/>
  <c r="H686" i="23"/>
  <c r="C360" i="29"/>
  <c r="P423" i="28"/>
  <c r="H1762" i="34"/>
  <c r="H689" i="23"/>
  <c r="J1502" i="34"/>
  <c r="H2018" i="34"/>
  <c r="J588" i="23"/>
  <c r="A1948" i="34"/>
  <c r="C1781" i="34"/>
  <c r="J585" i="23"/>
  <c r="I744" i="23"/>
  <c r="B310" i="29"/>
  <c r="H1776" i="34"/>
  <c r="A1955" i="34"/>
  <c r="A1847" i="34"/>
  <c r="C1766" i="34"/>
  <c r="C1947" i="34"/>
  <c r="J1744" i="34"/>
  <c r="H1766" i="34"/>
  <c r="C2029" i="34"/>
  <c r="A441" i="29"/>
  <c r="J587" i="23"/>
  <c r="J1505" i="34"/>
  <c r="J591" i="23"/>
  <c r="H442" i="29"/>
  <c r="H666" i="23"/>
  <c r="H2023" i="34"/>
  <c r="H2027" i="34"/>
  <c r="C655" i="23"/>
  <c r="C1954" i="34"/>
  <c r="I449" i="29"/>
  <c r="J1750" i="34"/>
  <c r="I522" i="25"/>
  <c r="J569" i="23"/>
  <c r="A1765" i="34"/>
  <c r="C379" i="33"/>
  <c r="A1950" i="34"/>
  <c r="A1952" i="34"/>
  <c r="A662" i="23"/>
  <c r="C1763" i="34"/>
  <c r="P426" i="28"/>
  <c r="I388" i="29"/>
  <c r="H1761" i="34"/>
  <c r="A1761" i="34"/>
  <c r="J1742" i="34"/>
  <c r="J369" i="29"/>
  <c r="A665" i="23"/>
  <c r="A1957" i="34"/>
  <c r="E468" i="28"/>
  <c r="A440" i="29"/>
  <c r="H2028" i="34"/>
  <c r="A655" i="23"/>
  <c r="J597" i="23"/>
  <c r="F521" i="25"/>
  <c r="C1845" i="34"/>
  <c r="C1768" i="34"/>
  <c r="A1958" i="34"/>
  <c r="C1959" i="34"/>
  <c r="C688" i="23"/>
  <c r="H1954" i="34"/>
  <c r="H688" i="23"/>
  <c r="C677" i="23"/>
  <c r="J1751" i="34"/>
  <c r="I450" i="29"/>
  <c r="A442" i="29"/>
  <c r="H663" i="23"/>
  <c r="B372" i="23"/>
  <c r="A1763" i="34"/>
  <c r="J1499" i="34"/>
  <c r="H441" i="29"/>
  <c r="C2028" i="34"/>
  <c r="C666" i="23"/>
  <c r="H1764" i="34"/>
  <c r="C1779" i="34"/>
  <c r="J1745" i="34"/>
  <c r="C1764" i="34"/>
  <c r="H1774" i="34"/>
  <c r="I1572" i="34"/>
  <c r="H1777" i="34"/>
  <c r="J586" i="23"/>
  <c r="C1847" i="34"/>
  <c r="H438" i="29"/>
  <c r="A658" i="23"/>
  <c r="C450" i="29"/>
  <c r="B556" i="23"/>
  <c r="C1960" i="34"/>
  <c r="J368" i="29"/>
  <c r="F372" i="23"/>
  <c r="H687" i="23"/>
  <c r="C437" i="29"/>
  <c r="A2026" i="34"/>
  <c r="H2016" i="34"/>
  <c r="C680" i="23"/>
  <c r="C1777" i="34"/>
  <c r="B522" i="25"/>
  <c r="C1761" i="34"/>
  <c r="I424" i="33"/>
  <c r="C449" i="29"/>
  <c r="H683" i="23"/>
  <c r="A436" i="29"/>
  <c r="E465" i="30" l="1"/>
  <c r="E442" i="30"/>
  <c r="E260" i="28"/>
  <c r="E419" i="30"/>
  <c r="E328" i="28"/>
  <c r="F678" i="30"/>
  <c r="H1782" i="34"/>
  <c r="L580" i="30"/>
  <c r="J1506" i="34"/>
  <c r="E1522" i="34" s="1"/>
  <c r="N391" i="28"/>
  <c r="V391" i="28" s="1"/>
  <c r="M579" i="30"/>
  <c r="H580" i="30" s="1"/>
  <c r="R641" i="30"/>
  <c r="K641" i="30" s="1"/>
  <c r="G641" i="30"/>
  <c r="R642" i="30"/>
  <c r="K642" i="30" s="1"/>
  <c r="G642" i="30"/>
  <c r="R640" i="30"/>
  <c r="K640" i="30" s="1"/>
  <c r="G640" i="30"/>
  <c r="J1685" i="34"/>
  <c r="C1729" i="34" s="1"/>
  <c r="J575" i="23"/>
  <c r="V572" i="30"/>
  <c r="V573" i="30"/>
  <c r="X666" i="30"/>
  <c r="E345" i="28"/>
  <c r="K624" i="30"/>
  <c r="X660" i="30"/>
  <c r="X668" i="30"/>
  <c r="X443" i="28"/>
  <c r="X663" i="30"/>
  <c r="X659" i="30"/>
  <c r="K611" i="30"/>
  <c r="V361" i="28"/>
  <c r="B362" i="28" s="1"/>
  <c r="X648" i="30"/>
  <c r="X442" i="28"/>
  <c r="X658" i="30"/>
  <c r="H443" i="29"/>
  <c r="X440" i="28"/>
  <c r="X657" i="30"/>
  <c r="X429" i="28"/>
  <c r="K625" i="30"/>
  <c r="H1769" i="34"/>
  <c r="X496" i="25"/>
  <c r="X494" i="25"/>
  <c r="X495" i="25"/>
  <c r="X444" i="28"/>
  <c r="X438" i="28"/>
  <c r="X493" i="25"/>
  <c r="X665" i="30"/>
  <c r="W671" i="30"/>
  <c r="X661" i="30"/>
  <c r="G639" i="30"/>
  <c r="R639" i="30"/>
  <c r="K639" i="30" s="1"/>
  <c r="R635" i="30"/>
  <c r="K635" i="30" s="1"/>
  <c r="G635" i="30"/>
  <c r="R634" i="30"/>
  <c r="V634" i="30" s="1"/>
  <c r="G634" i="30"/>
  <c r="G648" i="30"/>
  <c r="R645" i="30"/>
  <c r="K645" i="30" s="1"/>
  <c r="G645" i="30"/>
  <c r="R643" i="30"/>
  <c r="K643" i="30" s="1"/>
  <c r="G643" i="30"/>
  <c r="R644" i="30"/>
  <c r="K644" i="30" s="1"/>
  <c r="G644" i="30"/>
  <c r="R647" i="30"/>
  <c r="G636" i="30"/>
  <c r="R636" i="30"/>
  <c r="K636" i="30" s="1"/>
  <c r="R637" i="30"/>
  <c r="K637" i="30" s="1"/>
  <c r="G637" i="30"/>
  <c r="G638" i="30"/>
  <c r="R638" i="30"/>
  <c r="K638" i="30" s="1"/>
  <c r="G646" i="30"/>
  <c r="R646" i="30"/>
  <c r="K646" i="30" s="1"/>
  <c r="X667" i="30"/>
  <c r="X439" i="28"/>
  <c r="X491" i="25"/>
  <c r="X664" i="30"/>
  <c r="X662" i="30"/>
  <c r="X490" i="25"/>
  <c r="X479" i="25"/>
  <c r="M410" i="28"/>
  <c r="M407" i="28"/>
  <c r="I687" i="30"/>
  <c r="X492" i="25"/>
  <c r="I683" i="30"/>
  <c r="I680" i="30"/>
  <c r="I694" i="30"/>
  <c r="I457" i="28"/>
  <c r="I458" i="28"/>
  <c r="I689" i="30"/>
  <c r="I509" i="25"/>
  <c r="X488" i="25"/>
  <c r="I692" i="30"/>
  <c r="I508" i="25"/>
  <c r="I685" i="30"/>
  <c r="I514" i="25"/>
  <c r="X441" i="28"/>
  <c r="W446" i="28"/>
  <c r="I461" i="28"/>
  <c r="G428" i="28"/>
  <c r="R428" i="28"/>
  <c r="K428" i="28" s="1"/>
  <c r="R426" i="28"/>
  <c r="K426" i="28" s="1"/>
  <c r="G426" i="28"/>
  <c r="R427" i="28"/>
  <c r="K427" i="28" s="1"/>
  <c r="G427" i="28"/>
  <c r="G421" i="28"/>
  <c r="R421" i="28"/>
  <c r="G429" i="28"/>
  <c r="G422" i="28"/>
  <c r="R422" i="28"/>
  <c r="K422" i="28" s="1"/>
  <c r="R424" i="28"/>
  <c r="K424" i="28" s="1"/>
  <c r="G424" i="28"/>
  <c r="R425" i="28"/>
  <c r="K425" i="28" s="1"/>
  <c r="G425" i="28"/>
  <c r="G423" i="28"/>
  <c r="R423" i="28"/>
  <c r="K423" i="28" s="1"/>
  <c r="X445" i="28"/>
  <c r="I686" i="30"/>
  <c r="I513" i="25"/>
  <c r="I511" i="25"/>
  <c r="I460" i="28"/>
  <c r="I510" i="25"/>
  <c r="I515" i="25"/>
  <c r="H1961" i="34"/>
  <c r="I455" i="28"/>
  <c r="X489" i="25"/>
  <c r="I512" i="25"/>
  <c r="I462" i="28"/>
  <c r="I516" i="25"/>
  <c r="X497" i="25"/>
  <c r="I507" i="25"/>
  <c r="I517" i="25"/>
  <c r="F517" i="25"/>
  <c r="I459" i="28"/>
  <c r="J375" i="29"/>
  <c r="F463" i="28"/>
  <c r="I463" i="28"/>
  <c r="I682" i="30"/>
  <c r="H2030" i="34"/>
  <c r="I691" i="30"/>
  <c r="I456" i="28"/>
  <c r="G522" i="25"/>
  <c r="M537" i="25"/>
  <c r="A481" i="28"/>
  <c r="A470" i="28"/>
  <c r="F470" i="28"/>
  <c r="K537" i="25"/>
  <c r="I481" i="28"/>
  <c r="A537" i="25"/>
  <c r="N393" i="28"/>
  <c r="D522" i="25"/>
  <c r="M408" i="28"/>
  <c r="K522" i="25"/>
  <c r="N470" i="28"/>
  <c r="K524" i="25"/>
  <c r="B470" i="28"/>
  <c r="N390" i="28"/>
  <c r="G524" i="25"/>
  <c r="D481" i="28"/>
  <c r="G470" i="28"/>
  <c r="N524" i="25"/>
  <c r="A524" i="25"/>
  <c r="A468" i="28"/>
  <c r="V373" i="28"/>
  <c r="V374" i="28"/>
  <c r="M405" i="28"/>
  <c r="D468" i="28"/>
  <c r="K470" i="28"/>
  <c r="M409" i="28"/>
  <c r="A811" i="23"/>
  <c r="G537" i="25"/>
  <c r="A480" i="28"/>
  <c r="V376" i="28"/>
  <c r="G468" i="28"/>
  <c r="M404" i="28"/>
  <c r="K404" i="28"/>
  <c r="K412" i="28"/>
  <c r="N394" i="28"/>
  <c r="G481" i="28"/>
  <c r="K481" i="28"/>
  <c r="N389" i="28"/>
  <c r="A536" i="25"/>
  <c r="N388" i="28"/>
  <c r="N392" i="28"/>
  <c r="I470" i="28"/>
  <c r="M470" i="28"/>
  <c r="M524" i="25"/>
  <c r="I524" i="25"/>
  <c r="V370" i="28"/>
  <c r="L379" i="28"/>
  <c r="M378" i="28"/>
  <c r="H379" i="28" s="1"/>
  <c r="K468" i="28"/>
  <c r="I537" i="25"/>
  <c r="A522" i="25"/>
  <c r="B559" i="25"/>
  <c r="M406" i="28"/>
  <c r="M481" i="28"/>
  <c r="V372" i="28"/>
  <c r="B524" i="25"/>
  <c r="D537" i="25"/>
  <c r="F524" i="25"/>
  <c r="B501" i="28"/>
  <c r="N387" i="28"/>
  <c r="M411" i="28"/>
  <c r="V611" i="30"/>
  <c r="J1754" i="34"/>
  <c r="V595" i="30"/>
  <c r="V594" i="30"/>
  <c r="V589" i="30"/>
  <c r="V598" i="30"/>
  <c r="V596" i="30"/>
  <c r="V597" i="30"/>
  <c r="V591" i="30"/>
  <c r="V599" i="30"/>
  <c r="AR37" i="27"/>
  <c r="E557" i="30"/>
  <c r="V592" i="30"/>
  <c r="M602" i="30"/>
  <c r="L603" i="30"/>
  <c r="V593" i="30"/>
  <c r="X683" i="30"/>
  <c r="J598" i="23"/>
  <c r="V590" i="30"/>
  <c r="I714" i="30"/>
  <c r="I710" i="30"/>
  <c r="I715" i="30"/>
  <c r="I712" i="30"/>
  <c r="I708" i="30"/>
  <c r="I704" i="30"/>
  <c r="I707" i="30"/>
  <c r="I709" i="30"/>
  <c r="I705" i="30"/>
  <c r="I711" i="30"/>
  <c r="I703" i="30"/>
  <c r="A721" i="30"/>
  <c r="E721" i="30"/>
  <c r="D721" i="30"/>
  <c r="C721" i="30"/>
  <c r="A595" i="26"/>
  <c r="P669" i="30"/>
  <c r="F712" i="30"/>
  <c r="A532" i="25"/>
  <c r="A706" i="30"/>
  <c r="S529" i="25"/>
  <c r="W705" i="30"/>
  <c r="S527" i="25"/>
  <c r="W511" i="25"/>
  <c r="Q533" i="25"/>
  <c r="F475" i="28"/>
  <c r="Q531" i="25"/>
  <c r="A728" i="30"/>
  <c r="B527" i="25"/>
  <c r="F533" i="25"/>
  <c r="W507" i="25"/>
  <c r="Q479" i="28"/>
  <c r="W689" i="30"/>
  <c r="W462" i="28"/>
  <c r="S473" i="28"/>
  <c r="F730" i="30"/>
  <c r="S477" i="28"/>
  <c r="B529" i="25"/>
  <c r="A727" i="30"/>
  <c r="P439" i="28"/>
  <c r="S712" i="30"/>
  <c r="A739" i="30"/>
  <c r="U711" i="30"/>
  <c r="U726" i="30"/>
  <c r="B526" i="25"/>
  <c r="A733" i="30"/>
  <c r="A732" i="30"/>
  <c r="W512" i="25"/>
  <c r="U535" i="25"/>
  <c r="P658" i="30"/>
  <c r="U703" i="30"/>
  <c r="B478" i="28"/>
  <c r="W508" i="25"/>
  <c r="P667" i="30"/>
  <c r="W681" i="30"/>
  <c r="P445" i="28"/>
  <c r="Q478" i="28"/>
  <c r="S726" i="30"/>
  <c r="B479" i="28"/>
  <c r="W682" i="30"/>
  <c r="B534" i="25"/>
  <c r="A737" i="30"/>
  <c r="P443" i="28"/>
  <c r="P665" i="30"/>
  <c r="S526" i="25"/>
  <c r="W458" i="28"/>
  <c r="F527" i="25"/>
  <c r="T472" i="28"/>
  <c r="T475" i="28"/>
  <c r="F534" i="25"/>
  <c r="T727" i="30"/>
  <c r="W455" i="28"/>
  <c r="A477" i="28"/>
  <c r="U473" i="28"/>
  <c r="T529" i="25"/>
  <c r="P657" i="30"/>
  <c r="F703" i="30"/>
  <c r="A529" i="25"/>
  <c r="A736" i="30"/>
  <c r="A738" i="30"/>
  <c r="B734" i="30"/>
  <c r="W509" i="25"/>
  <c r="F530" i="25"/>
  <c r="P670" i="30"/>
  <c r="M670" i="30" s="1"/>
  <c r="N670" i="30" s="1"/>
  <c r="S704" i="30"/>
  <c r="F528" i="25"/>
  <c r="W460" i="28"/>
  <c r="Q476" i="28"/>
  <c r="P663" i="30"/>
  <c r="F531" i="25"/>
  <c r="A534" i="25"/>
  <c r="Q477" i="28"/>
  <c r="Q472" i="28"/>
  <c r="Q474" i="28"/>
  <c r="T474" i="28"/>
  <c r="A716" i="30"/>
  <c r="B532" i="25"/>
  <c r="W514" i="25"/>
  <c r="Q526" i="25"/>
  <c r="Q534" i="25"/>
  <c r="U526" i="25"/>
  <c r="A715" i="30"/>
  <c r="A528" i="25"/>
  <c r="W457" i="28"/>
  <c r="B729" i="30"/>
  <c r="U533" i="25"/>
  <c r="T533" i="25"/>
  <c r="F478" i="28"/>
  <c r="A731" i="30"/>
  <c r="U478" i="28"/>
  <c r="W515" i="25"/>
  <c r="P662" i="30"/>
  <c r="U476" i="28"/>
  <c r="P441" i="28"/>
  <c r="P661" i="30"/>
  <c r="S706" i="30"/>
  <c r="B531" i="25"/>
  <c r="F526" i="25"/>
  <c r="W684" i="30"/>
  <c r="F476" i="28"/>
  <c r="B727" i="30"/>
  <c r="W510" i="25"/>
  <c r="T479" i="28"/>
  <c r="A475" i="28"/>
  <c r="F739" i="30"/>
  <c r="F727" i="30"/>
  <c r="S730" i="30"/>
  <c r="F705" i="30"/>
  <c r="P668" i="30"/>
  <c r="S476" i="28"/>
  <c r="B475" i="28"/>
  <c r="B731" i="30"/>
  <c r="F716" i="30"/>
  <c r="A474" i="28"/>
  <c r="T706" i="30"/>
  <c r="W707" i="30"/>
  <c r="F713" i="30"/>
  <c r="W685" i="30"/>
  <c r="U716" i="30"/>
  <c r="T526" i="25"/>
  <c r="W459" i="28"/>
  <c r="F707" i="30"/>
  <c r="S530" i="25"/>
  <c r="B472" i="28"/>
  <c r="Q535" i="25"/>
  <c r="A531" i="25"/>
  <c r="U475" i="28"/>
  <c r="T534" i="25"/>
  <c r="F474" i="28"/>
  <c r="T535" i="25"/>
  <c r="F731" i="30"/>
  <c r="U715" i="30"/>
  <c r="S478" i="28"/>
  <c r="U531" i="25"/>
  <c r="S533" i="25"/>
  <c r="T476" i="28"/>
  <c r="T532" i="25"/>
  <c r="U709" i="30"/>
  <c r="F535" i="25"/>
  <c r="F472" i="28"/>
  <c r="S532" i="25"/>
  <c r="B714" i="30"/>
  <c r="B530" i="25"/>
  <c r="T726" i="30"/>
  <c r="S479" i="28"/>
  <c r="U527" i="25"/>
  <c r="B533" i="25"/>
  <c r="S708" i="30"/>
  <c r="A735" i="30"/>
  <c r="T530" i="25"/>
  <c r="W680" i="30"/>
  <c r="T527" i="25"/>
  <c r="A478" i="28"/>
  <c r="Q528" i="25"/>
  <c r="B528" i="25"/>
  <c r="P442" i="28"/>
  <c r="T473" i="28"/>
  <c r="F738" i="30"/>
  <c r="S475" i="28"/>
  <c r="P659" i="30"/>
  <c r="U713" i="30"/>
  <c r="A472" i="28"/>
  <c r="F708" i="30"/>
  <c r="Q473" i="28"/>
  <c r="S474" i="28"/>
  <c r="W688" i="30"/>
  <c r="W692" i="30"/>
  <c r="A530" i="25"/>
  <c r="P444" i="28"/>
  <c r="P664" i="30"/>
  <c r="Q529" i="25"/>
  <c r="P438" i="28"/>
  <c r="Q527" i="25"/>
  <c r="A526" i="25"/>
  <c r="W456" i="28"/>
  <c r="S735" i="30"/>
  <c r="F532" i="25"/>
  <c r="U477" i="28"/>
  <c r="W461" i="28"/>
  <c r="T736" i="30"/>
  <c r="U738" i="30"/>
  <c r="F479" i="28"/>
  <c r="S535" i="25"/>
  <c r="B473" i="28"/>
  <c r="A473" i="28"/>
  <c r="U532" i="25"/>
  <c r="W516" i="25"/>
  <c r="B476" i="28"/>
  <c r="B728" i="30"/>
  <c r="W686" i="30"/>
  <c r="U530" i="25"/>
  <c r="Q532" i="25"/>
  <c r="U529" i="25"/>
  <c r="B474" i="28"/>
  <c r="A476" i="28"/>
  <c r="T531" i="25"/>
  <c r="W710" i="30"/>
  <c r="A479" i="28"/>
  <c r="A729" i="30"/>
  <c r="W690" i="30"/>
  <c r="W691" i="30"/>
  <c r="T528" i="25"/>
  <c r="F714" i="30"/>
  <c r="T716" i="30"/>
  <c r="U528" i="25"/>
  <c r="F473" i="28"/>
  <c r="U474" i="28"/>
  <c r="U534" i="25"/>
  <c r="A730" i="30"/>
  <c r="B738" i="30"/>
  <c r="B477" i="28"/>
  <c r="T734" i="30"/>
  <c r="S528" i="25"/>
  <c r="S534" i="25"/>
  <c r="P660" i="30"/>
  <c r="S531" i="25"/>
  <c r="A533" i="25"/>
  <c r="A726" i="30"/>
  <c r="P666" i="30"/>
  <c r="T478" i="28"/>
  <c r="T713" i="30"/>
  <c r="B737" i="30"/>
  <c r="W687" i="30"/>
  <c r="A527" i="25"/>
  <c r="B535" i="25"/>
  <c r="T477" i="28"/>
  <c r="F477" i="28"/>
  <c r="U472" i="28"/>
  <c r="S472" i="28"/>
  <c r="Q530" i="25"/>
  <c r="W714" i="30"/>
  <c r="P440" i="28"/>
  <c r="A734" i="30"/>
  <c r="F529" i="25"/>
  <c r="W513" i="25"/>
  <c r="U479" i="28"/>
  <c r="A535" i="25"/>
  <c r="Q475" i="28"/>
  <c r="J1960" i="34"/>
  <c r="F464" i="23"/>
  <c r="F441" i="23"/>
  <c r="F259" i="29"/>
  <c r="H1835" i="34"/>
  <c r="A681" i="23"/>
  <c r="H473" i="29"/>
  <c r="A2089" i="34"/>
  <c r="C767" i="23"/>
  <c r="J1816" i="34"/>
  <c r="H712" i="23"/>
  <c r="A457" i="29"/>
  <c r="C2022" i="34"/>
  <c r="I614" i="23"/>
  <c r="C394" i="33"/>
  <c r="C1836" i="34"/>
  <c r="A682" i="23"/>
  <c r="I1816" i="34"/>
  <c r="A1835" i="34"/>
  <c r="H1831" i="34"/>
  <c r="H2091" i="34"/>
  <c r="H1845" i="34"/>
  <c r="H703" i="23"/>
  <c r="C601" i="23"/>
  <c r="H1917" i="34"/>
  <c r="A1845" i="34"/>
  <c r="H454" i="29"/>
  <c r="C1850" i="34"/>
  <c r="A2095" i="34"/>
  <c r="A705" i="23"/>
  <c r="I1641" i="34"/>
  <c r="C457" i="29"/>
  <c r="I1636" i="34"/>
  <c r="M485" i="28"/>
  <c r="A679" i="23"/>
  <c r="I609" i="23"/>
  <c r="C686" i="23"/>
  <c r="C1829" i="34"/>
  <c r="J613" i="23"/>
  <c r="C2091" i="34"/>
  <c r="A2096" i="34"/>
  <c r="C681" i="23"/>
  <c r="E541" i="25"/>
  <c r="C1834" i="34"/>
  <c r="H457" i="29"/>
  <c r="J1818" i="34"/>
  <c r="I1813" i="34"/>
  <c r="I1812" i="34"/>
  <c r="A1837" i="34"/>
  <c r="A689" i="23"/>
  <c r="H1849" i="34"/>
  <c r="H1919" i="34"/>
  <c r="F484" i="28"/>
  <c r="I1820" i="34"/>
  <c r="C2098" i="34"/>
  <c r="I1753" i="34"/>
  <c r="F418" i="23"/>
  <c r="J1572" i="34"/>
  <c r="H1850" i="34"/>
  <c r="I466" i="29"/>
  <c r="C456" i="29"/>
  <c r="A1919" i="34"/>
  <c r="H452" i="29"/>
  <c r="C678" i="23"/>
  <c r="J1815" i="34"/>
  <c r="H1832" i="34"/>
  <c r="I612" i="23"/>
  <c r="A1830" i="34"/>
  <c r="J388" i="29"/>
  <c r="C2092" i="34"/>
  <c r="I1814" i="34"/>
  <c r="C2025" i="34"/>
  <c r="C708" i="23"/>
  <c r="A454" i="29"/>
  <c r="H1916" i="34"/>
  <c r="J1569" i="34"/>
  <c r="C453" i="29"/>
  <c r="A2085" i="34"/>
  <c r="J385" i="29"/>
  <c r="J1567" i="34"/>
  <c r="J1817" i="34"/>
  <c r="C1831" i="34"/>
  <c r="A707" i="23"/>
  <c r="A2093" i="34"/>
  <c r="J389" i="29"/>
  <c r="H1836" i="34"/>
  <c r="I1810" i="34"/>
  <c r="I541" i="25"/>
  <c r="A2091" i="34"/>
  <c r="I613" i="23"/>
  <c r="C705" i="23"/>
  <c r="H2088" i="34"/>
  <c r="A1831" i="34"/>
  <c r="H1828" i="34"/>
  <c r="I485" i="28"/>
  <c r="F578" i="23"/>
  <c r="H1830" i="34"/>
  <c r="B361" i="29"/>
  <c r="J618" i="23"/>
  <c r="J1574" i="34"/>
  <c r="C1828" i="34"/>
  <c r="A2017" i="34"/>
  <c r="J1821" i="34"/>
  <c r="H1834" i="34"/>
  <c r="F377" i="29"/>
  <c r="C682" i="23"/>
  <c r="J1810" i="34"/>
  <c r="C455" i="29"/>
  <c r="C2093" i="34"/>
  <c r="A2018" i="34"/>
  <c r="I1819" i="34"/>
  <c r="I1815" i="34"/>
  <c r="C2095" i="34"/>
  <c r="A1836" i="34"/>
  <c r="F344" i="29"/>
  <c r="C2094" i="34"/>
  <c r="I407" i="29"/>
  <c r="J1814" i="34"/>
  <c r="F540" i="25"/>
  <c r="C452" i="29"/>
  <c r="H1829" i="34"/>
  <c r="C459" i="29"/>
  <c r="I1809" i="34"/>
  <c r="A2021" i="34"/>
  <c r="J1571" i="34"/>
  <c r="C2088" i="34"/>
  <c r="H458" i="29"/>
  <c r="I1642" i="34"/>
  <c r="C701" i="23"/>
  <c r="C377" i="29"/>
  <c r="C710" i="23"/>
  <c r="I401" i="29"/>
  <c r="C2097" i="34"/>
  <c r="H455" i="29"/>
  <c r="A708" i="23"/>
  <c r="J614" i="23"/>
  <c r="A453" i="29"/>
  <c r="I1640" i="34"/>
  <c r="C1830" i="34"/>
  <c r="J619" i="23"/>
  <c r="J1573" i="34"/>
  <c r="A701" i="23"/>
  <c r="A1918" i="34"/>
  <c r="A711" i="23"/>
  <c r="A2090" i="34"/>
  <c r="C2026" i="34"/>
  <c r="C685" i="23"/>
  <c r="A710" i="23"/>
  <c r="C2021" i="34"/>
  <c r="C1913" i="34"/>
  <c r="A700" i="23"/>
  <c r="A1912" i="34"/>
  <c r="I616" i="23"/>
  <c r="H706" i="23"/>
  <c r="H701" i="23"/>
  <c r="J617" i="23"/>
  <c r="H456" i="29"/>
  <c r="I408" i="29"/>
  <c r="A683" i="23"/>
  <c r="I611" i="23"/>
  <c r="C2090" i="34"/>
  <c r="A459" i="29"/>
  <c r="C578" i="23"/>
  <c r="C679" i="23"/>
  <c r="C709" i="23"/>
  <c r="A688" i="23"/>
  <c r="I617" i="23"/>
  <c r="J390" i="29"/>
  <c r="I1643" i="34"/>
  <c r="A456" i="29"/>
  <c r="I620" i="23"/>
  <c r="C707" i="23"/>
  <c r="I615" i="23"/>
  <c r="C703" i="23"/>
  <c r="J616" i="23"/>
  <c r="C1837" i="34"/>
  <c r="A2086" i="34"/>
  <c r="H453" i="29"/>
  <c r="A704" i="23"/>
  <c r="I619" i="23"/>
  <c r="M541" i="25"/>
  <c r="C1848" i="34"/>
  <c r="A2027" i="34"/>
  <c r="A1848" i="34"/>
  <c r="C2018" i="34"/>
  <c r="C1849" i="34"/>
  <c r="C2023" i="34"/>
  <c r="A1914" i="34"/>
  <c r="I1811" i="34"/>
  <c r="A2087" i="34"/>
  <c r="A471" i="29"/>
  <c r="A2024" i="34"/>
  <c r="C467" i="29"/>
  <c r="A2023" i="34"/>
  <c r="B541" i="25"/>
  <c r="C712" i="23"/>
  <c r="C2020" i="34"/>
  <c r="A2094" i="34"/>
  <c r="I767" i="23"/>
  <c r="J1568" i="34"/>
  <c r="I403" i="29"/>
  <c r="A2092" i="34"/>
  <c r="H708" i="23"/>
  <c r="J1570" i="34"/>
  <c r="B485" i="28"/>
  <c r="H1847" i="34"/>
  <c r="C2024" i="34"/>
  <c r="C1835" i="34"/>
  <c r="J387" i="29"/>
  <c r="A2025" i="34"/>
  <c r="J1809" i="34"/>
  <c r="A684" i="23"/>
  <c r="A455" i="29"/>
  <c r="I618" i="23"/>
  <c r="J1820" i="34"/>
  <c r="C2085" i="34"/>
  <c r="I1639" i="34"/>
  <c r="A2019" i="34"/>
  <c r="A2022" i="34"/>
  <c r="J608" i="23"/>
  <c r="F327" i="29"/>
  <c r="C1832" i="34"/>
  <c r="C2086" i="34"/>
  <c r="J1813" i="34"/>
  <c r="C706" i="23"/>
  <c r="J620" i="23"/>
  <c r="H707" i="23"/>
  <c r="A1832" i="34"/>
  <c r="C2089" i="34"/>
  <c r="C466" i="29"/>
  <c r="C2087" i="34"/>
  <c r="C687" i="23"/>
  <c r="I404" i="29"/>
  <c r="I406" i="29"/>
  <c r="A709" i="23"/>
  <c r="C1833" i="34"/>
  <c r="C766" i="23"/>
  <c r="I766" i="23"/>
  <c r="H476" i="29"/>
  <c r="H459" i="29"/>
  <c r="I1821" i="34"/>
  <c r="I1637" i="34"/>
  <c r="J1819" i="34"/>
  <c r="J615" i="23"/>
  <c r="I608" i="23"/>
  <c r="H1844" i="34"/>
  <c r="A706" i="23"/>
  <c r="I1817" i="34"/>
  <c r="A1828" i="34"/>
  <c r="J612" i="23"/>
  <c r="A1834" i="34"/>
  <c r="A678" i="23"/>
  <c r="A458" i="29"/>
  <c r="E485" i="28"/>
  <c r="J386" i="29"/>
  <c r="I467" i="29"/>
  <c r="C1918" i="34"/>
  <c r="H1833" i="34"/>
  <c r="H2093" i="34"/>
  <c r="H2086" i="34"/>
  <c r="C704" i="23"/>
  <c r="I1638" i="34"/>
  <c r="A1829" i="34"/>
  <c r="H2092" i="34"/>
  <c r="J384" i="29"/>
  <c r="A1913" i="34"/>
  <c r="C700" i="23"/>
  <c r="I402" i="29"/>
  <c r="A686" i="23"/>
  <c r="I1818" i="34"/>
  <c r="C2019" i="34"/>
  <c r="F556" i="23"/>
  <c r="J609" i="23"/>
  <c r="AL31" i="27"/>
  <c r="H1837" i="34"/>
  <c r="C702" i="23"/>
  <c r="A680" i="23"/>
  <c r="J391" i="29"/>
  <c r="A1833" i="34"/>
  <c r="C458" i="29"/>
  <c r="C684" i="23"/>
  <c r="I610" i="23"/>
  <c r="I405" i="29"/>
  <c r="A452" i="29"/>
  <c r="A2028" i="34"/>
  <c r="C1844" i="34"/>
  <c r="F701" i="30" l="1"/>
  <c r="H1851" i="34"/>
  <c r="J1575" i="34"/>
  <c r="E1591" i="34" s="1"/>
  <c r="N407" i="28"/>
  <c r="V407" i="28" s="1"/>
  <c r="N410" i="28"/>
  <c r="V410" i="28" s="1"/>
  <c r="V579" i="30"/>
  <c r="E580" i="30" s="1"/>
  <c r="X710" i="30"/>
  <c r="C1731" i="34"/>
  <c r="V642" i="30"/>
  <c r="K634" i="30"/>
  <c r="K647" i="30"/>
  <c r="L626" i="30"/>
  <c r="H603" i="30"/>
  <c r="X691" i="30"/>
  <c r="X458" i="28"/>
  <c r="X460" i="28"/>
  <c r="X680" i="30"/>
  <c r="X511" i="25"/>
  <c r="H460" i="29"/>
  <c r="X682" i="30"/>
  <c r="E362" i="28"/>
  <c r="X671" i="30"/>
  <c r="X462" i="28"/>
  <c r="X459" i="28"/>
  <c r="X692" i="30"/>
  <c r="X684" i="30"/>
  <c r="X690" i="30"/>
  <c r="X685" i="30"/>
  <c r="X515" i="25"/>
  <c r="X509" i="25"/>
  <c r="X689" i="30"/>
  <c r="X507" i="25"/>
  <c r="X687" i="30"/>
  <c r="X516" i="25"/>
  <c r="X686" i="30"/>
  <c r="R663" i="30"/>
  <c r="K663" i="30" s="1"/>
  <c r="G663" i="30"/>
  <c r="R666" i="30"/>
  <c r="K666" i="30" s="1"/>
  <c r="G666" i="30"/>
  <c r="G664" i="30"/>
  <c r="R664" i="30"/>
  <c r="K664" i="30" s="1"/>
  <c r="R667" i="30"/>
  <c r="K667" i="30" s="1"/>
  <c r="G667" i="30"/>
  <c r="R660" i="30"/>
  <c r="K660" i="30" s="1"/>
  <c r="G660" i="30"/>
  <c r="G657" i="30"/>
  <c r="R657" i="30"/>
  <c r="V657" i="30" s="1"/>
  <c r="G671" i="30"/>
  <c r="G669" i="30"/>
  <c r="R669" i="30"/>
  <c r="K669" i="30" s="1"/>
  <c r="G662" i="30"/>
  <c r="R662" i="30"/>
  <c r="K662" i="30" s="1"/>
  <c r="G661" i="30"/>
  <c r="R661" i="30"/>
  <c r="K661" i="30" s="1"/>
  <c r="R659" i="30"/>
  <c r="K659" i="30" s="1"/>
  <c r="G659" i="30"/>
  <c r="R665" i="30"/>
  <c r="K665" i="30" s="1"/>
  <c r="G665" i="30"/>
  <c r="R668" i="30"/>
  <c r="K668" i="30" s="1"/>
  <c r="G668" i="30"/>
  <c r="R670" i="30"/>
  <c r="G658" i="30"/>
  <c r="R658" i="30"/>
  <c r="K658" i="30" s="1"/>
  <c r="X510" i="25"/>
  <c r="X688" i="30"/>
  <c r="X508" i="25"/>
  <c r="X514" i="25"/>
  <c r="H1838" i="34"/>
  <c r="X461" i="28"/>
  <c r="X456" i="28"/>
  <c r="W694" i="30"/>
  <c r="X681" i="30"/>
  <c r="K648" i="30"/>
  <c r="M425" i="28"/>
  <c r="X446" i="28"/>
  <c r="M426" i="28"/>
  <c r="V378" i="28"/>
  <c r="B379" i="28" s="1"/>
  <c r="M423" i="28"/>
  <c r="I533" i="25"/>
  <c r="I474" i="28"/>
  <c r="R438" i="28"/>
  <c r="G438" i="28"/>
  <c r="G446" i="28"/>
  <c r="G439" i="28"/>
  <c r="R439" i="28"/>
  <c r="K439" i="28" s="1"/>
  <c r="R442" i="28"/>
  <c r="K442" i="28" s="1"/>
  <c r="G442" i="28"/>
  <c r="G443" i="28"/>
  <c r="R443" i="28"/>
  <c r="K443" i="28" s="1"/>
  <c r="R440" i="28"/>
  <c r="K440" i="28" s="1"/>
  <c r="G440" i="28"/>
  <c r="G445" i="28"/>
  <c r="R445" i="28"/>
  <c r="K445" i="28" s="1"/>
  <c r="G444" i="28"/>
  <c r="R444" i="28"/>
  <c r="K444" i="28" s="1"/>
  <c r="R441" i="28"/>
  <c r="K441" i="28" s="1"/>
  <c r="G441" i="28"/>
  <c r="I472" i="28"/>
  <c r="I526" i="25"/>
  <c r="W463" i="28"/>
  <c r="X455" i="28"/>
  <c r="I527" i="25"/>
  <c r="I473" i="28"/>
  <c r="X513" i="25"/>
  <c r="I478" i="28"/>
  <c r="J392" i="29"/>
  <c r="I528" i="25"/>
  <c r="F536" i="25"/>
  <c r="I536" i="25"/>
  <c r="I477" i="28"/>
  <c r="I529" i="25"/>
  <c r="I716" i="30"/>
  <c r="I479" i="28"/>
  <c r="I480" i="28"/>
  <c r="F480" i="28"/>
  <c r="X457" i="28"/>
  <c r="I475" i="28"/>
  <c r="I713" i="30"/>
  <c r="I706" i="30"/>
  <c r="I717" i="30"/>
  <c r="F717" i="30"/>
  <c r="I530" i="25"/>
  <c r="I476" i="28"/>
  <c r="I535" i="25"/>
  <c r="X512" i="25"/>
  <c r="I534" i="25"/>
  <c r="I531" i="25"/>
  <c r="I532" i="25"/>
  <c r="A485" i="28"/>
  <c r="V393" i="28"/>
  <c r="N404" i="28"/>
  <c r="A543" i="25"/>
  <c r="A556" i="25"/>
  <c r="I498" i="28"/>
  <c r="A541" i="25"/>
  <c r="G487" i="28"/>
  <c r="K556" i="25"/>
  <c r="I556" i="25"/>
  <c r="F487" i="28"/>
  <c r="K485" i="28"/>
  <c r="A487" i="28"/>
  <c r="N543" i="25"/>
  <c r="D498" i="28"/>
  <c r="A498" i="28"/>
  <c r="A497" i="28"/>
  <c r="G543" i="25"/>
  <c r="M556" i="25"/>
  <c r="M424" i="28"/>
  <c r="G485" i="28"/>
  <c r="N411" i="28"/>
  <c r="G556" i="25"/>
  <c r="V390" i="28"/>
  <c r="G541" i="25"/>
  <c r="M422" i="28"/>
  <c r="V387" i="28"/>
  <c r="L396" i="28"/>
  <c r="M395" i="28"/>
  <c r="H396" i="28" s="1"/>
  <c r="B487" i="28"/>
  <c r="K543" i="25"/>
  <c r="M421" i="28"/>
  <c r="K421" i="28"/>
  <c r="K429" i="28"/>
  <c r="B518" i="28"/>
  <c r="I543" i="25"/>
  <c r="X498" i="25"/>
  <c r="M427" i="28"/>
  <c r="M543" i="25"/>
  <c r="F543" i="25"/>
  <c r="M487" i="28"/>
  <c r="D556" i="25"/>
  <c r="I487" i="28"/>
  <c r="A834" i="23"/>
  <c r="N487" i="28"/>
  <c r="B543" i="25"/>
  <c r="V392" i="28"/>
  <c r="N409" i="28"/>
  <c r="K541" i="25"/>
  <c r="M428" i="28"/>
  <c r="V388" i="28"/>
  <c r="K487" i="28"/>
  <c r="A555" i="25"/>
  <c r="D485" i="28"/>
  <c r="M498" i="28"/>
  <c r="V389" i="28"/>
  <c r="N406" i="28"/>
  <c r="K498" i="28"/>
  <c r="N405" i="28"/>
  <c r="G498" i="28"/>
  <c r="B578" i="25"/>
  <c r="V394" i="28"/>
  <c r="N408" i="28"/>
  <c r="D541" i="25"/>
  <c r="V617" i="30"/>
  <c r="V620" i="30"/>
  <c r="V613" i="30"/>
  <c r="V616" i="30"/>
  <c r="V618" i="30"/>
  <c r="V621" i="30"/>
  <c r="V622" i="30"/>
  <c r="V619" i="30"/>
  <c r="V612" i="30"/>
  <c r="C1798" i="34"/>
  <c r="C1800" i="34"/>
  <c r="AR38" i="27"/>
  <c r="V615" i="30"/>
  <c r="V602" i="30"/>
  <c r="B603" i="30" s="1"/>
  <c r="X707" i="30"/>
  <c r="X705" i="30"/>
  <c r="X714" i="30"/>
  <c r="I736" i="30"/>
  <c r="I734" i="30"/>
  <c r="I726" i="30"/>
  <c r="I727" i="30"/>
  <c r="E744" i="30"/>
  <c r="C744" i="30"/>
  <c r="A744" i="30"/>
  <c r="D744" i="30"/>
  <c r="A614" i="26"/>
  <c r="Q495" i="28"/>
  <c r="S494" i="28"/>
  <c r="S751" i="30"/>
  <c r="B726" i="30"/>
  <c r="A496" i="28"/>
  <c r="W726" i="30"/>
  <c r="F554" i="25"/>
  <c r="T758" i="30"/>
  <c r="T553" i="25"/>
  <c r="Q548" i="25"/>
  <c r="P458" i="28"/>
  <c r="S551" i="25"/>
  <c r="F729" i="30"/>
  <c r="A545" i="25"/>
  <c r="F749" i="30"/>
  <c r="P685" i="30"/>
  <c r="T545" i="25"/>
  <c r="U551" i="25"/>
  <c r="B495" i="28"/>
  <c r="S553" i="25"/>
  <c r="U548" i="25"/>
  <c r="B739" i="30"/>
  <c r="T733" i="30"/>
  <c r="T551" i="25"/>
  <c r="A760" i="30"/>
  <c r="A753" i="30"/>
  <c r="F550" i="25"/>
  <c r="A493" i="28"/>
  <c r="S491" i="28"/>
  <c r="F751" i="30"/>
  <c r="B490" i="28"/>
  <c r="T731" i="30"/>
  <c r="T554" i="25"/>
  <c r="S753" i="30"/>
  <c r="U754" i="30"/>
  <c r="B755" i="30"/>
  <c r="A755" i="30"/>
  <c r="A494" i="28"/>
  <c r="S752" i="30"/>
  <c r="Q549" i="25"/>
  <c r="F495" i="28"/>
  <c r="U762" i="30"/>
  <c r="A552" i="25"/>
  <c r="T489" i="28"/>
  <c r="W711" i="30"/>
  <c r="U737" i="30"/>
  <c r="U547" i="25"/>
  <c r="U732" i="30"/>
  <c r="S492" i="28"/>
  <c r="Q550" i="25"/>
  <c r="U552" i="25"/>
  <c r="F546" i="25"/>
  <c r="S548" i="25"/>
  <c r="Q552" i="25"/>
  <c r="A762" i="30"/>
  <c r="Q545" i="25"/>
  <c r="B494" i="28"/>
  <c r="T752" i="30"/>
  <c r="U491" i="28"/>
  <c r="T753" i="30"/>
  <c r="A759" i="30"/>
  <c r="T548" i="25"/>
  <c r="U758" i="30"/>
  <c r="T550" i="25"/>
  <c r="U496" i="28"/>
  <c r="F757" i="30"/>
  <c r="B489" i="28"/>
  <c r="P690" i="30"/>
  <c r="A547" i="25"/>
  <c r="S552" i="25"/>
  <c r="U550" i="25"/>
  <c r="S545" i="25"/>
  <c r="W704" i="30"/>
  <c r="U549" i="25"/>
  <c r="T739" i="30"/>
  <c r="T732" i="30"/>
  <c r="S489" i="28"/>
  <c r="T730" i="30"/>
  <c r="W528" i="25"/>
  <c r="A549" i="25"/>
  <c r="P461" i="28"/>
  <c r="W472" i="28"/>
  <c r="A546" i="25"/>
  <c r="U734" i="30"/>
  <c r="U729" i="30"/>
  <c r="F728" i="30"/>
  <c r="P455" i="28"/>
  <c r="Q494" i="28"/>
  <c r="S738" i="30"/>
  <c r="U545" i="25"/>
  <c r="S554" i="25"/>
  <c r="S490" i="28"/>
  <c r="S757" i="30"/>
  <c r="W708" i="30"/>
  <c r="P457" i="28"/>
  <c r="T754" i="30"/>
  <c r="T735" i="30"/>
  <c r="Q489" i="28"/>
  <c r="P456" i="28"/>
  <c r="S762" i="30"/>
  <c r="W532" i="25"/>
  <c r="A550" i="25"/>
  <c r="P689" i="30"/>
  <c r="W712" i="30"/>
  <c r="A489" i="28"/>
  <c r="F756" i="30"/>
  <c r="P687" i="30"/>
  <c r="U753" i="30"/>
  <c r="S729" i="30"/>
  <c r="T761" i="30"/>
  <c r="W706" i="30"/>
  <c r="U493" i="28"/>
  <c r="F755" i="30"/>
  <c r="T760" i="30"/>
  <c r="Q551" i="25"/>
  <c r="B551" i="25"/>
  <c r="U760" i="30"/>
  <c r="U494" i="28"/>
  <c r="F754" i="30"/>
  <c r="F548" i="25"/>
  <c r="W713" i="30"/>
  <c r="S496" i="28"/>
  <c r="B549" i="25"/>
  <c r="W709" i="30"/>
  <c r="B736" i="30"/>
  <c r="P693" i="30"/>
  <c r="M693" i="30" s="1"/>
  <c r="N693" i="30" s="1"/>
  <c r="B733" i="30"/>
  <c r="U751" i="30"/>
  <c r="B546" i="25"/>
  <c r="W526" i="25"/>
  <c r="F493" i="28"/>
  <c r="W479" i="28"/>
  <c r="Q492" i="28"/>
  <c r="P681" i="30"/>
  <c r="A495" i="28"/>
  <c r="T546" i="25"/>
  <c r="B759" i="30"/>
  <c r="S756" i="30"/>
  <c r="P682" i="30"/>
  <c r="P692" i="30"/>
  <c r="A754" i="30"/>
  <c r="Q546" i="25"/>
  <c r="T750" i="30"/>
  <c r="W529" i="25"/>
  <c r="T756" i="30"/>
  <c r="T757" i="30"/>
  <c r="U546" i="25"/>
  <c r="S733" i="30"/>
  <c r="B547" i="25"/>
  <c r="P684" i="30"/>
  <c r="F726" i="30"/>
  <c r="Q493" i="28"/>
  <c r="S750" i="30"/>
  <c r="Q547" i="25"/>
  <c r="Q491" i="28"/>
  <c r="U752" i="30"/>
  <c r="F491" i="28"/>
  <c r="T759" i="30"/>
  <c r="F545" i="25"/>
  <c r="W703" i="30"/>
  <c r="F758" i="30"/>
  <c r="W530" i="25"/>
  <c r="U759" i="30"/>
  <c r="S550" i="25"/>
  <c r="S732" i="30"/>
  <c r="W478" i="28"/>
  <c r="Q553" i="25"/>
  <c r="B730" i="30"/>
  <c r="P683" i="30"/>
  <c r="U749" i="30"/>
  <c r="F736" i="30"/>
  <c r="S547" i="25"/>
  <c r="F733" i="30"/>
  <c r="B554" i="25"/>
  <c r="B754" i="30"/>
  <c r="A752" i="30"/>
  <c r="A757" i="30"/>
  <c r="F552" i="25"/>
  <c r="U739" i="30"/>
  <c r="W527" i="25"/>
  <c r="Q490" i="28"/>
  <c r="F734" i="30"/>
  <c r="B548" i="25"/>
  <c r="W475" i="28"/>
  <c r="T552" i="25"/>
  <c r="S739" i="30"/>
  <c r="T728" i="30"/>
  <c r="U728" i="30"/>
  <c r="A761" i="30"/>
  <c r="S736" i="30"/>
  <c r="W715" i="30"/>
  <c r="U757" i="30"/>
  <c r="T751" i="30"/>
  <c r="T495" i="28"/>
  <c r="A750" i="30"/>
  <c r="W473" i="28"/>
  <c r="S495" i="28"/>
  <c r="B553" i="25"/>
  <c r="A751" i="30"/>
  <c r="P688" i="30"/>
  <c r="B491" i="28"/>
  <c r="A492" i="28"/>
  <c r="P460" i="28"/>
  <c r="F737" i="30"/>
  <c r="T755" i="30"/>
  <c r="S749" i="30"/>
  <c r="F735" i="30"/>
  <c r="W474" i="28"/>
  <c r="F732" i="30"/>
  <c r="B735" i="30"/>
  <c r="T493" i="28"/>
  <c r="U736" i="30"/>
  <c r="S737" i="30"/>
  <c r="F761" i="30"/>
  <c r="F753" i="30"/>
  <c r="U554" i="25"/>
  <c r="U733" i="30"/>
  <c r="T496" i="28"/>
  <c r="F759" i="30"/>
  <c r="F551" i="25"/>
  <c r="B753" i="30"/>
  <c r="U735" i="30"/>
  <c r="T490" i="28"/>
  <c r="B492" i="28"/>
  <c r="S493" i="28"/>
  <c r="A553" i="25"/>
  <c r="P459" i="28"/>
  <c r="W477" i="28"/>
  <c r="S731" i="30"/>
  <c r="F760" i="30"/>
  <c r="U490" i="28"/>
  <c r="S728" i="30"/>
  <c r="F492" i="28"/>
  <c r="P462" i="28"/>
  <c r="T494" i="28"/>
  <c r="A749" i="30"/>
  <c r="B758" i="30"/>
  <c r="B552" i="25"/>
  <c r="S549" i="25"/>
  <c r="W531" i="25"/>
  <c r="B496" i="28"/>
  <c r="A551" i="25"/>
  <c r="P680" i="30"/>
  <c r="U730" i="30"/>
  <c r="B760" i="30"/>
  <c r="P691" i="30"/>
  <c r="A490" i="28"/>
  <c r="U731" i="30"/>
  <c r="B757" i="30"/>
  <c r="U489" i="28"/>
  <c r="T762" i="30"/>
  <c r="S734" i="30"/>
  <c r="S761" i="30"/>
  <c r="B493" i="28"/>
  <c r="T737" i="30"/>
  <c r="T738" i="30"/>
  <c r="F489" i="28"/>
  <c r="U761" i="30"/>
  <c r="S758" i="30"/>
  <c r="U553" i="25"/>
  <c r="F553" i="25"/>
  <c r="A758" i="30"/>
  <c r="T729" i="30"/>
  <c r="F490" i="28"/>
  <c r="A554" i="25"/>
  <c r="W534" i="25"/>
  <c r="F496" i="28"/>
  <c r="B732" i="30"/>
  <c r="U492" i="28"/>
  <c r="Q554" i="25"/>
  <c r="B550" i="25"/>
  <c r="F750" i="30"/>
  <c r="S760" i="30"/>
  <c r="W533" i="25"/>
  <c r="P686" i="30"/>
  <c r="S727" i="30"/>
  <c r="T549" i="25"/>
  <c r="T491" i="28"/>
  <c r="U495" i="28"/>
  <c r="U750" i="30"/>
  <c r="A756" i="30"/>
  <c r="B751" i="30"/>
  <c r="A548" i="25"/>
  <c r="W476" i="28"/>
  <c r="S759" i="30"/>
  <c r="U727" i="30"/>
  <c r="T547" i="25"/>
  <c r="S755" i="30"/>
  <c r="T492" i="28"/>
  <c r="W535" i="25"/>
  <c r="Q496" i="28"/>
  <c r="F762" i="30"/>
  <c r="S546" i="25"/>
  <c r="U755" i="30"/>
  <c r="F547" i="25"/>
  <c r="A491" i="28"/>
  <c r="F494" i="28"/>
  <c r="B545" i="25"/>
  <c r="F549" i="25"/>
  <c r="J2029" i="34"/>
  <c r="J641" i="23"/>
  <c r="I1707" i="34"/>
  <c r="I422" i="29"/>
  <c r="I1706" i="34"/>
  <c r="H1901" i="34"/>
  <c r="A1902" i="34"/>
  <c r="I440" i="33"/>
  <c r="J633" i="23"/>
  <c r="I636" i="23"/>
  <c r="I1947" i="34"/>
  <c r="I1888" i="34"/>
  <c r="J636" i="23"/>
  <c r="C2159" i="34"/>
  <c r="I1822" i="34"/>
  <c r="H474" i="29"/>
  <c r="C470" i="29"/>
  <c r="A727" i="23"/>
  <c r="A2161" i="34"/>
  <c r="A2167" i="34"/>
  <c r="J643" i="23"/>
  <c r="J401" i="29"/>
  <c r="I642" i="23"/>
  <c r="I643" i="23"/>
  <c r="A1900" i="34"/>
  <c r="A2159" i="34"/>
  <c r="A2155" i="34"/>
  <c r="J1812" i="34"/>
  <c r="F601" i="23"/>
  <c r="J1880" i="34"/>
  <c r="I638" i="23"/>
  <c r="C1903" i="34"/>
  <c r="H705" i="23"/>
  <c r="F559" i="25"/>
  <c r="C472" i="29"/>
  <c r="A1897" i="34"/>
  <c r="A473" i="29"/>
  <c r="H1897" i="34"/>
  <c r="I1884" i="34"/>
  <c r="AL32" i="27"/>
  <c r="H1913" i="34"/>
  <c r="I1889" i="34"/>
  <c r="A2160" i="34"/>
  <c r="A1915" i="34"/>
  <c r="C725" i="23"/>
  <c r="A702" i="23"/>
  <c r="C1915" i="34"/>
  <c r="C1916" i="34"/>
  <c r="C1987" i="34"/>
  <c r="B378" i="29"/>
  <c r="C1982" i="34"/>
  <c r="C1901" i="34"/>
  <c r="H1902" i="34"/>
  <c r="H1987" i="34"/>
  <c r="H704" i="23"/>
  <c r="E560" i="25"/>
  <c r="I1887" i="34"/>
  <c r="C724" i="23"/>
  <c r="H1918" i="34"/>
  <c r="I424" i="29"/>
  <c r="C2162" i="34"/>
  <c r="J408" i="29"/>
  <c r="J1643" i="34"/>
  <c r="A1905" i="34"/>
  <c r="H709" i="23"/>
  <c r="C1902" i="34"/>
  <c r="J1639" i="34"/>
  <c r="A2088" i="34"/>
  <c r="A1903" i="34"/>
  <c r="C789" i="23"/>
  <c r="A475" i="29"/>
  <c r="C1898" i="34"/>
  <c r="A734" i="23"/>
  <c r="C1897" i="34"/>
  <c r="A712" i="23"/>
  <c r="H2097" i="34"/>
  <c r="I1711" i="34"/>
  <c r="J403" i="29"/>
  <c r="B560" i="25"/>
  <c r="A732" i="23"/>
  <c r="A2157" i="34"/>
  <c r="J1641" i="34"/>
  <c r="J404" i="29"/>
  <c r="A723" i="23"/>
  <c r="A2166" i="34"/>
  <c r="I421" i="29"/>
  <c r="I484" i="29"/>
  <c r="I560" i="25"/>
  <c r="C1900" i="34"/>
  <c r="I633" i="23"/>
  <c r="C1986" i="34"/>
  <c r="I1878" i="34"/>
  <c r="J1878" i="34"/>
  <c r="H2087" i="34"/>
  <c r="I1882" i="34"/>
  <c r="H724" i="23"/>
  <c r="C2096" i="34"/>
  <c r="J1638" i="34"/>
  <c r="J1890" i="34"/>
  <c r="A469" i="29"/>
  <c r="A2097" i="34"/>
  <c r="H728" i="23"/>
  <c r="A2156" i="34"/>
  <c r="C2157" i="34"/>
  <c r="A729" i="23"/>
  <c r="H2094" i="34"/>
  <c r="A703" i="23"/>
  <c r="I423" i="29"/>
  <c r="A728" i="23"/>
  <c r="E502" i="28"/>
  <c r="H1905" i="34"/>
  <c r="A726" i="23"/>
  <c r="H1900" i="34"/>
  <c r="C469" i="29"/>
  <c r="I1886" i="34"/>
  <c r="A474" i="29"/>
  <c r="I640" i="23"/>
  <c r="C790" i="23"/>
  <c r="I1710" i="34"/>
  <c r="J1636" i="34"/>
  <c r="H470" i="29"/>
  <c r="H735" i="23"/>
  <c r="I634" i="23"/>
  <c r="H710" i="23"/>
  <c r="C474" i="29"/>
  <c r="C476" i="29"/>
  <c r="H475" i="29"/>
  <c r="C483" i="29"/>
  <c r="H1899" i="34"/>
  <c r="A1906" i="34"/>
  <c r="I1705" i="34"/>
  <c r="A1987" i="34"/>
  <c r="H1904" i="34"/>
  <c r="H469" i="29"/>
  <c r="J1642" i="34"/>
  <c r="H489" i="29"/>
  <c r="I502" i="28"/>
  <c r="H702" i="23"/>
  <c r="B502" i="28"/>
  <c r="H471" i="29"/>
  <c r="C1914" i="34"/>
  <c r="C735" i="23"/>
  <c r="A1904" i="34"/>
  <c r="A730" i="23"/>
  <c r="C1905" i="34"/>
  <c r="A731" i="23"/>
  <c r="C2156" i="34"/>
  <c r="C1983" i="34"/>
  <c r="H472" i="29"/>
  <c r="H2095" i="34"/>
  <c r="A2098" i="34"/>
  <c r="A1917" i="34"/>
  <c r="H1903" i="34"/>
  <c r="J1811" i="34"/>
  <c r="A2164" i="34"/>
  <c r="C2155" i="34"/>
  <c r="C1899" i="34"/>
  <c r="A472" i="29"/>
  <c r="H2098" i="34"/>
  <c r="C726" i="23"/>
  <c r="I631" i="23"/>
  <c r="C728" i="23"/>
  <c r="H2090" i="34"/>
  <c r="I483" i="29"/>
  <c r="M502" i="28"/>
  <c r="I1879" i="34"/>
  <c r="I639" i="23"/>
  <c r="H1984" i="34"/>
  <c r="I1883" i="34"/>
  <c r="J1888" i="34"/>
  <c r="I637" i="23"/>
  <c r="J1637" i="34"/>
  <c r="A735" i="23"/>
  <c r="C473" i="29"/>
  <c r="C734" i="23"/>
  <c r="I635" i="23"/>
  <c r="I789" i="23"/>
  <c r="H727" i="23"/>
  <c r="A1898" i="34"/>
  <c r="J1889" i="34"/>
  <c r="C1919" i="34"/>
  <c r="A724" i="23"/>
  <c r="C1917" i="34"/>
  <c r="A1901" i="34"/>
  <c r="H1898" i="34"/>
  <c r="H1906" i="34"/>
  <c r="F501" i="28"/>
  <c r="H2085" i="34"/>
  <c r="H2159" i="34"/>
  <c r="I1890" i="34"/>
  <c r="C2165" i="34"/>
  <c r="C1904" i="34"/>
  <c r="C1912" i="34"/>
  <c r="I418" i="29"/>
  <c r="J632" i="23"/>
  <c r="J402" i="29"/>
  <c r="C711" i="23"/>
  <c r="C731" i="23"/>
  <c r="C1906" i="34"/>
  <c r="C492" i="29"/>
  <c r="A470" i="29"/>
  <c r="C475" i="29"/>
  <c r="I1709" i="34"/>
  <c r="I641" i="23"/>
  <c r="A2162" i="34"/>
  <c r="J611" i="23"/>
  <c r="A1899" i="34"/>
  <c r="C2166" i="34"/>
  <c r="M560" i="25"/>
  <c r="J406" i="29"/>
  <c r="C394" i="29"/>
  <c r="A1985" i="34"/>
  <c r="C484" i="29"/>
  <c r="H2158" i="34"/>
  <c r="I1881" i="34"/>
  <c r="I790" i="23"/>
  <c r="J1879" i="34"/>
  <c r="H700" i="23"/>
  <c r="A476" i="29"/>
  <c r="J1640" i="34"/>
  <c r="H2096" i="34"/>
  <c r="H1912" i="34"/>
  <c r="C471" i="29"/>
  <c r="J642" i="23"/>
  <c r="B602" i="23"/>
  <c r="I1880" i="34"/>
  <c r="J407" i="29"/>
  <c r="I419" i="29"/>
  <c r="I632" i="23"/>
  <c r="H2166" i="34"/>
  <c r="I1712" i="34"/>
  <c r="A1916" i="34"/>
  <c r="C624" i="23"/>
  <c r="H2089" i="34"/>
  <c r="F361" i="29"/>
  <c r="H1915" i="34"/>
  <c r="J1883" i="34"/>
  <c r="A2165" i="34"/>
  <c r="J610" i="23"/>
  <c r="H1914" i="34"/>
  <c r="A725" i="23"/>
  <c r="H711" i="23"/>
  <c r="I420" i="29"/>
  <c r="I1885" i="34"/>
  <c r="J405" i="29"/>
  <c r="A2154" i="34"/>
  <c r="I1708" i="34"/>
  <c r="J631" i="23"/>
  <c r="I425" i="29"/>
  <c r="A2163" i="34"/>
  <c r="A2158" i="34"/>
  <c r="A733" i="23"/>
  <c r="I654" i="23"/>
  <c r="F579" i="23"/>
  <c r="F394" i="29"/>
  <c r="F724" i="30" l="1"/>
  <c r="H1920" i="34"/>
  <c r="V614" i="30"/>
  <c r="V625" i="30" s="1"/>
  <c r="B626" i="30" s="1"/>
  <c r="B580" i="30"/>
  <c r="K657" i="30"/>
  <c r="J1644" i="34"/>
  <c r="E1660" i="34" s="1"/>
  <c r="N425" i="28"/>
  <c r="V425" i="28" s="1"/>
  <c r="N423" i="28"/>
  <c r="V423" i="28" s="1"/>
  <c r="N426" i="28"/>
  <c r="V426" i="28" s="1"/>
  <c r="X711" i="30"/>
  <c r="X709" i="30"/>
  <c r="M625" i="30"/>
  <c r="H626" i="30" s="1"/>
  <c r="E379" i="28"/>
  <c r="J621" i="23"/>
  <c r="J1823" i="34"/>
  <c r="C1867" i="34" s="1"/>
  <c r="V643" i="30"/>
  <c r="K670" i="30"/>
  <c r="K671" i="30"/>
  <c r="X532" i="25"/>
  <c r="X534" i="25"/>
  <c r="X694" i="30"/>
  <c r="H477" i="29"/>
  <c r="X715" i="30"/>
  <c r="X475" i="28"/>
  <c r="X476" i="28"/>
  <c r="X473" i="28"/>
  <c r="X529" i="25"/>
  <c r="X531" i="25"/>
  <c r="X708" i="30"/>
  <c r="X517" i="25"/>
  <c r="M445" i="28"/>
  <c r="X530" i="25"/>
  <c r="X527" i="25"/>
  <c r="X704" i="30"/>
  <c r="X712" i="30"/>
  <c r="X478" i="28"/>
  <c r="H1907" i="34"/>
  <c r="X474" i="28"/>
  <c r="X706" i="30"/>
  <c r="X713" i="30"/>
  <c r="X528" i="25"/>
  <c r="W480" i="28"/>
  <c r="X472" i="28"/>
  <c r="X533" i="25"/>
  <c r="G682" i="30"/>
  <c r="R682" i="30"/>
  <c r="K682" i="30" s="1"/>
  <c r="R684" i="30"/>
  <c r="K684" i="30" s="1"/>
  <c r="G684" i="30"/>
  <c r="G685" i="30"/>
  <c r="R685" i="30"/>
  <c r="K685" i="30" s="1"/>
  <c r="G687" i="30"/>
  <c r="R687" i="30"/>
  <c r="K687" i="30" s="1"/>
  <c r="G689" i="30"/>
  <c r="R689" i="30"/>
  <c r="K689" i="30" s="1"/>
  <c r="G690" i="30"/>
  <c r="R690" i="30"/>
  <c r="K690" i="30" s="1"/>
  <c r="R691" i="30"/>
  <c r="K691" i="30" s="1"/>
  <c r="G691" i="30"/>
  <c r="G688" i="30"/>
  <c r="R688" i="30"/>
  <c r="K688" i="30" s="1"/>
  <c r="R681" i="30"/>
  <c r="K681" i="30" s="1"/>
  <c r="G681" i="30"/>
  <c r="R693" i="30"/>
  <c r="R692" i="30"/>
  <c r="K692" i="30" s="1"/>
  <c r="G692" i="30"/>
  <c r="R686" i="30"/>
  <c r="K686" i="30" s="1"/>
  <c r="G686" i="30"/>
  <c r="G683" i="30"/>
  <c r="R683" i="30"/>
  <c r="K683" i="30" s="1"/>
  <c r="G694" i="30"/>
  <c r="G680" i="30"/>
  <c r="R680" i="30"/>
  <c r="X535" i="25"/>
  <c r="W717" i="30"/>
  <c r="X703" i="30"/>
  <c r="X477" i="28"/>
  <c r="X479" i="28"/>
  <c r="M443" i="28"/>
  <c r="M440" i="28"/>
  <c r="M442" i="28"/>
  <c r="M441" i="28"/>
  <c r="M444" i="28"/>
  <c r="I492" i="28"/>
  <c r="I733" i="30"/>
  <c r="F497" i="28"/>
  <c r="I497" i="28"/>
  <c r="I545" i="25"/>
  <c r="I728" i="30"/>
  <c r="I489" i="28"/>
  <c r="I554" i="25"/>
  <c r="I546" i="25"/>
  <c r="G458" i="28"/>
  <c r="R458" i="28"/>
  <c r="K458" i="28" s="1"/>
  <c r="R455" i="28"/>
  <c r="G455" i="28"/>
  <c r="G463" i="28"/>
  <c r="R460" i="28"/>
  <c r="K460" i="28" s="1"/>
  <c r="G460" i="28"/>
  <c r="R461" i="28"/>
  <c r="K461" i="28" s="1"/>
  <c r="G461" i="28"/>
  <c r="G462" i="28"/>
  <c r="R462" i="28"/>
  <c r="K462" i="28" s="1"/>
  <c r="G456" i="28"/>
  <c r="R456" i="28"/>
  <c r="K456" i="28" s="1"/>
  <c r="R457" i="28"/>
  <c r="K457" i="28" s="1"/>
  <c r="G457" i="28"/>
  <c r="G459" i="28"/>
  <c r="R459" i="28"/>
  <c r="K459" i="28" s="1"/>
  <c r="H2099" i="34"/>
  <c r="I495" i="28"/>
  <c r="I496" i="28"/>
  <c r="I549" i="25"/>
  <c r="I735" i="30"/>
  <c r="F740" i="30"/>
  <c r="I740" i="30"/>
  <c r="I548" i="25"/>
  <c r="I730" i="30"/>
  <c r="I491" i="28"/>
  <c r="I739" i="30"/>
  <c r="I732" i="30"/>
  <c r="X526" i="25"/>
  <c r="I737" i="30"/>
  <c r="I490" i="28"/>
  <c r="I547" i="25"/>
  <c r="I553" i="25"/>
  <c r="I738" i="30"/>
  <c r="I551" i="25"/>
  <c r="I550" i="25"/>
  <c r="I494" i="28"/>
  <c r="I493" i="28"/>
  <c r="I729" i="30"/>
  <c r="I731" i="30"/>
  <c r="I555" i="25"/>
  <c r="F555" i="25"/>
  <c r="I552" i="25"/>
  <c r="V406" i="28"/>
  <c r="F504" i="28"/>
  <c r="I575" i="25"/>
  <c r="A857" i="23"/>
  <c r="K575" i="25"/>
  <c r="M515" i="28"/>
  <c r="I504" i="28"/>
  <c r="G504" i="28"/>
  <c r="D575" i="25"/>
  <c r="A560" i="25"/>
  <c r="M504" i="28"/>
  <c r="N421" i="28"/>
  <c r="G502" i="28"/>
  <c r="D502" i="28"/>
  <c r="F562" i="25"/>
  <c r="N424" i="28"/>
  <c r="I515" i="28"/>
  <c r="X463" i="28"/>
  <c r="A574" i="25"/>
  <c r="K562" i="25"/>
  <c r="M575" i="25"/>
  <c r="A575" i="25"/>
  <c r="G562" i="25"/>
  <c r="A562" i="25"/>
  <c r="M562" i="25"/>
  <c r="A514" i="28"/>
  <c r="V404" i="28"/>
  <c r="L413" i="28"/>
  <c r="M412" i="28"/>
  <c r="H413" i="28" s="1"/>
  <c r="M439" i="28"/>
  <c r="K504" i="28"/>
  <c r="B504" i="28"/>
  <c r="A502" i="28"/>
  <c r="N427" i="28"/>
  <c r="D560" i="25"/>
  <c r="V408" i="28"/>
  <c r="A515" i="28"/>
  <c r="M438" i="28"/>
  <c r="K438" i="28"/>
  <c r="K446" i="28"/>
  <c r="D515" i="28"/>
  <c r="B597" i="25"/>
  <c r="N428" i="28"/>
  <c r="K560" i="25"/>
  <c r="I562" i="25"/>
  <c r="N562" i="25"/>
  <c r="V409" i="28"/>
  <c r="V395" i="28"/>
  <c r="A504" i="28"/>
  <c r="B562" i="25"/>
  <c r="N422" i="28"/>
  <c r="G515" i="28"/>
  <c r="B535" i="28"/>
  <c r="G560" i="25"/>
  <c r="K502" i="28"/>
  <c r="V405" i="28"/>
  <c r="N504" i="28"/>
  <c r="G575" i="25"/>
  <c r="K515" i="28"/>
  <c r="V411" i="28"/>
  <c r="V644" i="30"/>
  <c r="V635" i="30"/>
  <c r="V645" i="30"/>
  <c r="V637" i="30"/>
  <c r="AR39" i="27"/>
  <c r="V636" i="30"/>
  <c r="V639" i="30"/>
  <c r="X726" i="30"/>
  <c r="I757" i="30"/>
  <c r="I761" i="30"/>
  <c r="I759" i="30"/>
  <c r="I755" i="30"/>
  <c r="I751" i="30"/>
  <c r="I754" i="30"/>
  <c r="I750" i="30"/>
  <c r="I760" i="30"/>
  <c r="I756" i="30"/>
  <c r="I752" i="30"/>
  <c r="I762" i="30"/>
  <c r="I758" i="30"/>
  <c r="I753" i="30"/>
  <c r="E767" i="30"/>
  <c r="D767" i="30"/>
  <c r="A767" i="30"/>
  <c r="C767" i="30"/>
  <c r="A633" i="26"/>
  <c r="U570" i="25"/>
  <c r="W757" i="30"/>
  <c r="U774" i="30"/>
  <c r="U777" i="30"/>
  <c r="P711" i="30"/>
  <c r="P716" i="30"/>
  <c r="M716" i="30" s="1"/>
  <c r="N716" i="30" s="1"/>
  <c r="P705" i="30"/>
  <c r="Q572" i="25"/>
  <c r="W758" i="30"/>
  <c r="S772" i="30"/>
  <c r="P476" i="28"/>
  <c r="S784" i="30"/>
  <c r="U571" i="25"/>
  <c r="U511" i="28"/>
  <c r="B762" i="30"/>
  <c r="B571" i="25"/>
  <c r="F506" i="28"/>
  <c r="A772" i="30"/>
  <c r="T782" i="30"/>
  <c r="Q510" i="28"/>
  <c r="Q511" i="28"/>
  <c r="S509" i="28"/>
  <c r="B779" i="30"/>
  <c r="W760" i="30"/>
  <c r="W552" i="25"/>
  <c r="W761" i="30"/>
  <c r="S776" i="30"/>
  <c r="F571" i="25"/>
  <c r="U776" i="30"/>
  <c r="W734" i="30"/>
  <c r="A571" i="25"/>
  <c r="T780" i="30"/>
  <c r="A509" i="28"/>
  <c r="B761" i="30"/>
  <c r="S781" i="30"/>
  <c r="P475" i="28"/>
  <c r="U780" i="30"/>
  <c r="U566" i="25"/>
  <c r="P472" i="28"/>
  <c r="W729" i="30"/>
  <c r="Q512" i="28"/>
  <c r="A508" i="28"/>
  <c r="T570" i="25"/>
  <c r="P474" i="28"/>
  <c r="W759" i="30"/>
  <c r="F565" i="25"/>
  <c r="F783" i="30"/>
  <c r="B564" i="25"/>
  <c r="A776" i="30"/>
  <c r="W749" i="30"/>
  <c r="S566" i="25"/>
  <c r="T567" i="25"/>
  <c r="T511" i="28"/>
  <c r="B776" i="30"/>
  <c r="W730" i="30"/>
  <c r="P478" i="28"/>
  <c r="U507" i="28"/>
  <c r="U572" i="25"/>
  <c r="U573" i="25"/>
  <c r="W546" i="25"/>
  <c r="F572" i="25"/>
  <c r="B565" i="25"/>
  <c r="S785" i="30"/>
  <c r="W551" i="25"/>
  <c r="W547" i="25"/>
  <c r="W549" i="25"/>
  <c r="F567" i="25"/>
  <c r="T566" i="25"/>
  <c r="W495" i="28"/>
  <c r="F509" i="28"/>
  <c r="B507" i="28"/>
  <c r="Q570" i="25"/>
  <c r="T775" i="30"/>
  <c r="T776" i="30"/>
  <c r="B568" i="25"/>
  <c r="S773" i="30"/>
  <c r="A572" i="25"/>
  <c r="S780" i="30"/>
  <c r="W496" i="28"/>
  <c r="P715" i="30"/>
  <c r="W548" i="25"/>
  <c r="U784" i="30"/>
  <c r="U565" i="25"/>
  <c r="A573" i="25"/>
  <c r="W550" i="25"/>
  <c r="Q508" i="28"/>
  <c r="P708" i="30"/>
  <c r="A566" i="25"/>
  <c r="Q569" i="25"/>
  <c r="W755" i="30"/>
  <c r="S511" i="28"/>
  <c r="Q567" i="25"/>
  <c r="Q568" i="25"/>
  <c r="F511" i="28"/>
  <c r="T510" i="28"/>
  <c r="W738" i="30"/>
  <c r="S754" i="30"/>
  <c r="F513" i="28"/>
  <c r="B508" i="28"/>
  <c r="T513" i="28"/>
  <c r="S782" i="30"/>
  <c r="U781" i="30"/>
  <c r="T569" i="25"/>
  <c r="Q507" i="28"/>
  <c r="A569" i="25"/>
  <c r="B512" i="28"/>
  <c r="B782" i="30"/>
  <c r="F570" i="25"/>
  <c r="W737" i="30"/>
  <c r="B774" i="30"/>
  <c r="A783" i="30"/>
  <c r="U512" i="28"/>
  <c r="F512" i="28"/>
  <c r="W489" i="28"/>
  <c r="P479" i="28"/>
  <c r="W736" i="30"/>
  <c r="S783" i="30"/>
  <c r="B772" i="30"/>
  <c r="T779" i="30"/>
  <c r="A564" i="25"/>
  <c r="W491" i="28"/>
  <c r="B780" i="30"/>
  <c r="S777" i="30"/>
  <c r="A506" i="28"/>
  <c r="F573" i="25"/>
  <c r="B509" i="28"/>
  <c r="B510" i="28"/>
  <c r="A511" i="28"/>
  <c r="B783" i="30"/>
  <c r="S774" i="30"/>
  <c r="U773" i="30"/>
  <c r="F752" i="30"/>
  <c r="T573" i="25"/>
  <c r="B752" i="30"/>
  <c r="T568" i="25"/>
  <c r="F568" i="25"/>
  <c r="W735" i="30"/>
  <c r="Q565" i="25"/>
  <c r="P704" i="30"/>
  <c r="P710" i="30"/>
  <c r="B749" i="30"/>
  <c r="W494" i="28"/>
  <c r="T781" i="30"/>
  <c r="Q509" i="28"/>
  <c r="B775" i="30"/>
  <c r="S513" i="28"/>
  <c r="U783" i="30"/>
  <c r="P712" i="30"/>
  <c r="T508" i="28"/>
  <c r="Q573" i="25"/>
  <c r="B773" i="30"/>
  <c r="T571" i="25"/>
  <c r="W752" i="30"/>
  <c r="B778" i="30"/>
  <c r="P709" i="30"/>
  <c r="U506" i="28"/>
  <c r="F781" i="30"/>
  <c r="A507" i="28"/>
  <c r="B511" i="28"/>
  <c r="P714" i="30"/>
  <c r="F508" i="28"/>
  <c r="B781" i="30"/>
  <c r="Q566" i="25"/>
  <c r="Q564" i="25"/>
  <c r="A565" i="25"/>
  <c r="A512" i="28"/>
  <c r="W731" i="30"/>
  <c r="F569" i="25"/>
  <c r="U775" i="30"/>
  <c r="B750" i="30"/>
  <c r="B567" i="25"/>
  <c r="U508" i="28"/>
  <c r="T772" i="30"/>
  <c r="P713" i="30"/>
  <c r="T777" i="30"/>
  <c r="B756" i="30"/>
  <c r="Q506" i="28"/>
  <c r="P477" i="28"/>
  <c r="W753" i="30"/>
  <c r="P707" i="30"/>
  <c r="F566" i="25"/>
  <c r="Q513" i="28"/>
  <c r="U509" i="28"/>
  <c r="B784" i="30"/>
  <c r="T565" i="25"/>
  <c r="U779" i="30"/>
  <c r="T572" i="25"/>
  <c r="A568" i="25"/>
  <c r="F507" i="28"/>
  <c r="W732" i="30"/>
  <c r="W727" i="30"/>
  <c r="T784" i="30"/>
  <c r="U785" i="30"/>
  <c r="W492" i="28"/>
  <c r="S569" i="25"/>
  <c r="P706" i="30"/>
  <c r="U756" i="30"/>
  <c r="B785" i="30"/>
  <c r="S506" i="28"/>
  <c r="A513" i="28"/>
  <c r="T506" i="28"/>
  <c r="T509" i="28"/>
  <c r="F777" i="30"/>
  <c r="A567" i="25"/>
  <c r="T783" i="30"/>
  <c r="S565" i="25"/>
  <c r="T512" i="28"/>
  <c r="U569" i="25"/>
  <c r="A570" i="25"/>
  <c r="S572" i="25"/>
  <c r="S564" i="25"/>
  <c r="T564" i="25"/>
  <c r="S568" i="25"/>
  <c r="W493" i="28"/>
  <c r="T507" i="28"/>
  <c r="U778" i="30"/>
  <c r="T778" i="30"/>
  <c r="U510" i="28"/>
  <c r="B569" i="25"/>
  <c r="F779" i="30"/>
  <c r="F772" i="30"/>
  <c r="W490" i="28"/>
  <c r="Q571" i="25"/>
  <c r="U564" i="25"/>
  <c r="B777" i="30"/>
  <c r="S508" i="28"/>
  <c r="A510" i="28"/>
  <c r="U513" i="28"/>
  <c r="U567" i="25"/>
  <c r="P703" i="30"/>
  <c r="U782" i="30"/>
  <c r="A779" i="30"/>
  <c r="S571" i="25"/>
  <c r="S775" i="30"/>
  <c r="S507" i="28"/>
  <c r="B513" i="28"/>
  <c r="W733" i="30"/>
  <c r="S567" i="25"/>
  <c r="S573" i="25"/>
  <c r="B566" i="25"/>
  <c r="F510" i="28"/>
  <c r="W750" i="30"/>
  <c r="S510" i="28"/>
  <c r="B506" i="28"/>
  <c r="W751" i="30"/>
  <c r="W553" i="25"/>
  <c r="A774" i="30"/>
  <c r="U772" i="30"/>
  <c r="W554" i="25"/>
  <c r="P473" i="28"/>
  <c r="S778" i="30"/>
  <c r="B570" i="25"/>
  <c r="F564" i="25"/>
  <c r="W728" i="30"/>
  <c r="U568" i="25"/>
  <c r="T785" i="30"/>
  <c r="B573" i="25"/>
  <c r="F785" i="30"/>
  <c r="T773" i="30"/>
  <c r="T774" i="30"/>
  <c r="S512" i="28"/>
  <c r="A782" i="30"/>
  <c r="B572" i="25"/>
  <c r="T749" i="30"/>
  <c r="S570" i="25"/>
  <c r="S779" i="30"/>
  <c r="W545" i="25"/>
  <c r="J2098" i="34"/>
  <c r="A753" i="23"/>
  <c r="J418" i="29"/>
  <c r="H2228" i="34"/>
  <c r="I440" i="29"/>
  <c r="J1947" i="34"/>
  <c r="H731" i="23"/>
  <c r="J419" i="29"/>
  <c r="C1973" i="34"/>
  <c r="C2225" i="34"/>
  <c r="C493" i="29"/>
  <c r="I656" i="23"/>
  <c r="H1967" i="34"/>
  <c r="J1885" i="34"/>
  <c r="A489" i="29"/>
  <c r="C2164" i="34"/>
  <c r="H2229" i="34"/>
  <c r="F518" i="28"/>
  <c r="C2053" i="34"/>
  <c r="I1959" i="34"/>
  <c r="H1981" i="34"/>
  <c r="C2232" i="34"/>
  <c r="C2154" i="34"/>
  <c r="C1972" i="34"/>
  <c r="C488" i="29"/>
  <c r="J1950" i="34"/>
  <c r="H755" i="23"/>
  <c r="I1781" i="34"/>
  <c r="A2236" i="34"/>
  <c r="I1778" i="34"/>
  <c r="A754" i="23"/>
  <c r="H2234" i="34"/>
  <c r="C1985" i="34"/>
  <c r="I666" i="23"/>
  <c r="I437" i="29"/>
  <c r="J1708" i="34"/>
  <c r="J1886" i="34"/>
  <c r="H1972" i="34"/>
  <c r="I1891" i="34"/>
  <c r="C489" i="29"/>
  <c r="J635" i="23"/>
  <c r="B579" i="25"/>
  <c r="H746" i="23"/>
  <c r="H491" i="29"/>
  <c r="A2232" i="34"/>
  <c r="C487" i="29"/>
  <c r="I1948" i="34"/>
  <c r="H725" i="23"/>
  <c r="H2224" i="34"/>
  <c r="C1968" i="34"/>
  <c r="H754" i="23"/>
  <c r="J421" i="29"/>
  <c r="C1981" i="34"/>
  <c r="J640" i="23"/>
  <c r="C756" i="23"/>
  <c r="C1988" i="34"/>
  <c r="J1953" i="34"/>
  <c r="H1982" i="34"/>
  <c r="J1706" i="34"/>
  <c r="A2223" i="34"/>
  <c r="A751" i="23"/>
  <c r="I1953" i="34"/>
  <c r="H723" i="23"/>
  <c r="J665" i="23"/>
  <c r="H750" i="23"/>
  <c r="J664" i="23"/>
  <c r="H732" i="23"/>
  <c r="H1986" i="34"/>
  <c r="C751" i="23"/>
  <c r="H2223" i="34"/>
  <c r="C730" i="23"/>
  <c r="C1970" i="34"/>
  <c r="I657" i="23"/>
  <c r="J654" i="23"/>
  <c r="C729" i="23"/>
  <c r="H1975" i="34"/>
  <c r="F624" i="23"/>
  <c r="C1967" i="34"/>
  <c r="C723" i="23"/>
  <c r="I501" i="29"/>
  <c r="H2052" i="34"/>
  <c r="J1957" i="34"/>
  <c r="H757" i="23"/>
  <c r="H2164" i="34"/>
  <c r="H733" i="23"/>
  <c r="J1955" i="34"/>
  <c r="J425" i="29"/>
  <c r="A758" i="23"/>
  <c r="A756" i="23"/>
  <c r="I659" i="23"/>
  <c r="C757" i="23"/>
  <c r="C732" i="23"/>
  <c r="A491" i="29"/>
  <c r="A1967" i="34"/>
  <c r="A1972" i="34"/>
  <c r="I519" i="28"/>
  <c r="A508" i="29"/>
  <c r="I664" i="23"/>
  <c r="H2233" i="34"/>
  <c r="H734" i="23"/>
  <c r="E579" i="25"/>
  <c r="H1969" i="34"/>
  <c r="H2162" i="34"/>
  <c r="A2233" i="34"/>
  <c r="H1971" i="34"/>
  <c r="I1957" i="34"/>
  <c r="A2050" i="34"/>
  <c r="I436" i="29"/>
  <c r="H493" i="29"/>
  <c r="F578" i="25"/>
  <c r="I655" i="23"/>
  <c r="A2224" i="34"/>
  <c r="A492" i="29"/>
  <c r="J660" i="23"/>
  <c r="A1971" i="34"/>
  <c r="A2234" i="34"/>
  <c r="H756" i="23"/>
  <c r="I663" i="23"/>
  <c r="J657" i="23"/>
  <c r="A1983" i="34"/>
  <c r="H490" i="29"/>
  <c r="I1775" i="34"/>
  <c r="I1955" i="34"/>
  <c r="I1954" i="34"/>
  <c r="H2057" i="34"/>
  <c r="I441" i="29"/>
  <c r="A1966" i="34"/>
  <c r="J1711" i="34"/>
  <c r="J1881" i="34"/>
  <c r="C2227" i="34"/>
  <c r="A1969" i="34"/>
  <c r="J1956" i="34"/>
  <c r="A2057" i="34"/>
  <c r="I435" i="29"/>
  <c r="A2225" i="34"/>
  <c r="H2055" i="34"/>
  <c r="C813" i="23"/>
  <c r="I1774" i="34"/>
  <c r="H2154" i="34"/>
  <c r="A750" i="23"/>
  <c r="H2163" i="34"/>
  <c r="A2228" i="34"/>
  <c r="C2163" i="34"/>
  <c r="A1981" i="34"/>
  <c r="H729" i="23"/>
  <c r="A2226" i="34"/>
  <c r="J1712" i="34"/>
  <c r="C2234" i="34"/>
  <c r="H2155" i="34"/>
  <c r="I500" i="29"/>
  <c r="A1988" i="34"/>
  <c r="I1952" i="34"/>
  <c r="H2235" i="34"/>
  <c r="I438" i="29"/>
  <c r="C2228" i="34"/>
  <c r="E519" i="28"/>
  <c r="C501" i="29"/>
  <c r="I1956" i="34"/>
  <c r="H2232" i="34"/>
  <c r="H1988" i="34"/>
  <c r="I579" i="25"/>
  <c r="C2158" i="34"/>
  <c r="A2235" i="34"/>
  <c r="A2230" i="34"/>
  <c r="I660" i="23"/>
  <c r="H2231" i="34"/>
  <c r="C727" i="23"/>
  <c r="A747" i="23"/>
  <c r="AL33" i="27"/>
  <c r="A2229" i="34"/>
  <c r="J420" i="29"/>
  <c r="A1974" i="34"/>
  <c r="H486" i="29"/>
  <c r="A746" i="23"/>
  <c r="B579" i="23"/>
  <c r="H2050" i="34"/>
  <c r="H492" i="29"/>
  <c r="A2231" i="34"/>
  <c r="C1975" i="34"/>
  <c r="J639" i="23"/>
  <c r="H730" i="23"/>
  <c r="I665" i="23"/>
  <c r="I1950" i="34"/>
  <c r="C2231" i="34"/>
  <c r="M519" i="28"/>
  <c r="H747" i="23"/>
  <c r="J1884" i="34"/>
  <c r="H758" i="23"/>
  <c r="C500" i="29"/>
  <c r="H726" i="23"/>
  <c r="I1949" i="34"/>
  <c r="A1975" i="34"/>
  <c r="H2230" i="34"/>
  <c r="C411" i="29"/>
  <c r="I658" i="23"/>
  <c r="I1777" i="34"/>
  <c r="H1974" i="34"/>
  <c r="J1958" i="34"/>
  <c r="A1968" i="34"/>
  <c r="A752" i="23"/>
  <c r="H2156" i="34"/>
  <c r="A1982" i="34"/>
  <c r="H2157" i="34"/>
  <c r="H1966" i="34"/>
  <c r="J1954" i="34"/>
  <c r="J1887" i="34"/>
  <c r="I1779" i="34"/>
  <c r="I813" i="23"/>
  <c r="J1710" i="34"/>
  <c r="C490" i="29"/>
  <c r="A2227" i="34"/>
  <c r="J424" i="29"/>
  <c r="H488" i="29"/>
  <c r="H753" i="23"/>
  <c r="A487" i="29"/>
  <c r="I812" i="23"/>
  <c r="I1780" i="34"/>
  <c r="H1968" i="34"/>
  <c r="C2160" i="34"/>
  <c r="C2229" i="34"/>
  <c r="H2160" i="34"/>
  <c r="C2161" i="34"/>
  <c r="H2165" i="34"/>
  <c r="J662" i="23"/>
  <c r="A2056" i="34"/>
  <c r="C1984" i="34"/>
  <c r="B519" i="28"/>
  <c r="H2227" i="34"/>
  <c r="A757" i="23"/>
  <c r="I1958" i="34"/>
  <c r="I1776" i="34"/>
  <c r="H1983" i="34"/>
  <c r="H751" i="23"/>
  <c r="A2054" i="34"/>
  <c r="A1973" i="34"/>
  <c r="F411" i="29"/>
  <c r="A2053" i="34"/>
  <c r="I661" i="23"/>
  <c r="C1974" i="34"/>
  <c r="J663" i="23"/>
  <c r="J1959" i="34"/>
  <c r="C486" i="29"/>
  <c r="H2167" i="34"/>
  <c r="J1705" i="34"/>
  <c r="J638" i="23"/>
  <c r="A490" i="29"/>
  <c r="C752" i="23"/>
  <c r="C812" i="23"/>
  <c r="J422" i="29"/>
  <c r="A2055" i="34"/>
  <c r="A748" i="23"/>
  <c r="A493" i="29"/>
  <c r="C2167" i="34"/>
  <c r="H2051" i="34"/>
  <c r="C754" i="23"/>
  <c r="I662" i="23"/>
  <c r="J661" i="23"/>
  <c r="J1709" i="34"/>
  <c r="H1985" i="34"/>
  <c r="H752" i="23"/>
  <c r="A1984" i="34"/>
  <c r="H1970" i="34"/>
  <c r="H2225" i="34"/>
  <c r="J1882" i="34"/>
  <c r="A749" i="23"/>
  <c r="C750" i="23"/>
  <c r="C1966" i="34"/>
  <c r="J1707" i="34"/>
  <c r="C1971" i="34"/>
  <c r="I442" i="29"/>
  <c r="I439" i="29"/>
  <c r="J637" i="23"/>
  <c r="H2161" i="34"/>
  <c r="A486" i="29"/>
  <c r="H748" i="23"/>
  <c r="A488" i="29"/>
  <c r="F378" i="29"/>
  <c r="C491" i="29"/>
  <c r="C733" i="23"/>
  <c r="I1951" i="34"/>
  <c r="C1969" i="34"/>
  <c r="J634" i="23"/>
  <c r="C2233" i="34"/>
  <c r="C755" i="23"/>
  <c r="A1970" i="34"/>
  <c r="H1973" i="34"/>
  <c r="A755" i="23"/>
  <c r="J666" i="23"/>
  <c r="H487" i="29"/>
  <c r="M579" i="25"/>
  <c r="A1986" i="34"/>
  <c r="B625" i="23"/>
  <c r="F747" i="30" l="1"/>
  <c r="H1989" i="34"/>
  <c r="J1713" i="34"/>
  <c r="E1729" i="34" s="1"/>
  <c r="N441" i="28"/>
  <c r="N442" i="28"/>
  <c r="V442" i="28" s="1"/>
  <c r="N440" i="28"/>
  <c r="V440" i="28" s="1"/>
  <c r="N443" i="28"/>
  <c r="V443" i="28" s="1"/>
  <c r="N445" i="28"/>
  <c r="V445" i="28" s="1"/>
  <c r="N444" i="28"/>
  <c r="X733" i="30"/>
  <c r="X732" i="30"/>
  <c r="X734" i="30"/>
  <c r="R710" i="30"/>
  <c r="K710" i="30" s="1"/>
  <c r="G710" i="30"/>
  <c r="R711" i="30"/>
  <c r="K711" i="30" s="1"/>
  <c r="G711" i="30"/>
  <c r="R709" i="30"/>
  <c r="K709" i="30" s="1"/>
  <c r="G709" i="30"/>
  <c r="V640" i="30"/>
  <c r="V641" i="30"/>
  <c r="M648" i="30"/>
  <c r="H649" i="30" s="1"/>
  <c r="C1869" i="34"/>
  <c r="L649" i="30"/>
  <c r="V638" i="30"/>
  <c r="J644" i="23"/>
  <c r="J1892" i="34"/>
  <c r="C1936" i="34" s="1"/>
  <c r="V662" i="30"/>
  <c r="K680" i="30"/>
  <c r="X717" i="30"/>
  <c r="K693" i="30"/>
  <c r="X536" i="25"/>
  <c r="X480" i="28"/>
  <c r="H494" i="29"/>
  <c r="K694" i="30"/>
  <c r="X735" i="30"/>
  <c r="X727" i="30"/>
  <c r="X491" i="28"/>
  <c r="X489" i="28"/>
  <c r="X552" i="25"/>
  <c r="X550" i="25"/>
  <c r="X493" i="28"/>
  <c r="X492" i="28"/>
  <c r="X546" i="25"/>
  <c r="X729" i="30"/>
  <c r="X490" i="28"/>
  <c r="X736" i="30"/>
  <c r="X738" i="30"/>
  <c r="W740" i="30"/>
  <c r="X728" i="30"/>
  <c r="X731" i="30"/>
  <c r="X545" i="25"/>
  <c r="X495" i="28"/>
  <c r="G478" i="28"/>
  <c r="R478" i="28"/>
  <c r="K478" i="28" s="1"/>
  <c r="R474" i="28"/>
  <c r="K474" i="28" s="1"/>
  <c r="G474" i="28"/>
  <c r="R475" i="28"/>
  <c r="K475" i="28" s="1"/>
  <c r="G475" i="28"/>
  <c r="G477" i="28"/>
  <c r="R477" i="28"/>
  <c r="K477" i="28" s="1"/>
  <c r="R476" i="28"/>
  <c r="K476" i="28" s="1"/>
  <c r="G476" i="28"/>
  <c r="R479" i="28"/>
  <c r="K479" i="28" s="1"/>
  <c r="G479" i="28"/>
  <c r="R473" i="28"/>
  <c r="K473" i="28" s="1"/>
  <c r="G473" i="28"/>
  <c r="G480" i="28"/>
  <c r="R472" i="28"/>
  <c r="M472" i="28" s="1"/>
  <c r="G472" i="28"/>
  <c r="H1976" i="34"/>
  <c r="X737" i="30"/>
  <c r="X553" i="25"/>
  <c r="X730" i="30"/>
  <c r="X551" i="25"/>
  <c r="X548" i="25"/>
  <c r="X549" i="25"/>
  <c r="G708" i="30"/>
  <c r="R708" i="30"/>
  <c r="K708" i="30" s="1"/>
  <c r="R705" i="30"/>
  <c r="K705" i="30" s="1"/>
  <c r="G705" i="30"/>
  <c r="R707" i="30"/>
  <c r="K707" i="30" s="1"/>
  <c r="G707" i="30"/>
  <c r="G713" i="30"/>
  <c r="R713" i="30"/>
  <c r="K713" i="30" s="1"/>
  <c r="G712" i="30"/>
  <c r="R712" i="30"/>
  <c r="K712" i="30" s="1"/>
  <c r="G703" i="30"/>
  <c r="G717" i="30"/>
  <c r="R703" i="30"/>
  <c r="V703" i="30" s="1"/>
  <c r="R706" i="30"/>
  <c r="K706" i="30" s="1"/>
  <c r="G706" i="30"/>
  <c r="G704" i="30"/>
  <c r="R704" i="30"/>
  <c r="K704" i="30" s="1"/>
  <c r="G715" i="30"/>
  <c r="R715" i="30"/>
  <c r="K715" i="30" s="1"/>
  <c r="R716" i="30"/>
  <c r="G714" i="30"/>
  <c r="R714" i="30"/>
  <c r="K714" i="30" s="1"/>
  <c r="M457" i="28"/>
  <c r="M456" i="28"/>
  <c r="M460" i="28"/>
  <c r="M462" i="28"/>
  <c r="I749" i="30"/>
  <c r="I514" i="28"/>
  <c r="F514" i="28"/>
  <c r="I564" i="25"/>
  <c r="X496" i="28"/>
  <c r="I763" i="30"/>
  <c r="F763" i="30"/>
  <c r="I509" i="28"/>
  <c r="I568" i="25"/>
  <c r="I513" i="28"/>
  <c r="I567" i="25"/>
  <c r="F574" i="25"/>
  <c r="I574" i="25"/>
  <c r="I511" i="28"/>
  <c r="H2168" i="34"/>
  <c r="I573" i="25"/>
  <c r="I570" i="25"/>
  <c r="I566" i="25"/>
  <c r="I507" i="28"/>
  <c r="I571" i="25"/>
  <c r="I510" i="28"/>
  <c r="X494" i="28"/>
  <c r="W497" i="28"/>
  <c r="I506" i="28"/>
  <c r="I572" i="25"/>
  <c r="I565" i="25"/>
  <c r="X547" i="25"/>
  <c r="I508" i="28"/>
  <c r="I512" i="28"/>
  <c r="X554" i="25"/>
  <c r="I569" i="25"/>
  <c r="G532" i="28"/>
  <c r="I532" i="28"/>
  <c r="N438" i="28"/>
  <c r="V424" i="28"/>
  <c r="A880" i="23"/>
  <c r="A532" i="28"/>
  <c r="F581" i="25"/>
  <c r="I594" i="25"/>
  <c r="V422" i="28"/>
  <c r="B581" i="25"/>
  <c r="D519" i="28"/>
  <c r="F521" i="28"/>
  <c r="D579" i="25"/>
  <c r="G519" i="28"/>
  <c r="V427" i="28"/>
  <c r="V421" i="28"/>
  <c r="M429" i="28"/>
  <c r="H430" i="28" s="1"/>
  <c r="L430" i="28"/>
  <c r="M521" i="28"/>
  <c r="V441" i="28"/>
  <c r="A519" i="28"/>
  <c r="A579" i="25"/>
  <c r="A521" i="28"/>
  <c r="D594" i="25"/>
  <c r="M461" i="28"/>
  <c r="B521" i="28"/>
  <c r="K521" i="28"/>
  <c r="K532" i="28"/>
  <c r="B396" i="28"/>
  <c r="E396" i="28"/>
  <c r="N439" i="28"/>
  <c r="G594" i="25"/>
  <c r="N521" i="28"/>
  <c r="N581" i="25"/>
  <c r="G521" i="28"/>
  <c r="I581" i="25"/>
  <c r="V412" i="28"/>
  <c r="I521" i="28"/>
  <c r="M455" i="28"/>
  <c r="K455" i="28"/>
  <c r="K463" i="28"/>
  <c r="K519" i="28"/>
  <c r="K579" i="25"/>
  <c r="A531" i="28"/>
  <c r="M532" i="28"/>
  <c r="G579" i="25"/>
  <c r="V428" i="28"/>
  <c r="M581" i="25"/>
  <c r="K594" i="25"/>
  <c r="M458" i="28"/>
  <c r="A581" i="25"/>
  <c r="B552" i="28"/>
  <c r="G581" i="25"/>
  <c r="A594" i="25"/>
  <c r="B616" i="25"/>
  <c r="M594" i="25"/>
  <c r="K581" i="25"/>
  <c r="M459" i="28"/>
  <c r="D532" i="28"/>
  <c r="A593" i="25"/>
  <c r="V680" i="30"/>
  <c r="V658" i="30"/>
  <c r="V664" i="30"/>
  <c r="V666" i="30"/>
  <c r="V665" i="30"/>
  <c r="V663" i="30"/>
  <c r="V667" i="30"/>
  <c r="AR40" i="27"/>
  <c r="V660" i="30"/>
  <c r="V661" i="30"/>
  <c r="X757" i="30"/>
  <c r="X760" i="30"/>
  <c r="X755" i="30"/>
  <c r="X761" i="30"/>
  <c r="X750" i="30"/>
  <c r="X752" i="30"/>
  <c r="X759" i="30"/>
  <c r="X758" i="30"/>
  <c r="X751" i="30"/>
  <c r="X749" i="30"/>
  <c r="X753" i="30"/>
  <c r="V668" i="30"/>
  <c r="I783" i="30"/>
  <c r="I779" i="30"/>
  <c r="I775" i="30"/>
  <c r="I785" i="30"/>
  <c r="I780" i="30"/>
  <c r="I782" i="30"/>
  <c r="I778" i="30"/>
  <c r="I774" i="30"/>
  <c r="I781" i="30"/>
  <c r="I777" i="30"/>
  <c r="I773" i="30"/>
  <c r="I784" i="30"/>
  <c r="I776" i="30"/>
  <c r="I772" i="30"/>
  <c r="E790" i="30"/>
  <c r="D790" i="30"/>
  <c r="C790" i="30"/>
  <c r="A790" i="30"/>
  <c r="A652" i="26"/>
  <c r="P731" i="30"/>
  <c r="F775" i="30"/>
  <c r="F773" i="30"/>
  <c r="T526" i="28"/>
  <c r="A590" i="25"/>
  <c r="F795" i="30"/>
  <c r="F587" i="25"/>
  <c r="Q526" i="28"/>
  <c r="A777" i="30"/>
  <c r="T586" i="25"/>
  <c r="W513" i="28"/>
  <c r="F591" i="25"/>
  <c r="B528" i="28"/>
  <c r="T589" i="25"/>
  <c r="S526" i="28"/>
  <c r="P737" i="30"/>
  <c r="P736" i="30"/>
  <c r="T528" i="28"/>
  <c r="U795" i="30"/>
  <c r="U591" i="25"/>
  <c r="F803" i="30"/>
  <c r="A775" i="30"/>
  <c r="P494" i="28"/>
  <c r="U590" i="25"/>
  <c r="U585" i="25"/>
  <c r="W565" i="25"/>
  <c r="S805" i="30"/>
  <c r="A583" i="25"/>
  <c r="W782" i="30"/>
  <c r="W571" i="25"/>
  <c r="U528" i="28"/>
  <c r="F523" i="28"/>
  <c r="W779" i="30"/>
  <c r="A584" i="25"/>
  <c r="B583" i="25"/>
  <c r="Q524" i="28"/>
  <c r="S528" i="28"/>
  <c r="U527" i="28"/>
  <c r="P493" i="28"/>
  <c r="Q592" i="25"/>
  <c r="F525" i="28"/>
  <c r="Q525" i="28"/>
  <c r="W507" i="28"/>
  <c r="A528" i="28"/>
  <c r="F583" i="25"/>
  <c r="F807" i="30"/>
  <c r="W570" i="25"/>
  <c r="T592" i="25"/>
  <c r="F524" i="28"/>
  <c r="U799" i="30"/>
  <c r="U526" i="28"/>
  <c r="W776" i="30"/>
  <c r="F797" i="30"/>
  <c r="S524" i="28"/>
  <c r="W780" i="30"/>
  <c r="B798" i="30"/>
  <c r="F530" i="28"/>
  <c r="U523" i="28"/>
  <c r="A587" i="25"/>
  <c r="Q587" i="25"/>
  <c r="P726" i="30"/>
  <c r="W512" i="28"/>
  <c r="A530" i="28"/>
  <c r="W774" i="30"/>
  <c r="A804" i="30"/>
  <c r="T590" i="25"/>
  <c r="Q529" i="28"/>
  <c r="W781" i="30"/>
  <c r="S527" i="28"/>
  <c r="F801" i="30"/>
  <c r="T588" i="25"/>
  <c r="S591" i="25"/>
  <c r="F802" i="30"/>
  <c r="F529" i="28"/>
  <c r="B584" i="25"/>
  <c r="A592" i="25"/>
  <c r="A524" i="28"/>
  <c r="W784" i="30"/>
  <c r="W566" i="25"/>
  <c r="U589" i="25"/>
  <c r="S585" i="25"/>
  <c r="T587" i="25"/>
  <c r="A589" i="25"/>
  <c r="Q588" i="25"/>
  <c r="F776" i="30"/>
  <c r="U592" i="25"/>
  <c r="Q590" i="25"/>
  <c r="F805" i="30"/>
  <c r="B527" i="28"/>
  <c r="A800" i="30"/>
  <c r="A781" i="30"/>
  <c r="T527" i="28"/>
  <c r="A773" i="30"/>
  <c r="W564" i="25"/>
  <c r="A802" i="30"/>
  <c r="A585" i="25"/>
  <c r="W775" i="30"/>
  <c r="P727" i="30"/>
  <c r="A784" i="30"/>
  <c r="B591" i="25"/>
  <c r="F586" i="25"/>
  <c r="F588" i="25"/>
  <c r="Q523" i="28"/>
  <c r="P496" i="28"/>
  <c r="B530" i="28"/>
  <c r="B592" i="25"/>
  <c r="U529" i="28"/>
  <c r="U583" i="25"/>
  <c r="W573" i="25"/>
  <c r="B797" i="30"/>
  <c r="U586" i="25"/>
  <c r="B526" i="28"/>
  <c r="Q527" i="28"/>
  <c r="P732" i="30"/>
  <c r="A801" i="30"/>
  <c r="T801" i="30"/>
  <c r="F774" i="30"/>
  <c r="U525" i="28"/>
  <c r="W772" i="30"/>
  <c r="W783" i="30"/>
  <c r="S586" i="25"/>
  <c r="A529" i="28"/>
  <c r="S592" i="25"/>
  <c r="P495" i="28"/>
  <c r="P734" i="30"/>
  <c r="F782" i="30"/>
  <c r="B796" i="30"/>
  <c r="W508" i="28"/>
  <c r="W778" i="30"/>
  <c r="U588" i="25"/>
  <c r="A588" i="25"/>
  <c r="S583" i="25"/>
  <c r="F528" i="28"/>
  <c r="P730" i="30"/>
  <c r="A803" i="30"/>
  <c r="B585" i="25"/>
  <c r="F585" i="25"/>
  <c r="A780" i="30"/>
  <c r="S589" i="25"/>
  <c r="Q591" i="25"/>
  <c r="F527" i="28"/>
  <c r="B525" i="28"/>
  <c r="S529" i="28"/>
  <c r="W510" i="28"/>
  <c r="B587" i="25"/>
  <c r="A523" i="28"/>
  <c r="Q584" i="25"/>
  <c r="T585" i="25"/>
  <c r="A806" i="30"/>
  <c r="U530" i="28"/>
  <c r="B588" i="25"/>
  <c r="T529" i="28"/>
  <c r="S525" i="28"/>
  <c r="Q589" i="25"/>
  <c r="W511" i="28"/>
  <c r="S587" i="25"/>
  <c r="Q528" i="28"/>
  <c r="A795" i="30"/>
  <c r="B795" i="30"/>
  <c r="F796" i="30"/>
  <c r="F589" i="25"/>
  <c r="F584" i="25"/>
  <c r="Q583" i="25"/>
  <c r="S590" i="25"/>
  <c r="T583" i="25"/>
  <c r="S588" i="25"/>
  <c r="W572" i="25"/>
  <c r="F780" i="30"/>
  <c r="F800" i="30"/>
  <c r="A525" i="28"/>
  <c r="T523" i="28"/>
  <c r="B586" i="25"/>
  <c r="W569" i="25"/>
  <c r="S797" i="30"/>
  <c r="W754" i="30"/>
  <c r="Q586" i="25"/>
  <c r="W509" i="28"/>
  <c r="S584" i="25"/>
  <c r="W567" i="25"/>
  <c r="F804" i="30"/>
  <c r="F778" i="30"/>
  <c r="B524" i="28"/>
  <c r="P738" i="30"/>
  <c r="W773" i="30"/>
  <c r="F806" i="30"/>
  <c r="W756" i="30"/>
  <c r="F590" i="25"/>
  <c r="S802" i="30"/>
  <c r="A778" i="30"/>
  <c r="F526" i="28"/>
  <c r="P490" i="28"/>
  <c r="B589" i="25"/>
  <c r="P728" i="30"/>
  <c r="A785" i="30"/>
  <c r="F784" i="30"/>
  <c r="S523" i="28"/>
  <c r="F798" i="30"/>
  <c r="U524" i="28"/>
  <c r="F592" i="25"/>
  <c r="T525" i="28"/>
  <c r="A586" i="25"/>
  <c r="P729" i="30"/>
  <c r="A796" i="30"/>
  <c r="A527" i="28"/>
  <c r="U798" i="30"/>
  <c r="P491" i="28"/>
  <c r="U584" i="25"/>
  <c r="A591" i="25"/>
  <c r="B800" i="30"/>
  <c r="F799" i="30"/>
  <c r="B805" i="30"/>
  <c r="Q585" i="25"/>
  <c r="T524" i="28"/>
  <c r="A526" i="28"/>
  <c r="Q530" i="28"/>
  <c r="B529" i="28"/>
  <c r="B590" i="25"/>
  <c r="T591" i="25"/>
  <c r="W777" i="30"/>
  <c r="T530" i="28"/>
  <c r="P492" i="28"/>
  <c r="B523" i="28"/>
  <c r="U587" i="25"/>
  <c r="P733" i="30"/>
  <c r="T584" i="25"/>
  <c r="S530" i="28"/>
  <c r="A797" i="30"/>
  <c r="F808" i="30"/>
  <c r="P489" i="28"/>
  <c r="W506" i="28"/>
  <c r="P735" i="30"/>
  <c r="W568" i="25"/>
  <c r="P739" i="30"/>
  <c r="M739" i="30" s="1"/>
  <c r="N739" i="30" s="1"/>
  <c r="J2167" i="34"/>
  <c r="C777" i="23"/>
  <c r="C2305" i="34"/>
  <c r="I2016" i="34"/>
  <c r="J677" i="23"/>
  <c r="C772" i="23"/>
  <c r="E598" i="25"/>
  <c r="I453" i="29"/>
  <c r="I687" i="23"/>
  <c r="M536" i="28"/>
  <c r="A2037" i="34"/>
  <c r="C428" i="29"/>
  <c r="H507" i="29"/>
  <c r="C774" i="23"/>
  <c r="J2022" i="34"/>
  <c r="J2016" i="34"/>
  <c r="I2025" i="34"/>
  <c r="J2024" i="34"/>
  <c r="I459" i="29"/>
  <c r="J678" i="23"/>
  <c r="A505" i="29"/>
  <c r="I2028" i="34"/>
  <c r="J688" i="23"/>
  <c r="H2236" i="34"/>
  <c r="J684" i="23"/>
  <c r="C779" i="23"/>
  <c r="C2044" i="34"/>
  <c r="A2044" i="34"/>
  <c r="H2038" i="34"/>
  <c r="A503" i="29"/>
  <c r="J1778" i="34"/>
  <c r="C2035" i="34"/>
  <c r="J659" i="23"/>
  <c r="C2057" i="34"/>
  <c r="C781" i="23"/>
  <c r="H2226" i="34"/>
  <c r="H776" i="23"/>
  <c r="C746" i="23"/>
  <c r="C749" i="23"/>
  <c r="I681" i="23"/>
  <c r="C2223" i="34"/>
  <c r="C504" i="29"/>
  <c r="C2295" i="34"/>
  <c r="C2293" i="34"/>
  <c r="C2303" i="34"/>
  <c r="C753" i="23"/>
  <c r="J2025" i="34"/>
  <c r="A2040" i="34"/>
  <c r="J1776" i="34"/>
  <c r="J1948" i="34"/>
  <c r="C769" i="23"/>
  <c r="C2236" i="34"/>
  <c r="A2302" i="34"/>
  <c r="I686" i="23"/>
  <c r="A2126" i="34"/>
  <c r="C2120" i="34"/>
  <c r="J1779" i="34"/>
  <c r="C2054" i="34"/>
  <c r="J441" i="29"/>
  <c r="I2020" i="34"/>
  <c r="C2124" i="34"/>
  <c r="C747" i="23"/>
  <c r="C2037" i="34"/>
  <c r="C2043" i="34"/>
  <c r="C2294" i="34"/>
  <c r="A2124" i="34"/>
  <c r="I2023" i="34"/>
  <c r="A504" i="29"/>
  <c r="A2051" i="34"/>
  <c r="H2042" i="34"/>
  <c r="H508" i="29"/>
  <c r="J686" i="23"/>
  <c r="I1912" i="34"/>
  <c r="H2299" i="34"/>
  <c r="A2038" i="34"/>
  <c r="H2035" i="34"/>
  <c r="I536" i="28"/>
  <c r="F535" i="28"/>
  <c r="H509" i="29"/>
  <c r="I469" i="29"/>
  <c r="I458" i="29"/>
  <c r="I2022" i="34"/>
  <c r="F597" i="25"/>
  <c r="H2039" i="34"/>
  <c r="I1843" i="34"/>
  <c r="C2301" i="34"/>
  <c r="H505" i="29"/>
  <c r="A773" i="23"/>
  <c r="I684" i="23"/>
  <c r="A2296" i="34"/>
  <c r="J438" i="29"/>
  <c r="A2294" i="34"/>
  <c r="C506" i="29"/>
  <c r="I456" i="29"/>
  <c r="I517" i="29"/>
  <c r="J2021" i="34"/>
  <c r="H2121" i="34"/>
  <c r="B598" i="25"/>
  <c r="A507" i="29"/>
  <c r="J679" i="23"/>
  <c r="I1849" i="34"/>
  <c r="I455" i="29"/>
  <c r="C2296" i="34"/>
  <c r="C2040" i="34"/>
  <c r="I677" i="23"/>
  <c r="C2036" i="34"/>
  <c r="H2297" i="34"/>
  <c r="J2028" i="34"/>
  <c r="I2021" i="34"/>
  <c r="C518" i="29"/>
  <c r="I683" i="23"/>
  <c r="C2292" i="34"/>
  <c r="A780" i="23"/>
  <c r="J1774" i="34"/>
  <c r="C2304" i="34"/>
  <c r="A771" i="23"/>
  <c r="C2226" i="34"/>
  <c r="H778" i="23"/>
  <c r="F428" i="29"/>
  <c r="C2042" i="34"/>
  <c r="I679" i="23"/>
  <c r="E536" i="28"/>
  <c r="C2230" i="34"/>
  <c r="C507" i="29"/>
  <c r="C2055" i="34"/>
  <c r="I1845" i="34"/>
  <c r="C748" i="23"/>
  <c r="A2042" i="34"/>
  <c r="H504" i="29"/>
  <c r="I1846" i="34"/>
  <c r="C773" i="23"/>
  <c r="I518" i="29"/>
  <c r="J687" i="23"/>
  <c r="A2121" i="34"/>
  <c r="C2038" i="34"/>
  <c r="C2121" i="34"/>
  <c r="J2026" i="34"/>
  <c r="H2123" i="34"/>
  <c r="A2039" i="34"/>
  <c r="C778" i="23"/>
  <c r="C2300" i="34"/>
  <c r="C647" i="23"/>
  <c r="J680" i="23"/>
  <c r="J1775" i="34"/>
  <c r="H2053" i="34"/>
  <c r="I689" i="23"/>
  <c r="I454" i="29"/>
  <c r="I2019" i="34"/>
  <c r="A2303" i="34"/>
  <c r="J685" i="23"/>
  <c r="M598" i="25"/>
  <c r="A2119" i="34"/>
  <c r="H2054" i="34"/>
  <c r="J681" i="23"/>
  <c r="H2041" i="34"/>
  <c r="I452" i="29"/>
  <c r="F647" i="23"/>
  <c r="C775" i="23"/>
  <c r="I688" i="23"/>
  <c r="J1777" i="34"/>
  <c r="H2036" i="34"/>
  <c r="J658" i="23"/>
  <c r="J2018" i="34"/>
  <c r="I2017" i="34"/>
  <c r="AL34" i="27"/>
  <c r="C2299" i="34"/>
  <c r="C2122" i="34"/>
  <c r="A2292" i="34"/>
  <c r="J436" i="29"/>
  <c r="I2018" i="34"/>
  <c r="C2302" i="34"/>
  <c r="A506" i="29"/>
  <c r="J1952" i="34"/>
  <c r="C2050" i="34"/>
  <c r="C503" i="29"/>
  <c r="C2235" i="34"/>
  <c r="A2052" i="34"/>
  <c r="C508" i="29"/>
  <c r="C776" i="23"/>
  <c r="C2056" i="34"/>
  <c r="C509" i="29"/>
  <c r="F395" i="29"/>
  <c r="C2298" i="34"/>
  <c r="J442" i="29"/>
  <c r="H2043" i="34"/>
  <c r="A2299" i="34"/>
  <c r="A2123" i="34"/>
  <c r="I1847" i="34"/>
  <c r="C836" i="23"/>
  <c r="H749" i="23"/>
  <c r="C780" i="23"/>
  <c r="C835" i="23"/>
  <c r="C2224" i="34"/>
  <c r="J689" i="23"/>
  <c r="A522" i="29"/>
  <c r="H2037" i="34"/>
  <c r="H506" i="29"/>
  <c r="I835" i="23"/>
  <c r="I1844" i="34"/>
  <c r="I836" i="23"/>
  <c r="I685" i="23"/>
  <c r="C517" i="29"/>
  <c r="C771" i="23"/>
  <c r="C2041" i="34"/>
  <c r="C505" i="29"/>
  <c r="I682" i="23"/>
  <c r="I678" i="23"/>
  <c r="B395" i="29"/>
  <c r="H2056" i="34"/>
  <c r="A2043" i="34"/>
  <c r="J655" i="23"/>
  <c r="J2023" i="34"/>
  <c r="A779" i="23"/>
  <c r="C510" i="29"/>
  <c r="J1951" i="34"/>
  <c r="I2027" i="34"/>
  <c r="I2024" i="34"/>
  <c r="J435" i="29"/>
  <c r="A769" i="23"/>
  <c r="I680" i="23"/>
  <c r="J2017" i="34"/>
  <c r="A2035" i="34"/>
  <c r="J656" i="23"/>
  <c r="C2052" i="34"/>
  <c r="C2039" i="34"/>
  <c r="H2044" i="34"/>
  <c r="C770" i="23"/>
  <c r="C2051" i="34"/>
  <c r="J440" i="29"/>
  <c r="H2292" i="34"/>
  <c r="A2125" i="34"/>
  <c r="I1848" i="34"/>
  <c r="J683" i="23"/>
  <c r="A2036" i="34"/>
  <c r="I2026" i="34"/>
  <c r="C758" i="23"/>
  <c r="I598" i="25"/>
  <c r="H503" i="29"/>
  <c r="B536" i="28"/>
  <c r="I1850" i="34"/>
  <c r="C2297" i="34"/>
  <c r="H2040" i="34"/>
  <c r="H780" i="23"/>
  <c r="A510" i="29"/>
  <c r="I457" i="29"/>
  <c r="J1780" i="34"/>
  <c r="J2019" i="34"/>
  <c r="J1781" i="34"/>
  <c r="H510" i="29"/>
  <c r="J2020" i="34"/>
  <c r="J1949" i="34"/>
  <c r="H2126" i="34"/>
  <c r="A509" i="29"/>
  <c r="A2041" i="34"/>
  <c r="J439" i="29"/>
  <c r="J2027" i="34"/>
  <c r="J682" i="23"/>
  <c r="F770" i="30" l="1"/>
  <c r="H2058" i="34"/>
  <c r="J1782" i="34"/>
  <c r="E1798" i="34" s="1"/>
  <c r="N460" i="28"/>
  <c r="V460" i="28" s="1"/>
  <c r="N457" i="28"/>
  <c r="V457" i="28" s="1"/>
  <c r="N456" i="28"/>
  <c r="V456" i="28" s="1"/>
  <c r="V444" i="28"/>
  <c r="N462" i="28"/>
  <c r="V462" i="28" s="1"/>
  <c r="X779" i="30"/>
  <c r="V648" i="30"/>
  <c r="E649" i="30" s="1"/>
  <c r="R734" i="30"/>
  <c r="K734" i="30" s="1"/>
  <c r="G734" i="30"/>
  <c r="R733" i="30"/>
  <c r="K733" i="30" s="1"/>
  <c r="G733" i="30"/>
  <c r="R732" i="30"/>
  <c r="K732" i="30" s="1"/>
  <c r="G732" i="30"/>
  <c r="M474" i="28"/>
  <c r="C1938" i="34"/>
  <c r="K716" i="30"/>
  <c r="M478" i="28"/>
  <c r="M671" i="30"/>
  <c r="X754" i="30"/>
  <c r="X740" i="30"/>
  <c r="W763" i="30"/>
  <c r="X756" i="30"/>
  <c r="L672" i="30"/>
  <c r="K703" i="30"/>
  <c r="M473" i="28"/>
  <c r="M479" i="28"/>
  <c r="X497" i="28"/>
  <c r="J667" i="23"/>
  <c r="J1961" i="34"/>
  <c r="C2005" i="34" s="1"/>
  <c r="X566" i="25"/>
  <c r="X571" i="25"/>
  <c r="H511" i="29"/>
  <c r="V659" i="30"/>
  <c r="V671" i="30" s="1"/>
  <c r="K480" i="28"/>
  <c r="K472" i="28"/>
  <c r="K717" i="30"/>
  <c r="M477" i="28"/>
  <c r="X510" i="28"/>
  <c r="X509" i="28"/>
  <c r="X512" i="28"/>
  <c r="X507" i="28"/>
  <c r="X508" i="28"/>
  <c r="X564" i="25"/>
  <c r="X513" i="28"/>
  <c r="X567" i="25"/>
  <c r="X565" i="25"/>
  <c r="X511" i="28"/>
  <c r="R727" i="30"/>
  <c r="K727" i="30" s="1"/>
  <c r="G727" i="30"/>
  <c r="R738" i="30"/>
  <c r="K738" i="30" s="1"/>
  <c r="G738" i="30"/>
  <c r="R730" i="30"/>
  <c r="K730" i="30" s="1"/>
  <c r="G730" i="30"/>
  <c r="G740" i="30"/>
  <c r="G726" i="30"/>
  <c r="R726" i="30"/>
  <c r="V726" i="30" s="1"/>
  <c r="G731" i="30"/>
  <c r="R731" i="30"/>
  <c r="K731" i="30" s="1"/>
  <c r="R737" i="30"/>
  <c r="K737" i="30" s="1"/>
  <c r="G737" i="30"/>
  <c r="G729" i="30"/>
  <c r="R729" i="30"/>
  <c r="K729" i="30" s="1"/>
  <c r="G728" i="30"/>
  <c r="R728" i="30"/>
  <c r="K728" i="30" s="1"/>
  <c r="R739" i="30"/>
  <c r="R735" i="30"/>
  <c r="K735" i="30" s="1"/>
  <c r="G735" i="30"/>
  <c r="R736" i="30"/>
  <c r="K736" i="30" s="1"/>
  <c r="G736" i="30"/>
  <c r="H2045" i="34"/>
  <c r="W514" i="28"/>
  <c r="X506" i="28"/>
  <c r="M475" i="28"/>
  <c r="M476" i="28"/>
  <c r="X555" i="25"/>
  <c r="V429" i="28"/>
  <c r="B430" i="28" s="1"/>
  <c r="I584" i="25"/>
  <c r="X569" i="25"/>
  <c r="I587" i="25"/>
  <c r="X780" i="30"/>
  <c r="I589" i="25"/>
  <c r="I528" i="28"/>
  <c r="X570" i="25"/>
  <c r="X572" i="25"/>
  <c r="I526" i="28"/>
  <c r="I524" i="28"/>
  <c r="X568" i="25"/>
  <c r="I583" i="25"/>
  <c r="I531" i="28"/>
  <c r="F531" i="28"/>
  <c r="X573" i="25"/>
  <c r="I523" i="28"/>
  <c r="F593" i="25"/>
  <c r="I593" i="25"/>
  <c r="X778" i="30"/>
  <c r="I525" i="28"/>
  <c r="I529" i="28"/>
  <c r="I530" i="28"/>
  <c r="G494" i="28"/>
  <c r="R494" i="28"/>
  <c r="K494" i="28" s="1"/>
  <c r="R489" i="28"/>
  <c r="G489" i="28"/>
  <c r="G497" i="28"/>
  <c r="R493" i="28"/>
  <c r="K493" i="28" s="1"/>
  <c r="G493" i="28"/>
  <c r="G491" i="28"/>
  <c r="R491" i="28"/>
  <c r="K491" i="28" s="1"/>
  <c r="R495" i="28"/>
  <c r="K495" i="28" s="1"/>
  <c r="G495" i="28"/>
  <c r="G490" i="28"/>
  <c r="R490" i="28"/>
  <c r="K490" i="28" s="1"/>
  <c r="G492" i="28"/>
  <c r="R492" i="28"/>
  <c r="K492" i="28" s="1"/>
  <c r="G496" i="28"/>
  <c r="R496" i="28"/>
  <c r="K496" i="28" s="1"/>
  <c r="I591" i="25"/>
  <c r="I592" i="25"/>
  <c r="I586" i="25"/>
  <c r="I590" i="25"/>
  <c r="I585" i="25"/>
  <c r="I527" i="28"/>
  <c r="H2237" i="34"/>
  <c r="F786" i="30"/>
  <c r="I786" i="30"/>
  <c r="I588" i="25"/>
  <c r="G613" i="25"/>
  <c r="V439" i="28"/>
  <c r="B635" i="25"/>
  <c r="G536" i="28"/>
  <c r="I549" i="28"/>
  <c r="K613" i="25"/>
  <c r="K549" i="28"/>
  <c r="D598" i="25"/>
  <c r="G549" i="28"/>
  <c r="M600" i="25"/>
  <c r="F538" i="28"/>
  <c r="A613" i="25"/>
  <c r="G598" i="25"/>
  <c r="K538" i="28"/>
  <c r="G600" i="25"/>
  <c r="B538" i="28"/>
  <c r="M549" i="28"/>
  <c r="D536" i="28"/>
  <c r="A548" i="28"/>
  <c r="B600" i="25"/>
  <c r="K598" i="25"/>
  <c r="N461" i="28"/>
  <c r="K536" i="28"/>
  <c r="I613" i="25"/>
  <c r="B569" i="28"/>
  <c r="D613" i="25"/>
  <c r="F600" i="25"/>
  <c r="A538" i="28"/>
  <c r="A549" i="28"/>
  <c r="N455" i="28"/>
  <c r="I538" i="28"/>
  <c r="A598" i="25"/>
  <c r="E413" i="28"/>
  <c r="B413" i="28"/>
  <c r="A536" i="28"/>
  <c r="N472" i="28"/>
  <c r="I600" i="25"/>
  <c r="A612" i="25"/>
  <c r="M538" i="28"/>
  <c r="A903" i="23"/>
  <c r="D549" i="28"/>
  <c r="G538" i="28"/>
  <c r="A600" i="25"/>
  <c r="N600" i="25"/>
  <c r="V438" i="28"/>
  <c r="M446" i="28"/>
  <c r="H447" i="28" s="1"/>
  <c r="L447" i="28"/>
  <c r="N538" i="28"/>
  <c r="N459" i="28"/>
  <c r="N458" i="28"/>
  <c r="K600" i="25"/>
  <c r="M613" i="25"/>
  <c r="J2030" i="34"/>
  <c r="V684" i="30"/>
  <c r="V691" i="30"/>
  <c r="V682" i="30"/>
  <c r="V687" i="30"/>
  <c r="V688" i="30"/>
  <c r="V685" i="30"/>
  <c r="AR41" i="27"/>
  <c r="V690" i="30"/>
  <c r="V681" i="30"/>
  <c r="V683" i="30"/>
  <c r="X772" i="30"/>
  <c r="W786" i="30"/>
  <c r="X777" i="30"/>
  <c r="X782" i="30"/>
  <c r="X775" i="30"/>
  <c r="J690" i="23"/>
  <c r="X783" i="30"/>
  <c r="X773" i="30"/>
  <c r="X784" i="30"/>
  <c r="X776" i="30"/>
  <c r="X774" i="30"/>
  <c r="X781" i="30"/>
  <c r="L695" i="30"/>
  <c r="V686" i="30"/>
  <c r="V689" i="30"/>
  <c r="M694" i="30"/>
  <c r="I801" i="30"/>
  <c r="F809" i="30"/>
  <c r="C813" i="30"/>
  <c r="A813" i="30"/>
  <c r="D813" i="30"/>
  <c r="E813" i="30"/>
  <c r="A671" i="26"/>
  <c r="A823" i="30"/>
  <c r="P773" i="30"/>
  <c r="A609" i="25"/>
  <c r="F818" i="30"/>
  <c r="U543" i="28"/>
  <c r="W530" i="28"/>
  <c r="S543" i="28"/>
  <c r="S824" i="30"/>
  <c r="P784" i="30"/>
  <c r="B806" i="30"/>
  <c r="U603" i="25"/>
  <c r="U831" i="30"/>
  <c r="S796" i="30"/>
  <c r="F607" i="25"/>
  <c r="A544" i="28"/>
  <c r="T796" i="30"/>
  <c r="B608" i="25"/>
  <c r="S609" i="25"/>
  <c r="P752" i="30"/>
  <c r="S807" i="30"/>
  <c r="F545" i="28"/>
  <c r="A819" i="30"/>
  <c r="F826" i="30"/>
  <c r="A603" i="25"/>
  <c r="U796" i="30"/>
  <c r="T818" i="30"/>
  <c r="U820" i="30"/>
  <c r="Q608" i="25"/>
  <c r="S610" i="25"/>
  <c r="Q603" i="25"/>
  <c r="S825" i="30"/>
  <c r="P749" i="30"/>
  <c r="F540" i="28"/>
  <c r="B547" i="28"/>
  <c r="T802" i="30"/>
  <c r="W591" i="25"/>
  <c r="U542" i="28"/>
  <c r="F606" i="25"/>
  <c r="P774" i="30"/>
  <c r="U540" i="28"/>
  <c r="Q545" i="28"/>
  <c r="F830" i="30"/>
  <c r="F603" i="25"/>
  <c r="P506" i="28"/>
  <c r="B824" i="30"/>
  <c r="T805" i="30"/>
  <c r="P757" i="30"/>
  <c r="P781" i="30"/>
  <c r="T797" i="30"/>
  <c r="T831" i="30"/>
  <c r="B544" i="28"/>
  <c r="W587" i="25"/>
  <c r="A820" i="30"/>
  <c r="F542" i="28"/>
  <c r="P776" i="30"/>
  <c r="W524" i="28"/>
  <c r="B543" i="28"/>
  <c r="W529" i="28"/>
  <c r="A607" i="25"/>
  <c r="U824" i="30"/>
  <c r="U607" i="25"/>
  <c r="B605" i="25"/>
  <c r="S607" i="25"/>
  <c r="W526" i="28"/>
  <c r="T820" i="30"/>
  <c r="P513" i="28"/>
  <c r="U541" i="28"/>
  <c r="S818" i="30"/>
  <c r="F829" i="30"/>
  <c r="F831" i="30"/>
  <c r="A808" i="30"/>
  <c r="W527" i="28"/>
  <c r="T819" i="30"/>
  <c r="F822" i="30"/>
  <c r="S547" i="28"/>
  <c r="A547" i="28"/>
  <c r="U827" i="30"/>
  <c r="T795" i="30"/>
  <c r="U829" i="30"/>
  <c r="A611" i="25"/>
  <c r="T807" i="30"/>
  <c r="A605" i="25"/>
  <c r="T607" i="25"/>
  <c r="U800" i="30"/>
  <c r="U808" i="30"/>
  <c r="W523" i="28"/>
  <c r="Q547" i="28"/>
  <c r="Q542" i="28"/>
  <c r="B818" i="30"/>
  <c r="T821" i="30"/>
  <c r="T603" i="25"/>
  <c r="U822" i="30"/>
  <c r="S820" i="30"/>
  <c r="U609" i="25"/>
  <c r="T611" i="25"/>
  <c r="A828" i="30"/>
  <c r="T543" i="28"/>
  <c r="S799" i="30"/>
  <c r="U611" i="25"/>
  <c r="S829" i="30"/>
  <c r="W586" i="25"/>
  <c r="S798" i="30"/>
  <c r="U818" i="30"/>
  <c r="T827" i="30"/>
  <c r="F605" i="25"/>
  <c r="P780" i="30"/>
  <c r="T602" i="25"/>
  <c r="B604" i="25"/>
  <c r="U821" i="30"/>
  <c r="F541" i="28"/>
  <c r="S795" i="30"/>
  <c r="B827" i="30"/>
  <c r="Q606" i="25"/>
  <c r="B821" i="30"/>
  <c r="U803" i="30"/>
  <c r="U807" i="30"/>
  <c r="U606" i="25"/>
  <c r="W590" i="25"/>
  <c r="S605" i="25"/>
  <c r="A545" i="28"/>
  <c r="P762" i="30"/>
  <c r="M762" i="30" s="1"/>
  <c r="N762" i="30" s="1"/>
  <c r="B607" i="25"/>
  <c r="U610" i="25"/>
  <c r="T799" i="30"/>
  <c r="A830" i="30"/>
  <c r="P507" i="28"/>
  <c r="B803" i="30"/>
  <c r="T541" i="28"/>
  <c r="B822" i="30"/>
  <c r="S828" i="30"/>
  <c r="B542" i="28"/>
  <c r="U806" i="30"/>
  <c r="S546" i="28"/>
  <c r="P778" i="30"/>
  <c r="S804" i="30"/>
  <c r="Q541" i="28"/>
  <c r="F543" i="28"/>
  <c r="T546" i="28"/>
  <c r="A546" i="28"/>
  <c r="F546" i="28"/>
  <c r="A602" i="25"/>
  <c r="Q540" i="28"/>
  <c r="T808" i="30"/>
  <c r="B611" i="25"/>
  <c r="T609" i="25"/>
  <c r="U547" i="28"/>
  <c r="B606" i="25"/>
  <c r="F544" i="28"/>
  <c r="W592" i="25"/>
  <c r="A608" i="25"/>
  <c r="U608" i="25"/>
  <c r="T825" i="30"/>
  <c r="U804" i="30"/>
  <c r="S823" i="30"/>
  <c r="B830" i="30"/>
  <c r="S604" i="25"/>
  <c r="A825" i="30"/>
  <c r="Q602" i="25"/>
  <c r="T828" i="30"/>
  <c r="T804" i="30"/>
  <c r="P508" i="28"/>
  <c r="U802" i="30"/>
  <c r="S822" i="30"/>
  <c r="B546" i="28"/>
  <c r="B829" i="30"/>
  <c r="P777" i="30"/>
  <c r="A831" i="30"/>
  <c r="F819" i="30"/>
  <c r="P785" i="30"/>
  <c r="M785" i="30" s="1"/>
  <c r="N785" i="30" s="1"/>
  <c r="S819" i="30"/>
  <c r="B541" i="28"/>
  <c r="F823" i="30"/>
  <c r="Q604" i="25"/>
  <c r="F820" i="30"/>
  <c r="B545" i="28"/>
  <c r="B609" i="25"/>
  <c r="W585" i="25"/>
  <c r="S541" i="28"/>
  <c r="U828" i="30"/>
  <c r="F602" i="25"/>
  <c r="A829" i="30"/>
  <c r="F827" i="30"/>
  <c r="S801" i="30"/>
  <c r="A543" i="28"/>
  <c r="U545" i="28"/>
  <c r="B802" i="30"/>
  <c r="F825" i="30"/>
  <c r="P758" i="30"/>
  <c r="B799" i="30"/>
  <c r="F821" i="30"/>
  <c r="A540" i="28"/>
  <c r="P751" i="30"/>
  <c r="B819" i="30"/>
  <c r="P772" i="30"/>
  <c r="T798" i="30"/>
  <c r="S606" i="25"/>
  <c r="T545" i="28"/>
  <c r="F604" i="25"/>
  <c r="S545" i="28"/>
  <c r="A818" i="30"/>
  <c r="Q546" i="28"/>
  <c r="S806" i="30"/>
  <c r="A824" i="30"/>
  <c r="T608" i="25"/>
  <c r="S826" i="30"/>
  <c r="A805" i="30"/>
  <c r="F547" i="28"/>
  <c r="T605" i="25"/>
  <c r="B831" i="30"/>
  <c r="U826" i="30"/>
  <c r="W525" i="28"/>
  <c r="Q611" i="25"/>
  <c r="U801" i="30"/>
  <c r="P754" i="30"/>
  <c r="S831" i="30"/>
  <c r="A798" i="30"/>
  <c r="Q610" i="25"/>
  <c r="W584" i="25"/>
  <c r="T547" i="28"/>
  <c r="F609" i="25"/>
  <c r="U544" i="28"/>
  <c r="A827" i="30"/>
  <c r="P782" i="30"/>
  <c r="S603" i="25"/>
  <c r="W588" i="25"/>
  <c r="B540" i="28"/>
  <c r="Q543" i="28"/>
  <c r="A807" i="30"/>
  <c r="P761" i="30"/>
  <c r="A604" i="25"/>
  <c r="T604" i="25"/>
  <c r="P509" i="28"/>
  <c r="Q544" i="28"/>
  <c r="T800" i="30"/>
  <c r="W589" i="25"/>
  <c r="U830" i="30"/>
  <c r="P510" i="28"/>
  <c r="B610" i="25"/>
  <c r="S608" i="25"/>
  <c r="U805" i="30"/>
  <c r="P759" i="30"/>
  <c r="Q609" i="25"/>
  <c r="P753" i="30"/>
  <c r="T806" i="30"/>
  <c r="T542" i="28"/>
  <c r="U604" i="25"/>
  <c r="T829" i="30"/>
  <c r="T606" i="25"/>
  <c r="A606" i="25"/>
  <c r="S800" i="30"/>
  <c r="W583" i="25"/>
  <c r="A822" i="30"/>
  <c r="S803" i="30"/>
  <c r="U602" i="25"/>
  <c r="B603" i="25"/>
  <c r="T544" i="28"/>
  <c r="S808" i="30"/>
  <c r="S602" i="25"/>
  <c r="U823" i="30"/>
  <c r="T610" i="25"/>
  <c r="U797" i="30"/>
  <c r="P511" i="28"/>
  <c r="B804" i="30"/>
  <c r="S542" i="28"/>
  <c r="B801" i="30"/>
  <c r="F610" i="25"/>
  <c r="P750" i="30"/>
  <c r="P512" i="28"/>
  <c r="U819" i="30"/>
  <c r="P760" i="30"/>
  <c r="F608" i="25"/>
  <c r="A542" i="28"/>
  <c r="S611" i="25"/>
  <c r="P755" i="30"/>
  <c r="F824" i="30"/>
  <c r="B808" i="30"/>
  <c r="Q607" i="25"/>
  <c r="F828" i="30"/>
  <c r="F611" i="25"/>
  <c r="T824" i="30"/>
  <c r="T540" i="28"/>
  <c r="P779" i="30"/>
  <c r="Q605" i="25"/>
  <c r="A610" i="25"/>
  <c r="T826" i="30"/>
  <c r="T822" i="30"/>
  <c r="S544" i="28"/>
  <c r="A541" i="28"/>
  <c r="P783" i="30"/>
  <c r="T830" i="30"/>
  <c r="A821" i="30"/>
  <c r="B602" i="25"/>
  <c r="A799" i="30"/>
  <c r="S830" i="30"/>
  <c r="P775" i="30"/>
  <c r="P756" i="30"/>
  <c r="T803" i="30"/>
  <c r="U605" i="25"/>
  <c r="B807" i="30"/>
  <c r="A826" i="30"/>
  <c r="S540" i="28"/>
  <c r="U546" i="28"/>
  <c r="W528" i="28"/>
  <c r="J2305" i="34"/>
  <c r="J2236" i="34"/>
  <c r="I702" i="23"/>
  <c r="C793" i="23"/>
  <c r="C525" i="29"/>
  <c r="J705" i="23"/>
  <c r="H2371" i="34"/>
  <c r="A2106" i="34"/>
  <c r="C2109" i="34"/>
  <c r="H804" i="23"/>
  <c r="C794" i="23"/>
  <c r="C2371" i="34"/>
  <c r="H2109" i="34"/>
  <c r="A2295" i="34"/>
  <c r="A772" i="23"/>
  <c r="A2366" i="34"/>
  <c r="H2301" i="34"/>
  <c r="C520" i="29"/>
  <c r="A803" i="23"/>
  <c r="H2361" i="34"/>
  <c r="C535" i="29"/>
  <c r="A2104" i="34"/>
  <c r="J2096" i="34"/>
  <c r="I2085" i="34"/>
  <c r="C2110" i="34"/>
  <c r="I2095" i="34"/>
  <c r="A775" i="23"/>
  <c r="C524" i="29"/>
  <c r="J711" i="23"/>
  <c r="H770" i="23"/>
  <c r="H2111" i="34"/>
  <c r="H2364" i="34"/>
  <c r="I2029" i="34"/>
  <c r="J1843" i="34"/>
  <c r="C534" i="29"/>
  <c r="H2374" i="34"/>
  <c r="J1850" i="34"/>
  <c r="I1960" i="34"/>
  <c r="I712" i="23"/>
  <c r="C445" i="29"/>
  <c r="H526" i="29"/>
  <c r="C2112" i="34"/>
  <c r="J2090" i="34"/>
  <c r="H2363" i="34"/>
  <c r="A792" i="23"/>
  <c r="I2094" i="34"/>
  <c r="J1847" i="34"/>
  <c r="H2304" i="34"/>
  <c r="H520" i="29"/>
  <c r="J712" i="23"/>
  <c r="A2195" i="34"/>
  <c r="C2105" i="34"/>
  <c r="C521" i="29"/>
  <c r="H522" i="29"/>
  <c r="A2368" i="34"/>
  <c r="A2304" i="34"/>
  <c r="C526" i="29"/>
  <c r="A799" i="23"/>
  <c r="I703" i="23"/>
  <c r="I708" i="23"/>
  <c r="I535" i="29"/>
  <c r="B429" i="29"/>
  <c r="H2373" i="34"/>
  <c r="I2086" i="34"/>
  <c r="J2091" i="34"/>
  <c r="C2108" i="34"/>
  <c r="I701" i="23"/>
  <c r="F412" i="29"/>
  <c r="E553" i="28"/>
  <c r="J469" i="29"/>
  <c r="H2106" i="34"/>
  <c r="I858" i="23"/>
  <c r="H799" i="23"/>
  <c r="J1912" i="34"/>
  <c r="H2120" i="34"/>
  <c r="I2092" i="34"/>
  <c r="A2362" i="34"/>
  <c r="H2105" i="34"/>
  <c r="C858" i="23"/>
  <c r="I705" i="23"/>
  <c r="A523" i="29"/>
  <c r="I711" i="23"/>
  <c r="H794" i="23"/>
  <c r="F445" i="29"/>
  <c r="H525" i="29"/>
  <c r="A2293" i="34"/>
  <c r="H803" i="23"/>
  <c r="I700" i="23"/>
  <c r="J457" i="29"/>
  <c r="J1846" i="34"/>
  <c r="J2097" i="34"/>
  <c r="A776" i="23"/>
  <c r="J1845" i="34"/>
  <c r="I472" i="29"/>
  <c r="H2367" i="34"/>
  <c r="C2361" i="34"/>
  <c r="F616" i="25"/>
  <c r="A2110" i="34"/>
  <c r="H2124" i="34"/>
  <c r="A2105" i="34"/>
  <c r="H2295" i="34"/>
  <c r="A2111" i="34"/>
  <c r="H769" i="23"/>
  <c r="I2096" i="34"/>
  <c r="H2372" i="34"/>
  <c r="C797" i="23"/>
  <c r="H2368" i="34"/>
  <c r="C2188" i="34"/>
  <c r="I617" i="25"/>
  <c r="I470" i="29"/>
  <c r="I704" i="23"/>
  <c r="J452" i="29"/>
  <c r="A527" i="29"/>
  <c r="A525" i="29"/>
  <c r="I2093" i="34"/>
  <c r="H797" i="23"/>
  <c r="A793" i="23"/>
  <c r="C522" i="29"/>
  <c r="C2126" i="34"/>
  <c r="M553" i="28"/>
  <c r="H2191" i="34"/>
  <c r="H795" i="23"/>
  <c r="J459" i="29"/>
  <c r="A524" i="29"/>
  <c r="C802" i="23"/>
  <c r="I473" i="29"/>
  <c r="C2104" i="34"/>
  <c r="I859" i="23"/>
  <c r="H801" i="23"/>
  <c r="C2362" i="34"/>
  <c r="H2300" i="34"/>
  <c r="H792" i="23"/>
  <c r="H796" i="23"/>
  <c r="H781" i="23"/>
  <c r="A2113" i="34"/>
  <c r="A2300" i="34"/>
  <c r="A2109" i="34"/>
  <c r="H2362" i="34"/>
  <c r="A2369" i="34"/>
  <c r="I2088" i="34"/>
  <c r="A774" i="23"/>
  <c r="H2107" i="34"/>
  <c r="C2193" i="34"/>
  <c r="H2298" i="34"/>
  <c r="H777" i="23"/>
  <c r="B553" i="28"/>
  <c r="I2087" i="34"/>
  <c r="C2189" i="34"/>
  <c r="H2119" i="34"/>
  <c r="J1844" i="34"/>
  <c r="A794" i="23"/>
  <c r="I707" i="23"/>
  <c r="C670" i="23"/>
  <c r="F648" i="23"/>
  <c r="H800" i="23"/>
  <c r="A801" i="23"/>
  <c r="H2293" i="34"/>
  <c r="I1916" i="34"/>
  <c r="F552" i="28"/>
  <c r="C795" i="23"/>
  <c r="H793" i="23"/>
  <c r="I1914" i="34"/>
  <c r="I1919" i="34"/>
  <c r="C2111" i="34"/>
  <c r="A798" i="23"/>
  <c r="H2369" i="34"/>
  <c r="C2190" i="34"/>
  <c r="H2193" i="34"/>
  <c r="A2122" i="34"/>
  <c r="A781" i="23"/>
  <c r="A520" i="29"/>
  <c r="H2189" i="34"/>
  <c r="B412" i="29"/>
  <c r="I2090" i="34"/>
  <c r="H771" i="23"/>
  <c r="H2296" i="34"/>
  <c r="A2120" i="34"/>
  <c r="J706" i="23"/>
  <c r="C2364" i="34"/>
  <c r="H2122" i="34"/>
  <c r="H802" i="23"/>
  <c r="C2363" i="34"/>
  <c r="E617" i="25"/>
  <c r="H2113" i="34"/>
  <c r="H2370" i="34"/>
  <c r="H2110" i="34"/>
  <c r="A2107" i="34"/>
  <c r="A2370" i="34"/>
  <c r="A778" i="23"/>
  <c r="C523" i="29"/>
  <c r="I1917" i="34"/>
  <c r="I474" i="29"/>
  <c r="A526" i="29"/>
  <c r="I475" i="29"/>
  <c r="H521" i="29"/>
  <c r="C456" i="33"/>
  <c r="B617" i="25"/>
  <c r="C527" i="29"/>
  <c r="J2089" i="34"/>
  <c r="C2125" i="34"/>
  <c r="I553" i="28"/>
  <c r="J704" i="23"/>
  <c r="J454" i="29"/>
  <c r="A2305" i="34"/>
  <c r="A800" i="23"/>
  <c r="A2367" i="34"/>
  <c r="H2366" i="34"/>
  <c r="A2191" i="34"/>
  <c r="H773" i="23"/>
  <c r="H523" i="29"/>
  <c r="C2123" i="34"/>
  <c r="I534" i="29"/>
  <c r="H775" i="23"/>
  <c r="H772" i="23"/>
  <c r="H527" i="29"/>
  <c r="I2091" i="34"/>
  <c r="H779" i="23"/>
  <c r="I706" i="23"/>
  <c r="J456" i="29"/>
  <c r="H2294" i="34"/>
  <c r="H2305" i="34"/>
  <c r="J458" i="29"/>
  <c r="H2303" i="34"/>
  <c r="A770" i="23"/>
  <c r="C792" i="23"/>
  <c r="J453" i="29"/>
  <c r="I471" i="29"/>
  <c r="C859" i="23"/>
  <c r="I1913" i="34"/>
  <c r="I710" i="23"/>
  <c r="H2365" i="34"/>
  <c r="I1915" i="34"/>
  <c r="AL35" i="27"/>
  <c r="C2106" i="34"/>
  <c r="H2112" i="34"/>
  <c r="I2089" i="34"/>
  <c r="H2302" i="34"/>
  <c r="H2194" i="34"/>
  <c r="A2372" i="34"/>
  <c r="A2361" i="34"/>
  <c r="J1848" i="34"/>
  <c r="I476" i="29"/>
  <c r="M617" i="25"/>
  <c r="C2119" i="34"/>
  <c r="J455" i="29"/>
  <c r="I709" i="23"/>
  <c r="H2104" i="34"/>
  <c r="A521" i="29"/>
  <c r="A2301" i="34"/>
  <c r="H2108" i="34"/>
  <c r="A2297" i="34"/>
  <c r="I2097" i="34"/>
  <c r="C2113" i="34"/>
  <c r="A2108" i="34"/>
  <c r="A2298" i="34"/>
  <c r="C693" i="23"/>
  <c r="H2125" i="34"/>
  <c r="I1918" i="34"/>
  <c r="C2107" i="34"/>
  <c r="H524" i="29"/>
  <c r="H774" i="23"/>
  <c r="C2366" i="34"/>
  <c r="A777" i="23"/>
  <c r="A2112" i="34"/>
  <c r="A797" i="23"/>
  <c r="A2189" i="34"/>
  <c r="J1849" i="34"/>
  <c r="H798" i="23"/>
  <c r="F793" i="30" l="1"/>
  <c r="H2127" i="34"/>
  <c r="J1851" i="34"/>
  <c r="E1867" i="34" s="1"/>
  <c r="N473" i="28"/>
  <c r="V473" i="28" s="1"/>
  <c r="N477" i="28"/>
  <c r="V477" i="28" s="1"/>
  <c r="N474" i="28"/>
  <c r="V474" i="28" s="1"/>
  <c r="B649" i="30"/>
  <c r="V734" i="30"/>
  <c r="R779" i="30"/>
  <c r="K779" i="30" s="1"/>
  <c r="G779" i="30"/>
  <c r="R780" i="30"/>
  <c r="K780" i="30" s="1"/>
  <c r="G780" i="30"/>
  <c r="R778" i="30"/>
  <c r="K778" i="30" s="1"/>
  <c r="G778" i="30"/>
  <c r="B672" i="30"/>
  <c r="E672" i="30"/>
  <c r="V709" i="30"/>
  <c r="K739" i="30"/>
  <c r="X763" i="30"/>
  <c r="N478" i="28"/>
  <c r="H695" i="30"/>
  <c r="V713" i="30"/>
  <c r="V706" i="30"/>
  <c r="V704" i="30"/>
  <c r="H672" i="30"/>
  <c r="K726" i="30"/>
  <c r="C2007" i="34"/>
  <c r="E430" i="28"/>
  <c r="X585" i="25"/>
  <c r="X592" i="25"/>
  <c r="X514" i="28"/>
  <c r="X527" i="28"/>
  <c r="X524" i="28"/>
  <c r="X589" i="25"/>
  <c r="G758" i="30"/>
  <c r="R758" i="30"/>
  <c r="K758" i="30" s="1"/>
  <c r="G755" i="30"/>
  <c r="R755" i="30"/>
  <c r="K755" i="30" s="1"/>
  <c r="R754" i="30"/>
  <c r="K754" i="30" s="1"/>
  <c r="G754" i="30"/>
  <c r="G750" i="30"/>
  <c r="R750" i="30"/>
  <c r="K750" i="30" s="1"/>
  <c r="G761" i="30"/>
  <c r="R761" i="30"/>
  <c r="K761" i="30" s="1"/>
  <c r="R756" i="30"/>
  <c r="K756" i="30" s="1"/>
  <c r="G756" i="30"/>
  <c r="R762" i="30"/>
  <c r="G752" i="30"/>
  <c r="R752" i="30"/>
  <c r="K752" i="30" s="1"/>
  <c r="G757" i="30"/>
  <c r="R757" i="30"/>
  <c r="K757" i="30" s="1"/>
  <c r="R759" i="30"/>
  <c r="K759" i="30" s="1"/>
  <c r="G759" i="30"/>
  <c r="G753" i="30"/>
  <c r="R753" i="30"/>
  <c r="K753" i="30" s="1"/>
  <c r="R760" i="30"/>
  <c r="K760" i="30" s="1"/>
  <c r="G760" i="30"/>
  <c r="G751" i="30"/>
  <c r="R751" i="30"/>
  <c r="K751" i="30" s="1"/>
  <c r="G749" i="30"/>
  <c r="G763" i="30"/>
  <c r="R749" i="30"/>
  <c r="V749" i="30" s="1"/>
  <c r="K740" i="30"/>
  <c r="N479" i="28"/>
  <c r="X590" i="25"/>
  <c r="H528" i="29"/>
  <c r="X591" i="25"/>
  <c r="X528" i="28"/>
  <c r="X587" i="25"/>
  <c r="X526" i="28"/>
  <c r="X583" i="25"/>
  <c r="X584" i="25"/>
  <c r="H2114" i="34"/>
  <c r="X588" i="25"/>
  <c r="G510" i="28"/>
  <c r="R510" i="28"/>
  <c r="K510" i="28" s="1"/>
  <c r="G512" i="28"/>
  <c r="R512" i="28"/>
  <c r="K512" i="28" s="1"/>
  <c r="G509" i="28"/>
  <c r="R509" i="28"/>
  <c r="K509" i="28" s="1"/>
  <c r="R507" i="28"/>
  <c r="K507" i="28" s="1"/>
  <c r="G507" i="28"/>
  <c r="R508" i="28"/>
  <c r="K508" i="28" s="1"/>
  <c r="G508" i="28"/>
  <c r="R506" i="28"/>
  <c r="M506" i="28" s="1"/>
  <c r="G506" i="28"/>
  <c r="G514" i="28"/>
  <c r="R513" i="28"/>
  <c r="K513" i="28" s="1"/>
  <c r="G513" i="28"/>
  <c r="R511" i="28"/>
  <c r="K511" i="28" s="1"/>
  <c r="G511" i="28"/>
  <c r="X525" i="28"/>
  <c r="X586" i="25"/>
  <c r="N476" i="28"/>
  <c r="N475" i="28"/>
  <c r="X574" i="25"/>
  <c r="V446" i="28"/>
  <c r="B447" i="28" s="1"/>
  <c r="M490" i="28"/>
  <c r="M491" i="28"/>
  <c r="I807" i="30"/>
  <c r="I809" i="30"/>
  <c r="I795" i="30"/>
  <c r="H2306" i="34"/>
  <c r="I540" i="28"/>
  <c r="I610" i="25"/>
  <c r="I804" i="30"/>
  <c r="I546" i="28"/>
  <c r="I603" i="25"/>
  <c r="I799" i="30"/>
  <c r="I802" i="30"/>
  <c r="X530" i="28"/>
  <c r="I796" i="30"/>
  <c r="I604" i="25"/>
  <c r="I611" i="25"/>
  <c r="I798" i="30"/>
  <c r="W531" i="28"/>
  <c r="X523" i="28"/>
  <c r="I609" i="25"/>
  <c r="I803" i="30"/>
  <c r="H2375" i="34"/>
  <c r="I607" i="25"/>
  <c r="I800" i="30"/>
  <c r="I544" i="28"/>
  <c r="F548" i="28"/>
  <c r="I548" i="28"/>
  <c r="I542" i="28"/>
  <c r="I608" i="25"/>
  <c r="J460" i="29"/>
  <c r="I606" i="25"/>
  <c r="I797" i="30"/>
  <c r="I602" i="25"/>
  <c r="I805" i="30"/>
  <c r="I806" i="30"/>
  <c r="X529" i="28"/>
  <c r="I605" i="25"/>
  <c r="F612" i="25"/>
  <c r="I612" i="25"/>
  <c r="I547" i="28"/>
  <c r="I543" i="28"/>
  <c r="I545" i="28"/>
  <c r="I808" i="30"/>
  <c r="I541" i="28"/>
  <c r="D566" i="28"/>
  <c r="A565" i="28"/>
  <c r="G566" i="28"/>
  <c r="D617" i="25"/>
  <c r="M495" i="28"/>
  <c r="A553" i="28"/>
  <c r="D553" i="28"/>
  <c r="K566" i="28"/>
  <c r="M632" i="25"/>
  <c r="M566" i="28"/>
  <c r="K632" i="25"/>
  <c r="I566" i="28"/>
  <c r="G553" i="28"/>
  <c r="A617" i="25"/>
  <c r="K619" i="25"/>
  <c r="I555" i="28"/>
  <c r="M493" i="28"/>
  <c r="B555" i="28"/>
  <c r="G619" i="25"/>
  <c r="V455" i="28"/>
  <c r="L464" i="28"/>
  <c r="M463" i="28"/>
  <c r="H464" i="28" s="1"/>
  <c r="V458" i="28"/>
  <c r="B654" i="25"/>
  <c r="M489" i="28"/>
  <c r="K489" i="28"/>
  <c r="K497" i="28"/>
  <c r="M494" i="28"/>
  <c r="V459" i="28"/>
  <c r="I632" i="25"/>
  <c r="A566" i="28"/>
  <c r="A555" i="28"/>
  <c r="K553" i="28"/>
  <c r="K555" i="28"/>
  <c r="N555" i="28"/>
  <c r="G617" i="25"/>
  <c r="A926" i="23"/>
  <c r="A632" i="25"/>
  <c r="M555" i="28"/>
  <c r="M496" i="28"/>
  <c r="V461" i="28"/>
  <c r="A631" i="25"/>
  <c r="K617" i="25"/>
  <c r="N619" i="25"/>
  <c r="F619" i="25"/>
  <c r="A619" i="25"/>
  <c r="D632" i="25"/>
  <c r="M492" i="28"/>
  <c r="B619" i="25"/>
  <c r="F555" i="28"/>
  <c r="G632" i="25"/>
  <c r="G555" i="28"/>
  <c r="I619" i="25"/>
  <c r="M619" i="25"/>
  <c r="V472" i="28"/>
  <c r="B586" i="28"/>
  <c r="V714" i="30"/>
  <c r="V707" i="30"/>
  <c r="V708" i="30"/>
  <c r="V705" i="30"/>
  <c r="C2074" i="34"/>
  <c r="C2076" i="34"/>
  <c r="AR42" i="27"/>
  <c r="V694" i="30"/>
  <c r="X786" i="30"/>
  <c r="R783" i="30"/>
  <c r="K783" i="30" s="1"/>
  <c r="G783" i="30"/>
  <c r="R776" i="30"/>
  <c r="K776" i="30" s="1"/>
  <c r="G776" i="30"/>
  <c r="R772" i="30"/>
  <c r="G786" i="30"/>
  <c r="G772" i="30"/>
  <c r="R777" i="30"/>
  <c r="K777" i="30" s="1"/>
  <c r="G777" i="30"/>
  <c r="R773" i="30"/>
  <c r="K773" i="30" s="1"/>
  <c r="G773" i="30"/>
  <c r="R782" i="30"/>
  <c r="K782" i="30" s="1"/>
  <c r="G782" i="30"/>
  <c r="G775" i="30"/>
  <c r="R775" i="30"/>
  <c r="K775" i="30" s="1"/>
  <c r="G781" i="30"/>
  <c r="R781" i="30"/>
  <c r="K781" i="30" s="1"/>
  <c r="G774" i="30"/>
  <c r="R774" i="30"/>
  <c r="K774" i="30" s="1"/>
  <c r="G784" i="30"/>
  <c r="R784" i="30"/>
  <c r="K784" i="30" s="1"/>
  <c r="R785" i="30"/>
  <c r="V712" i="30"/>
  <c r="I826" i="30"/>
  <c r="I822" i="30"/>
  <c r="I827" i="30"/>
  <c r="I830" i="30"/>
  <c r="I818" i="30"/>
  <c r="I831" i="30"/>
  <c r="I819" i="30"/>
  <c r="I829" i="30"/>
  <c r="I825" i="30"/>
  <c r="I821" i="30"/>
  <c r="I828" i="30"/>
  <c r="I824" i="30"/>
  <c r="I820" i="30"/>
  <c r="F832" i="30"/>
  <c r="I832" i="30"/>
  <c r="A836" i="30"/>
  <c r="C836" i="30"/>
  <c r="E836" i="30"/>
  <c r="D836" i="30"/>
  <c r="A690" i="26"/>
  <c r="W830" i="30"/>
  <c r="A843" i="30"/>
  <c r="S629" i="25"/>
  <c r="A560" i="28"/>
  <c r="T850" i="30"/>
  <c r="F851" i="30"/>
  <c r="W828" i="30"/>
  <c r="U843" i="30"/>
  <c r="A621" i="25"/>
  <c r="W802" i="30"/>
  <c r="Q621" i="25"/>
  <c r="W796" i="30"/>
  <c r="B559" i="28"/>
  <c r="S848" i="30"/>
  <c r="A852" i="30"/>
  <c r="T849" i="30"/>
  <c r="F626" i="25"/>
  <c r="W801" i="30"/>
  <c r="W797" i="30"/>
  <c r="W799" i="30"/>
  <c r="A563" i="28"/>
  <c r="F849" i="30"/>
  <c r="F558" i="28"/>
  <c r="A562" i="28"/>
  <c r="S628" i="25"/>
  <c r="W605" i="25"/>
  <c r="F853" i="30"/>
  <c r="F848" i="30"/>
  <c r="W818" i="30"/>
  <c r="W826" i="30"/>
  <c r="B557" i="28"/>
  <c r="T558" i="28"/>
  <c r="W824" i="30"/>
  <c r="W822" i="30"/>
  <c r="A625" i="25"/>
  <c r="F621" i="25"/>
  <c r="Q558" i="28"/>
  <c r="W604" i="25"/>
  <c r="A854" i="30"/>
  <c r="T846" i="30"/>
  <c r="Q628" i="25"/>
  <c r="A841" i="30"/>
  <c r="P529" i="28"/>
  <c r="Q625" i="25"/>
  <c r="W607" i="25"/>
  <c r="W798" i="30"/>
  <c r="A630" i="25"/>
  <c r="U852" i="30"/>
  <c r="S563" i="28"/>
  <c r="A564" i="28"/>
  <c r="W544" i="28"/>
  <c r="W820" i="30"/>
  <c r="S624" i="25"/>
  <c r="W803" i="30"/>
  <c r="F629" i="25"/>
  <c r="Q622" i="25"/>
  <c r="A842" i="30"/>
  <c r="U825" i="30"/>
  <c r="T626" i="25"/>
  <c r="F628" i="25"/>
  <c r="B848" i="30"/>
  <c r="S841" i="30"/>
  <c r="U627" i="25"/>
  <c r="S821" i="30"/>
  <c r="S561" i="28"/>
  <c r="U626" i="25"/>
  <c r="Q562" i="28"/>
  <c r="W610" i="25"/>
  <c r="F561" i="28"/>
  <c r="T557" i="28"/>
  <c r="B845" i="30"/>
  <c r="A847" i="30"/>
  <c r="F630" i="25"/>
  <c r="U849" i="30"/>
  <c r="S559" i="28"/>
  <c r="Q630" i="25"/>
  <c r="U847" i="30"/>
  <c r="Q564" i="28"/>
  <c r="W602" i="25"/>
  <c r="A626" i="25"/>
  <c r="B842" i="30"/>
  <c r="A851" i="30"/>
  <c r="U557" i="28"/>
  <c r="U628" i="25"/>
  <c r="F625" i="25"/>
  <c r="Q563" i="28"/>
  <c r="A849" i="30"/>
  <c r="T624" i="25"/>
  <c r="B828" i="30"/>
  <c r="B630" i="25"/>
  <c r="U622" i="25"/>
  <c r="T823" i="30"/>
  <c r="U560" i="28"/>
  <c r="A624" i="25"/>
  <c r="B841" i="30"/>
  <c r="S851" i="30"/>
  <c r="Q626" i="25"/>
  <c r="W807" i="30"/>
  <c r="P523" i="28"/>
  <c r="F557" i="28"/>
  <c r="A623" i="25"/>
  <c r="W806" i="30"/>
  <c r="F846" i="30"/>
  <c r="T629" i="25"/>
  <c r="W603" i="25"/>
  <c r="W611" i="25"/>
  <c r="S626" i="25"/>
  <c r="W800" i="30"/>
  <c r="T625" i="25"/>
  <c r="U559" i="28"/>
  <c r="S854" i="30"/>
  <c r="A853" i="30"/>
  <c r="W819" i="30"/>
  <c r="Q624" i="25"/>
  <c r="W805" i="30"/>
  <c r="F564" i="28"/>
  <c r="A628" i="25"/>
  <c r="B627" i="25"/>
  <c r="T563" i="28"/>
  <c r="B561" i="28"/>
  <c r="U562" i="28"/>
  <c r="U561" i="28"/>
  <c r="S827" i="30"/>
  <c r="A848" i="30"/>
  <c r="S625" i="25"/>
  <c r="U844" i="30"/>
  <c r="W545" i="28"/>
  <c r="T561" i="28"/>
  <c r="W547" i="28"/>
  <c r="U558" i="28"/>
  <c r="B820" i="30"/>
  <c r="T848" i="30"/>
  <c r="F622" i="25"/>
  <c r="S623" i="25"/>
  <c r="B843" i="30"/>
  <c r="T852" i="30"/>
  <c r="S842" i="30"/>
  <c r="W541" i="28"/>
  <c r="P530" i="28"/>
  <c r="F847" i="30"/>
  <c r="F844" i="30"/>
  <c r="T627" i="25"/>
  <c r="B853" i="30"/>
  <c r="Q629" i="25"/>
  <c r="W542" i="28"/>
  <c r="B558" i="28"/>
  <c r="A561" i="28"/>
  <c r="S560" i="28"/>
  <c r="B629" i="25"/>
  <c r="T628" i="25"/>
  <c r="A557" i="28"/>
  <c r="B626" i="25"/>
  <c r="P525" i="28"/>
  <c r="U848" i="30"/>
  <c r="A559" i="28"/>
  <c r="S564" i="28"/>
  <c r="W804" i="30"/>
  <c r="T623" i="25"/>
  <c r="B563" i="28"/>
  <c r="T564" i="28"/>
  <c r="Q623" i="25"/>
  <c r="B621" i="25"/>
  <c r="B564" i="28"/>
  <c r="B826" i="30"/>
  <c r="S621" i="25"/>
  <c r="U630" i="25"/>
  <c r="T562" i="28"/>
  <c r="U845" i="30"/>
  <c r="U621" i="25"/>
  <c r="S845" i="30"/>
  <c r="B825" i="30"/>
  <c r="T842" i="30"/>
  <c r="B625" i="25"/>
  <c r="P527" i="28"/>
  <c r="P526" i="28"/>
  <c r="W609" i="25"/>
  <c r="S852" i="30"/>
  <c r="W543" i="28"/>
  <c r="U625" i="25"/>
  <c r="A622" i="25"/>
  <c r="S630" i="25"/>
  <c r="A845" i="30"/>
  <c r="B560" i="28"/>
  <c r="B844" i="30"/>
  <c r="P524" i="28"/>
  <c r="F845" i="30"/>
  <c r="Q561" i="28"/>
  <c r="Q559" i="28"/>
  <c r="Q560" i="28"/>
  <c r="S622" i="25"/>
  <c r="W795" i="30"/>
  <c r="W829" i="30"/>
  <c r="T560" i="28"/>
  <c r="P528" i="28"/>
  <c r="T559" i="28"/>
  <c r="A629" i="25"/>
  <c r="W608" i="25"/>
  <c r="B854" i="30"/>
  <c r="T621" i="25"/>
  <c r="A558" i="28"/>
  <c r="U841" i="30"/>
  <c r="F563" i="28"/>
  <c r="U853" i="30"/>
  <c r="B623" i="25"/>
  <c r="A844" i="30"/>
  <c r="B562" i="28"/>
  <c r="B624" i="25"/>
  <c r="S849" i="30"/>
  <c r="Q627" i="25"/>
  <c r="B849" i="30"/>
  <c r="T622" i="25"/>
  <c r="Q557" i="28"/>
  <c r="B846" i="30"/>
  <c r="F624" i="25"/>
  <c r="F627" i="25"/>
  <c r="W823" i="30"/>
  <c r="A846" i="30"/>
  <c r="F854" i="30"/>
  <c r="F560" i="28"/>
  <c r="S558" i="28"/>
  <c r="A850" i="30"/>
  <c r="W540" i="28"/>
  <c r="F562" i="28"/>
  <c r="S846" i="30"/>
  <c r="U850" i="30"/>
  <c r="B851" i="30"/>
  <c r="T847" i="30"/>
  <c r="B850" i="30"/>
  <c r="S557" i="28"/>
  <c r="U564" i="28"/>
  <c r="B852" i="30"/>
  <c r="B823" i="30"/>
  <c r="S562" i="28"/>
  <c r="U624" i="25"/>
  <c r="A627" i="25"/>
  <c r="B622" i="25"/>
  <c r="W546" i="28"/>
  <c r="U623" i="25"/>
  <c r="B847" i="30"/>
  <c r="U629" i="25"/>
  <c r="F559" i="28"/>
  <c r="F623" i="25"/>
  <c r="U563" i="28"/>
  <c r="S627" i="25"/>
  <c r="B628" i="25"/>
  <c r="U846" i="30"/>
  <c r="W606" i="25"/>
  <c r="T630" i="25"/>
  <c r="S843" i="30"/>
  <c r="J470" i="29"/>
  <c r="C2178" i="34"/>
  <c r="J727" i="23"/>
  <c r="I491" i="29"/>
  <c r="H2259" i="34"/>
  <c r="H2179" i="34"/>
  <c r="J1916" i="34"/>
  <c r="I2166" i="34"/>
  <c r="C538" i="29"/>
  <c r="A2365" i="34"/>
  <c r="H2434" i="34"/>
  <c r="J1918" i="34"/>
  <c r="A2434" i="34"/>
  <c r="F670" i="23"/>
  <c r="A795" i="23"/>
  <c r="A2177" i="34"/>
  <c r="A537" i="29"/>
  <c r="A824" i="23"/>
  <c r="J473" i="29"/>
  <c r="I2164" i="34"/>
  <c r="J708" i="23"/>
  <c r="AL36" i="27"/>
  <c r="J710" i="23"/>
  <c r="J2159" i="34"/>
  <c r="A2363" i="34"/>
  <c r="F569" i="28"/>
  <c r="C826" i="23"/>
  <c r="C796" i="23"/>
  <c r="H538" i="29"/>
  <c r="H2192" i="34"/>
  <c r="F635" i="25"/>
  <c r="J726" i="23"/>
  <c r="C2257" i="34"/>
  <c r="C2430" i="34"/>
  <c r="I503" i="29"/>
  <c r="C2194" i="34"/>
  <c r="C543" i="29"/>
  <c r="C2369" i="34"/>
  <c r="H825" i="23"/>
  <c r="C800" i="23"/>
  <c r="I725" i="23"/>
  <c r="I1985" i="34"/>
  <c r="C804" i="23"/>
  <c r="H2262" i="34"/>
  <c r="H2264" i="34"/>
  <c r="A543" i="29"/>
  <c r="C818" i="23"/>
  <c r="C815" i="23"/>
  <c r="H2441" i="34"/>
  <c r="C816" i="23"/>
  <c r="C2441" i="34"/>
  <c r="A2180" i="34"/>
  <c r="I881" i="23"/>
  <c r="A2437" i="34"/>
  <c r="C2181" i="34"/>
  <c r="J735" i="23"/>
  <c r="A542" i="29"/>
  <c r="H2195" i="34"/>
  <c r="I489" i="29"/>
  <c r="J734" i="23"/>
  <c r="H824" i="23"/>
  <c r="J730" i="23"/>
  <c r="C2365" i="34"/>
  <c r="E570" i="28"/>
  <c r="A2260" i="34"/>
  <c r="B636" i="25"/>
  <c r="J2156" i="34"/>
  <c r="C2370" i="34"/>
  <c r="I1987" i="34"/>
  <c r="H2436" i="34"/>
  <c r="A2373" i="34"/>
  <c r="A2439" i="34"/>
  <c r="H2174" i="34"/>
  <c r="I486" i="29"/>
  <c r="I728" i="23"/>
  <c r="I2159" i="34"/>
  <c r="I492" i="29"/>
  <c r="A2442" i="34"/>
  <c r="H2173" i="34"/>
  <c r="C827" i="23"/>
  <c r="I636" i="25"/>
  <c r="H2437" i="34"/>
  <c r="C544" i="29"/>
  <c r="J2158" i="34"/>
  <c r="J1917" i="34"/>
  <c r="J2164" i="34"/>
  <c r="H2190" i="34"/>
  <c r="I2162" i="34"/>
  <c r="I2154" i="34"/>
  <c r="I729" i="23"/>
  <c r="A802" i="23"/>
  <c r="C2191" i="34"/>
  <c r="I732" i="23"/>
  <c r="H816" i="23"/>
  <c r="J2087" i="34"/>
  <c r="C801" i="23"/>
  <c r="A825" i="23"/>
  <c r="J2088" i="34"/>
  <c r="H2430" i="34"/>
  <c r="A817" i="23"/>
  <c r="J1913" i="34"/>
  <c r="A2433" i="34"/>
  <c r="I2158" i="34"/>
  <c r="H2181" i="34"/>
  <c r="A538" i="29"/>
  <c r="H817" i="23"/>
  <c r="J725" i="23"/>
  <c r="C539" i="29"/>
  <c r="J733" i="23"/>
  <c r="F429" i="29"/>
  <c r="I1984" i="34"/>
  <c r="J707" i="23"/>
  <c r="H2180" i="34"/>
  <c r="J2166" i="34"/>
  <c r="A2436" i="34"/>
  <c r="A2179" i="34"/>
  <c r="I2098" i="34"/>
  <c r="B648" i="23"/>
  <c r="H827" i="23"/>
  <c r="J2161" i="34"/>
  <c r="A2259" i="34"/>
  <c r="A2440" i="34"/>
  <c r="A2438" i="34"/>
  <c r="J2095" i="34"/>
  <c r="C2179" i="34"/>
  <c r="A818" i="23"/>
  <c r="I1981" i="34"/>
  <c r="A2182" i="34"/>
  <c r="I2165" i="34"/>
  <c r="A804" i="23"/>
  <c r="C881" i="23"/>
  <c r="A2175" i="34"/>
  <c r="A827" i="23"/>
  <c r="C537" i="29"/>
  <c r="C2176" i="34"/>
  <c r="C2368" i="34"/>
  <c r="I2223" i="34"/>
  <c r="A2364" i="34"/>
  <c r="I2050" i="34"/>
  <c r="H2261" i="34"/>
  <c r="C2182" i="34"/>
  <c r="I2156" i="34"/>
  <c r="H539" i="29"/>
  <c r="B446" i="29"/>
  <c r="A815" i="23"/>
  <c r="J476" i="29"/>
  <c r="C799" i="23"/>
  <c r="C2443" i="34"/>
  <c r="M636" i="25"/>
  <c r="I490" i="29"/>
  <c r="F693" i="23"/>
  <c r="C2175" i="34"/>
  <c r="A2430" i="34"/>
  <c r="I570" i="28"/>
  <c r="A2192" i="34"/>
  <c r="I2157" i="34"/>
  <c r="C2433" i="34"/>
  <c r="H2439" i="34"/>
  <c r="I2161" i="34"/>
  <c r="I2155" i="34"/>
  <c r="F671" i="23"/>
  <c r="A816" i="23"/>
  <c r="I723" i="23"/>
  <c r="C2431" i="34"/>
  <c r="H818" i="23"/>
  <c r="C552" i="29"/>
  <c r="H2440" i="34"/>
  <c r="A796" i="23"/>
  <c r="I552" i="29"/>
  <c r="A2432" i="34"/>
  <c r="I1983" i="34"/>
  <c r="A2176" i="34"/>
  <c r="A2193" i="34"/>
  <c r="H543" i="29"/>
  <c r="A819" i="23"/>
  <c r="H2188" i="34"/>
  <c r="C2262" i="34"/>
  <c r="J702" i="23"/>
  <c r="M570" i="28"/>
  <c r="C824" i="23"/>
  <c r="A544" i="29"/>
  <c r="C2374" i="34"/>
  <c r="A540" i="29"/>
  <c r="J2093" i="34"/>
  <c r="A821" i="23"/>
  <c r="H542" i="29"/>
  <c r="I726" i="23"/>
  <c r="C798" i="23"/>
  <c r="H541" i="29"/>
  <c r="C803" i="23"/>
  <c r="C2173" i="34"/>
  <c r="J709" i="23"/>
  <c r="E636" i="25"/>
  <c r="I1982" i="34"/>
  <c r="C551" i="29"/>
  <c r="J703" i="23"/>
  <c r="A2435" i="34"/>
  <c r="J2165" i="34"/>
  <c r="I735" i="23"/>
  <c r="J2094" i="34"/>
  <c r="A2431" i="34"/>
  <c r="J2085" i="34"/>
  <c r="A2174" i="34"/>
  <c r="I734" i="23"/>
  <c r="A826" i="23"/>
  <c r="A2190" i="34"/>
  <c r="A822" i="23"/>
  <c r="I727" i="23"/>
  <c r="J700" i="23"/>
  <c r="I2163" i="34"/>
  <c r="J2092" i="34"/>
  <c r="J471" i="29"/>
  <c r="I882" i="23"/>
  <c r="H2433" i="34"/>
  <c r="B570" i="28"/>
  <c r="C455" i="33"/>
  <c r="A2178" i="34"/>
  <c r="A820" i="23"/>
  <c r="H821" i="23"/>
  <c r="C2442" i="34"/>
  <c r="C821" i="23"/>
  <c r="H2443" i="34"/>
  <c r="H2435" i="34"/>
  <c r="H820" i="23"/>
  <c r="H2432" i="34"/>
  <c r="I730" i="23"/>
  <c r="J475" i="29"/>
  <c r="A2371" i="34"/>
  <c r="C2372" i="34"/>
  <c r="I488" i="29"/>
  <c r="B671" i="23"/>
  <c r="J474" i="29"/>
  <c r="H2431" i="34"/>
  <c r="C2180" i="34"/>
  <c r="A823" i="23"/>
  <c r="H826" i="23"/>
  <c r="C2264" i="34"/>
  <c r="C2177" i="34"/>
  <c r="J1915" i="34"/>
  <c r="H2442" i="34"/>
  <c r="J728" i="23"/>
  <c r="C2436" i="34"/>
  <c r="C2195" i="34"/>
  <c r="C882" i="23"/>
  <c r="C2174" i="34"/>
  <c r="I2160" i="34"/>
  <c r="J472" i="29"/>
  <c r="J701" i="23"/>
  <c r="H2176" i="34"/>
  <c r="C541" i="29"/>
  <c r="A2188" i="34"/>
  <c r="A2443" i="34"/>
  <c r="H815" i="23"/>
  <c r="H819" i="23"/>
  <c r="J1919" i="34"/>
  <c r="A2173" i="34"/>
  <c r="H823" i="23"/>
  <c r="A2374" i="34"/>
  <c r="H2178" i="34"/>
  <c r="H544" i="29"/>
  <c r="C2373" i="34"/>
  <c r="H2175" i="34"/>
  <c r="C2367" i="34"/>
  <c r="C542" i="29"/>
  <c r="I724" i="23"/>
  <c r="J2157" i="34"/>
  <c r="J1914" i="34"/>
  <c r="A541" i="29"/>
  <c r="C540" i="29"/>
  <c r="I493" i="29"/>
  <c r="C2192" i="34"/>
  <c r="I1986" i="34"/>
  <c r="I1988" i="34"/>
  <c r="H540" i="29"/>
  <c r="H2260" i="34"/>
  <c r="J2086" i="34"/>
  <c r="I733" i="23"/>
  <c r="C462" i="29"/>
  <c r="H2177" i="34"/>
  <c r="I487" i="29"/>
  <c r="I746" i="23"/>
  <c r="A2181" i="34"/>
  <c r="I551" i="29"/>
  <c r="H537" i="29"/>
  <c r="A539" i="29"/>
  <c r="C2434" i="34"/>
  <c r="F462" i="29"/>
  <c r="H2182" i="34"/>
  <c r="A2441" i="34"/>
  <c r="A2194" i="34"/>
  <c r="H822" i="23"/>
  <c r="H2438" i="34"/>
  <c r="I731" i="23"/>
  <c r="F816" i="30" l="1"/>
  <c r="H2196" i="34"/>
  <c r="J1920" i="34"/>
  <c r="E1936" i="34" s="1"/>
  <c r="N490" i="28"/>
  <c r="V490" i="28" s="1"/>
  <c r="N491" i="28"/>
  <c r="V491" i="28" s="1"/>
  <c r="B695" i="30"/>
  <c r="E695" i="30"/>
  <c r="X826" i="30"/>
  <c r="X824" i="30"/>
  <c r="V780" i="30"/>
  <c r="V711" i="30"/>
  <c r="V710" i="30"/>
  <c r="V733" i="30"/>
  <c r="K762" i="30"/>
  <c r="L718" i="30"/>
  <c r="M717" i="30"/>
  <c r="H718" i="30" s="1"/>
  <c r="K506" i="28"/>
  <c r="M512" i="28"/>
  <c r="V478" i="28"/>
  <c r="J713" i="23"/>
  <c r="J2099" i="34"/>
  <c r="C2143" i="34" s="1"/>
  <c r="V735" i="30"/>
  <c r="M508" i="28"/>
  <c r="X605" i="25"/>
  <c r="M513" i="28"/>
  <c r="K749" i="30"/>
  <c r="X803" i="30"/>
  <c r="X593" i="25"/>
  <c r="H545" i="29"/>
  <c r="X802" i="30"/>
  <c r="X611" i="25"/>
  <c r="K763" i="30"/>
  <c r="E447" i="28"/>
  <c r="M511" i="28"/>
  <c r="K514" i="28"/>
  <c r="V479" i="28"/>
  <c r="X801" i="30"/>
  <c r="X797" i="30"/>
  <c r="X798" i="30"/>
  <c r="X607" i="25"/>
  <c r="X805" i="30"/>
  <c r="X603" i="25"/>
  <c r="J477" i="29"/>
  <c r="X799" i="30"/>
  <c r="X804" i="30"/>
  <c r="X800" i="30"/>
  <c r="X546" i="28"/>
  <c r="X602" i="25"/>
  <c r="X610" i="25"/>
  <c r="X604" i="25"/>
  <c r="X606" i="25"/>
  <c r="X544" i="28"/>
  <c r="X807" i="30"/>
  <c r="X608" i="25"/>
  <c r="X806" i="30"/>
  <c r="X609" i="25"/>
  <c r="H2183" i="34"/>
  <c r="X547" i="28"/>
  <c r="X796" i="30"/>
  <c r="X795" i="30"/>
  <c r="W809" i="30"/>
  <c r="V475" i="28"/>
  <c r="V476" i="28"/>
  <c r="M510" i="28"/>
  <c r="M509" i="28"/>
  <c r="M507" i="28"/>
  <c r="L481" i="28"/>
  <c r="M480" i="28"/>
  <c r="H481" i="28" s="1"/>
  <c r="V463" i="28"/>
  <c r="E464" i="28" s="1"/>
  <c r="I557" i="28"/>
  <c r="I823" i="30"/>
  <c r="X543" i="28"/>
  <c r="I623" i="25"/>
  <c r="I559" i="28"/>
  <c r="I621" i="25"/>
  <c r="I563" i="28"/>
  <c r="I629" i="25"/>
  <c r="I562" i="28"/>
  <c r="I560" i="28"/>
  <c r="X545" i="28"/>
  <c r="R530" i="28"/>
  <c r="K530" i="28" s="1"/>
  <c r="G530" i="28"/>
  <c r="R526" i="28"/>
  <c r="K526" i="28" s="1"/>
  <c r="G526" i="28"/>
  <c r="R527" i="28"/>
  <c r="K527" i="28" s="1"/>
  <c r="G527" i="28"/>
  <c r="R523" i="28"/>
  <c r="G523" i="28"/>
  <c r="G531" i="28"/>
  <c r="R529" i="28"/>
  <c r="K529" i="28" s="1"/>
  <c r="G529" i="28"/>
  <c r="G528" i="28"/>
  <c r="R528" i="28"/>
  <c r="K528" i="28" s="1"/>
  <c r="R524" i="28"/>
  <c r="K524" i="28" s="1"/>
  <c r="G524" i="28"/>
  <c r="R525" i="28"/>
  <c r="K525" i="28" s="1"/>
  <c r="G525" i="28"/>
  <c r="I564" i="28"/>
  <c r="I558" i="28"/>
  <c r="I627" i="25"/>
  <c r="X542" i="28"/>
  <c r="I626" i="25"/>
  <c r="I561" i="28"/>
  <c r="X541" i="28"/>
  <c r="I624" i="25"/>
  <c r="W548" i="28"/>
  <c r="X540" i="28"/>
  <c r="I625" i="25"/>
  <c r="I622" i="25"/>
  <c r="I628" i="25"/>
  <c r="I565" i="28"/>
  <c r="F565" i="28"/>
  <c r="I630" i="25"/>
  <c r="F631" i="25"/>
  <c r="I631" i="25"/>
  <c r="H2444" i="34"/>
  <c r="I583" i="28"/>
  <c r="B603" i="28"/>
  <c r="F638" i="25"/>
  <c r="K651" i="25"/>
  <c r="N638" i="25"/>
  <c r="M583" i="28"/>
  <c r="G636" i="25"/>
  <c r="M651" i="25"/>
  <c r="N572" i="28"/>
  <c r="N506" i="28"/>
  <c r="K583" i="28"/>
  <c r="M638" i="25"/>
  <c r="K570" i="28"/>
  <c r="A570" i="28"/>
  <c r="K636" i="25"/>
  <c r="A572" i="28"/>
  <c r="G638" i="25"/>
  <c r="A650" i="25"/>
  <c r="D570" i="28"/>
  <c r="I638" i="25"/>
  <c r="A583" i="28"/>
  <c r="N495" i="28"/>
  <c r="D636" i="25"/>
  <c r="X531" i="28"/>
  <c r="K572" i="28"/>
  <c r="I651" i="25"/>
  <c r="B572" i="28"/>
  <c r="G583" i="28"/>
  <c r="N496" i="28"/>
  <c r="A582" i="28"/>
  <c r="D583" i="28"/>
  <c r="G651" i="25"/>
  <c r="A651" i="25"/>
  <c r="N493" i="28"/>
  <c r="G572" i="28"/>
  <c r="B638" i="25"/>
  <c r="K638" i="25"/>
  <c r="A636" i="25"/>
  <c r="F572" i="28"/>
  <c r="N492" i="28"/>
  <c r="G570" i="28"/>
  <c r="D651" i="25"/>
  <c r="N489" i="28"/>
  <c r="M572" i="28"/>
  <c r="N494" i="28"/>
  <c r="A638" i="25"/>
  <c r="I572" i="28"/>
  <c r="B673" i="25"/>
  <c r="V772" i="30"/>
  <c r="V730" i="30"/>
  <c r="V736" i="30"/>
  <c r="V731" i="30"/>
  <c r="V728" i="30"/>
  <c r="AR43" i="27"/>
  <c r="V729" i="30"/>
  <c r="K772" i="30"/>
  <c r="X823" i="30"/>
  <c r="X819" i="30"/>
  <c r="X830" i="30"/>
  <c r="X818" i="30"/>
  <c r="X829" i="30"/>
  <c r="X822" i="30"/>
  <c r="X820" i="30"/>
  <c r="X828" i="30"/>
  <c r="K786" i="30"/>
  <c r="K785" i="30"/>
  <c r="V737" i="30"/>
  <c r="I852" i="30"/>
  <c r="I848" i="30"/>
  <c r="I850" i="30"/>
  <c r="I846" i="30"/>
  <c r="I842" i="30"/>
  <c r="I847" i="30"/>
  <c r="I849" i="30"/>
  <c r="C859" i="30"/>
  <c r="A859" i="30"/>
  <c r="E859" i="30"/>
  <c r="D859" i="30"/>
  <c r="A709" i="26"/>
  <c r="B646" i="25"/>
  <c r="A876" i="30"/>
  <c r="F649" i="25"/>
  <c r="W630" i="25"/>
  <c r="F875" i="30"/>
  <c r="F852" i="30"/>
  <c r="T843" i="30"/>
  <c r="S844" i="30"/>
  <c r="A869" i="30"/>
  <c r="A868" i="30"/>
  <c r="W846" i="30"/>
  <c r="A866" i="30"/>
  <c r="F578" i="28"/>
  <c r="P797" i="30"/>
  <c r="U640" i="25"/>
  <c r="T646" i="25"/>
  <c r="W827" i="30"/>
  <c r="T866" i="30"/>
  <c r="A647" i="25"/>
  <c r="F642" i="25"/>
  <c r="T865" i="30"/>
  <c r="F843" i="30"/>
  <c r="Q575" i="28"/>
  <c r="A576" i="28"/>
  <c r="T644" i="25"/>
  <c r="S876" i="30"/>
  <c r="P800" i="30"/>
  <c r="S875" i="30"/>
  <c r="S578" i="28"/>
  <c r="B867" i="30"/>
  <c r="T854" i="30"/>
  <c r="F577" i="28"/>
  <c r="S577" i="28"/>
  <c r="T578" i="28"/>
  <c r="W852" i="30"/>
  <c r="B649" i="25"/>
  <c r="F643" i="25"/>
  <c r="B575" i="28"/>
  <c r="A867" i="30"/>
  <c r="T580" i="28"/>
  <c r="F644" i="25"/>
  <c r="S870" i="30"/>
  <c r="A640" i="25"/>
  <c r="U647" i="25"/>
  <c r="A871" i="30"/>
  <c r="S645" i="25"/>
  <c r="P802" i="30"/>
  <c r="T869" i="30"/>
  <c r="A649" i="25"/>
  <c r="S647" i="25"/>
  <c r="F646" i="25"/>
  <c r="B578" i="28"/>
  <c r="S847" i="30"/>
  <c r="Q641" i="25"/>
  <c r="S641" i="25"/>
  <c r="A864" i="30"/>
  <c r="F641" i="25"/>
  <c r="B870" i="30"/>
  <c r="P806" i="30"/>
  <c r="S574" i="28"/>
  <c r="Q574" i="28"/>
  <c r="T872" i="30"/>
  <c r="S868" i="30"/>
  <c r="T647" i="25"/>
  <c r="F575" i="28"/>
  <c r="S643" i="25"/>
  <c r="U871" i="30"/>
  <c r="S873" i="30"/>
  <c r="P803" i="30"/>
  <c r="T574" i="28"/>
  <c r="T575" i="28"/>
  <c r="T874" i="30"/>
  <c r="U842" i="30"/>
  <c r="F574" i="28"/>
  <c r="A580" i="28"/>
  <c r="S575" i="28"/>
  <c r="F841" i="30"/>
  <c r="F648" i="25"/>
  <c r="P804" i="30"/>
  <c r="U872" i="30"/>
  <c r="Q644" i="25"/>
  <c r="S850" i="30"/>
  <c r="U643" i="25"/>
  <c r="F579" i="28"/>
  <c r="U646" i="25"/>
  <c r="W625" i="25"/>
  <c r="T640" i="25"/>
  <c r="U873" i="30"/>
  <c r="P801" i="30"/>
  <c r="F842" i="30"/>
  <c r="U642" i="25"/>
  <c r="W825" i="30"/>
  <c r="Q648" i="25"/>
  <c r="W560" i="28"/>
  <c r="T577" i="28"/>
  <c r="Q645" i="25"/>
  <c r="P544" i="28"/>
  <c r="U649" i="25"/>
  <c r="A575" i="28"/>
  <c r="F647" i="25"/>
  <c r="U866" i="30"/>
  <c r="A645" i="25"/>
  <c r="A642" i="25"/>
  <c r="U575" i="28"/>
  <c r="W845" i="30"/>
  <c r="W561" i="28"/>
  <c r="P545" i="28"/>
  <c r="T851" i="30"/>
  <c r="T641" i="25"/>
  <c r="T581" i="28"/>
  <c r="A865" i="30"/>
  <c r="P805" i="30"/>
  <c r="Q649" i="25"/>
  <c r="U854" i="30"/>
  <c r="B648" i="25"/>
  <c r="A581" i="28"/>
  <c r="Q576" i="28"/>
  <c r="U576" i="28"/>
  <c r="U579" i="28"/>
  <c r="T877" i="30"/>
  <c r="U868" i="30"/>
  <c r="A574" i="28"/>
  <c r="U865" i="30"/>
  <c r="B574" i="28"/>
  <c r="F865" i="30"/>
  <c r="S869" i="30"/>
  <c r="A872" i="30"/>
  <c r="T649" i="25"/>
  <c r="W564" i="28"/>
  <c r="T642" i="25"/>
  <c r="F576" i="28"/>
  <c r="S874" i="30"/>
  <c r="Q640" i="25"/>
  <c r="W626" i="25"/>
  <c r="B580" i="28"/>
  <c r="S866" i="30"/>
  <c r="A577" i="28"/>
  <c r="T845" i="30"/>
  <c r="F872" i="30"/>
  <c r="B641" i="25"/>
  <c r="A870" i="30"/>
  <c r="A874" i="30"/>
  <c r="F874" i="30"/>
  <c r="Q580" i="28"/>
  <c r="B644" i="25"/>
  <c r="S576" i="28"/>
  <c r="T579" i="28"/>
  <c r="T876" i="30"/>
  <c r="T841" i="30"/>
  <c r="P795" i="30"/>
  <c r="W843" i="30"/>
  <c r="T871" i="30"/>
  <c r="W562" i="28"/>
  <c r="W621" i="25"/>
  <c r="B645" i="25"/>
  <c r="W849" i="30"/>
  <c r="A578" i="28"/>
  <c r="A875" i="30"/>
  <c r="F873" i="30"/>
  <c r="T870" i="30"/>
  <c r="B871" i="30"/>
  <c r="F640" i="25"/>
  <c r="T844" i="30"/>
  <c r="B581" i="28"/>
  <c r="B647" i="25"/>
  <c r="T868" i="30"/>
  <c r="S579" i="28"/>
  <c r="B643" i="25"/>
  <c r="F581" i="28"/>
  <c r="Q578" i="28"/>
  <c r="B642" i="25"/>
  <c r="A641" i="25"/>
  <c r="P807" i="30"/>
  <c r="F645" i="25"/>
  <c r="A646" i="25"/>
  <c r="P541" i="28"/>
  <c r="U864" i="30"/>
  <c r="W629" i="25"/>
  <c r="W841" i="30"/>
  <c r="T864" i="30"/>
  <c r="T648" i="25"/>
  <c r="U851" i="30"/>
  <c r="F876" i="30"/>
  <c r="U580" i="28"/>
  <c r="P808" i="30"/>
  <c r="M808" i="30" s="1"/>
  <c r="N808" i="30" s="1"/>
  <c r="W622" i="25"/>
  <c r="U870" i="30"/>
  <c r="S865" i="30"/>
  <c r="S644" i="25"/>
  <c r="A644" i="25"/>
  <c r="S864" i="30"/>
  <c r="S580" i="28"/>
  <c r="U648" i="25"/>
  <c r="U578" i="28"/>
  <c r="T867" i="30"/>
  <c r="Q646" i="25"/>
  <c r="S872" i="30"/>
  <c r="T645" i="25"/>
  <c r="P547" i="28"/>
  <c r="P796" i="30"/>
  <c r="A648" i="25"/>
  <c r="U644" i="25"/>
  <c r="F580" i="28"/>
  <c r="P798" i="30"/>
  <c r="T576" i="28"/>
  <c r="S853" i="30"/>
  <c r="B576" i="28"/>
  <c r="U581" i="28"/>
  <c r="T873" i="30"/>
  <c r="U574" i="28"/>
  <c r="S877" i="30"/>
  <c r="Q647" i="25"/>
  <c r="S871" i="30"/>
  <c r="W848" i="30"/>
  <c r="T643" i="25"/>
  <c r="W557" i="28"/>
  <c r="Q577" i="28"/>
  <c r="P546" i="28"/>
  <c r="P542" i="28"/>
  <c r="W563" i="28"/>
  <c r="Q642" i="25"/>
  <c r="S649" i="25"/>
  <c r="S646" i="25"/>
  <c r="F871" i="30"/>
  <c r="U577" i="28"/>
  <c r="U875" i="30"/>
  <c r="Q579" i="28"/>
  <c r="B640" i="25"/>
  <c r="S642" i="25"/>
  <c r="W623" i="25"/>
  <c r="B577" i="28"/>
  <c r="P799" i="30"/>
  <c r="W628" i="25"/>
  <c r="F850" i="30"/>
  <c r="S648" i="25"/>
  <c r="B579" i="28"/>
  <c r="P543" i="28"/>
  <c r="F870" i="30"/>
  <c r="U874" i="30"/>
  <c r="S867" i="30"/>
  <c r="T853" i="30"/>
  <c r="P540" i="28"/>
  <c r="Q581" i="28"/>
  <c r="T875" i="30"/>
  <c r="Q643" i="25"/>
  <c r="W559" i="28"/>
  <c r="A873" i="30"/>
  <c r="U869" i="30"/>
  <c r="A643" i="25"/>
  <c r="W558" i="28"/>
  <c r="W627" i="25"/>
  <c r="U641" i="25"/>
  <c r="S581" i="28"/>
  <c r="W821" i="30"/>
  <c r="W624" i="25"/>
  <c r="A579" i="28"/>
  <c r="B866" i="30"/>
  <c r="U876" i="30"/>
  <c r="U645" i="25"/>
  <c r="S640" i="25"/>
  <c r="U877" i="30"/>
  <c r="J2374" i="34"/>
  <c r="H561" i="29"/>
  <c r="E587" i="28"/>
  <c r="M655" i="25"/>
  <c r="I568" i="29"/>
  <c r="C568" i="29"/>
  <c r="C2246" i="34"/>
  <c r="C817" i="23"/>
  <c r="C2250" i="34"/>
  <c r="C2245" i="34"/>
  <c r="I2225" i="34"/>
  <c r="J486" i="29"/>
  <c r="I778" i="23"/>
  <c r="I2295" i="34"/>
  <c r="A2507" i="34"/>
  <c r="I756" i="23"/>
  <c r="I510" i="29"/>
  <c r="C2501" i="34"/>
  <c r="A2504" i="34"/>
  <c r="A573" i="29"/>
  <c r="I775" i="23"/>
  <c r="C2508" i="34"/>
  <c r="A2508" i="34"/>
  <c r="C556" i="29"/>
  <c r="J2232" i="34"/>
  <c r="J492" i="29"/>
  <c r="I748" i="23"/>
  <c r="J2160" i="34"/>
  <c r="I2304" i="34"/>
  <c r="C2512" i="34"/>
  <c r="C716" i="23"/>
  <c r="C819" i="23"/>
  <c r="C2261" i="34"/>
  <c r="C2440" i="34"/>
  <c r="J751" i="23"/>
  <c r="I2052" i="34"/>
  <c r="A2509" i="34"/>
  <c r="H2250" i="34"/>
  <c r="I2293" i="34"/>
  <c r="I2230" i="34"/>
  <c r="C555" i="29"/>
  <c r="I508" i="29"/>
  <c r="A847" i="23"/>
  <c r="J1987" i="34"/>
  <c r="I2226" i="34"/>
  <c r="A844" i="23"/>
  <c r="A850" i="23"/>
  <c r="I2301" i="34"/>
  <c r="I750" i="23"/>
  <c r="C839" i="23"/>
  <c r="C2248" i="34"/>
  <c r="J488" i="29"/>
  <c r="C825" i="23"/>
  <c r="I655" i="25"/>
  <c r="C2631" i="34"/>
  <c r="C2438" i="34"/>
  <c r="H557" i="29"/>
  <c r="A2247" i="34"/>
  <c r="I2227" i="34"/>
  <c r="A559" i="29"/>
  <c r="H2328" i="34"/>
  <c r="I905" i="23"/>
  <c r="M587" i="28"/>
  <c r="C2259" i="34"/>
  <c r="J2227" i="34"/>
  <c r="A842" i="23"/>
  <c r="I747" i="23"/>
  <c r="C2242" i="34"/>
  <c r="C2329" i="34"/>
  <c r="A561" i="29"/>
  <c r="C2328" i="34"/>
  <c r="H2511" i="34"/>
  <c r="B655" i="25"/>
  <c r="I2051" i="34"/>
  <c r="J489" i="29"/>
  <c r="A2264" i="34"/>
  <c r="H2249" i="34"/>
  <c r="C846" i="23"/>
  <c r="C2244" i="34"/>
  <c r="C554" i="29"/>
  <c r="C2506" i="34"/>
  <c r="I2302" i="34"/>
  <c r="I749" i="23"/>
  <c r="A555" i="29"/>
  <c r="A840" i="23"/>
  <c r="I509" i="29"/>
  <c r="I781" i="23"/>
  <c r="C840" i="23"/>
  <c r="H2333" i="34"/>
  <c r="H2248" i="34"/>
  <c r="C904" i="23"/>
  <c r="I2294" i="34"/>
  <c r="J2224" i="34"/>
  <c r="J746" i="23"/>
  <c r="C2330" i="34"/>
  <c r="I507" i="29"/>
  <c r="C2258" i="34"/>
  <c r="C479" i="29"/>
  <c r="H2327" i="34"/>
  <c r="H2263" i="34"/>
  <c r="A2505" i="34"/>
  <c r="B694" i="23"/>
  <c r="C2435" i="34"/>
  <c r="J2163" i="34"/>
  <c r="A2246" i="34"/>
  <c r="A2251" i="34"/>
  <c r="J487" i="29"/>
  <c r="J775" i="23"/>
  <c r="C2504" i="34"/>
  <c r="C844" i="23"/>
  <c r="J2154" i="34"/>
  <c r="C841" i="23"/>
  <c r="I2298" i="34"/>
  <c r="A558" i="29"/>
  <c r="A2502" i="34"/>
  <c r="A2244" i="34"/>
  <c r="I774" i="23"/>
  <c r="I506" i="29"/>
  <c r="H2247" i="34"/>
  <c r="J2155" i="34"/>
  <c r="C2243" i="34"/>
  <c r="J750" i="23"/>
  <c r="J490" i="29"/>
  <c r="J2223" i="34"/>
  <c r="H2506" i="34"/>
  <c r="C560" i="29"/>
  <c r="I587" i="28"/>
  <c r="H2502" i="34"/>
  <c r="C848" i="23"/>
  <c r="J731" i="23"/>
  <c r="H2507" i="34"/>
  <c r="J755" i="23"/>
  <c r="J493" i="29"/>
  <c r="AL37" i="27"/>
  <c r="C838" i="23"/>
  <c r="C557" i="29"/>
  <c r="A846" i="23"/>
  <c r="F479" i="29"/>
  <c r="C2251" i="34"/>
  <c r="C2437" i="34"/>
  <c r="I2228" i="34"/>
  <c r="A2499" i="34"/>
  <c r="I772" i="23"/>
  <c r="A2250" i="34"/>
  <c r="I779" i="23"/>
  <c r="I777" i="23"/>
  <c r="C2432" i="34"/>
  <c r="I2292" i="34"/>
  <c r="C559" i="29"/>
  <c r="A2501" i="34"/>
  <c r="J2162" i="34"/>
  <c r="J503" i="29"/>
  <c r="B587" i="28"/>
  <c r="A2243" i="34"/>
  <c r="J1981" i="34"/>
  <c r="I776" i="23"/>
  <c r="I758" i="23"/>
  <c r="F694" i="23"/>
  <c r="I753" i="23"/>
  <c r="J2235" i="34"/>
  <c r="I2299" i="34"/>
  <c r="I2224" i="34"/>
  <c r="A2512" i="34"/>
  <c r="H2331" i="34"/>
  <c r="A2258" i="34"/>
  <c r="H2509" i="34"/>
  <c r="H2505" i="34"/>
  <c r="A849" i="23"/>
  <c r="C2502" i="34"/>
  <c r="H555" i="29"/>
  <c r="F586" i="28"/>
  <c r="A2248" i="34"/>
  <c r="I754" i="23"/>
  <c r="C2503" i="34"/>
  <c r="C842" i="23"/>
  <c r="H841" i="23"/>
  <c r="J732" i="23"/>
  <c r="H845" i="23"/>
  <c r="J1983" i="34"/>
  <c r="C2247" i="34"/>
  <c r="C823" i="23"/>
  <c r="C843" i="23"/>
  <c r="H843" i="23"/>
  <c r="I2232" i="34"/>
  <c r="C558" i="29"/>
  <c r="H848" i="23"/>
  <c r="A2503" i="34"/>
  <c r="J752" i="23"/>
  <c r="I769" i="23"/>
  <c r="I504" i="29"/>
  <c r="I2229" i="34"/>
  <c r="J1985" i="34"/>
  <c r="C2263" i="34"/>
  <c r="C2327" i="34"/>
  <c r="I2055" i="34"/>
  <c r="H558" i="29"/>
  <c r="A845" i="23"/>
  <c r="I780" i="23"/>
  <c r="C2505" i="34"/>
  <c r="H559" i="29"/>
  <c r="I2303" i="34"/>
  <c r="C2511" i="34"/>
  <c r="A2263" i="34"/>
  <c r="A2328" i="34"/>
  <c r="J747" i="23"/>
  <c r="A560" i="29"/>
  <c r="I904" i="23"/>
  <c r="I505" i="29"/>
  <c r="H2251" i="34"/>
  <c r="H2257" i="34"/>
  <c r="I757" i="23"/>
  <c r="C2499" i="34"/>
  <c r="H560" i="29"/>
  <c r="I770" i="23"/>
  <c r="J2229" i="34"/>
  <c r="H556" i="29"/>
  <c r="A2506" i="34"/>
  <c r="J724" i="23"/>
  <c r="J729" i="23"/>
  <c r="I2235" i="34"/>
  <c r="I2234" i="34"/>
  <c r="H2330" i="34"/>
  <c r="A557" i="29"/>
  <c r="J723" i="23"/>
  <c r="J753" i="23"/>
  <c r="A2330" i="34"/>
  <c r="A838" i="23"/>
  <c r="A2511" i="34"/>
  <c r="I2233" i="34"/>
  <c r="I2300" i="34"/>
  <c r="H2246" i="34"/>
  <c r="J758" i="23"/>
  <c r="C569" i="29"/>
  <c r="C2439" i="34"/>
  <c r="I755" i="23"/>
  <c r="C2249" i="34"/>
  <c r="I752" i="23"/>
  <c r="J2228" i="34"/>
  <c r="C845" i="23"/>
  <c r="H2242" i="34"/>
  <c r="I773" i="23"/>
  <c r="A839" i="23"/>
  <c r="A2257" i="34"/>
  <c r="J754" i="23"/>
  <c r="I569" i="29"/>
  <c r="J2231" i="34"/>
  <c r="C2510" i="34"/>
  <c r="I2231" i="34"/>
  <c r="I2057" i="34"/>
  <c r="C820" i="23"/>
  <c r="C822" i="23"/>
  <c r="J1984" i="34"/>
  <c r="I771" i="23"/>
  <c r="J1986" i="34"/>
  <c r="H2258" i="34"/>
  <c r="J1988" i="34"/>
  <c r="J2050" i="34"/>
  <c r="A2261" i="34"/>
  <c r="A2249" i="34"/>
  <c r="F463" i="29"/>
  <c r="H2245" i="34"/>
  <c r="I2297" i="34"/>
  <c r="H2244" i="34"/>
  <c r="I2167" i="34"/>
  <c r="H842" i="23"/>
  <c r="J2230" i="34"/>
  <c r="C849" i="23"/>
  <c r="C847" i="23"/>
  <c r="J491" i="29"/>
  <c r="H2504" i="34"/>
  <c r="A2500" i="34"/>
  <c r="I2056" i="34"/>
  <c r="I2296" i="34"/>
  <c r="H2243" i="34"/>
  <c r="E655" i="25"/>
  <c r="C2260" i="34"/>
  <c r="F446" i="29"/>
  <c r="A843" i="23"/>
  <c r="H850" i="23"/>
  <c r="J1982" i="34"/>
  <c r="I751" i="23"/>
  <c r="H844" i="23"/>
  <c r="H554" i="29"/>
  <c r="H571" i="29"/>
  <c r="J2298" i="34"/>
  <c r="A2242" i="34"/>
  <c r="C2500" i="34"/>
  <c r="I2053" i="34"/>
  <c r="C2507" i="34"/>
  <c r="A841" i="23"/>
  <c r="I2054" i="34"/>
  <c r="A554" i="29"/>
  <c r="A2245" i="34"/>
  <c r="C2509" i="34"/>
  <c r="C850" i="23"/>
  <c r="A2510" i="34"/>
  <c r="H2503" i="34"/>
  <c r="A848" i="23"/>
  <c r="C905" i="23"/>
  <c r="C561" i="29"/>
  <c r="H846" i="23"/>
  <c r="A556" i="29"/>
  <c r="F716" i="23"/>
  <c r="A2262" i="34"/>
  <c r="F654" i="25"/>
  <c r="F839" i="30" l="1"/>
  <c r="H2265" i="34"/>
  <c r="J1989" i="34"/>
  <c r="E2005" i="34" s="1"/>
  <c r="N507" i="28"/>
  <c r="V507" i="28" s="1"/>
  <c r="N508" i="28"/>
  <c r="V508" i="28" s="1"/>
  <c r="N512" i="28"/>
  <c r="V512" i="28" s="1"/>
  <c r="N513" i="28"/>
  <c r="V513" i="28" s="1"/>
  <c r="X825" i="30"/>
  <c r="V717" i="30"/>
  <c r="E718" i="30" s="1"/>
  <c r="V732" i="30"/>
  <c r="V778" i="30"/>
  <c r="C2145" i="34"/>
  <c r="L741" i="30"/>
  <c r="V727" i="30"/>
  <c r="M740" i="30"/>
  <c r="H741" i="30" s="1"/>
  <c r="V760" i="30"/>
  <c r="X821" i="30"/>
  <c r="X559" i="28"/>
  <c r="J2168" i="34"/>
  <c r="C2212" i="34" s="1"/>
  <c r="J736" i="23"/>
  <c r="V752" i="30"/>
  <c r="X612" i="25"/>
  <c r="N511" i="28"/>
  <c r="X809" i="30"/>
  <c r="E810" i="30" s="1"/>
  <c r="H562" i="29"/>
  <c r="X627" i="25"/>
  <c r="X624" i="25"/>
  <c r="X626" i="25"/>
  <c r="X629" i="25"/>
  <c r="X558" i="28"/>
  <c r="V480" i="28"/>
  <c r="E481" i="28" s="1"/>
  <c r="X625" i="25"/>
  <c r="X563" i="28"/>
  <c r="H2252" i="34"/>
  <c r="X630" i="25"/>
  <c r="X557" i="28"/>
  <c r="X561" i="28"/>
  <c r="X562" i="28"/>
  <c r="X622" i="25"/>
  <c r="G805" i="30"/>
  <c r="R805" i="30"/>
  <c r="K805" i="30" s="1"/>
  <c r="G801" i="30"/>
  <c r="R801" i="30"/>
  <c r="K801" i="30" s="1"/>
  <c r="G802" i="30"/>
  <c r="R802" i="30"/>
  <c r="K802" i="30" s="1"/>
  <c r="R800" i="30"/>
  <c r="K800" i="30" s="1"/>
  <c r="G800" i="30"/>
  <c r="R808" i="30"/>
  <c r="G807" i="30"/>
  <c r="R807" i="30"/>
  <c r="K807" i="30" s="1"/>
  <c r="G796" i="30"/>
  <c r="R796" i="30"/>
  <c r="K796" i="30" s="1"/>
  <c r="R803" i="30"/>
  <c r="K803" i="30" s="1"/>
  <c r="G803" i="30"/>
  <c r="R806" i="30"/>
  <c r="K806" i="30" s="1"/>
  <c r="G806" i="30"/>
  <c r="R799" i="30"/>
  <c r="K799" i="30" s="1"/>
  <c r="G799" i="30"/>
  <c r="R797" i="30"/>
  <c r="K797" i="30" s="1"/>
  <c r="G797" i="30"/>
  <c r="R798" i="30"/>
  <c r="K798" i="30" s="1"/>
  <c r="G798" i="30"/>
  <c r="R804" i="30"/>
  <c r="K804" i="30" s="1"/>
  <c r="G804" i="30"/>
  <c r="G795" i="30"/>
  <c r="G809" i="30"/>
  <c r="R795" i="30"/>
  <c r="X628" i="25"/>
  <c r="X827" i="30"/>
  <c r="W832" i="30"/>
  <c r="X621" i="25"/>
  <c r="N509" i="28"/>
  <c r="B464" i="28"/>
  <c r="N510" i="28"/>
  <c r="X548" i="28"/>
  <c r="M525" i="28"/>
  <c r="M529" i="28"/>
  <c r="M527" i="28"/>
  <c r="M526" i="28"/>
  <c r="I841" i="30"/>
  <c r="I843" i="30"/>
  <c r="I845" i="30"/>
  <c r="I640" i="25"/>
  <c r="X623" i="25"/>
  <c r="I582" i="28"/>
  <c r="F582" i="28"/>
  <c r="I581" i="28"/>
  <c r="I574" i="28"/>
  <c r="I649" i="25"/>
  <c r="I580" i="28"/>
  <c r="X560" i="28"/>
  <c r="W565" i="28"/>
  <c r="I853" i="30"/>
  <c r="I650" i="25"/>
  <c r="F650" i="25"/>
  <c r="I855" i="30"/>
  <c r="F855" i="30"/>
  <c r="I643" i="25"/>
  <c r="I644" i="25"/>
  <c r="I641" i="25"/>
  <c r="I854" i="30"/>
  <c r="I642" i="25"/>
  <c r="R543" i="28"/>
  <c r="K543" i="28" s="1"/>
  <c r="G543" i="28"/>
  <c r="R540" i="28"/>
  <c r="G540" i="28"/>
  <c r="G548" i="28"/>
  <c r="R546" i="28"/>
  <c r="K546" i="28" s="1"/>
  <c r="G546" i="28"/>
  <c r="R544" i="28"/>
  <c r="K544" i="28" s="1"/>
  <c r="G544" i="28"/>
  <c r="R541" i="28"/>
  <c r="K541" i="28" s="1"/>
  <c r="G541" i="28"/>
  <c r="R547" i="28"/>
  <c r="K547" i="28" s="1"/>
  <c r="G547" i="28"/>
  <c r="G545" i="28"/>
  <c r="R545" i="28"/>
  <c r="K545" i="28" s="1"/>
  <c r="G542" i="28"/>
  <c r="R542" i="28"/>
  <c r="K542" i="28" s="1"/>
  <c r="I647" i="25"/>
  <c r="X564" i="28"/>
  <c r="I851" i="30"/>
  <c r="I578" i="28"/>
  <c r="I579" i="28"/>
  <c r="I577" i="28"/>
  <c r="J494" i="29"/>
  <c r="I648" i="25"/>
  <c r="I645" i="25"/>
  <c r="I575" i="28"/>
  <c r="I646" i="25"/>
  <c r="I844" i="30"/>
  <c r="I576" i="28"/>
  <c r="K589" i="28"/>
  <c r="B692" i="25"/>
  <c r="K657" i="25"/>
  <c r="N589" i="28"/>
  <c r="B657" i="25"/>
  <c r="D655" i="25"/>
  <c r="M530" i="28"/>
  <c r="M670" i="25"/>
  <c r="V495" i="28"/>
  <c r="G655" i="25"/>
  <c r="M600" i="28"/>
  <c r="A600" i="28"/>
  <c r="N657" i="25"/>
  <c r="K670" i="25"/>
  <c r="I589" i="28"/>
  <c r="G589" i="28"/>
  <c r="I657" i="25"/>
  <c r="A657" i="25"/>
  <c r="D587" i="28"/>
  <c r="F657" i="25"/>
  <c r="A669" i="25"/>
  <c r="V493" i="28"/>
  <c r="A670" i="25"/>
  <c r="A589" i="28"/>
  <c r="M524" i="28"/>
  <c r="V494" i="28"/>
  <c r="G670" i="25"/>
  <c r="K655" i="25"/>
  <c r="G657" i="25"/>
  <c r="M589" i="28"/>
  <c r="D600" i="28"/>
  <c r="V489" i="28"/>
  <c r="M497" i="28"/>
  <c r="H498" i="28" s="1"/>
  <c r="L498" i="28"/>
  <c r="M528" i="28"/>
  <c r="D670" i="25"/>
  <c r="A599" i="28"/>
  <c r="A587" i="28"/>
  <c r="G587" i="28"/>
  <c r="V496" i="28"/>
  <c r="V492" i="28"/>
  <c r="G600" i="28"/>
  <c r="K587" i="28"/>
  <c r="M657" i="25"/>
  <c r="B620" i="28"/>
  <c r="B589" i="28"/>
  <c r="I600" i="28"/>
  <c r="M523" i="28"/>
  <c r="K523" i="28"/>
  <c r="K531" i="28"/>
  <c r="K600" i="28"/>
  <c r="F589" i="28"/>
  <c r="A655" i="25"/>
  <c r="I670" i="25"/>
  <c r="V506" i="28"/>
  <c r="V758" i="30"/>
  <c r="V759" i="30"/>
  <c r="V754" i="30"/>
  <c r="V753" i="30"/>
  <c r="V755" i="30"/>
  <c r="V751" i="30"/>
  <c r="V756" i="30"/>
  <c r="V750" i="30"/>
  <c r="X852" i="30"/>
  <c r="X845" i="30"/>
  <c r="X841" i="30"/>
  <c r="X849" i="30"/>
  <c r="X848" i="30"/>
  <c r="X846" i="30"/>
  <c r="X843" i="30"/>
  <c r="V757" i="30"/>
  <c r="I873" i="30"/>
  <c r="I869" i="30"/>
  <c r="I865" i="30"/>
  <c r="I876" i="30"/>
  <c r="I872" i="30"/>
  <c r="I868" i="30"/>
  <c r="I864" i="30"/>
  <c r="I875" i="30"/>
  <c r="I871" i="30"/>
  <c r="I867" i="30"/>
  <c r="I874" i="30"/>
  <c r="I870" i="30"/>
  <c r="I866" i="30"/>
  <c r="I877" i="30"/>
  <c r="E882" i="30"/>
  <c r="D882" i="30"/>
  <c r="C882" i="30"/>
  <c r="A882" i="30"/>
  <c r="A728" i="26"/>
  <c r="U666" i="25"/>
  <c r="A891" i="30"/>
  <c r="U591" i="28"/>
  <c r="T591" i="28"/>
  <c r="W640" i="25"/>
  <c r="W868" i="30"/>
  <c r="P824" i="30"/>
  <c r="T667" i="25"/>
  <c r="B890" i="30"/>
  <c r="F665" i="25"/>
  <c r="A593" i="28"/>
  <c r="F596" i="28"/>
  <c r="Q668" i="25"/>
  <c r="Q667" i="25"/>
  <c r="U899" i="30"/>
  <c r="T662" i="25"/>
  <c r="F868" i="30"/>
  <c r="W575" i="28"/>
  <c r="A591" i="28"/>
  <c r="U662" i="25"/>
  <c r="B899" i="30"/>
  <c r="B893" i="30"/>
  <c r="A592" i="28"/>
  <c r="Q598" i="28"/>
  <c r="S664" i="25"/>
  <c r="A877" i="30"/>
  <c r="B900" i="30"/>
  <c r="B667" i="25"/>
  <c r="B873" i="30"/>
  <c r="U660" i="25"/>
  <c r="A668" i="25"/>
  <c r="W649" i="25"/>
  <c r="B877" i="30"/>
  <c r="W644" i="25"/>
  <c r="Q662" i="25"/>
  <c r="B666" i="25"/>
  <c r="F592" i="28"/>
  <c r="S887" i="30"/>
  <c r="T887" i="30"/>
  <c r="T663" i="25"/>
  <c r="U867" i="30"/>
  <c r="U889" i="30"/>
  <c r="A666" i="25"/>
  <c r="U592" i="28"/>
  <c r="T593" i="28"/>
  <c r="A899" i="30"/>
  <c r="F900" i="30"/>
  <c r="A665" i="25"/>
  <c r="Q594" i="28"/>
  <c r="F663" i="25"/>
  <c r="F664" i="25"/>
  <c r="W874" i="30"/>
  <c r="F894" i="30"/>
  <c r="U594" i="28"/>
  <c r="A892" i="30"/>
  <c r="P825" i="30"/>
  <c r="B865" i="30"/>
  <c r="F877" i="30"/>
  <c r="W577" i="28"/>
  <c r="A887" i="30"/>
  <c r="W581" i="28"/>
  <c r="U890" i="30"/>
  <c r="W574" i="28"/>
  <c r="A594" i="28"/>
  <c r="S660" i="25"/>
  <c r="P823" i="30"/>
  <c r="P828" i="30"/>
  <c r="A598" i="28"/>
  <c r="B889" i="30"/>
  <c r="S895" i="30"/>
  <c r="A661" i="25"/>
  <c r="B894" i="30"/>
  <c r="S891" i="30"/>
  <c r="B660" i="25"/>
  <c r="T896" i="30"/>
  <c r="F660" i="25"/>
  <c r="W648" i="25"/>
  <c r="T664" i="25"/>
  <c r="T888" i="30"/>
  <c r="T596" i="28"/>
  <c r="U900" i="30"/>
  <c r="B898" i="30"/>
  <c r="F891" i="30"/>
  <c r="Q593" i="28"/>
  <c r="W580" i="28"/>
  <c r="A897" i="30"/>
  <c r="S659" i="25"/>
  <c r="T899" i="30"/>
  <c r="P822" i="30"/>
  <c r="T659" i="25"/>
  <c r="Q591" i="28"/>
  <c r="W647" i="25"/>
  <c r="S594" i="28"/>
  <c r="W578" i="28"/>
  <c r="S888" i="30"/>
  <c r="T892" i="30"/>
  <c r="B593" i="28"/>
  <c r="W579" i="28"/>
  <c r="S892" i="30"/>
  <c r="B661" i="25"/>
  <c r="F594" i="28"/>
  <c r="P564" i="28"/>
  <c r="F666" i="25"/>
  <c r="U898" i="30"/>
  <c r="B896" i="30"/>
  <c r="U891" i="30"/>
  <c r="S592" i="28"/>
  <c r="S890" i="30"/>
  <c r="T898" i="30"/>
  <c r="F864" i="30"/>
  <c r="B592" i="28"/>
  <c r="F598" i="28"/>
  <c r="P558" i="28"/>
  <c r="Q595" i="28"/>
  <c r="A597" i="28"/>
  <c r="B887" i="30"/>
  <c r="T592" i="28"/>
  <c r="W645" i="25"/>
  <c r="F659" i="25"/>
  <c r="T661" i="25"/>
  <c r="B869" i="30"/>
  <c r="W847" i="30"/>
  <c r="S662" i="25"/>
  <c r="Q592" i="28"/>
  <c r="S665" i="25"/>
  <c r="T660" i="25"/>
  <c r="S591" i="28"/>
  <c r="A896" i="30"/>
  <c r="B875" i="30"/>
  <c r="Q664" i="25"/>
  <c r="P821" i="30"/>
  <c r="P829" i="30"/>
  <c r="S889" i="30"/>
  <c r="P831" i="30"/>
  <c r="M831" i="30" s="1"/>
  <c r="N831" i="30" s="1"/>
  <c r="W576" i="28"/>
  <c r="W642" i="25"/>
  <c r="B891" i="30"/>
  <c r="A894" i="30"/>
  <c r="U595" i="28"/>
  <c r="Q666" i="25"/>
  <c r="W866" i="30"/>
  <c r="U887" i="30"/>
  <c r="W844" i="30"/>
  <c r="P559" i="28"/>
  <c r="U896" i="30"/>
  <c r="W871" i="30"/>
  <c r="W643" i="25"/>
  <c r="U664" i="25"/>
  <c r="T895" i="30"/>
  <c r="A596" i="28"/>
  <c r="W850" i="30"/>
  <c r="F898" i="30"/>
  <c r="B897" i="30"/>
  <c r="P561" i="28"/>
  <c r="A893" i="30"/>
  <c r="U668" i="25"/>
  <c r="T890" i="30"/>
  <c r="W864" i="30"/>
  <c r="B662" i="25"/>
  <c r="U598" i="28"/>
  <c r="F597" i="28"/>
  <c r="U894" i="30"/>
  <c r="B872" i="30"/>
  <c r="Q663" i="25"/>
  <c r="F662" i="25"/>
  <c r="S666" i="25"/>
  <c r="T889" i="30"/>
  <c r="U888" i="30"/>
  <c r="B597" i="28"/>
  <c r="P826" i="30"/>
  <c r="U667" i="25"/>
  <c r="S896" i="30"/>
  <c r="T595" i="28"/>
  <c r="F593" i="28"/>
  <c r="S893" i="30"/>
  <c r="F595" i="28"/>
  <c r="T598" i="28"/>
  <c r="T665" i="25"/>
  <c r="W870" i="30"/>
  <c r="T893" i="30"/>
  <c r="F887" i="30"/>
  <c r="W853" i="30"/>
  <c r="W641" i="25"/>
  <c r="S899" i="30"/>
  <c r="F869" i="30"/>
  <c r="Q596" i="28"/>
  <c r="F899" i="30"/>
  <c r="A595" i="28"/>
  <c r="A888" i="30"/>
  <c r="U895" i="30"/>
  <c r="U659" i="25"/>
  <c r="U661" i="25"/>
  <c r="W876" i="30"/>
  <c r="F591" i="28"/>
  <c r="B663" i="25"/>
  <c r="B876" i="30"/>
  <c r="T666" i="25"/>
  <c r="A890" i="30"/>
  <c r="A659" i="25"/>
  <c r="F661" i="25"/>
  <c r="S597" i="28"/>
  <c r="P557" i="28"/>
  <c r="Q659" i="25"/>
  <c r="F895" i="30"/>
  <c r="A667" i="25"/>
  <c r="B864" i="30"/>
  <c r="A898" i="30"/>
  <c r="B596" i="28"/>
  <c r="P818" i="30"/>
  <c r="A895" i="30"/>
  <c r="P562" i="28"/>
  <c r="T594" i="28"/>
  <c r="S894" i="30"/>
  <c r="S596" i="28"/>
  <c r="U892" i="30"/>
  <c r="W872" i="30"/>
  <c r="T597" i="28"/>
  <c r="U665" i="25"/>
  <c r="S897" i="30"/>
  <c r="P819" i="30"/>
  <c r="A664" i="25"/>
  <c r="B874" i="30"/>
  <c r="S598" i="28"/>
  <c r="U593" i="28"/>
  <c r="B598" i="28"/>
  <c r="T897" i="30"/>
  <c r="Q597" i="28"/>
  <c r="F890" i="30"/>
  <c r="P830" i="30"/>
  <c r="W875" i="30"/>
  <c r="S661" i="25"/>
  <c r="W873" i="30"/>
  <c r="T894" i="30"/>
  <c r="B659" i="25"/>
  <c r="W842" i="30"/>
  <c r="S667" i="25"/>
  <c r="F668" i="25"/>
  <c r="F893" i="30"/>
  <c r="Q661" i="25"/>
  <c r="B868" i="30"/>
  <c r="B888" i="30"/>
  <c r="F866" i="30"/>
  <c r="B665" i="25"/>
  <c r="S898" i="30"/>
  <c r="P820" i="30"/>
  <c r="B595" i="28"/>
  <c r="S668" i="25"/>
  <c r="F889" i="30"/>
  <c r="T900" i="30"/>
  <c r="S593" i="28"/>
  <c r="P563" i="28"/>
  <c r="B664" i="25"/>
  <c r="B594" i="28"/>
  <c r="S595" i="28"/>
  <c r="U893" i="30"/>
  <c r="B668" i="25"/>
  <c r="A900" i="30"/>
  <c r="W851" i="30"/>
  <c r="A889" i="30"/>
  <c r="P827" i="30"/>
  <c r="A662" i="25"/>
  <c r="T891" i="30"/>
  <c r="F867" i="30"/>
  <c r="W646" i="25"/>
  <c r="Q665" i="25"/>
  <c r="S663" i="25"/>
  <c r="B892" i="30"/>
  <c r="W865" i="30"/>
  <c r="U897" i="30"/>
  <c r="B591" i="28"/>
  <c r="U597" i="28"/>
  <c r="A663" i="25"/>
  <c r="P560" i="28"/>
  <c r="W869" i="30"/>
  <c r="T668" i="25"/>
  <c r="A660" i="25"/>
  <c r="U596" i="28"/>
  <c r="U663" i="25"/>
  <c r="Q660" i="25"/>
  <c r="F667" i="25"/>
  <c r="J2443" i="34"/>
  <c r="A2326" i="34"/>
  <c r="C575" i="29"/>
  <c r="I2236" i="34"/>
  <c r="I674" i="25"/>
  <c r="F717" i="23"/>
  <c r="J2294" i="34"/>
  <c r="C2570" i="34"/>
  <c r="H2319" i="34"/>
  <c r="A2314" i="34"/>
  <c r="C739" i="23"/>
  <c r="J2296" i="34"/>
  <c r="J2052" i="34"/>
  <c r="B463" i="29"/>
  <c r="A2327" i="34"/>
  <c r="J772" i="23"/>
  <c r="J2295" i="34"/>
  <c r="E604" i="28"/>
  <c r="J2054" i="34"/>
  <c r="J770" i="23"/>
  <c r="H572" i="29"/>
  <c r="A2580" i="34"/>
  <c r="J2051" i="34"/>
  <c r="A2395" i="34"/>
  <c r="C2317" i="34"/>
  <c r="H2326" i="34"/>
  <c r="H2577" i="34"/>
  <c r="I585" i="29"/>
  <c r="F739" i="23"/>
  <c r="I521" i="29"/>
  <c r="H870" i="23"/>
  <c r="A2320" i="34"/>
  <c r="H2501" i="34"/>
  <c r="J509" i="29"/>
  <c r="C576" i="29"/>
  <c r="J2302" i="34"/>
  <c r="J2233" i="34"/>
  <c r="AL38" i="27"/>
  <c r="H573" i="29"/>
  <c r="I526" i="29"/>
  <c r="J757" i="23"/>
  <c r="H2397" i="34"/>
  <c r="J2055" i="34"/>
  <c r="J2301" i="34"/>
  <c r="A2579" i="34"/>
  <c r="H873" i="23"/>
  <c r="C577" i="29"/>
  <c r="H849" i="23"/>
  <c r="A2578" i="34"/>
  <c r="B604" i="28"/>
  <c r="C586" i="29"/>
  <c r="H839" i="23"/>
  <c r="F496" i="29"/>
  <c r="H2499" i="34"/>
  <c r="E674" i="25"/>
  <c r="J779" i="23"/>
  <c r="I2120" i="34"/>
  <c r="I527" i="29"/>
  <c r="A578" i="29"/>
  <c r="J2292" i="34"/>
  <c r="J2226" i="34"/>
  <c r="I2123" i="34"/>
  <c r="J780" i="23"/>
  <c r="A2401" i="34"/>
  <c r="H2512" i="34"/>
  <c r="A865" i="23"/>
  <c r="J773" i="23"/>
  <c r="C496" i="29"/>
  <c r="A2571" i="34"/>
  <c r="H840" i="23"/>
  <c r="C2312" i="34"/>
  <c r="H2574" i="34"/>
  <c r="J749" i="23"/>
  <c r="J2299" i="34"/>
  <c r="H2399" i="34"/>
  <c r="F480" i="29"/>
  <c r="J777" i="23"/>
  <c r="H2332" i="34"/>
  <c r="C2574" i="34"/>
  <c r="C2575" i="34"/>
  <c r="H2576" i="34"/>
  <c r="A2318" i="34"/>
  <c r="A2315" i="34"/>
  <c r="J2056" i="34"/>
  <c r="C2311" i="34"/>
  <c r="H576" i="29"/>
  <c r="H2320" i="34"/>
  <c r="J504" i="29"/>
  <c r="H574" i="29"/>
  <c r="A872" i="23"/>
  <c r="J2293" i="34"/>
  <c r="C2313" i="34"/>
  <c r="A574" i="29"/>
  <c r="I2121" i="34"/>
  <c r="J508" i="29"/>
  <c r="M674" i="25"/>
  <c r="H2318" i="34"/>
  <c r="I2126" i="34"/>
  <c r="J507" i="29"/>
  <c r="A2569" i="34"/>
  <c r="J2225" i="34"/>
  <c r="J2234" i="34"/>
  <c r="C2319" i="34"/>
  <c r="A576" i="29"/>
  <c r="A572" i="29"/>
  <c r="A2332" i="34"/>
  <c r="F673" i="25"/>
  <c r="C571" i="29"/>
  <c r="A2577" i="34"/>
  <c r="J774" i="23"/>
  <c r="J781" i="23"/>
  <c r="I586" i="29"/>
  <c r="C2332" i="34"/>
  <c r="H2401" i="34"/>
  <c r="J771" i="23"/>
  <c r="C2400" i="34"/>
  <c r="C2314" i="34"/>
  <c r="A864" i="23"/>
  <c r="I604" i="28"/>
  <c r="C2331" i="34"/>
  <c r="H2631" i="34"/>
  <c r="H578" i="29"/>
  <c r="A2573" i="34"/>
  <c r="A2575" i="34"/>
  <c r="A862" i="23"/>
  <c r="C863" i="23"/>
  <c r="C573" i="29"/>
  <c r="H872" i="23"/>
  <c r="I522" i="29"/>
  <c r="H2569" i="34"/>
  <c r="H2313" i="34"/>
  <c r="J2304" i="34"/>
  <c r="A2570" i="34"/>
  <c r="H2580" i="34"/>
  <c r="A868" i="23"/>
  <c r="C578" i="29"/>
  <c r="C2397" i="34"/>
  <c r="I2122" i="34"/>
  <c r="H575" i="29"/>
  <c r="A2572" i="34"/>
  <c r="A571" i="29"/>
  <c r="J2057" i="34"/>
  <c r="C574" i="29"/>
  <c r="A2331" i="34"/>
  <c r="H2579" i="34"/>
  <c r="A2316" i="34"/>
  <c r="C867" i="23"/>
  <c r="J756" i="23"/>
  <c r="A2311" i="34"/>
  <c r="J776" i="23"/>
  <c r="I2124" i="34"/>
  <c r="H867" i="23"/>
  <c r="A2576" i="34"/>
  <c r="C868" i="23"/>
  <c r="I520" i="29"/>
  <c r="H2508" i="34"/>
  <c r="I2125" i="34"/>
  <c r="F603" i="28"/>
  <c r="H868" i="23"/>
  <c r="M604" i="28"/>
  <c r="A863" i="23"/>
  <c r="H2575" i="34"/>
  <c r="J506" i="29"/>
  <c r="A2568" i="34"/>
  <c r="A861" i="23"/>
  <c r="A2312" i="34"/>
  <c r="C2320" i="34"/>
  <c r="J778" i="23"/>
  <c r="A871" i="23"/>
  <c r="C2571" i="34"/>
  <c r="H2315" i="34"/>
  <c r="H2316" i="34"/>
  <c r="I525" i="29"/>
  <c r="J505" i="29"/>
  <c r="A2313" i="34"/>
  <c r="A2319" i="34"/>
  <c r="H838" i="23"/>
  <c r="C572" i="29"/>
  <c r="H592" i="29"/>
  <c r="J2297" i="34"/>
  <c r="A867" i="23"/>
  <c r="A577" i="29"/>
  <c r="H2398" i="34"/>
  <c r="H2314" i="34"/>
  <c r="A2574" i="34"/>
  <c r="A2396" i="34"/>
  <c r="J2300" i="34"/>
  <c r="J2303" i="34"/>
  <c r="A2333" i="34"/>
  <c r="C2316" i="34"/>
  <c r="H871" i="23"/>
  <c r="J769" i="23"/>
  <c r="A2317" i="34"/>
  <c r="H2329" i="34"/>
  <c r="H2500" i="34"/>
  <c r="C2315" i="34"/>
  <c r="C2333" i="34"/>
  <c r="H2578" i="34"/>
  <c r="J748" i="23"/>
  <c r="H847" i="23"/>
  <c r="J2053" i="34"/>
  <c r="H2312" i="34"/>
  <c r="H869" i="23"/>
  <c r="A590" i="29"/>
  <c r="I523" i="29"/>
  <c r="C585" i="29"/>
  <c r="I524" i="29"/>
  <c r="I2119" i="34"/>
  <c r="H2510" i="34"/>
  <c r="H577" i="29"/>
  <c r="H2317" i="34"/>
  <c r="C2326" i="34"/>
  <c r="A2329" i="34"/>
  <c r="H862" i="23"/>
  <c r="A575" i="29"/>
  <c r="C2318" i="34"/>
  <c r="A869" i="23"/>
  <c r="A870" i="23"/>
  <c r="A866" i="23"/>
  <c r="F809" i="23"/>
  <c r="B674" i="25"/>
  <c r="H2311" i="34"/>
  <c r="F862" i="30" l="1"/>
  <c r="H2334" i="34"/>
  <c r="B718" i="30"/>
  <c r="J2058" i="34"/>
  <c r="E2074" i="34" s="1"/>
  <c r="N526" i="28"/>
  <c r="V526" i="28" s="1"/>
  <c r="N527" i="28"/>
  <c r="V527" i="28" s="1"/>
  <c r="V510" i="28"/>
  <c r="N529" i="28"/>
  <c r="V529" i="28" s="1"/>
  <c r="N525" i="28"/>
  <c r="V525" i="28" s="1"/>
  <c r="V740" i="30"/>
  <c r="E741" i="30" s="1"/>
  <c r="X871" i="30"/>
  <c r="X872" i="30"/>
  <c r="X870" i="30"/>
  <c r="R825" i="30"/>
  <c r="K825" i="30" s="1"/>
  <c r="G825" i="30"/>
  <c r="R824" i="30"/>
  <c r="K824" i="30" s="1"/>
  <c r="G824" i="30"/>
  <c r="R826" i="30"/>
  <c r="K826" i="30" s="1"/>
  <c r="G826" i="30"/>
  <c r="V779" i="30"/>
  <c r="J2668" i="34"/>
  <c r="A2668" i="34" s="1"/>
  <c r="J2653" i="34"/>
  <c r="A2653" i="34" s="1"/>
  <c r="J2681" i="34"/>
  <c r="A2681" i="34" s="1"/>
  <c r="M763" i="30"/>
  <c r="H764" i="30" s="1"/>
  <c r="C2214" i="34"/>
  <c r="K808" i="30"/>
  <c r="L764" i="30"/>
  <c r="X832" i="30"/>
  <c r="K795" i="30"/>
  <c r="H579" i="29"/>
  <c r="X579" i="28"/>
  <c r="X847" i="30"/>
  <c r="M514" i="28"/>
  <c r="H515" i="28" s="1"/>
  <c r="X853" i="30"/>
  <c r="X576" i="28"/>
  <c r="X648" i="25"/>
  <c r="J759" i="23"/>
  <c r="J2237" i="34"/>
  <c r="C2283" i="34" s="1"/>
  <c r="X842" i="30"/>
  <c r="L515" i="28"/>
  <c r="B481" i="28"/>
  <c r="V511" i="28"/>
  <c r="X640" i="25"/>
  <c r="X844" i="30"/>
  <c r="X578" i="28"/>
  <c r="X645" i="25"/>
  <c r="X641" i="25"/>
  <c r="R822" i="30"/>
  <c r="K822" i="30" s="1"/>
  <c r="G822" i="30"/>
  <c r="R831" i="30"/>
  <c r="G827" i="30"/>
  <c r="R827" i="30"/>
  <c r="K827" i="30" s="1"/>
  <c r="R830" i="30"/>
  <c r="K830" i="30" s="1"/>
  <c r="G830" i="30"/>
  <c r="R823" i="30"/>
  <c r="K823" i="30" s="1"/>
  <c r="G823" i="30"/>
  <c r="G828" i="30"/>
  <c r="R828" i="30"/>
  <c r="K828" i="30" s="1"/>
  <c r="G820" i="30"/>
  <c r="R820" i="30"/>
  <c r="K820" i="30" s="1"/>
  <c r="G819" i="30"/>
  <c r="R819" i="30"/>
  <c r="K819" i="30" s="1"/>
  <c r="G821" i="30"/>
  <c r="R821" i="30"/>
  <c r="K821" i="30" s="1"/>
  <c r="R829" i="30"/>
  <c r="K829" i="30" s="1"/>
  <c r="G829" i="30"/>
  <c r="G832" i="30"/>
  <c r="G818" i="30"/>
  <c r="R818" i="30"/>
  <c r="W855" i="30"/>
  <c r="X850" i="30"/>
  <c r="X575" i="28"/>
  <c r="X643" i="25"/>
  <c r="X574" i="28"/>
  <c r="W582" i="28"/>
  <c r="X647" i="25"/>
  <c r="X577" i="28"/>
  <c r="X644" i="25"/>
  <c r="X580" i="28"/>
  <c r="X851" i="30"/>
  <c r="H2321" i="34"/>
  <c r="X649" i="25"/>
  <c r="X581" i="28"/>
  <c r="X631" i="25"/>
  <c r="M545" i="28"/>
  <c r="K809" i="30"/>
  <c r="V509" i="28"/>
  <c r="X565" i="28"/>
  <c r="M542" i="28"/>
  <c r="I666" i="25"/>
  <c r="G564" i="28"/>
  <c r="R564" i="28"/>
  <c r="K564" i="28" s="1"/>
  <c r="R563" i="28"/>
  <c r="K563" i="28" s="1"/>
  <c r="G563" i="28"/>
  <c r="G557" i="28"/>
  <c r="R557" i="28"/>
  <c r="G565" i="28"/>
  <c r="G560" i="28"/>
  <c r="R560" i="28"/>
  <c r="K560" i="28" s="1"/>
  <c r="R559" i="28"/>
  <c r="K559" i="28" s="1"/>
  <c r="G559" i="28"/>
  <c r="G558" i="28"/>
  <c r="R558" i="28"/>
  <c r="K558" i="28" s="1"/>
  <c r="G561" i="28"/>
  <c r="R561" i="28"/>
  <c r="K561" i="28" s="1"/>
  <c r="R562" i="28"/>
  <c r="K562" i="28" s="1"/>
  <c r="G562" i="28"/>
  <c r="I661" i="25"/>
  <c r="I668" i="25"/>
  <c r="X646" i="25"/>
  <c r="I591" i="28"/>
  <c r="I596" i="28"/>
  <c r="F669" i="25"/>
  <c r="I669" i="25"/>
  <c r="I597" i="28"/>
  <c r="I660" i="25"/>
  <c r="I592" i="28"/>
  <c r="I664" i="25"/>
  <c r="I599" i="28"/>
  <c r="F599" i="28"/>
  <c r="I594" i="28"/>
  <c r="I665" i="25"/>
  <c r="I593" i="28"/>
  <c r="I662" i="25"/>
  <c r="F878" i="30"/>
  <c r="I878" i="30"/>
  <c r="I659" i="25"/>
  <c r="I598" i="28"/>
  <c r="H2513" i="34"/>
  <c r="I595" i="28"/>
  <c r="I663" i="25"/>
  <c r="I667" i="25"/>
  <c r="X642" i="25"/>
  <c r="B676" i="25"/>
  <c r="D617" i="28"/>
  <c r="M606" i="28"/>
  <c r="I676" i="25"/>
  <c r="G606" i="28"/>
  <c r="N606" i="28"/>
  <c r="B637" i="28"/>
  <c r="I606" i="28"/>
  <c r="K676" i="25"/>
  <c r="G676" i="25"/>
  <c r="K689" i="25"/>
  <c r="N676" i="25"/>
  <c r="M676" i="25"/>
  <c r="A617" i="28"/>
  <c r="K674" i="25"/>
  <c r="K604" i="28"/>
  <c r="G689" i="25"/>
  <c r="B711" i="25"/>
  <c r="M547" i="28"/>
  <c r="G617" i="28"/>
  <c r="N524" i="28"/>
  <c r="M541" i="28"/>
  <c r="A606" i="28"/>
  <c r="A689" i="25"/>
  <c r="M617" i="28"/>
  <c r="K606" i="28"/>
  <c r="I689" i="25"/>
  <c r="G604" i="28"/>
  <c r="M544" i="28"/>
  <c r="A674" i="25"/>
  <c r="G674" i="25"/>
  <c r="F606" i="28"/>
  <c r="A604" i="28"/>
  <c r="A688" i="25"/>
  <c r="M546" i="28"/>
  <c r="K617" i="28"/>
  <c r="A616" i="28"/>
  <c r="D689" i="25"/>
  <c r="F676" i="25"/>
  <c r="N528" i="28"/>
  <c r="D604" i="28"/>
  <c r="M689" i="25"/>
  <c r="K540" i="28"/>
  <c r="K548" i="28"/>
  <c r="N523" i="28"/>
  <c r="A676" i="25"/>
  <c r="M540" i="28"/>
  <c r="I617" i="28"/>
  <c r="N530" i="28"/>
  <c r="B606" i="28"/>
  <c r="V497" i="28"/>
  <c r="D674" i="25"/>
  <c r="M543" i="28"/>
  <c r="J2306" i="34"/>
  <c r="V777" i="30"/>
  <c r="V782" i="30"/>
  <c r="V773" i="30"/>
  <c r="V781" i="30"/>
  <c r="V775" i="30"/>
  <c r="V783" i="30"/>
  <c r="V774" i="30"/>
  <c r="V776" i="30"/>
  <c r="V763" i="30"/>
  <c r="M786" i="30"/>
  <c r="X864" i="30"/>
  <c r="X868" i="30"/>
  <c r="X874" i="30"/>
  <c r="X866" i="30"/>
  <c r="X869" i="30"/>
  <c r="X875" i="30"/>
  <c r="J782" i="23"/>
  <c r="X876" i="30"/>
  <c r="X865" i="30"/>
  <c r="X873" i="30"/>
  <c r="L787" i="30"/>
  <c r="V795" i="30"/>
  <c r="I896" i="30"/>
  <c r="I892" i="30"/>
  <c r="I888" i="30"/>
  <c r="I899" i="30"/>
  <c r="I891" i="30"/>
  <c r="I887" i="30"/>
  <c r="I898" i="30"/>
  <c r="I894" i="30"/>
  <c r="I890" i="30"/>
  <c r="I900" i="30"/>
  <c r="I897" i="30"/>
  <c r="I893" i="30"/>
  <c r="I889" i="30"/>
  <c r="I895" i="30"/>
  <c r="E905" i="30"/>
  <c r="A905" i="30"/>
  <c r="C905" i="30"/>
  <c r="D905" i="30"/>
  <c r="A747" i="26"/>
  <c r="B918" i="30"/>
  <c r="U915" i="30"/>
  <c r="B914" i="30"/>
  <c r="T921" i="30"/>
  <c r="B915" i="30"/>
  <c r="A913" i="30"/>
  <c r="U912" i="30"/>
  <c r="F922" i="30"/>
  <c r="A919" i="30"/>
  <c r="T922" i="30"/>
  <c r="B923" i="30"/>
  <c r="A911" i="30"/>
  <c r="S921" i="30"/>
  <c r="B922" i="30"/>
  <c r="S920" i="30"/>
  <c r="A915" i="30"/>
  <c r="U911" i="30"/>
  <c r="A918" i="30"/>
  <c r="A922" i="30"/>
  <c r="B920" i="30"/>
  <c r="T915" i="30"/>
  <c r="B919" i="30"/>
  <c r="S914" i="30"/>
  <c r="B911" i="30"/>
  <c r="A914" i="30"/>
  <c r="U917" i="30"/>
  <c r="U914" i="30"/>
  <c r="F916" i="30"/>
  <c r="A921" i="30"/>
  <c r="A917" i="30"/>
  <c r="S919" i="30"/>
  <c r="U918" i="30"/>
  <c r="T911" i="30"/>
  <c r="T918" i="30"/>
  <c r="A923" i="30"/>
  <c r="U919" i="30"/>
  <c r="S918" i="30"/>
  <c r="T919" i="30"/>
  <c r="B921" i="30"/>
  <c r="B910" i="30"/>
  <c r="A920" i="30"/>
  <c r="A910" i="30"/>
  <c r="U921" i="30"/>
  <c r="T920" i="30"/>
  <c r="S911" i="30"/>
  <c r="S923" i="30"/>
  <c r="T910" i="30"/>
  <c r="B917" i="30"/>
  <c r="B913" i="30"/>
  <c r="T916" i="30"/>
  <c r="A916" i="30"/>
  <c r="U910" i="30"/>
  <c r="A912" i="30"/>
  <c r="T912" i="30"/>
  <c r="A685" i="25"/>
  <c r="B609" i="28"/>
  <c r="T682" i="25"/>
  <c r="W594" i="28"/>
  <c r="W593" i="28"/>
  <c r="F680" i="25"/>
  <c r="W662" i="25"/>
  <c r="B608" i="28"/>
  <c r="A682" i="25"/>
  <c r="S680" i="25"/>
  <c r="T612" i="28"/>
  <c r="S614" i="28"/>
  <c r="A678" i="25"/>
  <c r="S608" i="28"/>
  <c r="A687" i="25"/>
  <c r="U682" i="25"/>
  <c r="U684" i="25"/>
  <c r="P575" i="28"/>
  <c r="F682" i="25"/>
  <c r="T681" i="25"/>
  <c r="A612" i="28"/>
  <c r="Q678" i="25"/>
  <c r="A613" i="28"/>
  <c r="P854" i="30"/>
  <c r="M854" i="30" s="1"/>
  <c r="N854" i="30" s="1"/>
  <c r="Q684" i="25"/>
  <c r="F610" i="28"/>
  <c r="W595" i="28"/>
  <c r="P853" i="30"/>
  <c r="W592" i="28"/>
  <c r="T611" i="28"/>
  <c r="P580" i="28"/>
  <c r="P576" i="28"/>
  <c r="S679" i="25"/>
  <c r="Q681" i="25"/>
  <c r="B679" i="25"/>
  <c r="B611" i="28"/>
  <c r="T683" i="25"/>
  <c r="W892" i="30"/>
  <c r="Q608" i="28"/>
  <c r="F678" i="25"/>
  <c r="T609" i="28"/>
  <c r="T678" i="25"/>
  <c r="A680" i="25"/>
  <c r="W597" i="28"/>
  <c r="W665" i="25"/>
  <c r="S687" i="25"/>
  <c r="A614" i="28"/>
  <c r="U687" i="25"/>
  <c r="F683" i="25"/>
  <c r="Q679" i="25"/>
  <c r="W667" i="25"/>
  <c r="F679" i="25"/>
  <c r="B612" i="28"/>
  <c r="B687" i="25"/>
  <c r="W664" i="25"/>
  <c r="P846" i="30"/>
  <c r="S611" i="28"/>
  <c r="U614" i="28"/>
  <c r="A611" i="28"/>
  <c r="T679" i="25"/>
  <c r="T686" i="25"/>
  <c r="Q612" i="28"/>
  <c r="A679" i="25"/>
  <c r="Q683" i="25"/>
  <c r="U679" i="25"/>
  <c r="U686" i="25"/>
  <c r="A684" i="25"/>
  <c r="P845" i="30"/>
  <c r="B613" i="28"/>
  <c r="B680" i="25"/>
  <c r="B681" i="25"/>
  <c r="W890" i="30"/>
  <c r="T684" i="25"/>
  <c r="W899" i="30"/>
  <c r="S610" i="28"/>
  <c r="A610" i="28"/>
  <c r="B683" i="25"/>
  <c r="U612" i="28"/>
  <c r="W867" i="30"/>
  <c r="W596" i="28"/>
  <c r="F892" i="30"/>
  <c r="A608" i="28"/>
  <c r="B678" i="25"/>
  <c r="T685" i="25"/>
  <c r="U610" i="28"/>
  <c r="F687" i="25"/>
  <c r="F611" i="28"/>
  <c r="A683" i="25"/>
  <c r="U613" i="28"/>
  <c r="F685" i="25"/>
  <c r="T680" i="25"/>
  <c r="S685" i="25"/>
  <c r="B682" i="25"/>
  <c r="U681" i="25"/>
  <c r="T613" i="28"/>
  <c r="W898" i="30"/>
  <c r="T687" i="25"/>
  <c r="B895" i="30"/>
  <c r="Q682" i="25"/>
  <c r="W896" i="30"/>
  <c r="T614" i="28"/>
  <c r="F612" i="28"/>
  <c r="P849" i="30"/>
  <c r="U680" i="25"/>
  <c r="F615" i="28"/>
  <c r="P848" i="30"/>
  <c r="P841" i="30"/>
  <c r="A615" i="28"/>
  <c r="U608" i="28"/>
  <c r="S684" i="25"/>
  <c r="W598" i="28"/>
  <c r="S613" i="28"/>
  <c r="F684" i="25"/>
  <c r="W889" i="30"/>
  <c r="P851" i="30"/>
  <c r="P578" i="28"/>
  <c r="F613" i="28"/>
  <c r="A686" i="25"/>
  <c r="S678" i="25"/>
  <c r="F609" i="28"/>
  <c r="W893" i="30"/>
  <c r="B610" i="28"/>
  <c r="F608" i="28"/>
  <c r="W591" i="28"/>
  <c r="Q680" i="25"/>
  <c r="W895" i="30"/>
  <c r="Q615" i="28"/>
  <c r="Q686" i="25"/>
  <c r="Q610" i="28"/>
  <c r="S683" i="25"/>
  <c r="S900" i="30"/>
  <c r="W661" i="25"/>
  <c r="W887" i="30"/>
  <c r="Q613" i="28"/>
  <c r="U609" i="28"/>
  <c r="W888" i="30"/>
  <c r="U678" i="25"/>
  <c r="T615" i="28"/>
  <c r="B614" i="28"/>
  <c r="F681" i="25"/>
  <c r="U683" i="25"/>
  <c r="P579" i="28"/>
  <c r="B684" i="25"/>
  <c r="S686" i="25"/>
  <c r="A609" i="28"/>
  <c r="Q611" i="28"/>
  <c r="B615" i="28"/>
  <c r="P577" i="28"/>
  <c r="W891" i="30"/>
  <c r="W663" i="25"/>
  <c r="S612" i="28"/>
  <c r="B686" i="25"/>
  <c r="B685" i="25"/>
  <c r="W668" i="25"/>
  <c r="U685" i="25"/>
  <c r="P843" i="30"/>
  <c r="U611" i="28"/>
  <c r="F888" i="30"/>
  <c r="P850" i="30"/>
  <c r="S681" i="25"/>
  <c r="W897" i="30"/>
  <c r="Q687" i="25"/>
  <c r="Q614" i="28"/>
  <c r="F614" i="28"/>
  <c r="W894" i="30"/>
  <c r="P581" i="28"/>
  <c r="P844" i="30"/>
  <c r="W666" i="25"/>
  <c r="T608" i="28"/>
  <c r="P852" i="30"/>
  <c r="F686" i="25"/>
  <c r="Q609" i="28"/>
  <c r="A681" i="25"/>
  <c r="F897" i="30"/>
  <c r="U615" i="28"/>
  <c r="S682" i="25"/>
  <c r="S609" i="28"/>
  <c r="W659" i="25"/>
  <c r="P847" i="30"/>
  <c r="S615" i="28"/>
  <c r="Q685" i="25"/>
  <c r="W660" i="25"/>
  <c r="P574" i="28"/>
  <c r="F896" i="30"/>
  <c r="P842" i="30"/>
  <c r="T610" i="28"/>
  <c r="J2512" i="34"/>
  <c r="H2396" i="34"/>
  <c r="J2372" i="34"/>
  <c r="A2648" i="34"/>
  <c r="J804" i="23"/>
  <c r="I2369" i="34"/>
  <c r="C2383" i="34"/>
  <c r="H2645" i="34"/>
  <c r="I544" i="29"/>
  <c r="I2370" i="34"/>
  <c r="C895" i="23"/>
  <c r="J2362" i="34"/>
  <c r="H2650" i="34"/>
  <c r="C2398" i="34"/>
  <c r="A2397" i="34"/>
  <c r="F692" i="25"/>
  <c r="A2649" i="34"/>
  <c r="C866" i="23"/>
  <c r="C886" i="23"/>
  <c r="J523" i="29"/>
  <c r="J2367" i="34"/>
  <c r="C865" i="23"/>
  <c r="C861" i="23"/>
  <c r="A2387" i="34"/>
  <c r="A886" i="23"/>
  <c r="I693" i="25"/>
  <c r="H2388" i="34"/>
  <c r="C589" i="29"/>
  <c r="H865" i="23"/>
  <c r="C2395" i="34"/>
  <c r="C891" i="23"/>
  <c r="J800" i="23"/>
  <c r="I800" i="23"/>
  <c r="I802" i="23"/>
  <c r="C871" i="23"/>
  <c r="C2580" i="34"/>
  <c r="C870" i="23"/>
  <c r="A2381" i="34"/>
  <c r="H2639" i="34"/>
  <c r="A2640" i="34"/>
  <c r="H2649" i="34"/>
  <c r="I798" i="23"/>
  <c r="C2384" i="34"/>
  <c r="J2363" i="34"/>
  <c r="A2644" i="34"/>
  <c r="C2576" i="34"/>
  <c r="H891" i="23"/>
  <c r="H590" i="29"/>
  <c r="I792" i="23"/>
  <c r="C2389" i="34"/>
  <c r="H2382" i="34"/>
  <c r="J2123" i="34"/>
  <c r="J799" i="23"/>
  <c r="I2305" i="34"/>
  <c r="A593" i="29"/>
  <c r="H2640" i="34"/>
  <c r="B480" i="29"/>
  <c r="C893" i="23"/>
  <c r="F513" i="29"/>
  <c r="H886" i="23"/>
  <c r="C2386" i="34"/>
  <c r="I2372" i="34"/>
  <c r="H589" i="29"/>
  <c r="C785" i="23"/>
  <c r="A885" i="23"/>
  <c r="A884" i="23"/>
  <c r="I794" i="23"/>
  <c r="A2402" i="34"/>
  <c r="J2361" i="34"/>
  <c r="J521" i="29"/>
  <c r="A2386" i="34"/>
  <c r="H863" i="23"/>
  <c r="C890" i="23"/>
  <c r="C2380" i="34"/>
  <c r="I2361" i="34"/>
  <c r="A2639" i="34"/>
  <c r="A895" i="23"/>
  <c r="A2383" i="34"/>
  <c r="I2363" i="34"/>
  <c r="C885" i="23"/>
  <c r="H864" i="23"/>
  <c r="C884" i="23"/>
  <c r="C896" i="23"/>
  <c r="C2648" i="34"/>
  <c r="H591" i="29"/>
  <c r="A2645" i="34"/>
  <c r="M621" i="28"/>
  <c r="C2385" i="34"/>
  <c r="C2578" i="34"/>
  <c r="H2572" i="34"/>
  <c r="C2471" i="34"/>
  <c r="C2642" i="34"/>
  <c r="A592" i="29"/>
  <c r="H2684" i="34"/>
  <c r="C590" i="29"/>
  <c r="A892" i="23"/>
  <c r="E621" i="28"/>
  <c r="B693" i="25"/>
  <c r="C889" i="23"/>
  <c r="I2365" i="34"/>
  <c r="A595" i="29"/>
  <c r="C588" i="29"/>
  <c r="H887" i="23"/>
  <c r="C864" i="23"/>
  <c r="H2471" i="34"/>
  <c r="C888" i="23"/>
  <c r="I2364" i="34"/>
  <c r="C2641" i="34"/>
  <c r="A2385" i="34"/>
  <c r="A2471" i="34"/>
  <c r="H896" i="23"/>
  <c r="C2396" i="34"/>
  <c r="A893" i="23"/>
  <c r="J2364" i="34"/>
  <c r="A889" i="23"/>
  <c r="A2382" i="34"/>
  <c r="I804" i="23"/>
  <c r="A2399" i="34"/>
  <c r="A890" i="23"/>
  <c r="I543" i="29"/>
  <c r="J2121" i="34"/>
  <c r="J520" i="29"/>
  <c r="I801" i="23"/>
  <c r="J525" i="29"/>
  <c r="I799" i="23"/>
  <c r="H2470" i="34"/>
  <c r="H594" i="29"/>
  <c r="C873" i="23"/>
  <c r="A2389" i="34"/>
  <c r="A2467" i="34"/>
  <c r="C2643" i="34"/>
  <c r="C887" i="23"/>
  <c r="I793" i="23"/>
  <c r="I2362" i="34"/>
  <c r="A2384" i="34"/>
  <c r="C2638" i="34"/>
  <c r="C2402" i="34"/>
  <c r="C2579" i="34"/>
  <c r="C592" i="29"/>
  <c r="A2642" i="34"/>
  <c r="B717" i="23"/>
  <c r="J2122" i="34"/>
  <c r="H2402" i="34"/>
  <c r="H861" i="23"/>
  <c r="A2380" i="34"/>
  <c r="H608" i="29"/>
  <c r="J802" i="23"/>
  <c r="H866" i="23"/>
  <c r="J794" i="23"/>
  <c r="H2581" i="34"/>
  <c r="J2369" i="34"/>
  <c r="H2384" i="34"/>
  <c r="C2399" i="34"/>
  <c r="H2395" i="34"/>
  <c r="J2368" i="34"/>
  <c r="I803" i="23"/>
  <c r="A2643" i="34"/>
  <c r="I2195" i="34"/>
  <c r="A2400" i="34"/>
  <c r="I795" i="23"/>
  <c r="J798" i="23"/>
  <c r="C872" i="23"/>
  <c r="I541" i="29"/>
  <c r="C762" i="23"/>
  <c r="J2373" i="34"/>
  <c r="I2190" i="34"/>
  <c r="C2573" i="34"/>
  <c r="A873" i="23"/>
  <c r="A891" i="23"/>
  <c r="I2193" i="34"/>
  <c r="I603" i="29"/>
  <c r="H2648" i="34"/>
  <c r="J2125" i="34"/>
  <c r="A2650" i="34"/>
  <c r="A2398" i="34"/>
  <c r="H2387" i="34"/>
  <c r="C2649" i="34"/>
  <c r="A591" i="29"/>
  <c r="H2383" i="34"/>
  <c r="H2400" i="34"/>
  <c r="A2388" i="34"/>
  <c r="A2581" i="34"/>
  <c r="A2641" i="34"/>
  <c r="J522" i="29"/>
  <c r="C2572" i="34"/>
  <c r="J2120" i="34"/>
  <c r="A887" i="23"/>
  <c r="J801" i="23"/>
  <c r="C2581" i="34"/>
  <c r="I2194" i="34"/>
  <c r="C2569" i="34"/>
  <c r="I2188" i="34"/>
  <c r="J793" i="23"/>
  <c r="C862" i="23"/>
  <c r="A2646" i="34"/>
  <c r="I2373" i="34"/>
  <c r="A588" i="29"/>
  <c r="I2371" i="34"/>
  <c r="I2191" i="34"/>
  <c r="H2571" i="34"/>
  <c r="A2647" i="34"/>
  <c r="C2568" i="34"/>
  <c r="H884" i="23"/>
  <c r="H2380" i="34"/>
  <c r="C2646" i="34"/>
  <c r="I2367" i="34"/>
  <c r="C603" i="29"/>
  <c r="I602" i="29"/>
  <c r="H2389" i="34"/>
  <c r="H2568" i="34"/>
  <c r="J2126" i="34"/>
  <c r="I542" i="29"/>
  <c r="H2467" i="34"/>
  <c r="I2366" i="34"/>
  <c r="A894" i="23"/>
  <c r="I797" i="23"/>
  <c r="C2387" i="34"/>
  <c r="H2385" i="34"/>
  <c r="C594" i="29"/>
  <c r="C2464" i="34"/>
  <c r="A589" i="29"/>
  <c r="E693" i="25"/>
  <c r="J2370" i="34"/>
  <c r="I2368" i="34"/>
  <c r="H890" i="23"/>
  <c r="H595" i="29"/>
  <c r="B621" i="28"/>
  <c r="H588" i="29"/>
  <c r="AL39" i="27"/>
  <c r="A888" i="23"/>
  <c r="H2570" i="34"/>
  <c r="I2192" i="34"/>
  <c r="C513" i="29"/>
  <c r="C602" i="29"/>
  <c r="J803" i="23"/>
  <c r="C2577" i="34"/>
  <c r="C2470" i="34"/>
  <c r="C2466" i="34"/>
  <c r="C894" i="23"/>
  <c r="J795" i="23"/>
  <c r="J792" i="23"/>
  <c r="F740" i="23"/>
  <c r="H895" i="23"/>
  <c r="C2639" i="34"/>
  <c r="F762" i="23"/>
  <c r="A594" i="29"/>
  <c r="M693" i="25"/>
  <c r="H2641" i="34"/>
  <c r="J526" i="29"/>
  <c r="C2465" i="34"/>
  <c r="J527" i="29"/>
  <c r="C593" i="29"/>
  <c r="C595" i="29"/>
  <c r="C2640" i="34"/>
  <c r="H2465" i="34"/>
  <c r="H593" i="29"/>
  <c r="H2689" i="34"/>
  <c r="I537" i="29"/>
  <c r="H2644" i="34"/>
  <c r="C2401" i="34"/>
  <c r="A2637" i="34"/>
  <c r="J2371" i="34"/>
  <c r="I539" i="29"/>
  <c r="I2189" i="34"/>
  <c r="C869" i="23"/>
  <c r="C2637" i="34"/>
  <c r="H2643" i="34"/>
  <c r="C2388" i="34"/>
  <c r="H2381" i="34"/>
  <c r="C2382" i="34"/>
  <c r="A896" i="23"/>
  <c r="H2573" i="34"/>
  <c r="C2381" i="34"/>
  <c r="H2386" i="34"/>
  <c r="C591" i="29"/>
  <c r="H2686" i="34"/>
  <c r="I540" i="29"/>
  <c r="I538" i="29"/>
  <c r="C2650" i="34"/>
  <c r="J2124" i="34"/>
  <c r="C2647" i="34"/>
  <c r="H2464" i="34"/>
  <c r="I621" i="28"/>
  <c r="H2469" i="34"/>
  <c r="I796" i="23"/>
  <c r="A2690" i="34"/>
  <c r="J2119" i="34"/>
  <c r="A2638" i="34"/>
  <c r="F620" i="28"/>
  <c r="F885" i="30" l="1"/>
  <c r="H2403" i="34"/>
  <c r="B741" i="30"/>
  <c r="J2127" i="34"/>
  <c r="E2143" i="34" s="1"/>
  <c r="N542" i="28"/>
  <c r="V542" i="28" s="1"/>
  <c r="X895" i="30"/>
  <c r="X893" i="30"/>
  <c r="X894" i="30"/>
  <c r="V826" i="30"/>
  <c r="B764" i="30"/>
  <c r="E764" i="30"/>
  <c r="H2682" i="34"/>
  <c r="A2691" i="34"/>
  <c r="J2682" i="34"/>
  <c r="I2682" i="34"/>
  <c r="B2680" i="34"/>
  <c r="A2682" i="34"/>
  <c r="C2682" i="34"/>
  <c r="I2691" i="34"/>
  <c r="H2691" i="34"/>
  <c r="H2654" i="34"/>
  <c r="B2652" i="34"/>
  <c r="A2654" i="34"/>
  <c r="A2666" i="34"/>
  <c r="J2654" i="34"/>
  <c r="I2666" i="34"/>
  <c r="I2654" i="34"/>
  <c r="C2654" i="34"/>
  <c r="I2669" i="34"/>
  <c r="J2669" i="34"/>
  <c r="C2669" i="34"/>
  <c r="A2669" i="34"/>
  <c r="I2679" i="34"/>
  <c r="H2669" i="34"/>
  <c r="B2667" i="34"/>
  <c r="A2679" i="34"/>
  <c r="X667" i="25"/>
  <c r="K831" i="30"/>
  <c r="C2281" i="34"/>
  <c r="H787" i="30"/>
  <c r="V514" i="28"/>
  <c r="E515" i="28" s="1"/>
  <c r="H596" i="29"/>
  <c r="X594" i="28"/>
  <c r="K818" i="30"/>
  <c r="V800" i="30"/>
  <c r="X855" i="30"/>
  <c r="E856" i="30" s="1"/>
  <c r="M559" i="28"/>
  <c r="X867" i="30"/>
  <c r="X878" i="30" s="1"/>
  <c r="W878" i="30"/>
  <c r="X597" i="28"/>
  <c r="X665" i="25"/>
  <c r="X582" i="28"/>
  <c r="K832" i="30"/>
  <c r="X662" i="25"/>
  <c r="X659" i="25"/>
  <c r="G847" i="30"/>
  <c r="R847" i="30"/>
  <c r="K847" i="30" s="1"/>
  <c r="R843" i="30"/>
  <c r="K843" i="30" s="1"/>
  <c r="G843" i="30"/>
  <c r="R854" i="30"/>
  <c r="R842" i="30"/>
  <c r="K842" i="30" s="1"/>
  <c r="G842" i="30"/>
  <c r="R841" i="30"/>
  <c r="G841" i="30"/>
  <c r="G855" i="30"/>
  <c r="G852" i="30"/>
  <c r="R852" i="30"/>
  <c r="K852" i="30" s="1"/>
  <c r="R853" i="30"/>
  <c r="K853" i="30" s="1"/>
  <c r="G853" i="30"/>
  <c r="G851" i="30"/>
  <c r="R851" i="30"/>
  <c r="K851" i="30" s="1"/>
  <c r="R850" i="30"/>
  <c r="K850" i="30" s="1"/>
  <c r="G850" i="30"/>
  <c r="G848" i="30"/>
  <c r="R848" i="30"/>
  <c r="K848" i="30" s="1"/>
  <c r="R845" i="30"/>
  <c r="K845" i="30" s="1"/>
  <c r="G845" i="30"/>
  <c r="R844" i="30"/>
  <c r="K844" i="30" s="1"/>
  <c r="G844" i="30"/>
  <c r="G849" i="30"/>
  <c r="R849" i="30"/>
  <c r="K849" i="30" s="1"/>
  <c r="R846" i="30"/>
  <c r="K846" i="30" s="1"/>
  <c r="G846" i="30"/>
  <c r="X595" i="28"/>
  <c r="X661" i="25"/>
  <c r="X666" i="25"/>
  <c r="G575" i="28"/>
  <c r="R575" i="28"/>
  <c r="K575" i="28" s="1"/>
  <c r="R574" i="28"/>
  <c r="M574" i="28" s="1"/>
  <c r="N574" i="28" s="1"/>
  <c r="G574" i="28"/>
  <c r="G582" i="28"/>
  <c r="R579" i="28"/>
  <c r="K579" i="28" s="1"/>
  <c r="G579" i="28"/>
  <c r="R576" i="28"/>
  <c r="K576" i="28" s="1"/>
  <c r="G576" i="28"/>
  <c r="R578" i="28"/>
  <c r="K578" i="28" s="1"/>
  <c r="G578" i="28"/>
  <c r="R577" i="28"/>
  <c r="K577" i="28" s="1"/>
  <c r="G577" i="28"/>
  <c r="G581" i="28"/>
  <c r="R581" i="28"/>
  <c r="K581" i="28" s="1"/>
  <c r="G580" i="28"/>
  <c r="R580" i="28"/>
  <c r="K580" i="28" s="1"/>
  <c r="X593" i="28"/>
  <c r="X592" i="28"/>
  <c r="X596" i="28"/>
  <c r="X591" i="28"/>
  <c r="W599" i="28"/>
  <c r="H2390" i="34"/>
  <c r="X598" i="28"/>
  <c r="X660" i="25"/>
  <c r="X668" i="25"/>
  <c r="X650" i="25"/>
  <c r="N545" i="28"/>
  <c r="M562" i="28"/>
  <c r="M560" i="28"/>
  <c r="M563" i="28"/>
  <c r="M558" i="28"/>
  <c r="I682" i="25"/>
  <c r="I610" i="28"/>
  <c r="I608" i="28"/>
  <c r="F901" i="30"/>
  <c r="I901" i="30"/>
  <c r="F616" i="28"/>
  <c r="I616" i="28"/>
  <c r="I687" i="25"/>
  <c r="I609" i="28"/>
  <c r="I684" i="25"/>
  <c r="I681" i="25"/>
  <c r="I680" i="25"/>
  <c r="I612" i="28"/>
  <c r="I611" i="28"/>
  <c r="I688" i="25"/>
  <c r="F688" i="25"/>
  <c r="I613" i="28"/>
  <c r="I614" i="28"/>
  <c r="I685" i="25"/>
  <c r="H2582" i="34"/>
  <c r="I686" i="25"/>
  <c r="I615" i="28"/>
  <c r="X664" i="25"/>
  <c r="X663" i="25"/>
  <c r="I678" i="25"/>
  <c r="I679" i="25"/>
  <c r="I683" i="25"/>
  <c r="F695" i="25"/>
  <c r="I623" i="28"/>
  <c r="D708" i="25"/>
  <c r="N541" i="28"/>
  <c r="M708" i="25"/>
  <c r="V524" i="28"/>
  <c r="G695" i="25"/>
  <c r="M561" i="28"/>
  <c r="N543" i="28"/>
  <c r="G634" i="28"/>
  <c r="A633" i="28"/>
  <c r="N547" i="28"/>
  <c r="K634" i="28"/>
  <c r="D693" i="25"/>
  <c r="N546" i="28"/>
  <c r="A707" i="25"/>
  <c r="B730" i="25"/>
  <c r="N623" i="28"/>
  <c r="B623" i="28"/>
  <c r="F623" i="28"/>
  <c r="A621" i="28"/>
  <c r="G623" i="28"/>
  <c r="I695" i="25"/>
  <c r="E498" i="28"/>
  <c r="B498" i="28"/>
  <c r="G693" i="25"/>
  <c r="G708" i="25"/>
  <c r="M623" i="28"/>
  <c r="V530" i="28"/>
  <c r="K621" i="28"/>
  <c r="D634" i="28"/>
  <c r="A693" i="25"/>
  <c r="K693" i="25"/>
  <c r="B695" i="25"/>
  <c r="I634" i="28"/>
  <c r="N544" i="28"/>
  <c r="A634" i="28"/>
  <c r="M557" i="28"/>
  <c r="K557" i="28"/>
  <c r="K565" i="28"/>
  <c r="N540" i="28"/>
  <c r="I708" i="25"/>
  <c r="N695" i="25"/>
  <c r="M695" i="25"/>
  <c r="A695" i="25"/>
  <c r="V523" i="28"/>
  <c r="M531" i="28"/>
  <c r="H532" i="28" s="1"/>
  <c r="L532" i="28"/>
  <c r="K623" i="28"/>
  <c r="K708" i="25"/>
  <c r="M634" i="28"/>
  <c r="M564" i="28"/>
  <c r="G621" i="28"/>
  <c r="A708" i="25"/>
  <c r="D621" i="28"/>
  <c r="V528" i="28"/>
  <c r="K695" i="25"/>
  <c r="A623" i="28"/>
  <c r="V797" i="30"/>
  <c r="V806" i="30"/>
  <c r="V803" i="30"/>
  <c r="V801" i="30"/>
  <c r="V798" i="30"/>
  <c r="V805" i="30"/>
  <c r="V802" i="30"/>
  <c r="C2350" i="34"/>
  <c r="C2352" i="34"/>
  <c r="V799" i="30"/>
  <c r="V786" i="30"/>
  <c r="B787" i="30" s="1"/>
  <c r="V796" i="30"/>
  <c r="V804" i="30"/>
  <c r="X888" i="30"/>
  <c r="X890" i="30"/>
  <c r="X891" i="30"/>
  <c r="X899" i="30"/>
  <c r="X892" i="30"/>
  <c r="X889" i="30"/>
  <c r="X898" i="30"/>
  <c r="X897" i="30"/>
  <c r="X896" i="30"/>
  <c r="X887" i="30"/>
  <c r="W901" i="30"/>
  <c r="V818" i="30"/>
  <c r="I920" i="30"/>
  <c r="I916" i="30"/>
  <c r="I912" i="30"/>
  <c r="I922" i="30"/>
  <c r="I918" i="30"/>
  <c r="I910" i="30"/>
  <c r="I919" i="30"/>
  <c r="I921" i="30"/>
  <c r="I911" i="30"/>
  <c r="I915" i="30"/>
  <c r="D928" i="30"/>
  <c r="E928" i="30"/>
  <c r="C928" i="30"/>
  <c r="A928" i="30"/>
  <c r="A766" i="26"/>
  <c r="F913" i="30"/>
  <c r="W914" i="30"/>
  <c r="T913" i="30"/>
  <c r="S910" i="30"/>
  <c r="F910" i="30"/>
  <c r="U923" i="30"/>
  <c r="S913" i="30"/>
  <c r="U916" i="30"/>
  <c r="W911" i="30"/>
  <c r="F918" i="30"/>
  <c r="W918" i="30"/>
  <c r="F923" i="30"/>
  <c r="F911" i="30"/>
  <c r="S922" i="30"/>
  <c r="S912" i="30"/>
  <c r="F912" i="30"/>
  <c r="W921" i="30"/>
  <c r="F915" i="30"/>
  <c r="F917" i="30"/>
  <c r="U922" i="30"/>
  <c r="T914" i="30"/>
  <c r="F921" i="30"/>
  <c r="S917" i="30"/>
  <c r="B912" i="30"/>
  <c r="W919" i="30"/>
  <c r="B916" i="30"/>
  <c r="U913" i="30"/>
  <c r="S916" i="30"/>
  <c r="F920" i="30"/>
  <c r="S915" i="30"/>
  <c r="F919" i="30"/>
  <c r="T923" i="30"/>
  <c r="T917" i="30"/>
  <c r="F914" i="30"/>
  <c r="U920" i="30"/>
  <c r="A706" i="25"/>
  <c r="T697" i="25"/>
  <c r="Q629" i="28"/>
  <c r="A699" i="25"/>
  <c r="S628" i="28"/>
  <c r="S631" i="28"/>
  <c r="W683" i="25"/>
  <c r="S706" i="25"/>
  <c r="S630" i="28"/>
  <c r="P865" i="30"/>
  <c r="Q704" i="25"/>
  <c r="W611" i="28"/>
  <c r="A705" i="25"/>
  <c r="F699" i="25"/>
  <c r="B706" i="25"/>
  <c r="P871" i="30"/>
  <c r="A704" i="25"/>
  <c r="P899" i="30"/>
  <c r="F625" i="28"/>
  <c r="A629" i="28"/>
  <c r="P889" i="30"/>
  <c r="Q625" i="28"/>
  <c r="Q627" i="28"/>
  <c r="U625" i="28"/>
  <c r="W609" i="28"/>
  <c r="Q705" i="25"/>
  <c r="Q632" i="28"/>
  <c r="F632" i="28"/>
  <c r="B628" i="28"/>
  <c r="Q703" i="25"/>
  <c r="B626" i="28"/>
  <c r="F628" i="28"/>
  <c r="F630" i="28"/>
  <c r="A701" i="25"/>
  <c r="S627" i="28"/>
  <c r="Q700" i="25"/>
  <c r="T626" i="28"/>
  <c r="P896" i="30"/>
  <c r="B705" i="25"/>
  <c r="U705" i="25"/>
  <c r="B625" i="28"/>
  <c r="S626" i="28"/>
  <c r="B627" i="28"/>
  <c r="W680" i="25"/>
  <c r="P872" i="30"/>
  <c r="T702" i="25"/>
  <c r="P895" i="30"/>
  <c r="P873" i="30"/>
  <c r="A628" i="28"/>
  <c r="U698" i="25"/>
  <c r="Q701" i="25"/>
  <c r="P891" i="30"/>
  <c r="P888" i="30"/>
  <c r="Q702" i="25"/>
  <c r="W682" i="25"/>
  <c r="A697" i="25"/>
  <c r="Q626" i="28"/>
  <c r="W613" i="28"/>
  <c r="F698" i="25"/>
  <c r="B698" i="25"/>
  <c r="F701" i="25"/>
  <c r="F700" i="25"/>
  <c r="P900" i="30"/>
  <c r="M900" i="30" s="1"/>
  <c r="N900" i="30" s="1"/>
  <c r="S700" i="25"/>
  <c r="U702" i="25"/>
  <c r="Q630" i="28"/>
  <c r="T628" i="28"/>
  <c r="T630" i="28"/>
  <c r="W687" i="25"/>
  <c r="W612" i="28"/>
  <c r="Q697" i="25"/>
  <c r="T629" i="28"/>
  <c r="T700" i="25"/>
  <c r="S625" i="28"/>
  <c r="P868" i="30"/>
  <c r="A625" i="28"/>
  <c r="S704" i="25"/>
  <c r="P866" i="30"/>
  <c r="S699" i="25"/>
  <c r="F702" i="25"/>
  <c r="P875" i="30"/>
  <c r="U704" i="25"/>
  <c r="U630" i="28"/>
  <c r="T699" i="25"/>
  <c r="U701" i="25"/>
  <c r="P898" i="30"/>
  <c r="P870" i="30"/>
  <c r="S703" i="25"/>
  <c r="A698" i="25"/>
  <c r="T631" i="28"/>
  <c r="S629" i="28"/>
  <c r="F627" i="28"/>
  <c r="B631" i="28"/>
  <c r="S697" i="25"/>
  <c r="W614" i="28"/>
  <c r="U700" i="25"/>
  <c r="B700" i="25"/>
  <c r="Q631" i="28"/>
  <c r="P594" i="28"/>
  <c r="P596" i="28"/>
  <c r="U632" i="28"/>
  <c r="P897" i="30"/>
  <c r="F626" i="28"/>
  <c r="T701" i="25"/>
  <c r="F705" i="25"/>
  <c r="P892" i="30"/>
  <c r="A632" i="28"/>
  <c r="W608" i="28"/>
  <c r="B629" i="28"/>
  <c r="Q628" i="28"/>
  <c r="B699" i="25"/>
  <c r="U628" i="28"/>
  <c r="T704" i="25"/>
  <c r="B632" i="28"/>
  <c r="F631" i="28"/>
  <c r="S701" i="25"/>
  <c r="A631" i="28"/>
  <c r="U703" i="25"/>
  <c r="P591" i="28"/>
  <c r="F706" i="25"/>
  <c r="P894" i="30"/>
  <c r="T625" i="28"/>
  <c r="T703" i="25"/>
  <c r="F703" i="25"/>
  <c r="W685" i="25"/>
  <c r="T706" i="25"/>
  <c r="P874" i="30"/>
  <c r="T698" i="25"/>
  <c r="W686" i="25"/>
  <c r="U626" i="28"/>
  <c r="Q699" i="25"/>
  <c r="B704" i="25"/>
  <c r="W615" i="28"/>
  <c r="S698" i="25"/>
  <c r="U629" i="28"/>
  <c r="U631" i="28"/>
  <c r="P592" i="28"/>
  <c r="A702" i="25"/>
  <c r="P877" i="30"/>
  <c r="M877" i="30" s="1"/>
  <c r="N877" i="30" s="1"/>
  <c r="P876" i="30"/>
  <c r="F704" i="25"/>
  <c r="S705" i="25"/>
  <c r="S702" i="25"/>
  <c r="W684" i="25"/>
  <c r="Q706" i="25"/>
  <c r="A630" i="28"/>
  <c r="P867" i="30"/>
  <c r="A627" i="28"/>
  <c r="B703" i="25"/>
  <c r="U627" i="28"/>
  <c r="Q698" i="25"/>
  <c r="P890" i="30"/>
  <c r="W678" i="25"/>
  <c r="W610" i="28"/>
  <c r="B630" i="28"/>
  <c r="U697" i="25"/>
  <c r="U699" i="25"/>
  <c r="T705" i="25"/>
  <c r="B701" i="25"/>
  <c r="S632" i="28"/>
  <c r="B697" i="25"/>
  <c r="A626" i="28"/>
  <c r="T627" i="28"/>
  <c r="T632" i="28"/>
  <c r="F629" i="28"/>
  <c r="P595" i="28"/>
  <c r="U706" i="25"/>
  <c r="P887" i="30"/>
  <c r="A700" i="25"/>
  <c r="B702" i="25"/>
  <c r="P598" i="28"/>
  <c r="P864" i="30"/>
  <c r="P597" i="28"/>
  <c r="W679" i="25"/>
  <c r="P893" i="30"/>
  <c r="P593" i="28"/>
  <c r="F697" i="25"/>
  <c r="W681" i="25"/>
  <c r="P869" i="30"/>
  <c r="A703" i="25"/>
  <c r="J2650" i="34"/>
  <c r="J2581" i="34"/>
  <c r="I2258" i="34"/>
  <c r="H2712" i="34"/>
  <c r="A917" i="23"/>
  <c r="C2714" i="34"/>
  <c r="I712" i="25"/>
  <c r="A2450" i="34"/>
  <c r="H913" i="23"/>
  <c r="A914" i="23"/>
  <c r="C605" i="29"/>
  <c r="I819" i="23"/>
  <c r="J2440" i="34"/>
  <c r="B712" i="25"/>
  <c r="H2646" i="34"/>
  <c r="J820" i="23"/>
  <c r="A606" i="29"/>
  <c r="C2457" i="34"/>
  <c r="A611" i="29"/>
  <c r="C2684" i="34"/>
  <c r="A2466" i="34"/>
  <c r="I620" i="29"/>
  <c r="H2690" i="34"/>
  <c r="H2457" i="34"/>
  <c r="C2456" i="34"/>
  <c r="A2706" i="34"/>
  <c r="H612" i="29"/>
  <c r="C610" i="29"/>
  <c r="A2452" i="34"/>
  <c r="J2365" i="34"/>
  <c r="I824" i="23"/>
  <c r="A908" i="23"/>
  <c r="A2687" i="34"/>
  <c r="B740" i="23"/>
  <c r="I2439" i="34"/>
  <c r="C919" i="23"/>
  <c r="C627" i="29"/>
  <c r="J819" i="23"/>
  <c r="J2190" i="34"/>
  <c r="H606" i="29"/>
  <c r="J2433" i="34"/>
  <c r="A913" i="23"/>
  <c r="H889" i="23"/>
  <c r="I2326" i="34"/>
  <c r="J827" i="23"/>
  <c r="J817" i="23"/>
  <c r="A2689" i="34"/>
  <c r="A2711" i="34"/>
  <c r="C2685" i="34"/>
  <c r="C619" i="29"/>
  <c r="I2374" i="34"/>
  <c r="J2193" i="34"/>
  <c r="C2719" i="34"/>
  <c r="A2712" i="34"/>
  <c r="I2432" i="34"/>
  <c r="H2642" i="34"/>
  <c r="A2464" i="34"/>
  <c r="C2718" i="34"/>
  <c r="C2711" i="34"/>
  <c r="J2435" i="34"/>
  <c r="H2685" i="34"/>
  <c r="A2453" i="34"/>
  <c r="H2688" i="34"/>
  <c r="I820" i="23"/>
  <c r="I823" i="23"/>
  <c r="J796" i="23"/>
  <c r="H2454" i="34"/>
  <c r="C607" i="29"/>
  <c r="A915" i="23"/>
  <c r="C2645" i="34"/>
  <c r="I2257" i="34"/>
  <c r="C612" i="29"/>
  <c r="B763" i="23"/>
  <c r="I816" i="23"/>
  <c r="I554" i="29"/>
  <c r="I560" i="29"/>
  <c r="I2441" i="34"/>
  <c r="J826" i="23"/>
  <c r="J2442" i="34"/>
  <c r="F637" i="28"/>
  <c r="I825" i="23"/>
  <c r="J2194" i="34"/>
  <c r="A609" i="29"/>
  <c r="J543" i="29"/>
  <c r="A612" i="29"/>
  <c r="C2452" i="34"/>
  <c r="J823" i="23"/>
  <c r="H2456" i="34"/>
  <c r="C2715" i="34"/>
  <c r="H611" i="29"/>
  <c r="H2453" i="34"/>
  <c r="C908" i="23"/>
  <c r="C2451" i="34"/>
  <c r="I817" i="23"/>
  <c r="I556" i="29"/>
  <c r="A2533" i="34"/>
  <c r="H605" i="29"/>
  <c r="J540" i="29"/>
  <c r="J824" i="23"/>
  <c r="C611" i="29"/>
  <c r="I2440" i="34"/>
  <c r="J544" i="29"/>
  <c r="A2454" i="34"/>
  <c r="H2637" i="34"/>
  <c r="A2709" i="34"/>
  <c r="C918" i="23"/>
  <c r="C2690" i="34"/>
  <c r="M712" i="25"/>
  <c r="A2539" i="34"/>
  <c r="A909" i="23"/>
  <c r="I619" i="29"/>
  <c r="I2430" i="34"/>
  <c r="C2467" i="34"/>
  <c r="B638" i="28"/>
  <c r="I2437" i="34"/>
  <c r="A907" i="23"/>
  <c r="I559" i="29"/>
  <c r="I2434" i="34"/>
  <c r="H2718" i="34"/>
  <c r="C2687" i="34"/>
  <c r="J2191" i="34"/>
  <c r="A2717" i="34"/>
  <c r="C912" i="23"/>
  <c r="J2189" i="34"/>
  <c r="I638" i="28"/>
  <c r="M638" i="28"/>
  <c r="C2453" i="34"/>
  <c r="C2710" i="34"/>
  <c r="C914" i="23"/>
  <c r="H2450" i="34"/>
  <c r="I827" i="23"/>
  <c r="A2719" i="34"/>
  <c r="A2707" i="34"/>
  <c r="C892" i="23"/>
  <c r="F514" i="29"/>
  <c r="C911" i="23"/>
  <c r="F497" i="29"/>
  <c r="A2451" i="34"/>
  <c r="A2455" i="34"/>
  <c r="H2449" i="34"/>
  <c r="A2465" i="34"/>
  <c r="J2439" i="34"/>
  <c r="H892" i="23"/>
  <c r="J541" i="29"/>
  <c r="C2450" i="34"/>
  <c r="C2688" i="34"/>
  <c r="A2710" i="34"/>
  <c r="H2451" i="34"/>
  <c r="C2468" i="34"/>
  <c r="I821" i="23"/>
  <c r="C620" i="29"/>
  <c r="C2455" i="34"/>
  <c r="A2449" i="34"/>
  <c r="H2539" i="34"/>
  <c r="J2432" i="34"/>
  <c r="I2264" i="34"/>
  <c r="J2192" i="34"/>
  <c r="A910" i="23"/>
  <c r="A608" i="29"/>
  <c r="A610" i="29"/>
  <c r="H894" i="23"/>
  <c r="J797" i="23"/>
  <c r="I818" i="23"/>
  <c r="A2534" i="34"/>
  <c r="F711" i="25"/>
  <c r="I2261" i="34"/>
  <c r="A2708" i="34"/>
  <c r="I2436" i="34"/>
  <c r="H888" i="23"/>
  <c r="A2715" i="34"/>
  <c r="C916" i="23"/>
  <c r="F763" i="23"/>
  <c r="J539" i="29"/>
  <c r="I2263" i="34"/>
  <c r="I2438" i="34"/>
  <c r="C2454" i="34"/>
  <c r="I558" i="29"/>
  <c r="I826" i="23"/>
  <c r="I822" i="23"/>
  <c r="I2259" i="34"/>
  <c r="H2468" i="34"/>
  <c r="H2638" i="34"/>
  <c r="C609" i="29"/>
  <c r="J537" i="29"/>
  <c r="H2466" i="34"/>
  <c r="J542" i="29"/>
  <c r="C608" i="29"/>
  <c r="A916" i="23"/>
  <c r="F855" i="23"/>
  <c r="C917" i="23"/>
  <c r="H2455" i="34"/>
  <c r="A2470" i="34"/>
  <c r="C2458" i="34"/>
  <c r="E712" i="25"/>
  <c r="I2435" i="34"/>
  <c r="A2688" i="34"/>
  <c r="C606" i="29"/>
  <c r="I2260" i="34"/>
  <c r="J818" i="23"/>
  <c r="A2718" i="34"/>
  <c r="C2706" i="34"/>
  <c r="H893" i="23"/>
  <c r="J2366" i="34"/>
  <c r="A2540" i="34"/>
  <c r="C2716" i="34"/>
  <c r="C2537" i="34"/>
  <c r="I2431" i="34"/>
  <c r="I557" i="29"/>
  <c r="A2468" i="34"/>
  <c r="A2469" i="34"/>
  <c r="A919" i="23"/>
  <c r="H609" i="29"/>
  <c r="A2458" i="34"/>
  <c r="C2709" i="34"/>
  <c r="J2195" i="34"/>
  <c r="I571" i="29"/>
  <c r="A607" i="29"/>
  <c r="B497" i="29"/>
  <c r="H2458" i="34"/>
  <c r="A2714" i="34"/>
  <c r="C2689" i="34"/>
  <c r="A2713" i="34"/>
  <c r="H610" i="29"/>
  <c r="A2684" i="34"/>
  <c r="C907" i="23"/>
  <c r="H2452" i="34"/>
  <c r="H885" i="23"/>
  <c r="H2647" i="34"/>
  <c r="A2456" i="34"/>
  <c r="I815" i="23"/>
  <c r="I2262" i="34"/>
  <c r="A2685" i="34"/>
  <c r="I2442" i="34"/>
  <c r="I2433" i="34"/>
  <c r="J2434" i="34"/>
  <c r="F530" i="29"/>
  <c r="A2457" i="34"/>
  <c r="H607" i="29"/>
  <c r="I561" i="29"/>
  <c r="J571" i="29"/>
  <c r="F785" i="23"/>
  <c r="A912" i="23"/>
  <c r="C915" i="23"/>
  <c r="I555" i="29"/>
  <c r="C530" i="29"/>
  <c r="C2713" i="34"/>
  <c r="C2449" i="34"/>
  <c r="C2686" i="34"/>
  <c r="C910" i="23"/>
  <c r="E638" i="28"/>
  <c r="J825" i="23"/>
  <c r="A918" i="23"/>
  <c r="C2717" i="34"/>
  <c r="B786" i="23"/>
  <c r="J2441" i="34"/>
  <c r="J2188" i="34"/>
  <c r="J2438" i="34"/>
  <c r="H2687" i="34"/>
  <c r="A2716" i="34"/>
  <c r="A2686" i="34"/>
  <c r="C2469" i="34"/>
  <c r="A911" i="23"/>
  <c r="AL40" i="27"/>
  <c r="C2538" i="34"/>
  <c r="A605" i="29"/>
  <c r="F908" i="30" l="1"/>
  <c r="H2472" i="34"/>
  <c r="J2196" i="34"/>
  <c r="E2212" i="34" s="1"/>
  <c r="N562" i="28"/>
  <c r="V545" i="28"/>
  <c r="N559" i="28"/>
  <c r="V559" i="28" s="1"/>
  <c r="N558" i="28"/>
  <c r="V558" i="28" s="1"/>
  <c r="N563" i="28"/>
  <c r="V563" i="28" s="1"/>
  <c r="N560" i="28"/>
  <c r="V560" i="28" s="1"/>
  <c r="R893" i="30"/>
  <c r="K893" i="30" s="1"/>
  <c r="G893" i="30"/>
  <c r="R894" i="30"/>
  <c r="K894" i="30" s="1"/>
  <c r="G894" i="30"/>
  <c r="R895" i="30"/>
  <c r="K895" i="30" s="1"/>
  <c r="G895" i="30"/>
  <c r="R871" i="30"/>
  <c r="K871" i="30" s="1"/>
  <c r="G871" i="30"/>
  <c r="R872" i="30"/>
  <c r="K872" i="30" s="1"/>
  <c r="G872" i="30"/>
  <c r="R870" i="30"/>
  <c r="K870" i="30" s="1"/>
  <c r="G870" i="30"/>
  <c r="M809" i="30"/>
  <c r="H810" i="30" s="1"/>
  <c r="L810" i="30"/>
  <c r="B515" i="28"/>
  <c r="M579" i="28"/>
  <c r="K854" i="30"/>
  <c r="M577" i="28"/>
  <c r="M576" i="28"/>
  <c r="K574" i="28"/>
  <c r="M575" i="28"/>
  <c r="M578" i="28"/>
  <c r="J805" i="23"/>
  <c r="J2375" i="34"/>
  <c r="C2419" i="34" s="1"/>
  <c r="M581" i="28"/>
  <c r="H613" i="29"/>
  <c r="X611" i="28"/>
  <c r="R877" i="30"/>
  <c r="G875" i="30"/>
  <c r="R875" i="30"/>
  <c r="K875" i="30" s="1"/>
  <c r="G867" i="30"/>
  <c r="R867" i="30"/>
  <c r="K867" i="30" s="1"/>
  <c r="R866" i="30"/>
  <c r="K866" i="30" s="1"/>
  <c r="G866" i="30"/>
  <c r="G873" i="30"/>
  <c r="R873" i="30"/>
  <c r="K873" i="30" s="1"/>
  <c r="G876" i="30"/>
  <c r="R876" i="30"/>
  <c r="K876" i="30" s="1"/>
  <c r="G864" i="30"/>
  <c r="R864" i="30"/>
  <c r="V864" i="30" s="1"/>
  <c r="G878" i="30"/>
  <c r="G865" i="30"/>
  <c r="R865" i="30"/>
  <c r="K865" i="30" s="1"/>
  <c r="G874" i="30"/>
  <c r="R874" i="30"/>
  <c r="K874" i="30" s="1"/>
  <c r="R869" i="30"/>
  <c r="K869" i="30" s="1"/>
  <c r="G869" i="30"/>
  <c r="R868" i="30"/>
  <c r="K868" i="30" s="1"/>
  <c r="G868" i="30"/>
  <c r="K582" i="28"/>
  <c r="X599" i="28"/>
  <c r="K841" i="30"/>
  <c r="K855" i="30"/>
  <c r="X613" i="28"/>
  <c r="X683" i="25"/>
  <c r="X684" i="25"/>
  <c r="X681" i="25"/>
  <c r="X685" i="25"/>
  <c r="X686" i="25"/>
  <c r="X680" i="25"/>
  <c r="X608" i="28"/>
  <c r="W616" i="28"/>
  <c r="H2459" i="34"/>
  <c r="X682" i="25"/>
  <c r="X678" i="25"/>
  <c r="X679" i="25"/>
  <c r="X612" i="28"/>
  <c r="X614" i="28"/>
  <c r="R597" i="28"/>
  <c r="K597" i="28" s="1"/>
  <c r="G597" i="28"/>
  <c r="G593" i="28"/>
  <c r="R593" i="28"/>
  <c r="K593" i="28" s="1"/>
  <c r="R596" i="28"/>
  <c r="K596" i="28" s="1"/>
  <c r="G596" i="28"/>
  <c r="R595" i="28"/>
  <c r="K595" i="28" s="1"/>
  <c r="G595" i="28"/>
  <c r="G591" i="28"/>
  <c r="R591" i="28"/>
  <c r="K591" i="28" s="1"/>
  <c r="G599" i="28"/>
  <c r="R592" i="28"/>
  <c r="K592" i="28" s="1"/>
  <c r="G592" i="28"/>
  <c r="G598" i="28"/>
  <c r="R598" i="28"/>
  <c r="K598" i="28" s="1"/>
  <c r="G594" i="28"/>
  <c r="R594" i="28"/>
  <c r="K594" i="28" s="1"/>
  <c r="X610" i="28"/>
  <c r="X609" i="28"/>
  <c r="X615" i="28"/>
  <c r="M580" i="28"/>
  <c r="X669" i="25"/>
  <c r="V531" i="28"/>
  <c r="B532" i="28" s="1"/>
  <c r="I630" i="28"/>
  <c r="I629" i="28"/>
  <c r="I705" i="25"/>
  <c r="I626" i="28"/>
  <c r="I704" i="25"/>
  <c r="I701" i="25"/>
  <c r="I697" i="25"/>
  <c r="I917" i="30"/>
  <c r="F707" i="25"/>
  <c r="I707" i="25"/>
  <c r="I631" i="28"/>
  <c r="X687" i="25"/>
  <c r="I633" i="28"/>
  <c r="F633" i="28"/>
  <c r="I913" i="30"/>
  <c r="I627" i="28"/>
  <c r="I700" i="25"/>
  <c r="I632" i="28"/>
  <c r="F924" i="30"/>
  <c r="I924" i="30"/>
  <c r="I628" i="28"/>
  <c r="I914" i="30"/>
  <c r="I625" i="28"/>
  <c r="I703" i="25"/>
  <c r="I699" i="25"/>
  <c r="I706" i="25"/>
  <c r="I702" i="25"/>
  <c r="I923" i="30"/>
  <c r="I698" i="25"/>
  <c r="H2651" i="34"/>
  <c r="N714" i="25"/>
  <c r="N640" i="28"/>
  <c r="N657" i="28" s="1"/>
  <c r="A640" i="28"/>
  <c r="A657" i="28" s="1"/>
  <c r="I727" i="25"/>
  <c r="I640" i="28"/>
  <c r="I657" i="28" s="1"/>
  <c r="K714" i="25"/>
  <c r="V540" i="28"/>
  <c r="L549" i="28"/>
  <c r="M548" i="28"/>
  <c r="H549" i="28" s="1"/>
  <c r="M640" i="28"/>
  <c r="M657" i="28" s="1"/>
  <c r="F714" i="25"/>
  <c r="G727" i="25"/>
  <c r="V574" i="28"/>
  <c r="B749" i="25"/>
  <c r="G712" i="25"/>
  <c r="A726" i="25"/>
  <c r="G651" i="28"/>
  <c r="G668" i="28" s="1"/>
  <c r="V546" i="28"/>
  <c r="D712" i="25"/>
  <c r="V543" i="28"/>
  <c r="D638" i="28"/>
  <c r="D655" i="28" s="1"/>
  <c r="N557" i="28"/>
  <c r="N561" i="28"/>
  <c r="I714" i="25"/>
  <c r="K651" i="28"/>
  <c r="K668" i="28" s="1"/>
  <c r="A727" i="25"/>
  <c r="G638" i="28"/>
  <c r="G655" i="28" s="1"/>
  <c r="N564" i="28"/>
  <c r="A651" i="28"/>
  <c r="A668" i="28" s="1"/>
  <c r="G640" i="28"/>
  <c r="G657" i="28" s="1"/>
  <c r="V544" i="28"/>
  <c r="A638" i="28"/>
  <c r="A655" i="28" s="1"/>
  <c r="I651" i="28"/>
  <c r="I668" i="28" s="1"/>
  <c r="F640" i="28"/>
  <c r="F657" i="28" s="1"/>
  <c r="G714" i="25"/>
  <c r="M651" i="28"/>
  <c r="M668" i="28" s="1"/>
  <c r="B640" i="28"/>
  <c r="B657" i="28" s="1"/>
  <c r="V562" i="28"/>
  <c r="K727" i="25"/>
  <c r="B714" i="25"/>
  <c r="K640" i="28"/>
  <c r="K657" i="28" s="1"/>
  <c r="K712" i="25"/>
  <c r="A712" i="25"/>
  <c r="V547" i="28"/>
  <c r="A650" i="28"/>
  <c r="A667" i="28" s="1"/>
  <c r="M727" i="25"/>
  <c r="A714" i="25"/>
  <c r="D651" i="28"/>
  <c r="D668" i="28" s="1"/>
  <c r="V541" i="28"/>
  <c r="M714" i="25"/>
  <c r="K638" i="28"/>
  <c r="K655" i="28" s="1"/>
  <c r="D727" i="25"/>
  <c r="V829" i="30"/>
  <c r="V821" i="30"/>
  <c r="V820" i="30"/>
  <c r="V827" i="30"/>
  <c r="V823" i="30"/>
  <c r="V822" i="30"/>
  <c r="V809" i="30"/>
  <c r="B810" i="30" s="1"/>
  <c r="E787" i="30"/>
  <c r="X901" i="30"/>
  <c r="V828" i="30"/>
  <c r="X914" i="30"/>
  <c r="X919" i="30"/>
  <c r="X921" i="30"/>
  <c r="X911" i="30"/>
  <c r="X918" i="30"/>
  <c r="G889" i="30"/>
  <c r="R889" i="30"/>
  <c r="K889" i="30" s="1"/>
  <c r="R898" i="30"/>
  <c r="K898" i="30" s="1"/>
  <c r="G898" i="30"/>
  <c r="G890" i="30"/>
  <c r="R890" i="30"/>
  <c r="K890" i="30" s="1"/>
  <c r="R891" i="30"/>
  <c r="K891" i="30" s="1"/>
  <c r="G891" i="30"/>
  <c r="R900" i="30"/>
  <c r="G901" i="30"/>
  <c r="G887" i="30"/>
  <c r="R887" i="30"/>
  <c r="R899" i="30"/>
  <c r="K899" i="30" s="1"/>
  <c r="G899" i="30"/>
  <c r="R896" i="30"/>
  <c r="K896" i="30" s="1"/>
  <c r="G896" i="30"/>
  <c r="G892" i="30"/>
  <c r="R892" i="30"/>
  <c r="K892" i="30" s="1"/>
  <c r="G888" i="30"/>
  <c r="R888" i="30"/>
  <c r="K888" i="30" s="1"/>
  <c r="R897" i="30"/>
  <c r="K897" i="30" s="1"/>
  <c r="G897" i="30"/>
  <c r="V841" i="30"/>
  <c r="W922" i="30"/>
  <c r="W920" i="30"/>
  <c r="W910" i="30"/>
  <c r="W915" i="30"/>
  <c r="W916" i="30"/>
  <c r="W917" i="30"/>
  <c r="W912" i="30"/>
  <c r="W913" i="30"/>
  <c r="T642" i="28"/>
  <c r="B645" i="28"/>
  <c r="B647" i="28"/>
  <c r="U718" i="25"/>
  <c r="T720" i="25"/>
  <c r="Q724" i="25"/>
  <c r="W699" i="25"/>
  <c r="A722" i="25"/>
  <c r="W703" i="25"/>
  <c r="U643" i="28"/>
  <c r="B717" i="25"/>
  <c r="Q722" i="25"/>
  <c r="F646" i="28"/>
  <c r="T644" i="28"/>
  <c r="T647" i="28"/>
  <c r="P609" i="28"/>
  <c r="P610" i="28"/>
  <c r="B716" i="25"/>
  <c r="A646" i="28"/>
  <c r="S722" i="25"/>
  <c r="T722" i="25"/>
  <c r="A643" i="28"/>
  <c r="W626" i="28"/>
  <c r="Q645" i="28"/>
  <c r="A644" i="28"/>
  <c r="T723" i="25"/>
  <c r="S646" i="28"/>
  <c r="W627" i="28"/>
  <c r="F643" i="28"/>
  <c r="W702" i="25"/>
  <c r="S645" i="28"/>
  <c r="S724" i="25"/>
  <c r="S719" i="25"/>
  <c r="F720" i="25"/>
  <c r="B648" i="28"/>
  <c r="F644" i="28"/>
  <c r="U647" i="28"/>
  <c r="A645" i="28"/>
  <c r="B642" i="28"/>
  <c r="Q647" i="28"/>
  <c r="A719" i="25"/>
  <c r="F717" i="25"/>
  <c r="T721" i="25"/>
  <c r="B719" i="25"/>
  <c r="F718" i="25"/>
  <c r="F645" i="28"/>
  <c r="F648" i="28"/>
  <c r="S716" i="25"/>
  <c r="W632" i="28"/>
  <c r="U717" i="25"/>
  <c r="T718" i="25"/>
  <c r="Q718" i="25"/>
  <c r="W629" i="28"/>
  <c r="A649" i="28"/>
  <c r="S644" i="28"/>
  <c r="T716" i="25"/>
  <c r="A642" i="28"/>
  <c r="W705" i="25"/>
  <c r="Q643" i="28"/>
  <c r="Q642" i="28"/>
  <c r="U645" i="28"/>
  <c r="Q646" i="28"/>
  <c r="S718" i="25"/>
  <c r="F723" i="25"/>
  <c r="F647" i="28"/>
  <c r="Q725" i="25"/>
  <c r="W698" i="25"/>
  <c r="A724" i="25"/>
  <c r="B722" i="25"/>
  <c r="B718" i="25"/>
  <c r="S643" i="28"/>
  <c r="S648" i="28"/>
  <c r="T643" i="28"/>
  <c r="T646" i="28"/>
  <c r="U646" i="28"/>
  <c r="A647" i="28"/>
  <c r="W630" i="28"/>
  <c r="S723" i="25"/>
  <c r="B723" i="25"/>
  <c r="Q644" i="28"/>
  <c r="W628" i="28"/>
  <c r="F724" i="25"/>
  <c r="T649" i="28"/>
  <c r="A718" i="25"/>
  <c r="Q723" i="25"/>
  <c r="W625" i="28"/>
  <c r="T719" i="25"/>
  <c r="B725" i="25"/>
  <c r="W701" i="25"/>
  <c r="U720" i="25"/>
  <c r="P611" i="28"/>
  <c r="U649" i="28"/>
  <c r="F716" i="25"/>
  <c r="P612" i="28"/>
  <c r="U644" i="28"/>
  <c r="U725" i="25"/>
  <c r="W706" i="25"/>
  <c r="B720" i="25"/>
  <c r="T717" i="25"/>
  <c r="A720" i="25"/>
  <c r="F725" i="25"/>
  <c r="A716" i="25"/>
  <c r="F721" i="25"/>
  <c r="B644" i="28"/>
  <c r="Q720" i="25"/>
  <c r="Q719" i="25"/>
  <c r="T724" i="25"/>
  <c r="Q648" i="28"/>
  <c r="S725" i="25"/>
  <c r="B721" i="25"/>
  <c r="U642" i="28"/>
  <c r="F642" i="28"/>
  <c r="U722" i="25"/>
  <c r="U724" i="25"/>
  <c r="F649" i="28"/>
  <c r="S721" i="25"/>
  <c r="P613" i="28"/>
  <c r="A648" i="28"/>
  <c r="W697" i="25"/>
  <c r="P614" i="28"/>
  <c r="F722" i="25"/>
  <c r="S717" i="25"/>
  <c r="A721" i="25"/>
  <c r="B649" i="28"/>
  <c r="T645" i="28"/>
  <c r="P608" i="28"/>
  <c r="T725" i="25"/>
  <c r="S642" i="28"/>
  <c r="Q721" i="25"/>
  <c r="T648" i="28"/>
  <c r="U648" i="28"/>
  <c r="U719" i="25"/>
  <c r="U716" i="25"/>
  <c r="S720" i="25"/>
  <c r="A725" i="25"/>
  <c r="S649" i="28"/>
  <c r="Q649" i="28"/>
  <c r="A723" i="25"/>
  <c r="B724" i="25"/>
  <c r="U721" i="25"/>
  <c r="Q717" i="25"/>
  <c r="F719" i="25"/>
  <c r="U723" i="25"/>
  <c r="B646" i="28"/>
  <c r="Q716" i="25"/>
  <c r="A717" i="25"/>
  <c r="B643" i="28"/>
  <c r="P615" i="28"/>
  <c r="W700" i="25"/>
  <c r="W704" i="25"/>
  <c r="S647" i="28"/>
  <c r="W631" i="28"/>
  <c r="C2526" i="34"/>
  <c r="J822" i="23"/>
  <c r="C547" i="29"/>
  <c r="M731" i="25"/>
  <c r="H2717" i="34"/>
  <c r="C626" i="29"/>
  <c r="F547" i="29"/>
  <c r="I2511" i="34"/>
  <c r="H2708" i="34"/>
  <c r="J2263" i="34"/>
  <c r="A625" i="29"/>
  <c r="I2327" i="34"/>
  <c r="H2537" i="34"/>
  <c r="C628" i="29"/>
  <c r="H626" i="29"/>
  <c r="A2526" i="34"/>
  <c r="H916" i="23"/>
  <c r="J2506" i="34"/>
  <c r="I2508" i="34"/>
  <c r="I840" i="23"/>
  <c r="H2676" i="34"/>
  <c r="C2707" i="34"/>
  <c r="J554" i="29"/>
  <c r="A2604" i="34"/>
  <c r="J559" i="29"/>
  <c r="H2527" i="34"/>
  <c r="J815" i="23"/>
  <c r="C2524" i="34"/>
  <c r="I841" i="23"/>
  <c r="J839" i="23"/>
  <c r="C2708" i="34"/>
  <c r="B531" i="29"/>
  <c r="I843" i="23"/>
  <c r="J558" i="29"/>
  <c r="H2719" i="34"/>
  <c r="H625" i="29"/>
  <c r="J2257" i="34"/>
  <c r="H917" i="23"/>
  <c r="J2260" i="34"/>
  <c r="H907" i="23"/>
  <c r="I575" i="29"/>
  <c r="J2501" i="34"/>
  <c r="C624" i="29"/>
  <c r="H622" i="29"/>
  <c r="J555" i="29"/>
  <c r="J2437" i="34"/>
  <c r="I845" i="23"/>
  <c r="H2538" i="34"/>
  <c r="J2499" i="34"/>
  <c r="H2523" i="34"/>
  <c r="I576" i="29"/>
  <c r="A2605" i="34"/>
  <c r="I850" i="23"/>
  <c r="A2519" i="34"/>
  <c r="I2331" i="34"/>
  <c r="H2715" i="34"/>
  <c r="H2522" i="34"/>
  <c r="J846" i="23"/>
  <c r="B514" i="29"/>
  <c r="J2508" i="34"/>
  <c r="H2540" i="34"/>
  <c r="H2521" i="34"/>
  <c r="I842" i="23"/>
  <c r="AL41" i="27"/>
  <c r="C622" i="29"/>
  <c r="J2510" i="34"/>
  <c r="I848" i="23"/>
  <c r="H2603" i="34"/>
  <c r="C2520" i="34"/>
  <c r="H2520" i="34"/>
  <c r="C2712" i="34"/>
  <c r="I2503" i="34"/>
  <c r="J560" i="29"/>
  <c r="J2259" i="34"/>
  <c r="H2714" i="34"/>
  <c r="H914" i="23"/>
  <c r="C623" i="29"/>
  <c r="J844" i="23"/>
  <c r="C2534" i="34"/>
  <c r="H2524" i="34"/>
  <c r="J2507" i="34"/>
  <c r="I2504" i="34"/>
  <c r="A627" i="29"/>
  <c r="H2710" i="34"/>
  <c r="C2605" i="34"/>
  <c r="H2519" i="34"/>
  <c r="A2607" i="34"/>
  <c r="A2522" i="34"/>
  <c r="A629" i="29"/>
  <c r="J849" i="23"/>
  <c r="C2536" i="34"/>
  <c r="H919" i="23"/>
  <c r="J2431" i="34"/>
  <c r="F730" i="25"/>
  <c r="F786" i="23"/>
  <c r="H918" i="23"/>
  <c r="E731" i="25"/>
  <c r="H2713" i="34"/>
  <c r="A623" i="29"/>
  <c r="A2527" i="34"/>
  <c r="I2499" i="34"/>
  <c r="J838" i="23"/>
  <c r="J2500" i="34"/>
  <c r="J2436" i="34"/>
  <c r="J2505" i="34"/>
  <c r="J2430" i="34"/>
  <c r="H2711" i="34"/>
  <c r="H2534" i="34"/>
  <c r="H2632" i="34"/>
  <c r="J840" i="23"/>
  <c r="I578" i="29"/>
  <c r="I861" i="23"/>
  <c r="H2536" i="34"/>
  <c r="I2333" i="34"/>
  <c r="H910" i="23"/>
  <c r="I573" i="29"/>
  <c r="C2522" i="34"/>
  <c r="J2502" i="34"/>
  <c r="A2608" i="34"/>
  <c r="B731" i="25"/>
  <c r="A624" i="29"/>
  <c r="I846" i="23"/>
  <c r="I2509" i="34"/>
  <c r="I2505" i="34"/>
  <c r="A2538" i="34"/>
  <c r="A628" i="29"/>
  <c r="A2524" i="34"/>
  <c r="I572" i="29"/>
  <c r="C2535" i="34"/>
  <c r="C629" i="29"/>
  <c r="C2533" i="34"/>
  <c r="J850" i="23"/>
  <c r="J557" i="29"/>
  <c r="H2535" i="34"/>
  <c r="C2525" i="34"/>
  <c r="H2709" i="34"/>
  <c r="I839" i="23"/>
  <c r="I2501" i="34"/>
  <c r="H2526" i="34"/>
  <c r="A626" i="29"/>
  <c r="H627" i="29"/>
  <c r="J845" i="23"/>
  <c r="C2521" i="34"/>
  <c r="H2706" i="34"/>
  <c r="H915" i="23"/>
  <c r="J843" i="23"/>
  <c r="I2443" i="34"/>
  <c r="H909" i="23"/>
  <c r="I2510" i="34"/>
  <c r="I838" i="23"/>
  <c r="I636" i="29"/>
  <c r="H2707" i="34"/>
  <c r="J841" i="23"/>
  <c r="J2509" i="34"/>
  <c r="A2520" i="34"/>
  <c r="C808" i="23"/>
  <c r="I849" i="23"/>
  <c r="I2506" i="34"/>
  <c r="A2535" i="34"/>
  <c r="C2519" i="34"/>
  <c r="I844" i="23"/>
  <c r="I574" i="29"/>
  <c r="J847" i="23"/>
  <c r="J556" i="29"/>
  <c r="I2332" i="34"/>
  <c r="C913" i="23"/>
  <c r="I2329" i="34"/>
  <c r="I2650" i="34"/>
  <c r="I2502" i="34"/>
  <c r="J848" i="23"/>
  <c r="C909" i="23"/>
  <c r="B809" i="23"/>
  <c r="C2518" i="34"/>
  <c r="J2511" i="34"/>
  <c r="H2671" i="34"/>
  <c r="H629" i="29"/>
  <c r="A2603" i="34"/>
  <c r="I2507" i="34"/>
  <c r="H912" i="23"/>
  <c r="A2523" i="34"/>
  <c r="H2716" i="34"/>
  <c r="A2536" i="34"/>
  <c r="C2609" i="34"/>
  <c r="H628" i="29"/>
  <c r="A2525" i="34"/>
  <c r="C2540" i="34"/>
  <c r="J2504" i="34"/>
  <c r="J2326" i="34"/>
  <c r="H2533" i="34"/>
  <c r="I2500" i="34"/>
  <c r="H2605" i="34"/>
  <c r="I637" i="29"/>
  <c r="I2328" i="34"/>
  <c r="H911" i="23"/>
  <c r="H623" i="29"/>
  <c r="J2262" i="34"/>
  <c r="I847" i="23"/>
  <c r="H624" i="29"/>
  <c r="H2525" i="34"/>
  <c r="A2537" i="34"/>
  <c r="A622" i="29"/>
  <c r="C2539" i="34"/>
  <c r="C636" i="29"/>
  <c r="J561" i="29"/>
  <c r="A2521" i="34"/>
  <c r="C2523" i="34"/>
  <c r="A2518" i="34"/>
  <c r="F808" i="23"/>
  <c r="J816" i="23"/>
  <c r="H908" i="23"/>
  <c r="J2264" i="34"/>
  <c r="I2568" i="34"/>
  <c r="C637" i="29"/>
  <c r="I2330" i="34"/>
  <c r="C625" i="29"/>
  <c r="H2518" i="34"/>
  <c r="J821" i="23"/>
  <c r="J2258" i="34"/>
  <c r="J2261" i="34"/>
  <c r="I577" i="29"/>
  <c r="C2527" i="34"/>
  <c r="I731" i="25"/>
  <c r="H2541" i="34" l="1"/>
  <c r="J2265" i="34"/>
  <c r="E2281" i="34" s="1"/>
  <c r="N579" i="28"/>
  <c r="V579" i="28" s="1"/>
  <c r="N578" i="28"/>
  <c r="V578" i="28" s="1"/>
  <c r="N577" i="28"/>
  <c r="V577" i="28" s="1"/>
  <c r="N575" i="28"/>
  <c r="V575" i="28" s="1"/>
  <c r="N581" i="28"/>
  <c r="V581" i="28" s="1"/>
  <c r="N576" i="28"/>
  <c r="V576" i="28" s="1"/>
  <c r="L833" i="30"/>
  <c r="V895" i="30"/>
  <c r="V872" i="30"/>
  <c r="V824" i="30"/>
  <c r="V825" i="30"/>
  <c r="V845" i="30"/>
  <c r="V819" i="30"/>
  <c r="M832" i="30"/>
  <c r="H833" i="30" s="1"/>
  <c r="K864" i="30"/>
  <c r="M591" i="28"/>
  <c r="E532" i="28"/>
  <c r="C2421" i="34"/>
  <c r="J2444" i="34"/>
  <c r="C2488" i="34" s="1"/>
  <c r="J828" i="23"/>
  <c r="K877" i="30"/>
  <c r="X912" i="30"/>
  <c r="X915" i="30"/>
  <c r="X632" i="28"/>
  <c r="X916" i="30"/>
  <c r="X688" i="25"/>
  <c r="M593" i="28"/>
  <c r="M594" i="28"/>
  <c r="X616" i="28"/>
  <c r="H630" i="29"/>
  <c r="X922" i="30"/>
  <c r="X627" i="28"/>
  <c r="K599" i="28"/>
  <c r="M597" i="28"/>
  <c r="K878" i="30"/>
  <c r="M596" i="28"/>
  <c r="X630" i="28"/>
  <c r="X628" i="28"/>
  <c r="X629" i="28"/>
  <c r="X698" i="25"/>
  <c r="X699" i="25"/>
  <c r="X625" i="28"/>
  <c r="X703" i="25"/>
  <c r="X702" i="25"/>
  <c r="X697" i="25"/>
  <c r="X913" i="30"/>
  <c r="H2528" i="34"/>
  <c r="G614" i="28"/>
  <c r="R614" i="28"/>
  <c r="K614" i="28" s="1"/>
  <c r="G612" i="28"/>
  <c r="R612" i="28"/>
  <c r="K612" i="28" s="1"/>
  <c r="G613" i="28"/>
  <c r="R613" i="28"/>
  <c r="K613" i="28" s="1"/>
  <c r="R615" i="28"/>
  <c r="K615" i="28" s="1"/>
  <c r="G615" i="28"/>
  <c r="R608" i="28"/>
  <c r="M608" i="28" s="1"/>
  <c r="N608" i="28" s="1"/>
  <c r="G608" i="28"/>
  <c r="G616" i="28"/>
  <c r="G611" i="28"/>
  <c r="R611" i="28"/>
  <c r="K611" i="28" s="1"/>
  <c r="G610" i="28"/>
  <c r="R610" i="28"/>
  <c r="K610" i="28" s="1"/>
  <c r="R609" i="28"/>
  <c r="K609" i="28" s="1"/>
  <c r="G609" i="28"/>
  <c r="X704" i="25"/>
  <c r="X910" i="30"/>
  <c r="W924" i="30"/>
  <c r="X917" i="30"/>
  <c r="X701" i="25"/>
  <c r="X920" i="30"/>
  <c r="X631" i="28"/>
  <c r="X700" i="25"/>
  <c r="M592" i="28"/>
  <c r="M598" i="28"/>
  <c r="N580" i="28"/>
  <c r="M595" i="28"/>
  <c r="I646" i="28"/>
  <c r="I722" i="25"/>
  <c r="I721" i="25"/>
  <c r="I649" i="28"/>
  <c r="I724" i="25"/>
  <c r="I720" i="25"/>
  <c r="I718" i="25"/>
  <c r="I642" i="28"/>
  <c r="H2720" i="34"/>
  <c r="I647" i="28"/>
  <c r="X706" i="25"/>
  <c r="I723" i="25"/>
  <c r="X705" i="25"/>
  <c r="I645" i="28"/>
  <c r="I725" i="25"/>
  <c r="J562" i="29"/>
  <c r="X626" i="28"/>
  <c r="W633" i="28"/>
  <c r="F726" i="25"/>
  <c r="I726" i="25"/>
  <c r="I643" i="28"/>
  <c r="F650" i="28"/>
  <c r="I650" i="28"/>
  <c r="I644" i="28"/>
  <c r="I648" i="28"/>
  <c r="I719" i="25"/>
  <c r="I716" i="25"/>
  <c r="I717" i="25"/>
  <c r="A731" i="25"/>
  <c r="I733" i="25"/>
  <c r="K746" i="25"/>
  <c r="B733" i="25"/>
  <c r="V561" i="28"/>
  <c r="G746" i="25"/>
  <c r="D746" i="25"/>
  <c r="G733" i="25"/>
  <c r="F733" i="25"/>
  <c r="V557" i="28"/>
  <c r="M565" i="28"/>
  <c r="H566" i="28" s="1"/>
  <c r="L566" i="28"/>
  <c r="K731" i="25"/>
  <c r="M733" i="25"/>
  <c r="V548" i="28"/>
  <c r="K733" i="25"/>
  <c r="A733" i="25"/>
  <c r="D731" i="25"/>
  <c r="A746" i="25"/>
  <c r="I746" i="25"/>
  <c r="M746" i="25"/>
  <c r="V564" i="28"/>
  <c r="A745" i="25"/>
  <c r="N733" i="25"/>
  <c r="G731" i="25"/>
  <c r="V887" i="30"/>
  <c r="V842" i="30"/>
  <c r="V847" i="30"/>
  <c r="V846" i="30"/>
  <c r="V849" i="30"/>
  <c r="V844" i="30"/>
  <c r="V851" i="30"/>
  <c r="V843" i="30"/>
  <c r="V850" i="30"/>
  <c r="K900" i="30"/>
  <c r="V848" i="30"/>
  <c r="V852" i="30"/>
  <c r="K901" i="30"/>
  <c r="K887" i="30"/>
  <c r="P920" i="30"/>
  <c r="P915" i="30"/>
  <c r="P918" i="30"/>
  <c r="P923" i="30"/>
  <c r="M923" i="30" s="1"/>
  <c r="N923" i="30" s="1"/>
  <c r="P912" i="30"/>
  <c r="P911" i="30"/>
  <c r="P919" i="30"/>
  <c r="P910" i="30"/>
  <c r="P922" i="30"/>
  <c r="P921" i="30"/>
  <c r="P916" i="30"/>
  <c r="P914" i="30"/>
  <c r="P913" i="30"/>
  <c r="P917" i="30"/>
  <c r="Q743" i="25"/>
  <c r="S738" i="25"/>
  <c r="A743" i="25"/>
  <c r="T740" i="25"/>
  <c r="U740" i="25"/>
  <c r="B739" i="25"/>
  <c r="U743" i="25"/>
  <c r="T743" i="25"/>
  <c r="S743" i="25"/>
  <c r="Q739" i="25"/>
  <c r="Q736" i="25"/>
  <c r="W648" i="28"/>
  <c r="A737" i="25"/>
  <c r="P630" i="28"/>
  <c r="W646" i="28"/>
  <c r="F740" i="25"/>
  <c r="P627" i="28"/>
  <c r="F736" i="25"/>
  <c r="F743" i="25"/>
  <c r="T737" i="25"/>
  <c r="B742" i="25"/>
  <c r="U739" i="25"/>
  <c r="F738" i="25"/>
  <c r="F742" i="25"/>
  <c r="U735" i="25"/>
  <c r="W722" i="25"/>
  <c r="T744" i="25"/>
  <c r="A744" i="25"/>
  <c r="B743" i="25"/>
  <c r="W644" i="28"/>
  <c r="W720" i="25"/>
  <c r="F735" i="25"/>
  <c r="B736" i="25"/>
  <c r="Q740" i="25"/>
  <c r="A741" i="25"/>
  <c r="S735" i="25"/>
  <c r="Q742" i="25"/>
  <c r="T736" i="25"/>
  <c r="Q735" i="25"/>
  <c r="U738" i="25"/>
  <c r="B740" i="25"/>
  <c r="Q741" i="25"/>
  <c r="P628" i="28"/>
  <c r="Q737" i="25"/>
  <c r="W721" i="25"/>
  <c r="U736" i="25"/>
  <c r="A739" i="25"/>
  <c r="W725" i="25"/>
  <c r="A742" i="25"/>
  <c r="B744" i="25"/>
  <c r="W718" i="25"/>
  <c r="U741" i="25"/>
  <c r="S740" i="25"/>
  <c r="P631" i="28"/>
  <c r="U737" i="25"/>
  <c r="A740" i="25"/>
  <c r="W723" i="25"/>
  <c r="W719" i="25"/>
  <c r="T735" i="25"/>
  <c r="W647" i="28"/>
  <c r="Q738" i="25"/>
  <c r="F737" i="25"/>
  <c r="W642" i="28"/>
  <c r="A738" i="25"/>
  <c r="T742" i="25"/>
  <c r="F739" i="25"/>
  <c r="S742" i="25"/>
  <c r="P625" i="28"/>
  <c r="W649" i="28"/>
  <c r="B738" i="25"/>
  <c r="T738" i="25"/>
  <c r="W643" i="28"/>
  <c r="U742" i="25"/>
  <c r="F741" i="25"/>
  <c r="B737" i="25"/>
  <c r="F744" i="25"/>
  <c r="W724" i="25"/>
  <c r="S739" i="25"/>
  <c r="W645" i="28"/>
  <c r="W717" i="25"/>
  <c r="T741" i="25"/>
  <c r="A735" i="25"/>
  <c r="T739" i="25"/>
  <c r="S744" i="25"/>
  <c r="S736" i="25"/>
  <c r="Q744" i="25"/>
  <c r="P629" i="28"/>
  <c r="S741" i="25"/>
  <c r="P632" i="28"/>
  <c r="B735" i="25"/>
  <c r="S737" i="25"/>
  <c r="A736" i="25"/>
  <c r="P626" i="28"/>
  <c r="U744" i="25"/>
  <c r="W716" i="25"/>
  <c r="B741" i="25"/>
  <c r="J2719" i="34"/>
  <c r="I588" i="29"/>
  <c r="I2578" i="34"/>
  <c r="H2589" i="34"/>
  <c r="H2606" i="34"/>
  <c r="I2402" i="34"/>
  <c r="A2594" i="34"/>
  <c r="I889" i="23"/>
  <c r="J861" i="23"/>
  <c r="I896" i="23"/>
  <c r="A2596" i="34"/>
  <c r="C2608" i="34"/>
  <c r="J2568" i="34"/>
  <c r="A2602" i="34"/>
  <c r="H2591" i="34"/>
  <c r="J577" i="29"/>
  <c r="H2602" i="34"/>
  <c r="A2591" i="34"/>
  <c r="J2569" i="34"/>
  <c r="C2672" i="34"/>
  <c r="H646" i="29"/>
  <c r="F831" i="23"/>
  <c r="J2328" i="34"/>
  <c r="AL42" i="27"/>
  <c r="C2607" i="34"/>
  <c r="C2602" i="34"/>
  <c r="C2675" i="34"/>
  <c r="J2329" i="34"/>
  <c r="C2589" i="34"/>
  <c r="C564" i="29"/>
  <c r="I2396" i="34"/>
  <c r="J864" i="23"/>
  <c r="C2674" i="34"/>
  <c r="I2647" i="34"/>
  <c r="C643" i="29"/>
  <c r="J2333" i="34"/>
  <c r="I2648" i="34"/>
  <c r="F564" i="29"/>
  <c r="C2587" i="34"/>
  <c r="C644" i="29"/>
  <c r="C2594" i="34"/>
  <c r="B750" i="25"/>
  <c r="H2675" i="34"/>
  <c r="J574" i="29"/>
  <c r="I2464" i="34"/>
  <c r="A641" i="29"/>
  <c r="J869" i="23"/>
  <c r="J863" i="23"/>
  <c r="C2595" i="34"/>
  <c r="I2400" i="34"/>
  <c r="I594" i="29"/>
  <c r="C2592" i="34"/>
  <c r="I2641" i="34"/>
  <c r="H2674" i="34"/>
  <c r="I2572" i="34"/>
  <c r="I863" i="23"/>
  <c r="I865" i="23"/>
  <c r="A2609" i="34"/>
  <c r="A2590" i="34"/>
  <c r="J2327" i="34"/>
  <c r="I2573" i="34"/>
  <c r="I589" i="29"/>
  <c r="H2607" i="34"/>
  <c r="I2649" i="34"/>
  <c r="J872" i="23"/>
  <c r="I591" i="29"/>
  <c r="A2674" i="34"/>
  <c r="C831" i="23"/>
  <c r="H2678" i="34"/>
  <c r="J572" i="29"/>
  <c r="I2577" i="34"/>
  <c r="J576" i="29"/>
  <c r="C2678" i="34"/>
  <c r="A2587" i="34"/>
  <c r="H2677" i="34"/>
  <c r="I2642" i="34"/>
  <c r="I2579" i="34"/>
  <c r="A2593" i="34"/>
  <c r="I2395" i="34"/>
  <c r="A642" i="29"/>
  <c r="I892" i="23"/>
  <c r="A646" i="29"/>
  <c r="H644" i="29"/>
  <c r="C2671" i="34"/>
  <c r="J870" i="23"/>
  <c r="C2604" i="34"/>
  <c r="A639" i="29"/>
  <c r="I2646" i="34"/>
  <c r="C2603" i="34"/>
  <c r="I2401" i="34"/>
  <c r="I750" i="25"/>
  <c r="J2576" i="34"/>
  <c r="I2643" i="34"/>
  <c r="I884" i="23"/>
  <c r="I590" i="29"/>
  <c r="J2573" i="34"/>
  <c r="J578" i="29"/>
  <c r="C640" i="29"/>
  <c r="I2580" i="34"/>
  <c r="C2606" i="34"/>
  <c r="A2671" i="34"/>
  <c r="C642" i="29"/>
  <c r="I2399" i="34"/>
  <c r="C2593" i="34"/>
  <c r="I891" i="23"/>
  <c r="J2572" i="34"/>
  <c r="C2676" i="34"/>
  <c r="A2595" i="34"/>
  <c r="A2589" i="34"/>
  <c r="J2503" i="34"/>
  <c r="J2580" i="34"/>
  <c r="I2398" i="34"/>
  <c r="H2592" i="34"/>
  <c r="C641" i="29"/>
  <c r="J842" i="23"/>
  <c r="A2676" i="34"/>
  <c r="I595" i="29"/>
  <c r="C639" i="29"/>
  <c r="I869" i="23"/>
  <c r="H2593" i="34"/>
  <c r="J2578" i="34"/>
  <c r="H645" i="29"/>
  <c r="E750" i="25"/>
  <c r="I890" i="23"/>
  <c r="J2331" i="34"/>
  <c r="C2590" i="34"/>
  <c r="I871" i="23"/>
  <c r="A2678" i="34"/>
  <c r="I886" i="23"/>
  <c r="C2677" i="34"/>
  <c r="J873" i="23"/>
  <c r="I868" i="23"/>
  <c r="I2644" i="34"/>
  <c r="I2574" i="34"/>
  <c r="H2590" i="34"/>
  <c r="C2596" i="34"/>
  <c r="J2464" i="34"/>
  <c r="A2606" i="34"/>
  <c r="I2576" i="34"/>
  <c r="I2571" i="34"/>
  <c r="J2570" i="34"/>
  <c r="A2672" i="34"/>
  <c r="H641" i="29"/>
  <c r="I870" i="23"/>
  <c r="J2571" i="34"/>
  <c r="I592" i="29"/>
  <c r="I873" i="23"/>
  <c r="H642" i="29"/>
  <c r="I2640" i="34"/>
  <c r="I2397" i="34"/>
  <c r="I864" i="23"/>
  <c r="J2577" i="34"/>
  <c r="I605" i="29"/>
  <c r="J2330" i="34"/>
  <c r="I888" i="23"/>
  <c r="I2639" i="34"/>
  <c r="I2638" i="34"/>
  <c r="I862" i="23"/>
  <c r="C2673" i="34"/>
  <c r="J865" i="23"/>
  <c r="I872" i="23"/>
  <c r="H2587" i="34"/>
  <c r="H2596" i="34"/>
  <c r="A2592" i="34"/>
  <c r="I2570" i="34"/>
  <c r="J573" i="29"/>
  <c r="A2673" i="34"/>
  <c r="H639" i="29"/>
  <c r="I867" i="23"/>
  <c r="H643" i="29"/>
  <c r="I893" i="23"/>
  <c r="H2594" i="34"/>
  <c r="C646" i="29"/>
  <c r="H2604" i="34"/>
  <c r="I2645" i="34"/>
  <c r="I887" i="23"/>
  <c r="H2588" i="34"/>
  <c r="I2575" i="34"/>
  <c r="H2608" i="34"/>
  <c r="I2569" i="34"/>
  <c r="H2673" i="34"/>
  <c r="I866" i="23"/>
  <c r="C645" i="29"/>
  <c r="J575" i="29"/>
  <c r="I2637" i="34"/>
  <c r="A640" i="29"/>
  <c r="I593" i="29"/>
  <c r="A644" i="29"/>
  <c r="I894" i="23"/>
  <c r="A645" i="29"/>
  <c r="F749" i="25"/>
  <c r="H2595" i="34"/>
  <c r="H2672" i="34"/>
  <c r="H2609" i="34"/>
  <c r="M750" i="25"/>
  <c r="A2675" i="34"/>
  <c r="J2332" i="34"/>
  <c r="A643" i="29"/>
  <c r="I2512" i="34"/>
  <c r="J862" i="23"/>
  <c r="A2677" i="34"/>
  <c r="I895" i="23"/>
  <c r="J605" i="29"/>
  <c r="A2588" i="34"/>
  <c r="J866" i="23"/>
  <c r="J871" i="23"/>
  <c r="I885" i="23"/>
  <c r="F531" i="29"/>
  <c r="H640" i="29"/>
  <c r="C2591" i="34"/>
  <c r="J2579" i="34"/>
  <c r="C2588" i="34"/>
  <c r="H2610" i="34" l="1"/>
  <c r="L856" i="30"/>
  <c r="M855" i="30"/>
  <c r="H856" i="30" s="1"/>
  <c r="J2334" i="34"/>
  <c r="E2350" i="34" s="1"/>
  <c r="N595" i="28"/>
  <c r="V595" i="28" s="1"/>
  <c r="M582" i="28"/>
  <c r="H583" i="28" s="1"/>
  <c r="N591" i="28"/>
  <c r="V591" i="28" s="1"/>
  <c r="V832" i="30"/>
  <c r="E833" i="30" s="1"/>
  <c r="J851" i="23"/>
  <c r="J2513" i="34"/>
  <c r="C2557" i="34" s="1"/>
  <c r="C2490" i="34"/>
  <c r="X643" i="28"/>
  <c r="K608" i="28"/>
  <c r="M615" i="28"/>
  <c r="M610" i="28"/>
  <c r="M611" i="28"/>
  <c r="M612" i="28"/>
  <c r="X646" i="28"/>
  <c r="X924" i="30"/>
  <c r="E925" i="30" s="1"/>
  <c r="H647" i="29"/>
  <c r="X707" i="25"/>
  <c r="N593" i="28"/>
  <c r="M613" i="28"/>
  <c r="N594" i="28"/>
  <c r="X716" i="25"/>
  <c r="X721" i="25"/>
  <c r="H2679" i="34"/>
  <c r="X723" i="25"/>
  <c r="X645" i="28"/>
  <c r="N596" i="28"/>
  <c r="M614" i="28"/>
  <c r="N597" i="28"/>
  <c r="J579" i="29"/>
  <c r="X647" i="28"/>
  <c r="X724" i="25"/>
  <c r="H2597" i="34"/>
  <c r="X720" i="25"/>
  <c r="X722" i="25"/>
  <c r="X717" i="25"/>
  <c r="X719" i="25"/>
  <c r="X648" i="28"/>
  <c r="X649" i="28"/>
  <c r="X718" i="25"/>
  <c r="R921" i="30"/>
  <c r="K921" i="30" s="1"/>
  <c r="G921" i="30"/>
  <c r="R913" i="30"/>
  <c r="K913" i="30" s="1"/>
  <c r="G913" i="30"/>
  <c r="R920" i="30"/>
  <c r="K920" i="30" s="1"/>
  <c r="G920" i="30"/>
  <c r="R914" i="30"/>
  <c r="K914" i="30" s="1"/>
  <c r="G914" i="30"/>
  <c r="R916" i="30"/>
  <c r="K916" i="30" s="1"/>
  <c r="G916" i="30"/>
  <c r="G922" i="30"/>
  <c r="R922" i="30"/>
  <c r="K922" i="30" s="1"/>
  <c r="G917" i="30"/>
  <c r="R917" i="30"/>
  <c r="K917" i="30" s="1"/>
  <c r="R912" i="30"/>
  <c r="K912" i="30" s="1"/>
  <c r="G912" i="30"/>
  <c r="G915" i="30"/>
  <c r="R915" i="30"/>
  <c r="K915" i="30" s="1"/>
  <c r="R923" i="30"/>
  <c r="G918" i="30"/>
  <c r="R918" i="30"/>
  <c r="K918" i="30" s="1"/>
  <c r="R910" i="30"/>
  <c r="G910" i="30"/>
  <c r="G924" i="30"/>
  <c r="R919" i="30"/>
  <c r="K919" i="30" s="1"/>
  <c r="G919" i="30"/>
  <c r="R911" i="30"/>
  <c r="K911" i="30" s="1"/>
  <c r="G911" i="30"/>
  <c r="X644" i="28"/>
  <c r="M609" i="28"/>
  <c r="V580" i="28"/>
  <c r="V582" i="28" s="1"/>
  <c r="K616" i="28"/>
  <c r="N598" i="28"/>
  <c r="N592" i="28"/>
  <c r="X633" i="28"/>
  <c r="L583" i="28"/>
  <c r="R626" i="28"/>
  <c r="K626" i="28" s="1"/>
  <c r="G626" i="28"/>
  <c r="R629" i="28"/>
  <c r="K629" i="28" s="1"/>
  <c r="G629" i="28"/>
  <c r="G627" i="28"/>
  <c r="R627" i="28"/>
  <c r="K627" i="28" s="1"/>
  <c r="R625" i="28"/>
  <c r="G625" i="28"/>
  <c r="G633" i="28"/>
  <c r="R631" i="28"/>
  <c r="K631" i="28" s="1"/>
  <c r="G631" i="28"/>
  <c r="R632" i="28"/>
  <c r="K632" i="28" s="1"/>
  <c r="G632" i="28"/>
  <c r="R628" i="28"/>
  <c r="K628" i="28" s="1"/>
  <c r="G628" i="28"/>
  <c r="R630" i="28"/>
  <c r="K630" i="28" s="1"/>
  <c r="G630" i="28"/>
  <c r="I745" i="25"/>
  <c r="F745" i="25"/>
  <c r="I740" i="25"/>
  <c r="I739" i="25"/>
  <c r="X725" i="25"/>
  <c r="I736" i="25"/>
  <c r="I735" i="25"/>
  <c r="I742" i="25"/>
  <c r="I738" i="25"/>
  <c r="I741" i="25"/>
  <c r="I743" i="25"/>
  <c r="I737" i="25"/>
  <c r="X642" i="28"/>
  <c r="W650" i="28"/>
  <c r="I744" i="25"/>
  <c r="G752" i="25"/>
  <c r="D765" i="25"/>
  <c r="G750" i="25"/>
  <c r="G765" i="25"/>
  <c r="N752" i="25"/>
  <c r="A765" i="25"/>
  <c r="B752" i="25"/>
  <c r="A764" i="25"/>
  <c r="A750" i="25"/>
  <c r="D750" i="25"/>
  <c r="K752" i="25"/>
  <c r="E549" i="28"/>
  <c r="B549" i="28"/>
  <c r="I765" i="25"/>
  <c r="K750" i="25"/>
  <c r="M752" i="25"/>
  <c r="M765" i="25"/>
  <c r="K765" i="25"/>
  <c r="V565" i="28"/>
  <c r="I752" i="25"/>
  <c r="A752" i="25"/>
  <c r="V608" i="28"/>
  <c r="F752" i="25"/>
  <c r="V875" i="30"/>
  <c r="V869" i="30"/>
  <c r="V867" i="30"/>
  <c r="V868" i="30"/>
  <c r="V866" i="30"/>
  <c r="V873" i="30"/>
  <c r="V865" i="30"/>
  <c r="V855" i="30"/>
  <c r="B856" i="30" s="1"/>
  <c r="V874" i="30"/>
  <c r="S759" i="25"/>
  <c r="S760" i="25"/>
  <c r="T763" i="25"/>
  <c r="W762" i="25"/>
  <c r="Q755" i="25"/>
  <c r="F754" i="25"/>
  <c r="P761" i="25"/>
  <c r="Q761" i="25"/>
  <c r="U759" i="25"/>
  <c r="W756" i="25"/>
  <c r="A757" i="25"/>
  <c r="W761" i="25"/>
  <c r="A763" i="25"/>
  <c r="T758" i="25"/>
  <c r="F758" i="25"/>
  <c r="F759" i="25"/>
  <c r="P756" i="25"/>
  <c r="F757" i="25"/>
  <c r="A754" i="25"/>
  <c r="A756" i="25"/>
  <c r="P763" i="25"/>
  <c r="B754" i="25"/>
  <c r="B760" i="25"/>
  <c r="S763" i="25"/>
  <c r="B758" i="25"/>
  <c r="B762" i="25"/>
  <c r="S754" i="25"/>
  <c r="W755" i="25"/>
  <c r="B761" i="25"/>
  <c r="P757" i="25"/>
  <c r="A760" i="25"/>
  <c r="U758" i="25"/>
  <c r="S757" i="25"/>
  <c r="P755" i="25"/>
  <c r="T756" i="25"/>
  <c r="P758" i="25"/>
  <c r="T762" i="25"/>
  <c r="U755" i="25"/>
  <c r="F761" i="25"/>
  <c r="A759" i="25"/>
  <c r="B755" i="25"/>
  <c r="F755" i="25"/>
  <c r="P762" i="25"/>
  <c r="T755" i="25"/>
  <c r="U761" i="25"/>
  <c r="S755" i="25"/>
  <c r="A761" i="25"/>
  <c r="Q763" i="25"/>
  <c r="Q754" i="25"/>
  <c r="F756" i="25"/>
  <c r="T754" i="25"/>
  <c r="U763" i="25"/>
  <c r="F760" i="25"/>
  <c r="F762" i="25"/>
  <c r="W763" i="25"/>
  <c r="Q757" i="25"/>
  <c r="T759" i="25"/>
  <c r="P760" i="25"/>
  <c r="Q760" i="25"/>
  <c r="S758" i="25"/>
  <c r="A762" i="25"/>
  <c r="T760" i="25"/>
  <c r="U754" i="25"/>
  <c r="T761" i="25"/>
  <c r="Q762" i="25"/>
  <c r="Q758" i="25"/>
  <c r="B757" i="25"/>
  <c r="B756" i="25"/>
  <c r="F763" i="25"/>
  <c r="U757" i="25"/>
  <c r="W754" i="25"/>
  <c r="W760" i="25"/>
  <c r="W757" i="25"/>
  <c r="Q756" i="25"/>
  <c r="A755" i="25"/>
  <c r="S761" i="25"/>
  <c r="U762" i="25"/>
  <c r="B759" i="25"/>
  <c r="S762" i="25"/>
  <c r="B763" i="25"/>
  <c r="P754" i="25"/>
  <c r="A758" i="25"/>
  <c r="U756" i="25"/>
  <c r="T757" i="25"/>
  <c r="S756" i="25"/>
  <c r="W758" i="25"/>
  <c r="U760" i="25"/>
  <c r="Q759" i="25"/>
  <c r="W737" i="25"/>
  <c r="W743" i="25"/>
  <c r="P647" i="28"/>
  <c r="P645" i="28"/>
  <c r="W735" i="25"/>
  <c r="P648" i="28"/>
  <c r="P646" i="28"/>
  <c r="P644" i="28"/>
  <c r="W736" i="25"/>
  <c r="P643" i="28"/>
  <c r="W742" i="25"/>
  <c r="W738" i="25"/>
  <c r="W740" i="25"/>
  <c r="P642" i="28"/>
  <c r="P649" i="28"/>
  <c r="W741" i="25"/>
  <c r="W739" i="25"/>
  <c r="W744" i="25"/>
  <c r="I2471" i="34"/>
  <c r="I610" i="29"/>
  <c r="I2470" i="34"/>
  <c r="C560" i="33"/>
  <c r="J2640" i="34"/>
  <c r="J885" i="23"/>
  <c r="J2575" i="34"/>
  <c r="F924" i="23"/>
  <c r="J2396" i="34"/>
  <c r="H2658" i="34"/>
  <c r="C2662" i="34"/>
  <c r="J868" i="23"/>
  <c r="C2656" i="34"/>
  <c r="H2656" i="34"/>
  <c r="H2664" i="34"/>
  <c r="F548" i="29"/>
  <c r="J2637" i="34"/>
  <c r="A2662" i="34"/>
  <c r="J884" i="23"/>
  <c r="I2467" i="34"/>
  <c r="J2649" i="34"/>
  <c r="J894" i="23"/>
  <c r="H2663" i="34"/>
  <c r="J2395" i="34"/>
  <c r="B548" i="29"/>
  <c r="H2661" i="34"/>
  <c r="I609" i="29"/>
  <c r="I611" i="29"/>
  <c r="A2661" i="34"/>
  <c r="J588" i="29"/>
  <c r="I2581" i="34"/>
  <c r="I2468" i="34"/>
  <c r="F854" i="23"/>
  <c r="C2665" i="34"/>
  <c r="H2660" i="34"/>
  <c r="J2638" i="34"/>
  <c r="J2639" i="34"/>
  <c r="J592" i="29"/>
  <c r="J2400" i="34"/>
  <c r="H2662" i="34"/>
  <c r="I607" i="29"/>
  <c r="C2664" i="34"/>
  <c r="H2657" i="34"/>
  <c r="J2398" i="34"/>
  <c r="J2648" i="34"/>
  <c r="J2646" i="34"/>
  <c r="C2658" i="34"/>
  <c r="J892" i="23"/>
  <c r="J888" i="23"/>
  <c r="J889" i="23"/>
  <c r="C2661" i="34"/>
  <c r="J594" i="29"/>
  <c r="I608" i="29"/>
  <c r="F832" i="23"/>
  <c r="C2644" i="34"/>
  <c r="A2664" i="34"/>
  <c r="J590" i="29"/>
  <c r="J891" i="23"/>
  <c r="J2645" i="34"/>
  <c r="A2663" i="34"/>
  <c r="C581" i="29"/>
  <c r="F581" i="29"/>
  <c r="J887" i="23"/>
  <c r="A2657" i="34"/>
  <c r="J589" i="29"/>
  <c r="J593" i="29"/>
  <c r="J867" i="23"/>
  <c r="I606" i="29"/>
  <c r="C2660" i="34"/>
  <c r="J896" i="23"/>
  <c r="J893" i="23"/>
  <c r="AL43" i="27"/>
  <c r="J886" i="23"/>
  <c r="J2402" i="34"/>
  <c r="H2665" i="34"/>
  <c r="J890" i="23"/>
  <c r="J2642" i="34"/>
  <c r="C2659" i="34"/>
  <c r="C2657" i="34"/>
  <c r="I2465" i="34"/>
  <c r="J2401" i="34"/>
  <c r="A2660" i="34"/>
  <c r="C2663" i="34"/>
  <c r="J2643" i="34"/>
  <c r="J895" i="23"/>
  <c r="H2659" i="34"/>
  <c r="I612" i="29"/>
  <c r="I2469" i="34"/>
  <c r="J2397" i="34"/>
  <c r="J2647" i="34"/>
  <c r="A2659" i="34"/>
  <c r="J2574" i="34"/>
  <c r="A2656" i="34"/>
  <c r="J595" i="29"/>
  <c r="A2658" i="34"/>
  <c r="J2641" i="34"/>
  <c r="A2665" i="34"/>
  <c r="C854" i="23"/>
  <c r="J2399" i="34"/>
  <c r="B855" i="23"/>
  <c r="I2466" i="34"/>
  <c r="J591" i="29"/>
  <c r="M878" i="30" l="1"/>
  <c r="H879" i="30" s="1"/>
  <c r="J2403" i="34"/>
  <c r="E2419" i="34" s="1"/>
  <c r="N611" i="28"/>
  <c r="V611" i="28" s="1"/>
  <c r="N610" i="28"/>
  <c r="V610" i="28" s="1"/>
  <c r="N612" i="28"/>
  <c r="V612" i="28" s="1"/>
  <c r="N615" i="28"/>
  <c r="V615" i="28" s="1"/>
  <c r="B833" i="30"/>
  <c r="N609" i="28"/>
  <c r="V609" i="28" s="1"/>
  <c r="L879" i="30"/>
  <c r="C2559" i="34"/>
  <c r="J2582" i="34"/>
  <c r="C2626" i="34" s="1"/>
  <c r="J874" i="23"/>
  <c r="V893" i="30"/>
  <c r="V870" i="30"/>
  <c r="V894" i="30"/>
  <c r="V871" i="30"/>
  <c r="K910" i="30"/>
  <c r="X744" i="25"/>
  <c r="V593" i="28"/>
  <c r="N613" i="28"/>
  <c r="L600" i="28"/>
  <c r="X726" i="25"/>
  <c r="V594" i="28"/>
  <c r="X737" i="25"/>
  <c r="N614" i="28"/>
  <c r="V596" i="28"/>
  <c r="M599" i="28"/>
  <c r="H600" i="28" s="1"/>
  <c r="M629" i="28"/>
  <c r="V597" i="28"/>
  <c r="J596" i="29"/>
  <c r="X739" i="25"/>
  <c r="X742" i="25"/>
  <c r="X740" i="25"/>
  <c r="X743" i="25"/>
  <c r="X736" i="25"/>
  <c r="X738" i="25"/>
  <c r="X735" i="25"/>
  <c r="H2666" i="34"/>
  <c r="X741" i="25"/>
  <c r="E583" i="28"/>
  <c r="B583" i="28"/>
  <c r="K923" i="30"/>
  <c r="V592" i="28"/>
  <c r="V598" i="28"/>
  <c r="X650" i="28"/>
  <c r="K924" i="30"/>
  <c r="M626" i="28"/>
  <c r="M630" i="28"/>
  <c r="M632" i="28"/>
  <c r="X757" i="25"/>
  <c r="R761" i="25"/>
  <c r="K761" i="25" s="1"/>
  <c r="M761" i="25"/>
  <c r="G761" i="25"/>
  <c r="R644" i="28"/>
  <c r="K644" i="28" s="1"/>
  <c r="G644" i="28"/>
  <c r="G648" i="28"/>
  <c r="R648" i="28"/>
  <c r="K648" i="28" s="1"/>
  <c r="G646" i="28"/>
  <c r="R646" i="28"/>
  <c r="K646" i="28" s="1"/>
  <c r="R643" i="28"/>
  <c r="K643" i="28" s="1"/>
  <c r="G643" i="28"/>
  <c r="G645" i="28"/>
  <c r="R645" i="28"/>
  <c r="K645" i="28" s="1"/>
  <c r="G647" i="28"/>
  <c r="R647" i="28"/>
  <c r="K647" i="28" s="1"/>
  <c r="G642" i="28"/>
  <c r="R642" i="28"/>
  <c r="G650" i="28"/>
  <c r="G649" i="28"/>
  <c r="R649" i="28"/>
  <c r="K649" i="28" s="1"/>
  <c r="X754" i="25"/>
  <c r="F764" i="25"/>
  <c r="I764" i="25"/>
  <c r="G764" i="25"/>
  <c r="I754" i="25"/>
  <c r="M763" i="25"/>
  <c r="R763" i="25"/>
  <c r="K763" i="25" s="1"/>
  <c r="G763" i="25"/>
  <c r="I762" i="25"/>
  <c r="I763" i="25"/>
  <c r="R757" i="25"/>
  <c r="K757" i="25" s="1"/>
  <c r="M757" i="25"/>
  <c r="G757" i="25"/>
  <c r="I758" i="25"/>
  <c r="I760" i="25"/>
  <c r="X763" i="25"/>
  <c r="X755" i="25"/>
  <c r="X760" i="25"/>
  <c r="X762" i="25"/>
  <c r="I757" i="25"/>
  <c r="G758" i="25"/>
  <c r="R758" i="25"/>
  <c r="K758" i="25" s="1"/>
  <c r="M758" i="25"/>
  <c r="I756" i="25"/>
  <c r="G756" i="25"/>
  <c r="M756" i="25"/>
  <c r="R756" i="25"/>
  <c r="K756" i="25" s="1"/>
  <c r="I761" i="25"/>
  <c r="R762" i="25"/>
  <c r="K762" i="25" s="1"/>
  <c r="M762" i="25"/>
  <c r="G762" i="25"/>
  <c r="G760" i="25"/>
  <c r="R760" i="25"/>
  <c r="K760" i="25" s="1"/>
  <c r="M760" i="25"/>
  <c r="M754" i="25"/>
  <c r="G754" i="25"/>
  <c r="R754" i="25"/>
  <c r="K754" i="25" s="1"/>
  <c r="I759" i="25"/>
  <c r="X761" i="25"/>
  <c r="X758" i="25"/>
  <c r="I755" i="25"/>
  <c r="X756" i="25"/>
  <c r="R755" i="25"/>
  <c r="K755" i="25" s="1"/>
  <c r="G755" i="25"/>
  <c r="M755" i="25"/>
  <c r="M628" i="28"/>
  <c r="M631" i="28"/>
  <c r="M625" i="28"/>
  <c r="K625" i="28"/>
  <c r="K633" i="28"/>
  <c r="M627" i="28"/>
  <c r="E566" i="28"/>
  <c r="B566" i="28"/>
  <c r="V896" i="30"/>
  <c r="V889" i="30"/>
  <c r="V888" i="30"/>
  <c r="V898" i="30"/>
  <c r="V892" i="30"/>
  <c r="J897" i="23"/>
  <c r="V890" i="30"/>
  <c r="V891" i="30"/>
  <c r="V897" i="30"/>
  <c r="M901" i="30"/>
  <c r="L902" i="30"/>
  <c r="V910" i="30"/>
  <c r="W759" i="25"/>
  <c r="I626" i="29"/>
  <c r="H2733" i="34"/>
  <c r="A2726" i="34"/>
  <c r="C2733" i="34"/>
  <c r="I914" i="23"/>
  <c r="J606" i="29"/>
  <c r="J2467" i="34"/>
  <c r="H2729" i="34"/>
  <c r="A2729" i="34"/>
  <c r="I2713" i="34"/>
  <c r="A2734" i="34"/>
  <c r="J910" i="23"/>
  <c r="I2712" i="34"/>
  <c r="J916" i="23"/>
  <c r="I622" i="29"/>
  <c r="I2727" i="34"/>
  <c r="J2468" i="34"/>
  <c r="C575" i="33"/>
  <c r="I917" i="23"/>
  <c r="I2706" i="34"/>
  <c r="A2730" i="34"/>
  <c r="F565" i="29"/>
  <c r="J2718" i="34"/>
  <c r="I2734" i="34"/>
  <c r="I908" i="23"/>
  <c r="C598" i="29"/>
  <c r="J919" i="23"/>
  <c r="J2708" i="34"/>
  <c r="H2732" i="34"/>
  <c r="H2734" i="34"/>
  <c r="J915" i="23"/>
  <c r="I624" i="29"/>
  <c r="C2726" i="34"/>
  <c r="J609" i="29"/>
  <c r="I625" i="29"/>
  <c r="J2714" i="34"/>
  <c r="A2733" i="34"/>
  <c r="J2709" i="34"/>
  <c r="H2726" i="34"/>
  <c r="I2707" i="34"/>
  <c r="I915" i="23"/>
  <c r="I2733" i="34"/>
  <c r="H2730" i="34"/>
  <c r="J2470" i="34"/>
  <c r="F598" i="29"/>
  <c r="I629" i="29"/>
  <c r="B832" i="23"/>
  <c r="J913" i="23"/>
  <c r="J607" i="29"/>
  <c r="I2540" i="34"/>
  <c r="I918" i="23"/>
  <c r="B565" i="29"/>
  <c r="J610" i="29"/>
  <c r="J912" i="23"/>
  <c r="A2731" i="34"/>
  <c r="I2710" i="34"/>
  <c r="I2731" i="34"/>
  <c r="I2537" i="34"/>
  <c r="J2715" i="34"/>
  <c r="C2734" i="34"/>
  <c r="C2731" i="34"/>
  <c r="J2465" i="34"/>
  <c r="C2729" i="34"/>
  <c r="I2718" i="34"/>
  <c r="H2731" i="34"/>
  <c r="I2711" i="34"/>
  <c r="C2728" i="34"/>
  <c r="I2725" i="34"/>
  <c r="I2716" i="34"/>
  <c r="W620" i="31"/>
  <c r="I2533" i="34"/>
  <c r="C2725" i="34"/>
  <c r="I628" i="29"/>
  <c r="J2712" i="34"/>
  <c r="I2534" i="34"/>
  <c r="I2539" i="34"/>
  <c r="J2716" i="34"/>
  <c r="C2727" i="34"/>
  <c r="C2732" i="34"/>
  <c r="F877" i="23"/>
  <c r="J914" i="23"/>
  <c r="J2466" i="34"/>
  <c r="C2730" i="34"/>
  <c r="J911" i="23"/>
  <c r="A2732" i="34"/>
  <c r="J2711" i="34"/>
  <c r="I909" i="23"/>
  <c r="I2717" i="34"/>
  <c r="H2725" i="34"/>
  <c r="J2713" i="34"/>
  <c r="I2729" i="34"/>
  <c r="I2709" i="34"/>
  <c r="C877" i="23"/>
  <c r="J917" i="23"/>
  <c r="A2728" i="34"/>
  <c r="I2708" i="34"/>
  <c r="I623" i="29"/>
  <c r="J611" i="29"/>
  <c r="I2732" i="34"/>
  <c r="C900" i="23"/>
  <c r="I916" i="23"/>
  <c r="J918" i="23"/>
  <c r="J2710" i="34"/>
  <c r="I907" i="23"/>
  <c r="F582" i="29"/>
  <c r="B582" i="29"/>
  <c r="I627" i="29"/>
  <c r="J2471" i="34"/>
  <c r="I2714" i="34"/>
  <c r="I913" i="23"/>
  <c r="H2727" i="34"/>
  <c r="J2469" i="34"/>
  <c r="I2538" i="34"/>
  <c r="I2728" i="34"/>
  <c r="J608" i="29"/>
  <c r="J2717" i="34"/>
  <c r="J909" i="23"/>
  <c r="I910" i="23"/>
  <c r="A2725" i="34"/>
  <c r="I2536" i="34"/>
  <c r="J612" i="29"/>
  <c r="I2535" i="34"/>
  <c r="I919" i="23"/>
  <c r="I912" i="23"/>
  <c r="A2727" i="34"/>
  <c r="I911" i="23"/>
  <c r="I2726" i="34"/>
  <c r="H2728" i="34"/>
  <c r="I2715" i="34"/>
  <c r="W628" i="31" l="1"/>
  <c r="C2628" i="34"/>
  <c r="J2472" i="34"/>
  <c r="E2488" i="34" s="1"/>
  <c r="N632" i="28"/>
  <c r="V632" i="28" s="1"/>
  <c r="N630" i="28"/>
  <c r="V630" i="28" s="1"/>
  <c r="N626" i="28"/>
  <c r="V626" i="28" s="1"/>
  <c r="N629" i="28"/>
  <c r="V878" i="30"/>
  <c r="E879" i="30" s="1"/>
  <c r="H902" i="30"/>
  <c r="V911" i="30"/>
  <c r="L617" i="28"/>
  <c r="M616" i="28"/>
  <c r="H617" i="28" s="1"/>
  <c r="V613" i="28"/>
  <c r="V599" i="28"/>
  <c r="E600" i="28" s="1"/>
  <c r="J613" i="29"/>
  <c r="X745" i="25"/>
  <c r="V614" i="28"/>
  <c r="X759" i="25"/>
  <c r="X764" i="25" s="1"/>
  <c r="H2735" i="34"/>
  <c r="M649" i="28"/>
  <c r="M647" i="28"/>
  <c r="M646" i="28"/>
  <c r="N755" i="25"/>
  <c r="M642" i="28"/>
  <c r="K642" i="28"/>
  <c r="K650" i="28"/>
  <c r="M645" i="28"/>
  <c r="M643" i="28"/>
  <c r="N754" i="25"/>
  <c r="N625" i="28"/>
  <c r="N760" i="25"/>
  <c r="N757" i="25"/>
  <c r="M648" i="28"/>
  <c r="N763" i="25"/>
  <c r="N762" i="25"/>
  <c r="M644" i="28"/>
  <c r="N756" i="25"/>
  <c r="N627" i="28"/>
  <c r="N631" i="28"/>
  <c r="K764" i="25"/>
  <c r="N761" i="25"/>
  <c r="N628" i="28"/>
  <c r="N758" i="25"/>
  <c r="V912" i="30"/>
  <c r="V915" i="30"/>
  <c r="V916" i="30"/>
  <c r="V920" i="30"/>
  <c r="V914" i="30"/>
  <c r="V917" i="30"/>
  <c r="V919" i="30"/>
  <c r="V921" i="30"/>
  <c r="V901" i="30"/>
  <c r="B902" i="30" s="1"/>
  <c r="V918" i="30"/>
  <c r="V913" i="30"/>
  <c r="P624" i="31"/>
  <c r="P625" i="31"/>
  <c r="P622" i="31"/>
  <c r="P626" i="31"/>
  <c r="P623" i="31"/>
  <c r="P627" i="31"/>
  <c r="P621" i="31"/>
  <c r="I639" i="29"/>
  <c r="I643" i="29"/>
  <c r="I641" i="29"/>
  <c r="F615" i="29"/>
  <c r="J622" i="29"/>
  <c r="AL44" i="32"/>
  <c r="J2536" i="34"/>
  <c r="J2537" i="34"/>
  <c r="I2606" i="34"/>
  <c r="B901" i="23"/>
  <c r="I2604" i="34"/>
  <c r="J626" i="29"/>
  <c r="I2678" i="34"/>
  <c r="I2671" i="34"/>
  <c r="F878" i="23"/>
  <c r="J623" i="29"/>
  <c r="J628" i="29"/>
  <c r="J2539" i="34"/>
  <c r="J2534" i="34"/>
  <c r="I2719" i="34"/>
  <c r="I2672" i="34"/>
  <c r="J2678" i="34"/>
  <c r="I2609" i="34"/>
  <c r="J2676" i="34"/>
  <c r="J908" i="23"/>
  <c r="J2729" i="34"/>
  <c r="J627" i="29"/>
  <c r="J624" i="29"/>
  <c r="J2540" i="34"/>
  <c r="J625" i="29"/>
  <c r="F599" i="29"/>
  <c r="I2676" i="34"/>
  <c r="J2538" i="34"/>
  <c r="I2674" i="34"/>
  <c r="I2675" i="34"/>
  <c r="I2673" i="34"/>
  <c r="J2707" i="34"/>
  <c r="I2608" i="34"/>
  <c r="C615" i="29"/>
  <c r="J2728" i="34"/>
  <c r="I646" i="29"/>
  <c r="I2602" i="34"/>
  <c r="F900" i="23"/>
  <c r="J2533" i="34"/>
  <c r="J2734" i="34"/>
  <c r="I640" i="29"/>
  <c r="I2677" i="34"/>
  <c r="J2727" i="34"/>
  <c r="I2603" i="34"/>
  <c r="J629" i="29"/>
  <c r="J2725" i="34"/>
  <c r="J2535" i="34"/>
  <c r="J2733" i="34"/>
  <c r="J907" i="23"/>
  <c r="J2726" i="34"/>
  <c r="I645" i="29"/>
  <c r="I644" i="29"/>
  <c r="I2605" i="34"/>
  <c r="J2731" i="34"/>
  <c r="J2732" i="34"/>
  <c r="J2675" i="34"/>
  <c r="J2706" i="34"/>
  <c r="I2607" i="34"/>
  <c r="I642" i="29"/>
  <c r="R621" i="31" l="1"/>
  <c r="M621" i="31" s="1"/>
  <c r="N621" i="31" s="1"/>
  <c r="V621" i="31" s="1"/>
  <c r="G621" i="31"/>
  <c r="G628" i="31"/>
  <c r="R627" i="31"/>
  <c r="K627" i="31" s="1"/>
  <c r="G627" i="31"/>
  <c r="G623" i="31"/>
  <c r="R623" i="31"/>
  <c r="K623" i="31" s="1"/>
  <c r="G626" i="31"/>
  <c r="R626" i="31"/>
  <c r="K626" i="31" s="1"/>
  <c r="G622" i="31"/>
  <c r="R622" i="31"/>
  <c r="K622" i="31" s="1"/>
  <c r="R625" i="31"/>
  <c r="K625" i="31" s="1"/>
  <c r="G625" i="31"/>
  <c r="R624" i="31"/>
  <c r="K624" i="31" s="1"/>
  <c r="G624" i="31"/>
  <c r="M624" i="31"/>
  <c r="K621" i="31"/>
  <c r="M622" i="31"/>
  <c r="M625" i="31"/>
  <c r="B879" i="30"/>
  <c r="J2541" i="34"/>
  <c r="E2557" i="34" s="1"/>
  <c r="N646" i="28"/>
  <c r="V646" i="28" s="1"/>
  <c r="N647" i="28"/>
  <c r="V647" i="28" s="1"/>
  <c r="V629" i="28"/>
  <c r="N649" i="28"/>
  <c r="V649" i="28" s="1"/>
  <c r="M924" i="30"/>
  <c r="L925" i="30"/>
  <c r="J2720" i="34"/>
  <c r="C2764" i="34" s="1"/>
  <c r="J920" i="23"/>
  <c r="H925" i="30"/>
  <c r="V616" i="28"/>
  <c r="B617" i="28" s="1"/>
  <c r="B600" i="28"/>
  <c r="J630" i="29"/>
  <c r="V756" i="25"/>
  <c r="V762" i="25"/>
  <c r="N644" i="28"/>
  <c r="V760" i="25"/>
  <c r="V758" i="25"/>
  <c r="N648" i="28"/>
  <c r="V757" i="25"/>
  <c r="V754" i="25"/>
  <c r="V761" i="25"/>
  <c r="V763" i="25"/>
  <c r="V628" i="28"/>
  <c r="N645" i="28"/>
  <c r="V631" i="28"/>
  <c r="V625" i="28"/>
  <c r="M633" i="28"/>
  <c r="H634" i="28" s="1"/>
  <c r="L634" i="28"/>
  <c r="N643" i="28"/>
  <c r="N642" i="28"/>
  <c r="V627" i="28"/>
  <c r="V755" i="25"/>
  <c r="V924" i="30"/>
  <c r="B925" i="30" s="1"/>
  <c r="E902" i="30"/>
  <c r="J2609" i="34"/>
  <c r="J645" i="29"/>
  <c r="I618" i="33"/>
  <c r="J642" i="29"/>
  <c r="J2605" i="34"/>
  <c r="J2603" i="34"/>
  <c r="J2602" i="34"/>
  <c r="F923" i="23"/>
  <c r="J646" i="29"/>
  <c r="F632" i="29"/>
  <c r="B924" i="23"/>
  <c r="J2671" i="34"/>
  <c r="J2672" i="34"/>
  <c r="J2608" i="34"/>
  <c r="B878" i="23"/>
  <c r="J2673" i="34"/>
  <c r="J2604" i="34"/>
  <c r="J644" i="29"/>
  <c r="I621" i="33"/>
  <c r="J641" i="29"/>
  <c r="B616" i="29"/>
  <c r="C632" i="29"/>
  <c r="J639" i="29"/>
  <c r="J640" i="29"/>
  <c r="B599" i="29"/>
  <c r="C923" i="23"/>
  <c r="J643" i="29"/>
  <c r="J2607" i="34"/>
  <c r="J2606" i="34"/>
  <c r="I619" i="33"/>
  <c r="J618" i="33"/>
  <c r="J2677" i="34"/>
  <c r="J2674" i="34"/>
  <c r="F901" i="23"/>
  <c r="I622" i="33"/>
  <c r="M626" i="31" l="1"/>
  <c r="N626" i="31" s="1"/>
  <c r="M627" i="31"/>
  <c r="N627" i="31" s="1"/>
  <c r="M623" i="31"/>
  <c r="N623" i="31" s="1"/>
  <c r="K628" i="31"/>
  <c r="N622" i="31"/>
  <c r="N625" i="31"/>
  <c r="N624" i="31"/>
  <c r="J2610" i="34"/>
  <c r="E2626" i="34" s="1"/>
  <c r="C2766" i="34"/>
  <c r="E617" i="28"/>
  <c r="V633" i="28"/>
  <c r="E634" i="28" s="1"/>
  <c r="J647" i="29"/>
  <c r="J2679" i="34"/>
  <c r="E2695" i="34" s="1"/>
  <c r="V645" i="28"/>
  <c r="V642" i="28"/>
  <c r="M650" i="28"/>
  <c r="H651" i="28" s="1"/>
  <c r="L651" i="28"/>
  <c r="V643" i="28"/>
  <c r="V648" i="28"/>
  <c r="V644" i="28"/>
  <c r="AR7" i="24"/>
  <c r="AQ7" i="24"/>
  <c r="AQ8" i="24" s="1"/>
  <c r="AQ9" i="24" s="1"/>
  <c r="AQ10" i="24" s="1"/>
  <c r="AQ11" i="24" s="1"/>
  <c r="AQ12" i="24" s="1"/>
  <c r="AQ13" i="24" s="1"/>
  <c r="AQ14" i="24" s="1"/>
  <c r="AQ15" i="24" s="1"/>
  <c r="AQ16" i="24" s="1"/>
  <c r="AQ17" i="24" s="1"/>
  <c r="AQ18" i="24" s="1"/>
  <c r="AQ19" i="24" s="1"/>
  <c r="AQ20" i="24" s="1"/>
  <c r="AQ21" i="24" s="1"/>
  <c r="AQ22" i="24" s="1"/>
  <c r="AQ23" i="24" s="1"/>
  <c r="AQ24" i="24" s="1"/>
  <c r="AQ25" i="24" s="1"/>
  <c r="AQ26" i="24" s="1"/>
  <c r="AQ27" i="24" s="1"/>
  <c r="AQ28" i="24" s="1"/>
  <c r="AQ29" i="24" s="1"/>
  <c r="AQ30" i="24" s="1"/>
  <c r="I2690" i="34"/>
  <c r="I623" i="33"/>
  <c r="F633" i="29"/>
  <c r="I2689" i="34"/>
  <c r="J622" i="33"/>
  <c r="J620" i="33"/>
  <c r="C649" i="29"/>
  <c r="J619" i="33"/>
  <c r="J2685" i="34"/>
  <c r="I2685" i="34"/>
  <c r="J623" i="33"/>
  <c r="F649" i="29"/>
  <c r="I624" i="33"/>
  <c r="I2688" i="34"/>
  <c r="J2690" i="34"/>
  <c r="J2689" i="34"/>
  <c r="I2687" i="34"/>
  <c r="I2686" i="34"/>
  <c r="J2688" i="34"/>
  <c r="I620" i="33"/>
  <c r="J621" i="33"/>
  <c r="J2686" i="34"/>
  <c r="J2687" i="34"/>
  <c r="J624" i="33"/>
  <c r="I2684" i="34"/>
  <c r="F616" i="29"/>
  <c r="M628" i="31" l="1"/>
  <c r="L629" i="31"/>
  <c r="J625" i="33"/>
  <c r="V622" i="31"/>
  <c r="V625" i="31"/>
  <c r="V626" i="31"/>
  <c r="V627" i="31"/>
  <c r="V624" i="31"/>
  <c r="V623" i="31"/>
  <c r="H629" i="31"/>
  <c r="B634" i="28"/>
  <c r="V650" i="28"/>
  <c r="AR8" i="24"/>
  <c r="F627" i="33"/>
  <c r="C627" i="33"/>
  <c r="B633" i="29"/>
  <c r="J2684" i="34"/>
  <c r="V628" i="31" l="1"/>
  <c r="J2691" i="34"/>
  <c r="F2695" i="34" s="1"/>
  <c r="B651" i="28"/>
  <c r="E651" i="28"/>
  <c r="AR9" i="24"/>
  <c r="C140" i="26"/>
  <c r="C368" i="26"/>
  <c r="I615" i="26"/>
  <c r="C463" i="26"/>
  <c r="C710" i="26"/>
  <c r="I539" i="26"/>
  <c r="C501" i="26"/>
  <c r="F650" i="29"/>
  <c r="C482" i="26"/>
  <c r="C596" i="26"/>
  <c r="I748" i="26"/>
  <c r="C577" i="26"/>
  <c r="I653" i="26"/>
  <c r="C729" i="26"/>
  <c r="C653" i="26"/>
  <c r="I331" i="26"/>
  <c r="C349" i="26"/>
  <c r="C672" i="26"/>
  <c r="C121" i="26"/>
  <c r="C558" i="26"/>
  <c r="C273" i="26"/>
  <c r="I121" i="26"/>
  <c r="C406" i="26"/>
  <c r="I749" i="26"/>
  <c r="I578" i="26"/>
  <c r="I425" i="26"/>
  <c r="C615" i="26"/>
  <c r="C634" i="26"/>
  <c r="I178" i="26"/>
  <c r="C254" i="26"/>
  <c r="C425" i="26"/>
  <c r="C539" i="26"/>
  <c r="C520" i="26"/>
  <c r="C178" i="26"/>
  <c r="I179" i="26"/>
  <c r="B650" i="29"/>
  <c r="C748" i="26"/>
  <c r="C311" i="26"/>
  <c r="C159" i="26"/>
  <c r="C444" i="26"/>
  <c r="I140" i="26"/>
  <c r="I558" i="26"/>
  <c r="I559" i="26"/>
  <c r="C292" i="26"/>
  <c r="C102" i="26"/>
  <c r="I330" i="26"/>
  <c r="C197" i="26"/>
  <c r="C235" i="26"/>
  <c r="C387" i="26"/>
  <c r="C216" i="26"/>
  <c r="E629" i="31" l="1"/>
  <c r="B629" i="31"/>
  <c r="AR10" i="24"/>
  <c r="B628" i="33"/>
  <c r="F628" i="33"/>
  <c r="AR11" i="24" l="1"/>
  <c r="AR12" i="24" l="1"/>
  <c r="AR13" i="24" l="1"/>
  <c r="AR14" i="24" l="1"/>
  <c r="AR15" i="24" l="1"/>
  <c r="AR16" i="24" l="1"/>
  <c r="AR17" i="24" l="1"/>
  <c r="AR18" i="24" l="1"/>
  <c r="AR19" i="24" l="1"/>
  <c r="AR20" i="24" l="1"/>
  <c r="AR21" i="24" l="1"/>
  <c r="AR22" i="24" l="1"/>
  <c r="AR23" i="24" l="1"/>
  <c r="AR24" i="24" l="1"/>
  <c r="AR25" i="24" l="1"/>
  <c r="BD7" i="1"/>
  <c r="BC7" i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BD8" i="1" l="1"/>
  <c r="AR26" i="24"/>
  <c r="W29" i="28"/>
  <c r="BD9" i="1" l="1"/>
  <c r="AR27" i="24"/>
  <c r="BD10" i="1" l="1"/>
  <c r="AR28" i="24"/>
  <c r="BD11" i="1" l="1"/>
  <c r="AR29" i="24"/>
  <c r="AR30" i="24" s="1"/>
  <c r="BD12" i="1" l="1"/>
  <c r="BD13" i="1" l="1"/>
  <c r="BD14" i="1" l="1"/>
  <c r="BD15" i="1" l="1"/>
  <c r="BD16" i="1" l="1"/>
  <c r="BD17" i="1" l="1"/>
  <c r="H378" i="26"/>
  <c r="A279" i="26"/>
  <c r="A88" i="26"/>
  <c r="C567" i="26"/>
  <c r="H678" i="26"/>
  <c r="A335" i="26"/>
  <c r="H227" i="26"/>
  <c r="A90" i="26"/>
  <c r="C407" i="26"/>
  <c r="A264" i="26"/>
  <c r="H258" i="26"/>
  <c r="H69" i="26"/>
  <c r="H510" i="26"/>
  <c r="A570" i="26"/>
  <c r="A754" i="26"/>
  <c r="C583" i="26"/>
  <c r="I444" i="26"/>
  <c r="H226" i="26"/>
  <c r="C73" i="26"/>
  <c r="C700" i="26"/>
  <c r="C719" i="26"/>
  <c r="A341" i="26"/>
  <c r="I634" i="26"/>
  <c r="C45" i="26"/>
  <c r="A417" i="26"/>
  <c r="H204" i="26"/>
  <c r="H281" i="26"/>
  <c r="C359" i="26"/>
  <c r="C93" i="33"/>
  <c r="H489" i="26"/>
  <c r="C504" i="26"/>
  <c r="A605" i="26"/>
  <c r="A202" i="26"/>
  <c r="C356" i="26"/>
  <c r="C84" i="26"/>
  <c r="H523" i="26"/>
  <c r="A643" i="26"/>
  <c r="A371" i="26"/>
  <c r="A372" i="26"/>
  <c r="H314" i="26"/>
  <c r="H639" i="26"/>
  <c r="H755" i="26"/>
  <c r="H301" i="26"/>
  <c r="A701" i="26"/>
  <c r="H202" i="26"/>
  <c r="H11" i="23"/>
  <c r="A544" i="26"/>
  <c r="C602" i="26"/>
  <c r="A222" i="26"/>
  <c r="H106" i="26"/>
  <c r="H466" i="26"/>
  <c r="A171" i="26"/>
  <c r="C198" i="26"/>
  <c r="A430" i="26"/>
  <c r="A428" i="26"/>
  <c r="I160" i="26"/>
  <c r="H759" i="26"/>
  <c r="H696" i="26"/>
  <c r="C145" i="26"/>
  <c r="H658" i="26"/>
  <c r="H107" i="26"/>
  <c r="A181" i="26"/>
  <c r="C545" i="26"/>
  <c r="C532" i="26"/>
  <c r="A524" i="26"/>
  <c r="C677" i="26"/>
  <c r="H570" i="26"/>
  <c r="A374" i="26"/>
  <c r="H337" i="26"/>
  <c r="AL10" i="27"/>
  <c r="H506" i="26"/>
  <c r="H733" i="26"/>
  <c r="H356" i="26"/>
  <c r="A589" i="26"/>
  <c r="A143" i="26"/>
  <c r="A751" i="26"/>
  <c r="H412" i="26"/>
  <c r="C255" i="26"/>
  <c r="C236" i="26"/>
  <c r="C455" i="26"/>
  <c r="H143" i="26"/>
  <c r="A152" i="26"/>
  <c r="H448" i="26"/>
  <c r="H354" i="26"/>
  <c r="C146" i="26"/>
  <c r="A266" i="26"/>
  <c r="A646" i="26"/>
  <c r="C71" i="26"/>
  <c r="A226" i="26"/>
  <c r="A452" i="26"/>
  <c r="C606" i="26"/>
  <c r="C429" i="26"/>
  <c r="I8" i="23"/>
  <c r="C75" i="26"/>
  <c r="H568" i="26"/>
  <c r="A414" i="26"/>
  <c r="C166" i="26"/>
  <c r="C63" i="33"/>
  <c r="A165" i="26"/>
  <c r="H414" i="26"/>
  <c r="H38" i="26"/>
  <c r="A280" i="26"/>
  <c r="A338" i="26"/>
  <c r="A409" i="26"/>
  <c r="H485" i="26"/>
  <c r="C238" i="26"/>
  <c r="A717" i="26"/>
  <c r="H359" i="26"/>
  <c r="C512" i="26"/>
  <c r="H35" i="26"/>
  <c r="C165" i="26"/>
  <c r="A528" i="26"/>
  <c r="A187" i="26"/>
  <c r="A263" i="26"/>
  <c r="C398" i="26"/>
  <c r="A410" i="26"/>
  <c r="A547" i="26"/>
  <c r="C266" i="26"/>
  <c r="A489" i="26"/>
  <c r="C334" i="26"/>
  <c r="A376" i="26"/>
  <c r="C208" i="26"/>
  <c r="C285" i="26"/>
  <c r="A89" i="26"/>
  <c r="C578" i="26"/>
  <c r="H604" i="26"/>
  <c r="H432" i="26"/>
  <c r="H278" i="26"/>
  <c r="A551" i="26"/>
  <c r="H339" i="26"/>
  <c r="H565" i="26"/>
  <c r="C350" i="26"/>
  <c r="C109" i="26"/>
  <c r="C659" i="26"/>
  <c r="A258" i="26"/>
  <c r="C391" i="26"/>
  <c r="A224" i="26"/>
  <c r="C703" i="26"/>
  <c r="H353" i="26"/>
  <c r="A281" i="26"/>
  <c r="I217" i="26"/>
  <c r="C321" i="26"/>
  <c r="H238" i="26"/>
  <c r="C187" i="26"/>
  <c r="C108" i="26"/>
  <c r="C453" i="26"/>
  <c r="A108" i="26"/>
  <c r="C131" i="26"/>
  <c r="I577" i="26"/>
  <c r="A510" i="26"/>
  <c r="H208" i="26"/>
  <c r="H55" i="26"/>
  <c r="A454" i="26"/>
  <c r="H257" i="26"/>
  <c r="A10" i="26"/>
  <c r="H149" i="26"/>
  <c r="C182" i="26"/>
  <c r="H428" i="26"/>
  <c r="H395" i="26"/>
  <c r="A284" i="26"/>
  <c r="C435" i="26"/>
  <c r="A512" i="26"/>
  <c r="H625" i="26"/>
  <c r="A434" i="26"/>
  <c r="A37" i="26"/>
  <c r="A377" i="26"/>
  <c r="A624" i="26"/>
  <c r="C48" i="26"/>
  <c r="A150" i="26"/>
  <c r="C128" i="26"/>
  <c r="H656" i="26"/>
  <c r="C409" i="26"/>
  <c r="A467" i="26"/>
  <c r="C657" i="26"/>
  <c r="A415" i="26"/>
  <c r="H684" i="26"/>
  <c r="H336" i="26"/>
  <c r="C258" i="26"/>
  <c r="A113" i="26"/>
  <c r="A583" i="26"/>
  <c r="A492" i="26"/>
  <c r="A435" i="26"/>
  <c r="A164" i="26"/>
  <c r="C170" i="26"/>
  <c r="C11" i="26"/>
  <c r="A604" i="26"/>
  <c r="A318" i="26"/>
  <c r="H607" i="26"/>
  <c r="H660" i="26"/>
  <c r="H619" i="26"/>
  <c r="A526" i="26"/>
  <c r="A390" i="26"/>
  <c r="H735" i="26"/>
  <c r="H181" i="26"/>
  <c r="C699" i="26"/>
  <c r="C202" i="26"/>
  <c r="H127" i="26"/>
  <c r="C436" i="26"/>
  <c r="A68" i="26"/>
  <c r="H29" i="26"/>
  <c r="C299" i="26"/>
  <c r="H361" i="26"/>
  <c r="A92" i="26"/>
  <c r="C695" i="26"/>
  <c r="A677" i="26"/>
  <c r="C265" i="26"/>
  <c r="H108" i="26"/>
  <c r="C150" i="26"/>
  <c r="I368" i="26"/>
  <c r="A297" i="26"/>
  <c r="H374" i="26"/>
  <c r="A716" i="26"/>
  <c r="H372" i="26"/>
  <c r="H505" i="26"/>
  <c r="H167" i="26"/>
  <c r="A11" i="26"/>
  <c r="A758" i="26"/>
  <c r="H493" i="26"/>
  <c r="C549" i="26"/>
  <c r="H588" i="26"/>
  <c r="H222" i="26"/>
  <c r="H486" i="26"/>
  <c r="H203" i="26"/>
  <c r="A513" i="26"/>
  <c r="I482" i="26"/>
  <c r="H241" i="26"/>
  <c r="A494" i="26"/>
  <c r="H587" i="26"/>
  <c r="A190" i="26"/>
  <c r="H640" i="26"/>
  <c r="C452" i="26"/>
  <c r="C491" i="26"/>
  <c r="H114" i="26"/>
  <c r="H492" i="26"/>
  <c r="C755" i="26"/>
  <c r="A203" i="26"/>
  <c r="A391" i="26"/>
  <c r="H33" i="26"/>
  <c r="C357" i="26"/>
  <c r="A395" i="26"/>
  <c r="H296" i="26"/>
  <c r="H111" i="26"/>
  <c r="A600" i="26"/>
  <c r="A562" i="26"/>
  <c r="C103" i="26"/>
  <c r="A602" i="26"/>
  <c r="C581" i="26"/>
  <c r="I273" i="26"/>
  <c r="H70" i="26"/>
  <c r="C721" i="26"/>
  <c r="H322" i="26"/>
  <c r="H282" i="26"/>
  <c r="C303" i="26"/>
  <c r="C282" i="26"/>
  <c r="H68" i="26"/>
  <c r="C241" i="26"/>
  <c r="H303" i="26"/>
  <c r="H295" i="26"/>
  <c r="A542" i="26"/>
  <c r="H700" i="26"/>
  <c r="C114" i="26"/>
  <c r="H105" i="26"/>
  <c r="A239" i="26"/>
  <c r="A663" i="26"/>
  <c r="C521" i="26"/>
  <c r="A320" i="26"/>
  <c r="I369" i="26"/>
  <c r="H714" i="26"/>
  <c r="A93" i="26"/>
  <c r="H583" i="26"/>
  <c r="A488" i="26"/>
  <c r="H646" i="26"/>
  <c r="H333" i="26"/>
  <c r="A56" i="26"/>
  <c r="A147" i="26"/>
  <c r="C675" i="26"/>
  <c r="I7" i="23"/>
  <c r="H683" i="26"/>
  <c r="I710" i="26"/>
  <c r="A608" i="26"/>
  <c r="A10" i="23"/>
  <c r="A429" i="26"/>
  <c r="A546" i="26"/>
  <c r="C756" i="26"/>
  <c r="C680" i="26"/>
  <c r="H379" i="26"/>
  <c r="H264" i="26"/>
  <c r="H168" i="26"/>
  <c r="A130" i="26"/>
  <c r="H131" i="26"/>
  <c r="C46" i="26"/>
  <c r="A247" i="26"/>
  <c r="H741" i="26"/>
  <c r="A493" i="26"/>
  <c r="A660" i="26"/>
  <c r="A509" i="26"/>
  <c r="C566" i="26"/>
  <c r="H57" i="26"/>
  <c r="A129" i="26"/>
  <c r="H550" i="26"/>
  <c r="C468" i="26"/>
  <c r="A639" i="26"/>
  <c r="I692" i="26"/>
  <c r="A398" i="26"/>
  <c r="H399" i="26"/>
  <c r="H165" i="26"/>
  <c r="A52" i="26"/>
  <c r="C111" i="26"/>
  <c r="H113" i="26"/>
  <c r="C494" i="26"/>
  <c r="C112" i="26"/>
  <c r="C509" i="26"/>
  <c r="H756" i="26"/>
  <c r="A623" i="26"/>
  <c r="C107" i="26"/>
  <c r="H529" i="26"/>
  <c r="H722" i="26"/>
  <c r="C320" i="26"/>
  <c r="H679" i="26"/>
  <c r="H456" i="26"/>
  <c r="C49" i="26"/>
  <c r="H637" i="26"/>
  <c r="A412" i="26"/>
  <c r="H697" i="26"/>
  <c r="A738" i="26"/>
  <c r="A54" i="26"/>
  <c r="A645" i="26"/>
  <c r="H377" i="26"/>
  <c r="H342" i="26"/>
  <c r="A146" i="26"/>
  <c r="H526" i="26"/>
  <c r="H187" i="26"/>
  <c r="C601" i="26"/>
  <c r="C201" i="26"/>
  <c r="A721" i="26"/>
  <c r="H702" i="26"/>
  <c r="H455" i="26"/>
  <c r="H261" i="26"/>
  <c r="I350" i="26"/>
  <c r="A337" i="26"/>
  <c r="H150" i="26"/>
  <c r="H548" i="26"/>
  <c r="C638" i="26"/>
  <c r="H88" i="26"/>
  <c r="A107" i="26"/>
  <c r="C105" i="26"/>
  <c r="A696" i="26"/>
  <c r="H467" i="26"/>
  <c r="A32" i="26"/>
  <c r="A277" i="26"/>
  <c r="A752" i="26"/>
  <c r="H473" i="26"/>
  <c r="C563" i="26"/>
  <c r="C358" i="26"/>
  <c r="C584" i="26"/>
  <c r="A569" i="26"/>
  <c r="H190" i="26"/>
  <c r="C160" i="26"/>
  <c r="H170" i="26"/>
  <c r="C239" i="26"/>
  <c r="C296" i="26"/>
  <c r="C133" i="26"/>
  <c r="C388" i="26"/>
  <c r="H475" i="26"/>
  <c r="I711" i="26"/>
  <c r="A200" i="26"/>
  <c r="C546" i="26"/>
  <c r="C179" i="26"/>
  <c r="A355" i="26"/>
  <c r="A735" i="26"/>
  <c r="H641" i="26"/>
  <c r="H56" i="26"/>
  <c r="I730" i="26"/>
  <c r="C76" i="26"/>
  <c r="H754" i="26"/>
  <c r="A699" i="26"/>
  <c r="C148" i="26"/>
  <c r="C507" i="26"/>
  <c r="I406" i="26"/>
  <c r="C338" i="26"/>
  <c r="A106" i="26"/>
  <c r="H242" i="26"/>
  <c r="A565" i="26"/>
  <c r="H95" i="26"/>
  <c r="A223" i="26"/>
  <c r="I102" i="26"/>
  <c r="C489" i="26"/>
  <c r="C30" i="26"/>
  <c r="I349" i="26"/>
  <c r="A356" i="26"/>
  <c r="C374" i="26"/>
  <c r="C487" i="26"/>
  <c r="C375" i="26"/>
  <c r="H562" i="26"/>
  <c r="H717" i="26"/>
  <c r="A167" i="26"/>
  <c r="C225" i="26"/>
  <c r="C624" i="26"/>
  <c r="C627" i="26"/>
  <c r="H189" i="26"/>
  <c r="H243" i="26"/>
  <c r="C171" i="26"/>
  <c r="A675" i="26"/>
  <c r="AL9" i="27"/>
  <c r="C354" i="26"/>
  <c r="H452" i="26"/>
  <c r="C318" i="26"/>
  <c r="H564" i="26"/>
  <c r="H454" i="26"/>
  <c r="C562" i="26"/>
  <c r="A189" i="26"/>
  <c r="I596" i="26"/>
  <c r="A641" i="26"/>
  <c r="H11" i="26"/>
  <c r="A207" i="26"/>
  <c r="H416" i="26"/>
  <c r="A38" i="26"/>
  <c r="C222" i="26"/>
  <c r="H524" i="26"/>
  <c r="A475" i="26"/>
  <c r="H147" i="26"/>
  <c r="C658" i="26"/>
  <c r="C34" i="26"/>
  <c r="C276" i="26"/>
  <c r="A508" i="26"/>
  <c r="C316" i="26"/>
  <c r="A36" i="26"/>
  <c r="H297" i="26"/>
  <c r="H87" i="26"/>
  <c r="I83" i="26"/>
  <c r="C660" i="26"/>
  <c r="A163" i="26"/>
  <c r="A507" i="26"/>
  <c r="C492" i="26"/>
  <c r="C735" i="26"/>
  <c r="A169" i="26"/>
  <c r="I501" i="26"/>
  <c r="AL12" i="27"/>
  <c r="C279" i="26"/>
  <c r="A694" i="26"/>
  <c r="A525" i="26"/>
  <c r="H507" i="26"/>
  <c r="C65" i="26"/>
  <c r="A133" i="26"/>
  <c r="C523" i="26"/>
  <c r="C91" i="26"/>
  <c r="A359" i="26"/>
  <c r="H701" i="26"/>
  <c r="A656" i="26"/>
  <c r="C739" i="26"/>
  <c r="C542" i="26"/>
  <c r="A431" i="26"/>
  <c r="A739" i="26"/>
  <c r="C587" i="26"/>
  <c r="C27" i="26"/>
  <c r="A126" i="26"/>
  <c r="C410" i="26"/>
  <c r="C717" i="26"/>
  <c r="H622" i="26"/>
  <c r="A618" i="26"/>
  <c r="A221" i="26"/>
  <c r="H586" i="26"/>
  <c r="H657" i="26"/>
  <c r="H49" i="26"/>
  <c r="H152" i="26"/>
  <c r="C604" i="26"/>
  <c r="H390" i="26"/>
  <c r="H280" i="26"/>
  <c r="A680" i="26"/>
  <c r="C64" i="26"/>
  <c r="A511" i="26"/>
  <c r="A753" i="26"/>
  <c r="H284" i="26"/>
  <c r="A447" i="26"/>
  <c r="H601" i="26"/>
  <c r="C564" i="26"/>
  <c r="H567" i="26"/>
  <c r="H239" i="26"/>
  <c r="C312" i="26"/>
  <c r="A105" i="26"/>
  <c r="C219" i="26"/>
  <c r="H34" i="26"/>
  <c r="H436" i="26"/>
  <c r="C474" i="26"/>
  <c r="A360" i="26"/>
  <c r="H375" i="26"/>
  <c r="H584" i="26"/>
  <c r="A627" i="26"/>
  <c r="H262" i="26"/>
  <c r="C529" i="26"/>
  <c r="C456" i="26"/>
  <c r="I691" i="26"/>
  <c r="A620" i="26"/>
  <c r="C217" i="26"/>
  <c r="H694" i="26"/>
  <c r="H645" i="26"/>
  <c r="A392" i="26"/>
  <c r="C702" i="26"/>
  <c r="H736" i="26"/>
  <c r="H283" i="26"/>
  <c r="C360" i="26"/>
  <c r="H89" i="26"/>
  <c r="C607" i="26"/>
  <c r="C93" i="26"/>
  <c r="H219" i="26"/>
  <c r="C300" i="26"/>
  <c r="H715" i="26"/>
  <c r="C263" i="26"/>
  <c r="C413" i="26"/>
  <c r="C94" i="26"/>
  <c r="H224" i="26"/>
  <c r="H92" i="26"/>
  <c r="A393" i="26"/>
  <c r="A702" i="26"/>
  <c r="C502" i="26"/>
  <c r="C8" i="23"/>
  <c r="A732" i="26"/>
  <c r="A599" i="26"/>
  <c r="C568" i="26"/>
  <c r="H93" i="26"/>
  <c r="C715" i="26"/>
  <c r="H720" i="26"/>
  <c r="C186" i="26"/>
  <c r="H67" i="26"/>
  <c r="H437" i="26"/>
  <c r="C451" i="26"/>
  <c r="C378" i="26"/>
  <c r="C181" i="26"/>
  <c r="A219" i="26"/>
  <c r="C488" i="26"/>
  <c r="A621" i="26"/>
  <c r="C342" i="26"/>
  <c r="C74" i="26"/>
  <c r="H110" i="26"/>
  <c r="C203" i="26"/>
  <c r="H392" i="26"/>
  <c r="C559" i="26"/>
  <c r="A756" i="26"/>
  <c r="A491" i="26"/>
  <c r="A201" i="26"/>
  <c r="C190" i="26"/>
  <c r="C464" i="26"/>
  <c r="H200" i="26"/>
  <c r="C540" i="26"/>
  <c r="I254" i="26"/>
  <c r="A720" i="26"/>
  <c r="C526" i="26"/>
  <c r="H545" i="26"/>
  <c r="A228" i="26"/>
  <c r="I197" i="26"/>
  <c r="H737" i="26"/>
  <c r="A72" i="26"/>
  <c r="AL13" i="27"/>
  <c r="C645" i="26"/>
  <c r="C169" i="26"/>
  <c r="A659" i="26"/>
  <c r="C637" i="26"/>
  <c r="A564" i="26"/>
  <c r="C525" i="26"/>
  <c r="A204" i="26"/>
  <c r="C54" i="26"/>
  <c r="A603" i="26"/>
  <c r="C164" i="26"/>
  <c r="H453" i="26"/>
  <c r="A586" i="26"/>
  <c r="H304" i="26"/>
  <c r="A76" i="26"/>
  <c r="C162" i="26"/>
  <c r="C511" i="26"/>
  <c r="H642" i="26"/>
  <c r="A619" i="26"/>
  <c r="H450" i="26"/>
  <c r="A148" i="26"/>
  <c r="A549" i="26"/>
  <c r="A321" i="26"/>
  <c r="A296" i="26"/>
  <c r="A642" i="26"/>
  <c r="C505" i="26"/>
  <c r="H675" i="26"/>
  <c r="H409" i="26"/>
  <c r="C608" i="26"/>
  <c r="H581" i="26"/>
  <c r="A487" i="26"/>
  <c r="A314" i="26"/>
  <c r="A664" i="26"/>
  <c r="A703" i="26"/>
  <c r="A95" i="26"/>
  <c r="H582" i="26"/>
  <c r="C485" i="26"/>
  <c r="A657" i="26"/>
  <c r="H32" i="26"/>
  <c r="A323" i="26"/>
  <c r="H665" i="26"/>
  <c r="A468" i="26"/>
  <c r="H664" i="26"/>
  <c r="C508" i="26"/>
  <c r="H371" i="26"/>
  <c r="C466" i="26"/>
  <c r="H74" i="26"/>
  <c r="H566" i="26"/>
  <c r="C380" i="26"/>
  <c r="C68" i="26"/>
  <c r="C618" i="26"/>
  <c r="H396" i="26"/>
  <c r="A238" i="26"/>
  <c r="A399" i="26"/>
  <c r="A205" i="26"/>
  <c r="I104" i="33"/>
  <c r="H532" i="26"/>
  <c r="H341" i="26"/>
  <c r="A127" i="26"/>
  <c r="C414" i="26"/>
  <c r="H225" i="26"/>
  <c r="C472" i="26"/>
  <c r="H129" i="26"/>
  <c r="H589" i="26"/>
  <c r="C447" i="26"/>
  <c r="C293" i="26"/>
  <c r="A132" i="26"/>
  <c r="C681" i="26"/>
  <c r="C697" i="26"/>
  <c r="C240" i="26"/>
  <c r="H718" i="26"/>
  <c r="C257" i="26"/>
  <c r="A757" i="26"/>
  <c r="A245" i="26"/>
  <c r="C544" i="26"/>
  <c r="H599" i="26"/>
  <c r="C151" i="26"/>
  <c r="A185" i="26"/>
  <c r="H470" i="26"/>
  <c r="A741" i="26"/>
  <c r="C315" i="26"/>
  <c r="C341" i="26"/>
  <c r="A375" i="26"/>
  <c r="A357" i="26"/>
  <c r="H30" i="26"/>
  <c r="C371" i="26"/>
  <c r="I72" i="33"/>
  <c r="C228" i="26"/>
  <c r="C125" i="26"/>
  <c r="C141" i="26"/>
  <c r="C597" i="26"/>
  <c r="A622" i="26"/>
  <c r="A437" i="26"/>
  <c r="C754" i="26"/>
  <c r="A259" i="26"/>
  <c r="C369" i="26"/>
  <c r="AL11" i="27"/>
  <c r="A740" i="26"/>
  <c r="H551" i="26"/>
  <c r="H569" i="26"/>
  <c r="C551" i="26"/>
  <c r="C620" i="26"/>
  <c r="A243" i="26"/>
  <c r="C582" i="26"/>
  <c r="A340" i="26"/>
  <c r="H732" i="26"/>
  <c r="I672" i="26"/>
  <c r="H698" i="26"/>
  <c r="I27" i="26"/>
  <c r="H357" i="26"/>
  <c r="C493" i="26"/>
  <c r="H608" i="26"/>
  <c r="H752" i="26"/>
  <c r="H490" i="26"/>
  <c r="H244" i="26"/>
  <c r="H125" i="26"/>
  <c r="H319" i="26"/>
  <c r="A567" i="26"/>
  <c r="H223" i="26"/>
  <c r="C586" i="26"/>
  <c r="H397" i="26"/>
  <c r="A183" i="26"/>
  <c r="A35" i="26"/>
  <c r="A665" i="26"/>
  <c r="C284" i="26"/>
  <c r="C127" i="26"/>
  <c r="H265" i="26"/>
  <c r="H246" i="26"/>
  <c r="A131" i="26"/>
  <c r="A31" i="26"/>
  <c r="H430" i="26"/>
  <c r="A490" i="26"/>
  <c r="A418" i="26"/>
  <c r="C426" i="26"/>
  <c r="H317" i="26"/>
  <c r="I292" i="26"/>
  <c r="A486" i="26"/>
  <c r="A587" i="26"/>
  <c r="H504" i="26"/>
  <c r="C437" i="26"/>
  <c r="H739" i="26"/>
  <c r="C29" i="26"/>
  <c r="H695" i="26"/>
  <c r="A295" i="26"/>
  <c r="H54" i="26"/>
  <c r="C69" i="26"/>
  <c r="C129" i="26"/>
  <c r="A580" i="26"/>
  <c r="C333" i="26"/>
  <c r="A285" i="26"/>
  <c r="I198" i="26"/>
  <c r="A220" i="26"/>
  <c r="A71" i="26"/>
  <c r="C531" i="26"/>
  <c r="H413" i="26"/>
  <c r="C302" i="26"/>
  <c r="A733" i="26"/>
  <c r="C206" i="26"/>
  <c r="C678" i="26"/>
  <c r="H133" i="26"/>
  <c r="C599" i="26"/>
  <c r="A301" i="26"/>
  <c r="H738" i="26"/>
  <c r="C207" i="26"/>
  <c r="H240" i="26"/>
  <c r="H263" i="26"/>
  <c r="H50" i="26"/>
  <c r="C698" i="26"/>
  <c r="H659" i="26"/>
  <c r="A299" i="26"/>
  <c r="C665" i="26"/>
  <c r="A29" i="26"/>
  <c r="A568" i="26"/>
  <c r="C132" i="26"/>
  <c r="A637" i="26"/>
  <c r="C547" i="26"/>
  <c r="A396" i="26"/>
  <c r="C274" i="26"/>
  <c r="A601" i="26"/>
  <c r="C220" i="26"/>
  <c r="A87" i="26"/>
  <c r="C379" i="26"/>
  <c r="H206" i="26"/>
  <c r="H429" i="26"/>
  <c r="C372" i="26"/>
  <c r="A736" i="26"/>
  <c r="A317" i="26"/>
  <c r="C317" i="26"/>
  <c r="C565" i="26"/>
  <c r="C376" i="26"/>
  <c r="A361" i="26"/>
  <c r="I88" i="33"/>
  <c r="C110" i="26"/>
  <c r="AL8" i="27"/>
  <c r="A302" i="26"/>
  <c r="A278" i="26"/>
  <c r="A49" i="26"/>
  <c r="C641" i="26"/>
  <c r="H417" i="26"/>
  <c r="C152" i="26"/>
  <c r="C642" i="26"/>
  <c r="C361" i="26"/>
  <c r="H52" i="26"/>
  <c r="H76" i="26"/>
  <c r="H531" i="26"/>
  <c r="I235" i="26"/>
  <c r="C722" i="26"/>
  <c r="H73" i="26"/>
  <c r="H740" i="26"/>
  <c r="C644" i="26"/>
  <c r="A678" i="26"/>
  <c r="A471" i="26"/>
  <c r="A676" i="26"/>
  <c r="C339" i="26"/>
  <c r="A474" i="26"/>
  <c r="A246" i="26"/>
  <c r="C454" i="26"/>
  <c r="H373" i="26"/>
  <c r="C661" i="26"/>
  <c r="A358" i="26"/>
  <c r="H703" i="26"/>
  <c r="H380" i="26"/>
  <c r="C396" i="26"/>
  <c r="H585" i="26"/>
  <c r="I45" i="26"/>
  <c r="H757" i="26"/>
  <c r="C490" i="26"/>
  <c r="H621" i="26"/>
  <c r="C734" i="26"/>
  <c r="H677" i="26"/>
  <c r="C527" i="26"/>
  <c r="A470" i="26"/>
  <c r="H716" i="26"/>
  <c r="C679" i="26"/>
  <c r="C224" i="26"/>
  <c r="H171" i="26"/>
  <c r="A531" i="26"/>
  <c r="H298" i="26"/>
  <c r="C506" i="26"/>
  <c r="H53" i="26"/>
  <c r="C189" i="26"/>
  <c r="I520" i="26"/>
  <c r="H451" i="26"/>
  <c r="C561" i="26"/>
  <c r="A300" i="26"/>
  <c r="H662" i="26"/>
  <c r="C760" i="26"/>
  <c r="H126" i="26"/>
  <c r="H51" i="26"/>
  <c r="C245" i="26"/>
  <c r="C149" i="26"/>
  <c r="C205" i="26"/>
  <c r="H638" i="26"/>
  <c r="A582" i="26"/>
  <c r="I216" i="26"/>
  <c r="C603" i="26"/>
  <c r="C589" i="26"/>
  <c r="A124" i="26"/>
  <c r="H37" i="26"/>
  <c r="C143" i="26"/>
  <c r="A242" i="26"/>
  <c r="C737" i="26"/>
  <c r="H340" i="26"/>
  <c r="H276" i="26"/>
  <c r="C283" i="26"/>
  <c r="A436" i="26"/>
  <c r="H277" i="26"/>
  <c r="H299" i="26"/>
  <c r="C418" i="26"/>
  <c r="A162" i="26"/>
  <c r="C390" i="26"/>
  <c r="C445" i="26"/>
  <c r="A416" i="26"/>
  <c r="A759" i="26"/>
  <c r="A149" i="26"/>
  <c r="A734" i="26"/>
  <c r="C86" i="26"/>
  <c r="C548" i="26"/>
  <c r="A336" i="26"/>
  <c r="H626" i="26"/>
  <c r="C694" i="26"/>
  <c r="A506" i="26"/>
  <c r="A168" i="26"/>
  <c r="C646" i="26"/>
  <c r="C600" i="26"/>
  <c r="A339" i="26"/>
  <c r="H606" i="26"/>
  <c r="C31" i="26"/>
  <c r="C50" i="26"/>
  <c r="H245" i="26"/>
  <c r="C113" i="26"/>
  <c r="H209" i="26"/>
  <c r="H335" i="26"/>
  <c r="A241" i="26"/>
  <c r="H188" i="26"/>
  <c r="C412" i="26"/>
  <c r="A188" i="26"/>
  <c r="A543" i="26"/>
  <c r="A715" i="26"/>
  <c r="C260" i="26"/>
  <c r="A144" i="26"/>
  <c r="A48" i="26"/>
  <c r="C683" i="26"/>
  <c r="A644" i="26"/>
  <c r="C431" i="26"/>
  <c r="A128" i="26"/>
  <c r="A73" i="26"/>
  <c r="C340" i="26"/>
  <c r="H91" i="26"/>
  <c r="C393" i="26"/>
  <c r="H201" i="26"/>
  <c r="C297" i="26"/>
  <c r="C56" i="26"/>
  <c r="C88" i="26"/>
  <c r="A227" i="26"/>
  <c r="H221" i="26"/>
  <c r="H508" i="26"/>
  <c r="H247" i="26"/>
  <c r="C550" i="26"/>
  <c r="H644" i="26"/>
  <c r="H398" i="26"/>
  <c r="A342" i="26"/>
  <c r="I26" i="26"/>
  <c r="A626" i="26"/>
  <c r="C730" i="26"/>
  <c r="H411" i="26"/>
  <c r="C53" i="26"/>
  <c r="C301" i="26"/>
  <c r="C469" i="26"/>
  <c r="C226" i="26"/>
  <c r="A114" i="26"/>
  <c r="C204" i="26"/>
  <c r="H542" i="26"/>
  <c r="C733" i="26"/>
  <c r="C377" i="26"/>
  <c r="A722" i="26"/>
  <c r="H469" i="26"/>
  <c r="C183" i="26"/>
  <c r="C188" i="26"/>
  <c r="C33" i="26"/>
  <c r="H260" i="26"/>
  <c r="C70" i="26"/>
  <c r="H163" i="26"/>
  <c r="A529" i="26"/>
  <c r="C619" i="26"/>
  <c r="C35" i="26"/>
  <c r="C513" i="26"/>
  <c r="C752" i="26"/>
  <c r="A354" i="26"/>
  <c r="A683" i="26"/>
  <c r="A658" i="26"/>
  <c r="H509" i="26"/>
  <c r="A456" i="26"/>
  <c r="C336" i="26"/>
  <c r="A681" i="26"/>
  <c r="H488" i="26"/>
  <c r="C259" i="26"/>
  <c r="H491" i="26"/>
  <c r="H620" i="26"/>
  <c r="C8" i="26"/>
  <c r="C144" i="26"/>
  <c r="C78" i="33"/>
  <c r="C696" i="26"/>
  <c r="A545" i="26"/>
  <c r="A561" i="26"/>
  <c r="C319" i="26"/>
  <c r="A206" i="26"/>
  <c r="A34" i="26"/>
  <c r="A700" i="26"/>
  <c r="C757" i="26"/>
  <c r="A661" i="26"/>
  <c r="A261" i="26"/>
  <c r="H184" i="26"/>
  <c r="C759" i="26"/>
  <c r="H109" i="26"/>
  <c r="C449" i="26"/>
  <c r="H323" i="26"/>
  <c r="A581" i="26"/>
  <c r="H151" i="26"/>
  <c r="C635" i="26"/>
  <c r="C353" i="26"/>
  <c r="C417" i="26"/>
  <c r="H207" i="26"/>
  <c r="H471" i="26"/>
  <c r="C277" i="26"/>
  <c r="H352" i="26"/>
  <c r="H758" i="26"/>
  <c r="A166" i="26"/>
  <c r="H124" i="26"/>
  <c r="A30" i="26"/>
  <c r="C395" i="26"/>
  <c r="H302" i="26"/>
  <c r="A640" i="26"/>
  <c r="H318" i="26"/>
  <c r="C751" i="26"/>
  <c r="AL15" i="27"/>
  <c r="A607" i="26"/>
  <c r="H162" i="26"/>
  <c r="C67" i="26"/>
  <c r="H164" i="26"/>
  <c r="A713" i="26"/>
  <c r="A55" i="26"/>
  <c r="I311" i="26"/>
  <c r="H472" i="26"/>
  <c r="C26" i="26"/>
  <c r="A449" i="26"/>
  <c r="C625" i="26"/>
  <c r="AL14" i="27"/>
  <c r="A379" i="26"/>
  <c r="H146" i="26"/>
  <c r="A67" i="26"/>
  <c r="A466" i="26"/>
  <c r="C524" i="26"/>
  <c r="C167" i="26"/>
  <c r="C352" i="26"/>
  <c r="H185" i="26"/>
  <c r="H468" i="26"/>
  <c r="A684" i="26"/>
  <c r="H166" i="26"/>
  <c r="H513" i="26"/>
  <c r="H624" i="26"/>
  <c r="A94" i="26"/>
  <c r="A276" i="26"/>
  <c r="A111" i="26"/>
  <c r="A638" i="26"/>
  <c r="C10" i="23"/>
  <c r="C718" i="26"/>
  <c r="A455" i="26"/>
  <c r="C147" i="26"/>
  <c r="H494" i="26"/>
  <c r="H321" i="26"/>
  <c r="C448" i="26"/>
  <c r="A75" i="26"/>
  <c r="I463" i="26"/>
  <c r="A145" i="26"/>
  <c r="C714" i="26"/>
  <c r="A550" i="26"/>
  <c r="H266" i="26"/>
  <c r="A504" i="26"/>
  <c r="H186" i="26"/>
  <c r="A109" i="26"/>
  <c r="C434" i="26"/>
  <c r="C543" i="26"/>
  <c r="C92" i="26"/>
  <c r="C732" i="26"/>
  <c r="H760" i="26"/>
  <c r="C221" i="26"/>
  <c r="C432" i="26"/>
  <c r="H661" i="26"/>
  <c r="A182" i="26"/>
  <c r="H627" i="26"/>
  <c r="C130" i="26"/>
  <c r="A304" i="26"/>
  <c r="C486" i="26"/>
  <c r="C569" i="26"/>
  <c r="A151" i="26"/>
  <c r="C664" i="26"/>
  <c r="A448" i="26"/>
  <c r="C209" i="26"/>
  <c r="I7" i="26"/>
  <c r="C247" i="26"/>
  <c r="H530" i="26"/>
  <c r="H713" i="26"/>
  <c r="C736" i="26"/>
  <c r="C397" i="26"/>
  <c r="C720" i="26"/>
  <c r="C314" i="26"/>
  <c r="A352" i="26"/>
  <c r="H358" i="26"/>
  <c r="H285" i="26"/>
  <c r="C758" i="26"/>
  <c r="A588" i="26"/>
  <c r="C95" i="26"/>
  <c r="C654" i="26"/>
  <c r="H618" i="26"/>
  <c r="C280" i="26"/>
  <c r="H603" i="26"/>
  <c r="C11" i="23"/>
  <c r="A585" i="26"/>
  <c r="A606" i="26"/>
  <c r="H183" i="26"/>
  <c r="A532" i="26"/>
  <c r="C643" i="26"/>
  <c r="C415" i="26"/>
  <c r="C298" i="26"/>
  <c r="A170" i="26"/>
  <c r="A432" i="26"/>
  <c r="H132" i="26"/>
  <c r="C335" i="26"/>
  <c r="A240" i="26"/>
  <c r="H31" i="26"/>
  <c r="A755" i="26"/>
  <c r="H71" i="26"/>
  <c r="A737" i="26"/>
  <c r="A413" i="26"/>
  <c r="C223" i="26"/>
  <c r="C713" i="26"/>
  <c r="A125" i="26"/>
  <c r="A283" i="26"/>
  <c r="C475" i="26"/>
  <c r="A69" i="26"/>
  <c r="H474" i="26"/>
  <c r="H418" i="26"/>
  <c r="H36" i="26"/>
  <c r="C640" i="26"/>
  <c r="A184" i="26"/>
  <c r="I540" i="26"/>
  <c r="C626" i="26"/>
  <c r="A244" i="26"/>
  <c r="C246" i="26"/>
  <c r="H279" i="26"/>
  <c r="C373" i="26"/>
  <c r="A50" i="26"/>
  <c r="H602" i="26"/>
  <c r="C304" i="26"/>
  <c r="A682" i="26"/>
  <c r="A394" i="26"/>
  <c r="A53" i="26"/>
  <c r="C510" i="26"/>
  <c r="A714" i="26"/>
  <c r="A505" i="26"/>
  <c r="C711" i="26"/>
  <c r="H228" i="26"/>
  <c r="H681" i="26"/>
  <c r="H528" i="26"/>
  <c r="H734" i="26"/>
  <c r="H433" i="26"/>
  <c r="A353" i="26"/>
  <c r="H512" i="26"/>
  <c r="H334" i="26"/>
  <c r="A380" i="26"/>
  <c r="C676" i="26"/>
  <c r="C749" i="26"/>
  <c r="A11" i="23"/>
  <c r="H75" i="26"/>
  <c r="H543" i="26"/>
  <c r="A322" i="26"/>
  <c r="C37" i="26"/>
  <c r="C281" i="26"/>
  <c r="C163" i="26"/>
  <c r="H721" i="26"/>
  <c r="H623" i="26"/>
  <c r="H391" i="26"/>
  <c r="C411" i="26"/>
  <c r="A333" i="26"/>
  <c r="H182" i="26"/>
  <c r="H449" i="26"/>
  <c r="C52" i="26"/>
  <c r="H561" i="26"/>
  <c r="H435" i="26"/>
  <c r="A378" i="26"/>
  <c r="H680" i="26"/>
  <c r="C32" i="26"/>
  <c r="C90" i="26"/>
  <c r="C621" i="26"/>
  <c r="H699" i="26"/>
  <c r="A298" i="26"/>
  <c r="H487" i="26"/>
  <c r="A265" i="26"/>
  <c r="C124" i="26"/>
  <c r="H410" i="26"/>
  <c r="A225" i="26"/>
  <c r="C738" i="26"/>
  <c r="C570" i="26"/>
  <c r="C51" i="26"/>
  <c r="H48" i="26"/>
  <c r="C716" i="26"/>
  <c r="C471" i="26"/>
  <c r="I8" i="26"/>
  <c r="A662" i="26"/>
  <c r="H549" i="26"/>
  <c r="C185" i="26"/>
  <c r="A319" i="26"/>
  <c r="H144" i="26"/>
  <c r="H605" i="26"/>
  <c r="H447" i="26"/>
  <c r="A719" i="26"/>
  <c r="A373" i="26"/>
  <c r="H431" i="26"/>
  <c r="H663" i="26"/>
  <c r="A548" i="26"/>
  <c r="H525" i="26"/>
  <c r="H316" i="26"/>
  <c r="I159" i="26"/>
  <c r="H86" i="26"/>
  <c r="C126" i="26"/>
  <c r="A453" i="26"/>
  <c r="C168" i="26"/>
  <c r="H355" i="26"/>
  <c r="H753" i="26"/>
  <c r="H394" i="26"/>
  <c r="A469" i="26"/>
  <c r="I64" i="26"/>
  <c r="A260" i="26"/>
  <c r="A33" i="26"/>
  <c r="A411" i="26"/>
  <c r="A57" i="26"/>
  <c r="A698" i="26"/>
  <c r="A282" i="26"/>
  <c r="A527" i="26"/>
  <c r="H719" i="26"/>
  <c r="C242" i="26"/>
  <c r="C662" i="26"/>
  <c r="C483" i="26"/>
  <c r="A584" i="26"/>
  <c r="A208" i="26"/>
  <c r="C682" i="26"/>
  <c r="A697" i="26"/>
  <c r="H300" i="26"/>
  <c r="I729" i="26"/>
  <c r="C323" i="26"/>
  <c r="C753" i="26"/>
  <c r="C87" i="26"/>
  <c r="A450" i="26"/>
  <c r="H338" i="26"/>
  <c r="C430" i="26"/>
  <c r="H220" i="26"/>
  <c r="H511" i="26"/>
  <c r="H169" i="26"/>
  <c r="A695" i="26"/>
  <c r="A110" i="26"/>
  <c r="A86" i="26"/>
  <c r="I521" i="26"/>
  <c r="C200" i="26"/>
  <c r="A625" i="26"/>
  <c r="C392" i="26"/>
  <c r="C355" i="26"/>
  <c r="C83" i="26"/>
  <c r="A316" i="26"/>
  <c r="C741" i="26"/>
  <c r="A91" i="26"/>
  <c r="H360" i="26"/>
  <c r="C48" i="33"/>
  <c r="C684" i="26"/>
  <c r="C428" i="26"/>
  <c r="H315" i="26"/>
  <c r="C616" i="26"/>
  <c r="A303" i="26"/>
  <c r="H415" i="26"/>
  <c r="A473" i="26"/>
  <c r="C473" i="26"/>
  <c r="C585" i="26"/>
  <c r="H751" i="26"/>
  <c r="H205" i="26"/>
  <c r="C184" i="26"/>
  <c r="H544" i="26"/>
  <c r="H145" i="26"/>
  <c r="A530" i="26"/>
  <c r="C262" i="26"/>
  <c r="H676" i="26"/>
  <c r="C528" i="26"/>
  <c r="C663" i="26"/>
  <c r="C322" i="26"/>
  <c r="C530" i="26"/>
  <c r="C122" i="26"/>
  <c r="A397" i="26"/>
  <c r="A760" i="26"/>
  <c r="AL16" i="27"/>
  <c r="A315" i="26"/>
  <c r="A718" i="26"/>
  <c r="C243" i="26"/>
  <c r="C7" i="26"/>
  <c r="A186" i="26"/>
  <c r="H148" i="26"/>
  <c r="C57" i="26"/>
  <c r="H94" i="26"/>
  <c r="C470" i="26"/>
  <c r="H112" i="26"/>
  <c r="A262" i="26"/>
  <c r="H320" i="26"/>
  <c r="H90" i="26"/>
  <c r="H682" i="26"/>
  <c r="A257" i="26"/>
  <c r="H563" i="26"/>
  <c r="H547" i="26"/>
  <c r="A112" i="26"/>
  <c r="A485" i="26"/>
  <c r="H393" i="26"/>
  <c r="H72" i="26"/>
  <c r="A74" i="26"/>
  <c r="H10" i="26"/>
  <c r="A51" i="26"/>
  <c r="A472" i="26"/>
  <c r="H580" i="26"/>
  <c r="C10" i="26"/>
  <c r="H10" i="23"/>
  <c r="C623" i="26"/>
  <c r="H130" i="26"/>
  <c r="C264" i="26"/>
  <c r="A679" i="26"/>
  <c r="C740" i="26"/>
  <c r="A334" i="26"/>
  <c r="C580" i="26"/>
  <c r="H259" i="26"/>
  <c r="A451" i="26"/>
  <c r="H643" i="26"/>
  <c r="I388" i="26"/>
  <c r="C394" i="26"/>
  <c r="C337" i="26"/>
  <c r="C673" i="26"/>
  <c r="I387" i="26"/>
  <c r="H376" i="26"/>
  <c r="C36" i="26"/>
  <c r="C701" i="26"/>
  <c r="A433" i="26"/>
  <c r="H128" i="26"/>
  <c r="H527" i="26"/>
  <c r="H546" i="26"/>
  <c r="H434" i="26"/>
  <c r="A523" i="26"/>
  <c r="A209" i="26"/>
  <c r="A563" i="26"/>
  <c r="H600" i="26"/>
  <c r="A566" i="26"/>
  <c r="A70" i="26"/>
  <c r="H609" i="26" l="1"/>
  <c r="H305" i="26"/>
  <c r="H77" i="26"/>
  <c r="H153" i="26"/>
  <c r="H704" i="26"/>
  <c r="H400" i="26"/>
  <c r="H628" i="26"/>
  <c r="H229" i="26"/>
  <c r="H96" i="26"/>
  <c r="H533" i="26"/>
  <c r="H571" i="26"/>
  <c r="H495" i="26"/>
  <c r="H210" i="26"/>
  <c r="H343" i="26"/>
  <c r="H58" i="26"/>
  <c r="H267" i="26"/>
  <c r="H552" i="26"/>
  <c r="H761" i="26"/>
  <c r="H381" i="26"/>
  <c r="H514" i="26"/>
  <c r="H742" i="26"/>
  <c r="H723" i="26"/>
  <c r="H438" i="26"/>
  <c r="H362" i="26"/>
  <c r="H286" i="26"/>
  <c r="H248" i="26"/>
  <c r="H134" i="26"/>
  <c r="H191" i="26"/>
  <c r="H685" i="26"/>
  <c r="H666" i="26"/>
  <c r="H39" i="26"/>
  <c r="H647" i="26"/>
  <c r="H457" i="26"/>
  <c r="H172" i="26"/>
  <c r="H324" i="26"/>
  <c r="H115" i="26"/>
  <c r="H476" i="26"/>
  <c r="H590" i="26"/>
  <c r="H419" i="26"/>
  <c r="BD18" i="1"/>
  <c r="I120" i="33"/>
  <c r="I136" i="33"/>
  <c r="AL17" i="27"/>
  <c r="BD19" i="1" l="1"/>
  <c r="AL18" i="27"/>
  <c r="I152" i="33"/>
  <c r="BD20" i="1" l="1"/>
  <c r="C108" i="33"/>
  <c r="AL19" i="27"/>
  <c r="I168" i="33"/>
  <c r="C138" i="33"/>
  <c r="BD21" i="1" l="1"/>
  <c r="C123" i="33"/>
  <c r="AL20" i="27"/>
  <c r="BD22" i="1" l="1"/>
  <c r="AL21" i="27"/>
  <c r="BD23" i="1" l="1"/>
  <c r="I184" i="33"/>
  <c r="AL22" i="27"/>
  <c r="BD24" i="1" l="1"/>
  <c r="AW24" i="1"/>
  <c r="BD25" i="1" l="1"/>
  <c r="H16" i="23"/>
  <c r="C16" i="26"/>
  <c r="H13" i="23"/>
  <c r="C17" i="23"/>
  <c r="A17" i="23"/>
  <c r="C13" i="23"/>
  <c r="AL23" i="27"/>
  <c r="C14" i="23"/>
  <c r="AL24" i="27"/>
  <c r="A14" i="26"/>
  <c r="A12" i="23"/>
  <c r="H19" i="26"/>
  <c r="C200" i="33"/>
  <c r="H12" i="23"/>
  <c r="A18" i="26"/>
  <c r="A16" i="26"/>
  <c r="AL27" i="27"/>
  <c r="H19" i="23"/>
  <c r="N442" i="30"/>
  <c r="H17" i="23"/>
  <c r="H16" i="26"/>
  <c r="C14" i="26"/>
  <c r="A16" i="23"/>
  <c r="A18" i="23"/>
  <c r="H18" i="26"/>
  <c r="H13" i="26"/>
  <c r="AL28" i="27"/>
  <c r="A14" i="23"/>
  <c r="C15" i="26"/>
  <c r="AL25" i="27"/>
  <c r="A13" i="23"/>
  <c r="C199" i="33"/>
  <c r="H15" i="26"/>
  <c r="C19" i="23"/>
  <c r="H14" i="23"/>
  <c r="A13" i="26"/>
  <c r="H17" i="26"/>
  <c r="C12" i="26"/>
  <c r="A19" i="23"/>
  <c r="C19" i="26"/>
  <c r="C16" i="23"/>
  <c r="A15" i="26"/>
  <c r="C15" i="23"/>
  <c r="AL26" i="27"/>
  <c r="C18" i="26"/>
  <c r="H15" i="23"/>
  <c r="H18" i="23"/>
  <c r="A19" i="26"/>
  <c r="A12" i="26"/>
  <c r="H14" i="26"/>
  <c r="H12" i="26"/>
  <c r="C17" i="26"/>
  <c r="C18" i="23"/>
  <c r="A15" i="23"/>
  <c r="A17" i="26"/>
  <c r="C13" i="26"/>
  <c r="C12" i="23"/>
  <c r="H20" i="26" l="1"/>
  <c r="W12" i="28"/>
  <c r="N603" i="30"/>
  <c r="J603" i="30"/>
  <c r="J626" i="30"/>
  <c r="N626" i="30"/>
  <c r="J649" i="30"/>
  <c r="J672" i="30"/>
  <c r="N649" i="30"/>
  <c r="N672" i="30"/>
  <c r="N695" i="30"/>
  <c r="J695" i="30"/>
  <c r="N718" i="30"/>
  <c r="J718" i="30"/>
  <c r="N741" i="30"/>
  <c r="J741" i="30"/>
  <c r="J764" i="30"/>
  <c r="N764" i="30"/>
  <c r="N787" i="30"/>
  <c r="J787" i="30"/>
  <c r="N810" i="30"/>
  <c r="J810" i="30"/>
  <c r="N833" i="30"/>
  <c r="J833" i="30"/>
  <c r="N856" i="30"/>
  <c r="J856" i="30"/>
  <c r="N879" i="30"/>
  <c r="J879" i="30"/>
  <c r="J580" i="30"/>
  <c r="N580" i="30"/>
  <c r="I601" i="23"/>
  <c r="I647" i="23"/>
  <c r="J2644" i="34"/>
  <c r="I328" i="33"/>
  <c r="I854" i="23"/>
  <c r="I739" i="23"/>
  <c r="I831" i="23"/>
  <c r="I762" i="23"/>
  <c r="I693" i="23"/>
  <c r="I344" i="33"/>
  <c r="C349" i="33"/>
  <c r="I808" i="23"/>
  <c r="C304" i="33"/>
  <c r="I670" i="23"/>
  <c r="I624" i="23"/>
  <c r="I785" i="23"/>
  <c r="I716" i="23"/>
  <c r="C334" i="33"/>
  <c r="C319" i="33"/>
  <c r="J2651" i="34" l="1"/>
  <c r="C2697" i="34" s="1"/>
  <c r="N902" i="30"/>
  <c r="J902" i="30"/>
  <c r="I578" i="23"/>
  <c r="I877" i="23"/>
  <c r="C2695" i="34" l="1"/>
  <c r="N925" i="30"/>
  <c r="J925" i="30"/>
  <c r="I900" i="23"/>
  <c r="W12" i="30" l="1"/>
  <c r="W27" i="30" s="1"/>
  <c r="P15" i="30"/>
  <c r="I923" i="23"/>
  <c r="P23" i="30"/>
  <c r="P22" i="30"/>
  <c r="P16" i="30"/>
  <c r="P17" i="30"/>
  <c r="P19" i="30"/>
  <c r="P20" i="30"/>
  <c r="P21" i="30"/>
  <c r="AX6" i="1"/>
  <c r="P13" i="30"/>
  <c r="P14" i="30"/>
  <c r="P24" i="30"/>
  <c r="P18" i="30"/>
  <c r="P26" i="30"/>
  <c r="P25" i="30"/>
  <c r="G19" i="30" l="1"/>
  <c r="R19" i="30"/>
  <c r="K19" i="30" s="1"/>
  <c r="G20" i="30"/>
  <c r="R20" i="30"/>
  <c r="K20" i="30" s="1"/>
  <c r="G21" i="30"/>
  <c r="R21" i="30"/>
  <c r="K21" i="30" s="1"/>
  <c r="R26" i="30"/>
  <c r="R25" i="30"/>
  <c r="K25" i="30" s="1"/>
  <c r="G25" i="30"/>
  <c r="R24" i="30"/>
  <c r="K24" i="30" s="1"/>
  <c r="R23" i="30"/>
  <c r="K23" i="30" s="1"/>
  <c r="R22" i="30"/>
  <c r="K22" i="30" s="1"/>
  <c r="R17" i="30"/>
  <c r="K17" i="30" s="1"/>
  <c r="R16" i="30"/>
  <c r="K16" i="30" s="1"/>
  <c r="R15" i="30"/>
  <c r="K15" i="30" s="1"/>
  <c r="R14" i="30"/>
  <c r="K14" i="30" s="1"/>
  <c r="R13" i="30"/>
  <c r="M13" i="30" s="1"/>
  <c r="G18" i="30"/>
  <c r="R18" i="30"/>
  <c r="K18" i="30" s="1"/>
  <c r="G23" i="30"/>
  <c r="G17" i="30"/>
  <c r="G15" i="30"/>
  <c r="G27" i="30"/>
  <c r="G13" i="30"/>
  <c r="G14" i="30"/>
  <c r="G16" i="30"/>
  <c r="G24" i="30"/>
  <c r="G22" i="30"/>
  <c r="W12" i="25"/>
  <c r="M25" i="30" l="1"/>
  <c r="M24" i="30"/>
  <c r="M23" i="30"/>
  <c r="N23" i="30" s="1"/>
  <c r="M22" i="30"/>
  <c r="N22" i="30" s="1"/>
  <c r="M21" i="30"/>
  <c r="N21" i="30" s="1"/>
  <c r="M20" i="30"/>
  <c r="N20" i="30" s="1"/>
  <c r="M19" i="30"/>
  <c r="M18" i="30"/>
  <c r="N18" i="30" s="1"/>
  <c r="M17" i="30"/>
  <c r="N17" i="30" s="1"/>
  <c r="M16" i="30"/>
  <c r="N16" i="30" s="1"/>
  <c r="M15" i="30"/>
  <c r="N15" i="30" s="1"/>
  <c r="M14" i="30"/>
  <c r="N14" i="30" s="1"/>
  <c r="N25" i="30"/>
  <c r="N24" i="30"/>
  <c r="N13" i="30"/>
  <c r="K27" i="30"/>
  <c r="K26" i="30"/>
  <c r="M26" i="30"/>
  <c r="K13" i="30"/>
  <c r="I10" i="23"/>
  <c r="I20" i="23"/>
  <c r="I21" i="23"/>
  <c r="I13" i="23"/>
  <c r="I19" i="23"/>
  <c r="I16" i="23"/>
  <c r="I15" i="23"/>
  <c r="I23" i="34"/>
  <c r="I18" i="23"/>
  <c r="I11" i="23"/>
  <c r="I14" i="23"/>
  <c r="I17" i="23"/>
  <c r="I21" i="34"/>
  <c r="I12" i="23"/>
  <c r="I22" i="34"/>
  <c r="I22" i="23"/>
  <c r="N19" i="30" l="1"/>
  <c r="V19" i="30" s="1"/>
  <c r="V13" i="30"/>
  <c r="J21" i="23"/>
  <c r="J18" i="23"/>
  <c r="J22" i="23"/>
  <c r="J10" i="23"/>
  <c r="J21" i="34"/>
  <c r="J20" i="23"/>
  <c r="J14" i="23"/>
  <c r="J11" i="23"/>
  <c r="J13" i="23"/>
  <c r="J15" i="23"/>
  <c r="J22" i="34"/>
  <c r="J16" i="23"/>
  <c r="J17" i="23"/>
  <c r="J12" i="23"/>
  <c r="J19" i="23"/>
  <c r="J23" i="34"/>
  <c r="V21" i="30" l="1"/>
  <c r="V20" i="30"/>
  <c r="V18" i="30"/>
  <c r="J23" i="23"/>
  <c r="M27" i="30"/>
  <c r="L28" i="30"/>
  <c r="V17" i="30"/>
  <c r="V22" i="30"/>
  <c r="V23" i="30"/>
  <c r="V15" i="30"/>
  <c r="V16" i="30"/>
  <c r="V14" i="30"/>
  <c r="V24" i="30"/>
  <c r="AV6" i="1"/>
  <c r="AW6" i="1"/>
  <c r="C26" i="23"/>
  <c r="V27" i="30" l="1"/>
  <c r="E28" i="30" s="1"/>
  <c r="AY6" i="1"/>
  <c r="H28" i="30"/>
  <c r="J28" i="30"/>
  <c r="N28" i="30"/>
  <c r="F26" i="23"/>
  <c r="B28" i="30" l="1"/>
  <c r="W35" i="30"/>
  <c r="W50" i="30" s="1"/>
  <c r="I26" i="23"/>
  <c r="P37" i="30"/>
  <c r="P49" i="30"/>
  <c r="P42" i="30"/>
  <c r="P47" i="30"/>
  <c r="P41" i="30"/>
  <c r="P45" i="30"/>
  <c r="P43" i="30"/>
  <c r="P40" i="30"/>
  <c r="P39" i="30"/>
  <c r="P44" i="30"/>
  <c r="P36" i="30"/>
  <c r="B27" i="23"/>
  <c r="P48" i="30"/>
  <c r="F27" i="23"/>
  <c r="P38" i="30"/>
  <c r="P46" i="30"/>
  <c r="M44" i="30" l="1"/>
  <c r="N44" i="30" s="1"/>
  <c r="M43" i="30"/>
  <c r="N43" i="30" s="1"/>
  <c r="M42" i="30"/>
  <c r="N42" i="30" s="1"/>
  <c r="R49" i="30"/>
  <c r="R43" i="30"/>
  <c r="R42" i="30"/>
  <c r="R44" i="30"/>
  <c r="G48" i="30"/>
  <c r="R48" i="30"/>
  <c r="K48" i="30" s="1"/>
  <c r="R36" i="30"/>
  <c r="M36" i="30" s="1"/>
  <c r="N36" i="30" s="1"/>
  <c r="R46" i="30"/>
  <c r="M46" i="30" s="1"/>
  <c r="N46" i="30" s="1"/>
  <c r="R41" i="30"/>
  <c r="M41" i="30" s="1"/>
  <c r="N41" i="30" s="1"/>
  <c r="R38" i="30"/>
  <c r="M38" i="30" s="1"/>
  <c r="N38" i="30" s="1"/>
  <c r="R45" i="30"/>
  <c r="M45" i="30" s="1"/>
  <c r="N45" i="30" s="1"/>
  <c r="R37" i="30"/>
  <c r="M37" i="30" s="1"/>
  <c r="N37" i="30" s="1"/>
  <c r="R47" i="30"/>
  <c r="M47" i="30" s="1"/>
  <c r="N47" i="30" s="1"/>
  <c r="R39" i="30"/>
  <c r="M39" i="30" s="1"/>
  <c r="N39" i="30" s="1"/>
  <c r="I24" i="34"/>
  <c r="I90" i="34"/>
  <c r="I16" i="34"/>
  <c r="I86" i="34"/>
  <c r="I20" i="34"/>
  <c r="I17" i="34"/>
  <c r="I91" i="34"/>
  <c r="I15" i="34"/>
  <c r="I84" i="34"/>
  <c r="I93" i="34"/>
  <c r="I18" i="34"/>
  <c r="I85" i="34"/>
  <c r="I26" i="34"/>
  <c r="I25" i="34"/>
  <c r="I92" i="34"/>
  <c r="AX7" i="1"/>
  <c r="I94" i="34"/>
  <c r="M48" i="30" l="1"/>
  <c r="N48" i="30" s="1"/>
  <c r="M49" i="30"/>
  <c r="K49" i="30"/>
  <c r="R40" i="30"/>
  <c r="M40" i="30" s="1"/>
  <c r="N40" i="30" s="1"/>
  <c r="G40" i="30"/>
  <c r="K45" i="30"/>
  <c r="K43" i="30"/>
  <c r="K42" i="30"/>
  <c r="K46" i="30"/>
  <c r="K39" i="30"/>
  <c r="K44" i="30"/>
  <c r="K37" i="30"/>
  <c r="K41" i="30"/>
  <c r="K38" i="30"/>
  <c r="G46" i="30"/>
  <c r="G45" i="30"/>
  <c r="G47" i="30"/>
  <c r="K47" i="30"/>
  <c r="G39" i="30"/>
  <c r="G37" i="30"/>
  <c r="G44" i="30"/>
  <c r="G38" i="30"/>
  <c r="G50" i="30"/>
  <c r="G36" i="30"/>
  <c r="G42" i="30"/>
  <c r="G43" i="30"/>
  <c r="G41" i="30"/>
  <c r="W31" i="25"/>
  <c r="I88" i="34"/>
  <c r="I45" i="23"/>
  <c r="J84" i="34"/>
  <c r="J26" i="34"/>
  <c r="J92" i="34"/>
  <c r="J85" i="34"/>
  <c r="I27" i="34"/>
  <c r="J25" i="34"/>
  <c r="J18" i="34"/>
  <c r="I95" i="34"/>
  <c r="J16" i="34"/>
  <c r="J90" i="34"/>
  <c r="J93" i="34"/>
  <c r="J91" i="34"/>
  <c r="I19" i="34"/>
  <c r="I89" i="34"/>
  <c r="J15" i="34"/>
  <c r="I28" i="34"/>
  <c r="I96" i="34"/>
  <c r="I87" i="34"/>
  <c r="J17" i="34"/>
  <c r="J94" i="34"/>
  <c r="J86" i="34"/>
  <c r="J20" i="34"/>
  <c r="J24" i="34"/>
  <c r="K40" i="30" l="1"/>
  <c r="K50" i="30"/>
  <c r="K36" i="30"/>
  <c r="J45" i="23"/>
  <c r="I36" i="23"/>
  <c r="J96" i="34"/>
  <c r="J27" i="34"/>
  <c r="J44" i="23"/>
  <c r="J43" i="23"/>
  <c r="J88" i="34"/>
  <c r="I42" i="23"/>
  <c r="J37" i="23"/>
  <c r="J36" i="23"/>
  <c r="I44" i="23"/>
  <c r="I41" i="23"/>
  <c r="J19" i="34"/>
  <c r="I35" i="23"/>
  <c r="I43" i="23"/>
  <c r="J42" i="23"/>
  <c r="I37" i="23"/>
  <c r="I39" i="23"/>
  <c r="I38" i="23"/>
  <c r="J95" i="34"/>
  <c r="J35" i="23"/>
  <c r="J33" i="23"/>
  <c r="I40" i="23"/>
  <c r="J38" i="23"/>
  <c r="J40" i="23"/>
  <c r="I33" i="23"/>
  <c r="J87" i="34"/>
  <c r="J39" i="23"/>
  <c r="I34" i="23"/>
  <c r="J97" i="34"/>
  <c r="J34" i="23"/>
  <c r="J89" i="34"/>
  <c r="J41" i="23"/>
  <c r="J98" i="34" l="1"/>
  <c r="V40" i="30"/>
  <c r="J29" i="34"/>
  <c r="J46" i="23"/>
  <c r="L51" i="30"/>
  <c r="M50" i="30"/>
  <c r="V37" i="30"/>
  <c r="V45" i="30"/>
  <c r="V38" i="30"/>
  <c r="V41" i="30"/>
  <c r="V43" i="30"/>
  <c r="V42" i="30"/>
  <c r="V44" i="30"/>
  <c r="V39" i="30"/>
  <c r="V36" i="30"/>
  <c r="V46" i="30"/>
  <c r="V47" i="30"/>
  <c r="AV7" i="1"/>
  <c r="AW7" i="1"/>
  <c r="I97" i="34"/>
  <c r="C49" i="23"/>
  <c r="C142" i="34" l="1"/>
  <c r="C144" i="34"/>
  <c r="C73" i="34"/>
  <c r="C75" i="34"/>
  <c r="H51" i="30"/>
  <c r="V50" i="30"/>
  <c r="AY7" i="1"/>
  <c r="F49" i="23"/>
  <c r="B51" i="30" l="1"/>
  <c r="E51" i="30"/>
  <c r="B50" i="23"/>
  <c r="F50" i="23"/>
  <c r="AX9" i="1"/>
  <c r="J409" i="29" l="1"/>
  <c r="I754" i="26"/>
  <c r="C433" i="26"/>
  <c r="I483" i="26"/>
  <c r="J752" i="26"/>
  <c r="I751" i="26"/>
  <c r="AW19" i="1"/>
  <c r="I426" i="26"/>
  <c r="I760" i="26"/>
  <c r="I673" i="26"/>
  <c r="W506" i="25"/>
  <c r="C605" i="26"/>
  <c r="J754" i="26"/>
  <c r="AX23" i="1"/>
  <c r="J753" i="26"/>
  <c r="I597" i="26"/>
  <c r="W69" i="25"/>
  <c r="AW8" i="1"/>
  <c r="C244" i="26"/>
  <c r="AV23" i="1"/>
  <c r="J759" i="26"/>
  <c r="C72" i="26"/>
  <c r="W753" i="25"/>
  <c r="I464" i="26"/>
  <c r="W468" i="25"/>
  <c r="J758" i="26"/>
  <c r="J751" i="26"/>
  <c r="C55" i="26"/>
  <c r="I84" i="26"/>
  <c r="W544" i="25"/>
  <c r="J760" i="26"/>
  <c r="AV8" i="1"/>
  <c r="I758" i="26"/>
  <c r="AV10" i="1"/>
  <c r="W677" i="25"/>
  <c r="W658" i="25"/>
  <c r="I312" i="26"/>
  <c r="C692" i="26"/>
  <c r="C588" i="26"/>
  <c r="AW23" i="1"/>
  <c r="W601" i="25"/>
  <c r="W563" i="25"/>
  <c r="W696" i="25"/>
  <c r="AV14" i="1"/>
  <c r="AW10" i="1"/>
  <c r="I752" i="26"/>
  <c r="W582" i="25"/>
  <c r="W620" i="25"/>
  <c r="W525" i="25"/>
  <c r="AW13" i="1"/>
  <c r="C416" i="26"/>
  <c r="I236" i="26"/>
  <c r="C639" i="26"/>
  <c r="I753" i="26"/>
  <c r="AW9" i="1"/>
  <c r="I65" i="26"/>
  <c r="J757" i="26"/>
  <c r="I757" i="26"/>
  <c r="AV13" i="1"/>
  <c r="I407" i="26"/>
  <c r="I755" i="26"/>
  <c r="I616" i="26"/>
  <c r="I445" i="26"/>
  <c r="C450" i="26"/>
  <c r="C467" i="26"/>
  <c r="C622" i="26"/>
  <c r="AX13" i="1"/>
  <c r="AV9" i="1"/>
  <c r="W734" i="25"/>
  <c r="AX8" i="1"/>
  <c r="I502" i="26"/>
  <c r="W487" i="25"/>
  <c r="C691" i="26"/>
  <c r="I635" i="26"/>
  <c r="I654" i="26"/>
  <c r="I759" i="26"/>
  <c r="AX19" i="1"/>
  <c r="AX14" i="1"/>
  <c r="AW14" i="1"/>
  <c r="J755" i="26"/>
  <c r="I46" i="26"/>
  <c r="C656" i="26"/>
  <c r="C89" i="26"/>
  <c r="W639" i="25"/>
  <c r="AV19" i="1"/>
  <c r="AX10" i="1"/>
  <c r="W715" i="25"/>
  <c r="W631" i="25" l="1"/>
  <c r="W612" i="25"/>
  <c r="W593" i="25"/>
  <c r="W688" i="25"/>
  <c r="W536" i="25"/>
  <c r="W574" i="25"/>
  <c r="W745" i="25"/>
  <c r="W517" i="25"/>
  <c r="W764" i="25"/>
  <c r="W555" i="25"/>
  <c r="W479" i="25"/>
  <c r="W498" i="25"/>
  <c r="W726" i="25"/>
  <c r="W669" i="25"/>
  <c r="W707" i="25"/>
  <c r="W650" i="25"/>
  <c r="AY23" i="1"/>
  <c r="AY14" i="1"/>
  <c r="AY19" i="1"/>
  <c r="AY8" i="1"/>
  <c r="AY10" i="1"/>
  <c r="AY9" i="1"/>
  <c r="W80" i="25"/>
  <c r="AY13" i="1"/>
  <c r="P759" i="25"/>
  <c r="P492" i="25"/>
  <c r="P550" i="25"/>
  <c r="P706" i="25"/>
  <c r="P704" i="25"/>
  <c r="P602" i="25"/>
  <c r="P744" i="25"/>
  <c r="P720" i="25"/>
  <c r="P735" i="25"/>
  <c r="P737" i="25"/>
  <c r="P569" i="25"/>
  <c r="P611" i="25"/>
  <c r="P495" i="25"/>
  <c r="P662" i="25"/>
  <c r="P553" i="25"/>
  <c r="P568" i="25"/>
  <c r="P545" i="25"/>
  <c r="P659" i="25"/>
  <c r="P622" i="25"/>
  <c r="P533" i="25"/>
  <c r="P700" i="25"/>
  <c r="P646" i="25"/>
  <c r="P585" i="25"/>
  <c r="P509" i="25"/>
  <c r="P564" i="25"/>
  <c r="P686" i="25"/>
  <c r="P535" i="25"/>
  <c r="P532" i="25"/>
  <c r="P668" i="25"/>
  <c r="P529" i="25"/>
  <c r="P641" i="25"/>
  <c r="P589" i="25"/>
  <c r="P683" i="25"/>
  <c r="P604" i="25"/>
  <c r="P608" i="25"/>
  <c r="P701" i="25"/>
  <c r="P664" i="25"/>
  <c r="P660" i="25"/>
  <c r="P534" i="25"/>
  <c r="P628" i="25"/>
  <c r="P603" i="25"/>
  <c r="P488" i="25"/>
  <c r="P512" i="25"/>
  <c r="P644" i="25"/>
  <c r="P548" i="25"/>
  <c r="P547" i="25"/>
  <c r="P719" i="25"/>
  <c r="P724" i="25"/>
  <c r="P699" i="25"/>
  <c r="P722" i="25"/>
  <c r="P743" i="25"/>
  <c r="P494" i="25"/>
  <c r="P571" i="25"/>
  <c r="P507" i="25"/>
  <c r="P605" i="25"/>
  <c r="P508" i="25"/>
  <c r="P510" i="25"/>
  <c r="P685" i="25"/>
  <c r="P490" i="25"/>
  <c r="P591" i="25"/>
  <c r="P740" i="25"/>
  <c r="P566" i="25"/>
  <c r="P528" i="25"/>
  <c r="P647" i="25"/>
  <c r="P587" i="25"/>
  <c r="P588" i="25"/>
  <c r="P609" i="25"/>
  <c r="P678" i="25"/>
  <c r="P663" i="25"/>
  <c r="P665" i="25"/>
  <c r="P705" i="25"/>
  <c r="P682" i="25"/>
  <c r="P741" i="25"/>
  <c r="P567" i="25"/>
  <c r="P679" i="25"/>
  <c r="P627" i="25"/>
  <c r="P583" i="25"/>
  <c r="P552" i="25"/>
  <c r="P623" i="25"/>
  <c r="P642" i="25"/>
  <c r="P703" i="25"/>
  <c r="P607" i="25"/>
  <c r="P530" i="25"/>
  <c r="P624" i="25"/>
  <c r="P739" i="25"/>
  <c r="P667" i="25"/>
  <c r="P687" i="25"/>
  <c r="P489" i="25"/>
  <c r="P684" i="25"/>
  <c r="P526" i="25"/>
  <c r="P680" i="25"/>
  <c r="P514" i="25"/>
  <c r="P702" i="25"/>
  <c r="P725" i="25"/>
  <c r="P718" i="25"/>
  <c r="P621" i="25"/>
  <c r="P630" i="25"/>
  <c r="P573" i="25"/>
  <c r="P493" i="25"/>
  <c r="P497" i="25"/>
  <c r="P716" i="25"/>
  <c r="P511" i="25"/>
  <c r="P551" i="25"/>
  <c r="P629" i="25"/>
  <c r="P648" i="25"/>
  <c r="P572" i="25"/>
  <c r="P661" i="25"/>
  <c r="P592" i="25"/>
  <c r="P606" i="25"/>
  <c r="P723" i="25"/>
  <c r="P736" i="25"/>
  <c r="P554" i="25"/>
  <c r="P742" i="25"/>
  <c r="P626" i="25"/>
  <c r="P645" i="25"/>
  <c r="P531" i="25"/>
  <c r="P649" i="25"/>
  <c r="P513" i="25"/>
  <c r="P610" i="25"/>
  <c r="P640" i="25"/>
  <c r="P570" i="25"/>
  <c r="P515" i="25"/>
  <c r="P590" i="25"/>
  <c r="P565" i="25"/>
  <c r="P546" i="25"/>
  <c r="P697" i="25"/>
  <c r="P717" i="25"/>
  <c r="P643" i="25"/>
  <c r="P698" i="25"/>
  <c r="P516" i="25"/>
  <c r="P721" i="25"/>
  <c r="P491" i="25"/>
  <c r="P586" i="25"/>
  <c r="P666" i="25"/>
  <c r="P496" i="25"/>
  <c r="P549" i="25"/>
  <c r="P738" i="25"/>
  <c r="P625" i="25"/>
  <c r="P681" i="25"/>
  <c r="P527" i="25"/>
  <c r="P584" i="25"/>
  <c r="N557" i="30"/>
  <c r="J557" i="30"/>
  <c r="N212" i="30"/>
  <c r="P471" i="25"/>
  <c r="N189" i="30"/>
  <c r="J327" i="30"/>
  <c r="P72" i="25"/>
  <c r="P76" i="25"/>
  <c r="N97" i="30"/>
  <c r="J97" i="30"/>
  <c r="P73" i="25"/>
  <c r="J120" i="30"/>
  <c r="P74" i="25"/>
  <c r="W449" i="25"/>
  <c r="P475" i="25"/>
  <c r="P473" i="25"/>
  <c r="P474" i="25"/>
  <c r="P478" i="25"/>
  <c r="W335" i="25"/>
  <c r="N120" i="30"/>
  <c r="N74" i="30"/>
  <c r="W50" i="25"/>
  <c r="P77" i="25"/>
  <c r="P470" i="25"/>
  <c r="W145" i="25"/>
  <c r="P70" i="25"/>
  <c r="W164" i="25"/>
  <c r="J74" i="30"/>
  <c r="N327" i="30"/>
  <c r="J189" i="30"/>
  <c r="P476" i="25"/>
  <c r="AL30" i="24"/>
  <c r="P79" i="25"/>
  <c r="P472" i="25"/>
  <c r="W259" i="25"/>
  <c r="P469" i="25"/>
  <c r="P71" i="25"/>
  <c r="AX11" i="1"/>
  <c r="N419" i="30"/>
  <c r="P75" i="25"/>
  <c r="P78" i="25"/>
  <c r="P477" i="25"/>
  <c r="W88" i="25"/>
  <c r="J212" i="30"/>
  <c r="J419" i="30"/>
  <c r="W460" i="25" l="1"/>
  <c r="R662" i="25"/>
  <c r="K662" i="25" s="1"/>
  <c r="G662" i="25"/>
  <c r="R659" i="25"/>
  <c r="G659" i="25"/>
  <c r="G669" i="25"/>
  <c r="R661" i="25"/>
  <c r="K661" i="25" s="1"/>
  <c r="G661" i="25"/>
  <c r="R660" i="25"/>
  <c r="K660" i="25" s="1"/>
  <c r="G660" i="25"/>
  <c r="G665" i="25"/>
  <c r="R665" i="25"/>
  <c r="K665" i="25" s="1"/>
  <c r="G667" i="25"/>
  <c r="R667" i="25"/>
  <c r="K667" i="25" s="1"/>
  <c r="R663" i="25"/>
  <c r="K663" i="25" s="1"/>
  <c r="G663" i="25"/>
  <c r="R668" i="25"/>
  <c r="K668" i="25" s="1"/>
  <c r="G668" i="25"/>
  <c r="R664" i="25"/>
  <c r="K664" i="25" s="1"/>
  <c r="G664" i="25"/>
  <c r="R666" i="25"/>
  <c r="K666" i="25" s="1"/>
  <c r="G666" i="25"/>
  <c r="W156" i="25"/>
  <c r="G77" i="25"/>
  <c r="R77" i="25"/>
  <c r="K77" i="25" s="1"/>
  <c r="R79" i="25"/>
  <c r="K79" i="25" s="1"/>
  <c r="G79" i="25"/>
  <c r="G71" i="25"/>
  <c r="R71" i="25"/>
  <c r="K71" i="25" s="1"/>
  <c r="R76" i="25"/>
  <c r="K76" i="25" s="1"/>
  <c r="G76" i="25"/>
  <c r="G75" i="25"/>
  <c r="R75" i="25"/>
  <c r="K75" i="25" s="1"/>
  <c r="R78" i="25"/>
  <c r="K78" i="25" s="1"/>
  <c r="G78" i="25"/>
  <c r="R74" i="25"/>
  <c r="K74" i="25" s="1"/>
  <c r="G74" i="25"/>
  <c r="R73" i="25"/>
  <c r="K73" i="25" s="1"/>
  <c r="G73" i="25"/>
  <c r="R72" i="25"/>
  <c r="K72" i="25" s="1"/>
  <c r="G72" i="25"/>
  <c r="G70" i="25"/>
  <c r="R70" i="25"/>
  <c r="M70" i="25" s="1"/>
  <c r="G80" i="25"/>
  <c r="W175" i="25"/>
  <c r="R725" i="25"/>
  <c r="K725" i="25" s="1"/>
  <c r="G725" i="25"/>
  <c r="G716" i="25"/>
  <c r="R716" i="25"/>
  <c r="G726" i="25"/>
  <c r="G720" i="25"/>
  <c r="R720" i="25"/>
  <c r="K720" i="25" s="1"/>
  <c r="G717" i="25"/>
  <c r="R717" i="25"/>
  <c r="K717" i="25" s="1"/>
  <c r="R719" i="25"/>
  <c r="K719" i="25" s="1"/>
  <c r="G719" i="25"/>
  <c r="R718" i="25"/>
  <c r="K718" i="25" s="1"/>
  <c r="G718" i="25"/>
  <c r="R722" i="25"/>
  <c r="K722" i="25" s="1"/>
  <c r="G722" i="25"/>
  <c r="R723" i="25"/>
  <c r="K723" i="25" s="1"/>
  <c r="G723" i="25"/>
  <c r="R721" i="25"/>
  <c r="K721" i="25" s="1"/>
  <c r="G721" i="25"/>
  <c r="G724" i="25"/>
  <c r="R724" i="25"/>
  <c r="K724" i="25" s="1"/>
  <c r="G528" i="25"/>
  <c r="R528" i="25"/>
  <c r="K528" i="25" s="1"/>
  <c r="R530" i="25"/>
  <c r="K530" i="25" s="1"/>
  <c r="G530" i="25"/>
  <c r="R531" i="25"/>
  <c r="K531" i="25" s="1"/>
  <c r="G531" i="25"/>
  <c r="R535" i="25"/>
  <c r="K535" i="25" s="1"/>
  <c r="G535" i="25"/>
  <c r="R529" i="25"/>
  <c r="K529" i="25" s="1"/>
  <c r="G529" i="25"/>
  <c r="G533" i="25"/>
  <c r="R533" i="25"/>
  <c r="K533" i="25" s="1"/>
  <c r="R527" i="25"/>
  <c r="K527" i="25" s="1"/>
  <c r="G527" i="25"/>
  <c r="R534" i="25"/>
  <c r="K534" i="25" s="1"/>
  <c r="G534" i="25"/>
  <c r="R532" i="25"/>
  <c r="K532" i="25" s="1"/>
  <c r="G532" i="25"/>
  <c r="G536" i="25"/>
  <c r="G526" i="25"/>
  <c r="R526" i="25"/>
  <c r="M526" i="25" s="1"/>
  <c r="G571" i="25"/>
  <c r="R571" i="25"/>
  <c r="K571" i="25" s="1"/>
  <c r="G570" i="25"/>
  <c r="R570" i="25"/>
  <c r="K570" i="25" s="1"/>
  <c r="G567" i="25"/>
  <c r="R567" i="25"/>
  <c r="K567" i="25" s="1"/>
  <c r="R568" i="25"/>
  <c r="K568" i="25" s="1"/>
  <c r="G568" i="25"/>
  <c r="R572" i="25"/>
  <c r="K572" i="25" s="1"/>
  <c r="G572" i="25"/>
  <c r="G565" i="25"/>
  <c r="R565" i="25"/>
  <c r="K565" i="25" s="1"/>
  <c r="G566" i="25"/>
  <c r="R566" i="25"/>
  <c r="K566" i="25" s="1"/>
  <c r="G569" i="25"/>
  <c r="R569" i="25"/>
  <c r="K569" i="25" s="1"/>
  <c r="R564" i="25"/>
  <c r="G564" i="25"/>
  <c r="G574" i="25"/>
  <c r="G573" i="25"/>
  <c r="R573" i="25"/>
  <c r="K573" i="25" s="1"/>
  <c r="G495" i="25"/>
  <c r="R495" i="25"/>
  <c r="K495" i="25" s="1"/>
  <c r="R493" i="25"/>
  <c r="K493" i="25" s="1"/>
  <c r="G493" i="25"/>
  <c r="R490" i="25"/>
  <c r="K490" i="25" s="1"/>
  <c r="G490" i="25"/>
  <c r="G489" i="25"/>
  <c r="R489" i="25"/>
  <c r="K489" i="25" s="1"/>
  <c r="R496" i="25"/>
  <c r="K496" i="25" s="1"/>
  <c r="G496" i="25"/>
  <c r="R494" i="25"/>
  <c r="K494" i="25" s="1"/>
  <c r="G494" i="25"/>
  <c r="R492" i="25"/>
  <c r="K492" i="25" s="1"/>
  <c r="G492" i="25"/>
  <c r="R491" i="25"/>
  <c r="K491" i="25" s="1"/>
  <c r="G491" i="25"/>
  <c r="G497" i="25"/>
  <c r="R497" i="25"/>
  <c r="K497" i="25" s="1"/>
  <c r="G498" i="25"/>
  <c r="R488" i="25"/>
  <c r="G488" i="25"/>
  <c r="R686" i="25"/>
  <c r="K686" i="25" s="1"/>
  <c r="G686" i="25"/>
  <c r="G688" i="25"/>
  <c r="R678" i="25"/>
  <c r="G678" i="25"/>
  <c r="G685" i="25"/>
  <c r="R685" i="25"/>
  <c r="K685" i="25" s="1"/>
  <c r="G679" i="25"/>
  <c r="R679" i="25"/>
  <c r="K679" i="25" s="1"/>
  <c r="R683" i="25"/>
  <c r="K683" i="25" s="1"/>
  <c r="G683" i="25"/>
  <c r="R681" i="25"/>
  <c r="K681" i="25" s="1"/>
  <c r="G681" i="25"/>
  <c r="R684" i="25"/>
  <c r="K684" i="25" s="1"/>
  <c r="G684" i="25"/>
  <c r="G682" i="25"/>
  <c r="R682" i="25"/>
  <c r="K682" i="25" s="1"/>
  <c r="G687" i="25"/>
  <c r="R687" i="25"/>
  <c r="K687" i="25" s="1"/>
  <c r="R680" i="25"/>
  <c r="K680" i="25" s="1"/>
  <c r="G680" i="25"/>
  <c r="W99" i="25"/>
  <c r="W346" i="25"/>
  <c r="G471" i="25"/>
  <c r="R471" i="25"/>
  <c r="K471" i="25" s="1"/>
  <c r="R475" i="25"/>
  <c r="K475" i="25" s="1"/>
  <c r="G475" i="25"/>
  <c r="R470" i="25"/>
  <c r="K470" i="25" s="1"/>
  <c r="G470" i="25"/>
  <c r="R473" i="25"/>
  <c r="K473" i="25" s="1"/>
  <c r="G473" i="25"/>
  <c r="R478" i="25"/>
  <c r="K478" i="25" s="1"/>
  <c r="G478" i="25"/>
  <c r="R477" i="25"/>
  <c r="K477" i="25" s="1"/>
  <c r="G477" i="25"/>
  <c r="G476" i="25"/>
  <c r="R476" i="25"/>
  <c r="K476" i="25" s="1"/>
  <c r="G472" i="25"/>
  <c r="R472" i="25"/>
  <c r="K472" i="25" s="1"/>
  <c r="R474" i="25"/>
  <c r="K474" i="25" s="1"/>
  <c r="G474" i="25"/>
  <c r="R469" i="25"/>
  <c r="G469" i="25"/>
  <c r="G479" i="25"/>
  <c r="R590" i="25"/>
  <c r="K590" i="25" s="1"/>
  <c r="G590" i="25"/>
  <c r="G583" i="25"/>
  <c r="R583" i="25"/>
  <c r="G593" i="25"/>
  <c r="R585" i="25"/>
  <c r="K585" i="25" s="1"/>
  <c r="G585" i="25"/>
  <c r="G592" i="25"/>
  <c r="R592" i="25"/>
  <c r="K592" i="25" s="1"/>
  <c r="G589" i="25"/>
  <c r="R589" i="25"/>
  <c r="K589" i="25" s="1"/>
  <c r="G586" i="25"/>
  <c r="R586" i="25"/>
  <c r="K586" i="25" s="1"/>
  <c r="R584" i="25"/>
  <c r="K584" i="25" s="1"/>
  <c r="G584" i="25"/>
  <c r="R591" i="25"/>
  <c r="K591" i="25" s="1"/>
  <c r="G591" i="25"/>
  <c r="G588" i="25"/>
  <c r="R588" i="25"/>
  <c r="K588" i="25" s="1"/>
  <c r="G587" i="25"/>
  <c r="R587" i="25"/>
  <c r="K587" i="25" s="1"/>
  <c r="G549" i="25"/>
  <c r="R549" i="25"/>
  <c r="K549" i="25" s="1"/>
  <c r="G554" i="25"/>
  <c r="R554" i="25"/>
  <c r="K554" i="25" s="1"/>
  <c r="R551" i="25"/>
  <c r="K551" i="25" s="1"/>
  <c r="G551" i="25"/>
  <c r="R548" i="25"/>
  <c r="K548" i="25" s="1"/>
  <c r="G548" i="25"/>
  <c r="G550" i="25"/>
  <c r="R550" i="25"/>
  <c r="K550" i="25" s="1"/>
  <c r="R546" i="25"/>
  <c r="K546" i="25" s="1"/>
  <c r="G546" i="25"/>
  <c r="R552" i="25"/>
  <c r="K552" i="25" s="1"/>
  <c r="G552" i="25"/>
  <c r="G545" i="25"/>
  <c r="R545" i="25"/>
  <c r="G555" i="25"/>
  <c r="R553" i="25"/>
  <c r="K553" i="25" s="1"/>
  <c r="G553" i="25"/>
  <c r="G547" i="25"/>
  <c r="R547" i="25"/>
  <c r="K547" i="25" s="1"/>
  <c r="W61" i="25"/>
  <c r="R643" i="25"/>
  <c r="K643" i="25" s="1"/>
  <c r="G643" i="25"/>
  <c r="G645" i="25"/>
  <c r="R645" i="25"/>
  <c r="K645" i="25" s="1"/>
  <c r="R647" i="25"/>
  <c r="K647" i="25" s="1"/>
  <c r="G647" i="25"/>
  <c r="R642" i="25"/>
  <c r="K642" i="25" s="1"/>
  <c r="G642" i="25"/>
  <c r="R646" i="25"/>
  <c r="K646" i="25" s="1"/>
  <c r="G646" i="25"/>
  <c r="G640" i="25"/>
  <c r="R640" i="25"/>
  <c r="M640" i="25" s="1"/>
  <c r="G650" i="25"/>
  <c r="G644" i="25"/>
  <c r="R644" i="25"/>
  <c r="K644" i="25" s="1"/>
  <c r="G648" i="25"/>
  <c r="R648" i="25"/>
  <c r="K648" i="25" s="1"/>
  <c r="R649" i="25"/>
  <c r="K649" i="25" s="1"/>
  <c r="G649" i="25"/>
  <c r="G641" i="25"/>
  <c r="R641" i="25"/>
  <c r="K641" i="25" s="1"/>
  <c r="R759" i="25"/>
  <c r="K759" i="25" s="1"/>
  <c r="G759" i="25"/>
  <c r="G630" i="25"/>
  <c r="R630" i="25"/>
  <c r="K630" i="25" s="1"/>
  <c r="R627" i="25"/>
  <c r="K627" i="25" s="1"/>
  <c r="G627" i="25"/>
  <c r="G623" i="25"/>
  <c r="R623" i="25"/>
  <c r="K623" i="25" s="1"/>
  <c r="G621" i="25"/>
  <c r="G631" i="25"/>
  <c r="R621" i="25"/>
  <c r="G626" i="25"/>
  <c r="R626" i="25"/>
  <c r="K626" i="25" s="1"/>
  <c r="R624" i="25"/>
  <c r="K624" i="25" s="1"/>
  <c r="G624" i="25"/>
  <c r="R629" i="25"/>
  <c r="K629" i="25" s="1"/>
  <c r="G629" i="25"/>
  <c r="R628" i="25"/>
  <c r="K628" i="25" s="1"/>
  <c r="G628" i="25"/>
  <c r="G625" i="25"/>
  <c r="R625" i="25"/>
  <c r="K625" i="25" s="1"/>
  <c r="G622" i="25"/>
  <c r="R622" i="25"/>
  <c r="K622" i="25" s="1"/>
  <c r="G604" i="25"/>
  <c r="R604" i="25"/>
  <c r="K604" i="25" s="1"/>
  <c r="R607" i="25"/>
  <c r="K607" i="25" s="1"/>
  <c r="G607" i="25"/>
  <c r="G603" i="25"/>
  <c r="R603" i="25"/>
  <c r="K603" i="25" s="1"/>
  <c r="R608" i="25"/>
  <c r="K608" i="25" s="1"/>
  <c r="G608" i="25"/>
  <c r="G605" i="25"/>
  <c r="R605" i="25"/>
  <c r="K605" i="25" s="1"/>
  <c r="R606" i="25"/>
  <c r="K606" i="25" s="1"/>
  <c r="G606" i="25"/>
  <c r="R610" i="25"/>
  <c r="K610" i="25" s="1"/>
  <c r="G610" i="25"/>
  <c r="G602" i="25"/>
  <c r="R602" i="25"/>
  <c r="G612" i="25"/>
  <c r="G609" i="25"/>
  <c r="R609" i="25"/>
  <c r="K609" i="25" s="1"/>
  <c r="R611" i="25"/>
  <c r="K611" i="25" s="1"/>
  <c r="G611" i="25"/>
  <c r="W270" i="25"/>
  <c r="R698" i="25"/>
  <c r="K698" i="25" s="1"/>
  <c r="G698" i="25"/>
  <c r="G705" i="25"/>
  <c r="R705" i="25"/>
  <c r="K705" i="25" s="1"/>
  <c r="R700" i="25"/>
  <c r="K700" i="25" s="1"/>
  <c r="G700" i="25"/>
  <c r="G706" i="25"/>
  <c r="R706" i="25"/>
  <c r="K706" i="25" s="1"/>
  <c r="G704" i="25"/>
  <c r="R704" i="25"/>
  <c r="K704" i="25" s="1"/>
  <c r="G707" i="25"/>
  <c r="R697" i="25"/>
  <c r="M697" i="25" s="1"/>
  <c r="G697" i="25"/>
  <c r="R702" i="25"/>
  <c r="K702" i="25" s="1"/>
  <c r="G702" i="25"/>
  <c r="R703" i="25"/>
  <c r="K703" i="25" s="1"/>
  <c r="G703" i="25"/>
  <c r="G701" i="25"/>
  <c r="R701" i="25"/>
  <c r="K701" i="25" s="1"/>
  <c r="G699" i="25"/>
  <c r="R699" i="25"/>
  <c r="K699" i="25" s="1"/>
  <c r="G507" i="25"/>
  <c r="R507" i="25"/>
  <c r="M507" i="25" s="1"/>
  <c r="G517" i="25"/>
  <c r="G516" i="25"/>
  <c r="R516" i="25"/>
  <c r="K516" i="25" s="1"/>
  <c r="R510" i="25"/>
  <c r="K510" i="25" s="1"/>
  <c r="G510" i="25"/>
  <c r="R513" i="25"/>
  <c r="K513" i="25" s="1"/>
  <c r="G513" i="25"/>
  <c r="R514" i="25"/>
  <c r="K514" i="25" s="1"/>
  <c r="G514" i="25"/>
  <c r="R508" i="25"/>
  <c r="K508" i="25" s="1"/>
  <c r="G508" i="25"/>
  <c r="R512" i="25"/>
  <c r="K512" i="25" s="1"/>
  <c r="G512" i="25"/>
  <c r="G509" i="25"/>
  <c r="R509" i="25"/>
  <c r="K509" i="25" s="1"/>
  <c r="G511" i="25"/>
  <c r="R511" i="25"/>
  <c r="K511" i="25" s="1"/>
  <c r="R515" i="25"/>
  <c r="K515" i="25" s="1"/>
  <c r="G515" i="25"/>
  <c r="G744" i="25"/>
  <c r="R744" i="25"/>
  <c r="K744" i="25" s="1"/>
  <c r="R737" i="25"/>
  <c r="K737" i="25" s="1"/>
  <c r="G737" i="25"/>
  <c r="R736" i="25"/>
  <c r="K736" i="25" s="1"/>
  <c r="G736" i="25"/>
  <c r="R735" i="25"/>
  <c r="M735" i="25" s="1"/>
  <c r="G745" i="25"/>
  <c r="G735" i="25"/>
  <c r="R743" i="25"/>
  <c r="K743" i="25" s="1"/>
  <c r="G743" i="25"/>
  <c r="R740" i="25"/>
  <c r="K740" i="25" s="1"/>
  <c r="G740" i="25"/>
  <c r="R741" i="25"/>
  <c r="K741" i="25" s="1"/>
  <c r="G741" i="25"/>
  <c r="G739" i="25"/>
  <c r="R739" i="25"/>
  <c r="K739" i="25" s="1"/>
  <c r="R738" i="25"/>
  <c r="K738" i="25" s="1"/>
  <c r="G738" i="25"/>
  <c r="G742" i="25"/>
  <c r="R742" i="25"/>
  <c r="K742" i="25" s="1"/>
  <c r="P261" i="25"/>
  <c r="P344" i="25"/>
  <c r="P53" i="25"/>
  <c r="I694" i="26"/>
  <c r="P155" i="25"/>
  <c r="I1897" i="34"/>
  <c r="P59" i="25"/>
  <c r="P168" i="25"/>
  <c r="P450" i="25"/>
  <c r="P267" i="25"/>
  <c r="P154" i="25"/>
  <c r="P171" i="25"/>
  <c r="P452" i="25"/>
  <c r="P459" i="25"/>
  <c r="P341" i="25"/>
  <c r="P336" i="25"/>
  <c r="P268" i="25"/>
  <c r="I2656" i="34"/>
  <c r="P340" i="25"/>
  <c r="P265" i="25"/>
  <c r="P454" i="25"/>
  <c r="P166" i="25"/>
  <c r="P92" i="25"/>
  <c r="I187" i="23"/>
  <c r="P98" i="25"/>
  <c r="I118" i="23"/>
  <c r="I72" i="23"/>
  <c r="P337" i="25"/>
  <c r="P455" i="25"/>
  <c r="P456" i="25"/>
  <c r="I241" i="34"/>
  <c r="P52" i="25"/>
  <c r="P55" i="25"/>
  <c r="P260" i="25"/>
  <c r="P89" i="25"/>
  <c r="I417" i="23"/>
  <c r="P264" i="25"/>
  <c r="P451" i="25"/>
  <c r="I2518" i="34"/>
  <c r="P97" i="25"/>
  <c r="P263" i="25"/>
  <c r="P58" i="25"/>
  <c r="P167" i="25"/>
  <c r="P150" i="25"/>
  <c r="P94" i="25"/>
  <c r="P174" i="25"/>
  <c r="P60" i="25"/>
  <c r="P91" i="25"/>
  <c r="P266" i="25"/>
  <c r="P339" i="25"/>
  <c r="P95" i="25"/>
  <c r="P172" i="25"/>
  <c r="P169" i="25"/>
  <c r="I325" i="23"/>
  <c r="P342" i="25"/>
  <c r="I555" i="23"/>
  <c r="I637" i="26"/>
  <c r="I95" i="23"/>
  <c r="I1828" i="34"/>
  <c r="P170" i="25"/>
  <c r="P90" i="25"/>
  <c r="P152" i="25"/>
  <c r="P149" i="25"/>
  <c r="P57" i="25"/>
  <c r="P54" i="25"/>
  <c r="P148" i="25"/>
  <c r="P147" i="25"/>
  <c r="P458" i="25"/>
  <c r="P96" i="25"/>
  <c r="P338" i="25"/>
  <c r="I141" i="26"/>
  <c r="P153" i="25"/>
  <c r="I523" i="26"/>
  <c r="P173" i="25"/>
  <c r="P453" i="25"/>
  <c r="P146" i="25"/>
  <c r="P262" i="25"/>
  <c r="P165" i="25"/>
  <c r="P457" i="25"/>
  <c r="P269" i="25"/>
  <c r="P151" i="25"/>
  <c r="P51" i="25"/>
  <c r="I210" i="23"/>
  <c r="I2311" i="34"/>
  <c r="P93" i="25"/>
  <c r="P56" i="25"/>
  <c r="P343" i="25"/>
  <c r="P345" i="25"/>
  <c r="W107" i="25"/>
  <c r="R455" i="25" l="1"/>
  <c r="K455" i="25" s="1"/>
  <c r="G455" i="25"/>
  <c r="R459" i="25"/>
  <c r="K459" i="25" s="1"/>
  <c r="G459" i="25"/>
  <c r="G451" i="25"/>
  <c r="R451" i="25"/>
  <c r="K451" i="25" s="1"/>
  <c r="G457" i="25"/>
  <c r="R457" i="25"/>
  <c r="K457" i="25" s="1"/>
  <c r="R458" i="25"/>
  <c r="K458" i="25" s="1"/>
  <c r="G458" i="25"/>
  <c r="R454" i="25"/>
  <c r="K454" i="25" s="1"/>
  <c r="G454" i="25"/>
  <c r="R453" i="25"/>
  <c r="K453" i="25" s="1"/>
  <c r="G453" i="25"/>
  <c r="G456" i="25"/>
  <c r="R456" i="25"/>
  <c r="K456" i="25" s="1"/>
  <c r="G452" i="25"/>
  <c r="R452" i="25"/>
  <c r="K452" i="25" s="1"/>
  <c r="G460" i="25"/>
  <c r="G450" i="25"/>
  <c r="R450" i="25"/>
  <c r="M450" i="25" s="1"/>
  <c r="N450" i="25" s="1"/>
  <c r="V450" i="25" s="1"/>
  <c r="N735" i="25"/>
  <c r="V735" i="25" s="1"/>
  <c r="N507" i="25"/>
  <c r="V507" i="25" s="1"/>
  <c r="N70" i="25"/>
  <c r="V70" i="25" s="1"/>
  <c r="M667" i="25"/>
  <c r="M585" i="25"/>
  <c r="M509" i="25"/>
  <c r="M587" i="25"/>
  <c r="M606" i="25"/>
  <c r="M515" i="25"/>
  <c r="M662" i="25"/>
  <c r="M684" i="25"/>
  <c r="M679" i="25"/>
  <c r="M547" i="25"/>
  <c r="M723" i="25"/>
  <c r="M725" i="25"/>
  <c r="M511" i="25"/>
  <c r="M704" i="25"/>
  <c r="M588" i="25"/>
  <c r="M491" i="25"/>
  <c r="M661" i="25"/>
  <c r="M664" i="25"/>
  <c r="M551" i="25"/>
  <c r="M608" i="25"/>
  <c r="M495" i="25"/>
  <c r="M603" i="25"/>
  <c r="M736" i="25"/>
  <c r="M743" i="25"/>
  <c r="M646" i="25"/>
  <c r="M477" i="25"/>
  <c r="M492" i="25"/>
  <c r="M737" i="25"/>
  <c r="M759" i="25"/>
  <c r="M554" i="25"/>
  <c r="M681" i="25"/>
  <c r="M573" i="25"/>
  <c r="M567" i="25"/>
  <c r="M642" i="25"/>
  <c r="M548" i="25"/>
  <c r="M478" i="25"/>
  <c r="M493" i="25"/>
  <c r="M666" i="25"/>
  <c r="M744" i="25"/>
  <c r="M641" i="25"/>
  <c r="M549" i="25"/>
  <c r="M741" i="25"/>
  <c r="M512" i="25"/>
  <c r="M702" i="25"/>
  <c r="M698" i="25"/>
  <c r="M624" i="25"/>
  <c r="M648" i="25"/>
  <c r="M685" i="25"/>
  <c r="M569" i="25"/>
  <c r="M570" i="25"/>
  <c r="M527" i="25"/>
  <c r="M724" i="25"/>
  <c r="M73" i="25"/>
  <c r="M77" i="25"/>
  <c r="M699" i="25"/>
  <c r="M605" i="25"/>
  <c r="M645" i="25"/>
  <c r="M592" i="25"/>
  <c r="M628" i="25"/>
  <c r="M553" i="25"/>
  <c r="M683" i="25"/>
  <c r="M568" i="25"/>
  <c r="M532" i="25"/>
  <c r="M668" i="25"/>
  <c r="M740" i="25"/>
  <c r="M610" i="25"/>
  <c r="M626" i="25"/>
  <c r="M644" i="25"/>
  <c r="M476" i="25"/>
  <c r="M497" i="25"/>
  <c r="M566" i="25"/>
  <c r="M571" i="25"/>
  <c r="M533" i="25"/>
  <c r="M721" i="25"/>
  <c r="M629" i="25"/>
  <c r="M649" i="25"/>
  <c r="M534" i="25"/>
  <c r="M72" i="25"/>
  <c r="M79" i="25"/>
  <c r="M589" i="25"/>
  <c r="R98" i="25"/>
  <c r="K98" i="25" s="1"/>
  <c r="G98" i="25"/>
  <c r="G91" i="25"/>
  <c r="R91" i="25"/>
  <c r="K91" i="25" s="1"/>
  <c r="R92" i="25"/>
  <c r="K92" i="25" s="1"/>
  <c r="G92" i="25"/>
  <c r="G93" i="25"/>
  <c r="R93" i="25"/>
  <c r="K93" i="25" s="1"/>
  <c r="R90" i="25"/>
  <c r="K90" i="25" s="1"/>
  <c r="G90" i="25"/>
  <c r="G96" i="25"/>
  <c r="R96" i="25"/>
  <c r="K96" i="25" s="1"/>
  <c r="R94" i="25"/>
  <c r="K94" i="25" s="1"/>
  <c r="G94" i="25"/>
  <c r="R89" i="25"/>
  <c r="G99" i="25"/>
  <c r="G89" i="25"/>
  <c r="G95" i="25"/>
  <c r="R95" i="25"/>
  <c r="K95" i="25" s="1"/>
  <c r="R97" i="25"/>
  <c r="K97" i="25" s="1"/>
  <c r="G97" i="25"/>
  <c r="R167" i="25"/>
  <c r="K167" i="25" s="1"/>
  <c r="G167" i="25"/>
  <c r="R168" i="25"/>
  <c r="K168" i="25" s="1"/>
  <c r="G168" i="25"/>
  <c r="G165" i="25"/>
  <c r="G175" i="25"/>
  <c r="R165" i="25"/>
  <c r="M165" i="25" s="1"/>
  <c r="G172" i="25"/>
  <c r="R172" i="25"/>
  <c r="K172" i="25" s="1"/>
  <c r="G169" i="25"/>
  <c r="R169" i="25"/>
  <c r="K169" i="25" s="1"/>
  <c r="R173" i="25"/>
  <c r="K173" i="25" s="1"/>
  <c r="G173" i="25"/>
  <c r="R166" i="25"/>
  <c r="K166" i="25" s="1"/>
  <c r="G166" i="25"/>
  <c r="R174" i="25"/>
  <c r="K174" i="25" s="1"/>
  <c r="G174" i="25"/>
  <c r="G171" i="25"/>
  <c r="R171" i="25"/>
  <c r="K171" i="25" s="1"/>
  <c r="G170" i="25"/>
  <c r="R170" i="25"/>
  <c r="K170" i="25" s="1"/>
  <c r="W118" i="25"/>
  <c r="R151" i="25"/>
  <c r="K151" i="25" s="1"/>
  <c r="G151" i="25"/>
  <c r="G152" i="25"/>
  <c r="R152" i="25"/>
  <c r="K152" i="25" s="1"/>
  <c r="R155" i="25"/>
  <c r="K155" i="25" s="1"/>
  <c r="G155" i="25"/>
  <c r="G147" i="25"/>
  <c r="R147" i="25"/>
  <c r="K147" i="25" s="1"/>
  <c r="G148" i="25"/>
  <c r="R148" i="25"/>
  <c r="K148" i="25" s="1"/>
  <c r="R146" i="25"/>
  <c r="G146" i="25"/>
  <c r="G156" i="25"/>
  <c r="G154" i="25"/>
  <c r="R154" i="25"/>
  <c r="K154" i="25" s="1"/>
  <c r="R153" i="25"/>
  <c r="K153" i="25" s="1"/>
  <c r="G153" i="25"/>
  <c r="R150" i="25"/>
  <c r="K150" i="25" s="1"/>
  <c r="G150" i="25"/>
  <c r="G149" i="25"/>
  <c r="R149" i="25"/>
  <c r="K149" i="25" s="1"/>
  <c r="R54" i="25"/>
  <c r="K54" i="25" s="1"/>
  <c r="G54" i="25"/>
  <c r="G53" i="25"/>
  <c r="R53" i="25"/>
  <c r="K53" i="25" s="1"/>
  <c r="R55" i="25"/>
  <c r="K55" i="25" s="1"/>
  <c r="G55" i="25"/>
  <c r="R57" i="25"/>
  <c r="K57" i="25" s="1"/>
  <c r="G57" i="25"/>
  <c r="G51" i="25"/>
  <c r="R51" i="25"/>
  <c r="G61" i="25"/>
  <c r="G60" i="25"/>
  <c r="R60" i="25"/>
  <c r="K60" i="25" s="1"/>
  <c r="R56" i="25"/>
  <c r="K56" i="25" s="1"/>
  <c r="G56" i="25"/>
  <c r="R52" i="25"/>
  <c r="K52" i="25" s="1"/>
  <c r="G52" i="25"/>
  <c r="R58" i="25"/>
  <c r="K58" i="25" s="1"/>
  <c r="G58" i="25"/>
  <c r="R59" i="25"/>
  <c r="K59" i="25" s="1"/>
  <c r="G59" i="25"/>
  <c r="G265" i="25"/>
  <c r="R265" i="25"/>
  <c r="K265" i="25" s="1"/>
  <c r="G268" i="25"/>
  <c r="R268" i="25"/>
  <c r="K268" i="25" s="1"/>
  <c r="R269" i="25"/>
  <c r="K269" i="25" s="1"/>
  <c r="G269" i="25"/>
  <c r="R261" i="25"/>
  <c r="K261" i="25" s="1"/>
  <c r="G261" i="25"/>
  <c r="R260" i="25"/>
  <c r="G260" i="25"/>
  <c r="G270" i="25"/>
  <c r="R264" i="25"/>
  <c r="K264" i="25" s="1"/>
  <c r="G264" i="25"/>
  <c r="R263" i="25"/>
  <c r="K263" i="25" s="1"/>
  <c r="G263" i="25"/>
  <c r="R267" i="25"/>
  <c r="K267" i="25" s="1"/>
  <c r="G267" i="25"/>
  <c r="R262" i="25"/>
  <c r="K262" i="25" s="1"/>
  <c r="G262" i="25"/>
  <c r="G266" i="25"/>
  <c r="R266" i="25"/>
  <c r="K266" i="25" s="1"/>
  <c r="R345" i="25"/>
  <c r="K345" i="25" s="1"/>
  <c r="G345" i="25"/>
  <c r="R336" i="25"/>
  <c r="G346" i="25"/>
  <c r="G336" i="25"/>
  <c r="G340" i="25"/>
  <c r="R340" i="25"/>
  <c r="K340" i="25" s="1"/>
  <c r="R344" i="25"/>
  <c r="K344" i="25" s="1"/>
  <c r="G344" i="25"/>
  <c r="G337" i="25"/>
  <c r="R337" i="25"/>
  <c r="K337" i="25" s="1"/>
  <c r="R341" i="25"/>
  <c r="K341" i="25" s="1"/>
  <c r="G341" i="25"/>
  <c r="R339" i="25"/>
  <c r="K339" i="25" s="1"/>
  <c r="G339" i="25"/>
  <c r="R338" i="25"/>
  <c r="K338" i="25" s="1"/>
  <c r="G338" i="25"/>
  <c r="R342" i="25"/>
  <c r="K342" i="25" s="1"/>
  <c r="G342" i="25"/>
  <c r="G343" i="25"/>
  <c r="R343" i="25"/>
  <c r="K343" i="25" s="1"/>
  <c r="N640" i="25"/>
  <c r="M488" i="25"/>
  <c r="K488" i="25"/>
  <c r="K498" i="25"/>
  <c r="M742" i="25"/>
  <c r="M513" i="25"/>
  <c r="M701" i="25"/>
  <c r="M706" i="25"/>
  <c r="M609" i="25"/>
  <c r="M604" i="25"/>
  <c r="M623" i="25"/>
  <c r="M643" i="25"/>
  <c r="M546" i="25"/>
  <c r="M591" i="25"/>
  <c r="M475" i="25"/>
  <c r="M680" i="25"/>
  <c r="M489" i="25"/>
  <c r="M565" i="25"/>
  <c r="M531" i="25"/>
  <c r="M719" i="25"/>
  <c r="M75" i="25"/>
  <c r="M665" i="25"/>
  <c r="M678" i="25"/>
  <c r="K678" i="25"/>
  <c r="K688" i="25"/>
  <c r="M564" i="25"/>
  <c r="K564" i="25"/>
  <c r="K574" i="25"/>
  <c r="N697" i="25"/>
  <c r="M508" i="25"/>
  <c r="K640" i="25"/>
  <c r="K650" i="25"/>
  <c r="M647" i="25"/>
  <c r="M469" i="25"/>
  <c r="K479" i="25"/>
  <c r="K469" i="25"/>
  <c r="M473" i="25"/>
  <c r="M494" i="25"/>
  <c r="N526" i="25"/>
  <c r="M529" i="25"/>
  <c r="M722" i="25"/>
  <c r="M716" i="25"/>
  <c r="K716" i="25"/>
  <c r="K726" i="25"/>
  <c r="K80" i="25"/>
  <c r="K70" i="25"/>
  <c r="M74" i="25"/>
  <c r="M663" i="25"/>
  <c r="M738" i="25"/>
  <c r="M510" i="25"/>
  <c r="K507" i="25"/>
  <c r="K517" i="25"/>
  <c r="M703" i="25"/>
  <c r="K697" i="25"/>
  <c r="K707" i="25"/>
  <c r="M700" i="25"/>
  <c r="M622" i="25"/>
  <c r="M627" i="25"/>
  <c r="M545" i="25"/>
  <c r="K545" i="25"/>
  <c r="K555" i="25"/>
  <c r="M550" i="25"/>
  <c r="M584" i="25"/>
  <c r="M583" i="25"/>
  <c r="K583" i="25"/>
  <c r="K593" i="25"/>
  <c r="M474" i="25"/>
  <c r="M471" i="25"/>
  <c r="M687" i="25"/>
  <c r="M686" i="25"/>
  <c r="M490" i="25"/>
  <c r="M572" i="25"/>
  <c r="K526" i="25"/>
  <c r="K536" i="25"/>
  <c r="M530" i="25"/>
  <c r="M717" i="25"/>
  <c r="M76" i="25"/>
  <c r="M660" i="25"/>
  <c r="M659" i="25"/>
  <c r="K659" i="25"/>
  <c r="K669" i="25"/>
  <c r="M602" i="25"/>
  <c r="K612" i="25"/>
  <c r="K602" i="25"/>
  <c r="K735" i="25"/>
  <c r="K745" i="25"/>
  <c r="M514" i="25"/>
  <c r="M611" i="25"/>
  <c r="M607" i="25"/>
  <c r="M621" i="25"/>
  <c r="K621" i="25"/>
  <c r="K631" i="25"/>
  <c r="M552" i="25"/>
  <c r="M590" i="25"/>
  <c r="M470" i="25"/>
  <c r="M496" i="25"/>
  <c r="M535" i="25"/>
  <c r="M718" i="25"/>
  <c r="M78" i="25"/>
  <c r="M739" i="25"/>
  <c r="M516" i="25"/>
  <c r="M705" i="25"/>
  <c r="M625" i="25"/>
  <c r="M630" i="25"/>
  <c r="M586" i="25"/>
  <c r="M472" i="25"/>
  <c r="M682" i="25"/>
  <c r="M528" i="25"/>
  <c r="M720" i="25"/>
  <c r="M71" i="25"/>
  <c r="I2110" i="34"/>
  <c r="I2106" i="34"/>
  <c r="I494" i="26"/>
  <c r="I2246" i="34"/>
  <c r="J2656" i="34"/>
  <c r="I1906" i="34"/>
  <c r="I641" i="26"/>
  <c r="I2037" i="34"/>
  <c r="I719" i="26"/>
  <c r="I526" i="26"/>
  <c r="I2387" i="34"/>
  <c r="I2452" i="34"/>
  <c r="I1834" i="34"/>
  <c r="I2524" i="34"/>
  <c r="J241" i="34"/>
  <c r="I1904" i="34"/>
  <c r="I697" i="26"/>
  <c r="I545" i="26"/>
  <c r="I722" i="26"/>
  <c r="I2664" i="34"/>
  <c r="I531" i="26"/>
  <c r="I489" i="26"/>
  <c r="I2591" i="34"/>
  <c r="I721" i="26"/>
  <c r="I2182" i="34"/>
  <c r="I2593" i="34"/>
  <c r="I525" i="26"/>
  <c r="I2730" i="34"/>
  <c r="I2590" i="34"/>
  <c r="I2380" i="34"/>
  <c r="I2384" i="34"/>
  <c r="I2180" i="34"/>
  <c r="I1905" i="34"/>
  <c r="I486" i="26"/>
  <c r="I472" i="26"/>
  <c r="I680" i="26"/>
  <c r="I2661" i="34"/>
  <c r="I646" i="26"/>
  <c r="I676" i="26"/>
  <c r="I1693" i="34"/>
  <c r="I1970" i="34"/>
  <c r="I1832" i="34"/>
  <c r="I544" i="26"/>
  <c r="I2042" i="34"/>
  <c r="I2320" i="34"/>
  <c r="I2104" i="34"/>
  <c r="I1974" i="34"/>
  <c r="I2663" i="34"/>
  <c r="I247" i="34"/>
  <c r="I1899" i="34"/>
  <c r="I2173" i="34"/>
  <c r="I542" i="26"/>
  <c r="I549" i="26"/>
  <c r="I528" i="26"/>
  <c r="I640" i="26"/>
  <c r="J1828" i="34"/>
  <c r="I2243" i="34"/>
  <c r="I2660" i="34"/>
  <c r="I550" i="26"/>
  <c r="I248" i="34"/>
  <c r="I643" i="26"/>
  <c r="I1696" i="34"/>
  <c r="I2318" i="34"/>
  <c r="I2179" i="34"/>
  <c r="I2175" i="34"/>
  <c r="I2316" i="34"/>
  <c r="I2659" i="34"/>
  <c r="I2451" i="34"/>
  <c r="J523" i="26"/>
  <c r="I682" i="26"/>
  <c r="I642" i="26"/>
  <c r="I2592" i="34"/>
  <c r="I1765" i="34"/>
  <c r="I244" i="34"/>
  <c r="I684" i="26"/>
  <c r="I2454" i="34"/>
  <c r="I492" i="26"/>
  <c r="I756" i="26"/>
  <c r="I243" i="34"/>
  <c r="J1621" i="34"/>
  <c r="I475" i="26"/>
  <c r="I2111" i="34"/>
  <c r="I548" i="26"/>
  <c r="P116" i="25"/>
  <c r="I1902" i="34"/>
  <c r="P111" i="25"/>
  <c r="I1836" i="34"/>
  <c r="I2041" i="34"/>
  <c r="I245" i="34"/>
  <c r="I1833" i="34"/>
  <c r="I1829" i="34"/>
  <c r="I2112" i="34"/>
  <c r="I473" i="26"/>
  <c r="I1835" i="34"/>
  <c r="I2043" i="34"/>
  <c r="I717" i="26"/>
  <c r="I678" i="26"/>
  <c r="I2458" i="34"/>
  <c r="I586" i="34"/>
  <c r="I1699" i="34"/>
  <c r="I488" i="26"/>
  <c r="I2178" i="34"/>
  <c r="I1971" i="34"/>
  <c r="P113" i="25"/>
  <c r="I2520" i="34"/>
  <c r="I1691" i="34"/>
  <c r="I1763" i="34"/>
  <c r="I242" i="34"/>
  <c r="I1975" i="34"/>
  <c r="I1690" i="34"/>
  <c r="I2389" i="34"/>
  <c r="I468" i="26"/>
  <c r="I1972" i="34"/>
  <c r="I2519" i="34"/>
  <c r="I2040" i="34"/>
  <c r="I714" i="26"/>
  <c r="I2113" i="34"/>
  <c r="I2039" i="34"/>
  <c r="I2105" i="34"/>
  <c r="I2595" i="34"/>
  <c r="I1898" i="34"/>
  <c r="I1698" i="34"/>
  <c r="I1695" i="34"/>
  <c r="I639" i="26"/>
  <c r="I2453" i="34"/>
  <c r="P112" i="25"/>
  <c r="I644" i="26"/>
  <c r="I2038" i="34"/>
  <c r="I677" i="26"/>
  <c r="I1837" i="34"/>
  <c r="I1697" i="34"/>
  <c r="I713" i="26"/>
  <c r="P117" i="25"/>
  <c r="I2109" i="34"/>
  <c r="I527" i="26"/>
  <c r="I2526" i="34"/>
  <c r="I1766" i="34"/>
  <c r="P109" i="25"/>
  <c r="I524" i="26"/>
  <c r="I2108" i="34"/>
  <c r="I2385" i="34"/>
  <c r="I2250" i="34"/>
  <c r="I2044" i="34"/>
  <c r="I2596" i="34"/>
  <c r="I250" i="34"/>
  <c r="I681" i="26"/>
  <c r="I2174" i="34"/>
  <c r="I2177" i="34"/>
  <c r="I1973" i="34"/>
  <c r="J637" i="26"/>
  <c r="I547" i="26"/>
  <c r="I2242" i="34"/>
  <c r="I551" i="26"/>
  <c r="I2312" i="34"/>
  <c r="I490" i="26"/>
  <c r="P114" i="25"/>
  <c r="I1621" i="34"/>
  <c r="I718" i="26"/>
  <c r="I2317" i="34"/>
  <c r="I2314" i="34"/>
  <c r="I2588" i="34"/>
  <c r="I1900" i="34"/>
  <c r="I1768" i="34"/>
  <c r="I546" i="26"/>
  <c r="I699" i="26"/>
  <c r="I2388" i="34"/>
  <c r="I1761" i="34"/>
  <c r="I1759" i="34"/>
  <c r="I2523" i="34"/>
  <c r="J1897" i="34"/>
  <c r="I474" i="26"/>
  <c r="I2313" i="34"/>
  <c r="I679" i="26"/>
  <c r="I2449" i="34"/>
  <c r="I493" i="26"/>
  <c r="I703" i="26"/>
  <c r="I2319" i="34"/>
  <c r="I2594" i="34"/>
  <c r="I2176" i="34"/>
  <c r="I695" i="26"/>
  <c r="P110" i="25"/>
  <c r="I2381" i="34"/>
  <c r="I2525" i="34"/>
  <c r="P115" i="25"/>
  <c r="I698" i="26"/>
  <c r="I696" i="26"/>
  <c r="I246" i="34"/>
  <c r="I2107" i="34"/>
  <c r="I2456" i="34"/>
  <c r="I2247" i="34"/>
  <c r="I1831" i="34"/>
  <c r="I2658" i="34"/>
  <c r="I638" i="26"/>
  <c r="I2457" i="34"/>
  <c r="I701" i="26"/>
  <c r="I2382" i="34"/>
  <c r="I675" i="26"/>
  <c r="I1968" i="34"/>
  <c r="I1830" i="34"/>
  <c r="I1694" i="34"/>
  <c r="I645" i="26"/>
  <c r="I2589" i="34"/>
  <c r="I1969" i="34"/>
  <c r="I1903" i="34"/>
  <c r="I716" i="26"/>
  <c r="I2244" i="34"/>
  <c r="I467" i="26"/>
  <c r="I2383" i="34"/>
  <c r="I2181" i="34"/>
  <c r="I2665" i="34"/>
  <c r="I530" i="26"/>
  <c r="I485" i="26"/>
  <c r="I2450" i="34"/>
  <c r="I2245" i="34"/>
  <c r="J2311" i="34"/>
  <c r="I2522" i="34"/>
  <c r="I2662" i="34"/>
  <c r="I1966" i="34"/>
  <c r="I491" i="26"/>
  <c r="I532" i="26"/>
  <c r="P108" i="25"/>
  <c r="I1901" i="34"/>
  <c r="I529" i="26"/>
  <c r="J694" i="26"/>
  <c r="I2386" i="34"/>
  <c r="I715" i="26"/>
  <c r="I2455" i="34"/>
  <c r="I683" i="26"/>
  <c r="I543" i="26"/>
  <c r="I2315" i="34"/>
  <c r="I1692" i="34"/>
  <c r="I466" i="26"/>
  <c r="I469" i="26"/>
  <c r="I702" i="26"/>
  <c r="J2518" i="34"/>
  <c r="I1760" i="34"/>
  <c r="I249" i="34"/>
  <c r="I487" i="26"/>
  <c r="I2248" i="34"/>
  <c r="I2251" i="34"/>
  <c r="I2587" i="34"/>
  <c r="I2521" i="34"/>
  <c r="I720" i="26"/>
  <c r="I1767" i="34"/>
  <c r="I471" i="26"/>
  <c r="I2036" i="34"/>
  <c r="I2249" i="34"/>
  <c r="I2657" i="34"/>
  <c r="I1967" i="34"/>
  <c r="I470" i="26"/>
  <c r="I2527" i="34"/>
  <c r="I1762" i="34"/>
  <c r="I2035" i="34"/>
  <c r="I1764" i="34"/>
  <c r="I700" i="26"/>
  <c r="M455" i="25" l="1"/>
  <c r="N455" i="25" s="1"/>
  <c r="M459" i="25"/>
  <c r="N459" i="25" s="1"/>
  <c r="M453" i="25"/>
  <c r="N453" i="25" s="1"/>
  <c r="M451" i="25"/>
  <c r="N451" i="25" s="1"/>
  <c r="M458" i="25"/>
  <c r="N458" i="25" s="1"/>
  <c r="M452" i="25"/>
  <c r="N452" i="25" s="1"/>
  <c r="M457" i="25"/>
  <c r="N457" i="25" s="1"/>
  <c r="M456" i="25"/>
  <c r="N456" i="25" s="1"/>
  <c r="M454" i="25"/>
  <c r="N454" i="25" s="1"/>
  <c r="K450" i="25"/>
  <c r="K460" i="25"/>
  <c r="N759" i="25"/>
  <c r="M764" i="25" s="1"/>
  <c r="N742" i="25"/>
  <c r="N741" i="25"/>
  <c r="N743" i="25"/>
  <c r="N736" i="25"/>
  <c r="N740" i="25"/>
  <c r="N738" i="25"/>
  <c r="N739" i="25"/>
  <c r="N744" i="25"/>
  <c r="N737" i="25"/>
  <c r="N721" i="25"/>
  <c r="V721" i="25" s="1"/>
  <c r="N723" i="25"/>
  <c r="V723" i="25" s="1"/>
  <c r="N724" i="25"/>
  <c r="N698" i="25"/>
  <c r="V698" i="25" s="1"/>
  <c r="N702" i="25"/>
  <c r="V702" i="25" s="1"/>
  <c r="N704" i="25"/>
  <c r="V704" i="25" s="1"/>
  <c r="N684" i="25"/>
  <c r="V684" i="25" s="1"/>
  <c r="N683" i="25"/>
  <c r="V683" i="25" s="1"/>
  <c r="N679" i="25"/>
  <c r="V679" i="25" s="1"/>
  <c r="N681" i="25"/>
  <c r="V681" i="25" s="1"/>
  <c r="N665" i="25"/>
  <c r="N664" i="25"/>
  <c r="N668" i="25"/>
  <c r="N661" i="25"/>
  <c r="N667" i="25"/>
  <c r="N660" i="25"/>
  <c r="N666" i="25"/>
  <c r="N662" i="25"/>
  <c r="N659" i="25"/>
  <c r="V659" i="25" s="1"/>
  <c r="N663" i="25"/>
  <c r="N645" i="25"/>
  <c r="V645" i="25" s="1"/>
  <c r="N642" i="25"/>
  <c r="N646" i="25"/>
  <c r="V646" i="25" s="1"/>
  <c r="N641" i="25"/>
  <c r="V641" i="25" s="1"/>
  <c r="N649" i="25"/>
  <c r="V649" i="25" s="1"/>
  <c r="N644" i="25"/>
  <c r="V644" i="25" s="1"/>
  <c r="N625" i="25"/>
  <c r="N627" i="25"/>
  <c r="N621" i="25"/>
  <c r="V621" i="25" s="1"/>
  <c r="N622" i="25"/>
  <c r="N623" i="25"/>
  <c r="N628" i="25"/>
  <c r="N624" i="25"/>
  <c r="N630" i="25"/>
  <c r="N629" i="25"/>
  <c r="N626" i="25"/>
  <c r="N610" i="25"/>
  <c r="N607" i="25"/>
  <c r="N604" i="25"/>
  <c r="N609" i="25"/>
  <c r="N603" i="25"/>
  <c r="N608" i="25"/>
  <c r="N606" i="25"/>
  <c r="N602" i="25"/>
  <c r="N605" i="25"/>
  <c r="N611" i="25"/>
  <c r="N591" i="25"/>
  <c r="N587" i="25"/>
  <c r="N585" i="25"/>
  <c r="N584" i="25"/>
  <c r="N589" i="25"/>
  <c r="N592" i="25"/>
  <c r="N583" i="25"/>
  <c r="V583" i="25" s="1"/>
  <c r="N590" i="25"/>
  <c r="N588" i="25"/>
  <c r="N586" i="25"/>
  <c r="N570" i="25"/>
  <c r="N571" i="25"/>
  <c r="N566" i="25"/>
  <c r="N564" i="25"/>
  <c r="V564" i="25" s="1"/>
  <c r="N565" i="25"/>
  <c r="N573" i="25"/>
  <c r="N569" i="25"/>
  <c r="N572" i="25"/>
  <c r="N567" i="25"/>
  <c r="N568" i="25"/>
  <c r="N548" i="25"/>
  <c r="V548" i="25" s="1"/>
  <c r="N551" i="25"/>
  <c r="V551" i="25" s="1"/>
  <c r="N549" i="25"/>
  <c r="V549" i="25" s="1"/>
  <c r="N547" i="25"/>
  <c r="V547" i="25" s="1"/>
  <c r="N553" i="25"/>
  <c r="V553" i="25" s="1"/>
  <c r="N527" i="25"/>
  <c r="V527" i="25" s="1"/>
  <c r="N533" i="25"/>
  <c r="V533" i="25" s="1"/>
  <c r="N534" i="25"/>
  <c r="V534" i="25" s="1"/>
  <c r="N512" i="25"/>
  <c r="N516" i="25"/>
  <c r="N508" i="25"/>
  <c r="N510" i="25"/>
  <c r="N511" i="25"/>
  <c r="N509" i="25"/>
  <c r="N514" i="25"/>
  <c r="N513" i="25"/>
  <c r="N515" i="25"/>
  <c r="N493" i="25"/>
  <c r="V493" i="25" s="1"/>
  <c r="N495" i="25"/>
  <c r="V495" i="25" s="1"/>
  <c r="N491" i="25"/>
  <c r="V491" i="25" s="1"/>
  <c r="N492" i="25"/>
  <c r="N477" i="25"/>
  <c r="V477" i="25" s="1"/>
  <c r="N476" i="25"/>
  <c r="V476" i="25" s="1"/>
  <c r="N478" i="25"/>
  <c r="N165" i="25"/>
  <c r="V165" i="25" s="1"/>
  <c r="N79" i="25"/>
  <c r="N78" i="25"/>
  <c r="N75" i="25"/>
  <c r="N71" i="25"/>
  <c r="N72" i="25"/>
  <c r="N73" i="25"/>
  <c r="N76" i="25"/>
  <c r="N74" i="25"/>
  <c r="N77" i="25"/>
  <c r="M267" i="25"/>
  <c r="M154" i="25"/>
  <c r="M147" i="25"/>
  <c r="N725" i="25"/>
  <c r="M150" i="25"/>
  <c r="M155" i="25"/>
  <c r="M341" i="25"/>
  <c r="M94" i="25"/>
  <c r="M265" i="25"/>
  <c r="M52" i="25"/>
  <c r="M93" i="25"/>
  <c r="M263" i="25"/>
  <c r="M261" i="25"/>
  <c r="N554" i="25"/>
  <c r="M343" i="25"/>
  <c r="M340" i="25"/>
  <c r="M169" i="25"/>
  <c r="M98" i="25"/>
  <c r="N699" i="25"/>
  <c r="N648" i="25"/>
  <c r="M264" i="25"/>
  <c r="M59" i="25"/>
  <c r="M54" i="25"/>
  <c r="M153" i="25"/>
  <c r="N532" i="25"/>
  <c r="M56" i="25"/>
  <c r="M152" i="25"/>
  <c r="M171" i="25"/>
  <c r="M96" i="25"/>
  <c r="M344" i="25"/>
  <c r="M58" i="25"/>
  <c r="N685" i="25"/>
  <c r="N497" i="25"/>
  <c r="M60" i="25"/>
  <c r="M174" i="25"/>
  <c r="M90" i="25"/>
  <c r="M91" i="25"/>
  <c r="G108" i="25"/>
  <c r="R108" i="25"/>
  <c r="M108" i="25" s="1"/>
  <c r="G118" i="25"/>
  <c r="R112" i="25"/>
  <c r="K112" i="25" s="1"/>
  <c r="G112" i="25"/>
  <c r="R114" i="25"/>
  <c r="K114" i="25" s="1"/>
  <c r="G114" i="25"/>
  <c r="G111" i="25"/>
  <c r="R111" i="25"/>
  <c r="K111" i="25" s="1"/>
  <c r="R109" i="25"/>
  <c r="K109" i="25" s="1"/>
  <c r="G109" i="25"/>
  <c r="R117" i="25"/>
  <c r="K117" i="25" s="1"/>
  <c r="G117" i="25"/>
  <c r="R116" i="25"/>
  <c r="K116" i="25" s="1"/>
  <c r="G116" i="25"/>
  <c r="G110" i="25"/>
  <c r="R110" i="25"/>
  <c r="K110" i="25" s="1"/>
  <c r="G115" i="25"/>
  <c r="R115" i="25"/>
  <c r="K115" i="25" s="1"/>
  <c r="R113" i="25"/>
  <c r="K113" i="25" s="1"/>
  <c r="G113" i="25"/>
  <c r="N535" i="25"/>
  <c r="N472" i="25"/>
  <c r="N686" i="25"/>
  <c r="N550" i="25"/>
  <c r="V640" i="25"/>
  <c r="M337" i="25"/>
  <c r="M260" i="25"/>
  <c r="K270" i="25"/>
  <c r="K260" i="25"/>
  <c r="N687" i="25"/>
  <c r="N703" i="25"/>
  <c r="N716" i="25"/>
  <c r="V697" i="25"/>
  <c r="N489" i="25"/>
  <c r="K165" i="25"/>
  <c r="K175" i="25"/>
  <c r="N470" i="25"/>
  <c r="N717" i="25"/>
  <c r="N471" i="25"/>
  <c r="N722" i="25"/>
  <c r="N469" i="25"/>
  <c r="N680" i="25"/>
  <c r="N706" i="25"/>
  <c r="M339" i="25"/>
  <c r="M262" i="25"/>
  <c r="M55" i="25"/>
  <c r="K146" i="25"/>
  <c r="K156" i="25"/>
  <c r="M97" i="25"/>
  <c r="M89" i="25"/>
  <c r="K89" i="25"/>
  <c r="K99" i="25"/>
  <c r="N720" i="25"/>
  <c r="N552" i="25"/>
  <c r="N530" i="25"/>
  <c r="N474" i="25"/>
  <c r="N545" i="25"/>
  <c r="N529" i="25"/>
  <c r="N647" i="25"/>
  <c r="N475" i="25"/>
  <c r="N701" i="25"/>
  <c r="M336" i="25"/>
  <c r="K346" i="25"/>
  <c r="K336" i="25"/>
  <c r="M149" i="25"/>
  <c r="M148" i="25"/>
  <c r="M170" i="25"/>
  <c r="V526" i="25"/>
  <c r="N488" i="25"/>
  <c r="M342" i="25"/>
  <c r="M345" i="25"/>
  <c r="M269" i="25"/>
  <c r="M166" i="25"/>
  <c r="M168" i="25"/>
  <c r="N528" i="25"/>
  <c r="N705" i="25"/>
  <c r="N718" i="25"/>
  <c r="N494" i="25"/>
  <c r="N678" i="25"/>
  <c r="N546" i="25"/>
  <c r="M51" i="25"/>
  <c r="K61" i="25"/>
  <c r="K51" i="25"/>
  <c r="M53" i="25"/>
  <c r="M172" i="25"/>
  <c r="M95" i="25"/>
  <c r="N700" i="25"/>
  <c r="N719" i="25"/>
  <c r="N643" i="25"/>
  <c r="N682" i="25"/>
  <c r="N496" i="25"/>
  <c r="N490" i="25"/>
  <c r="N473" i="25"/>
  <c r="N531" i="25"/>
  <c r="M338" i="25"/>
  <c r="M266" i="25"/>
  <c r="M268" i="25"/>
  <c r="M57" i="25"/>
  <c r="M146" i="25"/>
  <c r="M151" i="25"/>
  <c r="M173" i="25"/>
  <c r="M167" i="25"/>
  <c r="M92" i="25"/>
  <c r="I312" i="34"/>
  <c r="J2457" i="34"/>
  <c r="J2662" i="34"/>
  <c r="J721" i="26"/>
  <c r="J2527" i="34"/>
  <c r="I1625" i="34"/>
  <c r="J1904" i="34"/>
  <c r="J247" i="34"/>
  <c r="J675" i="26"/>
  <c r="J2180" i="34"/>
  <c r="J2039" i="34"/>
  <c r="J680" i="26"/>
  <c r="J474" i="26"/>
  <c r="J1902" i="34"/>
  <c r="J1905" i="34"/>
  <c r="I1630" i="34"/>
  <c r="I517" i="34"/>
  <c r="I174" i="34"/>
  <c r="I931" i="34"/>
  <c r="I932" i="34"/>
  <c r="J2593" i="34"/>
  <c r="J646" i="26"/>
  <c r="J471" i="26"/>
  <c r="J544" i="26"/>
  <c r="J1831" i="34"/>
  <c r="J697" i="26"/>
  <c r="J2523" i="34"/>
  <c r="J1832" i="34"/>
  <c r="J1901" i="34"/>
  <c r="J2318" i="34"/>
  <c r="J2659" i="34"/>
  <c r="J250" i="34"/>
  <c r="J2242" i="34"/>
  <c r="J1837" i="34"/>
  <c r="J2657" i="34"/>
  <c r="I526" i="34"/>
  <c r="J246" i="34"/>
  <c r="J1765" i="34"/>
  <c r="I316" i="34"/>
  <c r="J2386" i="34"/>
  <c r="I1626" i="34"/>
  <c r="I379" i="34"/>
  <c r="J1973" i="34"/>
  <c r="J2320" i="34"/>
  <c r="J2454" i="34"/>
  <c r="J2665" i="34"/>
  <c r="J1899" i="34"/>
  <c r="J473" i="26"/>
  <c r="J2108" i="34"/>
  <c r="J1967" i="34"/>
  <c r="J1761" i="34"/>
  <c r="J2592" i="34"/>
  <c r="J1695" i="34"/>
  <c r="J1764" i="34"/>
  <c r="J2044" i="34"/>
  <c r="J2520" i="34"/>
  <c r="J644" i="26"/>
  <c r="J1767" i="34"/>
  <c r="I175" i="34"/>
  <c r="J2450" i="34"/>
  <c r="J2035" i="34"/>
  <c r="J716" i="26"/>
  <c r="I593" i="34"/>
  <c r="J641" i="26"/>
  <c r="I1208" i="34"/>
  <c r="J696" i="26"/>
  <c r="J1966" i="34"/>
  <c r="J2730" i="34"/>
  <c r="J2312" i="34"/>
  <c r="J489" i="26"/>
  <c r="J2591" i="34"/>
  <c r="J720" i="26"/>
  <c r="J683" i="26"/>
  <c r="J2526" i="34"/>
  <c r="I314" i="34"/>
  <c r="J1972" i="34"/>
  <c r="I522" i="34"/>
  <c r="J1906" i="34"/>
  <c r="J2251" i="34"/>
  <c r="J1623" i="34"/>
  <c r="I588" i="34"/>
  <c r="I1210" i="34"/>
  <c r="J722" i="26"/>
  <c r="J2112" i="34"/>
  <c r="J2594" i="34"/>
  <c r="J528" i="26"/>
  <c r="J2313" i="34"/>
  <c r="I520" i="34"/>
  <c r="J2179" i="34"/>
  <c r="I310" i="34"/>
  <c r="J2587" i="34"/>
  <c r="J488" i="26"/>
  <c r="J2458" i="34"/>
  <c r="I176" i="34"/>
  <c r="J2596" i="34"/>
  <c r="J676" i="26"/>
  <c r="J550" i="26"/>
  <c r="AW11" i="1"/>
  <c r="J1624" i="34"/>
  <c r="I1622" i="34"/>
  <c r="I523" i="34"/>
  <c r="J549" i="26"/>
  <c r="I935" i="34"/>
  <c r="J1697" i="34"/>
  <c r="J2660" i="34"/>
  <c r="I179" i="34"/>
  <c r="J677" i="26"/>
  <c r="I519" i="34"/>
  <c r="I1209" i="34"/>
  <c r="J2182" i="34"/>
  <c r="J2455" i="34"/>
  <c r="J1760" i="34"/>
  <c r="J2042" i="34"/>
  <c r="I1215" i="34"/>
  <c r="J2453" i="34"/>
  <c r="J543" i="26"/>
  <c r="J2522" i="34"/>
  <c r="J532" i="26"/>
  <c r="I938" i="34"/>
  <c r="J695" i="26"/>
  <c r="J244" i="34"/>
  <c r="J681" i="26"/>
  <c r="J490" i="26"/>
  <c r="I524" i="34"/>
  <c r="J2176" i="34"/>
  <c r="J1836" i="34"/>
  <c r="J485" i="26"/>
  <c r="J2037" i="34"/>
  <c r="I594" i="34"/>
  <c r="J643" i="26"/>
  <c r="I317" i="34"/>
  <c r="J715" i="26"/>
  <c r="J1698" i="34"/>
  <c r="J2663" i="34"/>
  <c r="J2664" i="34"/>
  <c r="I591" i="34"/>
  <c r="J546" i="26"/>
  <c r="I518" i="34"/>
  <c r="J1766" i="34"/>
  <c r="J2525" i="34"/>
  <c r="I1214" i="34"/>
  <c r="J2382" i="34"/>
  <c r="J2174" i="34"/>
  <c r="J2111" i="34"/>
  <c r="J2385" i="34"/>
  <c r="J2113" i="34"/>
  <c r="J699" i="26"/>
  <c r="J1691" i="34"/>
  <c r="J545" i="26"/>
  <c r="I1207" i="34"/>
  <c r="J2314" i="34"/>
  <c r="I319" i="34"/>
  <c r="J1969" i="34"/>
  <c r="J492" i="26"/>
  <c r="J756" i="26"/>
  <c r="J249" i="34"/>
  <c r="J487" i="26"/>
  <c r="I1629" i="34"/>
  <c r="J2388" i="34"/>
  <c r="J703" i="26"/>
  <c r="J1626" i="34"/>
  <c r="I936" i="34"/>
  <c r="J2317" i="34"/>
  <c r="J525" i="26"/>
  <c r="J1692" i="34"/>
  <c r="J2387" i="34"/>
  <c r="J1690" i="34"/>
  <c r="J466" i="26"/>
  <c r="J2589" i="34"/>
  <c r="J2452" i="34"/>
  <c r="J2519" i="34"/>
  <c r="J469" i="26"/>
  <c r="J2316" i="34"/>
  <c r="J2588" i="34"/>
  <c r="I173" i="34"/>
  <c r="J547" i="26"/>
  <c r="J2315" i="34"/>
  <c r="J2107" i="34"/>
  <c r="J2038" i="34"/>
  <c r="J1628" i="34"/>
  <c r="J1768" i="34"/>
  <c r="J548" i="26"/>
  <c r="J2244" i="34"/>
  <c r="J1975" i="34"/>
  <c r="J1630" i="34"/>
  <c r="J527" i="26"/>
  <c r="J698" i="26"/>
  <c r="J493" i="26"/>
  <c r="J2249" i="34"/>
  <c r="I525" i="34"/>
  <c r="J2104" i="34"/>
  <c r="J1763" i="34"/>
  <c r="I1213" i="34"/>
  <c r="J245" i="34"/>
  <c r="J1900" i="34"/>
  <c r="J2521" i="34"/>
  <c r="J1693" i="34"/>
  <c r="J679" i="26"/>
  <c r="J702" i="26"/>
  <c r="J2661" i="34"/>
  <c r="J2105" i="34"/>
  <c r="J2173" i="34"/>
  <c r="J2381" i="34"/>
  <c r="J2243" i="34"/>
  <c r="J2319" i="34"/>
  <c r="J1622" i="34"/>
  <c r="I592" i="34"/>
  <c r="J2389" i="34"/>
  <c r="I103" i="26"/>
  <c r="J1903" i="34"/>
  <c r="J2177" i="34"/>
  <c r="J638" i="26"/>
  <c r="J1629" i="34"/>
  <c r="J551" i="26"/>
  <c r="J2449" i="34"/>
  <c r="J2595" i="34"/>
  <c r="I313" i="34"/>
  <c r="J2380" i="34"/>
  <c r="J2106" i="34"/>
  <c r="J542" i="26"/>
  <c r="I318" i="34"/>
  <c r="J717" i="26"/>
  <c r="J524" i="26"/>
  <c r="J2181" i="34"/>
  <c r="I521" i="34"/>
  <c r="J1968" i="34"/>
  <c r="I933" i="34"/>
  <c r="I1624" i="34"/>
  <c r="J640" i="26"/>
  <c r="J713" i="26"/>
  <c r="J2247" i="34"/>
  <c r="J494" i="26"/>
  <c r="J684" i="26"/>
  <c r="J2036" i="34"/>
  <c r="I180" i="34"/>
  <c r="I587" i="34"/>
  <c r="J2110" i="34"/>
  <c r="I1212" i="34"/>
  <c r="J1834" i="34"/>
  <c r="I590" i="34"/>
  <c r="J2041" i="34"/>
  <c r="J529" i="26"/>
  <c r="J526" i="26"/>
  <c r="J1625" i="34"/>
  <c r="J491" i="26"/>
  <c r="I315" i="34"/>
  <c r="J2383" i="34"/>
  <c r="I934" i="34"/>
  <c r="J1829" i="34"/>
  <c r="J1696" i="34"/>
  <c r="J642" i="26"/>
  <c r="J714" i="26"/>
  <c r="AV11" i="1"/>
  <c r="J470" i="26"/>
  <c r="J645" i="26"/>
  <c r="J1835" i="34"/>
  <c r="I311" i="34"/>
  <c r="J2250" i="34"/>
  <c r="J718" i="26"/>
  <c r="I940" i="34"/>
  <c r="I172" i="34"/>
  <c r="I177" i="34"/>
  <c r="J678" i="26"/>
  <c r="I178" i="34"/>
  <c r="J2524" i="34"/>
  <c r="J475" i="26"/>
  <c r="J531" i="26"/>
  <c r="I181" i="34"/>
  <c r="J2384" i="34"/>
  <c r="J2245" i="34"/>
  <c r="J243" i="34"/>
  <c r="J2109" i="34"/>
  <c r="J1974" i="34"/>
  <c r="J1627" i="34"/>
  <c r="J486" i="26"/>
  <c r="I937" i="34"/>
  <c r="J586" i="34"/>
  <c r="J2456" i="34"/>
  <c r="J2451" i="34"/>
  <c r="I1627" i="34"/>
  <c r="J700" i="26"/>
  <c r="J2246" i="34"/>
  <c r="J1970" i="34"/>
  <c r="J1759" i="34"/>
  <c r="J530" i="26"/>
  <c r="J1833" i="34"/>
  <c r="J2040" i="34"/>
  <c r="J2043" i="34"/>
  <c r="J2590" i="34"/>
  <c r="J701" i="26"/>
  <c r="I1216" i="34"/>
  <c r="I1628" i="34"/>
  <c r="I1211" i="34"/>
  <c r="J248" i="34"/>
  <c r="J1830" i="34"/>
  <c r="J1699" i="34"/>
  <c r="J2658" i="34"/>
  <c r="J1694" i="34"/>
  <c r="J468" i="26"/>
  <c r="I589" i="34"/>
  <c r="J719" i="26"/>
  <c r="J682" i="26"/>
  <c r="J242" i="34"/>
  <c r="J1898" i="34"/>
  <c r="J1762" i="34"/>
  <c r="I1623" i="34"/>
  <c r="J2175" i="34"/>
  <c r="I595" i="34"/>
  <c r="J1971" i="34"/>
  <c r="J472" i="26"/>
  <c r="J2248" i="34"/>
  <c r="J2178" i="34"/>
  <c r="I939" i="34"/>
  <c r="L765" i="25" l="1"/>
  <c r="V759" i="25"/>
  <c r="V764" i="25" s="1"/>
  <c r="J2735" i="34"/>
  <c r="J761" i="26"/>
  <c r="L746" i="25"/>
  <c r="J2666" i="34"/>
  <c r="V739" i="25"/>
  <c r="V738" i="25"/>
  <c r="V743" i="25"/>
  <c r="V741" i="25"/>
  <c r="V737" i="25"/>
  <c r="V742" i="25"/>
  <c r="V740" i="25"/>
  <c r="V736" i="25"/>
  <c r="M745" i="25"/>
  <c r="V744" i="25"/>
  <c r="J2597" i="34"/>
  <c r="V724" i="25"/>
  <c r="V725" i="25"/>
  <c r="J2528" i="34"/>
  <c r="V699" i="25"/>
  <c r="J2459" i="34"/>
  <c r="V685" i="25"/>
  <c r="J2390" i="34"/>
  <c r="V662" i="25"/>
  <c r="V666" i="25"/>
  <c r="V660" i="25"/>
  <c r="M669" i="25"/>
  <c r="V663" i="25"/>
  <c r="V664" i="25"/>
  <c r="V667" i="25"/>
  <c r="L670" i="25"/>
  <c r="V661" i="25"/>
  <c r="V668" i="25"/>
  <c r="V665" i="25"/>
  <c r="J2321" i="34"/>
  <c r="V648" i="25"/>
  <c r="V642" i="25"/>
  <c r="J2252" i="34"/>
  <c r="V630" i="25"/>
  <c r="V624" i="25"/>
  <c r="V628" i="25"/>
  <c r="V623" i="25"/>
  <c r="V622" i="25"/>
  <c r="M631" i="25"/>
  <c r="L632" i="25"/>
  <c r="V626" i="25"/>
  <c r="V627" i="25"/>
  <c r="V629" i="25"/>
  <c r="V625" i="25"/>
  <c r="J2183" i="34"/>
  <c r="V606" i="25"/>
  <c r="V608" i="25"/>
  <c r="V603" i="25"/>
  <c r="V609" i="25"/>
  <c r="V611" i="25"/>
  <c r="V607" i="25"/>
  <c r="L613" i="25"/>
  <c r="M612" i="25"/>
  <c r="V602" i="25"/>
  <c r="V604" i="25"/>
  <c r="V605" i="25"/>
  <c r="V610" i="25"/>
  <c r="J2114" i="34"/>
  <c r="V590" i="25"/>
  <c r="V589" i="25"/>
  <c r="V584" i="25"/>
  <c r="L594" i="25"/>
  <c r="V592" i="25"/>
  <c r="M593" i="25"/>
  <c r="V585" i="25"/>
  <c r="V586" i="25"/>
  <c r="V587" i="25"/>
  <c r="V588" i="25"/>
  <c r="V591" i="25"/>
  <c r="J2045" i="34"/>
  <c r="V572" i="25"/>
  <c r="V569" i="25"/>
  <c r="V573" i="25"/>
  <c r="M574" i="25"/>
  <c r="V568" i="25"/>
  <c r="V571" i="25"/>
  <c r="L575" i="25"/>
  <c r="V565" i="25"/>
  <c r="V566" i="25"/>
  <c r="V567" i="25"/>
  <c r="V570" i="25"/>
  <c r="J1976" i="34"/>
  <c r="V554" i="25"/>
  <c r="J1907" i="34"/>
  <c r="V532" i="25"/>
  <c r="M517" i="25"/>
  <c r="J1838" i="34"/>
  <c r="V514" i="25"/>
  <c r="V511" i="25"/>
  <c r="V510" i="25"/>
  <c r="L518" i="25"/>
  <c r="V515" i="25"/>
  <c r="V512" i="25"/>
  <c r="V509" i="25"/>
  <c r="V508" i="25"/>
  <c r="V516" i="25"/>
  <c r="V513" i="25"/>
  <c r="J1769" i="34"/>
  <c r="V492" i="25"/>
  <c r="J1700" i="34"/>
  <c r="V470" i="25"/>
  <c r="V478" i="25"/>
  <c r="J1631" i="34"/>
  <c r="V457" i="25"/>
  <c r="V451" i="25"/>
  <c r="V453" i="25"/>
  <c r="V458" i="25"/>
  <c r="V452" i="25"/>
  <c r="L461" i="25"/>
  <c r="V459" i="25"/>
  <c r="V456" i="25"/>
  <c r="V454" i="25"/>
  <c r="M460" i="25"/>
  <c r="V455" i="25"/>
  <c r="N339" i="25"/>
  <c r="N336" i="25"/>
  <c r="V336" i="25" s="1"/>
  <c r="N340" i="25"/>
  <c r="N345" i="25"/>
  <c r="N344" i="25"/>
  <c r="N342" i="25"/>
  <c r="N338" i="25"/>
  <c r="N337" i="25"/>
  <c r="N343" i="25"/>
  <c r="N341" i="25"/>
  <c r="N261" i="25"/>
  <c r="N263" i="25"/>
  <c r="N265" i="25"/>
  <c r="N267" i="25"/>
  <c r="N266" i="25"/>
  <c r="N260" i="25"/>
  <c r="V260" i="25" s="1"/>
  <c r="N264" i="25"/>
  <c r="N262" i="25"/>
  <c r="N268" i="25"/>
  <c r="N269" i="25"/>
  <c r="N173" i="25"/>
  <c r="N166" i="25"/>
  <c r="N170" i="25"/>
  <c r="N171" i="25"/>
  <c r="N172" i="25"/>
  <c r="N174" i="25"/>
  <c r="N168" i="25"/>
  <c r="N169" i="25"/>
  <c r="N167" i="25"/>
  <c r="N151" i="25"/>
  <c r="N148" i="25"/>
  <c r="N146" i="25"/>
  <c r="V146" i="25" s="1"/>
  <c r="N149" i="25"/>
  <c r="N152" i="25"/>
  <c r="N147" i="25"/>
  <c r="N154" i="25"/>
  <c r="N155" i="25"/>
  <c r="N150" i="25"/>
  <c r="N153" i="25"/>
  <c r="L81" i="25"/>
  <c r="N108" i="25"/>
  <c r="N91" i="25"/>
  <c r="N93" i="25"/>
  <c r="N92" i="25"/>
  <c r="N97" i="25"/>
  <c r="N95" i="25"/>
  <c r="N96" i="25"/>
  <c r="M80" i="25"/>
  <c r="N90" i="25"/>
  <c r="N98" i="25"/>
  <c r="N89" i="25"/>
  <c r="N94" i="25"/>
  <c r="J251" i="34"/>
  <c r="V76" i="25"/>
  <c r="V72" i="25"/>
  <c r="V71" i="25"/>
  <c r="V75" i="25"/>
  <c r="V73" i="25"/>
  <c r="V78" i="25"/>
  <c r="V77" i="25"/>
  <c r="V79" i="25"/>
  <c r="V74" i="25"/>
  <c r="N54" i="25"/>
  <c r="N57" i="25"/>
  <c r="N55" i="25"/>
  <c r="N58" i="25"/>
  <c r="N59" i="25"/>
  <c r="N53" i="25"/>
  <c r="N60" i="25"/>
  <c r="N56" i="25"/>
  <c r="N52" i="25"/>
  <c r="N51" i="25"/>
  <c r="V51" i="25" s="1"/>
  <c r="M111" i="25"/>
  <c r="M117" i="25"/>
  <c r="M112" i="25"/>
  <c r="M109" i="25"/>
  <c r="K108" i="25"/>
  <c r="M113" i="25"/>
  <c r="M110" i="25"/>
  <c r="M536" i="25"/>
  <c r="M116" i="25"/>
  <c r="L537" i="25"/>
  <c r="M114" i="25"/>
  <c r="M115" i="25"/>
  <c r="K118" i="25"/>
  <c r="L708" i="25"/>
  <c r="V497" i="25"/>
  <c r="J533" i="26"/>
  <c r="J495" i="26"/>
  <c r="J723" i="26"/>
  <c r="J704" i="26"/>
  <c r="J685" i="26"/>
  <c r="J552" i="26"/>
  <c r="V682" i="25"/>
  <c r="V718" i="25"/>
  <c r="V643" i="25"/>
  <c r="V474" i="25"/>
  <c r="V706" i="25"/>
  <c r="V471" i="25"/>
  <c r="V686" i="25"/>
  <c r="V494" i="25"/>
  <c r="V701" i="25"/>
  <c r="V530" i="25"/>
  <c r="V680" i="25"/>
  <c r="V717" i="25"/>
  <c r="V719" i="25"/>
  <c r="V531" i="25"/>
  <c r="V528" i="25"/>
  <c r="V488" i="25"/>
  <c r="M498" i="25"/>
  <c r="L499" i="25"/>
  <c r="V475" i="25"/>
  <c r="V489" i="25"/>
  <c r="V716" i="25"/>
  <c r="L727" i="25"/>
  <c r="M726" i="25"/>
  <c r="V490" i="25"/>
  <c r="V546" i="25"/>
  <c r="V496" i="25"/>
  <c r="V700" i="25"/>
  <c r="H765" i="25"/>
  <c r="V535" i="25"/>
  <c r="V552" i="25"/>
  <c r="V703" i="25"/>
  <c r="V705" i="25"/>
  <c r="V647" i="25"/>
  <c r="V720" i="25"/>
  <c r="V469" i="25"/>
  <c r="M479" i="25"/>
  <c r="L480" i="25"/>
  <c r="B765" i="25"/>
  <c r="E765" i="25"/>
  <c r="V687" i="25"/>
  <c r="M650" i="25"/>
  <c r="V473" i="25"/>
  <c r="V529" i="25"/>
  <c r="V722" i="25"/>
  <c r="L651" i="25"/>
  <c r="V678" i="25"/>
  <c r="M688" i="25"/>
  <c r="L689" i="25"/>
  <c r="V545" i="25"/>
  <c r="M555" i="25"/>
  <c r="L556" i="25"/>
  <c r="M707" i="25"/>
  <c r="V550" i="25"/>
  <c r="V472" i="25"/>
  <c r="AY11" i="1"/>
  <c r="J765" i="25"/>
  <c r="N765" i="25"/>
  <c r="I382" i="34"/>
  <c r="J931" i="34"/>
  <c r="J173" i="34"/>
  <c r="C763" i="26"/>
  <c r="J517" i="34"/>
  <c r="J525" i="34"/>
  <c r="J591" i="34"/>
  <c r="AJ9" i="24"/>
  <c r="C497" i="26"/>
  <c r="J311" i="34"/>
  <c r="J1212" i="34"/>
  <c r="J379" i="34"/>
  <c r="J1207" i="34"/>
  <c r="J935" i="34"/>
  <c r="I386" i="34"/>
  <c r="J1211" i="34"/>
  <c r="J315" i="34"/>
  <c r="J319" i="34"/>
  <c r="J176" i="34"/>
  <c r="J318" i="34"/>
  <c r="AK9" i="24"/>
  <c r="J313" i="34"/>
  <c r="J317" i="34"/>
  <c r="J934" i="34"/>
  <c r="J1209" i="34"/>
  <c r="C706" i="26"/>
  <c r="I388" i="34"/>
  <c r="J590" i="34"/>
  <c r="J524" i="34"/>
  <c r="J932" i="34"/>
  <c r="J940" i="34"/>
  <c r="I384" i="34"/>
  <c r="J1208" i="34"/>
  <c r="AK29" i="24"/>
  <c r="J175" i="34"/>
  <c r="J310" i="34"/>
  <c r="J639" i="26"/>
  <c r="J519" i="34"/>
  <c r="J467" i="26"/>
  <c r="J181" i="34"/>
  <c r="J172" i="34"/>
  <c r="B764" i="26"/>
  <c r="J588" i="34"/>
  <c r="I385" i="34"/>
  <c r="J523" i="34"/>
  <c r="J1216" i="34"/>
  <c r="J936" i="34"/>
  <c r="J178" i="34"/>
  <c r="C649" i="26"/>
  <c r="J174" i="34"/>
  <c r="J938" i="34"/>
  <c r="I383" i="34"/>
  <c r="J518" i="34"/>
  <c r="I381" i="34"/>
  <c r="F764" i="26"/>
  <c r="J520" i="34"/>
  <c r="J592" i="34"/>
  <c r="C535" i="26"/>
  <c r="AJ30" i="24"/>
  <c r="J316" i="34"/>
  <c r="J933" i="34"/>
  <c r="AK33" i="27"/>
  <c r="J937" i="34"/>
  <c r="C687" i="26"/>
  <c r="J595" i="34"/>
  <c r="I387" i="34"/>
  <c r="C478" i="26"/>
  <c r="F763" i="26"/>
  <c r="J177" i="34"/>
  <c r="J939" i="34"/>
  <c r="C554" i="26"/>
  <c r="J180" i="34"/>
  <c r="J143" i="30"/>
  <c r="J179" i="34"/>
  <c r="J1210" i="34"/>
  <c r="J1214" i="34"/>
  <c r="J312" i="34"/>
  <c r="J1213" i="34"/>
  <c r="AJ29" i="24"/>
  <c r="N143" i="30"/>
  <c r="J521" i="34"/>
  <c r="J594" i="34"/>
  <c r="J593" i="34"/>
  <c r="AK30" i="24"/>
  <c r="C725" i="26"/>
  <c r="J1215" i="34"/>
  <c r="AK42" i="27"/>
  <c r="J522" i="34"/>
  <c r="J587" i="34"/>
  <c r="J314" i="34"/>
  <c r="AK35" i="27"/>
  <c r="J526" i="34"/>
  <c r="J589" i="34"/>
  <c r="I380" i="34"/>
  <c r="H537" i="25" l="1"/>
  <c r="H81" i="25"/>
  <c r="H575" i="25"/>
  <c r="H461" i="25"/>
  <c r="H746" i="25"/>
  <c r="H632" i="25"/>
  <c r="H518" i="25"/>
  <c r="H670" i="25"/>
  <c r="H613" i="25"/>
  <c r="D2764" i="34"/>
  <c r="D2766" i="34"/>
  <c r="F2766" i="34"/>
  <c r="G2764" i="34" s="1"/>
  <c r="H2764" i="34" s="1"/>
  <c r="E2766" i="34"/>
  <c r="V745" i="25"/>
  <c r="D2695" i="34"/>
  <c r="D2697" i="34"/>
  <c r="E2697" i="34"/>
  <c r="F2697" i="34"/>
  <c r="G2695" i="34" s="1"/>
  <c r="D2628" i="34"/>
  <c r="D2626" i="34"/>
  <c r="E2628" i="34"/>
  <c r="V669" i="25"/>
  <c r="E670" i="25" s="1"/>
  <c r="V631" i="25"/>
  <c r="B632" i="25" s="1"/>
  <c r="D2559" i="34"/>
  <c r="D2557" i="34"/>
  <c r="E2559" i="34"/>
  <c r="D2488" i="34"/>
  <c r="D2490" i="34"/>
  <c r="E2490" i="34"/>
  <c r="D2419" i="34"/>
  <c r="D2421" i="34"/>
  <c r="E2421" i="34"/>
  <c r="D2350" i="34"/>
  <c r="D2352" i="34"/>
  <c r="E2352" i="34"/>
  <c r="D2281" i="34"/>
  <c r="D2283" i="34"/>
  <c r="E2283" i="34"/>
  <c r="V612" i="25"/>
  <c r="V593" i="25"/>
  <c r="B594" i="25" s="1"/>
  <c r="D2214" i="34"/>
  <c r="D2212" i="34"/>
  <c r="E2214" i="34"/>
  <c r="V574" i="25"/>
  <c r="E575" i="25" s="1"/>
  <c r="H594" i="25"/>
  <c r="D2143" i="34"/>
  <c r="D2145" i="34"/>
  <c r="E2145" i="34"/>
  <c r="D2074" i="34"/>
  <c r="D2076" i="34"/>
  <c r="E2076" i="34"/>
  <c r="D2005" i="34"/>
  <c r="D2007" i="34"/>
  <c r="E2007" i="34"/>
  <c r="D1936" i="34"/>
  <c r="D1938" i="34"/>
  <c r="E1938" i="34"/>
  <c r="V517" i="25"/>
  <c r="D1867" i="34"/>
  <c r="D1869" i="34"/>
  <c r="E1869" i="34"/>
  <c r="D1798" i="34"/>
  <c r="D1800" i="34"/>
  <c r="E1800" i="34"/>
  <c r="D1729" i="34"/>
  <c r="D1731" i="34"/>
  <c r="E1731" i="34"/>
  <c r="V460" i="25"/>
  <c r="D1660" i="34"/>
  <c r="D1662" i="34"/>
  <c r="E1662" i="34"/>
  <c r="M346" i="25"/>
  <c r="J1217" i="34"/>
  <c r="V337" i="25"/>
  <c r="V338" i="25"/>
  <c r="V344" i="25"/>
  <c r="V341" i="25"/>
  <c r="L347" i="25"/>
  <c r="V342" i="25"/>
  <c r="V345" i="25"/>
  <c r="V340" i="25"/>
  <c r="V343" i="25"/>
  <c r="V339" i="25"/>
  <c r="J941" i="34"/>
  <c r="V262" i="25"/>
  <c r="M270" i="25"/>
  <c r="V267" i="25"/>
  <c r="V265" i="25"/>
  <c r="V269" i="25"/>
  <c r="V263" i="25"/>
  <c r="V264" i="25"/>
  <c r="V266" i="25"/>
  <c r="L271" i="25"/>
  <c r="V268" i="25"/>
  <c r="V261" i="25"/>
  <c r="J596" i="34"/>
  <c r="V174" i="25"/>
  <c r="V171" i="25"/>
  <c r="V166" i="25"/>
  <c r="V167" i="25"/>
  <c r="V173" i="25"/>
  <c r="V168" i="25"/>
  <c r="V172" i="25"/>
  <c r="L176" i="25"/>
  <c r="V170" i="25"/>
  <c r="M175" i="25"/>
  <c r="V169" i="25"/>
  <c r="J527" i="34"/>
  <c r="V155" i="25"/>
  <c r="V154" i="25"/>
  <c r="V147" i="25"/>
  <c r="M156" i="25"/>
  <c r="V149" i="25"/>
  <c r="L157" i="25"/>
  <c r="V153" i="25"/>
  <c r="V148" i="25"/>
  <c r="V152" i="25"/>
  <c r="V150" i="25"/>
  <c r="V151" i="25"/>
  <c r="M99" i="25"/>
  <c r="N116" i="25"/>
  <c r="N113" i="25"/>
  <c r="V89" i="25"/>
  <c r="N115" i="25"/>
  <c r="N109" i="25"/>
  <c r="N111" i="25"/>
  <c r="N110" i="25"/>
  <c r="V108" i="25"/>
  <c r="N114" i="25"/>
  <c r="N112" i="25"/>
  <c r="N117" i="25"/>
  <c r="J320" i="34"/>
  <c r="V90" i="25"/>
  <c r="V96" i="25"/>
  <c r="V95" i="25"/>
  <c r="V94" i="25"/>
  <c r="V92" i="25"/>
  <c r="V93" i="25"/>
  <c r="L100" i="25"/>
  <c r="V97" i="25"/>
  <c r="V98" i="25"/>
  <c r="V91" i="25"/>
  <c r="D280" i="34"/>
  <c r="D282" i="34"/>
  <c r="E282" i="34"/>
  <c r="V80" i="25"/>
  <c r="M61" i="25"/>
  <c r="J182" i="34"/>
  <c r="V56" i="25"/>
  <c r="V53" i="25"/>
  <c r="V59" i="25"/>
  <c r="L62" i="25"/>
  <c r="V58" i="25"/>
  <c r="V60" i="25"/>
  <c r="V55" i="25"/>
  <c r="V57" i="25"/>
  <c r="V52" i="25"/>
  <c r="V54" i="25"/>
  <c r="V650" i="25"/>
  <c r="B651" i="25" s="1"/>
  <c r="V536" i="25"/>
  <c r="E537" i="25" s="1"/>
  <c r="V707" i="25"/>
  <c r="B708" i="25" s="1"/>
  <c r="V479" i="25"/>
  <c r="B480" i="25" s="1"/>
  <c r="J476" i="26"/>
  <c r="AM30" i="24"/>
  <c r="J647" i="26"/>
  <c r="V498" i="25"/>
  <c r="V726" i="25"/>
  <c r="H708" i="25"/>
  <c r="V555" i="25"/>
  <c r="H651" i="25"/>
  <c r="H689" i="25"/>
  <c r="H556" i="25"/>
  <c r="V688" i="25"/>
  <c r="H480" i="25"/>
  <c r="H499" i="25"/>
  <c r="H727" i="25"/>
  <c r="N537" i="25"/>
  <c r="N518" i="25"/>
  <c r="N746" i="25"/>
  <c r="J708" i="25"/>
  <c r="J499" i="25"/>
  <c r="N634" i="28"/>
  <c r="N575" i="25"/>
  <c r="N515" i="28"/>
  <c r="J689" i="25"/>
  <c r="J746" i="25"/>
  <c r="J632" i="25"/>
  <c r="N632" i="25"/>
  <c r="N600" i="28"/>
  <c r="J537" i="25"/>
  <c r="N499" i="25"/>
  <c r="N556" i="25"/>
  <c r="N689" i="25"/>
  <c r="N613" i="25"/>
  <c r="J727" i="25"/>
  <c r="N670" i="25"/>
  <c r="N727" i="25"/>
  <c r="J575" i="25"/>
  <c r="N549" i="28"/>
  <c r="N481" i="28"/>
  <c r="J594" i="25"/>
  <c r="J670" i="25"/>
  <c r="J556" i="25"/>
  <c r="J518" i="25"/>
  <c r="N464" i="28"/>
  <c r="N594" i="25"/>
  <c r="J651" i="25"/>
  <c r="N708" i="25"/>
  <c r="J613" i="25"/>
  <c r="N651" i="25"/>
  <c r="N668" i="28"/>
  <c r="AJ8" i="24"/>
  <c r="AK8" i="24"/>
  <c r="AK34" i="27"/>
  <c r="B707" i="26"/>
  <c r="AJ13" i="24"/>
  <c r="J385" i="34"/>
  <c r="AK36" i="27"/>
  <c r="AJ36" i="27"/>
  <c r="J381" i="34"/>
  <c r="F725" i="26"/>
  <c r="AJ35" i="27"/>
  <c r="AJ29" i="27"/>
  <c r="B479" i="26"/>
  <c r="AK44" i="32"/>
  <c r="AJ30" i="27"/>
  <c r="J380" i="34"/>
  <c r="J382" i="34"/>
  <c r="AK31" i="27"/>
  <c r="AJ10" i="24"/>
  <c r="F535" i="26"/>
  <c r="F687" i="26"/>
  <c r="AK14" i="24"/>
  <c r="AK23" i="24"/>
  <c r="AJ31" i="27"/>
  <c r="I141" i="23"/>
  <c r="J387" i="34"/>
  <c r="AJ40" i="27"/>
  <c r="AJ38" i="27"/>
  <c r="F649" i="26"/>
  <c r="N480" i="25"/>
  <c r="AJ39" i="27"/>
  <c r="F706" i="26"/>
  <c r="AK40" i="27"/>
  <c r="J386" i="34"/>
  <c r="J437" i="29"/>
  <c r="AK38" i="27"/>
  <c r="AJ42" i="27"/>
  <c r="AK37" i="27"/>
  <c r="AJ43" i="27"/>
  <c r="J524" i="29"/>
  <c r="AJ14" i="24"/>
  <c r="I763" i="26"/>
  <c r="F554" i="26"/>
  <c r="AJ32" i="27"/>
  <c r="AK32" i="27"/>
  <c r="AK43" i="27"/>
  <c r="AK10" i="24"/>
  <c r="J383" i="34"/>
  <c r="F478" i="26"/>
  <c r="AK29" i="27"/>
  <c r="AJ34" i="27"/>
  <c r="AJ19" i="24"/>
  <c r="AJ44" i="27"/>
  <c r="AJ23" i="24"/>
  <c r="AJ33" i="27"/>
  <c r="J480" i="25"/>
  <c r="AK44" i="27"/>
  <c r="F497" i="26"/>
  <c r="AJ41" i="27"/>
  <c r="AJ37" i="27"/>
  <c r="AK39" i="27"/>
  <c r="J423" i="29"/>
  <c r="AK13" i="24"/>
  <c r="AK30" i="27"/>
  <c r="J384" i="34"/>
  <c r="W430" i="25"/>
  <c r="AK19" i="24"/>
  <c r="F536" i="26"/>
  <c r="B650" i="26"/>
  <c r="AX24" i="1"/>
  <c r="J388" i="34"/>
  <c r="AK41" i="27"/>
  <c r="N651" i="28" l="1"/>
  <c r="AM44" i="27"/>
  <c r="H176" i="25"/>
  <c r="H100" i="25"/>
  <c r="H157" i="25"/>
  <c r="H271" i="25"/>
  <c r="AM32" i="27"/>
  <c r="AM34" i="27"/>
  <c r="AM43" i="27"/>
  <c r="AM36" i="27"/>
  <c r="AM31" i="27"/>
  <c r="AM35" i="27"/>
  <c r="AM37" i="27"/>
  <c r="AM39" i="27"/>
  <c r="E632" i="25"/>
  <c r="B670" i="25"/>
  <c r="E746" i="25"/>
  <c r="B746" i="25"/>
  <c r="B575" i="25"/>
  <c r="E594" i="25"/>
  <c r="E613" i="25"/>
  <c r="B613" i="25"/>
  <c r="E518" i="25"/>
  <c r="B518" i="25"/>
  <c r="E461" i="25"/>
  <c r="B461" i="25"/>
  <c r="H347" i="25"/>
  <c r="V346" i="25"/>
  <c r="B347" i="25" s="1"/>
  <c r="D1246" i="34"/>
  <c r="D1248" i="34"/>
  <c r="E1248" i="34"/>
  <c r="V270" i="25"/>
  <c r="B271" i="25" s="1"/>
  <c r="D970" i="34"/>
  <c r="D972" i="34"/>
  <c r="E972" i="34"/>
  <c r="V156" i="25"/>
  <c r="E157" i="25" s="1"/>
  <c r="V175" i="25"/>
  <c r="D625" i="34"/>
  <c r="D627" i="34"/>
  <c r="E627" i="34"/>
  <c r="D556" i="34"/>
  <c r="D558" i="34"/>
  <c r="E558" i="34"/>
  <c r="J389" i="34"/>
  <c r="V116" i="25"/>
  <c r="V110" i="25"/>
  <c r="L119" i="25"/>
  <c r="V99" i="25"/>
  <c r="E100" i="25" s="1"/>
  <c r="V111" i="25"/>
  <c r="M118" i="25"/>
  <c r="V109" i="25"/>
  <c r="V112" i="25"/>
  <c r="V113" i="25"/>
  <c r="V114" i="25"/>
  <c r="V115" i="25"/>
  <c r="V117" i="25"/>
  <c r="D349" i="34"/>
  <c r="D351" i="34"/>
  <c r="E351" i="34"/>
  <c r="V61" i="25"/>
  <c r="E62" i="25" s="1"/>
  <c r="B81" i="25"/>
  <c r="E81" i="25"/>
  <c r="H62" i="25"/>
  <c r="D211" i="34"/>
  <c r="D213" i="34"/>
  <c r="E651" i="25"/>
  <c r="B537" i="25"/>
  <c r="E708" i="25"/>
  <c r="E480" i="25"/>
  <c r="AM40" i="27"/>
  <c r="J426" i="29"/>
  <c r="W441" i="25"/>
  <c r="AM38" i="27"/>
  <c r="J443" i="29"/>
  <c r="J528" i="29"/>
  <c r="AM30" i="27"/>
  <c r="AM29" i="27"/>
  <c r="AM42" i="27"/>
  <c r="AM41" i="27"/>
  <c r="AM33" i="27"/>
  <c r="E689" i="25"/>
  <c r="B689" i="25"/>
  <c r="E556" i="25"/>
  <c r="B556" i="25"/>
  <c r="E727" i="25"/>
  <c r="B727" i="25"/>
  <c r="E499" i="25"/>
  <c r="B499" i="25"/>
  <c r="N629" i="31"/>
  <c r="J447" i="28"/>
  <c r="N447" i="28"/>
  <c r="J600" i="28"/>
  <c r="J617" i="28"/>
  <c r="J549" i="28"/>
  <c r="J668" i="28"/>
  <c r="J651" i="28"/>
  <c r="J481" i="28"/>
  <c r="J515" i="28"/>
  <c r="J583" i="28"/>
  <c r="N617" i="28"/>
  <c r="N498" i="28"/>
  <c r="J566" i="28"/>
  <c r="J464" i="28"/>
  <c r="N566" i="28"/>
  <c r="J634" i="28"/>
  <c r="J498" i="28"/>
  <c r="N532" i="28"/>
  <c r="N583" i="28"/>
  <c r="J532" i="28"/>
  <c r="N534" i="30"/>
  <c r="J534" i="30"/>
  <c r="W354" i="25"/>
  <c r="P431" i="25"/>
  <c r="J430" i="28"/>
  <c r="AV24" i="1"/>
  <c r="I535" i="26"/>
  <c r="I497" i="26"/>
  <c r="N430" i="28"/>
  <c r="P432" i="25"/>
  <c r="I725" i="26"/>
  <c r="P434" i="25"/>
  <c r="I478" i="26"/>
  <c r="C106" i="26"/>
  <c r="J413" i="28"/>
  <c r="F498" i="26"/>
  <c r="B536" i="26"/>
  <c r="I649" i="26"/>
  <c r="B726" i="26"/>
  <c r="F555" i="26"/>
  <c r="B555" i="26"/>
  <c r="F726" i="26"/>
  <c r="AJ9" i="27"/>
  <c r="F688" i="26"/>
  <c r="B688" i="26"/>
  <c r="P436" i="25"/>
  <c r="P435" i="25"/>
  <c r="N413" i="28"/>
  <c r="P437" i="25"/>
  <c r="J510" i="29"/>
  <c r="J538" i="29"/>
  <c r="I554" i="26"/>
  <c r="I687" i="26"/>
  <c r="AJ44" i="32"/>
  <c r="I706" i="26"/>
  <c r="P439" i="25"/>
  <c r="B498" i="26"/>
  <c r="AJ11" i="24"/>
  <c r="J350" i="29"/>
  <c r="AK11" i="24"/>
  <c r="F707" i="26"/>
  <c r="F650" i="26"/>
  <c r="P433" i="25"/>
  <c r="P440" i="25"/>
  <c r="F479" i="26"/>
  <c r="P438" i="25"/>
  <c r="AM44" i="32" l="1"/>
  <c r="H119" i="25"/>
  <c r="AM9" i="27"/>
  <c r="B100" i="25"/>
  <c r="E347" i="25"/>
  <c r="E271" i="25"/>
  <c r="B157" i="25"/>
  <c r="E176" i="25"/>
  <c r="B176" i="25"/>
  <c r="D418" i="34"/>
  <c r="D420" i="34"/>
  <c r="E420" i="34"/>
  <c r="V118" i="25"/>
  <c r="B62" i="25"/>
  <c r="J545" i="29"/>
  <c r="J358" i="29"/>
  <c r="W365" i="25"/>
  <c r="J511" i="29"/>
  <c r="G434" i="25"/>
  <c r="R434" i="25"/>
  <c r="K434" i="25" s="1"/>
  <c r="G438" i="25"/>
  <c r="R438" i="25"/>
  <c r="K438" i="25" s="1"/>
  <c r="G439" i="25"/>
  <c r="R439" i="25"/>
  <c r="K439" i="25" s="1"/>
  <c r="R432" i="25"/>
  <c r="K432" i="25" s="1"/>
  <c r="G432" i="25"/>
  <c r="R440" i="25"/>
  <c r="K440" i="25" s="1"/>
  <c r="G440" i="25"/>
  <c r="G431" i="25"/>
  <c r="G441" i="25"/>
  <c r="R431" i="25"/>
  <c r="K431" i="25" s="1"/>
  <c r="R433" i="25"/>
  <c r="K433" i="25" s="1"/>
  <c r="G433" i="25"/>
  <c r="G437" i="25"/>
  <c r="R437" i="25"/>
  <c r="K437" i="25" s="1"/>
  <c r="R436" i="25"/>
  <c r="K436" i="25" s="1"/>
  <c r="G436" i="25"/>
  <c r="G435" i="25"/>
  <c r="R435" i="25"/>
  <c r="K435" i="25" s="1"/>
  <c r="AY24" i="1"/>
  <c r="J629" i="31"/>
  <c r="J508" i="26"/>
  <c r="J73" i="28"/>
  <c r="J507" i="26"/>
  <c r="I581" i="29"/>
  <c r="I506" i="26"/>
  <c r="I509" i="26"/>
  <c r="I547" i="29"/>
  <c r="J512" i="26"/>
  <c r="P356" i="25"/>
  <c r="J442" i="30"/>
  <c r="J510" i="26"/>
  <c r="P363" i="25"/>
  <c r="I504" i="26"/>
  <c r="J511" i="26"/>
  <c r="I530" i="29"/>
  <c r="I411" i="29"/>
  <c r="I508" i="26"/>
  <c r="J506" i="26"/>
  <c r="P359" i="25"/>
  <c r="P355" i="25"/>
  <c r="J509" i="26"/>
  <c r="I512" i="26"/>
  <c r="P362" i="25"/>
  <c r="J504" i="26"/>
  <c r="I532" i="23"/>
  <c r="P364" i="25"/>
  <c r="P358" i="25"/>
  <c r="I510" i="26"/>
  <c r="J513" i="26"/>
  <c r="I511" i="26"/>
  <c r="I513" i="26"/>
  <c r="AX17" i="1"/>
  <c r="I598" i="29"/>
  <c r="I496" i="29"/>
  <c r="P360" i="25"/>
  <c r="J505" i="26"/>
  <c r="P361" i="25"/>
  <c r="P357" i="25"/>
  <c r="I505" i="26"/>
  <c r="I507" i="26"/>
  <c r="B119" i="25" l="1"/>
  <c r="E119" i="25"/>
  <c r="M435" i="25"/>
  <c r="M439" i="25"/>
  <c r="M431" i="25"/>
  <c r="M432" i="25"/>
  <c r="M438" i="25"/>
  <c r="M433" i="25"/>
  <c r="M434" i="25"/>
  <c r="M436" i="25"/>
  <c r="R364" i="25"/>
  <c r="K364" i="25" s="1"/>
  <c r="G364" i="25"/>
  <c r="R358" i="25"/>
  <c r="K358" i="25" s="1"/>
  <c r="G358" i="25"/>
  <c r="G363" i="25"/>
  <c r="R363" i="25"/>
  <c r="K363" i="25" s="1"/>
  <c r="R356" i="25"/>
  <c r="K356" i="25" s="1"/>
  <c r="G356" i="25"/>
  <c r="R357" i="25"/>
  <c r="K357" i="25" s="1"/>
  <c r="G357" i="25"/>
  <c r="R360" i="25"/>
  <c r="K360" i="25" s="1"/>
  <c r="G360" i="25"/>
  <c r="G361" i="25"/>
  <c r="R361" i="25"/>
  <c r="K361" i="25" s="1"/>
  <c r="R355" i="25"/>
  <c r="M355" i="25" s="1"/>
  <c r="G365" i="25"/>
  <c r="G355" i="25"/>
  <c r="R362" i="25"/>
  <c r="K362" i="25" s="1"/>
  <c r="G362" i="25"/>
  <c r="G359" i="25"/>
  <c r="R359" i="25"/>
  <c r="K359" i="25" s="1"/>
  <c r="M437" i="25"/>
  <c r="M440" i="25"/>
  <c r="K441" i="25"/>
  <c r="J514" i="26"/>
  <c r="I627" i="33"/>
  <c r="F517" i="26"/>
  <c r="I1554" i="34"/>
  <c r="I1552" i="34"/>
  <c r="I1559" i="34"/>
  <c r="AV17" i="1"/>
  <c r="I1557" i="34"/>
  <c r="I1560" i="34"/>
  <c r="I440" i="23"/>
  <c r="I1555" i="34"/>
  <c r="I1556" i="34"/>
  <c r="W221" i="25"/>
  <c r="F516" i="26"/>
  <c r="C516" i="26"/>
  <c r="I1553" i="34"/>
  <c r="AW17" i="1"/>
  <c r="I1558" i="34"/>
  <c r="I1561" i="34"/>
  <c r="I1276" i="34"/>
  <c r="I71" i="29"/>
  <c r="N440" i="25" l="1"/>
  <c r="N438" i="25"/>
  <c r="N432" i="25"/>
  <c r="N431" i="25"/>
  <c r="N439" i="25"/>
  <c r="N436" i="25"/>
  <c r="N434" i="25"/>
  <c r="N437" i="25"/>
  <c r="N433" i="25"/>
  <c r="N435" i="25"/>
  <c r="N355" i="25"/>
  <c r="M362" i="25"/>
  <c r="M357" i="25"/>
  <c r="M359" i="25"/>
  <c r="M358" i="25"/>
  <c r="M364" i="25"/>
  <c r="M363" i="25"/>
  <c r="M360" i="25"/>
  <c r="M361" i="25"/>
  <c r="W232" i="25"/>
  <c r="M356" i="25"/>
  <c r="K365" i="25"/>
  <c r="K355" i="25"/>
  <c r="AY17" i="1"/>
  <c r="J618" i="26"/>
  <c r="J624" i="26"/>
  <c r="J627" i="26"/>
  <c r="P228" i="25"/>
  <c r="J281" i="30"/>
  <c r="I1279" i="34"/>
  <c r="I621" i="26"/>
  <c r="J623" i="26"/>
  <c r="J1553" i="34"/>
  <c r="I1284" i="34"/>
  <c r="C399" i="26"/>
  <c r="J1555" i="34"/>
  <c r="I620" i="26"/>
  <c r="J1559" i="34"/>
  <c r="I626" i="26"/>
  <c r="I1281" i="34"/>
  <c r="P229" i="25"/>
  <c r="J1556" i="34"/>
  <c r="I1283" i="34"/>
  <c r="P226" i="25"/>
  <c r="J619" i="26"/>
  <c r="I622" i="26"/>
  <c r="P225" i="25"/>
  <c r="I1277" i="34"/>
  <c r="I627" i="26"/>
  <c r="P222" i="25"/>
  <c r="J621" i="26"/>
  <c r="P227" i="25"/>
  <c r="J626" i="26"/>
  <c r="P231" i="25"/>
  <c r="J1557" i="34"/>
  <c r="I1280" i="34"/>
  <c r="I516" i="26"/>
  <c r="I618" i="26"/>
  <c r="J1554" i="34"/>
  <c r="I1285" i="34"/>
  <c r="P230" i="25"/>
  <c r="J1558" i="34"/>
  <c r="J622" i="26"/>
  <c r="J1560" i="34"/>
  <c r="J1552" i="34"/>
  <c r="I1278" i="34"/>
  <c r="J625" i="26"/>
  <c r="J1276" i="34"/>
  <c r="J1561" i="34"/>
  <c r="I623" i="26"/>
  <c r="J620" i="26"/>
  <c r="I1282" i="34"/>
  <c r="I625" i="26"/>
  <c r="N281" i="30"/>
  <c r="P223" i="25"/>
  <c r="I624" i="26"/>
  <c r="B517" i="26"/>
  <c r="P224" i="25"/>
  <c r="I619" i="26"/>
  <c r="AJ13" i="27"/>
  <c r="J1562" i="34" l="1"/>
  <c r="V435" i="25"/>
  <c r="M441" i="25"/>
  <c r="V433" i="25"/>
  <c r="V440" i="25"/>
  <c r="V436" i="25"/>
  <c r="V439" i="25"/>
  <c r="V431" i="25"/>
  <c r="V438" i="25"/>
  <c r="L442" i="25"/>
  <c r="V437" i="25"/>
  <c r="V434" i="25"/>
  <c r="V432" i="25"/>
  <c r="N360" i="25"/>
  <c r="N363" i="25"/>
  <c r="N364" i="25"/>
  <c r="N356" i="25"/>
  <c r="N362" i="25"/>
  <c r="N358" i="25"/>
  <c r="N359" i="25"/>
  <c r="N357" i="25"/>
  <c r="N361" i="25"/>
  <c r="V355" i="25"/>
  <c r="R226" i="25"/>
  <c r="K226" i="25" s="1"/>
  <c r="G226" i="25"/>
  <c r="G231" i="25"/>
  <c r="R231" i="25"/>
  <c r="K231" i="25" s="1"/>
  <c r="G223" i="25"/>
  <c r="R223" i="25"/>
  <c r="K223" i="25" s="1"/>
  <c r="G228" i="25"/>
  <c r="R228" i="25"/>
  <c r="K228" i="25" s="1"/>
  <c r="R225" i="25"/>
  <c r="K225" i="25" s="1"/>
  <c r="G225" i="25"/>
  <c r="G227" i="25"/>
  <c r="R227" i="25"/>
  <c r="K227" i="25" s="1"/>
  <c r="R229" i="25"/>
  <c r="K229" i="25" s="1"/>
  <c r="G229" i="25"/>
  <c r="G232" i="25"/>
  <c r="R222" i="25"/>
  <c r="M222" i="25" s="1"/>
  <c r="G222" i="25"/>
  <c r="G224" i="25"/>
  <c r="R224" i="25"/>
  <c r="K224" i="25" s="1"/>
  <c r="G230" i="25"/>
  <c r="R230" i="25"/>
  <c r="K230" i="25" s="1"/>
  <c r="AM13" i="27"/>
  <c r="J628" i="26"/>
  <c r="I739" i="26"/>
  <c r="J141" i="28"/>
  <c r="J1284" i="34"/>
  <c r="J1281" i="34"/>
  <c r="J1278" i="34"/>
  <c r="J1277" i="34"/>
  <c r="J738" i="26"/>
  <c r="J733" i="26"/>
  <c r="F631" i="26"/>
  <c r="I793" i="34"/>
  <c r="J736" i="26"/>
  <c r="I738" i="26"/>
  <c r="J737" i="26"/>
  <c r="I732" i="26"/>
  <c r="I740" i="26"/>
  <c r="B631" i="26"/>
  <c r="J735" i="26"/>
  <c r="J741" i="26"/>
  <c r="I733" i="26"/>
  <c r="C630" i="26"/>
  <c r="F630" i="26"/>
  <c r="J739" i="26"/>
  <c r="J732" i="26"/>
  <c r="I630" i="26"/>
  <c r="I735" i="26"/>
  <c r="J1280" i="34"/>
  <c r="J1279" i="34"/>
  <c r="I479" i="29"/>
  <c r="J740" i="26"/>
  <c r="I279" i="23"/>
  <c r="J1285" i="34"/>
  <c r="I737" i="26"/>
  <c r="J734" i="26"/>
  <c r="I734" i="26"/>
  <c r="C330" i="26"/>
  <c r="I736" i="26"/>
  <c r="C331" i="26"/>
  <c r="J1282" i="34"/>
  <c r="I741" i="26"/>
  <c r="AK28" i="24"/>
  <c r="AJ28" i="24"/>
  <c r="J1283" i="34"/>
  <c r="H442" i="25" l="1"/>
  <c r="V441" i="25"/>
  <c r="D1591" i="34"/>
  <c r="D1593" i="34"/>
  <c r="E1593" i="34"/>
  <c r="J1286" i="34"/>
  <c r="V359" i="25"/>
  <c r="V362" i="25"/>
  <c r="V356" i="25"/>
  <c r="V363" i="25"/>
  <c r="V361" i="25"/>
  <c r="V360" i="25"/>
  <c r="L366" i="25"/>
  <c r="V358" i="25"/>
  <c r="M365" i="25"/>
  <c r="V364" i="25"/>
  <c r="V357" i="25"/>
  <c r="N222" i="25"/>
  <c r="M226" i="25"/>
  <c r="M231" i="25"/>
  <c r="M224" i="25"/>
  <c r="K222" i="25"/>
  <c r="M228" i="25"/>
  <c r="M225" i="25"/>
  <c r="M223" i="25"/>
  <c r="K232" i="25"/>
  <c r="M230" i="25"/>
  <c r="M227" i="25"/>
  <c r="M229" i="25"/>
  <c r="J742" i="26"/>
  <c r="I797" i="34"/>
  <c r="I744" i="26"/>
  <c r="C744" i="26"/>
  <c r="I795" i="34"/>
  <c r="AJ24" i="24"/>
  <c r="I796" i="34"/>
  <c r="F744" i="26"/>
  <c r="I801" i="34"/>
  <c r="I799" i="34"/>
  <c r="I139" i="29"/>
  <c r="I802" i="34"/>
  <c r="I800" i="34"/>
  <c r="AK24" i="24"/>
  <c r="F745" i="26"/>
  <c r="I798" i="34"/>
  <c r="AJ28" i="27"/>
  <c r="J793" i="34"/>
  <c r="I794" i="34"/>
  <c r="AM28" i="27" l="1"/>
  <c r="E442" i="25"/>
  <c r="B442" i="25"/>
  <c r="H366" i="25"/>
  <c r="V365" i="25"/>
  <c r="D1315" i="34"/>
  <c r="D1317" i="34"/>
  <c r="E1317" i="34"/>
  <c r="N228" i="25"/>
  <c r="N227" i="25"/>
  <c r="N223" i="25"/>
  <c r="N229" i="25"/>
  <c r="N224" i="25"/>
  <c r="N231" i="25"/>
  <c r="N230" i="25"/>
  <c r="N226" i="25"/>
  <c r="N225" i="25"/>
  <c r="V222" i="25"/>
  <c r="J599" i="26"/>
  <c r="J606" i="26"/>
  <c r="J603" i="26"/>
  <c r="J794" i="34"/>
  <c r="J605" i="26"/>
  <c r="I605" i="26"/>
  <c r="I607" i="26"/>
  <c r="B745" i="26"/>
  <c r="J600" i="26"/>
  <c r="I601" i="26"/>
  <c r="J799" i="34"/>
  <c r="I600" i="26"/>
  <c r="I602" i="26"/>
  <c r="J607" i="26"/>
  <c r="I564" i="29"/>
  <c r="J604" i="26"/>
  <c r="J798" i="34"/>
  <c r="J801" i="34"/>
  <c r="J797" i="34"/>
  <c r="J601" i="26"/>
  <c r="I599" i="26"/>
  <c r="J602" i="26"/>
  <c r="I608" i="26"/>
  <c r="J796" i="34"/>
  <c r="J795" i="34"/>
  <c r="J396" i="28"/>
  <c r="J800" i="34"/>
  <c r="J608" i="26"/>
  <c r="I603" i="26"/>
  <c r="I606" i="26"/>
  <c r="J802" i="34"/>
  <c r="I604" i="26"/>
  <c r="B366" i="25" l="1"/>
  <c r="E366" i="25"/>
  <c r="J803" i="34"/>
  <c r="V230" i="25"/>
  <c r="V231" i="25"/>
  <c r="M232" i="25"/>
  <c r="V224" i="25"/>
  <c r="L233" i="25"/>
  <c r="V229" i="25"/>
  <c r="V223" i="25"/>
  <c r="V227" i="25"/>
  <c r="V225" i="25"/>
  <c r="V228" i="25"/>
  <c r="V226" i="25"/>
  <c r="J609" i="26"/>
  <c r="J580" i="26"/>
  <c r="C611" i="26"/>
  <c r="AJ17" i="24"/>
  <c r="I394" i="29"/>
  <c r="I649" i="29"/>
  <c r="B612" i="26"/>
  <c r="AK17" i="24"/>
  <c r="F611" i="26"/>
  <c r="AX16" i="1"/>
  <c r="F612" i="26"/>
  <c r="I580" i="26"/>
  <c r="I611" i="26"/>
  <c r="V232" i="25" l="1"/>
  <c r="E233" i="25" s="1"/>
  <c r="H233" i="25"/>
  <c r="D832" i="34"/>
  <c r="D834" i="34"/>
  <c r="E834" i="34"/>
  <c r="AM24" i="24"/>
  <c r="J665" i="26"/>
  <c r="I660" i="26"/>
  <c r="I668" i="26"/>
  <c r="W202" i="25"/>
  <c r="C668" i="26"/>
  <c r="J659" i="26"/>
  <c r="AL24" i="24"/>
  <c r="I561" i="26"/>
  <c r="N51" i="30"/>
  <c r="AV20" i="1"/>
  <c r="AJ10" i="27"/>
  <c r="I358" i="26"/>
  <c r="I569" i="26"/>
  <c r="J663" i="26"/>
  <c r="I352" i="26"/>
  <c r="I657" i="26"/>
  <c r="J355" i="26"/>
  <c r="J359" i="26"/>
  <c r="A34" i="29"/>
  <c r="J584" i="26"/>
  <c r="J657" i="26"/>
  <c r="J585" i="26"/>
  <c r="J566" i="26"/>
  <c r="F592" i="26"/>
  <c r="J589" i="26"/>
  <c r="I355" i="26"/>
  <c r="AX18" i="1"/>
  <c r="I583" i="26"/>
  <c r="AX22" i="1"/>
  <c r="J354" i="26"/>
  <c r="I658" i="26"/>
  <c r="J661" i="26"/>
  <c r="AJ23" i="27"/>
  <c r="J568" i="26"/>
  <c r="C295" i="26"/>
  <c r="I255" i="26"/>
  <c r="F669" i="26"/>
  <c r="F668" i="26"/>
  <c r="I592" i="26"/>
  <c r="J581" i="26"/>
  <c r="I615" i="29"/>
  <c r="J353" i="26"/>
  <c r="J587" i="26"/>
  <c r="I573" i="26"/>
  <c r="I581" i="26"/>
  <c r="J366" i="25"/>
  <c r="J662" i="26"/>
  <c r="I570" i="26"/>
  <c r="J562" i="26"/>
  <c r="I361" i="26"/>
  <c r="B669" i="26"/>
  <c r="J561" i="26"/>
  <c r="I445" i="29"/>
  <c r="I585" i="26"/>
  <c r="B574" i="26"/>
  <c r="I428" i="29"/>
  <c r="AV12" i="1"/>
  <c r="AW15" i="1"/>
  <c r="J586" i="26"/>
  <c r="AW12" i="1"/>
  <c r="I565" i="26"/>
  <c r="AW16" i="1"/>
  <c r="I513" i="29"/>
  <c r="AW25" i="1"/>
  <c r="I353" i="26"/>
  <c r="I589" i="26"/>
  <c r="AX21" i="1"/>
  <c r="I582" i="26"/>
  <c r="I587" i="26"/>
  <c r="C227" i="26"/>
  <c r="J357" i="26"/>
  <c r="AV18" i="1"/>
  <c r="I359" i="26"/>
  <c r="I562" i="26"/>
  <c r="I661" i="26"/>
  <c r="AX20" i="1"/>
  <c r="J570" i="26"/>
  <c r="I586" i="26"/>
  <c r="J664" i="26"/>
  <c r="J660" i="26"/>
  <c r="F573" i="26"/>
  <c r="I563" i="26"/>
  <c r="J567" i="26"/>
  <c r="J356" i="26"/>
  <c r="J582" i="26"/>
  <c r="I564" i="26"/>
  <c r="I357" i="26"/>
  <c r="C278" i="26"/>
  <c r="I664" i="26"/>
  <c r="I662" i="26"/>
  <c r="I356" i="26"/>
  <c r="AV15" i="1"/>
  <c r="F574" i="26"/>
  <c r="F593" i="26"/>
  <c r="AV22" i="1"/>
  <c r="J51" i="30"/>
  <c r="J658" i="26"/>
  <c r="J583" i="26"/>
  <c r="J358" i="26"/>
  <c r="I122" i="26"/>
  <c r="J361" i="26"/>
  <c r="I274" i="26"/>
  <c r="I665" i="26"/>
  <c r="AW21" i="1"/>
  <c r="AV25" i="1"/>
  <c r="AW20" i="1"/>
  <c r="J656" i="26"/>
  <c r="I566" i="26"/>
  <c r="J352" i="26"/>
  <c r="J564" i="26"/>
  <c r="I588" i="26"/>
  <c r="J360" i="26"/>
  <c r="AW22" i="1"/>
  <c r="AX15" i="1"/>
  <c r="J565" i="26"/>
  <c r="J569" i="26"/>
  <c r="AV16" i="1"/>
  <c r="AJ8" i="27"/>
  <c r="B593" i="26"/>
  <c r="I360" i="26"/>
  <c r="C573" i="26"/>
  <c r="I659" i="26"/>
  <c r="I568" i="26"/>
  <c r="AX12" i="1"/>
  <c r="I632" i="29"/>
  <c r="J588" i="26"/>
  <c r="I663" i="26"/>
  <c r="AL29" i="24"/>
  <c r="I584" i="26"/>
  <c r="J563" i="26"/>
  <c r="AW18" i="1"/>
  <c r="I656" i="26"/>
  <c r="I293" i="26"/>
  <c r="C592" i="26"/>
  <c r="AX25" i="1"/>
  <c r="AV21" i="1"/>
  <c r="I567" i="26"/>
  <c r="C261" i="26"/>
  <c r="I462" i="29"/>
  <c r="I354" i="26"/>
  <c r="B233" i="25" l="1"/>
  <c r="AM8" i="27"/>
  <c r="AM10" i="27"/>
  <c r="AM23" i="27"/>
  <c r="AY12" i="1"/>
  <c r="AY22" i="1"/>
  <c r="AY15" i="1"/>
  <c r="J666" i="26"/>
  <c r="AY21" i="1"/>
  <c r="J571" i="26"/>
  <c r="AY20" i="1"/>
  <c r="AY25" i="1"/>
  <c r="AY18" i="1"/>
  <c r="J590" i="26"/>
  <c r="AY16" i="1"/>
  <c r="W213" i="25"/>
  <c r="J362" i="26"/>
  <c r="J488" i="30"/>
  <c r="N488" i="30"/>
  <c r="J511" i="30"/>
  <c r="N511" i="30"/>
  <c r="F365" i="26"/>
  <c r="N442" i="25"/>
  <c r="J304" i="30"/>
  <c r="W183" i="25"/>
  <c r="I49" i="23"/>
  <c r="P205" i="25"/>
  <c r="J56" i="28"/>
  <c r="P207" i="25"/>
  <c r="N258" i="30"/>
  <c r="N396" i="30"/>
  <c r="N304" i="30"/>
  <c r="F364" i="26"/>
  <c r="P204" i="25"/>
  <c r="P212" i="25"/>
  <c r="J166" i="30"/>
  <c r="J350" i="30"/>
  <c r="P209" i="25"/>
  <c r="W316" i="25"/>
  <c r="W297" i="25"/>
  <c r="N465" i="30"/>
  <c r="J396" i="30"/>
  <c r="J235" i="30"/>
  <c r="B365" i="26"/>
  <c r="J90" i="28"/>
  <c r="C364" i="26"/>
  <c r="J258" i="30"/>
  <c r="P211" i="25"/>
  <c r="J311" i="28"/>
  <c r="W126" i="25"/>
  <c r="AL28" i="24"/>
  <c r="J465" i="30"/>
  <c r="P203" i="25"/>
  <c r="W373" i="25"/>
  <c r="N366" i="25"/>
  <c r="W411" i="25"/>
  <c r="P208" i="25"/>
  <c r="W278" i="25"/>
  <c r="N166" i="30"/>
  <c r="P210" i="25"/>
  <c r="AK23" i="27"/>
  <c r="J373" i="30"/>
  <c r="N235" i="30"/>
  <c r="N350" i="30"/>
  <c r="P206" i="25"/>
  <c r="N373" i="30"/>
  <c r="W240" i="25"/>
  <c r="W392" i="25"/>
  <c r="W289" i="25" l="1"/>
  <c r="W327" i="25"/>
  <c r="W251" i="25"/>
  <c r="G210" i="25"/>
  <c r="R210" i="25"/>
  <c r="K210" i="25" s="1"/>
  <c r="G212" i="25"/>
  <c r="R212" i="25"/>
  <c r="K212" i="25" s="1"/>
  <c r="G203" i="25"/>
  <c r="R203" i="25"/>
  <c r="G213" i="25"/>
  <c r="R211" i="25"/>
  <c r="K211" i="25" s="1"/>
  <c r="G211" i="25"/>
  <c r="R207" i="25"/>
  <c r="K207" i="25" s="1"/>
  <c r="G207" i="25"/>
  <c r="G204" i="25"/>
  <c r="R204" i="25"/>
  <c r="K204" i="25" s="1"/>
  <c r="G209" i="25"/>
  <c r="R209" i="25"/>
  <c r="K209" i="25" s="1"/>
  <c r="G206" i="25"/>
  <c r="R206" i="25"/>
  <c r="K206" i="25" s="1"/>
  <c r="G208" i="25"/>
  <c r="R208" i="25"/>
  <c r="K208" i="25" s="1"/>
  <c r="R205" i="25"/>
  <c r="K205" i="25" s="1"/>
  <c r="G205" i="25"/>
  <c r="W308" i="25"/>
  <c r="W194" i="25"/>
  <c r="W403" i="25"/>
  <c r="W422" i="25"/>
  <c r="W384" i="25"/>
  <c r="W137" i="25"/>
  <c r="J307" i="29"/>
  <c r="P191" i="25"/>
  <c r="P280" i="25"/>
  <c r="P299" i="25"/>
  <c r="N311" i="28"/>
  <c r="P247" i="25"/>
  <c r="P379" i="25"/>
  <c r="P394" i="25"/>
  <c r="I88" i="29"/>
  <c r="P399" i="25"/>
  <c r="P184" i="25"/>
  <c r="I54" i="29"/>
  <c r="P323" i="25"/>
  <c r="P246" i="25"/>
  <c r="P244" i="25"/>
  <c r="P393" i="25"/>
  <c r="P397" i="25"/>
  <c r="P303" i="25"/>
  <c r="P400" i="25"/>
  <c r="I394" i="23"/>
  <c r="P381" i="25"/>
  <c r="P324" i="25"/>
  <c r="P245" i="25"/>
  <c r="P284" i="25"/>
  <c r="P376" i="25"/>
  <c r="P396" i="25"/>
  <c r="P419" i="25"/>
  <c r="P401" i="25"/>
  <c r="P189" i="25"/>
  <c r="P320" i="25"/>
  <c r="P243" i="25"/>
  <c r="P187" i="25"/>
  <c r="AK28" i="27"/>
  <c r="P286" i="25"/>
  <c r="P131" i="25"/>
  <c r="P190" i="25"/>
  <c r="P415" i="25"/>
  <c r="I364" i="26"/>
  <c r="P128" i="25"/>
  <c r="P127" i="25"/>
  <c r="P306" i="25"/>
  <c r="P395" i="25"/>
  <c r="P317" i="25"/>
  <c r="P188" i="25"/>
  <c r="P279" i="25"/>
  <c r="P136" i="25"/>
  <c r="P378" i="25"/>
  <c r="P416" i="25"/>
  <c r="P192" i="25"/>
  <c r="P241" i="25"/>
  <c r="AL27" i="24"/>
  <c r="P242" i="25"/>
  <c r="P398" i="25"/>
  <c r="P249" i="25"/>
  <c r="I164" i="23"/>
  <c r="P375" i="25"/>
  <c r="P281" i="25"/>
  <c r="P288" i="25"/>
  <c r="P380" i="25"/>
  <c r="P132" i="25"/>
  <c r="P377" i="25"/>
  <c r="P302" i="25"/>
  <c r="P130" i="25"/>
  <c r="P135" i="25"/>
  <c r="I233" i="23"/>
  <c r="P307" i="25"/>
  <c r="P285" i="25"/>
  <c r="P248" i="25"/>
  <c r="P287" i="25"/>
  <c r="P129" i="25"/>
  <c r="P374" i="25"/>
  <c r="I302" i="23"/>
  <c r="P283" i="25"/>
  <c r="I309" i="29"/>
  <c r="AL25" i="24"/>
  <c r="I371" i="23"/>
  <c r="P304" i="25"/>
  <c r="I509" i="23"/>
  <c r="P250" i="25"/>
  <c r="P185" i="25"/>
  <c r="P413" i="25"/>
  <c r="P412" i="25"/>
  <c r="P186" i="25"/>
  <c r="P383" i="25"/>
  <c r="I256" i="23"/>
  <c r="P193" i="25"/>
  <c r="P318" i="25"/>
  <c r="I348" i="23"/>
  <c r="P420" i="25"/>
  <c r="P133" i="25"/>
  <c r="P417" i="25"/>
  <c r="P305" i="25"/>
  <c r="P326" i="25"/>
  <c r="P301" i="25"/>
  <c r="P382" i="25"/>
  <c r="P414" i="25"/>
  <c r="AL23" i="24"/>
  <c r="P300" i="25"/>
  <c r="N461" i="25"/>
  <c r="P421" i="25"/>
  <c r="P402" i="25"/>
  <c r="P282" i="25"/>
  <c r="P418" i="25"/>
  <c r="I486" i="23"/>
  <c r="P134" i="25"/>
  <c r="P298" i="25"/>
  <c r="P321" i="25"/>
  <c r="P325" i="25"/>
  <c r="P322" i="25"/>
  <c r="I463" i="23"/>
  <c r="P319" i="25"/>
  <c r="AL26" i="24"/>
  <c r="M205" i="25" l="1"/>
  <c r="M210" i="25"/>
  <c r="M209" i="25"/>
  <c r="M208" i="25"/>
  <c r="M207" i="25"/>
  <c r="M212" i="25"/>
  <c r="G415" i="25"/>
  <c r="R415" i="25"/>
  <c r="K415" i="25" s="1"/>
  <c r="G421" i="25"/>
  <c r="R421" i="25"/>
  <c r="K421" i="25" s="1"/>
  <c r="G422" i="25"/>
  <c r="G412" i="25"/>
  <c r="R412" i="25"/>
  <c r="M412" i="25" s="1"/>
  <c r="R419" i="25"/>
  <c r="K419" i="25" s="1"/>
  <c r="G419" i="25"/>
  <c r="R417" i="25"/>
  <c r="K417" i="25" s="1"/>
  <c r="G417" i="25"/>
  <c r="G420" i="25"/>
  <c r="R420" i="25"/>
  <c r="K420" i="25" s="1"/>
  <c r="R414" i="25"/>
  <c r="K414" i="25" s="1"/>
  <c r="G414" i="25"/>
  <c r="G418" i="25"/>
  <c r="R418" i="25"/>
  <c r="K418" i="25" s="1"/>
  <c r="R416" i="25"/>
  <c r="K416" i="25" s="1"/>
  <c r="G416" i="25"/>
  <c r="G413" i="25"/>
  <c r="R413" i="25"/>
  <c r="K413" i="25" s="1"/>
  <c r="G377" i="25"/>
  <c r="R377" i="25"/>
  <c r="K377" i="25" s="1"/>
  <c r="R382" i="25"/>
  <c r="K382" i="25" s="1"/>
  <c r="G382" i="25"/>
  <c r="R383" i="25"/>
  <c r="K383" i="25" s="1"/>
  <c r="G383" i="25"/>
  <c r="R380" i="25"/>
  <c r="K380" i="25" s="1"/>
  <c r="G380" i="25"/>
  <c r="R376" i="25"/>
  <c r="K376" i="25" s="1"/>
  <c r="G376" i="25"/>
  <c r="R379" i="25"/>
  <c r="K379" i="25" s="1"/>
  <c r="G379" i="25"/>
  <c r="R378" i="25"/>
  <c r="K378" i="25" s="1"/>
  <c r="G378" i="25"/>
  <c r="G384" i="25"/>
  <c r="G374" i="25"/>
  <c r="R374" i="25"/>
  <c r="R381" i="25"/>
  <c r="K381" i="25" s="1"/>
  <c r="G381" i="25"/>
  <c r="G375" i="25"/>
  <c r="R375" i="25"/>
  <c r="K375" i="25" s="1"/>
  <c r="G400" i="25"/>
  <c r="R400" i="25"/>
  <c r="K400" i="25" s="1"/>
  <c r="R396" i="25"/>
  <c r="K396" i="25" s="1"/>
  <c r="G396" i="25"/>
  <c r="G398" i="25"/>
  <c r="R398" i="25"/>
  <c r="K398" i="25" s="1"/>
  <c r="R397" i="25"/>
  <c r="K397" i="25" s="1"/>
  <c r="G397" i="25"/>
  <c r="R402" i="25"/>
  <c r="K402" i="25" s="1"/>
  <c r="G402" i="25"/>
  <c r="G394" i="25"/>
  <c r="R394" i="25"/>
  <c r="K394" i="25" s="1"/>
  <c r="R393" i="25"/>
  <c r="G403" i="25"/>
  <c r="G393" i="25"/>
  <c r="G399" i="25"/>
  <c r="R399" i="25"/>
  <c r="K399" i="25" s="1"/>
  <c r="R401" i="25"/>
  <c r="K401" i="25" s="1"/>
  <c r="G401" i="25"/>
  <c r="G395" i="25"/>
  <c r="R395" i="25"/>
  <c r="K395" i="25" s="1"/>
  <c r="R188" i="25"/>
  <c r="K188" i="25" s="1"/>
  <c r="G188" i="25"/>
  <c r="R193" i="25"/>
  <c r="K193" i="25" s="1"/>
  <c r="G193" i="25"/>
  <c r="R186" i="25"/>
  <c r="K186" i="25" s="1"/>
  <c r="G186" i="25"/>
  <c r="G189" i="25"/>
  <c r="R189" i="25"/>
  <c r="K189" i="25" s="1"/>
  <c r="R191" i="25"/>
  <c r="K191" i="25" s="1"/>
  <c r="G191" i="25"/>
  <c r="R190" i="25"/>
  <c r="K190" i="25" s="1"/>
  <c r="G190" i="25"/>
  <c r="R187" i="25"/>
  <c r="K187" i="25" s="1"/>
  <c r="G187" i="25"/>
  <c r="G192" i="25"/>
  <c r="R192" i="25"/>
  <c r="K192" i="25" s="1"/>
  <c r="G184" i="25"/>
  <c r="G194" i="25"/>
  <c r="R184" i="25"/>
  <c r="G185" i="25"/>
  <c r="R185" i="25"/>
  <c r="K185" i="25" s="1"/>
  <c r="G247" i="25"/>
  <c r="R247" i="25"/>
  <c r="K247" i="25" s="1"/>
  <c r="R250" i="25"/>
  <c r="K250" i="25" s="1"/>
  <c r="G250" i="25"/>
  <c r="R244" i="25"/>
  <c r="K244" i="25" s="1"/>
  <c r="G244" i="25"/>
  <c r="R242" i="25"/>
  <c r="K242" i="25" s="1"/>
  <c r="G242" i="25"/>
  <c r="R243" i="25"/>
  <c r="K243" i="25" s="1"/>
  <c r="G243" i="25"/>
  <c r="G249" i="25"/>
  <c r="R249" i="25"/>
  <c r="K249" i="25" s="1"/>
  <c r="G241" i="25"/>
  <c r="R241" i="25"/>
  <c r="M241" i="25" s="1"/>
  <c r="G251" i="25"/>
  <c r="R245" i="25"/>
  <c r="K245" i="25" s="1"/>
  <c r="G245" i="25"/>
  <c r="G248" i="25"/>
  <c r="R248" i="25"/>
  <c r="K248" i="25" s="1"/>
  <c r="R246" i="25"/>
  <c r="K246" i="25" s="1"/>
  <c r="G246" i="25"/>
  <c r="G303" i="25"/>
  <c r="R303" i="25"/>
  <c r="K303" i="25" s="1"/>
  <c r="G307" i="25"/>
  <c r="R307" i="25"/>
  <c r="K307" i="25" s="1"/>
  <c r="R306" i="25"/>
  <c r="K306" i="25" s="1"/>
  <c r="G306" i="25"/>
  <c r="G298" i="25"/>
  <c r="R298" i="25"/>
  <c r="G308" i="25"/>
  <c r="G301" i="25"/>
  <c r="R301" i="25"/>
  <c r="K301" i="25" s="1"/>
  <c r="G305" i="25"/>
  <c r="R305" i="25"/>
  <c r="K305" i="25" s="1"/>
  <c r="G299" i="25"/>
  <c r="R299" i="25"/>
  <c r="K299" i="25" s="1"/>
  <c r="G302" i="25"/>
  <c r="R302" i="25"/>
  <c r="K302" i="25" s="1"/>
  <c r="R300" i="25"/>
  <c r="K300" i="25" s="1"/>
  <c r="G300" i="25"/>
  <c r="R304" i="25"/>
  <c r="K304" i="25" s="1"/>
  <c r="G304" i="25"/>
  <c r="G324" i="25"/>
  <c r="R324" i="25"/>
  <c r="K324" i="25" s="1"/>
  <c r="G320" i="25"/>
  <c r="R320" i="25"/>
  <c r="K320" i="25" s="1"/>
  <c r="G326" i="25"/>
  <c r="R326" i="25"/>
  <c r="K326" i="25" s="1"/>
  <c r="R317" i="25"/>
  <c r="G327" i="25"/>
  <c r="G317" i="25"/>
  <c r="R325" i="25"/>
  <c r="K325" i="25" s="1"/>
  <c r="G325" i="25"/>
  <c r="R319" i="25"/>
  <c r="K319" i="25" s="1"/>
  <c r="G319" i="25"/>
  <c r="G323" i="25"/>
  <c r="R323" i="25"/>
  <c r="K323" i="25" s="1"/>
  <c r="G321" i="25"/>
  <c r="R321" i="25"/>
  <c r="K321" i="25" s="1"/>
  <c r="R318" i="25"/>
  <c r="K318" i="25" s="1"/>
  <c r="G318" i="25"/>
  <c r="R322" i="25"/>
  <c r="K322" i="25" s="1"/>
  <c r="G322" i="25"/>
  <c r="G281" i="25"/>
  <c r="R281" i="25"/>
  <c r="K281" i="25" s="1"/>
  <c r="R287" i="25"/>
  <c r="K287" i="25" s="1"/>
  <c r="G287" i="25"/>
  <c r="G283" i="25"/>
  <c r="R283" i="25"/>
  <c r="K283" i="25" s="1"/>
  <c r="G282" i="25"/>
  <c r="R282" i="25"/>
  <c r="K282" i="25" s="1"/>
  <c r="G288" i="25"/>
  <c r="R288" i="25"/>
  <c r="K288" i="25" s="1"/>
  <c r="G279" i="25"/>
  <c r="R279" i="25"/>
  <c r="G289" i="25"/>
  <c r="R280" i="25"/>
  <c r="K280" i="25" s="1"/>
  <c r="G280" i="25"/>
  <c r="G284" i="25"/>
  <c r="R284" i="25"/>
  <c r="K284" i="25" s="1"/>
  <c r="G286" i="25"/>
  <c r="R286" i="25"/>
  <c r="K286" i="25" s="1"/>
  <c r="R285" i="25"/>
  <c r="K285" i="25" s="1"/>
  <c r="G285" i="25"/>
  <c r="G132" i="25"/>
  <c r="R132" i="25"/>
  <c r="K132" i="25" s="1"/>
  <c r="G133" i="25"/>
  <c r="R133" i="25"/>
  <c r="K133" i="25" s="1"/>
  <c r="G127" i="25"/>
  <c r="R127" i="25"/>
  <c r="M127" i="25" s="1"/>
  <c r="G137" i="25"/>
  <c r="G135" i="25"/>
  <c r="R135" i="25"/>
  <c r="K135" i="25" s="1"/>
  <c r="G134" i="25"/>
  <c r="R134" i="25"/>
  <c r="K134" i="25" s="1"/>
  <c r="R136" i="25"/>
  <c r="K136" i="25" s="1"/>
  <c r="G136" i="25"/>
  <c r="R131" i="25"/>
  <c r="K131" i="25" s="1"/>
  <c r="G131" i="25"/>
  <c r="R130" i="25"/>
  <c r="K130" i="25" s="1"/>
  <c r="G130" i="25"/>
  <c r="R129" i="25"/>
  <c r="K129" i="25" s="1"/>
  <c r="G129" i="25"/>
  <c r="R128" i="25"/>
  <c r="K128" i="25" s="1"/>
  <c r="G128" i="25"/>
  <c r="M204" i="25"/>
  <c r="M206" i="25"/>
  <c r="M203" i="25"/>
  <c r="K203" i="25"/>
  <c r="K213" i="25"/>
  <c r="M211" i="25"/>
  <c r="AM28" i="24"/>
  <c r="I728" i="34"/>
  <c r="I448" i="34"/>
  <c r="I862" i="34"/>
  <c r="I732" i="34"/>
  <c r="I727" i="34"/>
  <c r="N396" i="28"/>
  <c r="AL21" i="24"/>
  <c r="I733" i="34"/>
  <c r="I726" i="34"/>
  <c r="I730" i="34"/>
  <c r="J442" i="25"/>
  <c r="J336" i="29"/>
  <c r="I725" i="34"/>
  <c r="I729" i="34"/>
  <c r="I1483" i="34"/>
  <c r="J322" i="29"/>
  <c r="I724" i="34"/>
  <c r="I731" i="34"/>
  <c r="N412" i="25" l="1"/>
  <c r="V412" i="25" s="1"/>
  <c r="N241" i="25"/>
  <c r="V241" i="25" s="1"/>
  <c r="N211" i="25"/>
  <c r="N212" i="25"/>
  <c r="N204" i="25"/>
  <c r="N208" i="25"/>
  <c r="N203" i="25"/>
  <c r="V203" i="25" s="1"/>
  <c r="N206" i="25"/>
  <c r="N207" i="25"/>
  <c r="N209" i="25"/>
  <c r="N210" i="25"/>
  <c r="N205" i="25"/>
  <c r="N127" i="25"/>
  <c r="V127" i="25" s="1"/>
  <c r="M284" i="25"/>
  <c r="M305" i="25"/>
  <c r="M190" i="25"/>
  <c r="M286" i="25"/>
  <c r="M299" i="25"/>
  <c r="M376" i="25"/>
  <c r="M285" i="25"/>
  <c r="M188" i="25"/>
  <c r="M301" i="25"/>
  <c r="M307" i="25"/>
  <c r="M189" i="25"/>
  <c r="M129" i="25"/>
  <c r="M287" i="25"/>
  <c r="M250" i="25"/>
  <c r="M377" i="25"/>
  <c r="M245" i="25"/>
  <c r="M380" i="25"/>
  <c r="M304" i="25"/>
  <c r="M326" i="25"/>
  <c r="M398" i="25"/>
  <c r="M128" i="25"/>
  <c r="M244" i="25"/>
  <c r="M417" i="25"/>
  <c r="M132" i="25"/>
  <c r="M394" i="25"/>
  <c r="M375" i="25"/>
  <c r="M325" i="25"/>
  <c r="M242" i="25"/>
  <c r="M191" i="25"/>
  <c r="M419" i="25"/>
  <c r="M136" i="25"/>
  <c r="M321" i="25"/>
  <c r="M320" i="25"/>
  <c r="M247" i="25"/>
  <c r="M399" i="25"/>
  <c r="M396" i="25"/>
  <c r="M383" i="25"/>
  <c r="M413" i="25"/>
  <c r="M281" i="25"/>
  <c r="M248" i="25"/>
  <c r="M420" i="25"/>
  <c r="M133" i="25"/>
  <c r="M283" i="25"/>
  <c r="M400" i="25"/>
  <c r="J341" i="29"/>
  <c r="J324" i="29"/>
  <c r="M184" i="25"/>
  <c r="K184" i="25"/>
  <c r="K194" i="25"/>
  <c r="M374" i="25"/>
  <c r="K374" i="25"/>
  <c r="K384" i="25"/>
  <c r="K393" i="25"/>
  <c r="K403" i="25"/>
  <c r="K241" i="25"/>
  <c r="K251" i="25"/>
  <c r="M414" i="25"/>
  <c r="M421" i="25"/>
  <c r="M130" i="25"/>
  <c r="M186" i="25"/>
  <c r="M382" i="25"/>
  <c r="M279" i="25"/>
  <c r="K279" i="25"/>
  <c r="K289" i="25"/>
  <c r="M322" i="25"/>
  <c r="M134" i="25"/>
  <c r="K137" i="25"/>
  <c r="K127" i="25"/>
  <c r="M288" i="25"/>
  <c r="M323" i="25"/>
  <c r="M300" i="25"/>
  <c r="M298" i="25"/>
  <c r="K298" i="25"/>
  <c r="K308" i="25"/>
  <c r="M303" i="25"/>
  <c r="M249" i="25"/>
  <c r="M192" i="25"/>
  <c r="M395" i="25"/>
  <c r="M402" i="25"/>
  <c r="M378" i="25"/>
  <c r="M416" i="25"/>
  <c r="M415" i="25"/>
  <c r="M393" i="25"/>
  <c r="M131" i="25"/>
  <c r="M280" i="25"/>
  <c r="M318" i="25"/>
  <c r="M324" i="25"/>
  <c r="M306" i="25"/>
  <c r="M185" i="25"/>
  <c r="M193" i="25"/>
  <c r="M381" i="25"/>
  <c r="M135" i="25"/>
  <c r="M282" i="25"/>
  <c r="M319" i="25"/>
  <c r="M317" i="25"/>
  <c r="K317" i="25"/>
  <c r="K327" i="25"/>
  <c r="M302" i="25"/>
  <c r="M246" i="25"/>
  <c r="M243" i="25"/>
  <c r="M187" i="25"/>
  <c r="M401" i="25"/>
  <c r="M397" i="25"/>
  <c r="M379" i="25"/>
  <c r="M418" i="25"/>
  <c r="K422" i="25"/>
  <c r="K412" i="25"/>
  <c r="AM23" i="24"/>
  <c r="I1073" i="34"/>
  <c r="I397" i="26"/>
  <c r="I870" i="34"/>
  <c r="I867" i="34"/>
  <c r="I1348" i="34"/>
  <c r="I429" i="26"/>
  <c r="I1490" i="34"/>
  <c r="I432" i="26"/>
  <c r="I398" i="26"/>
  <c r="J724" i="34"/>
  <c r="I1007" i="34"/>
  <c r="I1488" i="34"/>
  <c r="I1421" i="34"/>
  <c r="J729" i="34"/>
  <c r="I1004" i="34"/>
  <c r="I391" i="26"/>
  <c r="I1000" i="34"/>
  <c r="I1492" i="34"/>
  <c r="I662" i="34"/>
  <c r="I451" i="34"/>
  <c r="I656" i="34"/>
  <c r="I390" i="26"/>
  <c r="I1420" i="34"/>
  <c r="I379" i="26"/>
  <c r="I1003" i="34"/>
  <c r="J726" i="34"/>
  <c r="I863" i="34"/>
  <c r="J1483" i="34"/>
  <c r="I1138" i="34"/>
  <c r="I1071" i="34"/>
  <c r="I1487" i="34"/>
  <c r="I373" i="26"/>
  <c r="I428" i="26"/>
  <c r="I866" i="34"/>
  <c r="I452" i="34"/>
  <c r="I1069" i="34"/>
  <c r="I663" i="34"/>
  <c r="I374" i="26"/>
  <c r="I868" i="34"/>
  <c r="J732" i="34"/>
  <c r="I396" i="26"/>
  <c r="J437" i="26"/>
  <c r="I456" i="34"/>
  <c r="I430" i="26"/>
  <c r="J347" i="25"/>
  <c r="J429" i="26"/>
  <c r="I659" i="34"/>
  <c r="I376" i="26"/>
  <c r="I1140" i="34"/>
  <c r="I380" i="26"/>
  <c r="I1078" i="34"/>
  <c r="I1350" i="34"/>
  <c r="I436" i="26"/>
  <c r="I1147" i="34"/>
  <c r="I1484" i="34"/>
  <c r="I1354" i="34"/>
  <c r="J728" i="34"/>
  <c r="I378" i="26"/>
  <c r="I657" i="34"/>
  <c r="I1006" i="34"/>
  <c r="I1074" i="34"/>
  <c r="I395" i="26"/>
  <c r="I457" i="34"/>
  <c r="I1346" i="34"/>
  <c r="I449" i="34"/>
  <c r="I1075" i="34"/>
  <c r="I1345" i="34"/>
  <c r="I394" i="26"/>
  <c r="I1486" i="34"/>
  <c r="I865" i="34"/>
  <c r="I661" i="34"/>
  <c r="J727" i="34"/>
  <c r="I1141" i="34"/>
  <c r="I1146" i="34"/>
  <c r="I454" i="34"/>
  <c r="I392" i="26"/>
  <c r="I1416" i="34"/>
  <c r="J432" i="26"/>
  <c r="I1419" i="34"/>
  <c r="I1076" i="34"/>
  <c r="I1143" i="34"/>
  <c r="J862" i="34"/>
  <c r="I1139" i="34"/>
  <c r="I1485" i="34"/>
  <c r="I1489" i="34"/>
  <c r="I660" i="34"/>
  <c r="I450" i="34"/>
  <c r="J448" i="34"/>
  <c r="I864" i="34"/>
  <c r="I375" i="26"/>
  <c r="I1077" i="34"/>
  <c r="I1144" i="34"/>
  <c r="I1351" i="34"/>
  <c r="J731" i="34"/>
  <c r="I1142" i="34"/>
  <c r="I1423" i="34"/>
  <c r="I1415" i="34"/>
  <c r="I1418" i="34"/>
  <c r="I664" i="34"/>
  <c r="I1008" i="34"/>
  <c r="I434" i="26"/>
  <c r="I869" i="34"/>
  <c r="I455" i="34"/>
  <c r="I1422" i="34"/>
  <c r="I1072" i="34"/>
  <c r="I440" i="26"/>
  <c r="I377" i="26"/>
  <c r="I1145" i="34"/>
  <c r="I453" i="34"/>
  <c r="I655" i="34"/>
  <c r="I431" i="26"/>
  <c r="I433" i="26"/>
  <c r="I1070" i="34"/>
  <c r="I1347" i="34"/>
  <c r="I437" i="26"/>
  <c r="I1414" i="34"/>
  <c r="I399" i="26"/>
  <c r="I1417" i="34"/>
  <c r="I372" i="26"/>
  <c r="I1002" i="34"/>
  <c r="I435" i="26"/>
  <c r="I1491" i="34"/>
  <c r="J730" i="34"/>
  <c r="I371" i="26"/>
  <c r="I1001" i="34"/>
  <c r="I1353" i="34"/>
  <c r="I1352" i="34"/>
  <c r="J725" i="34"/>
  <c r="I871" i="34"/>
  <c r="I658" i="34"/>
  <c r="I1349" i="34"/>
  <c r="N347" i="25"/>
  <c r="I1009" i="34"/>
  <c r="I393" i="26"/>
  <c r="J433" i="26"/>
  <c r="I1005" i="34"/>
  <c r="J733" i="34"/>
  <c r="M213" i="25" l="1"/>
  <c r="N421" i="25"/>
  <c r="N414" i="25"/>
  <c r="N420" i="25"/>
  <c r="N417" i="25"/>
  <c r="N413" i="25"/>
  <c r="N418" i="25"/>
  <c r="N415" i="25"/>
  <c r="N419" i="25"/>
  <c r="N416" i="25"/>
  <c r="N398" i="25"/>
  <c r="V398" i="25" s="1"/>
  <c r="N399" i="25"/>
  <c r="V399" i="25" s="1"/>
  <c r="N394" i="25"/>
  <c r="V394" i="25" s="1"/>
  <c r="N375" i="25"/>
  <c r="N377" i="25"/>
  <c r="N381" i="25"/>
  <c r="N376" i="25"/>
  <c r="N379" i="25"/>
  <c r="N378" i="25"/>
  <c r="N374" i="25"/>
  <c r="N380" i="25"/>
  <c r="N382" i="25"/>
  <c r="N383" i="25"/>
  <c r="N325" i="25"/>
  <c r="N324" i="25"/>
  <c r="N320" i="25"/>
  <c r="N322" i="25"/>
  <c r="N317" i="25"/>
  <c r="V317" i="25" s="1"/>
  <c r="N326" i="25"/>
  <c r="N319" i="25"/>
  <c r="N318" i="25"/>
  <c r="N323" i="25"/>
  <c r="N321" i="25"/>
  <c r="N298" i="25"/>
  <c r="V298" i="25" s="1"/>
  <c r="N300" i="25"/>
  <c r="N304" i="25"/>
  <c r="N305" i="25"/>
  <c r="N301" i="25"/>
  <c r="N303" i="25"/>
  <c r="N306" i="25"/>
  <c r="N307" i="25"/>
  <c r="N302" i="25"/>
  <c r="N299" i="25"/>
  <c r="N283" i="25"/>
  <c r="N280" i="25"/>
  <c r="N288" i="25"/>
  <c r="N281" i="25"/>
  <c r="N285" i="25"/>
  <c r="N286" i="25"/>
  <c r="N282" i="25"/>
  <c r="N279" i="25"/>
  <c r="V279" i="25" s="1"/>
  <c r="N284" i="25"/>
  <c r="N287" i="25"/>
  <c r="N242" i="25"/>
  <c r="N247" i="25"/>
  <c r="L214" i="25"/>
  <c r="N246" i="25"/>
  <c r="N249" i="25"/>
  <c r="N244" i="25"/>
  <c r="N250" i="25"/>
  <c r="N243" i="25"/>
  <c r="N248" i="25"/>
  <c r="N245" i="25"/>
  <c r="J734" i="34"/>
  <c r="V209" i="25"/>
  <c r="V208" i="25"/>
  <c r="V207" i="25"/>
  <c r="V206" i="25"/>
  <c r="V204" i="25"/>
  <c r="V205" i="25"/>
  <c r="V212" i="25"/>
  <c r="V210" i="25"/>
  <c r="V211" i="25"/>
  <c r="N193" i="25"/>
  <c r="N184" i="25"/>
  <c r="V184" i="25" s="1"/>
  <c r="N189" i="25"/>
  <c r="N185" i="25"/>
  <c r="N191" i="25"/>
  <c r="N187" i="25"/>
  <c r="N190" i="25"/>
  <c r="N192" i="25"/>
  <c r="N186" i="25"/>
  <c r="N188" i="25"/>
  <c r="N130" i="25"/>
  <c r="N128" i="25"/>
  <c r="N129" i="25"/>
  <c r="N135" i="25"/>
  <c r="N133" i="25"/>
  <c r="N131" i="25"/>
  <c r="N134" i="25"/>
  <c r="N136" i="25"/>
  <c r="N132" i="25"/>
  <c r="N396" i="25"/>
  <c r="N400" i="25"/>
  <c r="N397" i="25"/>
  <c r="N393" i="25"/>
  <c r="N401" i="25"/>
  <c r="N402" i="25"/>
  <c r="N395" i="25"/>
  <c r="J1414" i="34"/>
  <c r="J1074" i="34"/>
  <c r="J398" i="26"/>
  <c r="J431" i="26"/>
  <c r="J455" i="34"/>
  <c r="J1140" i="34"/>
  <c r="J1419" i="34"/>
  <c r="J869" i="34"/>
  <c r="J399" i="26"/>
  <c r="J375" i="26"/>
  <c r="J1349" i="34"/>
  <c r="J1004" i="34"/>
  <c r="J656" i="34"/>
  <c r="J1144" i="34"/>
  <c r="J1488" i="34"/>
  <c r="J1071" i="34"/>
  <c r="J456" i="34"/>
  <c r="J1487" i="34"/>
  <c r="J1147" i="34"/>
  <c r="J863" i="34"/>
  <c r="J452" i="34"/>
  <c r="F440" i="26"/>
  <c r="J1006" i="34"/>
  <c r="J391" i="26"/>
  <c r="J1146" i="34"/>
  <c r="J870" i="34"/>
  <c r="J1138" i="34"/>
  <c r="J1489" i="34"/>
  <c r="J430" i="26"/>
  <c r="J1141" i="34"/>
  <c r="J1142" i="34"/>
  <c r="J378" i="26"/>
  <c r="J379" i="26"/>
  <c r="J661" i="34"/>
  <c r="J393" i="26"/>
  <c r="J871" i="34"/>
  <c r="J395" i="26"/>
  <c r="J1078" i="34"/>
  <c r="J374" i="26"/>
  <c r="J1418" i="34"/>
  <c r="J662" i="34"/>
  <c r="J457" i="34"/>
  <c r="J1345" i="34"/>
  <c r="J436" i="26"/>
  <c r="AJ16" i="24"/>
  <c r="J449" i="34"/>
  <c r="J394" i="26"/>
  <c r="J658" i="34"/>
  <c r="J659" i="34"/>
  <c r="I345" i="26"/>
  <c r="J371" i="26"/>
  <c r="J1422" i="34"/>
  <c r="J434" i="26"/>
  <c r="J1490" i="34"/>
  <c r="J1077" i="34"/>
  <c r="J373" i="26"/>
  <c r="J454" i="34"/>
  <c r="J392" i="26"/>
  <c r="J1075" i="34"/>
  <c r="J1492" i="34"/>
  <c r="J249" i="29"/>
  <c r="J1421" i="34"/>
  <c r="J1354" i="34"/>
  <c r="J397" i="26"/>
  <c r="J1416" i="34"/>
  <c r="J1491" i="34"/>
  <c r="J1353" i="34"/>
  <c r="J1003" i="34"/>
  <c r="J372" i="26"/>
  <c r="J1001" i="34"/>
  <c r="J1008" i="34"/>
  <c r="J1070" i="34"/>
  <c r="AK16" i="24"/>
  <c r="J1347" i="34"/>
  <c r="AL20" i="24"/>
  <c r="J380" i="26"/>
  <c r="J663" i="34"/>
  <c r="J655" i="34"/>
  <c r="J390" i="26"/>
  <c r="J864" i="34"/>
  <c r="J868" i="34"/>
  <c r="J435" i="26"/>
  <c r="J1000" i="34"/>
  <c r="J866" i="34"/>
  <c r="J396" i="26"/>
  <c r="J453" i="34"/>
  <c r="J1009" i="34"/>
  <c r="J451" i="34"/>
  <c r="J1069" i="34"/>
  <c r="J376" i="26"/>
  <c r="J1002" i="34"/>
  <c r="J1350" i="34"/>
  <c r="J1420" i="34"/>
  <c r="J1348" i="34"/>
  <c r="J1484" i="34"/>
  <c r="J1352" i="34"/>
  <c r="J660" i="34"/>
  <c r="J1072" i="34"/>
  <c r="J1423" i="34"/>
  <c r="J865" i="34"/>
  <c r="J1415" i="34"/>
  <c r="J1485" i="34"/>
  <c r="J1007" i="34"/>
  <c r="J1005" i="34"/>
  <c r="J657" i="34"/>
  <c r="J1486" i="34"/>
  <c r="I333" i="26"/>
  <c r="J1076" i="34"/>
  <c r="J1143" i="34"/>
  <c r="J1351" i="34"/>
  <c r="J1073" i="34"/>
  <c r="J1139" i="34"/>
  <c r="J1145" i="34"/>
  <c r="J1417" i="34"/>
  <c r="J664" i="34"/>
  <c r="J867" i="34"/>
  <c r="J377" i="26"/>
  <c r="J428" i="26"/>
  <c r="J1346" i="34"/>
  <c r="J450" i="34"/>
  <c r="H214" i="25" l="1"/>
  <c r="J1493" i="34"/>
  <c r="V418" i="25"/>
  <c r="V413" i="25"/>
  <c r="V420" i="25"/>
  <c r="V414" i="25"/>
  <c r="V416" i="25"/>
  <c r="V421" i="25"/>
  <c r="V415" i="25"/>
  <c r="V417" i="25"/>
  <c r="M422" i="25"/>
  <c r="L423" i="25"/>
  <c r="V419" i="25"/>
  <c r="J1424" i="34"/>
  <c r="V400" i="25"/>
  <c r="V396" i="25"/>
  <c r="J1355" i="34"/>
  <c r="V378" i="25"/>
  <c r="V376" i="25"/>
  <c r="V381" i="25"/>
  <c r="M327" i="25"/>
  <c r="V383" i="25"/>
  <c r="V377" i="25"/>
  <c r="V380" i="25"/>
  <c r="V379" i="25"/>
  <c r="M384" i="25"/>
  <c r="L385" i="25"/>
  <c r="V374" i="25"/>
  <c r="V382" i="25"/>
  <c r="V375" i="25"/>
  <c r="J1148" i="34"/>
  <c r="V319" i="25"/>
  <c r="V322" i="25"/>
  <c r="V320" i="25"/>
  <c r="V321" i="25"/>
  <c r="V324" i="25"/>
  <c r="V318" i="25"/>
  <c r="L328" i="25"/>
  <c r="L290" i="25"/>
  <c r="V326" i="25"/>
  <c r="V323" i="25"/>
  <c r="V325" i="25"/>
  <c r="J1079" i="34"/>
  <c r="V306" i="25"/>
  <c r="V304" i="25"/>
  <c r="V299" i="25"/>
  <c r="V300" i="25"/>
  <c r="V307" i="25"/>
  <c r="V303" i="25"/>
  <c r="V301" i="25"/>
  <c r="M308" i="25"/>
  <c r="V305" i="25"/>
  <c r="L309" i="25"/>
  <c r="V302" i="25"/>
  <c r="J1010" i="34"/>
  <c r="V282" i="25"/>
  <c r="V286" i="25"/>
  <c r="V285" i="25"/>
  <c r="V288" i="25"/>
  <c r="V287" i="25"/>
  <c r="V280" i="25"/>
  <c r="V281" i="25"/>
  <c r="M289" i="25"/>
  <c r="V284" i="25"/>
  <c r="V283" i="25"/>
  <c r="J872" i="34"/>
  <c r="M194" i="25"/>
  <c r="V245" i="25"/>
  <c r="V247" i="25"/>
  <c r="V248" i="25"/>
  <c r="V242" i="25"/>
  <c r="V250" i="25"/>
  <c r="L252" i="25"/>
  <c r="V244" i="25"/>
  <c r="V249" i="25"/>
  <c r="V246" i="25"/>
  <c r="M251" i="25"/>
  <c r="V243" i="25"/>
  <c r="V213" i="25"/>
  <c r="B214" i="25" s="1"/>
  <c r="D765" i="34"/>
  <c r="D763" i="34"/>
  <c r="E765" i="34"/>
  <c r="J665" i="34"/>
  <c r="V190" i="25"/>
  <c r="V191" i="25"/>
  <c r="V185" i="25"/>
  <c r="V189" i="25"/>
  <c r="V188" i="25"/>
  <c r="V192" i="25"/>
  <c r="L195" i="25"/>
  <c r="V187" i="25"/>
  <c r="V186" i="25"/>
  <c r="V193" i="25"/>
  <c r="J458" i="34"/>
  <c r="V134" i="25"/>
  <c r="V133" i="25"/>
  <c r="V135" i="25"/>
  <c r="V128" i="25"/>
  <c r="V132" i="25"/>
  <c r="V130" i="25"/>
  <c r="L138" i="25"/>
  <c r="V131" i="25"/>
  <c r="M137" i="25"/>
  <c r="V129" i="25"/>
  <c r="V136" i="25"/>
  <c r="J256" i="29"/>
  <c r="J400" i="26"/>
  <c r="V397" i="25"/>
  <c r="V401" i="25"/>
  <c r="V395" i="25"/>
  <c r="M403" i="25"/>
  <c r="L404" i="25"/>
  <c r="V393" i="25"/>
  <c r="V402" i="25"/>
  <c r="J438" i="26"/>
  <c r="J381" i="26"/>
  <c r="I340" i="26"/>
  <c r="AJ12" i="24"/>
  <c r="AJ18" i="24"/>
  <c r="I415" i="26"/>
  <c r="AK26" i="24"/>
  <c r="AJ22" i="24"/>
  <c r="I339" i="26"/>
  <c r="AK20" i="24"/>
  <c r="AL19" i="24"/>
  <c r="AK22" i="24"/>
  <c r="AJ21" i="24"/>
  <c r="I410" i="26"/>
  <c r="AK25" i="24"/>
  <c r="I409" i="26"/>
  <c r="AK12" i="24"/>
  <c r="I414" i="26"/>
  <c r="J333" i="26"/>
  <c r="J338" i="26"/>
  <c r="AK27" i="24"/>
  <c r="I336" i="26"/>
  <c r="J409" i="26"/>
  <c r="AJ25" i="24"/>
  <c r="AJ16" i="27"/>
  <c r="J341" i="26"/>
  <c r="F441" i="26"/>
  <c r="I418" i="26"/>
  <c r="J335" i="26"/>
  <c r="AJ27" i="24"/>
  <c r="B441" i="26"/>
  <c r="I413" i="26"/>
  <c r="AK18" i="24"/>
  <c r="AJ20" i="24"/>
  <c r="AK15" i="24"/>
  <c r="J342" i="26"/>
  <c r="I341" i="26"/>
  <c r="J339" i="26"/>
  <c r="I335" i="26"/>
  <c r="J334" i="26"/>
  <c r="I337" i="26"/>
  <c r="C440" i="26"/>
  <c r="C383" i="26"/>
  <c r="J417" i="26"/>
  <c r="I416" i="26"/>
  <c r="J337" i="26"/>
  <c r="J340" i="26"/>
  <c r="I338" i="26"/>
  <c r="I342" i="26"/>
  <c r="C402" i="26"/>
  <c r="I334" i="26"/>
  <c r="J336" i="26"/>
  <c r="AK21" i="24"/>
  <c r="I412" i="26"/>
  <c r="J418" i="26"/>
  <c r="J416" i="26"/>
  <c r="AJ15" i="24"/>
  <c r="I411" i="26"/>
  <c r="I417" i="26"/>
  <c r="AJ26" i="24"/>
  <c r="AM16" i="27" l="1"/>
  <c r="H309" i="25"/>
  <c r="H328" i="25"/>
  <c r="H290" i="25"/>
  <c r="H423" i="25"/>
  <c r="H195" i="25"/>
  <c r="H385" i="25"/>
  <c r="AM27" i="24"/>
  <c r="V422" i="25"/>
  <c r="D1522" i="34"/>
  <c r="D1524" i="34"/>
  <c r="E1524" i="34"/>
  <c r="D1453" i="34"/>
  <c r="D1455" i="34"/>
  <c r="E1455" i="34"/>
  <c r="AM22" i="24"/>
  <c r="AM25" i="24"/>
  <c r="V327" i="25"/>
  <c r="E328" i="25" s="1"/>
  <c r="V384" i="25"/>
  <c r="D1384" i="34"/>
  <c r="D1386" i="34"/>
  <c r="E1386" i="34"/>
  <c r="E214" i="25"/>
  <c r="V308" i="25"/>
  <c r="B309" i="25" s="1"/>
  <c r="D1177" i="34"/>
  <c r="D1179" i="34"/>
  <c r="E1179" i="34"/>
  <c r="V289" i="25"/>
  <c r="B290" i="25" s="1"/>
  <c r="D1108" i="34"/>
  <c r="D1110" i="34"/>
  <c r="E1110" i="34"/>
  <c r="D1039" i="34"/>
  <c r="D1041" i="34"/>
  <c r="E1041" i="34"/>
  <c r="V251" i="25"/>
  <c r="H252" i="25"/>
  <c r="D901" i="34"/>
  <c r="D903" i="34"/>
  <c r="E903" i="34"/>
  <c r="V194" i="25"/>
  <c r="E195" i="25" s="1"/>
  <c r="D694" i="34"/>
  <c r="D696" i="34"/>
  <c r="E696" i="34"/>
  <c r="V137" i="25"/>
  <c r="H138" i="25"/>
  <c r="D487" i="34"/>
  <c r="D489" i="34"/>
  <c r="E489" i="34"/>
  <c r="V403" i="25"/>
  <c r="B404" i="25" s="1"/>
  <c r="AM26" i="24"/>
  <c r="H404" i="25"/>
  <c r="AM29" i="24"/>
  <c r="J343" i="26"/>
  <c r="J450" i="26"/>
  <c r="AL18" i="24"/>
  <c r="I448" i="26"/>
  <c r="I452" i="26"/>
  <c r="AK27" i="27"/>
  <c r="F402" i="26"/>
  <c r="I451" i="26"/>
  <c r="J415" i="26"/>
  <c r="J404" i="25"/>
  <c r="I447" i="26"/>
  <c r="C421" i="26"/>
  <c r="J455" i="26"/>
  <c r="AJ17" i="27"/>
  <c r="AJ24" i="27"/>
  <c r="N385" i="25"/>
  <c r="AJ27" i="27"/>
  <c r="J461" i="25"/>
  <c r="J411" i="26"/>
  <c r="J413" i="26"/>
  <c r="B346" i="26"/>
  <c r="I449" i="26"/>
  <c r="AJ25" i="27"/>
  <c r="N404" i="25"/>
  <c r="J456" i="26"/>
  <c r="J414" i="26"/>
  <c r="AJ19" i="27"/>
  <c r="N328" i="25"/>
  <c r="J385" i="25"/>
  <c r="AJ22" i="27"/>
  <c r="J192" i="28"/>
  <c r="N423" i="25"/>
  <c r="J451" i="26"/>
  <c r="AK24" i="27"/>
  <c r="J448" i="26"/>
  <c r="F346" i="26"/>
  <c r="J410" i="26"/>
  <c r="N309" i="25"/>
  <c r="I450" i="26"/>
  <c r="I454" i="26"/>
  <c r="AJ21" i="27"/>
  <c r="J447" i="26"/>
  <c r="AK26" i="27"/>
  <c r="I453" i="26"/>
  <c r="F421" i="26"/>
  <c r="J235" i="29"/>
  <c r="I456" i="26"/>
  <c r="AJ11" i="27"/>
  <c r="AJ20" i="27"/>
  <c r="AK25" i="27"/>
  <c r="AJ12" i="27"/>
  <c r="J328" i="25"/>
  <c r="F345" i="26"/>
  <c r="J412" i="26"/>
  <c r="AJ18" i="27"/>
  <c r="AJ14" i="27"/>
  <c r="AK22" i="27"/>
  <c r="J423" i="25"/>
  <c r="B403" i="26"/>
  <c r="AK20" i="27"/>
  <c r="AJ15" i="27"/>
  <c r="I455" i="26"/>
  <c r="F383" i="26"/>
  <c r="AK21" i="27"/>
  <c r="C345" i="26"/>
  <c r="AJ26" i="27"/>
  <c r="AM27" i="27" l="1"/>
  <c r="AM22" i="27"/>
  <c r="AM18" i="27"/>
  <c r="AM15" i="27"/>
  <c r="AM12" i="27"/>
  <c r="AM25" i="27"/>
  <c r="AM19" i="27"/>
  <c r="AM21" i="27"/>
  <c r="AM26" i="27"/>
  <c r="AM14" i="27"/>
  <c r="AM24" i="27"/>
  <c r="AM20" i="27"/>
  <c r="AM17" i="27"/>
  <c r="AM11" i="27"/>
  <c r="B423" i="25"/>
  <c r="E423" i="25"/>
  <c r="E290" i="25"/>
  <c r="E385" i="25"/>
  <c r="B385" i="25"/>
  <c r="B328" i="25"/>
  <c r="E309" i="25"/>
  <c r="B252" i="25"/>
  <c r="E252" i="25"/>
  <c r="B195" i="25"/>
  <c r="E138" i="25"/>
  <c r="B138" i="25"/>
  <c r="E404" i="25"/>
  <c r="J239" i="29"/>
  <c r="J419" i="26"/>
  <c r="F460" i="26"/>
  <c r="I402" i="26"/>
  <c r="J221" i="29"/>
  <c r="N277" i="28"/>
  <c r="J260" i="28"/>
  <c r="N294" i="28"/>
  <c r="J328" i="28"/>
  <c r="AK19" i="27"/>
  <c r="B384" i="26"/>
  <c r="N379" i="28"/>
  <c r="F422" i="26"/>
  <c r="C459" i="26"/>
  <c r="J449" i="26"/>
  <c r="N328" i="28"/>
  <c r="J243" i="28"/>
  <c r="J345" i="28"/>
  <c r="J453" i="26"/>
  <c r="I190" i="29"/>
  <c r="J294" i="28"/>
  <c r="J124" i="28"/>
  <c r="F384" i="26"/>
  <c r="AL17" i="24"/>
  <c r="N271" i="25"/>
  <c r="J379" i="28"/>
  <c r="J226" i="28"/>
  <c r="B422" i="26"/>
  <c r="AL15" i="24"/>
  <c r="F459" i="26"/>
  <c r="J209" i="28"/>
  <c r="J158" i="28"/>
  <c r="J452" i="26"/>
  <c r="I326" i="26"/>
  <c r="F403" i="26"/>
  <c r="I421" i="26"/>
  <c r="J175" i="28"/>
  <c r="N362" i="28"/>
  <c r="N214" i="25"/>
  <c r="J107" i="28"/>
  <c r="AL14" i="24"/>
  <c r="N260" i="28"/>
  <c r="N345" i="28"/>
  <c r="AL12" i="24"/>
  <c r="N290" i="25"/>
  <c r="AL16" i="24"/>
  <c r="AK18" i="27"/>
  <c r="J454" i="26"/>
  <c r="I383" i="26"/>
  <c r="I459" i="26"/>
  <c r="J277" i="28"/>
  <c r="J362" i="28"/>
  <c r="B460" i="26"/>
  <c r="J222" i="29" l="1"/>
  <c r="J457" i="26"/>
  <c r="AM15" i="24"/>
  <c r="I275" i="29"/>
  <c r="AK15" i="27"/>
  <c r="I326" i="29"/>
  <c r="I105" i="29"/>
  <c r="I360" i="29"/>
  <c r="I122" i="29"/>
  <c r="N243" i="28"/>
  <c r="AK16" i="27"/>
  <c r="I156" i="29"/>
  <c r="N226" i="28"/>
  <c r="N195" i="25"/>
  <c r="N252" i="25"/>
  <c r="AK17" i="27"/>
  <c r="I224" i="29"/>
  <c r="I343" i="29"/>
  <c r="I377" i="29"/>
  <c r="I258" i="29"/>
  <c r="I241" i="29"/>
  <c r="I292" i="29"/>
  <c r="I207" i="29"/>
  <c r="N233" i="25"/>
  <c r="J195" i="25"/>
  <c r="I173" i="29"/>
  <c r="AK14" i="27"/>
  <c r="AM14" i="24" l="1"/>
  <c r="N158" i="28"/>
  <c r="I193" i="26"/>
  <c r="J134" i="29"/>
  <c r="J176" i="25"/>
  <c r="J148" i="29"/>
  <c r="N209" i="28"/>
  <c r="N175" i="28"/>
  <c r="N192" i="28"/>
  <c r="AL11" i="24"/>
  <c r="J137" i="29" l="1"/>
  <c r="J154" i="29"/>
  <c r="J120" i="29"/>
  <c r="AM16" i="24"/>
  <c r="I167" i="26"/>
  <c r="I166" i="26"/>
  <c r="I164" i="26"/>
  <c r="J165" i="26"/>
  <c r="J183" i="26"/>
  <c r="J188" i="26"/>
  <c r="I170" i="26"/>
  <c r="I187" i="26"/>
  <c r="J190" i="26"/>
  <c r="J184" i="26"/>
  <c r="I190" i="26"/>
  <c r="I171" i="26"/>
  <c r="I183" i="26"/>
  <c r="I165" i="26"/>
  <c r="I163" i="26"/>
  <c r="I189" i="26"/>
  <c r="I168" i="26"/>
  <c r="J171" i="26"/>
  <c r="I184" i="26"/>
  <c r="I186" i="26"/>
  <c r="J181" i="26"/>
  <c r="J166" i="26"/>
  <c r="J168" i="26"/>
  <c r="I181" i="26"/>
  <c r="N176" i="25"/>
  <c r="J214" i="25"/>
  <c r="I174" i="26"/>
  <c r="I188" i="26"/>
  <c r="J187" i="26"/>
  <c r="J189" i="26"/>
  <c r="J163" i="26"/>
  <c r="J182" i="26"/>
  <c r="I169" i="26"/>
  <c r="I185" i="26"/>
  <c r="I162" i="26"/>
  <c r="J186" i="26"/>
  <c r="J185" i="26"/>
  <c r="AK13" i="27"/>
  <c r="I182" i="26"/>
  <c r="AL9" i="24"/>
  <c r="J191" i="26" l="1"/>
  <c r="AM12" i="24"/>
  <c r="I212" i="26"/>
  <c r="AK10" i="27"/>
  <c r="F193" i="26"/>
  <c r="N138" i="25"/>
  <c r="J169" i="26"/>
  <c r="J138" i="25"/>
  <c r="J164" i="26"/>
  <c r="J170" i="26"/>
  <c r="AK11" i="27"/>
  <c r="J162" i="26"/>
  <c r="C193" i="26"/>
  <c r="I200" i="26"/>
  <c r="N141" i="28"/>
  <c r="J167" i="26"/>
  <c r="J172" i="26" l="1"/>
  <c r="J206" i="26"/>
  <c r="J200" i="26"/>
  <c r="I206" i="26"/>
  <c r="C174" i="26"/>
  <c r="I201" i="26"/>
  <c r="I203" i="26"/>
  <c r="I208" i="26"/>
  <c r="B194" i="26"/>
  <c r="N119" i="25"/>
  <c r="I124" i="26"/>
  <c r="I202" i="26"/>
  <c r="I204" i="26"/>
  <c r="I207" i="26"/>
  <c r="F194" i="26"/>
  <c r="F174" i="26"/>
  <c r="N90" i="28"/>
  <c r="I136" i="26"/>
  <c r="N107" i="28"/>
  <c r="I209" i="26"/>
  <c r="AL10" i="24"/>
  <c r="J205" i="26"/>
  <c r="I205" i="26"/>
  <c r="AM17" i="24" l="1"/>
  <c r="I130" i="26"/>
  <c r="J132" i="26"/>
  <c r="I128" i="26"/>
  <c r="B213" i="26"/>
  <c r="J127" i="26"/>
  <c r="J124" i="26"/>
  <c r="I126" i="26"/>
  <c r="J202" i="26"/>
  <c r="J209" i="26"/>
  <c r="I133" i="26"/>
  <c r="F212" i="26"/>
  <c r="J128" i="26"/>
  <c r="J207" i="26"/>
  <c r="J233" i="25"/>
  <c r="F213" i="26"/>
  <c r="J204" i="26"/>
  <c r="I132" i="26"/>
  <c r="J201" i="26"/>
  <c r="I131" i="26"/>
  <c r="J126" i="26"/>
  <c r="J133" i="26"/>
  <c r="J203" i="26"/>
  <c r="J208" i="26"/>
  <c r="I127" i="26"/>
  <c r="J129" i="26"/>
  <c r="I125" i="26"/>
  <c r="I129" i="26"/>
  <c r="J210" i="26" l="1"/>
  <c r="I221" i="26"/>
  <c r="J222" i="26"/>
  <c r="I220" i="26"/>
  <c r="F136" i="26"/>
  <c r="I231" i="26"/>
  <c r="AL13" i="24"/>
  <c r="F137" i="26"/>
  <c r="C212" i="26"/>
  <c r="J131" i="26"/>
  <c r="F175" i="26"/>
  <c r="I226" i="26"/>
  <c r="I222" i="26"/>
  <c r="J125" i="26"/>
  <c r="B175" i="26"/>
  <c r="I227" i="26"/>
  <c r="I228" i="26"/>
  <c r="J226" i="26"/>
  <c r="I224" i="26"/>
  <c r="I219" i="26"/>
  <c r="I225" i="26"/>
  <c r="N81" i="25"/>
  <c r="AK8" i="27"/>
  <c r="J130" i="26"/>
  <c r="B137" i="26"/>
  <c r="I223" i="26"/>
  <c r="C136" i="26"/>
  <c r="J134" i="26" l="1"/>
  <c r="AM18" i="24"/>
  <c r="N56" i="28"/>
  <c r="J252" i="25"/>
  <c r="AL8" i="24"/>
  <c r="J47" i="29"/>
  <c r="J220" i="26"/>
  <c r="J225" i="26"/>
  <c r="J221" i="26"/>
  <c r="J224" i="26"/>
  <c r="J227" i="26"/>
  <c r="J228" i="26"/>
  <c r="J223" i="26"/>
  <c r="J219" i="26"/>
  <c r="J52" i="29" l="1"/>
  <c r="J229" i="26"/>
  <c r="F231" i="26"/>
  <c r="I243" i="26"/>
  <c r="F232" i="26"/>
  <c r="AK9" i="27"/>
  <c r="J242" i="26"/>
  <c r="I238" i="26"/>
  <c r="I240" i="26"/>
  <c r="I246" i="26"/>
  <c r="I250" i="26"/>
  <c r="I244" i="26"/>
  <c r="I239" i="26"/>
  <c r="I241" i="26"/>
  <c r="J247" i="26"/>
  <c r="J246" i="26"/>
  <c r="J243" i="26"/>
  <c r="I247" i="26"/>
  <c r="J238" i="26"/>
  <c r="B232" i="26"/>
  <c r="C231" i="26"/>
  <c r="I245" i="26"/>
  <c r="I242" i="26"/>
  <c r="N100" i="25"/>
  <c r="J239" i="26"/>
  <c r="AM19" i="24" l="1"/>
  <c r="AM13" i="24"/>
  <c r="I42" i="25"/>
  <c r="N73" i="28"/>
  <c r="J157" i="25"/>
  <c r="N157" i="25"/>
  <c r="J245" i="26"/>
  <c r="J258" i="26"/>
  <c r="J271" i="25"/>
  <c r="J240" i="26"/>
  <c r="I258" i="26"/>
  <c r="B251" i="26"/>
  <c r="J241" i="26"/>
  <c r="I143" i="26"/>
  <c r="J244" i="26"/>
  <c r="I257" i="26"/>
  <c r="J61" i="29"/>
  <c r="C250" i="26"/>
  <c r="I261" i="26"/>
  <c r="F250" i="26"/>
  <c r="AK12" i="27"/>
  <c r="F251" i="26"/>
  <c r="J69" i="29" l="1"/>
  <c r="I38" i="28"/>
  <c r="J248" i="26"/>
  <c r="I23" i="25"/>
  <c r="I260" i="26"/>
  <c r="I147" i="26"/>
  <c r="J264" i="26"/>
  <c r="J259" i="26"/>
  <c r="J261" i="26"/>
  <c r="J263" i="26"/>
  <c r="J260" i="26"/>
  <c r="I266" i="26"/>
  <c r="I264" i="26"/>
  <c r="I150" i="26"/>
  <c r="N124" i="28"/>
  <c r="I265" i="26"/>
  <c r="N62" i="25"/>
  <c r="I145" i="26"/>
  <c r="J147" i="26"/>
  <c r="I151" i="26"/>
  <c r="I148" i="26"/>
  <c r="I146" i="26"/>
  <c r="I259" i="26"/>
  <c r="I144" i="26"/>
  <c r="I262" i="26"/>
  <c r="J150" i="26"/>
  <c r="I155" i="26"/>
  <c r="J146" i="26"/>
  <c r="I263" i="26"/>
  <c r="J148" i="26"/>
  <c r="J257" i="26"/>
  <c r="I269" i="26"/>
  <c r="I149" i="26"/>
  <c r="I152" i="26"/>
  <c r="J143" i="26"/>
  <c r="AM20" i="24" l="1"/>
  <c r="AL22" i="24"/>
  <c r="J265" i="26"/>
  <c r="J152" i="26"/>
  <c r="J145" i="26"/>
  <c r="J290" i="25"/>
  <c r="F269" i="26"/>
  <c r="J149" i="26"/>
  <c r="J144" i="26"/>
  <c r="J151" i="26"/>
  <c r="J262" i="26"/>
  <c r="J266" i="26"/>
  <c r="F155" i="26"/>
  <c r="J267" i="26" l="1"/>
  <c r="J153" i="26"/>
  <c r="J277" i="26"/>
  <c r="F270" i="26"/>
  <c r="J280" i="26"/>
  <c r="I288" i="26"/>
  <c r="B156" i="26"/>
  <c r="C155" i="26"/>
  <c r="I279" i="26"/>
  <c r="I276" i="26"/>
  <c r="I283" i="26"/>
  <c r="I277" i="26"/>
  <c r="I319" i="26"/>
  <c r="I314" i="26"/>
  <c r="I281" i="26"/>
  <c r="I278" i="26"/>
  <c r="I285" i="26"/>
  <c r="C269" i="26"/>
  <c r="F288" i="26"/>
  <c r="F156" i="26"/>
  <c r="B270" i="26"/>
  <c r="J278" i="26"/>
  <c r="I280" i="26"/>
  <c r="J276" i="26"/>
  <c r="I284" i="26"/>
  <c r="I282" i="26"/>
  <c r="AM21" i="24" l="1"/>
  <c r="B289" i="26"/>
  <c r="I322" i="26"/>
  <c r="I318" i="26"/>
  <c r="I315" i="26"/>
  <c r="J282" i="26"/>
  <c r="I323" i="26"/>
  <c r="J315" i="26"/>
  <c r="F289" i="26"/>
  <c r="J285" i="26"/>
  <c r="J316" i="26"/>
  <c r="I320" i="26"/>
  <c r="J314" i="26"/>
  <c r="J281" i="26"/>
  <c r="I317" i="26"/>
  <c r="I321" i="26"/>
  <c r="I316" i="26"/>
  <c r="J309" i="25"/>
  <c r="J283" i="26"/>
  <c r="J284" i="26"/>
  <c r="J279" i="26"/>
  <c r="J319" i="26"/>
  <c r="J286" i="26" l="1"/>
  <c r="B327" i="26"/>
  <c r="J323" i="26"/>
  <c r="I304" i="26"/>
  <c r="J299" i="26"/>
  <c r="J304" i="26"/>
  <c r="I299" i="26"/>
  <c r="F307" i="26"/>
  <c r="I307" i="26"/>
  <c r="I298" i="26"/>
  <c r="J320" i="26"/>
  <c r="J317" i="26"/>
  <c r="F327" i="26"/>
  <c r="I302" i="26"/>
  <c r="I296" i="26"/>
  <c r="I300" i="26"/>
  <c r="I301" i="26"/>
  <c r="I295" i="26"/>
  <c r="C326" i="26"/>
  <c r="F326" i="26"/>
  <c r="J301" i="26"/>
  <c r="J321" i="26"/>
  <c r="I297" i="26"/>
  <c r="J322" i="26"/>
  <c r="J295" i="26"/>
  <c r="C288" i="26"/>
  <c r="J318" i="26"/>
  <c r="I303" i="26"/>
  <c r="J297" i="26"/>
  <c r="J298" i="26"/>
  <c r="J324" i="26" l="1"/>
  <c r="J296" i="26"/>
  <c r="C307" i="26"/>
  <c r="B308" i="26"/>
  <c r="F308" i="26"/>
  <c r="J303" i="26"/>
  <c r="J300" i="26"/>
  <c r="J302" i="26"/>
  <c r="J305" i="26" l="1"/>
  <c r="J93" i="26"/>
  <c r="I56" i="26"/>
  <c r="J49" i="26"/>
  <c r="J86" i="26"/>
  <c r="I89" i="26"/>
  <c r="I75" i="26"/>
  <c r="F60" i="26"/>
  <c r="F117" i="26"/>
  <c r="F61" i="26"/>
  <c r="I91" i="26"/>
  <c r="I51" i="26"/>
  <c r="I49" i="26"/>
  <c r="J68" i="26"/>
  <c r="J87" i="26"/>
  <c r="I55" i="26"/>
  <c r="I108" i="26"/>
  <c r="I52" i="26"/>
  <c r="J108" i="26"/>
  <c r="J74" i="26"/>
  <c r="I73" i="26"/>
  <c r="J57" i="26"/>
  <c r="F99" i="26"/>
  <c r="J110" i="26"/>
  <c r="I113" i="26"/>
  <c r="J105" i="26"/>
  <c r="J56" i="26"/>
  <c r="J55" i="26"/>
  <c r="I50" i="26"/>
  <c r="C79" i="26"/>
  <c r="B118" i="26"/>
  <c r="J48" i="26"/>
  <c r="I88" i="26"/>
  <c r="F79" i="26"/>
  <c r="J91" i="26"/>
  <c r="J88" i="26"/>
  <c r="I92" i="26"/>
  <c r="J73" i="26"/>
  <c r="I86" i="26"/>
  <c r="I54" i="26"/>
  <c r="C60" i="26"/>
  <c r="I106" i="26"/>
  <c r="J109" i="26"/>
  <c r="I48" i="26"/>
  <c r="J76" i="26"/>
  <c r="I109" i="26"/>
  <c r="C117" i="26"/>
  <c r="I114" i="26"/>
  <c r="J114" i="26"/>
  <c r="F80" i="26"/>
  <c r="F98" i="26"/>
  <c r="B99" i="26"/>
  <c r="J67" i="26"/>
  <c r="J52" i="26"/>
  <c r="I72" i="26"/>
  <c r="J107" i="26"/>
  <c r="I112" i="26"/>
  <c r="I76" i="26"/>
  <c r="J69" i="26"/>
  <c r="J50" i="26"/>
  <c r="C98" i="26"/>
  <c r="I105" i="26"/>
  <c r="I107" i="26"/>
  <c r="I70" i="26"/>
  <c r="I74" i="26"/>
  <c r="I90" i="26"/>
  <c r="I87" i="26"/>
  <c r="I53" i="26"/>
  <c r="J112" i="26"/>
  <c r="I69" i="26"/>
  <c r="J75" i="26"/>
  <c r="J90" i="26"/>
  <c r="J72" i="26"/>
  <c r="I93" i="26"/>
  <c r="I57" i="26"/>
  <c r="J51" i="26"/>
  <c r="J89" i="26"/>
  <c r="I110" i="26"/>
  <c r="B80" i="26"/>
  <c r="I68" i="26"/>
  <c r="J54" i="26"/>
  <c r="F118" i="26"/>
  <c r="J53" i="26"/>
  <c r="J113" i="26"/>
  <c r="I67" i="26"/>
  <c r="B61" i="26"/>
  <c r="J106" i="26"/>
  <c r="J92" i="26"/>
  <c r="J70" i="26"/>
  <c r="J58" i="26" l="1"/>
  <c r="I111" i="26"/>
  <c r="I94" i="26"/>
  <c r="J111" i="26"/>
  <c r="J94" i="26"/>
  <c r="J115" i="26" l="1"/>
  <c r="I71" i="26"/>
  <c r="J71" i="26"/>
  <c r="AM11" i="24" l="1"/>
  <c r="AM9" i="24"/>
  <c r="J77" i="26"/>
  <c r="J95" i="26"/>
  <c r="J119" i="25"/>
  <c r="J81" i="25"/>
  <c r="I95" i="26"/>
  <c r="AM10" i="24" l="1"/>
  <c r="J96" i="26"/>
  <c r="AM8" i="24"/>
  <c r="X23" i="25"/>
  <c r="W23" i="25"/>
  <c r="P20" i="25"/>
  <c r="P15" i="25"/>
  <c r="P16" i="25"/>
  <c r="P21" i="25"/>
  <c r="AL6" i="24"/>
  <c r="J62" i="25"/>
  <c r="P14" i="25"/>
  <c r="P13" i="25"/>
  <c r="P22" i="25"/>
  <c r="P19" i="25"/>
  <c r="P18" i="25"/>
  <c r="I79" i="26"/>
  <c r="I117" i="26"/>
  <c r="P17" i="25"/>
  <c r="J100" i="25"/>
  <c r="R17" i="25" l="1"/>
  <c r="K17" i="25" s="1"/>
  <c r="G17" i="25"/>
  <c r="R16" i="25"/>
  <c r="K16" i="25" s="1"/>
  <c r="G16" i="25"/>
  <c r="G13" i="25"/>
  <c r="R13" i="25"/>
  <c r="K13" i="25" s="1"/>
  <c r="R15" i="25"/>
  <c r="K15" i="25" s="1"/>
  <c r="G15" i="25"/>
  <c r="G14" i="25"/>
  <c r="R14" i="25"/>
  <c r="K14" i="25" s="1"/>
  <c r="R21" i="25"/>
  <c r="K21" i="25" s="1"/>
  <c r="G21" i="25"/>
  <c r="R20" i="25"/>
  <c r="K20" i="25" s="1"/>
  <c r="G20" i="25"/>
  <c r="R19" i="25"/>
  <c r="K19" i="25" s="1"/>
  <c r="G19" i="25"/>
  <c r="G22" i="25"/>
  <c r="R22" i="25"/>
  <c r="K22" i="25" s="1"/>
  <c r="G23" i="25"/>
  <c r="R18" i="25"/>
  <c r="M18" i="25" s="1"/>
  <c r="I98" i="26"/>
  <c r="I39" i="34"/>
  <c r="I60" i="26"/>
  <c r="M19" i="25" l="1"/>
  <c r="N19" i="25" s="1"/>
  <c r="M13" i="25"/>
  <c r="M21" i="25"/>
  <c r="N21" i="25" s="1"/>
  <c r="M14" i="25"/>
  <c r="M16" i="25"/>
  <c r="M22" i="25"/>
  <c r="M20" i="25"/>
  <c r="M15" i="25"/>
  <c r="M17" i="25"/>
  <c r="K23" i="25"/>
  <c r="K18" i="25"/>
  <c r="I19" i="26"/>
  <c r="I13" i="26"/>
  <c r="I36" i="34"/>
  <c r="I15" i="26"/>
  <c r="J18" i="26"/>
  <c r="I42" i="34"/>
  <c r="I16" i="26"/>
  <c r="I12" i="26"/>
  <c r="I10" i="26"/>
  <c r="I11" i="26"/>
  <c r="I38" i="34"/>
  <c r="I34" i="34"/>
  <c r="I18" i="26"/>
  <c r="I41" i="34"/>
  <c r="I43" i="34"/>
  <c r="I35" i="34"/>
  <c r="I17" i="26"/>
  <c r="J42" i="34"/>
  <c r="I37" i="34"/>
  <c r="I14" i="26"/>
  <c r="J40" i="34"/>
  <c r="I40" i="34"/>
  <c r="J16" i="26"/>
  <c r="N13" i="25" l="1"/>
  <c r="V13" i="25" s="1"/>
  <c r="N20" i="25"/>
  <c r="N22" i="25"/>
  <c r="N15" i="25"/>
  <c r="V19" i="25"/>
  <c r="N16" i="25"/>
  <c r="N14" i="25"/>
  <c r="N17" i="25"/>
  <c r="V21" i="25"/>
  <c r="N18" i="25"/>
  <c r="J39" i="34"/>
  <c r="J17" i="26"/>
  <c r="J15" i="26"/>
  <c r="J37" i="34"/>
  <c r="J11" i="26"/>
  <c r="J10" i="26"/>
  <c r="J35" i="34"/>
  <c r="J13" i="26"/>
  <c r="J38" i="34"/>
  <c r="J41" i="34"/>
  <c r="J43" i="34"/>
  <c r="J12" i="26"/>
  <c r="J34" i="34"/>
  <c r="J19" i="26"/>
  <c r="J14" i="26"/>
  <c r="J36" i="34"/>
  <c r="V14" i="25" l="1"/>
  <c r="V16" i="25"/>
  <c r="V17" i="25"/>
  <c r="V15" i="25"/>
  <c r="V22" i="25"/>
  <c r="V20" i="25"/>
  <c r="J44" i="34"/>
  <c r="M23" i="25"/>
  <c r="J20" i="26"/>
  <c r="L24" i="25"/>
  <c r="V18" i="25"/>
  <c r="W42" i="25"/>
  <c r="P37" i="25"/>
  <c r="P40" i="25"/>
  <c r="P36" i="25"/>
  <c r="P34" i="25"/>
  <c r="P32" i="25"/>
  <c r="P35" i="25"/>
  <c r="P38" i="25"/>
  <c r="C22" i="26"/>
  <c r="P33" i="25"/>
  <c r="AK6" i="24"/>
  <c r="P41" i="25"/>
  <c r="P39" i="25"/>
  <c r="AJ6" i="24"/>
  <c r="V23" i="25" l="1"/>
  <c r="B24" i="25" s="1"/>
  <c r="D75" i="34"/>
  <c r="D73" i="34"/>
  <c r="AM6" i="24"/>
  <c r="H24" i="25"/>
  <c r="R34" i="25"/>
  <c r="K34" i="25" s="1"/>
  <c r="G34" i="25"/>
  <c r="G39" i="25"/>
  <c r="R39" i="25"/>
  <c r="K39" i="25" s="1"/>
  <c r="R33" i="25"/>
  <c r="K33" i="25" s="1"/>
  <c r="G33" i="25"/>
  <c r="R35" i="25"/>
  <c r="K35" i="25" s="1"/>
  <c r="G35" i="25"/>
  <c r="G36" i="25"/>
  <c r="R36" i="25"/>
  <c r="K36" i="25" s="1"/>
  <c r="G42" i="25"/>
  <c r="R32" i="25"/>
  <c r="G32" i="25"/>
  <c r="R41" i="25"/>
  <c r="K41" i="25" s="1"/>
  <c r="G41" i="25"/>
  <c r="R40" i="25"/>
  <c r="K40" i="25" s="1"/>
  <c r="G40" i="25"/>
  <c r="R38" i="25"/>
  <c r="K38" i="25" s="1"/>
  <c r="G38" i="25"/>
  <c r="R37" i="25"/>
  <c r="K37" i="25" s="1"/>
  <c r="G37" i="25"/>
  <c r="B23" i="26"/>
  <c r="N24" i="25"/>
  <c r="F22" i="26"/>
  <c r="AL7" i="24"/>
  <c r="J24" i="25"/>
  <c r="E24" i="25" l="1"/>
  <c r="M34" i="25"/>
  <c r="M37" i="25"/>
  <c r="M40" i="25"/>
  <c r="K42" i="25"/>
  <c r="K32" i="25"/>
  <c r="M33" i="25"/>
  <c r="M36" i="25"/>
  <c r="M39" i="25"/>
  <c r="M41" i="25"/>
  <c r="M32" i="25"/>
  <c r="M38" i="25"/>
  <c r="M35" i="25"/>
  <c r="X42" i="25"/>
  <c r="I110" i="34"/>
  <c r="I32" i="26"/>
  <c r="I30" i="26"/>
  <c r="I33" i="26"/>
  <c r="I105" i="34"/>
  <c r="I29" i="26"/>
  <c r="I111" i="34"/>
  <c r="I109" i="34"/>
  <c r="I112" i="34"/>
  <c r="I34" i="26"/>
  <c r="I104" i="34"/>
  <c r="I103" i="34"/>
  <c r="I106" i="34"/>
  <c r="I107" i="34"/>
  <c r="I36" i="26"/>
  <c r="F23" i="26"/>
  <c r="I38" i="26"/>
  <c r="I22" i="26"/>
  <c r="I31" i="26"/>
  <c r="I35" i="26"/>
  <c r="I108" i="34"/>
  <c r="N33" i="25" l="1"/>
  <c r="N40" i="25"/>
  <c r="N32" i="25"/>
  <c r="N37" i="25"/>
  <c r="N34" i="25"/>
  <c r="N39" i="25"/>
  <c r="N35" i="25"/>
  <c r="N38" i="25"/>
  <c r="N36" i="25"/>
  <c r="N41" i="25"/>
  <c r="J110" i="34"/>
  <c r="J36" i="26"/>
  <c r="J103" i="34"/>
  <c r="J108" i="34"/>
  <c r="J105" i="34"/>
  <c r="J34" i="26"/>
  <c r="J106" i="34"/>
  <c r="J30" i="26"/>
  <c r="J31" i="26"/>
  <c r="J109" i="34"/>
  <c r="J33" i="26"/>
  <c r="J32" i="26"/>
  <c r="J107" i="34"/>
  <c r="J111" i="34"/>
  <c r="J104" i="34"/>
  <c r="J37" i="26"/>
  <c r="J112" i="34"/>
  <c r="J29" i="26"/>
  <c r="J35" i="26"/>
  <c r="J113" i="34" l="1"/>
  <c r="V37" i="25"/>
  <c r="V32" i="25"/>
  <c r="V40" i="25"/>
  <c r="V33" i="25"/>
  <c r="V34" i="25"/>
  <c r="M42" i="25"/>
  <c r="L43" i="25"/>
  <c r="V41" i="25"/>
  <c r="V36" i="25"/>
  <c r="V38" i="25"/>
  <c r="V35" i="25"/>
  <c r="V39" i="25"/>
  <c r="AJ7" i="24"/>
  <c r="AK7" i="24"/>
  <c r="I37" i="26"/>
  <c r="C41" i="26"/>
  <c r="H43" i="25" l="1"/>
  <c r="D142" i="34"/>
  <c r="D144" i="34"/>
  <c r="AM7" i="24"/>
  <c r="V42" i="25"/>
  <c r="B43" i="25" s="1"/>
  <c r="B42" i="26"/>
  <c r="J38" i="26"/>
  <c r="J43" i="25"/>
  <c r="C38" i="26"/>
  <c r="N43" i="25"/>
  <c r="F41" i="26"/>
  <c r="J39" i="26" l="1"/>
  <c r="E43" i="25"/>
  <c r="W540" i="31"/>
  <c r="W524" i="31"/>
  <c r="W380" i="31"/>
  <c r="W220" i="31"/>
  <c r="W92" i="31"/>
  <c r="F42" i="26"/>
  <c r="W204" i="31"/>
  <c r="W76" i="31"/>
  <c r="W108" i="31"/>
  <c r="W44" i="31"/>
  <c r="W300" i="31"/>
  <c r="W364" i="31"/>
  <c r="W140" i="31"/>
  <c r="W476" i="31"/>
  <c r="W460" i="31"/>
  <c r="W252" i="31"/>
  <c r="I41" i="26"/>
  <c r="W332" i="31"/>
  <c r="W572" i="31"/>
  <c r="W284" i="31"/>
  <c r="W428" i="31"/>
  <c r="W604" i="31"/>
  <c r="W508" i="31"/>
  <c r="W268" i="31"/>
  <c r="W444" i="31"/>
  <c r="W316" i="31"/>
  <c r="W556" i="31"/>
  <c r="W156" i="31"/>
  <c r="W236" i="31"/>
  <c r="W188" i="31"/>
  <c r="W588" i="31"/>
  <c r="W124" i="31"/>
  <c r="W492" i="31"/>
  <c r="W60" i="31"/>
  <c r="W348" i="31"/>
  <c r="W396" i="31"/>
  <c r="W172" i="31"/>
  <c r="W412" i="31"/>
  <c r="W388" i="31" l="1"/>
  <c r="W404" i="31"/>
  <c r="W420" i="31"/>
  <c r="W436" i="31"/>
  <c r="W452" i="31"/>
  <c r="W468" i="31"/>
  <c r="W484" i="31"/>
  <c r="W500" i="31"/>
  <c r="W516" i="31"/>
  <c r="W532" i="31"/>
  <c r="W548" i="31"/>
  <c r="W564" i="31"/>
  <c r="W580" i="31"/>
  <c r="W596" i="31"/>
  <c r="W612" i="31"/>
  <c r="W52" i="31"/>
  <c r="W84" i="31"/>
  <c r="W68" i="31"/>
  <c r="W100" i="31"/>
  <c r="W116" i="31"/>
  <c r="W132" i="31"/>
  <c r="W148" i="31"/>
  <c r="W164" i="31"/>
  <c r="W180" i="31"/>
  <c r="W196" i="31"/>
  <c r="W212" i="31"/>
  <c r="W228" i="31"/>
  <c r="W244" i="31"/>
  <c r="W260" i="31"/>
  <c r="W276" i="31"/>
  <c r="W292" i="31"/>
  <c r="W324" i="31"/>
  <c r="W308" i="31"/>
  <c r="W340" i="31"/>
  <c r="W356" i="31"/>
  <c r="W372" i="31"/>
  <c r="P544" i="31"/>
  <c r="P450" i="31"/>
  <c r="P609" i="31"/>
  <c r="P462" i="31"/>
  <c r="P494" i="31"/>
  <c r="P563" i="31"/>
  <c r="P595" i="31"/>
  <c r="P479" i="31"/>
  <c r="P509" i="31"/>
  <c r="P415" i="31"/>
  <c r="P529" i="31"/>
  <c r="P574" i="31"/>
  <c r="P430" i="31"/>
  <c r="P432" i="31"/>
  <c r="P510" i="31"/>
  <c r="P434" i="31"/>
  <c r="P451" i="31"/>
  <c r="P418" i="31"/>
  <c r="P463" i="31"/>
  <c r="P547" i="31"/>
  <c r="P608" i="31"/>
  <c r="P466" i="31"/>
  <c r="P499" i="31"/>
  <c r="P561" i="31"/>
  <c r="P591" i="31"/>
  <c r="P478" i="31"/>
  <c r="P514" i="31"/>
  <c r="P413" i="31"/>
  <c r="P526" i="31"/>
  <c r="P589" i="31"/>
  <c r="P445" i="31"/>
  <c r="P513" i="31"/>
  <c r="P449" i="31"/>
  <c r="P464" i="31"/>
  <c r="P562" i="31"/>
  <c r="P477" i="31"/>
  <c r="P577" i="31"/>
  <c r="P433" i="31"/>
  <c r="P530" i="31"/>
  <c r="P429" i="31"/>
  <c r="P527" i="31"/>
  <c r="P579" i="31"/>
  <c r="P528" i="31"/>
  <c r="P575" i="31"/>
  <c r="P610" i="31"/>
  <c r="P496" i="31"/>
  <c r="P558" i="31"/>
  <c r="P512" i="31"/>
  <c r="P525" i="31"/>
  <c r="P542" i="31"/>
  <c r="P545" i="31"/>
  <c r="P607" i="31"/>
  <c r="P467" i="31"/>
  <c r="P493" i="31"/>
  <c r="P557" i="31"/>
  <c r="P594" i="31"/>
  <c r="P481" i="31"/>
  <c r="P511" i="31"/>
  <c r="P419" i="31"/>
  <c r="P573" i="31"/>
  <c r="P543" i="31"/>
  <c r="P480" i="31"/>
  <c r="P576" i="31"/>
  <c r="P461" i="31"/>
  <c r="P495" i="31"/>
  <c r="P559" i="31"/>
  <c r="P482" i="31"/>
  <c r="P515" i="31"/>
  <c r="P416" i="31"/>
  <c r="P605" i="31"/>
  <c r="P546" i="31"/>
  <c r="P448" i="31"/>
  <c r="P606" i="31"/>
  <c r="P497" i="31"/>
  <c r="P560" i="31"/>
  <c r="P590" i="31"/>
  <c r="P483" i="31"/>
  <c r="P417" i="31"/>
  <c r="P531" i="31"/>
  <c r="P578" i="31"/>
  <c r="P431" i="31"/>
  <c r="P447" i="31"/>
  <c r="P498" i="31"/>
  <c r="P592" i="31"/>
  <c r="P435" i="31"/>
  <c r="P446" i="31"/>
  <c r="P593" i="31"/>
  <c r="P414" i="31"/>
  <c r="P541" i="31"/>
  <c r="P611" i="31"/>
  <c r="P465" i="31"/>
  <c r="P368" i="31"/>
  <c r="P47" i="31"/>
  <c r="P95" i="31"/>
  <c r="P77" i="31"/>
  <c r="AL41" i="32"/>
  <c r="AL20" i="32"/>
  <c r="P142" i="31"/>
  <c r="P238" i="31"/>
  <c r="P113" i="31"/>
  <c r="P240" i="31"/>
  <c r="P285" i="31"/>
  <c r="P271" i="31"/>
  <c r="P287" i="31"/>
  <c r="P193" i="31"/>
  <c r="AL35" i="32"/>
  <c r="P205" i="31"/>
  <c r="AL14" i="32"/>
  <c r="P350" i="31"/>
  <c r="P272" i="31"/>
  <c r="P241" i="31"/>
  <c r="P335" i="31"/>
  <c r="P82" i="31"/>
  <c r="AL9" i="32"/>
  <c r="AL18" i="32"/>
  <c r="P270" i="31"/>
  <c r="P275" i="31"/>
  <c r="AL22" i="32"/>
  <c r="P131" i="31"/>
  <c r="P111" i="31"/>
  <c r="P370" i="31"/>
  <c r="P80" i="31"/>
  <c r="P94" i="31"/>
  <c r="P158" i="31"/>
  <c r="P162" i="31"/>
  <c r="P173" i="31"/>
  <c r="P371" i="31"/>
  <c r="P225" i="31"/>
  <c r="P98" i="31"/>
  <c r="P321" i="31"/>
  <c r="P49" i="31"/>
  <c r="P339" i="31"/>
  <c r="P81" i="31"/>
  <c r="P67" i="31"/>
  <c r="P269" i="31"/>
  <c r="AL37" i="32"/>
  <c r="P175" i="31"/>
  <c r="P178" i="31"/>
  <c r="P163" i="31"/>
  <c r="P365" i="31"/>
  <c r="P305" i="31"/>
  <c r="P381" i="31"/>
  <c r="AL23" i="32"/>
  <c r="P243" i="31"/>
  <c r="P48" i="31"/>
  <c r="P307" i="31"/>
  <c r="P351" i="31"/>
  <c r="P51" i="31"/>
  <c r="P63" i="31"/>
  <c r="P61" i="31"/>
  <c r="P398" i="31"/>
  <c r="P367" i="31"/>
  <c r="P126" i="31"/>
  <c r="P195" i="31"/>
  <c r="P239" i="31"/>
  <c r="P222" i="31"/>
  <c r="AL19" i="32"/>
  <c r="AL26" i="32"/>
  <c r="P256" i="31"/>
  <c r="P385" i="31"/>
  <c r="P161" i="31"/>
  <c r="P354" i="31"/>
  <c r="P65" i="31"/>
  <c r="P207" i="31"/>
  <c r="P349" i="31"/>
  <c r="P355" i="31"/>
  <c r="P46" i="31"/>
  <c r="P96" i="31"/>
  <c r="P125" i="31"/>
  <c r="P303" i="31"/>
  <c r="P189" i="31"/>
  <c r="P227" i="31"/>
  <c r="P129" i="31"/>
  <c r="P319" i="31"/>
  <c r="AL15" i="32"/>
  <c r="P291" i="31"/>
  <c r="P352" i="31"/>
  <c r="AL30" i="32"/>
  <c r="P224" i="31"/>
  <c r="P97" i="31"/>
  <c r="P160" i="31"/>
  <c r="P190" i="31"/>
  <c r="P157" i="31"/>
  <c r="P369" i="31"/>
  <c r="AL43" i="32"/>
  <c r="P386" i="31"/>
  <c r="P79" i="31"/>
  <c r="P286" i="31"/>
  <c r="P255" i="31"/>
  <c r="P337" i="31"/>
  <c r="P147" i="31"/>
  <c r="P383" i="31"/>
  <c r="P387" i="31"/>
  <c r="P208" i="31"/>
  <c r="P289" i="31"/>
  <c r="AL17" i="32"/>
  <c r="P206" i="31"/>
  <c r="P318" i="31"/>
  <c r="AL27" i="32"/>
  <c r="P128" i="31"/>
  <c r="AL29" i="32"/>
  <c r="P78" i="31"/>
  <c r="P306" i="31"/>
  <c r="P302" i="31"/>
  <c r="P191" i="31"/>
  <c r="P320" i="31"/>
  <c r="P402" i="31"/>
  <c r="P83" i="31"/>
  <c r="AL31" i="32"/>
  <c r="P209" i="31"/>
  <c r="P192" i="31"/>
  <c r="P93" i="31"/>
  <c r="P114" i="31"/>
  <c r="P400" i="31"/>
  <c r="P274" i="31"/>
  <c r="P112" i="31"/>
  <c r="P254" i="31"/>
  <c r="P258" i="31"/>
  <c r="P259" i="31"/>
  <c r="P130" i="31"/>
  <c r="P115" i="31"/>
  <c r="AL39" i="32"/>
  <c r="P253" i="31"/>
  <c r="P382" i="31"/>
  <c r="AL36" i="32"/>
  <c r="P145" i="31"/>
  <c r="P353" i="31"/>
  <c r="P127" i="31"/>
  <c r="AL21" i="32"/>
  <c r="P304" i="31"/>
  <c r="P221" i="31"/>
  <c r="AL32" i="32"/>
  <c r="AL38" i="32"/>
  <c r="P66" i="31"/>
  <c r="P159" i="31"/>
  <c r="P301" i="31"/>
  <c r="AL12" i="32"/>
  <c r="P257" i="31"/>
  <c r="AL13" i="32"/>
  <c r="AL8" i="32"/>
  <c r="P109" i="31"/>
  <c r="AL40" i="32"/>
  <c r="AL11" i="32"/>
  <c r="P323" i="31"/>
  <c r="P143" i="31"/>
  <c r="P317" i="31"/>
  <c r="P288" i="31"/>
  <c r="AL28" i="32"/>
  <c r="AL25" i="32"/>
  <c r="P179" i="31"/>
  <c r="P174" i="31"/>
  <c r="AL16" i="32"/>
  <c r="P399" i="31"/>
  <c r="P194" i="31"/>
  <c r="AL34" i="32"/>
  <c r="AL10" i="32"/>
  <c r="P64" i="31"/>
  <c r="P177" i="31"/>
  <c r="AL42" i="32"/>
  <c r="P384" i="31"/>
  <c r="P403" i="31"/>
  <c r="P242" i="31"/>
  <c r="P146" i="31"/>
  <c r="P210" i="31"/>
  <c r="P338" i="31"/>
  <c r="P226" i="31"/>
  <c r="P336" i="31"/>
  <c r="P237" i="31"/>
  <c r="P223" i="31"/>
  <c r="P366" i="31"/>
  <c r="P110" i="31"/>
  <c r="P141" i="31"/>
  <c r="P62" i="31"/>
  <c r="P99" i="31"/>
  <c r="P334" i="31"/>
  <c r="P397" i="31"/>
  <c r="P290" i="31"/>
  <c r="P176" i="31"/>
  <c r="P144" i="31"/>
  <c r="P401" i="31"/>
  <c r="AL33" i="32"/>
  <c r="P50" i="31"/>
  <c r="P45" i="31"/>
  <c r="P273" i="31"/>
  <c r="P333" i="31"/>
  <c r="P211" i="31"/>
  <c r="AL24" i="32"/>
  <c r="P322" i="31"/>
  <c r="R273" i="31" l="1"/>
  <c r="K273" i="31" s="1"/>
  <c r="G273" i="31"/>
  <c r="R269" i="31"/>
  <c r="G276" i="31"/>
  <c r="G269" i="31"/>
  <c r="G274" i="31"/>
  <c r="R274" i="31"/>
  <c r="K274" i="31" s="1"/>
  <c r="G271" i="31"/>
  <c r="R271" i="31"/>
  <c r="K271" i="31" s="1"/>
  <c r="R270" i="31"/>
  <c r="K270" i="31" s="1"/>
  <c r="G270" i="31"/>
  <c r="G275" i="31"/>
  <c r="R275" i="31"/>
  <c r="K275" i="31" s="1"/>
  <c r="R272" i="31"/>
  <c r="K272" i="31" s="1"/>
  <c r="G272" i="31"/>
  <c r="R111" i="31"/>
  <c r="K111" i="31" s="1"/>
  <c r="G111" i="31"/>
  <c r="R113" i="31"/>
  <c r="K113" i="31" s="1"/>
  <c r="G113" i="31"/>
  <c r="R112" i="31"/>
  <c r="K112" i="31" s="1"/>
  <c r="G112" i="31"/>
  <c r="G115" i="31"/>
  <c r="R115" i="31"/>
  <c r="K115" i="31" s="1"/>
  <c r="R110" i="31"/>
  <c r="K110" i="31" s="1"/>
  <c r="G110" i="31"/>
  <c r="G114" i="31"/>
  <c r="R114" i="31"/>
  <c r="K114" i="31" s="1"/>
  <c r="G109" i="31"/>
  <c r="G116" i="31"/>
  <c r="R109" i="31"/>
  <c r="R525" i="31"/>
  <c r="M525" i="31" s="1"/>
  <c r="G525" i="31"/>
  <c r="G532" i="31"/>
  <c r="R531" i="31"/>
  <c r="K531" i="31" s="1"/>
  <c r="G531" i="31"/>
  <c r="R528" i="31"/>
  <c r="K528" i="31" s="1"/>
  <c r="G528" i="31"/>
  <c r="G527" i="31"/>
  <c r="R527" i="31"/>
  <c r="K527" i="31" s="1"/>
  <c r="G530" i="31"/>
  <c r="R530" i="31"/>
  <c r="K530" i="31" s="1"/>
  <c r="R526" i="31"/>
  <c r="K526" i="31" s="1"/>
  <c r="G526" i="31"/>
  <c r="G529" i="31"/>
  <c r="R529" i="31"/>
  <c r="K529" i="31" s="1"/>
  <c r="R435" i="31"/>
  <c r="K435" i="31" s="1"/>
  <c r="G435" i="31"/>
  <c r="R431" i="31"/>
  <c r="K431" i="31" s="1"/>
  <c r="G431" i="31"/>
  <c r="G434" i="31"/>
  <c r="R434" i="31"/>
  <c r="K434" i="31" s="1"/>
  <c r="R432" i="31"/>
  <c r="K432" i="31" s="1"/>
  <c r="G432" i="31"/>
  <c r="R429" i="31"/>
  <c r="G436" i="31"/>
  <c r="G429" i="31"/>
  <c r="G433" i="31"/>
  <c r="R433" i="31"/>
  <c r="K433" i="31" s="1"/>
  <c r="G430" i="31"/>
  <c r="R430" i="31"/>
  <c r="K430" i="31" s="1"/>
  <c r="G208" i="31"/>
  <c r="R208" i="31"/>
  <c r="K208" i="31" s="1"/>
  <c r="R209" i="31"/>
  <c r="K209" i="31" s="1"/>
  <c r="G209" i="31"/>
  <c r="R210" i="31"/>
  <c r="K210" i="31" s="1"/>
  <c r="G210" i="31"/>
  <c r="R211" i="31"/>
  <c r="K211" i="31" s="1"/>
  <c r="G211" i="31"/>
  <c r="G206" i="31"/>
  <c r="R206" i="31"/>
  <c r="K206" i="31" s="1"/>
  <c r="G205" i="31"/>
  <c r="R205" i="31"/>
  <c r="G212" i="31"/>
  <c r="R207" i="31"/>
  <c r="K207" i="31" s="1"/>
  <c r="G207" i="31"/>
  <c r="R179" i="31"/>
  <c r="K179" i="31" s="1"/>
  <c r="G179" i="31"/>
  <c r="G180" i="31"/>
  <c r="R173" i="31"/>
  <c r="G173" i="31"/>
  <c r="R175" i="31"/>
  <c r="K175" i="31" s="1"/>
  <c r="G175" i="31"/>
  <c r="G178" i="31"/>
  <c r="R178" i="31"/>
  <c r="K178" i="31" s="1"/>
  <c r="G176" i="31"/>
  <c r="R176" i="31"/>
  <c r="K176" i="31" s="1"/>
  <c r="R174" i="31"/>
  <c r="K174" i="31" s="1"/>
  <c r="G174" i="31"/>
  <c r="G177" i="31"/>
  <c r="R177" i="31"/>
  <c r="K177" i="31" s="1"/>
  <c r="R301" i="31"/>
  <c r="G301" i="31"/>
  <c r="G308" i="31"/>
  <c r="G303" i="31"/>
  <c r="R303" i="31"/>
  <c r="K303" i="31" s="1"/>
  <c r="G306" i="31"/>
  <c r="R306" i="31"/>
  <c r="K306" i="31" s="1"/>
  <c r="G307" i="31"/>
  <c r="R307" i="31"/>
  <c r="K307" i="31" s="1"/>
  <c r="G305" i="31"/>
  <c r="R305" i="31"/>
  <c r="K305" i="31" s="1"/>
  <c r="G302" i="31"/>
  <c r="R302" i="31"/>
  <c r="K302" i="31" s="1"/>
  <c r="R304" i="31"/>
  <c r="K304" i="31" s="1"/>
  <c r="G304" i="31"/>
  <c r="G163" i="31"/>
  <c r="R163" i="31"/>
  <c r="K163" i="31" s="1"/>
  <c r="G162" i="31"/>
  <c r="R162" i="31"/>
  <c r="K162" i="31" s="1"/>
  <c r="R160" i="31"/>
  <c r="K160" i="31" s="1"/>
  <c r="G160" i="31"/>
  <c r="G161" i="31"/>
  <c r="R161" i="31"/>
  <c r="K161" i="31" s="1"/>
  <c r="R157" i="31"/>
  <c r="G157" i="31"/>
  <c r="G164" i="31"/>
  <c r="G159" i="31"/>
  <c r="R159" i="31"/>
  <c r="K159" i="31" s="1"/>
  <c r="R158" i="31"/>
  <c r="K158" i="31" s="1"/>
  <c r="G158" i="31"/>
  <c r="G576" i="31"/>
  <c r="R576" i="31"/>
  <c r="K576" i="31" s="1"/>
  <c r="G578" i="31"/>
  <c r="R578" i="31"/>
  <c r="K578" i="31" s="1"/>
  <c r="R575" i="31"/>
  <c r="K575" i="31" s="1"/>
  <c r="G575" i="31"/>
  <c r="R579" i="31"/>
  <c r="K579" i="31" s="1"/>
  <c r="G579" i="31"/>
  <c r="G580" i="31"/>
  <c r="R573" i="31"/>
  <c r="G573" i="31"/>
  <c r="R577" i="31"/>
  <c r="K577" i="31" s="1"/>
  <c r="G577" i="31"/>
  <c r="R574" i="31"/>
  <c r="K574" i="31" s="1"/>
  <c r="G574" i="31"/>
  <c r="G413" i="31"/>
  <c r="R413" i="31"/>
  <c r="G420" i="31"/>
  <c r="G415" i="31"/>
  <c r="R415" i="31"/>
  <c r="K415" i="31" s="1"/>
  <c r="R414" i="31"/>
  <c r="K414" i="31" s="1"/>
  <c r="G414" i="31"/>
  <c r="R418" i="31"/>
  <c r="K418" i="31" s="1"/>
  <c r="G418" i="31"/>
  <c r="R417" i="31"/>
  <c r="K417" i="31" s="1"/>
  <c r="G417" i="31"/>
  <c r="R416" i="31"/>
  <c r="K416" i="31" s="1"/>
  <c r="G416" i="31"/>
  <c r="G419" i="31"/>
  <c r="R419" i="31"/>
  <c r="K419" i="31" s="1"/>
  <c r="G254" i="31"/>
  <c r="R254" i="31"/>
  <c r="K254" i="31" s="1"/>
  <c r="G256" i="31"/>
  <c r="R256" i="31"/>
  <c r="K256" i="31" s="1"/>
  <c r="R259" i="31"/>
  <c r="K259" i="31" s="1"/>
  <c r="G259" i="31"/>
  <c r="G258" i="31"/>
  <c r="R258" i="31"/>
  <c r="K258" i="31" s="1"/>
  <c r="G260" i="31"/>
  <c r="G253" i="31"/>
  <c r="R253" i="31"/>
  <c r="G257" i="31"/>
  <c r="R257" i="31"/>
  <c r="K257" i="31" s="1"/>
  <c r="G255" i="31"/>
  <c r="R255" i="31"/>
  <c r="K255" i="31" s="1"/>
  <c r="R96" i="31"/>
  <c r="K96" i="31" s="1"/>
  <c r="G96" i="31"/>
  <c r="G97" i="31"/>
  <c r="R97" i="31"/>
  <c r="K97" i="31" s="1"/>
  <c r="G93" i="31"/>
  <c r="R93" i="31"/>
  <c r="G100" i="31"/>
  <c r="G94" i="31"/>
  <c r="R94" i="31"/>
  <c r="K94" i="31" s="1"/>
  <c r="R98" i="31"/>
  <c r="K98" i="31" s="1"/>
  <c r="G98" i="31"/>
  <c r="R99" i="31"/>
  <c r="K99" i="31" s="1"/>
  <c r="G99" i="31"/>
  <c r="R95" i="31"/>
  <c r="K95" i="31" s="1"/>
  <c r="G95" i="31"/>
  <c r="G512" i="31"/>
  <c r="R512" i="31"/>
  <c r="K512" i="31" s="1"/>
  <c r="R510" i="31"/>
  <c r="K510" i="31" s="1"/>
  <c r="G510" i="31"/>
  <c r="G515" i="31"/>
  <c r="R515" i="31"/>
  <c r="K515" i="31" s="1"/>
  <c r="R511" i="31"/>
  <c r="K511" i="31" s="1"/>
  <c r="G511" i="31"/>
  <c r="R513" i="31"/>
  <c r="K513" i="31" s="1"/>
  <c r="G513" i="31"/>
  <c r="R514" i="31"/>
  <c r="K514" i="31" s="1"/>
  <c r="G514" i="31"/>
  <c r="G509" i="31"/>
  <c r="R509" i="31"/>
  <c r="M509" i="31" s="1"/>
  <c r="G516" i="31"/>
  <c r="G242" i="31"/>
  <c r="R242" i="31"/>
  <c r="K242" i="31" s="1"/>
  <c r="R238" i="31"/>
  <c r="K238" i="31" s="1"/>
  <c r="G238" i="31"/>
  <c r="R239" i="31"/>
  <c r="K239" i="31" s="1"/>
  <c r="G239" i="31"/>
  <c r="G237" i="31"/>
  <c r="R237" i="31"/>
  <c r="G244" i="31"/>
  <c r="G243" i="31"/>
  <c r="R243" i="31"/>
  <c r="K243" i="31" s="1"/>
  <c r="G240" i="31"/>
  <c r="R240" i="31"/>
  <c r="K240" i="31" s="1"/>
  <c r="R241" i="31"/>
  <c r="K241" i="31" s="1"/>
  <c r="G241" i="31"/>
  <c r="G62" i="31"/>
  <c r="R62" i="31"/>
  <c r="K62" i="31" s="1"/>
  <c r="G61" i="31"/>
  <c r="G68" i="31"/>
  <c r="R61" i="31"/>
  <c r="M61" i="31" s="1"/>
  <c r="G66" i="31"/>
  <c r="R66" i="31"/>
  <c r="K66" i="31" s="1"/>
  <c r="R67" i="31"/>
  <c r="K67" i="31" s="1"/>
  <c r="G67" i="31"/>
  <c r="R65" i="31"/>
  <c r="K65" i="31" s="1"/>
  <c r="G65" i="31"/>
  <c r="G63" i="31"/>
  <c r="R63" i="31"/>
  <c r="K63" i="31" s="1"/>
  <c r="R64" i="31"/>
  <c r="K64" i="31" s="1"/>
  <c r="G64" i="31"/>
  <c r="G221" i="31"/>
  <c r="R221" i="31"/>
  <c r="G228" i="31"/>
  <c r="R226" i="31"/>
  <c r="K226" i="31" s="1"/>
  <c r="G226" i="31"/>
  <c r="G227" i="31"/>
  <c r="R227" i="31"/>
  <c r="K227" i="31" s="1"/>
  <c r="G223" i="31"/>
  <c r="R223" i="31"/>
  <c r="K223" i="31" s="1"/>
  <c r="G222" i="31"/>
  <c r="R222" i="31"/>
  <c r="K222" i="31" s="1"/>
  <c r="G224" i="31"/>
  <c r="R224" i="31"/>
  <c r="K224" i="31" s="1"/>
  <c r="R225" i="31"/>
  <c r="K225" i="31" s="1"/>
  <c r="G225" i="31"/>
  <c r="R81" i="31"/>
  <c r="K81" i="31" s="1"/>
  <c r="G81" i="31"/>
  <c r="R78" i="31"/>
  <c r="K78" i="31" s="1"/>
  <c r="G78" i="31"/>
  <c r="R79" i="31"/>
  <c r="K79" i="31" s="1"/>
  <c r="G79" i="31"/>
  <c r="G77" i="31"/>
  <c r="R77" i="31"/>
  <c r="M77" i="31" s="1"/>
  <c r="G84" i="31"/>
  <c r="G80" i="31"/>
  <c r="R80" i="31"/>
  <c r="K80" i="31" s="1"/>
  <c r="G83" i="31"/>
  <c r="R83" i="31"/>
  <c r="K83" i="31" s="1"/>
  <c r="G82" i="31"/>
  <c r="R82" i="31"/>
  <c r="K82" i="31" s="1"/>
  <c r="R480" i="31"/>
  <c r="K480" i="31" s="1"/>
  <c r="G480" i="31"/>
  <c r="R483" i="31"/>
  <c r="K483" i="31" s="1"/>
  <c r="G483" i="31"/>
  <c r="R482" i="31"/>
  <c r="K482" i="31" s="1"/>
  <c r="G482" i="31"/>
  <c r="R481" i="31"/>
  <c r="K481" i="31" s="1"/>
  <c r="G481" i="31"/>
  <c r="G477" i="31"/>
  <c r="R477" i="31"/>
  <c r="G484" i="31"/>
  <c r="G478" i="31"/>
  <c r="R478" i="31"/>
  <c r="K478" i="31" s="1"/>
  <c r="G479" i="31"/>
  <c r="R479" i="31"/>
  <c r="K479" i="31" s="1"/>
  <c r="G372" i="31"/>
  <c r="G365" i="31"/>
  <c r="R365" i="31"/>
  <c r="G368" i="31"/>
  <c r="R368" i="31"/>
  <c r="K368" i="31" s="1"/>
  <c r="R369" i="31"/>
  <c r="K369" i="31" s="1"/>
  <c r="G369" i="31"/>
  <c r="G370" i="31"/>
  <c r="R370" i="31"/>
  <c r="K370" i="31" s="1"/>
  <c r="R366" i="31"/>
  <c r="K366" i="31" s="1"/>
  <c r="G366" i="31"/>
  <c r="G371" i="31"/>
  <c r="R371" i="31"/>
  <c r="K371" i="31" s="1"/>
  <c r="R367" i="31"/>
  <c r="K367" i="31" s="1"/>
  <c r="G367" i="31"/>
  <c r="R591" i="31"/>
  <c r="K591" i="31" s="1"/>
  <c r="G591" i="31"/>
  <c r="G595" i="31"/>
  <c r="R595" i="31"/>
  <c r="K595" i="31" s="1"/>
  <c r="R593" i="31"/>
  <c r="K593" i="31" s="1"/>
  <c r="G593" i="31"/>
  <c r="R592" i="31"/>
  <c r="K592" i="31" s="1"/>
  <c r="G592" i="31"/>
  <c r="G589" i="31"/>
  <c r="R589" i="31"/>
  <c r="M589" i="31" s="1"/>
  <c r="G596" i="31"/>
  <c r="R590" i="31"/>
  <c r="K590" i="31" s="1"/>
  <c r="G590" i="31"/>
  <c r="G594" i="31"/>
  <c r="R594" i="31"/>
  <c r="K594" i="31" s="1"/>
  <c r="G318" i="31"/>
  <c r="R318" i="31"/>
  <c r="K318" i="31" s="1"/>
  <c r="G322" i="31"/>
  <c r="R322" i="31"/>
  <c r="K322" i="31" s="1"/>
  <c r="R321" i="31"/>
  <c r="K321" i="31" s="1"/>
  <c r="G321" i="31"/>
  <c r="G324" i="31"/>
  <c r="G317" i="31"/>
  <c r="R317" i="31"/>
  <c r="M317" i="31" s="1"/>
  <c r="R319" i="31"/>
  <c r="K319" i="31" s="1"/>
  <c r="G319" i="31"/>
  <c r="G323" i="31"/>
  <c r="R323" i="31"/>
  <c r="K323" i="31" s="1"/>
  <c r="G320" i="31"/>
  <c r="R320" i="31"/>
  <c r="K320" i="31" s="1"/>
  <c r="R146" i="31"/>
  <c r="K146" i="31" s="1"/>
  <c r="G146" i="31"/>
  <c r="R144" i="31"/>
  <c r="K144" i="31" s="1"/>
  <c r="G144" i="31"/>
  <c r="R147" i="31"/>
  <c r="K147" i="31" s="1"/>
  <c r="G147" i="31"/>
  <c r="R143" i="31"/>
  <c r="K143" i="31" s="1"/>
  <c r="G143" i="31"/>
  <c r="G142" i="31"/>
  <c r="R142" i="31"/>
  <c r="K142" i="31" s="1"/>
  <c r="G141" i="31"/>
  <c r="R141" i="31"/>
  <c r="M141" i="31" s="1"/>
  <c r="G148" i="31"/>
  <c r="G145" i="31"/>
  <c r="R145" i="31"/>
  <c r="K145" i="31" s="1"/>
  <c r="R558" i="31"/>
  <c r="K558" i="31" s="1"/>
  <c r="G558" i="31"/>
  <c r="R560" i="31"/>
  <c r="K560" i="31" s="1"/>
  <c r="G560" i="31"/>
  <c r="R559" i="31"/>
  <c r="K559" i="31" s="1"/>
  <c r="G559" i="31"/>
  <c r="G557" i="31"/>
  <c r="R557" i="31"/>
  <c r="G564" i="31"/>
  <c r="R562" i="31"/>
  <c r="K562" i="31" s="1"/>
  <c r="G562" i="31"/>
  <c r="R561" i="31"/>
  <c r="K561" i="31" s="1"/>
  <c r="G561" i="31"/>
  <c r="G563" i="31"/>
  <c r="R563" i="31"/>
  <c r="K563" i="31" s="1"/>
  <c r="R400" i="31"/>
  <c r="K400" i="31" s="1"/>
  <c r="G400" i="31"/>
  <c r="G403" i="31"/>
  <c r="R403" i="31"/>
  <c r="K403" i="31" s="1"/>
  <c r="G402" i="31"/>
  <c r="R402" i="31"/>
  <c r="K402" i="31" s="1"/>
  <c r="R401" i="31"/>
  <c r="K401" i="31" s="1"/>
  <c r="G401" i="31"/>
  <c r="R398" i="31"/>
  <c r="K398" i="31" s="1"/>
  <c r="G398" i="31"/>
  <c r="G399" i="31"/>
  <c r="R399" i="31"/>
  <c r="K399" i="31" s="1"/>
  <c r="G404" i="31"/>
  <c r="R397" i="31"/>
  <c r="G397" i="31"/>
  <c r="G499" i="31"/>
  <c r="R499" i="31"/>
  <c r="K499" i="31" s="1"/>
  <c r="G494" i="31"/>
  <c r="R494" i="31"/>
  <c r="K494" i="31" s="1"/>
  <c r="R498" i="31"/>
  <c r="K498" i="31" s="1"/>
  <c r="G498" i="31"/>
  <c r="R496" i="31"/>
  <c r="K496" i="31" s="1"/>
  <c r="G496" i="31"/>
  <c r="G497" i="31"/>
  <c r="R497" i="31"/>
  <c r="K497" i="31" s="1"/>
  <c r="R495" i="31"/>
  <c r="K495" i="31" s="1"/>
  <c r="G495" i="31"/>
  <c r="R493" i="31"/>
  <c r="M493" i="31" s="1"/>
  <c r="G500" i="31"/>
  <c r="G493" i="31"/>
  <c r="G50" i="31"/>
  <c r="R50" i="31"/>
  <c r="K50" i="31" s="1"/>
  <c r="R46" i="31"/>
  <c r="K46" i="31" s="1"/>
  <c r="G46" i="31"/>
  <c r="G52" i="31"/>
  <c r="G45" i="31"/>
  <c r="R45" i="31"/>
  <c r="M45" i="31" s="1"/>
  <c r="G48" i="31"/>
  <c r="R48" i="31"/>
  <c r="K48" i="31" s="1"/>
  <c r="R47" i="31"/>
  <c r="K47" i="31" s="1"/>
  <c r="G47" i="31"/>
  <c r="R51" i="31"/>
  <c r="K51" i="31" s="1"/>
  <c r="G51" i="31"/>
  <c r="G49" i="31"/>
  <c r="R49" i="31"/>
  <c r="K49" i="31" s="1"/>
  <c r="G461" i="31"/>
  <c r="G468" i="31"/>
  <c r="R461" i="31"/>
  <c r="R467" i="31"/>
  <c r="K467" i="31" s="1"/>
  <c r="G467" i="31"/>
  <c r="R464" i="31"/>
  <c r="K464" i="31" s="1"/>
  <c r="G464" i="31"/>
  <c r="G466" i="31"/>
  <c r="R466" i="31"/>
  <c r="K466" i="31" s="1"/>
  <c r="R462" i="31"/>
  <c r="K462" i="31" s="1"/>
  <c r="G462" i="31"/>
  <c r="R465" i="31"/>
  <c r="K465" i="31" s="1"/>
  <c r="G465" i="31"/>
  <c r="R463" i="31"/>
  <c r="K463" i="31" s="1"/>
  <c r="G463" i="31"/>
  <c r="R354" i="31"/>
  <c r="K354" i="31" s="1"/>
  <c r="G354" i="31"/>
  <c r="G353" i="31"/>
  <c r="R353" i="31"/>
  <c r="K353" i="31" s="1"/>
  <c r="G349" i="31"/>
  <c r="R349" i="31"/>
  <c r="G356" i="31"/>
  <c r="G355" i="31"/>
  <c r="R355" i="31"/>
  <c r="K355" i="31" s="1"/>
  <c r="R352" i="31"/>
  <c r="K352" i="31" s="1"/>
  <c r="G352" i="31"/>
  <c r="G351" i="31"/>
  <c r="R351" i="31"/>
  <c r="K351" i="31" s="1"/>
  <c r="G350" i="31"/>
  <c r="R350" i="31"/>
  <c r="K350" i="31" s="1"/>
  <c r="G191" i="31"/>
  <c r="R191" i="31"/>
  <c r="K191" i="31" s="1"/>
  <c r="G193" i="31"/>
  <c r="R193" i="31"/>
  <c r="K193" i="31" s="1"/>
  <c r="G195" i="31"/>
  <c r="R195" i="31"/>
  <c r="K195" i="31" s="1"/>
  <c r="R192" i="31"/>
  <c r="K192" i="31" s="1"/>
  <c r="G192" i="31"/>
  <c r="G190" i="31"/>
  <c r="R190" i="31"/>
  <c r="K190" i="31" s="1"/>
  <c r="R189" i="31"/>
  <c r="G189" i="31"/>
  <c r="G196" i="31"/>
  <c r="G194" i="31"/>
  <c r="R194" i="31"/>
  <c r="K194" i="31" s="1"/>
  <c r="R608" i="31"/>
  <c r="K608" i="31" s="1"/>
  <c r="G608" i="31"/>
  <c r="G609" i="31"/>
  <c r="R609" i="31"/>
  <c r="K609" i="31" s="1"/>
  <c r="G611" i="31"/>
  <c r="R611" i="31"/>
  <c r="K611" i="31" s="1"/>
  <c r="G605" i="31"/>
  <c r="G612" i="31"/>
  <c r="R605" i="31"/>
  <c r="M605" i="31" s="1"/>
  <c r="G610" i="31"/>
  <c r="R610" i="31"/>
  <c r="K610" i="31" s="1"/>
  <c r="R606" i="31"/>
  <c r="K606" i="31" s="1"/>
  <c r="G606" i="31"/>
  <c r="G607" i="31"/>
  <c r="R607" i="31"/>
  <c r="K607" i="31" s="1"/>
  <c r="R449" i="31"/>
  <c r="K449" i="31" s="1"/>
  <c r="G449" i="31"/>
  <c r="G445" i="31"/>
  <c r="G452" i="31"/>
  <c r="R445" i="31"/>
  <c r="G450" i="31"/>
  <c r="R450" i="31"/>
  <c r="K450" i="31" s="1"/>
  <c r="G446" i="31"/>
  <c r="R446" i="31"/>
  <c r="K446" i="31" s="1"/>
  <c r="R447" i="31"/>
  <c r="K447" i="31" s="1"/>
  <c r="G447" i="31"/>
  <c r="G451" i="31"/>
  <c r="R451" i="31"/>
  <c r="K451" i="31" s="1"/>
  <c r="R448" i="31"/>
  <c r="K448" i="31" s="1"/>
  <c r="G448" i="31"/>
  <c r="R334" i="31"/>
  <c r="K334" i="31" s="1"/>
  <c r="G334" i="31"/>
  <c r="R333" i="31"/>
  <c r="G340" i="31"/>
  <c r="G333" i="31"/>
  <c r="R338" i="31"/>
  <c r="K338" i="31" s="1"/>
  <c r="G338" i="31"/>
  <c r="R337" i="31"/>
  <c r="K337" i="31" s="1"/>
  <c r="G337" i="31"/>
  <c r="R336" i="31"/>
  <c r="K336" i="31" s="1"/>
  <c r="G336" i="31"/>
  <c r="G335" i="31"/>
  <c r="R335" i="31"/>
  <c r="K335" i="31" s="1"/>
  <c r="R339" i="31"/>
  <c r="K339" i="31" s="1"/>
  <c r="G339" i="31"/>
  <c r="G287" i="31"/>
  <c r="R287" i="31"/>
  <c r="K287" i="31" s="1"/>
  <c r="G288" i="31"/>
  <c r="R288" i="31"/>
  <c r="K288" i="31" s="1"/>
  <c r="R291" i="31"/>
  <c r="K291" i="31" s="1"/>
  <c r="G291" i="31"/>
  <c r="G292" i="31"/>
  <c r="R285" i="31"/>
  <c r="G285" i="31"/>
  <c r="R286" i="31"/>
  <c r="K286" i="31" s="1"/>
  <c r="G286" i="31"/>
  <c r="R289" i="31"/>
  <c r="K289" i="31" s="1"/>
  <c r="G289" i="31"/>
  <c r="R290" i="31"/>
  <c r="K290" i="31" s="1"/>
  <c r="G290" i="31"/>
  <c r="R127" i="31"/>
  <c r="K127" i="31" s="1"/>
  <c r="G127" i="31"/>
  <c r="R129" i="31"/>
  <c r="K129" i="31" s="1"/>
  <c r="G129" i="31"/>
  <c r="G128" i="31"/>
  <c r="R128" i="31"/>
  <c r="K128" i="31" s="1"/>
  <c r="G130" i="31"/>
  <c r="R130" i="31"/>
  <c r="K130" i="31" s="1"/>
  <c r="R131" i="31"/>
  <c r="K131" i="31" s="1"/>
  <c r="G131" i="31"/>
  <c r="G132" i="31"/>
  <c r="R125" i="31"/>
  <c r="G125" i="31"/>
  <c r="R126" i="31"/>
  <c r="K126" i="31" s="1"/>
  <c r="G126" i="31"/>
  <c r="R547" i="31"/>
  <c r="K547" i="31" s="1"/>
  <c r="G547" i="31"/>
  <c r="R544" i="31"/>
  <c r="K544" i="31" s="1"/>
  <c r="G544" i="31"/>
  <c r="G541" i="31"/>
  <c r="R541" i="31"/>
  <c r="M541" i="31" s="1"/>
  <c r="G548" i="31"/>
  <c r="G542" i="31"/>
  <c r="R542" i="31"/>
  <c r="K542" i="31" s="1"/>
  <c r="R543" i="31"/>
  <c r="K543" i="31" s="1"/>
  <c r="G543" i="31"/>
  <c r="G546" i="31"/>
  <c r="R546" i="31"/>
  <c r="K546" i="31" s="1"/>
  <c r="R545" i="31"/>
  <c r="K545" i="31" s="1"/>
  <c r="G545" i="31"/>
  <c r="G384" i="31"/>
  <c r="R384" i="31"/>
  <c r="K384" i="31" s="1"/>
  <c r="G388" i="31"/>
  <c r="G381" i="31"/>
  <c r="R381" i="31"/>
  <c r="R386" i="31"/>
  <c r="K386" i="31" s="1"/>
  <c r="G386" i="31"/>
  <c r="G387" i="31"/>
  <c r="R387" i="31"/>
  <c r="K387" i="31" s="1"/>
  <c r="R383" i="31"/>
  <c r="K383" i="31" s="1"/>
  <c r="G383" i="31"/>
  <c r="G385" i="31"/>
  <c r="R385" i="31"/>
  <c r="K385" i="31" s="1"/>
  <c r="R382" i="31"/>
  <c r="K382" i="31" s="1"/>
  <c r="G382" i="31"/>
  <c r="I269" i="34"/>
  <c r="I614" i="34"/>
  <c r="I314" i="33"/>
  <c r="I602" i="33"/>
  <c r="I58" i="33"/>
  <c r="I490" i="33"/>
  <c r="I2339" i="34"/>
  <c r="I522" i="33"/>
  <c r="I506" i="33"/>
  <c r="I338" i="34"/>
  <c r="I538" i="33"/>
  <c r="I2132" i="34"/>
  <c r="I586" i="33"/>
  <c r="I2201" i="34"/>
  <c r="I74" i="33"/>
  <c r="I42" i="33"/>
  <c r="I2615" i="34"/>
  <c r="I138" i="33"/>
  <c r="I1373" i="34"/>
  <c r="I2546" i="34"/>
  <c r="I2270" i="34"/>
  <c r="M270" i="31" l="1"/>
  <c r="M273" i="31"/>
  <c r="N273" i="31" s="1"/>
  <c r="M499" i="31"/>
  <c r="N499" i="31" s="1"/>
  <c r="M385" i="31"/>
  <c r="N385" i="31" s="1"/>
  <c r="M95" i="31"/>
  <c r="N95" i="31" s="1"/>
  <c r="M530" i="31"/>
  <c r="N530" i="31" s="1"/>
  <c r="M195" i="31"/>
  <c r="N195" i="31" s="1"/>
  <c r="M511" i="31"/>
  <c r="N511" i="31" s="1"/>
  <c r="M398" i="31"/>
  <c r="N398" i="31" s="1"/>
  <c r="M64" i="31"/>
  <c r="N64" i="31" s="1"/>
  <c r="M174" i="31"/>
  <c r="N174" i="31" s="1"/>
  <c r="M415" i="31"/>
  <c r="N415" i="31" s="1"/>
  <c r="M208" i="31"/>
  <c r="N208" i="31" s="1"/>
  <c r="M291" i="31"/>
  <c r="N291" i="31" s="1"/>
  <c r="M334" i="31"/>
  <c r="N334" i="31" s="1"/>
  <c r="M497" i="31"/>
  <c r="N497" i="31" s="1"/>
  <c r="M464" i="31"/>
  <c r="N464" i="31" s="1"/>
  <c r="M51" i="31"/>
  <c r="N51" i="31" s="1"/>
  <c r="M446" i="31"/>
  <c r="N446" i="31" s="1"/>
  <c r="M449" i="31"/>
  <c r="N449" i="31" s="1"/>
  <c r="M463" i="31"/>
  <c r="N463" i="31" s="1"/>
  <c r="M318" i="31"/>
  <c r="N318" i="31" s="1"/>
  <c r="M127" i="31"/>
  <c r="M50" i="31"/>
  <c r="N50" i="31" s="1"/>
  <c r="M494" i="31"/>
  <c r="N494" i="31" s="1"/>
  <c r="M400" i="31"/>
  <c r="N400" i="31" s="1"/>
  <c r="M382" i="31"/>
  <c r="N382" i="31" s="1"/>
  <c r="M386" i="31"/>
  <c r="N386" i="31" s="1"/>
  <c r="M546" i="31"/>
  <c r="N546" i="31" s="1"/>
  <c r="M147" i="31"/>
  <c r="M608" i="31"/>
  <c r="N608" i="31" s="1"/>
  <c r="M399" i="31"/>
  <c r="N399" i="31" s="1"/>
  <c r="M403" i="31"/>
  <c r="N403" i="31" s="1"/>
  <c r="M126" i="31"/>
  <c r="N126" i="31" s="1"/>
  <c r="M128" i="31"/>
  <c r="N128" i="31" s="1"/>
  <c r="M289" i="31"/>
  <c r="N289" i="31" s="1"/>
  <c r="M320" i="31"/>
  <c r="M321" i="31"/>
  <c r="N321" i="31" s="1"/>
  <c r="M370" i="31"/>
  <c r="M479" i="31"/>
  <c r="N479" i="31" s="1"/>
  <c r="M80" i="31"/>
  <c r="N80" i="31" s="1"/>
  <c r="M255" i="31"/>
  <c r="N255" i="31" s="1"/>
  <c r="M350" i="31"/>
  <c r="N350" i="31" s="1"/>
  <c r="M591" i="31"/>
  <c r="N591" i="31" s="1"/>
  <c r="M287" i="31"/>
  <c r="N287" i="31" s="1"/>
  <c r="M481" i="31"/>
  <c r="N481" i="31" s="1"/>
  <c r="M66" i="31"/>
  <c r="N66" i="31" s="1"/>
  <c r="M240" i="31"/>
  <c r="N240" i="31" s="1"/>
  <c r="M606" i="31"/>
  <c r="M239" i="31"/>
  <c r="M190" i="31"/>
  <c r="N190" i="31" s="1"/>
  <c r="M496" i="31"/>
  <c r="N496" i="31" s="1"/>
  <c r="M401" i="31"/>
  <c r="N401" i="31" s="1"/>
  <c r="M82" i="31"/>
  <c r="N82" i="31" s="1"/>
  <c r="M256" i="31"/>
  <c r="N256" i="31" s="1"/>
  <c r="M286" i="31"/>
  <c r="N286" i="31" s="1"/>
  <c r="M337" i="31"/>
  <c r="N337" i="31" s="1"/>
  <c r="M193" i="31"/>
  <c r="N193" i="31" s="1"/>
  <c r="M352" i="31"/>
  <c r="N352" i="31" s="1"/>
  <c r="M49" i="31"/>
  <c r="N49" i="31" s="1"/>
  <c r="M561" i="31"/>
  <c r="N561" i="31" s="1"/>
  <c r="M366" i="31"/>
  <c r="M416" i="31"/>
  <c r="N416" i="31" s="1"/>
  <c r="M81" i="31"/>
  <c r="M607" i="31"/>
  <c r="N607" i="31" s="1"/>
  <c r="M353" i="31"/>
  <c r="N353" i="31" s="1"/>
  <c r="M48" i="31"/>
  <c r="N48" i="31" s="1"/>
  <c r="M593" i="31"/>
  <c r="N593" i="31" s="1"/>
  <c r="M480" i="31"/>
  <c r="N480" i="31" s="1"/>
  <c r="M302" i="31"/>
  <c r="N302" i="31" s="1"/>
  <c r="M207" i="31"/>
  <c r="M210" i="31"/>
  <c r="M433" i="31"/>
  <c r="M545" i="31"/>
  <c r="M160" i="31"/>
  <c r="N160" i="31" s="1"/>
  <c r="M191" i="31"/>
  <c r="N191" i="31" s="1"/>
  <c r="M78" i="31"/>
  <c r="N78" i="31" s="1"/>
  <c r="M222" i="31"/>
  <c r="N222" i="31" s="1"/>
  <c r="M241" i="31"/>
  <c r="N241" i="31" s="1"/>
  <c r="M577" i="31"/>
  <c r="N577" i="31" s="1"/>
  <c r="M304" i="31"/>
  <c r="N304" i="31" s="1"/>
  <c r="M306" i="31"/>
  <c r="N306" i="31" s="1"/>
  <c r="M466" i="31"/>
  <c r="N466" i="31" s="1"/>
  <c r="M83" i="31"/>
  <c r="N83" i="31" s="1"/>
  <c r="M97" i="31"/>
  <c r="N97" i="31" s="1"/>
  <c r="M254" i="31"/>
  <c r="N254" i="31" s="1"/>
  <c r="M177" i="31"/>
  <c r="N177" i="31" s="1"/>
  <c r="M175" i="31"/>
  <c r="N175" i="31" s="1"/>
  <c r="M113" i="31"/>
  <c r="N113" i="31" s="1"/>
  <c r="M290" i="31"/>
  <c r="N290" i="31" s="1"/>
  <c r="M339" i="31"/>
  <c r="N339" i="31" s="1"/>
  <c r="M338" i="31"/>
  <c r="N338" i="31" s="1"/>
  <c r="M559" i="31"/>
  <c r="N559" i="31" s="1"/>
  <c r="M592" i="31"/>
  <c r="M515" i="31"/>
  <c r="N515" i="31" s="1"/>
  <c r="M114" i="31"/>
  <c r="N114" i="31" s="1"/>
  <c r="M542" i="31"/>
  <c r="N542" i="31" s="1"/>
  <c r="M130" i="31"/>
  <c r="N130" i="31" s="1"/>
  <c r="M448" i="31"/>
  <c r="N448" i="31" s="1"/>
  <c r="M611" i="31"/>
  <c r="N611" i="31" s="1"/>
  <c r="M351" i="31"/>
  <c r="N351" i="31" s="1"/>
  <c r="M558" i="31"/>
  <c r="M594" i="31"/>
  <c r="N594" i="31" s="1"/>
  <c r="M419" i="31"/>
  <c r="N419" i="31" s="1"/>
  <c r="M305" i="31"/>
  <c r="N305" i="31" s="1"/>
  <c r="M434" i="31"/>
  <c r="N434" i="31" s="1"/>
  <c r="M110" i="31"/>
  <c r="N110" i="31" s="1"/>
  <c r="M79" i="31"/>
  <c r="N79" i="31" s="1"/>
  <c r="M513" i="31"/>
  <c r="N513" i="31" s="1"/>
  <c r="M96" i="31"/>
  <c r="N96" i="31" s="1"/>
  <c r="M418" i="31"/>
  <c r="N418" i="31" s="1"/>
  <c r="M159" i="31"/>
  <c r="N159" i="31" s="1"/>
  <c r="M303" i="31"/>
  <c r="N303" i="31" s="1"/>
  <c r="M531" i="31"/>
  <c r="M383" i="31"/>
  <c r="M547" i="31"/>
  <c r="N547" i="31" s="1"/>
  <c r="M465" i="31"/>
  <c r="N465" i="31" s="1"/>
  <c r="M142" i="31"/>
  <c r="N142" i="31" s="1"/>
  <c r="M367" i="31"/>
  <c r="N367" i="31" s="1"/>
  <c r="M224" i="31"/>
  <c r="N224" i="31" s="1"/>
  <c r="M65" i="31"/>
  <c r="N65" i="31" s="1"/>
  <c r="M242" i="31"/>
  <c r="M512" i="31"/>
  <c r="M94" i="31"/>
  <c r="M258" i="31"/>
  <c r="M575" i="31"/>
  <c r="N575" i="31" s="1"/>
  <c r="M162" i="31"/>
  <c r="N162" i="31" s="1"/>
  <c r="M271" i="31"/>
  <c r="N271" i="31" s="1"/>
  <c r="M543" i="31"/>
  <c r="N543" i="31" s="1"/>
  <c r="M544" i="31"/>
  <c r="N544" i="31" s="1"/>
  <c r="M336" i="31"/>
  <c r="N336" i="31" s="1"/>
  <c r="M447" i="31"/>
  <c r="N447" i="31" s="1"/>
  <c r="M610" i="31"/>
  <c r="N610" i="31" s="1"/>
  <c r="M609" i="31"/>
  <c r="M462" i="31"/>
  <c r="M562" i="31"/>
  <c r="M319" i="31"/>
  <c r="M322" i="31"/>
  <c r="N322" i="31" s="1"/>
  <c r="M368" i="31"/>
  <c r="N368" i="31" s="1"/>
  <c r="M226" i="31"/>
  <c r="N226" i="31" s="1"/>
  <c r="M417" i="31"/>
  <c r="N417" i="31" s="1"/>
  <c r="M576" i="31"/>
  <c r="N576" i="31" s="1"/>
  <c r="M178" i="31"/>
  <c r="M211" i="31"/>
  <c r="N211" i="31" s="1"/>
  <c r="M432" i="31"/>
  <c r="N432" i="31" s="1"/>
  <c r="M115" i="31"/>
  <c r="M430" i="31"/>
  <c r="M529" i="31"/>
  <c r="N529" i="31" s="1"/>
  <c r="M274" i="31"/>
  <c r="N274" i="31" s="1"/>
  <c r="M323" i="31"/>
  <c r="N323" i="31" s="1"/>
  <c r="M369" i="31"/>
  <c r="N369" i="31" s="1"/>
  <c r="M227" i="31"/>
  <c r="N227" i="31" s="1"/>
  <c r="M578" i="31"/>
  <c r="M435" i="31"/>
  <c r="M111" i="31"/>
  <c r="M467" i="31"/>
  <c r="N467" i="31" s="1"/>
  <c r="M560" i="31"/>
  <c r="M144" i="31"/>
  <c r="N144" i="31" s="1"/>
  <c r="M590" i="31"/>
  <c r="N590" i="31" s="1"/>
  <c r="M483" i="31"/>
  <c r="N483" i="31" s="1"/>
  <c r="M238" i="31"/>
  <c r="N238" i="31" s="1"/>
  <c r="M514" i="31"/>
  <c r="N514" i="31" s="1"/>
  <c r="M163" i="31"/>
  <c r="N163" i="31" s="1"/>
  <c r="M179" i="31"/>
  <c r="N179" i="31" s="1"/>
  <c r="M527" i="31"/>
  <c r="N589" i="31"/>
  <c r="K461" i="31"/>
  <c r="K468" i="31"/>
  <c r="M237" i="31"/>
  <c r="K244" i="31"/>
  <c r="K237" i="31"/>
  <c r="M253" i="31"/>
  <c r="K260" i="31"/>
  <c r="K253" i="31"/>
  <c r="M349" i="31"/>
  <c r="K349" i="31"/>
  <c r="K356" i="31"/>
  <c r="M63" i="31"/>
  <c r="N270" i="31"/>
  <c r="K541" i="31"/>
  <c r="K548" i="31"/>
  <c r="M387" i="31"/>
  <c r="M131" i="31"/>
  <c r="M288" i="31"/>
  <c r="M451" i="31"/>
  <c r="M194" i="31"/>
  <c r="M355" i="31"/>
  <c r="M461" i="31"/>
  <c r="M47" i="31"/>
  <c r="M46" i="31"/>
  <c r="M495" i="31"/>
  <c r="M402" i="31"/>
  <c r="M145" i="31"/>
  <c r="M143" i="31"/>
  <c r="M595" i="31"/>
  <c r="M478" i="31"/>
  <c r="M225" i="31"/>
  <c r="M67" i="31"/>
  <c r="M62" i="31"/>
  <c r="M510" i="31"/>
  <c r="M257" i="31"/>
  <c r="M414" i="31"/>
  <c r="M158" i="31"/>
  <c r="M307" i="31"/>
  <c r="M206" i="31"/>
  <c r="M431" i="31"/>
  <c r="M112" i="31"/>
  <c r="M275" i="31"/>
  <c r="N509" i="31"/>
  <c r="K317" i="31"/>
  <c r="K324" i="31"/>
  <c r="M269" i="31"/>
  <c r="K269" i="31"/>
  <c r="K276" i="31"/>
  <c r="M429" i="31"/>
  <c r="K436" i="31"/>
  <c r="K429" i="31"/>
  <c r="N541" i="31"/>
  <c r="M365" i="31"/>
  <c r="K372" i="31"/>
  <c r="K365" i="31"/>
  <c r="M98" i="31"/>
  <c r="M285" i="31"/>
  <c r="K292" i="31"/>
  <c r="K285" i="31"/>
  <c r="M189" i="31"/>
  <c r="K196" i="31"/>
  <c r="K189" i="31"/>
  <c r="N61" i="31"/>
  <c r="M573" i="31"/>
  <c r="K580" i="31"/>
  <c r="K573" i="31"/>
  <c r="K45" i="31"/>
  <c r="K52" i="31"/>
  <c r="N77" i="31"/>
  <c r="K61" i="31"/>
  <c r="K68" i="31"/>
  <c r="M413" i="31"/>
  <c r="K413" i="31"/>
  <c r="K420" i="31"/>
  <c r="K525" i="31"/>
  <c r="K532" i="31"/>
  <c r="M445" i="31"/>
  <c r="K452" i="31"/>
  <c r="K445" i="31"/>
  <c r="K589" i="31"/>
  <c r="K596" i="31"/>
  <c r="M333" i="31"/>
  <c r="K333" i="31"/>
  <c r="K340" i="31"/>
  <c r="N141" i="31"/>
  <c r="M477" i="31"/>
  <c r="K484" i="31"/>
  <c r="K477" i="31"/>
  <c r="K141" i="31"/>
  <c r="K148" i="31"/>
  <c r="N493" i="31"/>
  <c r="K509" i="31"/>
  <c r="K516" i="31"/>
  <c r="M125" i="31"/>
  <c r="K125" i="31"/>
  <c r="K132" i="31"/>
  <c r="M579" i="31"/>
  <c r="M157" i="31"/>
  <c r="K157" i="31"/>
  <c r="K164" i="31"/>
  <c r="M205" i="31"/>
  <c r="K205" i="31"/>
  <c r="K212" i="31"/>
  <c r="M528" i="31"/>
  <c r="M109" i="31"/>
  <c r="K109" i="31"/>
  <c r="K116" i="31"/>
  <c r="N317" i="31"/>
  <c r="K301" i="31"/>
  <c r="K308" i="31"/>
  <c r="N525" i="31"/>
  <c r="M381" i="31"/>
  <c r="K388" i="31"/>
  <c r="K381" i="31"/>
  <c r="N45" i="31"/>
  <c r="N605" i="31"/>
  <c r="K612" i="31"/>
  <c r="K605" i="31"/>
  <c r="M384" i="31"/>
  <c r="M129" i="31"/>
  <c r="M335" i="31"/>
  <c r="M450" i="31"/>
  <c r="M192" i="31"/>
  <c r="M354" i="31"/>
  <c r="K500" i="31"/>
  <c r="K493" i="31"/>
  <c r="M498" i="31"/>
  <c r="M397" i="31"/>
  <c r="K397" i="31"/>
  <c r="K404" i="31"/>
  <c r="M563" i="31"/>
  <c r="M557" i="31"/>
  <c r="K557" i="31"/>
  <c r="K564" i="31"/>
  <c r="M146" i="31"/>
  <c r="M371" i="31"/>
  <c r="M482" i="31"/>
  <c r="K77" i="31"/>
  <c r="K84" i="31"/>
  <c r="M223" i="31"/>
  <c r="M221" i="31"/>
  <c r="K228" i="31"/>
  <c r="K221" i="31"/>
  <c r="M243" i="31"/>
  <c r="M99" i="31"/>
  <c r="M93" i="31"/>
  <c r="K93" i="31"/>
  <c r="K100" i="31"/>
  <c r="M259" i="31"/>
  <c r="M574" i="31"/>
  <c r="M161" i="31"/>
  <c r="M301" i="31"/>
  <c r="M176" i="31"/>
  <c r="M173" i="31"/>
  <c r="K173" i="31"/>
  <c r="K180" i="31"/>
  <c r="M209" i="31"/>
  <c r="M526" i="31"/>
  <c r="M272" i="31"/>
  <c r="N127" i="31" l="1"/>
  <c r="N147" i="31"/>
  <c r="V147" i="31" s="1"/>
  <c r="N320" i="31"/>
  <c r="V320" i="31" s="1"/>
  <c r="N370" i="31"/>
  <c r="V370" i="31" s="1"/>
  <c r="N606" i="31"/>
  <c r="V606" i="31" s="1"/>
  <c r="N239" i="31"/>
  <c r="V239" i="31" s="1"/>
  <c r="N433" i="31"/>
  <c r="N366" i="31"/>
  <c r="V366" i="31" s="1"/>
  <c r="N210" i="31"/>
  <c r="V210" i="31" s="1"/>
  <c r="N207" i="31"/>
  <c r="N81" i="31"/>
  <c r="L85" i="31" s="1"/>
  <c r="N545" i="31"/>
  <c r="N592" i="31"/>
  <c r="V592" i="31" s="1"/>
  <c r="N512" i="31"/>
  <c r="V512" i="31" s="1"/>
  <c r="N531" i="31"/>
  <c r="V531" i="31" s="1"/>
  <c r="N558" i="31"/>
  <c r="V558" i="31" s="1"/>
  <c r="N94" i="31"/>
  <c r="V94" i="31" s="1"/>
  <c r="N258" i="31"/>
  <c r="V258" i="31" s="1"/>
  <c r="N242" i="31"/>
  <c r="V242" i="31" s="1"/>
  <c r="N383" i="31"/>
  <c r="V383" i="31" s="1"/>
  <c r="N562" i="31"/>
  <c r="V562" i="31" s="1"/>
  <c r="N462" i="31"/>
  <c r="V462" i="31" s="1"/>
  <c r="N527" i="31"/>
  <c r="V527" i="31" s="1"/>
  <c r="N578" i="31"/>
  <c r="V578" i="31" s="1"/>
  <c r="N430" i="31"/>
  <c r="V430" i="31" s="1"/>
  <c r="N560" i="31"/>
  <c r="V560" i="31" s="1"/>
  <c r="N111" i="31"/>
  <c r="V111" i="31" s="1"/>
  <c r="N609" i="31"/>
  <c r="N319" i="31"/>
  <c r="M324" i="31" s="1"/>
  <c r="N115" i="31"/>
  <c r="V115" i="31" s="1"/>
  <c r="N178" i="31"/>
  <c r="V178" i="31" s="1"/>
  <c r="N435" i="31"/>
  <c r="V435" i="31" s="1"/>
  <c r="V481" i="31"/>
  <c r="N595" i="31"/>
  <c r="V415" i="31"/>
  <c r="N450" i="31"/>
  <c r="V226" i="31"/>
  <c r="V227" i="31"/>
  <c r="V479" i="31"/>
  <c r="N563" i="31"/>
  <c r="V144" i="31"/>
  <c r="V543" i="31"/>
  <c r="N131" i="31"/>
  <c r="V464" i="31"/>
  <c r="V382" i="31"/>
  <c r="V322" i="31"/>
  <c r="V141" i="31"/>
  <c r="V273" i="31"/>
  <c r="V590" i="31"/>
  <c r="V256" i="31"/>
  <c r="V179" i="31"/>
  <c r="N63" i="31"/>
  <c r="V339" i="31"/>
  <c r="V271" i="31"/>
  <c r="V127" i="31"/>
  <c r="N257" i="31"/>
  <c r="N209" i="31"/>
  <c r="N498" i="31"/>
  <c r="N173" i="31"/>
  <c r="N243" i="31"/>
  <c r="N354" i="31"/>
  <c r="V605" i="31"/>
  <c r="V465" i="31"/>
  <c r="V159" i="31"/>
  <c r="V513" i="31"/>
  <c r="V433" i="31"/>
  <c r="V514" i="31"/>
  <c r="V128" i="31"/>
  <c r="V351" i="31"/>
  <c r="V208" i="31"/>
  <c r="V576" i="31"/>
  <c r="V51" i="31"/>
  <c r="V61" i="31"/>
  <c r="V511" i="31"/>
  <c r="N429" i="31"/>
  <c r="N269" i="31"/>
  <c r="V318" i="31"/>
  <c r="V195" i="31"/>
  <c r="N431" i="31"/>
  <c r="N478" i="31"/>
  <c r="N194" i="31"/>
  <c r="N349" i="31"/>
  <c r="V497" i="31"/>
  <c r="V337" i="31"/>
  <c r="V254" i="31"/>
  <c r="V509" i="31"/>
  <c r="V274" i="31"/>
  <c r="V525" i="31"/>
  <c r="V466" i="31"/>
  <c r="V611" i="31"/>
  <c r="V352" i="31"/>
  <c r="N143" i="31"/>
  <c r="N221" i="31"/>
  <c r="V398" i="31"/>
  <c r="V593" i="31"/>
  <c r="N145" i="31"/>
  <c r="V79" i="31"/>
  <c r="N574" i="31"/>
  <c r="V174" i="31"/>
  <c r="V400" i="31"/>
  <c r="N402" i="31"/>
  <c r="V399" i="31"/>
  <c r="V255" i="31"/>
  <c r="N526" i="31"/>
  <c r="N397" i="31"/>
  <c r="V334" i="31"/>
  <c r="V191" i="31"/>
  <c r="V240" i="31"/>
  <c r="V499" i="31"/>
  <c r="V463" i="31"/>
  <c r="V515" i="31"/>
  <c r="V546" i="31"/>
  <c r="V610" i="31"/>
  <c r="V83" i="31"/>
  <c r="V64" i="31"/>
  <c r="N510" i="31"/>
  <c r="N46" i="31"/>
  <c r="V449" i="31"/>
  <c r="N176" i="31"/>
  <c r="V317" i="31"/>
  <c r="N288" i="31"/>
  <c r="V607" i="31"/>
  <c r="V401" i="31"/>
  <c r="V432" i="31"/>
  <c r="V541" i="31"/>
  <c r="V286" i="31"/>
  <c r="N275" i="31"/>
  <c r="V559" i="31"/>
  <c r="N62" i="31"/>
  <c r="N47" i="31"/>
  <c r="V303" i="31"/>
  <c r="N237" i="31"/>
  <c r="V350" i="31"/>
  <c r="N192" i="31"/>
  <c r="V66" i="31"/>
  <c r="V238" i="31"/>
  <c r="V126" i="31"/>
  <c r="V575" i="31"/>
  <c r="V467" i="31"/>
  <c r="V177" i="31"/>
  <c r="N206" i="31"/>
  <c r="V447" i="31"/>
  <c r="N301" i="31"/>
  <c r="V222" i="31"/>
  <c r="V82" i="31"/>
  <c r="V385" i="31"/>
  <c r="N189" i="31"/>
  <c r="V529" i="31"/>
  <c r="V114" i="31"/>
  <c r="V270" i="31"/>
  <c r="N335" i="31"/>
  <c r="V403" i="31"/>
  <c r="V369" i="31"/>
  <c r="N413" i="31"/>
  <c r="V608" i="31"/>
  <c r="V48" i="31"/>
  <c r="N158" i="31"/>
  <c r="V162" i="31"/>
  <c r="N223" i="31"/>
  <c r="V45" i="31"/>
  <c r="V50" i="31"/>
  <c r="V163" i="31"/>
  <c r="V80" i="31"/>
  <c r="N365" i="31"/>
  <c r="V368" i="31"/>
  <c r="N253" i="31"/>
  <c r="N259" i="31"/>
  <c r="N384" i="31"/>
  <c r="V130" i="31"/>
  <c r="V142" i="31"/>
  <c r="N495" i="31"/>
  <c r="V291" i="31"/>
  <c r="V493" i="31"/>
  <c r="V193" i="31"/>
  <c r="N333" i="31"/>
  <c r="N573" i="31"/>
  <c r="N93" i="31"/>
  <c r="N371" i="31"/>
  <c r="N381" i="31"/>
  <c r="V211" i="31"/>
  <c r="V577" i="31"/>
  <c r="N109" i="31"/>
  <c r="N579" i="31"/>
  <c r="V338" i="31"/>
  <c r="V353" i="31"/>
  <c r="V290" i="31"/>
  <c r="V594" i="31"/>
  <c r="V287" i="31"/>
  <c r="V434" i="31"/>
  <c r="V321" i="31"/>
  <c r="V417" i="31"/>
  <c r="V494" i="31"/>
  <c r="V530" i="31"/>
  <c r="V547" i="31"/>
  <c r="N67" i="31"/>
  <c r="N461" i="31"/>
  <c r="V367" i="31"/>
  <c r="V241" i="31"/>
  <c r="V589" i="31"/>
  <c r="V448" i="31"/>
  <c r="V302" i="31"/>
  <c r="V160" i="31"/>
  <c r="V77" i="31"/>
  <c r="V78" i="31"/>
  <c r="N451" i="31"/>
  <c r="N557" i="31"/>
  <c r="N125" i="31"/>
  <c r="V496" i="31"/>
  <c r="V591" i="31"/>
  <c r="N307" i="31"/>
  <c r="V561" i="31"/>
  <c r="N161" i="31"/>
  <c r="N205" i="31"/>
  <c r="V480" i="31"/>
  <c r="V96" i="31"/>
  <c r="V542" i="31"/>
  <c r="V416" i="31"/>
  <c r="N129" i="31"/>
  <c r="V418" i="31"/>
  <c r="N414" i="31"/>
  <c r="N387" i="31"/>
  <c r="N272" i="31"/>
  <c r="N285" i="31"/>
  <c r="V304" i="31"/>
  <c r="V323" i="31"/>
  <c r="N482" i="31"/>
  <c r="V113" i="31"/>
  <c r="N157" i="31"/>
  <c r="N477" i="31"/>
  <c r="N99" i="31"/>
  <c r="N146" i="31"/>
  <c r="V544" i="31"/>
  <c r="V175" i="31"/>
  <c r="V306" i="31"/>
  <c r="V336" i="31"/>
  <c r="N528" i="31"/>
  <c r="V419" i="31"/>
  <c r="V289" i="31"/>
  <c r="V446" i="31"/>
  <c r="V110" i="31"/>
  <c r="V49" i="31"/>
  <c r="V386" i="31"/>
  <c r="N445" i="31"/>
  <c r="V305" i="31"/>
  <c r="V65" i="31"/>
  <c r="V95" i="31"/>
  <c r="N98" i="31"/>
  <c r="V97" i="31"/>
  <c r="V483" i="31"/>
  <c r="N112" i="31"/>
  <c r="N225" i="31"/>
  <c r="N355" i="31"/>
  <c r="V190" i="31"/>
  <c r="V224" i="31"/>
  <c r="I173" i="33"/>
  <c r="J140" i="33"/>
  <c r="I1169" i="34"/>
  <c r="J109" i="33"/>
  <c r="I428" i="33"/>
  <c r="I224" i="33"/>
  <c r="J128" i="33"/>
  <c r="J541" i="33"/>
  <c r="J1512" i="34"/>
  <c r="J380" i="33"/>
  <c r="I758" i="34"/>
  <c r="I174" i="33"/>
  <c r="J299" i="33"/>
  <c r="J615" i="34"/>
  <c r="J78" i="33"/>
  <c r="I1237" i="34"/>
  <c r="J1652" i="34"/>
  <c r="I607" i="33"/>
  <c r="I2413" i="34"/>
  <c r="I274" i="34"/>
  <c r="J427" i="33"/>
  <c r="I2065" i="34"/>
  <c r="I1514" i="34"/>
  <c r="J284" i="33"/>
  <c r="I557" i="33"/>
  <c r="I1925" i="34"/>
  <c r="J1580" i="34"/>
  <c r="J570" i="33"/>
  <c r="I824" i="34"/>
  <c r="J250" i="33"/>
  <c r="I445" i="33"/>
  <c r="I2619" i="34"/>
  <c r="J894" i="34"/>
  <c r="J477" i="34"/>
  <c r="I1793" i="34"/>
  <c r="I1789" i="34"/>
  <c r="J2271" i="34"/>
  <c r="J1859" i="34"/>
  <c r="I344" i="34"/>
  <c r="I2342" i="34"/>
  <c r="I754" i="34"/>
  <c r="J138" i="33"/>
  <c r="J1653" i="34"/>
  <c r="J111" i="33"/>
  <c r="J1998" i="34"/>
  <c r="I2271" i="34"/>
  <c r="I240" i="33"/>
  <c r="I608" i="33"/>
  <c r="I1517" i="34"/>
  <c r="J2413" i="34"/>
  <c r="J476" i="33"/>
  <c r="J1030" i="34"/>
  <c r="J753" i="34"/>
  <c r="J303" i="33"/>
  <c r="I60" i="33"/>
  <c r="I574" i="33"/>
  <c r="J1305" i="34"/>
  <c r="I339" i="34"/>
  <c r="J426" i="33"/>
  <c r="J414" i="33"/>
  <c r="I463" i="33"/>
  <c r="J207" i="33"/>
  <c r="J106" i="33"/>
  <c r="I111" i="33"/>
  <c r="J1033" i="34"/>
  <c r="I2205" i="34"/>
  <c r="J395" i="33"/>
  <c r="J1375" i="34"/>
  <c r="I615" i="34"/>
  <c r="J1858" i="34"/>
  <c r="J2477" i="34"/>
  <c r="I284" i="33"/>
  <c r="I93" i="33"/>
  <c r="J256" i="33"/>
  <c r="J349" i="33"/>
  <c r="J331" i="33"/>
  <c r="J412" i="34"/>
  <c r="I250" i="33"/>
  <c r="I206" i="33"/>
  <c r="J587" i="33"/>
  <c r="J443" i="33"/>
  <c r="I411" i="33"/>
  <c r="J366" i="33"/>
  <c r="J159" i="33"/>
  <c r="J459" i="33"/>
  <c r="I303" i="33"/>
  <c r="I251" i="33"/>
  <c r="I1724" i="34"/>
  <c r="J556" i="33"/>
  <c r="J575" i="33"/>
  <c r="I340" i="34"/>
  <c r="I45" i="33"/>
  <c r="I282" i="33"/>
  <c r="I365" i="33"/>
  <c r="J415" i="33"/>
  <c r="J824" i="34"/>
  <c r="J220" i="33"/>
  <c r="J240" i="33"/>
  <c r="I1100" i="34"/>
  <c r="I1028" i="34"/>
  <c r="J63" i="33"/>
  <c r="I549" i="34"/>
  <c r="J826" i="34"/>
  <c r="J1929" i="34"/>
  <c r="I400" i="33"/>
  <c r="J1724" i="34"/>
  <c r="I191" i="33"/>
  <c r="I271" i="33"/>
  <c r="I460" i="33"/>
  <c r="J1517" i="34"/>
  <c r="J1100" i="34"/>
  <c r="I755" i="34"/>
  <c r="I589" i="33"/>
  <c r="J524" i="33"/>
  <c r="I481" i="34"/>
  <c r="J619" i="34"/>
  <c r="I482" i="34"/>
  <c r="J2615" i="34"/>
  <c r="J607" i="33"/>
  <c r="I494" i="33"/>
  <c r="I550" i="34"/>
  <c r="I1236" i="34"/>
  <c r="I1103" i="34"/>
  <c r="I1235" i="34"/>
  <c r="J1791" i="34"/>
  <c r="I2343" i="34"/>
  <c r="J1787" i="34"/>
  <c r="J1445" i="34"/>
  <c r="J2132" i="34"/>
  <c r="J141" i="33"/>
  <c r="J758" i="34"/>
  <c r="I207" i="33"/>
  <c r="I1447" i="34"/>
  <c r="I301" i="33"/>
  <c r="J962" i="34"/>
  <c r="J890" i="34"/>
  <c r="J1513" i="34"/>
  <c r="J2136" i="34"/>
  <c r="I539" i="33"/>
  <c r="J507" i="33"/>
  <c r="J512" i="33"/>
  <c r="I159" i="33"/>
  <c r="J964" i="34"/>
  <c r="J410" i="33"/>
  <c r="I894" i="34"/>
  <c r="I1722" i="34"/>
  <c r="I1308" i="34"/>
  <c r="J1447" i="34"/>
  <c r="I127" i="33"/>
  <c r="J314" i="33"/>
  <c r="J252" i="33"/>
  <c r="J464" i="33"/>
  <c r="I235" i="33"/>
  <c r="I362" i="33"/>
  <c r="I273" i="34"/>
  <c r="I893" i="34"/>
  <c r="J107" i="33"/>
  <c r="I476" i="33"/>
  <c r="J1582" i="34"/>
  <c r="J1719" i="34"/>
  <c r="J332" i="33"/>
  <c r="J444" i="33"/>
  <c r="I1101" i="34"/>
  <c r="J1515" i="34"/>
  <c r="I341" i="34"/>
  <c r="J523" i="33"/>
  <c r="J122" i="33"/>
  <c r="J554" i="33"/>
  <c r="J411" i="33"/>
  <c r="J1790" i="34"/>
  <c r="I477" i="33"/>
  <c r="J959" i="34"/>
  <c r="J476" i="34"/>
  <c r="I352" i="33"/>
  <c r="I176" i="33"/>
  <c r="I960" i="34"/>
  <c r="I1994" i="34"/>
  <c r="J1516" i="34"/>
  <c r="J546" i="34"/>
  <c r="I560" i="33"/>
  <c r="J2550" i="34"/>
  <c r="J602" i="33"/>
  <c r="I756" i="34"/>
  <c r="I548" i="34"/>
  <c r="J2134" i="34"/>
  <c r="I288" i="33"/>
  <c r="I459" i="33"/>
  <c r="J494" i="33"/>
  <c r="J236" i="33"/>
  <c r="J254" i="33"/>
  <c r="J460" i="33"/>
  <c r="I2552" i="34"/>
  <c r="J492" i="33"/>
  <c r="I1102" i="34"/>
  <c r="J342" i="34"/>
  <c r="J1167" i="34"/>
  <c r="J961" i="34"/>
  <c r="J2412" i="34"/>
  <c r="J491" i="33"/>
  <c r="I443" i="33"/>
  <c r="I573" i="33"/>
  <c r="I821" i="34"/>
  <c r="I2478" i="34"/>
  <c r="J896" i="34"/>
  <c r="I427" i="33"/>
  <c r="I1584" i="34"/>
  <c r="J218" i="33"/>
  <c r="J235" i="33"/>
  <c r="J92" i="33"/>
  <c r="J618" i="34"/>
  <c r="J430" i="33"/>
  <c r="J125" i="33"/>
  <c r="J350" i="33"/>
  <c r="I48" i="33"/>
  <c r="J827" i="34"/>
  <c r="I545" i="34"/>
  <c r="I416" i="33"/>
  <c r="I480" i="34"/>
  <c r="J482" i="34"/>
  <c r="I464" i="33"/>
  <c r="J1166" i="34"/>
  <c r="J511" i="33"/>
  <c r="J1236" i="34"/>
  <c r="I480" i="33"/>
  <c r="I415" i="33"/>
  <c r="J1101" i="34"/>
  <c r="I558" i="33"/>
  <c r="I2617" i="34"/>
  <c r="I442" i="33"/>
  <c r="J442" i="33"/>
  <c r="J394" i="33"/>
  <c r="J756" i="34"/>
  <c r="I496" i="33"/>
  <c r="J1029" i="34"/>
  <c r="J411" i="34"/>
  <c r="I171" i="33"/>
  <c r="I302" i="33"/>
  <c r="J61" i="33"/>
  <c r="J59" i="33"/>
  <c r="J112" i="33"/>
  <c r="J1860" i="34"/>
  <c r="J1377" i="34"/>
  <c r="I683" i="34"/>
  <c r="J572" i="33"/>
  <c r="I190" i="33"/>
  <c r="I822" i="34"/>
  <c r="I47" i="33"/>
  <c r="I272" i="33"/>
  <c r="I1719" i="34"/>
  <c r="J606" i="33"/>
  <c r="I590" i="33"/>
  <c r="J510" i="33"/>
  <c r="I825" i="34"/>
  <c r="J282" i="33"/>
  <c r="J2063" i="34"/>
  <c r="J333" i="33"/>
  <c r="I1515" i="34"/>
  <c r="I1446" i="34"/>
  <c r="I1791" i="34"/>
  <c r="I298" i="33"/>
  <c r="I446" i="33"/>
  <c r="J320" i="33"/>
  <c r="J365" i="33"/>
  <c r="I363" i="33"/>
  <c r="J475" i="33"/>
  <c r="J381" i="33"/>
  <c r="I1650" i="34"/>
  <c r="I347" i="33"/>
  <c r="I543" i="33"/>
  <c r="J2547" i="34"/>
  <c r="I319" i="33"/>
  <c r="J108" i="33"/>
  <c r="J588" i="33"/>
  <c r="J686" i="34"/>
  <c r="I2272" i="34"/>
  <c r="I270" i="33"/>
  <c r="J75" i="33"/>
  <c r="J480" i="33"/>
  <c r="I1652" i="34"/>
  <c r="J206" i="33"/>
  <c r="I2408" i="34"/>
  <c r="J545" i="34"/>
  <c r="I2482" i="34"/>
  <c r="J752" i="34"/>
  <c r="J2204" i="34"/>
  <c r="I587" i="33"/>
  <c r="J1650" i="34"/>
  <c r="I686" i="34"/>
  <c r="J1309" i="34"/>
  <c r="I2138" i="34"/>
  <c r="J123" i="33"/>
  <c r="I1516" i="34"/>
  <c r="I1445" i="34"/>
  <c r="J238" i="33"/>
  <c r="J620" i="34"/>
  <c r="J80" i="33"/>
  <c r="J1927" i="34"/>
  <c r="I511" i="33"/>
  <c r="I591" i="33"/>
  <c r="J384" i="33"/>
  <c r="J544" i="33"/>
  <c r="J604" i="33"/>
  <c r="I172" i="33"/>
  <c r="I526" i="33"/>
  <c r="J821" i="34"/>
  <c r="I963" i="34"/>
  <c r="J416" i="33"/>
  <c r="I431" i="33"/>
  <c r="I318" i="33"/>
  <c r="I408" i="34"/>
  <c r="I2275" i="34"/>
  <c r="J2137" i="34"/>
  <c r="I364" i="33"/>
  <c r="I175" i="33"/>
  <c r="I141" i="33"/>
  <c r="I2409" i="34"/>
  <c r="I332" i="33"/>
  <c r="J91" i="33"/>
  <c r="I92" i="33"/>
  <c r="I396" i="33"/>
  <c r="I1723" i="34"/>
  <c r="J527" i="33"/>
  <c r="J1581" i="34"/>
  <c r="I2134" i="34"/>
  <c r="I331" i="33"/>
  <c r="I350" i="33"/>
  <c r="I287" i="33"/>
  <c r="J2549" i="34"/>
  <c r="I1034" i="34"/>
  <c r="I1856" i="34"/>
  <c r="J683" i="34"/>
  <c r="J173" i="33"/>
  <c r="J158" i="33"/>
  <c r="J1378" i="34"/>
  <c r="I142" i="33"/>
  <c r="J42" i="33"/>
  <c r="I592" i="33"/>
  <c r="I2483" i="34"/>
  <c r="J367" i="33"/>
  <c r="I474" i="33"/>
  <c r="I475" i="33"/>
  <c r="I1930" i="34"/>
  <c r="J1583" i="34"/>
  <c r="I479" i="34"/>
  <c r="I616" i="34"/>
  <c r="I1238" i="34"/>
  <c r="J301" i="33"/>
  <c r="J1793" i="34"/>
  <c r="I430" i="33"/>
  <c r="I491" i="33"/>
  <c r="I380" i="33"/>
  <c r="I410" i="33"/>
  <c r="I1653" i="34"/>
  <c r="I2410" i="34"/>
  <c r="I126" i="33"/>
  <c r="J270" i="34"/>
  <c r="J1928" i="34"/>
  <c r="I2207" i="34"/>
  <c r="J1856" i="34"/>
  <c r="J174" i="33"/>
  <c r="I315" i="33"/>
  <c r="J176" i="33"/>
  <c r="J2619" i="34"/>
  <c r="J1862" i="34"/>
  <c r="J204" i="33"/>
  <c r="J221" i="33"/>
  <c r="I77" i="33"/>
  <c r="J754" i="34"/>
  <c r="I109" i="33"/>
  <c r="J605" i="33"/>
  <c r="J479" i="33"/>
  <c r="J2138" i="34"/>
  <c r="J2340" i="34"/>
  <c r="I1583" i="34"/>
  <c r="J2275" i="34"/>
  <c r="J400" i="33"/>
  <c r="J448" i="33"/>
  <c r="J1310" i="34"/>
  <c r="J463" i="33"/>
  <c r="J496" i="33"/>
  <c r="J2408" i="34"/>
  <c r="J47" i="33"/>
  <c r="I689" i="34"/>
  <c r="I1240" i="34"/>
  <c r="J543" i="33"/>
  <c r="I620" i="34"/>
  <c r="J1304" i="34"/>
  <c r="J94" i="33"/>
  <c r="I510" i="33"/>
  <c r="J1861" i="34"/>
  <c r="J300" i="33"/>
  <c r="I2340" i="34"/>
  <c r="J2479" i="34"/>
  <c r="I368" i="33"/>
  <c r="J363" i="33"/>
  <c r="J2616" i="34"/>
  <c r="J2478" i="34"/>
  <c r="I1649" i="34"/>
  <c r="J490" i="33"/>
  <c r="I752" i="34"/>
  <c r="I80" i="33"/>
  <c r="I2204" i="34"/>
  <c r="I1033" i="34"/>
  <c r="I154" i="33"/>
  <c r="J1240" i="34"/>
  <c r="I155" i="33"/>
  <c r="J2409" i="34"/>
  <c r="J1586" i="34"/>
  <c r="J287" i="33"/>
  <c r="I444" i="33"/>
  <c r="J1999" i="34"/>
  <c r="J560" i="33"/>
  <c r="J77" i="33"/>
  <c r="I605" i="33"/>
  <c r="J2135" i="34"/>
  <c r="J1376" i="34"/>
  <c r="J1997" i="34"/>
  <c r="J175" i="33"/>
  <c r="J334" i="33"/>
  <c r="I256" i="33"/>
  <c r="I1997" i="34"/>
  <c r="J2203" i="34"/>
  <c r="I2477" i="34"/>
  <c r="I2479" i="34"/>
  <c r="I2203" i="34"/>
  <c r="J273" i="34"/>
  <c r="I1030" i="34"/>
  <c r="I1448" i="34"/>
  <c r="J237" i="33"/>
  <c r="J2621" i="34"/>
  <c r="J45" i="33"/>
  <c r="I1860" i="34"/>
  <c r="I412" i="34"/>
  <c r="J407" i="34"/>
  <c r="I2135" i="34"/>
  <c r="J2207" i="34"/>
  <c r="I588" i="33"/>
  <c r="I1166" i="34"/>
  <c r="I1378" i="34"/>
  <c r="I394" i="33"/>
  <c r="J547" i="34"/>
  <c r="J1931" i="34"/>
  <c r="J1374" i="34"/>
  <c r="J446" i="33"/>
  <c r="I239" i="33"/>
  <c r="J1649" i="34"/>
  <c r="J2482" i="34"/>
  <c r="J335" i="33"/>
  <c r="I1511" i="34"/>
  <c r="I413" i="34"/>
  <c r="J2339" i="34"/>
  <c r="I188" i="33"/>
  <c r="I448" i="33"/>
  <c r="I458" i="33"/>
  <c r="I1790" i="34"/>
  <c r="I107" i="33"/>
  <c r="I2621" i="34"/>
  <c r="I222" i="33"/>
  <c r="I275" i="34"/>
  <c r="J266" i="33"/>
  <c r="J191" i="33"/>
  <c r="J1028" i="34"/>
  <c r="J351" i="33"/>
  <c r="J74" i="33"/>
  <c r="I570" i="33"/>
  <c r="J272" i="34"/>
  <c r="J223" i="33"/>
  <c r="I1307" i="34"/>
  <c r="J368" i="33"/>
  <c r="I493" i="33"/>
  <c r="J2065" i="34"/>
  <c r="I478" i="34"/>
  <c r="J495" i="33"/>
  <c r="I346" i="33"/>
  <c r="I890" i="34"/>
  <c r="J2069" i="34"/>
  <c r="I2068" i="34"/>
  <c r="I64" i="33"/>
  <c r="J1514" i="34"/>
  <c r="J590" i="33"/>
  <c r="J142" i="33"/>
  <c r="I286" i="33"/>
  <c r="J1585" i="34"/>
  <c r="I349" i="33"/>
  <c r="I1239" i="34"/>
  <c r="J267" i="33"/>
  <c r="I1512" i="34"/>
  <c r="J413" i="34"/>
  <c r="I2063" i="34"/>
  <c r="I429" i="33"/>
  <c r="I1718" i="34"/>
  <c r="I234" i="33"/>
  <c r="I300" i="33"/>
  <c r="I192" i="33"/>
  <c r="I140" i="33"/>
  <c r="J1171" i="34"/>
  <c r="J462" i="33"/>
  <c r="I254" i="33"/>
  <c r="I411" i="34"/>
  <c r="I572" i="33"/>
  <c r="J379" i="33"/>
  <c r="J1308" i="34"/>
  <c r="I186" i="33"/>
  <c r="J79" i="33"/>
  <c r="I688" i="34"/>
  <c r="I1861" i="34"/>
  <c r="J548" i="34"/>
  <c r="J1446" i="34"/>
  <c r="J157" i="33"/>
  <c r="I1999" i="34"/>
  <c r="J2205" i="34"/>
  <c r="J895" i="34"/>
  <c r="I2137" i="34"/>
  <c r="I528" i="33"/>
  <c r="J2617" i="34"/>
  <c r="I508" i="33"/>
  <c r="I283" i="33"/>
  <c r="I546" i="34"/>
  <c r="I218" i="33"/>
  <c r="I271" i="34"/>
  <c r="AJ25" i="32"/>
  <c r="I409" i="34"/>
  <c r="J2064" i="34"/>
  <c r="J1995" i="34"/>
  <c r="I59" i="33"/>
  <c r="I757" i="34"/>
  <c r="J412" i="33"/>
  <c r="J2483" i="34"/>
  <c r="J528" i="33"/>
  <c r="I382" i="33"/>
  <c r="J1584" i="34"/>
  <c r="J1788" i="34"/>
  <c r="I158" i="33"/>
  <c r="J1237" i="34"/>
  <c r="I509" i="33"/>
  <c r="J478" i="34"/>
  <c r="J479" i="34"/>
  <c r="I827" i="34"/>
  <c r="I366" i="33"/>
  <c r="I1309" i="34"/>
  <c r="I1029" i="34"/>
  <c r="J617" i="34"/>
  <c r="I476" i="34"/>
  <c r="I555" i="33"/>
  <c r="I269" i="33"/>
  <c r="I2481" i="34"/>
  <c r="I1931" i="34"/>
  <c r="J1241" i="34"/>
  <c r="J608" i="33"/>
  <c r="I270" i="34"/>
  <c r="I1651" i="34"/>
  <c r="J2067" i="34"/>
  <c r="J1655" i="34"/>
  <c r="J202" i="33"/>
  <c r="I896" i="34"/>
  <c r="J1996" i="34"/>
  <c r="J239" i="33"/>
  <c r="I617" i="34"/>
  <c r="I128" i="33"/>
  <c r="J2345" i="34"/>
  <c r="J352" i="33"/>
  <c r="I1654" i="34"/>
  <c r="I96" i="33"/>
  <c r="J340" i="34"/>
  <c r="J188" i="33"/>
  <c r="I63" i="33"/>
  <c r="I2550" i="34"/>
  <c r="J960" i="34"/>
  <c r="J1235" i="34"/>
  <c r="J603" i="33"/>
  <c r="J95" i="33"/>
  <c r="I1379" i="34"/>
  <c r="J539" i="33"/>
  <c r="J90" i="33"/>
  <c r="I1031" i="34"/>
  <c r="I1585" i="34"/>
  <c r="I2412" i="34"/>
  <c r="J126" i="33"/>
  <c r="I44" i="33"/>
  <c r="J1925" i="34"/>
  <c r="J286" i="33"/>
  <c r="I432" i="33"/>
  <c r="J2066" i="34"/>
  <c r="J338" i="34"/>
  <c r="J616" i="34"/>
  <c r="J64" i="33"/>
  <c r="I204" i="33"/>
  <c r="I1377" i="34"/>
  <c r="J219" i="33"/>
  <c r="I2616" i="34"/>
  <c r="J1444" i="34"/>
  <c r="I823" i="34"/>
  <c r="I479" i="33"/>
  <c r="J304" i="33"/>
  <c r="I892" i="34"/>
  <c r="J253" i="33"/>
  <c r="I367" i="33"/>
  <c r="J1170" i="34"/>
  <c r="I237" i="33"/>
  <c r="J1926" i="34"/>
  <c r="I1792" i="34"/>
  <c r="J493" i="33"/>
  <c r="I1241" i="34"/>
  <c r="J271" i="33"/>
  <c r="J2620" i="34"/>
  <c r="J1654" i="34"/>
  <c r="I317" i="33"/>
  <c r="J891" i="34"/>
  <c r="I1305" i="34"/>
  <c r="J542" i="33"/>
  <c r="I1788" i="34"/>
  <c r="J586" i="33"/>
  <c r="I268" i="33"/>
  <c r="J2548" i="34"/>
  <c r="I1376" i="34"/>
  <c r="I267" i="33"/>
  <c r="I461" i="33"/>
  <c r="J573" i="33"/>
  <c r="I157" i="33"/>
  <c r="J1032" i="34"/>
  <c r="J1379" i="34"/>
  <c r="I1098" i="34"/>
  <c r="I2276" i="34"/>
  <c r="I478" i="33"/>
  <c r="I2000" i="34"/>
  <c r="J396" i="33"/>
  <c r="I333" i="33"/>
  <c r="I2341" i="34"/>
  <c r="I1443" i="34"/>
  <c r="J2343" i="34"/>
  <c r="J285" i="33"/>
  <c r="I110" i="33"/>
  <c r="I2133" i="34"/>
  <c r="J1448" i="34"/>
  <c r="I91" i="33"/>
  <c r="J190" i="33"/>
  <c r="I412" i="33"/>
  <c r="I1513" i="34"/>
  <c r="I1442" i="34"/>
  <c r="J172" i="33"/>
  <c r="J687" i="34"/>
  <c r="I524" i="33"/>
  <c r="J447" i="33"/>
  <c r="I62" i="33"/>
  <c r="I492" i="33"/>
  <c r="I94" i="33"/>
  <c r="J614" i="34"/>
  <c r="I205" i="33"/>
  <c r="I46" i="33"/>
  <c r="I551" i="34"/>
  <c r="I1374" i="34"/>
  <c r="J1722" i="34"/>
  <c r="I43" i="33"/>
  <c r="J283" i="33"/>
  <c r="I395" i="33"/>
  <c r="I2066" i="34"/>
  <c r="J46" i="33"/>
  <c r="J550" i="34"/>
  <c r="J481" i="34"/>
  <c r="J382" i="33"/>
  <c r="I2345" i="34"/>
  <c r="I1929" i="34"/>
  <c r="I1375" i="34"/>
  <c r="J526" i="33"/>
  <c r="J522" i="33"/>
  <c r="J413" i="33"/>
  <c r="J171" i="33"/>
  <c r="J461" i="33"/>
  <c r="I1857" i="34"/>
  <c r="I1310" i="34"/>
  <c r="I79" i="33"/>
  <c r="I1581" i="34"/>
  <c r="I426" i="33"/>
  <c r="I507" i="33"/>
  <c r="I156" i="33"/>
  <c r="J2344" i="34"/>
  <c r="I379" i="33"/>
  <c r="I95" i="33"/>
  <c r="J398" i="33"/>
  <c r="I1032" i="34"/>
  <c r="J2410" i="34"/>
  <c r="I90" i="33"/>
  <c r="J319" i="33"/>
  <c r="I320" i="33"/>
  <c r="J1306" i="34"/>
  <c r="J506" i="33"/>
  <c r="J189" i="33"/>
  <c r="J558" i="33"/>
  <c r="J154" i="33"/>
  <c r="I1172" i="34"/>
  <c r="J2480" i="34"/>
  <c r="J139" i="33"/>
  <c r="I399" i="33"/>
  <c r="I203" i="33"/>
  <c r="I316" i="33"/>
  <c r="I2551" i="34"/>
  <c r="I556" i="33"/>
  <c r="J574" i="33"/>
  <c r="J1442" i="34"/>
  <c r="J270" i="33"/>
  <c r="I285" i="33"/>
  <c r="I202" i="33"/>
  <c r="J2272" i="34"/>
  <c r="I1168" i="34"/>
  <c r="J1034" i="34"/>
  <c r="J110" i="33"/>
  <c r="J274" i="34"/>
  <c r="J143" i="33"/>
  <c r="I75" i="33"/>
  <c r="J271" i="34"/>
  <c r="J410" i="34"/>
  <c r="I220" i="33"/>
  <c r="I170" i="33"/>
  <c r="I462" i="33"/>
  <c r="I1995" i="34"/>
  <c r="I619" i="34"/>
  <c r="I123" i="33"/>
  <c r="J170" i="33"/>
  <c r="I351" i="33"/>
  <c r="I527" i="33"/>
  <c r="I606" i="33"/>
  <c r="I1580" i="34"/>
  <c r="I238" i="33"/>
  <c r="I76" i="33"/>
  <c r="J316" i="33"/>
  <c r="J432" i="33"/>
  <c r="J315" i="33"/>
  <c r="J474" i="33"/>
  <c r="J2414" i="34"/>
  <c r="I413" i="33"/>
  <c r="I2067" i="34"/>
  <c r="J549" i="34"/>
  <c r="I335" i="33"/>
  <c r="J2206" i="34"/>
  <c r="I1787" i="34"/>
  <c r="J255" i="33"/>
  <c r="I447" i="33"/>
  <c r="I687" i="34"/>
  <c r="I962" i="34"/>
  <c r="J96" i="33"/>
  <c r="J2551" i="34"/>
  <c r="J538" i="33"/>
  <c r="I299" i="33"/>
  <c r="I1927" i="34"/>
  <c r="I189" i="33"/>
  <c r="J557" i="33"/>
  <c r="J963" i="34"/>
  <c r="J445" i="33"/>
  <c r="I576" i="33"/>
  <c r="J269" i="34"/>
  <c r="J2201" i="34"/>
  <c r="I236" i="33"/>
  <c r="J458" i="33"/>
  <c r="J362" i="33"/>
  <c r="J1718" i="34"/>
  <c r="J2273" i="34"/>
  <c r="J43" i="33"/>
  <c r="I965" i="34"/>
  <c r="I348" i="33"/>
  <c r="J409" i="34"/>
  <c r="J347" i="33"/>
  <c r="J44" i="33"/>
  <c r="J234" i="33"/>
  <c r="I1097" i="34"/>
  <c r="J755" i="34"/>
  <c r="J551" i="34"/>
  <c r="J186" i="33"/>
  <c r="J203" i="33"/>
  <c r="I542" i="33"/>
  <c r="J757" i="34"/>
  <c r="I604" i="33"/>
  <c r="I559" i="33"/>
  <c r="I1306" i="34"/>
  <c r="I2547" i="34"/>
  <c r="J2342" i="34"/>
  <c r="I2274" i="34"/>
  <c r="J1723" i="34"/>
  <c r="J187" i="33"/>
  <c r="I964" i="34"/>
  <c r="I1582" i="34"/>
  <c r="J2068" i="34"/>
  <c r="J318" i="33"/>
  <c r="I1926" i="34"/>
  <c r="I343" i="34"/>
  <c r="I1586" i="34"/>
  <c r="I125" i="33"/>
  <c r="J251" i="33"/>
  <c r="I891" i="34"/>
  <c r="J1099" i="34"/>
  <c r="I1859" i="34"/>
  <c r="J302" i="33"/>
  <c r="I1858" i="34"/>
  <c r="J689" i="34"/>
  <c r="I334" i="33"/>
  <c r="J1098" i="34"/>
  <c r="J1930" i="34"/>
  <c r="I2480" i="34"/>
  <c r="I541" i="33"/>
  <c r="J478" i="33"/>
  <c r="I575" i="33"/>
  <c r="J1720" i="34"/>
  <c r="I78" i="33"/>
  <c r="J822" i="34"/>
  <c r="J2000" i="34"/>
  <c r="I753" i="34"/>
  <c r="I208" i="33"/>
  <c r="J1172" i="34"/>
  <c r="J208" i="33"/>
  <c r="AK10" i="32"/>
  <c r="J1238" i="34"/>
  <c r="I685" i="34"/>
  <c r="I2069" i="34"/>
  <c r="I2549" i="34"/>
  <c r="J339" i="34"/>
  <c r="J124" i="33"/>
  <c r="J1102" i="34"/>
  <c r="J272" i="33"/>
  <c r="J559" i="33"/>
  <c r="I266" i="33"/>
  <c r="I961" i="34"/>
  <c r="I512" i="33"/>
  <c r="J2202" i="34"/>
  <c r="I1721" i="34"/>
  <c r="J825" i="34"/>
  <c r="J1994" i="34"/>
  <c r="J58" i="33"/>
  <c r="I1304" i="34"/>
  <c r="I2136" i="34"/>
  <c r="J1307" i="34"/>
  <c r="I2620" i="34"/>
  <c r="I410" i="34"/>
  <c r="J2270" i="34"/>
  <c r="J346" i="33"/>
  <c r="J192" i="33"/>
  <c r="J685" i="34"/>
  <c r="J2552" i="34"/>
  <c r="J76" i="33"/>
  <c r="I253" i="33"/>
  <c r="I1444" i="34"/>
  <c r="I523" i="33"/>
  <c r="J1721" i="34"/>
  <c r="I304" i="33"/>
  <c r="J592" i="33"/>
  <c r="J127" i="33"/>
  <c r="J275" i="34"/>
  <c r="J571" i="33"/>
  <c r="I106" i="33"/>
  <c r="I525" i="33"/>
  <c r="I124" i="33"/>
  <c r="J93" i="33"/>
  <c r="J1168" i="34"/>
  <c r="I2548" i="34"/>
  <c r="J160" i="33"/>
  <c r="J1789" i="34"/>
  <c r="I547" i="34"/>
  <c r="J1373" i="34"/>
  <c r="I2618" i="34"/>
  <c r="J555" i="33"/>
  <c r="J591" i="33"/>
  <c r="J224" i="33"/>
  <c r="I1167" i="34"/>
  <c r="J429" i="33"/>
  <c r="I959" i="34"/>
  <c r="I1928" i="34"/>
  <c r="I108" i="33"/>
  <c r="I160" i="33"/>
  <c r="I252" i="33"/>
  <c r="I381" i="33"/>
  <c r="I187" i="33"/>
  <c r="I221" i="33"/>
  <c r="J378" i="33"/>
  <c r="J2276" i="34"/>
  <c r="I342" i="34"/>
  <c r="J48" i="33"/>
  <c r="I684" i="34"/>
  <c r="J1097" i="34"/>
  <c r="I495" i="33"/>
  <c r="J341" i="34"/>
  <c r="I2202" i="34"/>
  <c r="I2206" i="34"/>
  <c r="I61" i="33"/>
  <c r="I1996" i="34"/>
  <c r="J408" i="34"/>
  <c r="I255" i="33"/>
  <c r="I1998" i="34"/>
  <c r="J1651" i="34"/>
  <c r="J477" i="33"/>
  <c r="J336" i="33"/>
  <c r="J688" i="34"/>
  <c r="J344" i="34"/>
  <c r="I122" i="33"/>
  <c r="J965" i="34"/>
  <c r="J2546" i="34"/>
  <c r="J2411" i="34"/>
  <c r="J2274" i="34"/>
  <c r="J62" i="33"/>
  <c r="J205" i="33"/>
  <c r="J1103" i="34"/>
  <c r="I1170" i="34"/>
  <c r="J1857" i="34"/>
  <c r="J330" i="33"/>
  <c r="I378" i="33"/>
  <c r="I139" i="33"/>
  <c r="J893" i="34"/>
  <c r="J222" i="33"/>
  <c r="I414" i="33"/>
  <c r="I2064" i="34"/>
  <c r="J892" i="34"/>
  <c r="I2414" i="34"/>
  <c r="J1511" i="34"/>
  <c r="J589" i="33"/>
  <c r="J156" i="33"/>
  <c r="J269" i="33"/>
  <c r="I143" i="33"/>
  <c r="J1031" i="34"/>
  <c r="I219" i="33"/>
  <c r="J1443" i="34"/>
  <c r="I554" i="33"/>
  <c r="J1169" i="34"/>
  <c r="J576" i="33"/>
  <c r="I544" i="33"/>
  <c r="I1655" i="34"/>
  <c r="J298" i="33"/>
  <c r="I1862" i="34"/>
  <c r="I618" i="34"/>
  <c r="J2133" i="34"/>
  <c r="I1099" i="34"/>
  <c r="I571" i="33"/>
  <c r="J1792" i="34"/>
  <c r="I603" i="33"/>
  <c r="J525" i="33"/>
  <c r="J508" i="33"/>
  <c r="J144" i="33"/>
  <c r="J397" i="33"/>
  <c r="J480" i="34"/>
  <c r="I1720" i="34"/>
  <c r="J155" i="33"/>
  <c r="J399" i="33"/>
  <c r="I826" i="34"/>
  <c r="J383" i="33"/>
  <c r="I330" i="33"/>
  <c r="J317" i="33"/>
  <c r="J823" i="34"/>
  <c r="I223" i="33"/>
  <c r="J364" i="33"/>
  <c r="I397" i="33"/>
  <c r="J431" i="33"/>
  <c r="I384" i="33"/>
  <c r="J2618" i="34"/>
  <c r="I477" i="34"/>
  <c r="I383" i="33"/>
  <c r="J2341" i="34"/>
  <c r="I272" i="34"/>
  <c r="I112" i="33"/>
  <c r="I144" i="33"/>
  <c r="J2481" i="34"/>
  <c r="J348" i="33"/>
  <c r="J428" i="33"/>
  <c r="I1171" i="34"/>
  <c r="J684" i="34"/>
  <c r="I398" i="33"/>
  <c r="J288" i="33"/>
  <c r="I2344" i="34"/>
  <c r="C83" i="33"/>
  <c r="J540" i="33"/>
  <c r="I336" i="33"/>
  <c r="I540" i="33"/>
  <c r="I2273" i="34"/>
  <c r="J343" i="34"/>
  <c r="J268" i="33"/>
  <c r="J509" i="33"/>
  <c r="I895" i="34"/>
  <c r="I2411" i="34"/>
  <c r="J1239" i="34"/>
  <c r="J60" i="33"/>
  <c r="I407" i="34"/>
  <c r="M84" i="31" l="1"/>
  <c r="V81" i="31"/>
  <c r="V84" i="31" s="1"/>
  <c r="J345" i="34"/>
  <c r="F351" i="34" s="1"/>
  <c r="G349" i="34" s="1"/>
  <c r="J81" i="33"/>
  <c r="J2346" i="34"/>
  <c r="F2350" i="34" s="1"/>
  <c r="J545" i="33"/>
  <c r="V545" i="31"/>
  <c r="V548" i="31" s="1"/>
  <c r="M548" i="31"/>
  <c r="H549" i="31" s="1"/>
  <c r="V207" i="31"/>
  <c r="L549" i="31"/>
  <c r="L53" i="31"/>
  <c r="M52" i="31"/>
  <c r="H53" i="31" s="1"/>
  <c r="L325" i="31"/>
  <c r="V319" i="31"/>
  <c r="V324" i="31" s="1"/>
  <c r="J1311" i="34"/>
  <c r="J2277" i="34"/>
  <c r="J897" i="34"/>
  <c r="J1587" i="34"/>
  <c r="J966" i="34"/>
  <c r="J2070" i="34"/>
  <c r="J2001" i="34"/>
  <c r="J1725" i="34"/>
  <c r="J690" i="34"/>
  <c r="J1449" i="34"/>
  <c r="J1656" i="34"/>
  <c r="J2139" i="34"/>
  <c r="J1863" i="34"/>
  <c r="J2553" i="34"/>
  <c r="J1794" i="34"/>
  <c r="J621" i="34"/>
  <c r="J759" i="34"/>
  <c r="J1380" i="34"/>
  <c r="J321" i="33"/>
  <c r="J2622" i="34"/>
  <c r="J609" i="33"/>
  <c r="J1035" i="34"/>
  <c r="J552" i="34"/>
  <c r="J2415" i="34"/>
  <c r="J483" i="34"/>
  <c r="J2208" i="34"/>
  <c r="J414" i="34"/>
  <c r="J2484" i="34"/>
  <c r="J1518" i="34"/>
  <c r="J1932" i="34"/>
  <c r="J1104" i="34"/>
  <c r="J828" i="34"/>
  <c r="J276" i="34"/>
  <c r="J1242" i="34"/>
  <c r="J1173" i="34"/>
  <c r="L533" i="31"/>
  <c r="M148" i="31"/>
  <c r="H149" i="31" s="1"/>
  <c r="L501" i="31"/>
  <c r="L613" i="31"/>
  <c r="M196" i="31"/>
  <c r="H197" i="31" s="1"/>
  <c r="M596" i="31"/>
  <c r="M500" i="31"/>
  <c r="V609" i="31"/>
  <c r="V612" i="31" s="1"/>
  <c r="L165" i="31"/>
  <c r="M612" i="31"/>
  <c r="L597" i="31"/>
  <c r="M516" i="31"/>
  <c r="M68" i="31"/>
  <c r="J273" i="33"/>
  <c r="J241" i="33"/>
  <c r="J433" i="33"/>
  <c r="J449" i="33"/>
  <c r="J257" i="33"/>
  <c r="J289" i="33"/>
  <c r="J193" i="33"/>
  <c r="J65" i="33"/>
  <c r="J593" i="33"/>
  <c r="J305" i="33"/>
  <c r="J513" i="33"/>
  <c r="J353" i="33"/>
  <c r="J177" i="33"/>
  <c r="J369" i="33"/>
  <c r="J225" i="33"/>
  <c r="J385" i="33"/>
  <c r="J481" i="33"/>
  <c r="J465" i="33"/>
  <c r="J97" i="33"/>
  <c r="J417" i="33"/>
  <c r="AM25" i="32"/>
  <c r="J145" i="33"/>
  <c r="J337" i="33"/>
  <c r="J529" i="33"/>
  <c r="J129" i="33"/>
  <c r="J561" i="33"/>
  <c r="J113" i="33"/>
  <c r="J49" i="33"/>
  <c r="J209" i="33"/>
  <c r="J497" i="33"/>
  <c r="J161" i="33"/>
  <c r="J577" i="33"/>
  <c r="J401" i="33"/>
  <c r="V269" i="31"/>
  <c r="M276" i="31"/>
  <c r="V528" i="31"/>
  <c r="V482" i="31"/>
  <c r="V129" i="31"/>
  <c r="V335" i="31"/>
  <c r="L245" i="31"/>
  <c r="V237" i="31"/>
  <c r="M244" i="31"/>
  <c r="V145" i="31"/>
  <c r="V429" i="31"/>
  <c r="L437" i="31"/>
  <c r="M436" i="31"/>
  <c r="V176" i="31"/>
  <c r="V259" i="31"/>
  <c r="V243" i="31"/>
  <c r="V450" i="31"/>
  <c r="V445" i="31"/>
  <c r="L453" i="31"/>
  <c r="M452" i="31"/>
  <c r="V451" i="31"/>
  <c r="V253" i="31"/>
  <c r="M260" i="31"/>
  <c r="L261" i="31"/>
  <c r="V47" i="31"/>
  <c r="V225" i="31"/>
  <c r="V285" i="31"/>
  <c r="M292" i="31"/>
  <c r="L293" i="31"/>
  <c r="V158" i="31"/>
  <c r="V189" i="31"/>
  <c r="L197" i="31"/>
  <c r="V62" i="31"/>
  <c r="M532" i="31"/>
  <c r="V194" i="31"/>
  <c r="L69" i="31"/>
  <c r="V498" i="31"/>
  <c r="V595" i="31"/>
  <c r="V596" i="31" s="1"/>
  <c r="V209" i="31"/>
  <c r="V301" i="31"/>
  <c r="M308" i="31"/>
  <c r="L309" i="31"/>
  <c r="V206" i="31"/>
  <c r="V354" i="31"/>
  <c r="V131" i="31"/>
  <c r="V510" i="31"/>
  <c r="V516" i="31" s="1"/>
  <c r="V349" i="31"/>
  <c r="M356" i="31"/>
  <c r="L357" i="31"/>
  <c r="V173" i="31"/>
  <c r="L181" i="31"/>
  <c r="M180" i="31"/>
  <c r="V272" i="31"/>
  <c r="V365" i="31"/>
  <c r="M372" i="31"/>
  <c r="L373" i="31"/>
  <c r="L101" i="31"/>
  <c r="V99" i="31"/>
  <c r="V387" i="31"/>
  <c r="V161" i="31"/>
  <c r="V371" i="31"/>
  <c r="V275" i="31"/>
  <c r="V221" i="31"/>
  <c r="L229" i="31"/>
  <c r="M228" i="31"/>
  <c r="L277" i="31"/>
  <c r="V431" i="31"/>
  <c r="V257" i="31"/>
  <c r="V112" i="31"/>
  <c r="V381" i="31"/>
  <c r="M388" i="31"/>
  <c r="L389" i="31"/>
  <c r="V288" i="31"/>
  <c r="V402" i="31"/>
  <c r="V478" i="31"/>
  <c r="V477" i="31"/>
  <c r="L485" i="31"/>
  <c r="M484" i="31"/>
  <c r="V414" i="31"/>
  <c r="H85" i="31"/>
  <c r="V461" i="31"/>
  <c r="V468" i="31" s="1"/>
  <c r="M468" i="31"/>
  <c r="L469" i="31"/>
  <c r="V93" i="31"/>
  <c r="M100" i="31"/>
  <c r="V413" i="31"/>
  <c r="M420" i="31"/>
  <c r="L421" i="31"/>
  <c r="H325" i="31"/>
  <c r="V143" i="31"/>
  <c r="L517" i="31"/>
  <c r="L149" i="31"/>
  <c r="V563" i="31"/>
  <c r="V333" i="31"/>
  <c r="M340" i="31"/>
  <c r="L341" i="31"/>
  <c r="V526" i="31"/>
  <c r="V125" i="31"/>
  <c r="M132" i="31"/>
  <c r="L133" i="31"/>
  <c r="V579" i="31"/>
  <c r="V384" i="31"/>
  <c r="V63" i="31"/>
  <c r="V557" i="31"/>
  <c r="L565" i="31"/>
  <c r="M564" i="31"/>
  <c r="V109" i="31"/>
  <c r="M116" i="31"/>
  <c r="L117" i="31"/>
  <c r="V223" i="31"/>
  <c r="V46" i="31"/>
  <c r="V355" i="31"/>
  <c r="V146" i="31"/>
  <c r="V205" i="31"/>
  <c r="L213" i="31"/>
  <c r="M212" i="31"/>
  <c r="V495" i="31"/>
  <c r="V98" i="31"/>
  <c r="V157" i="31"/>
  <c r="M164" i="31"/>
  <c r="V307" i="31"/>
  <c r="V67" i="31"/>
  <c r="V573" i="31"/>
  <c r="M580" i="31"/>
  <c r="L581" i="31"/>
  <c r="V192" i="31"/>
  <c r="M404" i="31"/>
  <c r="L405" i="31"/>
  <c r="V397" i="31"/>
  <c r="V574" i="31"/>
  <c r="AK23" i="32"/>
  <c r="AJ41" i="32"/>
  <c r="AK14" i="32"/>
  <c r="AK11" i="32"/>
  <c r="F51" i="33"/>
  <c r="AK20" i="32"/>
  <c r="AK24" i="32"/>
  <c r="C323" i="33"/>
  <c r="AK33" i="32"/>
  <c r="F83" i="33"/>
  <c r="AJ11" i="32"/>
  <c r="AJ20" i="32"/>
  <c r="AK9" i="32"/>
  <c r="C227" i="33"/>
  <c r="J325" i="31"/>
  <c r="C99" i="33"/>
  <c r="C51" i="33"/>
  <c r="C403" i="33"/>
  <c r="C179" i="33"/>
  <c r="AJ33" i="32"/>
  <c r="AK36" i="32"/>
  <c r="AK27" i="32"/>
  <c r="AJ30" i="32"/>
  <c r="AK43" i="32"/>
  <c r="C67" i="33"/>
  <c r="AJ39" i="32"/>
  <c r="AJ9" i="32"/>
  <c r="AK16" i="32"/>
  <c r="AK12" i="32"/>
  <c r="AK18" i="32"/>
  <c r="AJ27" i="32"/>
  <c r="C531" i="33"/>
  <c r="AK22" i="32"/>
  <c r="AK31" i="32"/>
  <c r="AJ38" i="32"/>
  <c r="AK35" i="32"/>
  <c r="AJ40" i="32"/>
  <c r="AK30" i="32"/>
  <c r="C595" i="33"/>
  <c r="C355" i="33"/>
  <c r="AK8" i="32"/>
  <c r="AJ21" i="32"/>
  <c r="C451" i="33"/>
  <c r="C515" i="33"/>
  <c r="AJ42" i="32"/>
  <c r="C275" i="33"/>
  <c r="C563" i="33"/>
  <c r="C611" i="33"/>
  <c r="C419" i="33"/>
  <c r="AK42" i="32"/>
  <c r="C163" i="33"/>
  <c r="AJ26" i="32"/>
  <c r="C259" i="33"/>
  <c r="C243" i="33"/>
  <c r="C547" i="33"/>
  <c r="AJ8" i="32"/>
  <c r="AJ22" i="32"/>
  <c r="C483" i="33"/>
  <c r="AJ17" i="32"/>
  <c r="C131" i="33"/>
  <c r="AJ24" i="32"/>
  <c r="AJ34" i="32"/>
  <c r="AK29" i="32"/>
  <c r="AJ16" i="32"/>
  <c r="AK37" i="32"/>
  <c r="C195" i="33"/>
  <c r="C211" i="33"/>
  <c r="C147" i="33"/>
  <c r="AJ28" i="32"/>
  <c r="AK38" i="32"/>
  <c r="AK26" i="32"/>
  <c r="AK40" i="32"/>
  <c r="AJ13" i="32"/>
  <c r="N85" i="31"/>
  <c r="AK15" i="32"/>
  <c r="AK32" i="32"/>
  <c r="C435" i="33"/>
  <c r="C579" i="33"/>
  <c r="AJ37" i="32"/>
  <c r="AK28" i="32"/>
  <c r="AJ15" i="32"/>
  <c r="AJ12" i="32"/>
  <c r="C499" i="33"/>
  <c r="C371" i="33"/>
  <c r="AJ18" i="32"/>
  <c r="AJ14" i="32"/>
  <c r="AJ43" i="32"/>
  <c r="F147" i="33"/>
  <c r="F195" i="33"/>
  <c r="F547" i="33"/>
  <c r="C291" i="33"/>
  <c r="AJ29" i="32"/>
  <c r="AK21" i="32"/>
  <c r="AK17" i="32"/>
  <c r="AJ35" i="32"/>
  <c r="AK39" i="32"/>
  <c r="C115" i="33"/>
  <c r="AJ36" i="32"/>
  <c r="AJ23" i="32"/>
  <c r="AK41" i="32"/>
  <c r="AJ19" i="32"/>
  <c r="AK25" i="32"/>
  <c r="AJ32" i="32"/>
  <c r="C339" i="33"/>
  <c r="AK19" i="32"/>
  <c r="AJ31" i="32"/>
  <c r="C307" i="33"/>
  <c r="AJ10" i="32"/>
  <c r="AK34" i="32"/>
  <c r="F323" i="33"/>
  <c r="C467" i="33"/>
  <c r="C387" i="33"/>
  <c r="AK13" i="32"/>
  <c r="F349" i="34" l="1"/>
  <c r="V340" i="31"/>
  <c r="B341" i="31" s="1"/>
  <c r="V180" i="31"/>
  <c r="B181" i="31" s="1"/>
  <c r="V484" i="31"/>
  <c r="E485" i="31" s="1"/>
  <c r="AM10" i="32"/>
  <c r="F2352" i="34"/>
  <c r="G2350" i="34" s="1"/>
  <c r="V564" i="31"/>
  <c r="E565" i="31" s="1"/>
  <c r="AM39" i="32"/>
  <c r="V580" i="31"/>
  <c r="B581" i="31" s="1"/>
  <c r="V372" i="31"/>
  <c r="E373" i="31" s="1"/>
  <c r="AM8" i="32"/>
  <c r="V164" i="31"/>
  <c r="E165" i="31" s="1"/>
  <c r="V196" i="31"/>
  <c r="E197" i="31" s="1"/>
  <c r="V212" i="31"/>
  <c r="E213" i="31" s="1"/>
  <c r="V52" i="31"/>
  <c r="B53" i="31" s="1"/>
  <c r="AM43" i="32"/>
  <c r="AM14" i="32"/>
  <c r="AM9" i="32"/>
  <c r="AM36" i="32"/>
  <c r="AM42" i="32"/>
  <c r="AM37" i="32"/>
  <c r="AM17" i="32"/>
  <c r="F1798" i="34"/>
  <c r="F1800" i="34"/>
  <c r="G1798" i="34" s="1"/>
  <c r="V388" i="31"/>
  <c r="E389" i="31" s="1"/>
  <c r="F2557" i="34"/>
  <c r="F2559" i="34"/>
  <c r="G2557" i="34" s="1"/>
  <c r="F1522" i="34"/>
  <c r="F1524" i="34"/>
  <c r="G1522" i="34" s="1"/>
  <c r="F1453" i="34"/>
  <c r="F1455" i="34"/>
  <c r="G1453" i="34" s="1"/>
  <c r="F694" i="34"/>
  <c r="F696" i="34"/>
  <c r="G694" i="34" s="1"/>
  <c r="F418" i="34"/>
  <c r="F420" i="34"/>
  <c r="G418" i="34" s="1"/>
  <c r="H418" i="34" s="1"/>
  <c r="F1729" i="34"/>
  <c r="F1731" i="34"/>
  <c r="G1729" i="34" s="1"/>
  <c r="F763" i="34"/>
  <c r="F765" i="34"/>
  <c r="G763" i="34" s="1"/>
  <c r="F2212" i="34"/>
  <c r="F2214" i="34"/>
  <c r="G2212" i="34" s="1"/>
  <c r="F625" i="34"/>
  <c r="F627" i="34"/>
  <c r="G625" i="34" s="1"/>
  <c r="F2005" i="34"/>
  <c r="F2007" i="34"/>
  <c r="G2005" i="34" s="1"/>
  <c r="F2488" i="34"/>
  <c r="F2490" i="34"/>
  <c r="G2488" i="34" s="1"/>
  <c r="V276" i="31"/>
  <c r="E277" i="31" s="1"/>
  <c r="V404" i="31"/>
  <c r="E405" i="31" s="1"/>
  <c r="H501" i="31"/>
  <c r="F2074" i="34"/>
  <c r="F2076" i="34"/>
  <c r="G2074" i="34" s="1"/>
  <c r="V244" i="31"/>
  <c r="E245" i="31" s="1"/>
  <c r="F1591" i="34"/>
  <c r="F1593" i="34"/>
  <c r="G1591" i="34" s="1"/>
  <c r="F1384" i="34"/>
  <c r="F1386" i="34"/>
  <c r="G1384" i="34" s="1"/>
  <c r="F1177" i="34"/>
  <c r="F1179" i="34"/>
  <c r="G1177" i="34" s="1"/>
  <c r="H597" i="31"/>
  <c r="H517" i="31"/>
  <c r="F1246" i="34"/>
  <c r="F1248" i="34"/>
  <c r="G1246" i="34" s="1"/>
  <c r="F970" i="34"/>
  <c r="F972" i="34"/>
  <c r="G970" i="34" s="1"/>
  <c r="V68" i="31"/>
  <c r="E69" i="31" s="1"/>
  <c r="F1867" i="34"/>
  <c r="F1869" i="34"/>
  <c r="G1867" i="34" s="1"/>
  <c r="V132" i="31"/>
  <c r="E133" i="31" s="1"/>
  <c r="V260" i="31"/>
  <c r="E261" i="31" s="1"/>
  <c r="H69" i="31"/>
  <c r="F832" i="34"/>
  <c r="F834" i="34"/>
  <c r="G832" i="34" s="1"/>
  <c r="F1039" i="34"/>
  <c r="F1041" i="34"/>
  <c r="G1039" i="34" s="1"/>
  <c r="F2143" i="34"/>
  <c r="F2145" i="34"/>
  <c r="G2143" i="34" s="1"/>
  <c r="F901" i="34"/>
  <c r="F903" i="34"/>
  <c r="G901" i="34" s="1"/>
  <c r="F487" i="34"/>
  <c r="F489" i="34"/>
  <c r="G487" i="34" s="1"/>
  <c r="V148" i="31"/>
  <c r="B149" i="31" s="1"/>
  <c r="F2419" i="34"/>
  <c r="F2421" i="34"/>
  <c r="G2419" i="34" s="1"/>
  <c r="F280" i="34"/>
  <c r="F282" i="34"/>
  <c r="G280" i="34" s="1"/>
  <c r="F556" i="34"/>
  <c r="F558" i="34"/>
  <c r="G556" i="34" s="1"/>
  <c r="V500" i="31"/>
  <c r="B501" i="31" s="1"/>
  <c r="V116" i="31"/>
  <c r="B117" i="31" s="1"/>
  <c r="V532" i="31"/>
  <c r="F1108" i="34"/>
  <c r="F1110" i="34"/>
  <c r="G1108" i="34" s="1"/>
  <c r="F1660" i="34"/>
  <c r="F1662" i="34"/>
  <c r="G1660" i="34" s="1"/>
  <c r="F2281" i="34"/>
  <c r="F2283" i="34"/>
  <c r="G2281" i="34" s="1"/>
  <c r="V420" i="31"/>
  <c r="E421" i="31" s="1"/>
  <c r="V356" i="31"/>
  <c r="B357" i="31" s="1"/>
  <c r="V308" i="31"/>
  <c r="B309" i="31" s="1"/>
  <c r="H613" i="31"/>
  <c r="F1936" i="34"/>
  <c r="F1938" i="34"/>
  <c r="G1936" i="34" s="1"/>
  <c r="F2626" i="34"/>
  <c r="F2628" i="34"/>
  <c r="G2626" i="34" s="1"/>
  <c r="F1315" i="34"/>
  <c r="F1317" i="34"/>
  <c r="G1315" i="34" s="1"/>
  <c r="AM13" i="32"/>
  <c r="AM12" i="32"/>
  <c r="AM35" i="32"/>
  <c r="AM38" i="32"/>
  <c r="AM22" i="32"/>
  <c r="AM20" i="32"/>
  <c r="AM41" i="32"/>
  <c r="AM21" i="32"/>
  <c r="AM11" i="32"/>
  <c r="AM19" i="32"/>
  <c r="AM24" i="32"/>
  <c r="AM31" i="32"/>
  <c r="AM28" i="32"/>
  <c r="AM18" i="32"/>
  <c r="AM27" i="32"/>
  <c r="AM40" i="32"/>
  <c r="AM26" i="32"/>
  <c r="AM33" i="32"/>
  <c r="AM30" i="32"/>
  <c r="AM15" i="32"/>
  <c r="AM34" i="32"/>
  <c r="AM23" i="32"/>
  <c r="AM29" i="32"/>
  <c r="AM16" i="32"/>
  <c r="AM32" i="32"/>
  <c r="H133" i="31"/>
  <c r="V436" i="31"/>
  <c r="E613" i="31"/>
  <c r="B613" i="31"/>
  <c r="H117" i="31"/>
  <c r="H485" i="31"/>
  <c r="H533" i="31"/>
  <c r="H277" i="31"/>
  <c r="B85" i="31"/>
  <c r="E85" i="31"/>
  <c r="V100" i="31"/>
  <c r="H245" i="31"/>
  <c r="H581" i="31"/>
  <c r="H261" i="31"/>
  <c r="H101" i="31"/>
  <c r="H229" i="31"/>
  <c r="H309" i="31"/>
  <c r="H421" i="31"/>
  <c r="B517" i="31"/>
  <c r="E517" i="31"/>
  <c r="E341" i="31"/>
  <c r="H373" i="31"/>
  <c r="B597" i="31"/>
  <c r="E597" i="31"/>
  <c r="H213" i="31"/>
  <c r="H357" i="31"/>
  <c r="E549" i="31"/>
  <c r="B549" i="31"/>
  <c r="H565" i="31"/>
  <c r="H341" i="31"/>
  <c r="H453" i="31"/>
  <c r="V228" i="31"/>
  <c r="H405" i="31"/>
  <c r="H165" i="31"/>
  <c r="H469" i="31"/>
  <c r="H293" i="31"/>
  <c r="V452" i="31"/>
  <c r="B325" i="31"/>
  <c r="E325" i="31"/>
  <c r="E469" i="31"/>
  <c r="B469" i="31"/>
  <c r="H389" i="31"/>
  <c r="H181" i="31"/>
  <c r="V292" i="31"/>
  <c r="H437" i="31"/>
  <c r="N437" i="31"/>
  <c r="N597" i="31"/>
  <c r="N533" i="31"/>
  <c r="J549" i="31"/>
  <c r="N581" i="31"/>
  <c r="J485" i="31"/>
  <c r="J517" i="31"/>
  <c r="J597" i="31"/>
  <c r="J533" i="31"/>
  <c r="N469" i="31"/>
  <c r="J613" i="31"/>
  <c r="J581" i="31"/>
  <c r="N453" i="31"/>
  <c r="N613" i="31"/>
  <c r="N421" i="31"/>
  <c r="N517" i="31"/>
  <c r="N485" i="31"/>
  <c r="N501" i="31"/>
  <c r="J421" i="31"/>
  <c r="J469" i="31"/>
  <c r="J437" i="31"/>
  <c r="N549" i="31"/>
  <c r="N565" i="31"/>
  <c r="J565" i="31"/>
  <c r="J501" i="31"/>
  <c r="J453" i="31"/>
  <c r="N325" i="31"/>
  <c r="F131" i="33"/>
  <c r="F355" i="33"/>
  <c r="J85" i="31"/>
  <c r="N133" i="31"/>
  <c r="N213" i="31"/>
  <c r="F420" i="33"/>
  <c r="F324" i="33"/>
  <c r="F163" i="33"/>
  <c r="B500" i="33"/>
  <c r="N277" i="31"/>
  <c r="N149" i="31"/>
  <c r="B116" i="33"/>
  <c r="B612" i="33"/>
  <c r="J165" i="31"/>
  <c r="F68" i="33"/>
  <c r="N69" i="31"/>
  <c r="F276" i="33"/>
  <c r="F244" i="33"/>
  <c r="F596" i="33"/>
  <c r="F67" i="33"/>
  <c r="B52" i="33"/>
  <c r="J357" i="31"/>
  <c r="J197" i="31"/>
  <c r="F340" i="33"/>
  <c r="F164" i="33"/>
  <c r="N53" i="31"/>
  <c r="N197" i="31"/>
  <c r="N373" i="31"/>
  <c r="F339" i="33"/>
  <c r="N309" i="31"/>
  <c r="B356" i="33"/>
  <c r="B596" i="33"/>
  <c r="F515" i="33"/>
  <c r="F275" i="33"/>
  <c r="F499" i="33"/>
  <c r="F387" i="33"/>
  <c r="F451" i="33"/>
  <c r="B324" i="33"/>
  <c r="N245" i="31"/>
  <c r="F388" i="33"/>
  <c r="N357" i="31"/>
  <c r="F196" i="33"/>
  <c r="J309" i="31"/>
  <c r="B340" i="33"/>
  <c r="J69" i="31"/>
  <c r="F564" i="33"/>
  <c r="I323" i="33"/>
  <c r="F484" i="33"/>
  <c r="N405" i="31"/>
  <c r="F291" i="33"/>
  <c r="J261" i="31"/>
  <c r="F99" i="33"/>
  <c r="F371" i="33"/>
  <c r="N229" i="31"/>
  <c r="N181" i="31"/>
  <c r="F611" i="33"/>
  <c r="J277" i="31"/>
  <c r="F435" i="33"/>
  <c r="J149" i="31"/>
  <c r="N165" i="31"/>
  <c r="B580" i="33"/>
  <c r="F260" i="33"/>
  <c r="B148" i="33"/>
  <c r="F243" i="33"/>
  <c r="F115" i="33"/>
  <c r="F211" i="33"/>
  <c r="F563" i="33"/>
  <c r="F419" i="33"/>
  <c r="N341" i="31"/>
  <c r="B548" i="33"/>
  <c r="B468" i="33"/>
  <c r="F595" i="33"/>
  <c r="B308" i="33"/>
  <c r="F84" i="33"/>
  <c r="F579" i="33"/>
  <c r="J117" i="31"/>
  <c r="J293" i="31"/>
  <c r="F132" i="33"/>
  <c r="F179" i="33"/>
  <c r="F227" i="33"/>
  <c r="N117" i="31"/>
  <c r="F516" i="33"/>
  <c r="J181" i="31"/>
  <c r="F548" i="33"/>
  <c r="F483" i="33"/>
  <c r="J53" i="31"/>
  <c r="F403" i="33"/>
  <c r="F212" i="33"/>
  <c r="J245" i="31"/>
  <c r="B516" i="33"/>
  <c r="F404" i="33"/>
  <c r="F259" i="33"/>
  <c r="B84" i="33"/>
  <c r="F307" i="33"/>
  <c r="B180" i="33"/>
  <c r="N101" i="31"/>
  <c r="J229" i="31"/>
  <c r="J405" i="31"/>
  <c r="N261" i="31"/>
  <c r="J373" i="31"/>
  <c r="F531" i="33"/>
  <c r="J101" i="31"/>
  <c r="N389" i="31"/>
  <c r="J389" i="31"/>
  <c r="N293" i="31"/>
  <c r="F612" i="33"/>
  <c r="J341" i="31"/>
  <c r="F467" i="33"/>
  <c r="F468" i="33"/>
  <c r="F372" i="33"/>
  <c r="J213" i="31"/>
  <c r="J133" i="31"/>
  <c r="E181" i="31" l="1"/>
  <c r="H349" i="34"/>
  <c r="H2695" i="34"/>
  <c r="H2419" i="34"/>
  <c r="H1108" i="34"/>
  <c r="H832" i="34"/>
  <c r="H625" i="34"/>
  <c r="H694" i="34"/>
  <c r="H2074" i="34"/>
  <c r="H487" i="34"/>
  <c r="H2212" i="34"/>
  <c r="H1453" i="34"/>
  <c r="H1522" i="34"/>
  <c r="H1177" i="34"/>
  <c r="B485" i="31"/>
  <c r="H1315" i="34"/>
  <c r="H2281" i="34"/>
  <c r="H1384" i="34"/>
  <c r="H1729" i="34"/>
  <c r="H901" i="34"/>
  <c r="H556" i="34"/>
  <c r="H280" i="34"/>
  <c r="H2626" i="34"/>
  <c r="H970" i="34"/>
  <c r="H1591" i="34"/>
  <c r="H2005" i="34"/>
  <c r="H2143" i="34"/>
  <c r="H2350" i="34"/>
  <c r="H1246" i="34"/>
  <c r="H1798" i="34"/>
  <c r="H1936" i="34"/>
  <c r="H1867" i="34"/>
  <c r="H1660" i="34"/>
  <c r="H1039" i="34"/>
  <c r="H2557" i="34"/>
  <c r="H2488" i="34"/>
  <c r="B565" i="31"/>
  <c r="E581" i="31"/>
  <c r="B405" i="31"/>
  <c r="B533" i="31"/>
  <c r="B389" i="31"/>
  <c r="B373" i="31"/>
  <c r="B261" i="31"/>
  <c r="B69" i="31"/>
  <c r="B213" i="31"/>
  <c r="B165" i="31"/>
  <c r="H763" i="34"/>
  <c r="B277" i="31"/>
  <c r="E357" i="31"/>
  <c r="E309" i="31"/>
  <c r="B197" i="31"/>
  <c r="E501" i="31"/>
  <c r="E53" i="31"/>
  <c r="E533" i="31"/>
  <c r="B245" i="31"/>
  <c r="B133" i="31"/>
  <c r="B421" i="31"/>
  <c r="E117" i="31"/>
  <c r="E149" i="31"/>
  <c r="E229" i="31"/>
  <c r="B229" i="31"/>
  <c r="E453" i="31"/>
  <c r="B453" i="31"/>
  <c r="E293" i="31"/>
  <c r="B293" i="31"/>
  <c r="E437" i="31"/>
  <c r="B437" i="31"/>
  <c r="B101" i="31"/>
  <c r="E101" i="31"/>
  <c r="W38" i="28"/>
  <c r="X38" i="28"/>
  <c r="B564" i="33"/>
  <c r="B388" i="33"/>
  <c r="F148" i="33"/>
  <c r="F356" i="33"/>
  <c r="F532" i="33"/>
  <c r="B404" i="33"/>
  <c r="I259" i="33"/>
  <c r="I515" i="33"/>
  <c r="B452" i="33"/>
  <c r="P30" i="28"/>
  <c r="I451" i="33"/>
  <c r="I243" i="33"/>
  <c r="I275" i="33"/>
  <c r="I419" i="33"/>
  <c r="B164" i="33"/>
  <c r="I435" i="33"/>
  <c r="I339" i="33"/>
  <c r="B484" i="33"/>
  <c r="B436" i="33"/>
  <c r="F308" i="33"/>
  <c r="B100" i="33"/>
  <c r="I499" i="33"/>
  <c r="P37" i="28"/>
  <c r="I147" i="33"/>
  <c r="B532" i="33"/>
  <c r="I611" i="33"/>
  <c r="P31" i="28"/>
  <c r="I115" i="33"/>
  <c r="F180" i="33"/>
  <c r="I403" i="33"/>
  <c r="F580" i="33"/>
  <c r="F116" i="33"/>
  <c r="AL7" i="27"/>
  <c r="F500" i="33"/>
  <c r="I387" i="33"/>
  <c r="I467" i="33"/>
  <c r="I131" i="33"/>
  <c r="I163" i="33"/>
  <c r="I579" i="33"/>
  <c r="B276" i="33"/>
  <c r="B420" i="33"/>
  <c r="F436" i="33"/>
  <c r="F100" i="33"/>
  <c r="F52" i="33"/>
  <c r="P36" i="28"/>
  <c r="I595" i="33"/>
  <c r="F452" i="33"/>
  <c r="B244" i="33"/>
  <c r="I99" i="33"/>
  <c r="P34" i="28"/>
  <c r="I83" i="33"/>
  <c r="I483" i="33"/>
  <c r="F228" i="33"/>
  <c r="B372" i="33"/>
  <c r="B292" i="33"/>
  <c r="I211" i="33"/>
  <c r="B228" i="33"/>
  <c r="I371" i="33"/>
  <c r="I227" i="33"/>
  <c r="I355" i="33"/>
  <c r="I307" i="33"/>
  <c r="I67" i="33"/>
  <c r="B196" i="33"/>
  <c r="I531" i="33"/>
  <c r="F292" i="33"/>
  <c r="I291" i="33"/>
  <c r="B68" i="33"/>
  <c r="P32" i="28"/>
  <c r="I547" i="33"/>
  <c r="B260" i="33"/>
  <c r="B212" i="33"/>
  <c r="B132" i="33"/>
  <c r="I195" i="33"/>
  <c r="P33" i="28"/>
  <c r="I563" i="33"/>
  <c r="I51" i="33"/>
  <c r="P35" i="28"/>
  <c r="I179" i="33"/>
  <c r="G37" i="28" l="1"/>
  <c r="R37" i="28"/>
  <c r="K37" i="28" s="1"/>
  <c r="G36" i="28"/>
  <c r="R36" i="28"/>
  <c r="K36" i="28" s="1"/>
  <c r="R30" i="28"/>
  <c r="G38" i="28"/>
  <c r="G30" i="28"/>
  <c r="R33" i="28"/>
  <c r="K33" i="28" s="1"/>
  <c r="G33" i="28"/>
  <c r="G35" i="28"/>
  <c r="R35" i="28"/>
  <c r="K35" i="28" s="1"/>
  <c r="G31" i="28"/>
  <c r="R31" i="28"/>
  <c r="K31" i="28" s="1"/>
  <c r="R32" i="28"/>
  <c r="K32" i="28" s="1"/>
  <c r="G32" i="28"/>
  <c r="G34" i="28"/>
  <c r="R34" i="28"/>
  <c r="K34" i="28" s="1"/>
  <c r="W28" i="31"/>
  <c r="W36" i="31" l="1"/>
  <c r="M34" i="28"/>
  <c r="M36" i="28"/>
  <c r="M35" i="28"/>
  <c r="M32" i="28"/>
  <c r="M33" i="28"/>
  <c r="K30" i="28"/>
  <c r="K38" i="28"/>
  <c r="M30" i="28"/>
  <c r="M31" i="28"/>
  <c r="M37" i="28"/>
  <c r="I28" i="29"/>
  <c r="P31" i="31"/>
  <c r="AL7" i="32"/>
  <c r="I191" i="34"/>
  <c r="P29" i="31"/>
  <c r="I188" i="34"/>
  <c r="I125" i="34"/>
  <c r="I123" i="34"/>
  <c r="I120" i="34"/>
  <c r="I30" i="29"/>
  <c r="I29" i="29"/>
  <c r="I187" i="34"/>
  <c r="I194" i="34"/>
  <c r="I31" i="29"/>
  <c r="I193" i="34"/>
  <c r="P34" i="31"/>
  <c r="P33" i="31"/>
  <c r="I118" i="34"/>
  <c r="P35" i="31"/>
  <c r="P32" i="31"/>
  <c r="I121" i="34"/>
  <c r="I189" i="34"/>
  <c r="I119" i="34"/>
  <c r="I33" i="29"/>
  <c r="I124" i="34"/>
  <c r="I190" i="34"/>
  <c r="I192" i="34"/>
  <c r="I27" i="29"/>
  <c r="P30" i="31"/>
  <c r="I122" i="34"/>
  <c r="R31" i="31" l="1"/>
  <c r="K31" i="31" s="1"/>
  <c r="G31" i="31"/>
  <c r="R32" i="31"/>
  <c r="K32" i="31" s="1"/>
  <c r="G32" i="31"/>
  <c r="G36" i="31"/>
  <c r="G29" i="31"/>
  <c r="R29" i="31"/>
  <c r="K29" i="31" s="1"/>
  <c r="R34" i="31"/>
  <c r="K34" i="31" s="1"/>
  <c r="G34" i="31"/>
  <c r="G35" i="31"/>
  <c r="R35" i="31"/>
  <c r="K35" i="31" s="1"/>
  <c r="G33" i="31"/>
  <c r="R33" i="31"/>
  <c r="K33" i="31" s="1"/>
  <c r="R30" i="31"/>
  <c r="K30" i="31" s="1"/>
  <c r="G30" i="31"/>
  <c r="N30" i="28"/>
  <c r="N34" i="28"/>
  <c r="N32" i="28"/>
  <c r="N31" i="28"/>
  <c r="N35" i="28"/>
  <c r="N36" i="28"/>
  <c r="N33" i="28"/>
  <c r="N37" i="28"/>
  <c r="J193" i="34"/>
  <c r="J124" i="34"/>
  <c r="J189" i="34"/>
  <c r="J123" i="34"/>
  <c r="I34" i="29"/>
  <c r="J29" i="29"/>
  <c r="J118" i="34"/>
  <c r="J27" i="29"/>
  <c r="J191" i="34"/>
  <c r="J28" i="29"/>
  <c r="J187" i="34"/>
  <c r="J188" i="34"/>
  <c r="J121" i="34"/>
  <c r="J31" i="29"/>
  <c r="J119" i="34"/>
  <c r="J122" i="34"/>
  <c r="J30" i="29"/>
  <c r="J120" i="34"/>
  <c r="J194" i="34"/>
  <c r="J32" i="29"/>
  <c r="J192" i="34"/>
  <c r="J34" i="29"/>
  <c r="J125" i="34"/>
  <c r="J190" i="34"/>
  <c r="J126" i="34" l="1"/>
  <c r="M31" i="31"/>
  <c r="M35" i="31"/>
  <c r="M32" i="31"/>
  <c r="M30" i="31"/>
  <c r="K36" i="31"/>
  <c r="M29" i="31"/>
  <c r="M34" i="31"/>
  <c r="M33" i="31"/>
  <c r="J195" i="34"/>
  <c r="V34" i="28"/>
  <c r="V30" i="28"/>
  <c r="V32" i="28"/>
  <c r="V31" i="28"/>
  <c r="L39" i="28"/>
  <c r="M38" i="28"/>
  <c r="V36" i="28"/>
  <c r="V37" i="28"/>
  <c r="V33" i="28"/>
  <c r="V35" i="28"/>
  <c r="AJ7" i="27"/>
  <c r="I27" i="33"/>
  <c r="C37" i="29"/>
  <c r="AK7" i="27"/>
  <c r="J205" i="34"/>
  <c r="I206" i="34"/>
  <c r="J203" i="34"/>
  <c r="I30" i="33"/>
  <c r="I200" i="34"/>
  <c r="I203" i="34"/>
  <c r="I132" i="34"/>
  <c r="I136" i="34"/>
  <c r="I202" i="34"/>
  <c r="I137" i="34"/>
  <c r="I205" i="34"/>
  <c r="I26" i="33"/>
  <c r="I31" i="33"/>
  <c r="J201" i="34"/>
  <c r="J204" i="34"/>
  <c r="I131" i="34"/>
  <c r="I29" i="33"/>
  <c r="I133" i="34"/>
  <c r="I28" i="33"/>
  <c r="J202" i="34"/>
  <c r="I32" i="29"/>
  <c r="J206" i="34"/>
  <c r="I134" i="34"/>
  <c r="I201" i="34"/>
  <c r="J200" i="34"/>
  <c r="I135" i="34"/>
  <c r="I204" i="34"/>
  <c r="N29" i="31" l="1"/>
  <c r="N35" i="31"/>
  <c r="V35" i="31" s="1"/>
  <c r="N34" i="31"/>
  <c r="V34" i="31" s="1"/>
  <c r="N30" i="31"/>
  <c r="V30" i="31" s="1"/>
  <c r="N31" i="31"/>
  <c r="V31" i="31" s="1"/>
  <c r="N33" i="31"/>
  <c r="N32" i="31"/>
  <c r="V32" i="31" s="1"/>
  <c r="E142" i="34"/>
  <c r="E144" i="34"/>
  <c r="J207" i="34"/>
  <c r="E213" i="34"/>
  <c r="E211" i="34"/>
  <c r="H39" i="28"/>
  <c r="V38" i="28"/>
  <c r="B39" i="28" s="1"/>
  <c r="AM7" i="27"/>
  <c r="J133" i="34"/>
  <c r="F37" i="29"/>
  <c r="J135" i="34"/>
  <c r="J39" i="28"/>
  <c r="J134" i="34"/>
  <c r="J132" i="34"/>
  <c r="J27" i="33"/>
  <c r="J28" i="33"/>
  <c r="I32" i="33"/>
  <c r="J32" i="33"/>
  <c r="J136" i="34"/>
  <c r="N39" i="28"/>
  <c r="J131" i="34"/>
  <c r="J26" i="33"/>
  <c r="J30" i="33"/>
  <c r="J137" i="34"/>
  <c r="C33" i="29"/>
  <c r="B38" i="29"/>
  <c r="J29" i="33"/>
  <c r="J31" i="33"/>
  <c r="J138" i="34" l="1"/>
  <c r="J33" i="33"/>
  <c r="L37" i="31"/>
  <c r="M36" i="31"/>
  <c r="V33" i="31"/>
  <c r="V29" i="31"/>
  <c r="F213" i="34"/>
  <c r="G211" i="34" s="1"/>
  <c r="F211" i="34"/>
  <c r="E39" i="28"/>
  <c r="J33" i="29"/>
  <c r="AK7" i="32"/>
  <c r="AJ7" i="32"/>
  <c r="C35" i="33"/>
  <c r="F38" i="29"/>
  <c r="I37" i="29"/>
  <c r="V36" i="31" l="1"/>
  <c r="E37" i="31" s="1"/>
  <c r="AM7" i="32"/>
  <c r="H37" i="31"/>
  <c r="F142" i="34"/>
  <c r="F144" i="34"/>
  <c r="G142" i="34" s="1"/>
  <c r="J35" i="29"/>
  <c r="O18" i="28"/>
  <c r="N37" i="31"/>
  <c r="B17" i="28"/>
  <c r="F36" i="33"/>
  <c r="F35" i="33"/>
  <c r="Q18" i="28"/>
  <c r="A18" i="28"/>
  <c r="U18" i="28"/>
  <c r="B18" i="28"/>
  <c r="F18" i="28"/>
  <c r="C54" i="34"/>
  <c r="A17" i="28"/>
  <c r="T18" i="28"/>
  <c r="F17" i="28"/>
  <c r="S18" i="28"/>
  <c r="J37" i="31"/>
  <c r="H211" i="34" l="1"/>
  <c r="B37" i="31"/>
  <c r="I18" i="28"/>
  <c r="O19" i="28"/>
  <c r="W18" i="28"/>
  <c r="F19" i="28"/>
  <c r="Q17" i="28"/>
  <c r="C14" i="29"/>
  <c r="T17" i="28"/>
  <c r="A14" i="29"/>
  <c r="B36" i="33"/>
  <c r="T19" i="28"/>
  <c r="S19" i="28"/>
  <c r="B19" i="28"/>
  <c r="H15" i="29"/>
  <c r="I35" i="33"/>
  <c r="C53" i="34"/>
  <c r="A53" i="34"/>
  <c r="A15" i="29"/>
  <c r="A54" i="34"/>
  <c r="A19" i="28"/>
  <c r="Q19" i="28"/>
  <c r="S17" i="28"/>
  <c r="U17" i="28"/>
  <c r="H14" i="29"/>
  <c r="H54" i="34"/>
  <c r="U19" i="28"/>
  <c r="C15" i="29"/>
  <c r="H53" i="34"/>
  <c r="X18" i="28" l="1"/>
  <c r="I17" i="28"/>
  <c r="I19" i="28"/>
  <c r="O20" i="28"/>
  <c r="U20" i="28"/>
  <c r="F20" i="28"/>
  <c r="A16" i="29"/>
  <c r="W19" i="28"/>
  <c r="A55" i="34"/>
  <c r="S20" i="28"/>
  <c r="C55" i="34"/>
  <c r="A20" i="28"/>
  <c r="W17" i="28"/>
  <c r="H16" i="29"/>
  <c r="B20" i="28"/>
  <c r="H55" i="34"/>
  <c r="Q20" i="28"/>
  <c r="C16" i="29"/>
  <c r="T20" i="28"/>
  <c r="X19" i="28" l="1"/>
  <c r="X17" i="28"/>
  <c r="I20" i="28"/>
  <c r="I21" i="28"/>
  <c r="F21" i="28"/>
  <c r="H17" i="29"/>
  <c r="A56" i="34"/>
  <c r="C56" i="34"/>
  <c r="H56" i="34"/>
  <c r="P15" i="28"/>
  <c r="C17" i="29"/>
  <c r="A17" i="29"/>
  <c r="W20" i="28"/>
  <c r="P16" i="28"/>
  <c r="H57" i="34" l="1"/>
  <c r="W21" i="28"/>
  <c r="H18" i="29"/>
  <c r="X20" i="28"/>
  <c r="X21" i="28" s="1"/>
  <c r="G16" i="28"/>
  <c r="R16" i="28"/>
  <c r="K16" i="28" s="1"/>
  <c r="G15" i="28"/>
  <c r="R15" i="28"/>
  <c r="K15" i="28" s="1"/>
  <c r="AL6" i="27"/>
  <c r="P17" i="28"/>
  <c r="P14" i="28"/>
  <c r="P18" i="28"/>
  <c r="P20" i="28"/>
  <c r="P19" i="28"/>
  <c r="P13" i="28"/>
  <c r="R20" i="28" l="1"/>
  <c r="K20" i="28" s="1"/>
  <c r="G20" i="28"/>
  <c r="R14" i="28"/>
  <c r="K14" i="28" s="1"/>
  <c r="G14" i="28"/>
  <c r="G19" i="28"/>
  <c r="R19" i="28"/>
  <c r="K19" i="28" s="1"/>
  <c r="R18" i="28"/>
  <c r="K18" i="28" s="1"/>
  <c r="G18" i="28"/>
  <c r="G17" i="28"/>
  <c r="R17" i="28"/>
  <c r="K17" i="28" s="1"/>
  <c r="G13" i="28"/>
  <c r="G21" i="28"/>
  <c r="R13" i="28"/>
  <c r="M13" i="28" s="1"/>
  <c r="N13" i="28" s="1"/>
  <c r="M16" i="28"/>
  <c r="M15" i="28"/>
  <c r="I10" i="29"/>
  <c r="P16" i="31"/>
  <c r="I52" i="34"/>
  <c r="P18" i="31"/>
  <c r="J49" i="34"/>
  <c r="I12" i="29"/>
  <c r="W12" i="31"/>
  <c r="I13" i="29"/>
  <c r="I51" i="34"/>
  <c r="J10" i="29"/>
  <c r="P14" i="31"/>
  <c r="I49" i="34"/>
  <c r="M14" i="28" l="1"/>
  <c r="W20" i="31"/>
  <c r="M19" i="28"/>
  <c r="N19" i="28" s="1"/>
  <c r="M20" i="28"/>
  <c r="N20" i="28" s="1"/>
  <c r="M18" i="28"/>
  <c r="N18" i="28" s="1"/>
  <c r="K13" i="28"/>
  <c r="K21" i="28"/>
  <c r="M17" i="28"/>
  <c r="N17" i="28" s="1"/>
  <c r="G14" i="31"/>
  <c r="R14" i="31"/>
  <c r="K14" i="31" s="1"/>
  <c r="G16" i="31"/>
  <c r="R16" i="31"/>
  <c r="K16" i="31" s="1"/>
  <c r="R18" i="31"/>
  <c r="K18" i="31" s="1"/>
  <c r="G18" i="31"/>
  <c r="N16" i="28"/>
  <c r="V13" i="28"/>
  <c r="N15" i="28"/>
  <c r="J13" i="29"/>
  <c r="J55" i="34"/>
  <c r="I16" i="29"/>
  <c r="I17" i="29"/>
  <c r="J12" i="29"/>
  <c r="I55" i="34"/>
  <c r="J54" i="34"/>
  <c r="P15" i="31"/>
  <c r="J51" i="34"/>
  <c r="AL6" i="32"/>
  <c r="P13" i="31"/>
  <c r="I56" i="34"/>
  <c r="J52" i="34"/>
  <c r="J14" i="29"/>
  <c r="J56" i="34"/>
  <c r="J16" i="29"/>
  <c r="I50" i="34"/>
  <c r="I54" i="34"/>
  <c r="I11" i="29"/>
  <c r="J53" i="34"/>
  <c r="J15" i="29"/>
  <c r="J17" i="29"/>
  <c r="I14" i="29"/>
  <c r="I53" i="34"/>
  <c r="I15" i="29"/>
  <c r="P19" i="31"/>
  <c r="P17" i="31"/>
  <c r="N14" i="28" l="1"/>
  <c r="V14" i="28" s="1"/>
  <c r="G20" i="31"/>
  <c r="R13" i="31"/>
  <c r="K13" i="31" s="1"/>
  <c r="G13" i="31"/>
  <c r="G19" i="31"/>
  <c r="R19" i="31"/>
  <c r="K19" i="31" s="1"/>
  <c r="G17" i="31"/>
  <c r="R17" i="31"/>
  <c r="K17" i="31" s="1"/>
  <c r="R15" i="31"/>
  <c r="K15" i="31" s="1"/>
  <c r="G15" i="31"/>
  <c r="M16" i="31"/>
  <c r="M14" i="31"/>
  <c r="M18" i="31"/>
  <c r="N18" i="31" s="1"/>
  <c r="V15" i="28"/>
  <c r="V17" i="28"/>
  <c r="V18" i="28"/>
  <c r="V19" i="28"/>
  <c r="V16" i="28"/>
  <c r="V20" i="28"/>
  <c r="I11" i="33"/>
  <c r="J62" i="34"/>
  <c r="J15" i="33"/>
  <c r="I65" i="34"/>
  <c r="I15" i="33"/>
  <c r="I63" i="34"/>
  <c r="J50" i="34"/>
  <c r="J11" i="29"/>
  <c r="I67" i="34"/>
  <c r="I62" i="34"/>
  <c r="J67" i="34"/>
  <c r="I13" i="33"/>
  <c r="M13" i="31" l="1"/>
  <c r="M17" i="31"/>
  <c r="M21" i="28"/>
  <c r="H22" i="28" s="1"/>
  <c r="J18" i="29"/>
  <c r="J57" i="34"/>
  <c r="E75" i="34" s="1"/>
  <c r="L22" i="28"/>
  <c r="M15" i="31"/>
  <c r="M19" i="31"/>
  <c r="K20" i="31"/>
  <c r="N16" i="31"/>
  <c r="V16" i="31" s="1"/>
  <c r="N14" i="31"/>
  <c r="V21" i="28"/>
  <c r="B22" i="28" s="1"/>
  <c r="V18" i="31"/>
  <c r="I10" i="33"/>
  <c r="I16" i="33"/>
  <c r="I64" i="34"/>
  <c r="B21" i="29"/>
  <c r="AK6" i="27"/>
  <c r="J11" i="33"/>
  <c r="I68" i="34"/>
  <c r="AJ6" i="27"/>
  <c r="J13" i="33"/>
  <c r="C20" i="29"/>
  <c r="I66" i="34"/>
  <c r="I14" i="33"/>
  <c r="I12" i="33"/>
  <c r="J63" i="34"/>
  <c r="J65" i="34"/>
  <c r="F20" i="29"/>
  <c r="N22" i="28"/>
  <c r="N13" i="31" l="1"/>
  <c r="N17" i="31"/>
  <c r="AM6" i="27"/>
  <c r="E73" i="34"/>
  <c r="N15" i="31"/>
  <c r="N19" i="31"/>
  <c r="V19" i="31" s="1"/>
  <c r="V14" i="31"/>
  <c r="E22" i="28"/>
  <c r="J10" i="33"/>
  <c r="F21" i="29"/>
  <c r="J66" i="34"/>
  <c r="J14" i="33"/>
  <c r="J22" i="28"/>
  <c r="J12" i="33"/>
  <c r="J64" i="34"/>
  <c r="J68" i="34"/>
  <c r="J16" i="33"/>
  <c r="I20" i="29"/>
  <c r="J17" i="33" l="1"/>
  <c r="V13" i="31"/>
  <c r="V20" i="31" s="1"/>
  <c r="B21" i="31" s="1"/>
  <c r="M20" i="31"/>
  <c r="V17" i="31"/>
  <c r="L21" i="31"/>
  <c r="V15" i="31"/>
  <c r="J69" i="34"/>
  <c r="F75" i="34" s="1"/>
  <c r="G73" i="34" s="1"/>
  <c r="AJ6" i="32"/>
  <c r="C19" i="33"/>
  <c r="B20" i="33"/>
  <c r="AK6" i="32"/>
  <c r="N21" i="31" s="1"/>
  <c r="AM6" i="32" l="1"/>
  <c r="E21" i="31"/>
  <c r="H21" i="31"/>
  <c r="H73" i="34"/>
  <c r="H142" i="34"/>
  <c r="M69" i="34" a="1"/>
  <c r="M69" i="34" s="1"/>
  <c r="F73" i="34"/>
  <c r="J21" i="31"/>
  <c r="I19" i="33" s="1"/>
  <c r="F20" i="33"/>
  <c r="F19" i="33"/>
  <c r="H138" i="23"/>
  <c r="H621" i="23"/>
  <c r="H483" i="23"/>
  <c r="H506" i="23"/>
  <c r="H598" i="23"/>
  <c r="H782" i="23"/>
  <c r="H851" i="23"/>
  <c r="H667" i="23"/>
  <c r="H805" i="23"/>
  <c r="H230" i="23"/>
  <c r="H828" i="23"/>
  <c r="H529" i="23"/>
  <c r="H552" i="23"/>
  <c r="H713" i="23"/>
  <c r="H69" i="23"/>
  <c r="H161" i="23"/>
  <c r="H460" i="23"/>
  <c r="H368" i="23"/>
  <c r="H92" i="23"/>
  <c r="H575" i="23"/>
  <c r="H644" i="23"/>
  <c r="H920" i="23"/>
  <c r="H391" i="23"/>
  <c r="H759" i="23"/>
  <c r="H23" i="23"/>
  <c r="H276" i="23"/>
  <c r="H207" i="23"/>
  <c r="H322" i="23"/>
  <c r="H299" i="23"/>
  <c r="H414" i="23"/>
  <c r="H46" i="23"/>
  <c r="H736" i="23"/>
  <c r="H184" i="23"/>
  <c r="H690" i="23"/>
  <c r="H253" i="23"/>
  <c r="H897" i="23"/>
  <c r="H437" i="23"/>
  <c r="H115" i="23"/>
  <c r="H345" i="23"/>
  <c r="H874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<sst xmlns="http://schemas.openxmlformats.org/spreadsheetml/2006/main" count="4493" uniqueCount="312">
  <si>
    <t>Roll No.</t>
  </si>
  <si>
    <t>Enroll No.</t>
  </si>
  <si>
    <t xml:space="preserve">Student's Name </t>
  </si>
  <si>
    <t>Father's Name</t>
  </si>
  <si>
    <t>Th. Ex.</t>
  </si>
  <si>
    <t>Ses.</t>
  </si>
  <si>
    <t>Total</t>
  </si>
  <si>
    <t>Pr. Ex.</t>
  </si>
  <si>
    <t>A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</si>
  <si>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</si>
  <si>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</si>
  <si>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</si>
  <si>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</si>
  <si>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</si>
  <si>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</si>
  <si>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</si>
  <si>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</si>
  <si>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</si>
  <si>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</si>
  <si>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Govind Ballabh Pant Institue of Engineering and Technology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</si>
  <si>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</si>
  <si>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</si>
  <si>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</si>
  <si>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</si>
  <si>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</si>
  <si>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</si>
  <si>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</si>
  <si>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</si>
  <si>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</si>
  <si>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</si>
  <si>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</si>
  <si>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</si>
  <si>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</si>
  <si>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</si>
  <si>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</si>
  <si>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</si>
  <si>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</si>
  <si>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</si>
  <si>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</si>
  <si>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</si>
  <si>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</si>
  <si>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</si>
  <si>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</si>
  <si>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</si>
  <si>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</si>
  <si>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</si>
  <si>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</si>
  <si>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</si>
  <si>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</si>
  <si>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GRADE SHEET</t>
  </si>
  <si>
    <t>University Roll No.:</t>
  </si>
  <si>
    <t>University Enrollment No.:</t>
  </si>
  <si>
    <t>Total Credits/ Total Grade Points</t>
  </si>
  <si>
    <t>TC_I</t>
  </si>
  <si>
    <t>A+</t>
  </si>
  <si>
    <t>B+</t>
  </si>
  <si>
    <t>II</t>
  </si>
  <si>
    <t>TC_II</t>
  </si>
  <si>
    <t>Universal Human Value</t>
  </si>
  <si>
    <t>III</t>
  </si>
  <si>
    <t>TC_III</t>
  </si>
  <si>
    <t>NA</t>
  </si>
  <si>
    <t>CAT 004</t>
  </si>
  <si>
    <t>Discrete Structure</t>
  </si>
  <si>
    <t>CAT 005</t>
  </si>
  <si>
    <t>Database Management System</t>
  </si>
  <si>
    <t>Operating System</t>
  </si>
  <si>
    <t>CAT 006</t>
  </si>
  <si>
    <t>Computer Organization</t>
  </si>
  <si>
    <t>CAT 007</t>
  </si>
  <si>
    <t>Technical Communication Skills</t>
  </si>
  <si>
    <t>AHT 303</t>
  </si>
  <si>
    <t>Python Programming ($)</t>
  </si>
  <si>
    <t>CAT 001</t>
  </si>
  <si>
    <t>CAT 008</t>
  </si>
  <si>
    <t>Introduction of Information Technology ($)</t>
  </si>
  <si>
    <t>CAT 002</t>
  </si>
  <si>
    <t>Programming Fundamentals with "C" ($)</t>
  </si>
  <si>
    <t>Fundamental of Web Technology ($)</t>
  </si>
  <si>
    <t>CAT 003</t>
  </si>
  <si>
    <t>Database Management System Lab</t>
  </si>
  <si>
    <t>CAP 001</t>
  </si>
  <si>
    <t>CAP 002</t>
  </si>
  <si>
    <t>Operating System Lab</t>
  </si>
  <si>
    <t>Computer Organization Lab</t>
  </si>
  <si>
    <t>CAP 003</t>
  </si>
  <si>
    <t>AHP 303</t>
  </si>
  <si>
    <t>CAT 009</t>
  </si>
  <si>
    <t>Computer Based Numerical and Statistical Techniques</t>
  </si>
  <si>
    <t>CAT 010</t>
  </si>
  <si>
    <t>Data Structures and Analysis of Algorithms</t>
  </si>
  <si>
    <t>CAT 011</t>
  </si>
  <si>
    <t>Object Oriented Programming with JAVA</t>
  </si>
  <si>
    <t>CAT 012</t>
  </si>
  <si>
    <t>Computer Networks</t>
  </si>
  <si>
    <t>CAT 013</t>
  </si>
  <si>
    <t>Artificial Intelligence</t>
  </si>
  <si>
    <t>AHT 304</t>
  </si>
  <si>
    <t>Accounting and Financial Management ($)</t>
  </si>
  <si>
    <t>CAP 004</t>
  </si>
  <si>
    <t>CAP 005</t>
  </si>
  <si>
    <t>CAP 006</t>
  </si>
  <si>
    <t>CAP 007</t>
  </si>
  <si>
    <t>Artificial Intelligence Lab</t>
  </si>
  <si>
    <t>Graph Theory</t>
  </si>
  <si>
    <t>Software Engineering</t>
  </si>
  <si>
    <t>CAT 015</t>
  </si>
  <si>
    <t>Cloud Computing</t>
  </si>
  <si>
    <t>CAT 020</t>
  </si>
  <si>
    <t>TOE 83</t>
  </si>
  <si>
    <t>Project Management</t>
  </si>
  <si>
    <t>AHT 310</t>
  </si>
  <si>
    <t>CAP 008</t>
  </si>
  <si>
    <t>Software Engineering Lab</t>
  </si>
  <si>
    <t>CAP 009</t>
  </si>
  <si>
    <t>Seminar</t>
  </si>
  <si>
    <t>CAP 010</t>
  </si>
  <si>
    <t>Minor Project</t>
  </si>
  <si>
    <t>Network Security</t>
  </si>
  <si>
    <t>CAT 022</t>
  </si>
  <si>
    <t>CAT 027</t>
  </si>
  <si>
    <t>Machine Learning</t>
  </si>
  <si>
    <t>CAT 030</t>
  </si>
  <si>
    <t>Software Testing &amp; Quality Assurance</t>
  </si>
  <si>
    <t>AHT 411</t>
  </si>
  <si>
    <t>Digital Marketing</t>
  </si>
  <si>
    <t>Network Security Lab</t>
  </si>
  <si>
    <t>CAP 011</t>
  </si>
  <si>
    <t>CAP 012</t>
  </si>
  <si>
    <t>Major Project</t>
  </si>
  <si>
    <t>CAP 013</t>
  </si>
  <si>
    <t>Digital Marketing Lab</t>
  </si>
  <si>
    <t>IV</t>
  </si>
  <si>
    <t>TC_IV</t>
  </si>
  <si>
    <t>STATEMENT OF MARKS</t>
  </si>
  <si>
    <t>Roll No.:</t>
  </si>
  <si>
    <t>Enrollment No.:</t>
  </si>
  <si>
    <t>($) Non-Credit Subject</t>
  </si>
  <si>
    <t>*Cleared after Back</t>
  </si>
  <si>
    <t>Semester, Cumilative and Degree Grade Point Average (SGPA, CGPA and DGPA)</t>
  </si>
  <si>
    <t>Sem I</t>
  </si>
  <si>
    <t>Sem II</t>
  </si>
  <si>
    <t>Sem III</t>
  </si>
  <si>
    <t>Sem IV</t>
  </si>
  <si>
    <t>DGPA</t>
  </si>
  <si>
    <t>Result</t>
  </si>
  <si>
    <t>SGPA</t>
  </si>
  <si>
    <t>MASTER IN COMPUTER APPLICATION PROGRAMME</t>
  </si>
  <si>
    <t>Semester I (Autumn Semester 2022-23)</t>
  </si>
  <si>
    <t xml:space="preserve">                (Affiliated to Veer Madho Singh Bhandari Uttarakhand Technical University)</t>
  </si>
  <si>
    <t xml:space="preserve">               (Affiliated to Veer Madho Singh Bhandari Uttarakhand Technical University)</t>
  </si>
  <si>
    <t xml:space="preserve">            Govind Ballabh Pant Institue of Engineering and Technology</t>
  </si>
  <si>
    <t xml:space="preserve">            (Affiliated to Veer Madho Singh Bhandari Uttarakhand Technical University)</t>
  </si>
  <si>
    <t xml:space="preserve">               Govind Ballabh Pant Institue of Engineering and Technology</t>
  </si>
  <si>
    <t>0/0</t>
  </si>
  <si>
    <t>CAT  014</t>
  </si>
  <si>
    <t>Computer Networks Lab</t>
  </si>
  <si>
    <t>Data Structures and Analysis of Algorithms Lab</t>
  </si>
  <si>
    <t>Object Oriented Programming with JAVA Lab</t>
  </si>
  <si>
    <t>CAT 016</t>
  </si>
  <si>
    <t>Big Data Analytics</t>
  </si>
  <si>
    <t>AHT 313</t>
  </si>
  <si>
    <t>Principal of Management</t>
  </si>
  <si>
    <t>CAT 026</t>
  </si>
  <si>
    <t>Data Science</t>
  </si>
  <si>
    <t>Tabulation Chart for Master in Computer Application
IV Semester June 2025</t>
  </si>
  <si>
    <t>Master in Computer Application 
IV Semester June 2025</t>
  </si>
  <si>
    <t>UTU/2406100187</t>
  </si>
  <si>
    <t>ALOK NEGI</t>
  </si>
  <si>
    <t>PRATAP SINGH NEGI</t>
  </si>
  <si>
    <t>UTU/2406100171</t>
  </si>
  <si>
    <t>AMAN POKHRIYAL</t>
  </si>
  <si>
    <t>VINOD PRASSAD POKHRIYAL</t>
  </si>
  <si>
    <t>UTU/2406100173</t>
  </si>
  <si>
    <t>ANAS SAIFI</t>
  </si>
  <si>
    <t>SALMUDDIN SAIFI</t>
  </si>
  <si>
    <t>UTU/2406100161</t>
  </si>
  <si>
    <t>ANJALI GUSAIN</t>
  </si>
  <si>
    <t>JAIBEER SINGH GUSAIN</t>
  </si>
  <si>
    <t>UTU/2406100178</t>
  </si>
  <si>
    <t>ANJALI PATWAL</t>
  </si>
  <si>
    <t>SANJAY SINGH PATWAL</t>
  </si>
  <si>
    <t>UTU/2406100179</t>
  </si>
  <si>
    <t>ASMIT BHATT</t>
  </si>
  <si>
    <t>JANARDHAN BHATT</t>
  </si>
  <si>
    <t>UTU/2406100174</t>
  </si>
  <si>
    <t>AYUSH MAURYA</t>
  </si>
  <si>
    <t>BABU RAM</t>
  </si>
  <si>
    <t>UTU/2406100183</t>
  </si>
  <si>
    <t>AYUSH RAWAT</t>
  </si>
  <si>
    <t>MUKESH RAWAT</t>
  </si>
  <si>
    <t>UTU/2406100172</t>
  </si>
  <si>
    <t>CHIRAG KASHYAP</t>
  </si>
  <si>
    <t>NARENDRA SINGH</t>
  </si>
  <si>
    <t>UTU/2406100181</t>
  </si>
  <si>
    <t>DEVENDRA SINGH RANA</t>
  </si>
  <si>
    <t>DHYAN SINGH RANA</t>
  </si>
  <si>
    <t>UTU/2406100185</t>
  </si>
  <si>
    <t>DIKSHA PHARTYAL</t>
  </si>
  <si>
    <t>UPENDRA SINGH PHARTYAL</t>
  </si>
  <si>
    <t>UTU/2406100182</t>
  </si>
  <si>
    <t>KAMAL SINGH BISHT</t>
  </si>
  <si>
    <t>SHIV SINGH BISHT</t>
  </si>
  <si>
    <t>UTU/2406100175</t>
  </si>
  <si>
    <t>KRISHNA BHATT</t>
  </si>
  <si>
    <t>HARENDRA PRASAD BHATT</t>
  </si>
  <si>
    <t>UTU/2406100188</t>
  </si>
  <si>
    <t>MANSI SAINI</t>
  </si>
  <si>
    <t>ASHOK KUMAR SAINI</t>
  </si>
  <si>
    <t>UTU/2406100177</t>
  </si>
  <si>
    <t>MANVI UNIYAL</t>
  </si>
  <si>
    <t>MANOJ UNIYAL</t>
  </si>
  <si>
    <t>UTU/2406100137</t>
  </si>
  <si>
    <t>NEERAJ JOSHI</t>
  </si>
  <si>
    <t>PURAN CHANDRA JOSHI</t>
  </si>
  <si>
    <t>UTU/2406100180</t>
  </si>
  <si>
    <t>PRIYANSHU BHATT</t>
  </si>
  <si>
    <t>DINESH BHATT</t>
  </si>
  <si>
    <t>PRIYANSHU DHYANI</t>
  </si>
  <si>
    <t>RAMESH CHANDRA DHYANI</t>
  </si>
  <si>
    <t>UTU/2406100169</t>
  </si>
  <si>
    <t>SEJAL SINGH</t>
  </si>
  <si>
    <t>SHEESH RAM SINGH</t>
  </si>
  <si>
    <t>UTU/2406100196</t>
  </si>
  <si>
    <t>SHARAD NIJWALA</t>
  </si>
  <si>
    <t>VIJAYANT SINGH</t>
  </si>
  <si>
    <t>UTU/2406100176</t>
  </si>
  <si>
    <t>SHIKHA</t>
  </si>
  <si>
    <t>UPENDRA SINGH SEMWAL</t>
  </si>
  <si>
    <t>UTU/2406100168</t>
  </si>
  <si>
    <t>SHIVANI BHATT</t>
  </si>
  <si>
    <t>RAVINDRA BHATT</t>
  </si>
  <si>
    <t>UTU/2406100184</t>
  </si>
  <si>
    <t>SHRIYANSHU DHYANI</t>
  </si>
  <si>
    <t>LUV KUMAR DHYANI</t>
  </si>
  <si>
    <t>UTU/2406100190</t>
  </si>
  <si>
    <t>SIDDHARTH PATWAL</t>
  </si>
  <si>
    <t>MANOJ PATWAL</t>
  </si>
  <si>
    <t>UTU/2406100189</t>
  </si>
  <si>
    <t>SURAJ SINGH BISHT</t>
  </si>
  <si>
    <t>KHUSHAL SINGH</t>
  </si>
  <si>
    <t>Tabulation Chart for Master in Computer Application
II Semester June 2025</t>
  </si>
  <si>
    <t>Master in Computer Application
II Semester June 2025</t>
  </si>
  <si>
    <t>Govind Ballabh Pant Institute of Engineering and Technology</t>
  </si>
  <si>
    <t>Tabulation Chart for Master in Computer Application
III Semester December 2025</t>
  </si>
  <si>
    <t>Master in Computer Application
III Semester December 2025</t>
  </si>
  <si>
    <t>Tabulation Chart for Master in Computer Application
I Semester December 2025</t>
  </si>
  <si>
    <t>Master in Computer Application
I Semester December 2025</t>
  </si>
  <si>
    <t>C+</t>
  </si>
  <si>
    <t>D+</t>
  </si>
  <si>
    <t>D</t>
  </si>
  <si>
    <t>E+</t>
  </si>
  <si>
    <t>E</t>
  </si>
  <si>
    <t>UTU/2506100119</t>
  </si>
  <si>
    <t>ABHISHEK RAWAT</t>
  </si>
  <si>
    <t>RAMESH RAWAT</t>
  </si>
  <si>
    <t>UTU/2506100159</t>
  </si>
  <si>
    <t>ABHISHEK SINGH NAYAL</t>
  </si>
  <si>
    <t>RAVENDRA SINGH NAYAL</t>
  </si>
  <si>
    <t>UTU/2506100120</t>
  </si>
  <si>
    <t>ASHOK CHANDRA UPRETI</t>
  </si>
  <si>
    <t>LALITA PRASAD UPRETI</t>
  </si>
  <si>
    <t>UTU/2506100116</t>
  </si>
  <si>
    <t>AYUSH SINGH RAWAT</t>
  </si>
  <si>
    <t>RAJENDRA SINGH RAWAT</t>
  </si>
  <si>
    <t>UTU/2506100147</t>
  </si>
  <si>
    <t>DEEPAK BISHT</t>
  </si>
  <si>
    <t>DIWAN SINGH BISHT</t>
  </si>
  <si>
    <t>UTU/2506100117</t>
  </si>
  <si>
    <t>DEVASHISH TIWARI</t>
  </si>
  <si>
    <t>MAHESHWAR PRASAD TIWARI</t>
  </si>
  <si>
    <t>UTU/2506100121</t>
  </si>
  <si>
    <t>DIVESH PANT</t>
  </si>
  <si>
    <t>DINESH CHANDRA PANT</t>
  </si>
  <si>
    <t>PUTU/2506100145</t>
  </si>
  <si>
    <t>KHUSHI DWIVEDI</t>
  </si>
  <si>
    <t>CHANDI PRASAD DWIVEDI</t>
  </si>
  <si>
    <t>UTU/2506100160</t>
  </si>
  <si>
    <t>KIRAN SAHANI</t>
  </si>
  <si>
    <t>VINOD SAHANI</t>
  </si>
  <si>
    <t>UTU/2506100154</t>
  </si>
  <si>
    <t>NIKITA BALODHI</t>
  </si>
  <si>
    <t>MR DHANJAY PRASAD BALODHI</t>
  </si>
  <si>
    <t>UTU/2506100161</t>
  </si>
  <si>
    <t>NISHTHA ARORA</t>
  </si>
  <si>
    <t>SUNIL ARORA</t>
  </si>
  <si>
    <t>UTU/2506100155</t>
  </si>
  <si>
    <t>OJASWEE BISHT</t>
  </si>
  <si>
    <t>PRAMOD BISHT</t>
  </si>
  <si>
    <t>UTU/2506100158</t>
  </si>
  <si>
    <t>RATNESH JUYAL</t>
  </si>
  <si>
    <t>BHAGWAT PRASAD JUYAL</t>
  </si>
  <si>
    <t>UTU/2506100138</t>
  </si>
  <si>
    <t>REETU SAINI</t>
  </si>
  <si>
    <t>ARJUN SINGH SAINI</t>
  </si>
  <si>
    <t>PUTU/2506100115</t>
  </si>
  <si>
    <t>RISHABH KAINTURA</t>
  </si>
  <si>
    <t>SURENDER KAINTURA</t>
  </si>
  <si>
    <t>PUTU/2506100124</t>
  </si>
  <si>
    <t>ROHIT SINGH</t>
  </si>
  <si>
    <t>MAHESH CHANDRA SINGH</t>
  </si>
  <si>
    <t>UTU/2506100148</t>
  </si>
  <si>
    <t>SAURAV DHAPOLA</t>
  </si>
  <si>
    <t>UTU/2506100123</t>
  </si>
  <si>
    <t>SHIVANK RAWAT</t>
  </si>
  <si>
    <t>DEVENDRA SINGH RAWAT</t>
  </si>
  <si>
    <t>UTU/2506100146</t>
  </si>
  <si>
    <t>SIMRAN KANDARI</t>
  </si>
  <si>
    <t>MANMOHAN SINGH</t>
  </si>
  <si>
    <t>UTU/2506100157</t>
  </si>
  <si>
    <t>VIVEK</t>
  </si>
  <si>
    <t>SATYAPAL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</si>
</sst>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name val="Algerian"/>
      <family val="5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  <font>
      <sz val="8"/>
      <name val="Algerian"/>
      <family val="5"/>
    </font>
    <font>
      <b/>
      <u/>
      <sz val="11"/>
      <name val="Times New Roman"/>
      <family val="1"/>
    </font>
    <font>
      <b/>
      <sz val="10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theme="0"/>
      <name val="Times New Roman"/>
      <family val="1"/>
    </font>
    <font>
      <sz val="9"/>
      <color theme="0"/>
      <name val="Times New Roman"/>
      <family val="1"/>
    </font>
    <font>
      <b/>
      <sz val="14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128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vertical="center"/>
    </xf>
    <xf numFmtId="0" fontId="12" fillId="0" borderId="0" xfId="1"/>
    <xf numFmtId="0" fontId="3" fillId="0" borderId="0" xfId="1" applyFont="1" applyAlignment="1">
      <alignment vertical="top"/>
    </xf>
    <xf numFmtId="0" fontId="16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8" fillId="0" borderId="0" xfId="1" applyFont="1"/>
    <xf numFmtId="2" fontId="15" fillId="0" borderId="1" xfId="1" applyNumberFormat="1" applyFont="1" applyBorder="1" applyAlignment="1">
      <alignment horizontal="center" vertical="center"/>
    </xf>
    <xf numFmtId="0" fontId="16" fillId="0" borderId="1" xfId="1" applyFont="1" applyBorder="1" applyAlignment="1">
      <alignment horizontal="left" vertical="center"/>
    </xf>
    <xf numFmtId="0" fontId="17" fillId="0" borderId="5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9" fillId="0" borderId="0" xfId="1" applyFont="1" applyAlignment="1">
      <alignment vertical="top"/>
    </xf>
    <xf numFmtId="0" fontId="22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/>
    <xf numFmtId="1" fontId="24" fillId="0" borderId="0" xfId="0" applyNumberFormat="1" applyFont="1"/>
    <xf numFmtId="0" fontId="26" fillId="0" borderId="1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" fontId="8" fillId="0" borderId="0" xfId="0" applyNumberFormat="1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27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2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22" fillId="0" borderId="0" xfId="0" applyNumberFormat="1" applyFont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right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6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16" fillId="0" borderId="1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7" fillId="0" borderId="2" xfId="1" applyFont="1" applyBorder="1" applyAlignment="1">
      <alignment horizontal="left" vertical="center"/>
    </xf>
    <xf numFmtId="0" fontId="17" fillId="0" borderId="4" xfId="1" applyFont="1" applyBorder="1" applyAlignment="1">
      <alignment horizontal="left" vertical="center"/>
    </xf>
    <xf numFmtId="0" fontId="17" fillId="0" borderId="3" xfId="1" applyFont="1" applyBorder="1" applyAlignment="1">
      <alignment horizontal="left" vertical="center"/>
    </xf>
    <xf numFmtId="2" fontId="15" fillId="0" borderId="1" xfId="1" applyNumberFormat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5" fillId="0" borderId="0" xfId="1" applyFont="1" applyAlignment="1">
      <alignment horizontal="left" vertical="center"/>
    </xf>
    <xf numFmtId="1" fontId="15" fillId="0" borderId="0" xfId="1" applyNumberFormat="1" applyFont="1" applyAlignment="1">
      <alignment horizontal="right" vertical="center"/>
    </xf>
    <xf numFmtId="0" fontId="16" fillId="0" borderId="0" xfId="1" applyFont="1" applyAlignment="1">
      <alignment horizontal="left" vertical="center" wrapText="1"/>
    </xf>
    <xf numFmtId="0" fontId="17" fillId="0" borderId="6" xfId="1" applyFont="1" applyBorder="1" applyAlignment="1">
      <alignment horizontal="left" vertical="center"/>
    </xf>
    <xf numFmtId="0" fontId="17" fillId="0" borderId="8" xfId="1" applyFont="1" applyBorder="1" applyAlignment="1">
      <alignment horizontal="left" vertical="center"/>
    </xf>
    <xf numFmtId="0" fontId="17" fillId="0" borderId="7" xfId="1" applyFont="1" applyBorder="1" applyAlignment="1">
      <alignment horizontal="left" vertical="center"/>
    </xf>
    <xf numFmtId="0" fontId="1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left" vertical="center"/>
    </xf>
    <xf numFmtId="0" fontId="15" fillId="0" borderId="1" xfId="1" applyFont="1" applyBorder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top" wrapText="1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B0E8CC2A-C08D-453B-9F1D-BA12A25CE30D}"/>
  </cellStyles>
  <dxfs count="18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155911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17C66-84BC-4808-A813-3E41DC02E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14</xdr:col>
      <xdr:colOff>2870</xdr:colOff>
      <xdr:row>4</xdr:row>
      <xdr:rowOff>139369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26C475-1B9B-4538-8888-A64A72334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57779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D23A55-E41E-4D0A-BEA8-CD581EBD4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612469</xdr:colOff>
      <xdr:row>4</xdr:row>
      <xdr:rowOff>45470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144D1-6A88-404F-8D27-FF67F4130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5</xdr:row>
      <xdr:rowOff>79551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7FBCB-03AB-4394-81F1-1B38D7B2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5</xdr:row>
      <xdr:rowOff>67242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5D9218-D9C8-4E86-A51E-61B97DE0D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6</xdr:row>
      <xdr:rowOff>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7DBFB-EB9B-4BE7-B514-95003417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625170</xdr:colOff>
      <xdr:row>5</xdr:row>
      <xdr:rowOff>148885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5453FE-B548-4D51-9D4D-57F63D967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462236</xdr:colOff>
      <xdr:row>0</xdr:row>
      <xdr:rowOff>0</xdr:rowOff>
    </xdr:from>
    <xdr:to>
      <xdr:col>10</xdr:col>
      <xdr:colOff>4502</xdr:colOff>
      <xdr:row>6</xdr:row>
      <xdr:rowOff>69716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9846AB-1E4B-42D6-A35B-4BF4864B0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87379" y="0"/>
          <a:ext cx="824059" cy="8480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187011</xdr:colOff>
      <xdr:row>6</xdr:row>
      <xdr:rowOff>99962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76EE96-64D5-4D86-A1C2-B85840181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40154" cy="8782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516361</xdr:colOff>
      <xdr:row>0</xdr:row>
      <xdr:rowOff>0</xdr:rowOff>
    </xdr:from>
    <xdr:to>
      <xdr:col>9</xdr:col>
      <xdr:colOff>672168</xdr:colOff>
      <xdr:row>2</xdr:row>
      <xdr:rowOff>174857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935028" y="0"/>
          <a:ext cx="833140" cy="852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10885</xdr:rowOff>
    </xdr:from>
    <xdr:to>
      <xdr:col>1</xdr:col>
      <xdr:colOff>219492</xdr:colOff>
      <xdr:row>2</xdr:row>
      <xdr:rowOff>263184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85"/>
          <a:ext cx="841792" cy="9126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478260</xdr:colOff>
      <xdr:row>0</xdr:row>
      <xdr:rowOff>4535</xdr:rowOff>
    </xdr:from>
    <xdr:to>
      <xdr:col>9</xdr:col>
      <xdr:colOff>634067</xdr:colOff>
      <xdr:row>2</xdr:row>
      <xdr:rowOff>124964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B90D7-2B30-4E40-BB22-664670163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214427" y="4535"/>
          <a:ext cx="833140" cy="840096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4A504B-0F67-43F1-BB92-C0015F89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308928</xdr:colOff>
      <xdr:row>0</xdr:row>
      <xdr:rowOff>0</xdr:rowOff>
    </xdr:from>
    <xdr:to>
      <xdr:col>10</xdr:col>
      <xdr:colOff>464735</xdr:colOff>
      <xdr:row>2</xdr:row>
      <xdr:rowOff>120429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51BFF-DACA-467B-BFBD-0DC39ECAF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909628" y="0"/>
          <a:ext cx="778107" cy="831629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578080-8606-4399-BCFC-01E61EEEB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340678</xdr:colOff>
      <xdr:row>0</xdr:row>
      <xdr:rowOff>4535</xdr:rowOff>
    </xdr:from>
    <xdr:to>
      <xdr:col>10</xdr:col>
      <xdr:colOff>496485</xdr:colOff>
      <xdr:row>2</xdr:row>
      <xdr:rowOff>124964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3AB6F-1EA9-4808-8BF8-0704D1C00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941378" y="4535"/>
          <a:ext cx="778107" cy="831629"/>
        </a:xfrm>
        <a:prstGeom prst="rect">
          <a:avLst/>
        </a:prstGeom>
      </xdr:spPr>
    </xdr:pic>
    <xdr:clientData/>
  </xdr:twoCellAnchor>
  <xdr:twoCellAnchor editAs="oneCell">
    <xdr:from>
      <xdr:col>0</xdr:col>
      <xdr:colOff>5443</xdr:colOff>
      <xdr:row>0</xdr:row>
      <xdr:rowOff>10885</xdr:rowOff>
    </xdr:from>
    <xdr:to>
      <xdr:col>1</xdr:col>
      <xdr:colOff>224935</xdr:colOff>
      <xdr:row>2</xdr:row>
      <xdr:rowOff>208756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B48CC3-5107-4574-80D9-4CDAD4947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3" y="10885"/>
          <a:ext cx="872635" cy="905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BD45"/>
  <sheetViews>
    <sheetView topLeftCell="R1" zoomScale="125" zoomScaleNormal="100" workbookViewId="0">
      <selection activeCell="X15" sqref="X15:AF25"/>
    </sheetView>
  </sheetViews>
  <sheetFormatPr baseColWidth="10" defaultColWidth="8.83203125" defaultRowHeight="15" x14ac:dyDescent="0.2"/>
  <cols>
    <col min="1" max="1" width="5.33203125" bestFit="1" customWidth="1"/>
    <col min="2" max="3" width="15.5" bestFit="1" customWidth="1"/>
    <col min="4" max="4" width="23" bestFit="1" customWidth="1"/>
    <col min="5" max="5" width="22.5" bestFit="1" customWidth="1"/>
    <col min="45" max="47" width="9.33203125" customWidth="1"/>
  </cols>
  <sheetData>
    <row r="1" spans="1:56" ht="14.75" customHeight="1" x14ac:dyDescent="0.2">
      <c r="A1" t="s">
        <v>22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62</v>
      </c>
      <c r="I1" t="s">
        <v>64</v>
      </c>
      <c r="L1" t="s">
        <v>67</v>
      </c>
      <c r="O1" t="s">
        <v>69</v>
      </c>
      <c r="R1" t="s">
        <v>71</v>
      </c>
      <c r="U1" t="s">
        <v>74</v>
      </c>
      <c r="X1" t="s">
        <v>73</v>
      </c>
      <c r="AA1" t="s">
        <v>76</v>
      </c>
      <c r="AD1" t="s">
        <v>79</v>
      </c>
      <c r="AG1" t="s">
        <v>81</v>
      </c>
      <c r="AJ1" t="s">
        <v>82</v>
      </c>
      <c r="AM1" t="s">
        <v>85</v>
      </c>
      <c r="AP1" t="s">
        <v>86</v>
      </c>
      <c r="AV1" t="s">
        <v>45</v>
      </c>
      <c r="AW1" t="s">
        <v>46</v>
      </c>
      <c r="AX1" t="s">
        <v>47</v>
      </c>
      <c r="AY1" t="s">
        <v>48</v>
      </c>
    </row>
    <row r="2" spans="1:56" ht="14.75" customHeight="1" x14ac:dyDescent="0.2">
      <c r="A2" t="s">
        <v>23</v>
      </c>
      <c r="B2" s="12"/>
      <c r="C2" s="12"/>
      <c r="D2" s="12"/>
      <c r="E2" s="12"/>
      <c r="F2" t="s">
        <v>63</v>
      </c>
      <c r="I2" t="s">
        <v>65</v>
      </c>
      <c r="L2" t="s">
        <v>66</v>
      </c>
      <c r="O2" t="s">
        <v>68</v>
      </c>
      <c r="R2" t="s">
        <v>70</v>
      </c>
      <c r="U2" t="s">
        <v>72</v>
      </c>
      <c r="X2" t="s">
        <v>75</v>
      </c>
      <c r="AA2" t="s">
        <v>77</v>
      </c>
      <c r="AD2" t="s">
        <v>78</v>
      </c>
      <c r="AG2" t="s">
        <v>80</v>
      </c>
      <c r="AJ2" t="s">
        <v>83</v>
      </c>
      <c r="AM2" t="s">
        <v>84</v>
      </c>
      <c r="AP2" t="s">
        <v>70</v>
      </c>
    </row>
    <row r="3" spans="1:56" x14ac:dyDescent="0.2">
      <c r="A3" t="s">
        <v>13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4</v>
      </c>
      <c r="U3">
        <v>0</v>
      </c>
      <c r="X3">
        <v>0</v>
      </c>
      <c r="AA3">
        <v>0</v>
      </c>
      <c r="AD3">
        <v>0</v>
      </c>
      <c r="AG3">
        <v>1</v>
      </c>
      <c r="AJ3">
        <v>1</v>
      </c>
      <c r="AM3">
        <v>1</v>
      </c>
      <c r="AP3">
        <v>1</v>
      </c>
      <c r="AW3">
        <f>SUM(F3:AU3)</f>
        <v>24</v>
      </c>
    </row>
    <row r="4" spans="1:56" x14ac:dyDescent="0.2">
      <c r="B4" s="12"/>
      <c r="C4" s="12"/>
      <c r="D4" s="12"/>
      <c r="E4" s="12"/>
      <c r="F4" t="s">
        <v>4</v>
      </c>
      <c r="G4" t="s">
        <v>5</v>
      </c>
      <c r="H4" t="s">
        <v>6</v>
      </c>
      <c r="I4" t="s">
        <v>4</v>
      </c>
      <c r="J4" t="s">
        <v>5</v>
      </c>
      <c r="K4" t="s">
        <v>6</v>
      </c>
      <c r="L4" t="s">
        <v>4</v>
      </c>
      <c r="M4" t="s">
        <v>5</v>
      </c>
      <c r="N4" t="s">
        <v>6</v>
      </c>
      <c r="O4" t="s">
        <v>4</v>
      </c>
      <c r="P4" t="s">
        <v>5</v>
      </c>
      <c r="Q4" t="s">
        <v>6</v>
      </c>
      <c r="R4" t="s">
        <v>4</v>
      </c>
      <c r="S4" t="s">
        <v>5</v>
      </c>
      <c r="T4" t="s">
        <v>6</v>
      </c>
      <c r="U4" t="s">
        <v>4</v>
      </c>
      <c r="V4" t="s">
        <v>5</v>
      </c>
      <c r="W4" t="s">
        <v>6</v>
      </c>
      <c r="X4" t="s">
        <v>7</v>
      </c>
      <c r="Y4" t="s">
        <v>5</v>
      </c>
      <c r="Z4" t="s">
        <v>6</v>
      </c>
      <c r="AA4" t="s">
        <v>7</v>
      </c>
      <c r="AB4" t="s">
        <v>5</v>
      </c>
      <c r="AC4" t="s">
        <v>6</v>
      </c>
      <c r="AD4" t="s">
        <v>7</v>
      </c>
      <c r="AE4" t="s">
        <v>5</v>
      </c>
      <c r="AF4" t="s">
        <v>6</v>
      </c>
      <c r="AG4" t="s">
        <v>7</v>
      </c>
      <c r="AH4" t="s">
        <v>5</v>
      </c>
      <c r="AI4" t="s">
        <v>6</v>
      </c>
      <c r="AJ4" t="s">
        <v>7</v>
      </c>
      <c r="AK4" t="s">
        <v>5</v>
      </c>
      <c r="AL4" t="s">
        <v>6</v>
      </c>
      <c r="AM4" t="s">
        <v>7</v>
      </c>
      <c r="AN4" t="s">
        <v>5</v>
      </c>
      <c r="AO4" t="s">
        <v>6</v>
      </c>
      <c r="AP4" t="s">
        <v>7</v>
      </c>
      <c r="AQ4" t="s">
        <v>5</v>
      </c>
      <c r="AR4" t="s">
        <v>6</v>
      </c>
    </row>
    <row r="5" spans="1:56" x14ac:dyDescent="0.2">
      <c r="A5" t="s">
        <v>43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100</v>
      </c>
      <c r="S5">
        <v>50</v>
      </c>
      <c r="T5">
        <v>150</v>
      </c>
      <c r="U5">
        <v>30</v>
      </c>
      <c r="V5">
        <v>20</v>
      </c>
      <c r="W5">
        <v>50</v>
      </c>
      <c r="X5">
        <v>30</v>
      </c>
      <c r="Y5">
        <v>20</v>
      </c>
      <c r="Z5">
        <v>50</v>
      </c>
      <c r="AA5">
        <v>30</v>
      </c>
      <c r="AB5">
        <v>20</v>
      </c>
      <c r="AC5">
        <v>50</v>
      </c>
      <c r="AD5">
        <v>30</v>
      </c>
      <c r="AE5">
        <v>20</v>
      </c>
      <c r="AF5">
        <v>50</v>
      </c>
      <c r="AG5">
        <v>30</v>
      </c>
      <c r="AH5">
        <v>20</v>
      </c>
      <c r="AI5">
        <v>50</v>
      </c>
      <c r="AJ5">
        <v>30</v>
      </c>
      <c r="AK5">
        <v>20</v>
      </c>
      <c r="AL5">
        <v>50</v>
      </c>
      <c r="AM5">
        <v>30</v>
      </c>
      <c r="AN5">
        <v>20</v>
      </c>
      <c r="AO5">
        <v>50</v>
      </c>
      <c r="AP5">
        <v>30</v>
      </c>
      <c r="AQ5">
        <v>20</v>
      </c>
      <c r="AR5">
        <v>50</v>
      </c>
    </row>
    <row r="6" spans="1:56" x14ac:dyDescent="0.2">
      <c r="A6">
        <v>1</v>
      </c>
      <c r="B6" s="1">
        <v>250090600001</v>
      </c>
      <c r="C6" s="1" t="s">
        <v>253</v>
      </c>
      <c r="D6" s="1" t="s">
        <v>254</v>
      </c>
      <c r="E6" s="1" t="s">
        <v>255</v>
      </c>
      <c r="F6" s="37">
        <v>67</v>
      </c>
      <c r="G6" s="37">
        <v>42</v>
      </c>
      <c r="H6" s="38">
        <f>SUM(F6:G6)</f>
        <v>109</v>
      </c>
      <c r="I6" s="37">
        <v>54</v>
      </c>
      <c r="J6" s="37">
        <v>40</v>
      </c>
      <c r="K6" s="38">
        <f>SUM(I6:J6)</f>
        <v>94</v>
      </c>
      <c r="L6" s="37">
        <v>60</v>
      </c>
      <c r="M6" s="37">
        <v>42</v>
      </c>
      <c r="N6" s="38">
        <f>SUM(L6:M6)</f>
        <v>102</v>
      </c>
      <c r="O6" s="37">
        <v>37</v>
      </c>
      <c r="P6" s="37">
        <v>40</v>
      </c>
      <c r="Q6" s="38">
        <f>SUM(O6:P6)</f>
        <v>77</v>
      </c>
      <c r="R6" s="37">
        <v>67</v>
      </c>
      <c r="S6" s="37">
        <v>35</v>
      </c>
      <c r="T6" s="38">
        <f>SUM(R6:S6)</f>
        <v>102</v>
      </c>
      <c r="U6" s="37">
        <v>16</v>
      </c>
      <c r="V6" s="37">
        <v>16</v>
      </c>
      <c r="W6" s="38">
        <f>SUM(U6:V6)</f>
        <v>32</v>
      </c>
      <c r="X6" s="37">
        <v>27</v>
      </c>
      <c r="Y6" s="37">
        <v>19</v>
      </c>
      <c r="Z6" s="38">
        <f>SUM(X6:Y6)</f>
        <v>46</v>
      </c>
      <c r="AA6" s="37">
        <v>24</v>
      </c>
      <c r="AB6" s="37">
        <v>18</v>
      </c>
      <c r="AC6" s="38">
        <f>SUM(AA6:AB6)</f>
        <v>42</v>
      </c>
      <c r="AD6" s="37">
        <v>24</v>
      </c>
      <c r="AE6" s="37">
        <v>19</v>
      </c>
      <c r="AF6" s="38">
        <f>SUM(AD6:AE6)</f>
        <v>43</v>
      </c>
      <c r="AG6" s="37">
        <v>26</v>
      </c>
      <c r="AH6" s="37">
        <v>16</v>
      </c>
      <c r="AI6" s="38">
        <f>SUM(AG6:AH6)</f>
        <v>42</v>
      </c>
      <c r="AJ6" s="37">
        <v>26</v>
      </c>
      <c r="AK6" s="37">
        <v>17</v>
      </c>
      <c r="AL6" s="38">
        <f>SUM(AJ6:AK6)</f>
        <v>43</v>
      </c>
      <c r="AM6" s="37">
        <v>25</v>
      </c>
      <c r="AN6" s="37">
        <v>19</v>
      </c>
      <c r="AO6" s="38">
        <f>SUM(AM6:AN6)</f>
        <v>44</v>
      </c>
      <c r="AP6" s="37">
        <v>22</v>
      </c>
      <c r="AQ6" s="37">
        <v>16</v>
      </c>
      <c r="AR6" s="38">
        <f>SUM(AP6:AQ6)</f>
        <v>38</v>
      </c>
      <c r="AV6">
        <f ca="1">INDIRECT(_xlfn.TEXTJOIN("",TRUE,"TC_",BC6,"!",ADDRESS(4+A6*(BD6+9),13)))</f>
        <v>168.5</v>
      </c>
      <c r="AW6">
        <f t="shared" ref="AW6:AW25" ca="1" si="0">INDIRECT(_xlfn.TEXTJOIN("",TRUE,"TC_",BC6,"!",ADDRESS(5+A6*(BD6+9),12)))</f>
        <v>24</v>
      </c>
      <c r="AX6">
        <f t="shared" ref="AX6:AX25" ca="1" si="1">IF(INDIRECT(_xlfn.TEXTJOIN("",TRUE,"TC_",BC6,"!",ADDRESS(4+A6*(BD6+9),23))),SUM(INDIRECT(_xlfn.TEXTJOIN("",TRUE,"TC_",BC6,"!",ADDRESS(4+A6*(BD6+9)-BD6,23),":",ADDRESS(3+A6*(BD6+9),23)))),0)</f>
        <v>0</v>
      </c>
      <c r="AY6">
        <f ca="1">AV6/$AW$3</f>
        <v>7.020833333333333</v>
      </c>
      <c r="BC6" t="s">
        <v>42</v>
      </c>
      <c r="BD6">
        <v>14</v>
      </c>
    </row>
    <row r="7" spans="1:56" ht="16" x14ac:dyDescent="0.2">
      <c r="A7">
        <v>2</v>
      </c>
      <c r="B7" s="1">
        <v>250090600002</v>
      </c>
      <c r="C7" s="1" t="s">
        <v>256</v>
      </c>
      <c r="D7" s="1" t="s">
        <v>257</v>
      </c>
      <c r="E7" s="1" t="s">
        <v>258</v>
      </c>
      <c r="F7" s="37">
        <v>61</v>
      </c>
      <c r="G7" s="37">
        <v>35</v>
      </c>
      <c r="H7" s="38">
        <f t="shared" ref="H7:H25" si="2">SUM(F7:G7)</f>
        <v>96</v>
      </c>
      <c r="I7" s="37">
        <v>46</v>
      </c>
      <c r="J7" s="37">
        <v>34</v>
      </c>
      <c r="K7" s="38">
        <f t="shared" ref="K7:K25" si="3">SUM(I7:J7)</f>
        <v>80</v>
      </c>
      <c r="L7" s="37">
        <v>56</v>
      </c>
      <c r="M7" s="37">
        <v>46</v>
      </c>
      <c r="N7" s="38">
        <f t="shared" ref="N7:N25" si="4">SUM(L7:M7)</f>
        <v>102</v>
      </c>
      <c r="O7" s="37">
        <v>51</v>
      </c>
      <c r="P7" s="37">
        <v>41</v>
      </c>
      <c r="Q7" s="38">
        <f t="shared" ref="Q7:Q25" si="5">SUM(O7:P7)</f>
        <v>92</v>
      </c>
      <c r="R7" s="37">
        <v>70</v>
      </c>
      <c r="S7" s="37">
        <v>37</v>
      </c>
      <c r="T7" s="38">
        <f t="shared" ref="T7:T25" si="6">SUM(R7:S7)</f>
        <v>107</v>
      </c>
      <c r="U7" s="37">
        <v>14</v>
      </c>
      <c r="V7" s="37">
        <v>12</v>
      </c>
      <c r="W7" s="38">
        <f t="shared" ref="W7:W25" si="7">SUM(U7:V7)</f>
        <v>26</v>
      </c>
      <c r="X7" s="37" t="s">
        <v>61</v>
      </c>
      <c r="Y7" s="37" t="s">
        <v>61</v>
      </c>
      <c r="Z7" s="38" t="s">
        <v>61</v>
      </c>
      <c r="AA7" s="37" t="s">
        <v>61</v>
      </c>
      <c r="AB7" s="37" t="s">
        <v>61</v>
      </c>
      <c r="AC7" s="38" t="s">
        <v>61</v>
      </c>
      <c r="AD7" s="37" t="s">
        <v>61</v>
      </c>
      <c r="AE7" s="37" t="s">
        <v>61</v>
      </c>
      <c r="AF7" s="38" t="s">
        <v>61</v>
      </c>
      <c r="AG7" s="37">
        <v>24</v>
      </c>
      <c r="AH7" s="37">
        <v>14</v>
      </c>
      <c r="AI7" s="38">
        <f t="shared" ref="AI7:AI25" si="8">SUM(AG7:AH7)</f>
        <v>38</v>
      </c>
      <c r="AJ7" s="37">
        <v>27</v>
      </c>
      <c r="AK7" s="37">
        <v>18</v>
      </c>
      <c r="AL7" s="38">
        <f t="shared" ref="AL7:AL25" si="9">SUM(AJ7:AK7)</f>
        <v>45</v>
      </c>
      <c r="AM7" s="37">
        <v>27</v>
      </c>
      <c r="AN7" s="37">
        <v>18</v>
      </c>
      <c r="AO7" s="38">
        <f t="shared" ref="AO7:AO25" si="10">SUM(AM7:AN7)</f>
        <v>45</v>
      </c>
      <c r="AP7" s="37">
        <v>23</v>
      </c>
      <c r="AQ7" s="37">
        <v>17</v>
      </c>
      <c r="AR7" s="38">
        <f t="shared" ref="AR7:AR25" si="11">SUM(AP7:AQ7)</f>
        <v>40</v>
      </c>
      <c r="AV7">
        <f t="shared" ref="AV7:AV25" ca="1" si="12">INDIRECT(_xlfn.TEXTJOIN("",TRUE,"TC_",BC7,"!",ADDRESS(4+A7*(BD7+9),13)))</f>
        <v>167.5</v>
      </c>
      <c r="AW7">
        <f t="shared" ca="1" si="0"/>
        <v>24</v>
      </c>
      <c r="AX7">
        <f t="shared" ca="1" si="1"/>
        <v>0</v>
      </c>
      <c r="AY7">
        <f t="shared" ref="AY7:AY25" ca="1" si="13">AV7/$AW$3</f>
        <v>6.979166666666667</v>
      </c>
      <c r="BC7" t="str">
        <f>BC6</f>
        <v>I</v>
      </c>
      <c r="BD7">
        <f>BD6</f>
        <v>14</v>
      </c>
    </row>
    <row r="8" spans="1:56" x14ac:dyDescent="0.2">
      <c r="A8">
        <v>3</v>
      </c>
      <c r="B8" s="1">
        <v>250090600003</v>
      </c>
      <c r="C8" s="1" t="s">
        <v>259</v>
      </c>
      <c r="D8" s="1" t="s">
        <v>260</v>
      </c>
      <c r="E8" t="s">
        <v>261</v>
      </c>
      <c r="F8" s="39">
        <v>69</v>
      </c>
      <c r="G8" s="39">
        <v>46</v>
      </c>
      <c r="H8" s="38">
        <f t="shared" si="2"/>
        <v>115</v>
      </c>
      <c r="I8" s="39">
        <v>85</v>
      </c>
      <c r="J8" s="39">
        <v>45</v>
      </c>
      <c r="K8" s="38">
        <f t="shared" si="3"/>
        <v>130</v>
      </c>
      <c r="L8" s="39">
        <v>88</v>
      </c>
      <c r="M8" s="39">
        <v>50</v>
      </c>
      <c r="N8" s="38">
        <f t="shared" si="4"/>
        <v>138</v>
      </c>
      <c r="O8" s="39">
        <v>81</v>
      </c>
      <c r="P8" s="39">
        <v>48</v>
      </c>
      <c r="Q8" s="38">
        <f t="shared" si="5"/>
        <v>129</v>
      </c>
      <c r="R8" s="39">
        <v>90</v>
      </c>
      <c r="S8" s="39">
        <v>48</v>
      </c>
      <c r="T8" s="38">
        <f t="shared" si="6"/>
        <v>138</v>
      </c>
      <c r="U8" s="39">
        <v>18</v>
      </c>
      <c r="V8" s="39">
        <v>13</v>
      </c>
      <c r="W8" s="38">
        <f t="shared" si="7"/>
        <v>31</v>
      </c>
      <c r="X8" s="39">
        <v>28</v>
      </c>
      <c r="Y8" s="39">
        <v>18</v>
      </c>
      <c r="Z8" s="38">
        <f>SUM(X8:Y8)</f>
        <v>46</v>
      </c>
      <c r="AA8" s="39">
        <v>21</v>
      </c>
      <c r="AB8" s="39">
        <v>18</v>
      </c>
      <c r="AC8" s="38">
        <f>SUM(AA8:AB8)</f>
        <v>39</v>
      </c>
      <c r="AD8" s="39">
        <v>22</v>
      </c>
      <c r="AE8" s="39">
        <v>19</v>
      </c>
      <c r="AF8" s="38">
        <f>SUM(AD8:AE8)</f>
        <v>41</v>
      </c>
      <c r="AG8" s="39">
        <v>28</v>
      </c>
      <c r="AH8" s="39">
        <v>18</v>
      </c>
      <c r="AI8" s="38">
        <f t="shared" si="8"/>
        <v>46</v>
      </c>
      <c r="AJ8" s="39">
        <v>30</v>
      </c>
      <c r="AK8" s="39">
        <v>20</v>
      </c>
      <c r="AL8" s="38">
        <f t="shared" si="9"/>
        <v>50</v>
      </c>
      <c r="AM8" s="39">
        <v>27</v>
      </c>
      <c r="AN8" s="39">
        <v>20</v>
      </c>
      <c r="AO8" s="38">
        <f t="shared" si="10"/>
        <v>47</v>
      </c>
      <c r="AP8" s="39">
        <v>30</v>
      </c>
      <c r="AQ8" s="39">
        <v>16</v>
      </c>
      <c r="AR8" s="38">
        <f t="shared" si="11"/>
        <v>46</v>
      </c>
      <c r="AV8">
        <f t="shared" ca="1" si="12"/>
        <v>218.5</v>
      </c>
      <c r="AW8">
        <f t="shared" ca="1" si="0"/>
        <v>24</v>
      </c>
      <c r="AX8">
        <f t="shared" ca="1" si="1"/>
        <v>0</v>
      </c>
      <c r="AY8">
        <f t="shared" ca="1" si="13"/>
        <v>9.1041666666666661</v>
      </c>
      <c r="BC8" t="str">
        <f t="shared" ref="BC8:BC25" si="14">BC7</f>
        <v>I</v>
      </c>
      <c r="BD8">
        <f t="shared" ref="BD8:BD25" si="15">BD7</f>
        <v>14</v>
      </c>
    </row>
    <row r="9" spans="1:56" ht="16" x14ac:dyDescent="0.2">
      <c r="A9">
        <v>4</v>
      </c>
      <c r="B9" s="1">
        <v>250090600004</v>
      </c>
      <c r="C9" s="1" t="s">
        <v>262</v>
      </c>
      <c r="D9" s="1" t="s">
        <v>263</v>
      </c>
      <c r="E9" t="s">
        <v>264</v>
      </c>
      <c r="F9" s="39">
        <v>48</v>
      </c>
      <c r="G9" s="39">
        <v>42</v>
      </c>
      <c r="H9" s="38">
        <f t="shared" si="2"/>
        <v>90</v>
      </c>
      <c r="I9" s="39">
        <v>47</v>
      </c>
      <c r="J9" s="39">
        <v>31</v>
      </c>
      <c r="K9" s="38">
        <f t="shared" si="3"/>
        <v>78</v>
      </c>
      <c r="L9" s="39">
        <v>66</v>
      </c>
      <c r="M9" s="39">
        <v>36</v>
      </c>
      <c r="N9" s="38">
        <f t="shared" si="4"/>
        <v>102</v>
      </c>
      <c r="O9" s="39">
        <v>43</v>
      </c>
      <c r="P9" s="39">
        <v>33</v>
      </c>
      <c r="Q9" s="38">
        <f t="shared" si="5"/>
        <v>76</v>
      </c>
      <c r="R9" s="39" t="s">
        <v>8</v>
      </c>
      <c r="S9" s="39">
        <v>33</v>
      </c>
      <c r="T9" s="38">
        <f t="shared" si="6"/>
        <v>33</v>
      </c>
      <c r="U9" s="39">
        <v>13</v>
      </c>
      <c r="V9" s="39">
        <v>12</v>
      </c>
      <c r="W9" s="38">
        <f t="shared" si="7"/>
        <v>25</v>
      </c>
      <c r="X9" s="37" t="s">
        <v>61</v>
      </c>
      <c r="Y9" s="37" t="s">
        <v>61</v>
      </c>
      <c r="Z9" s="38" t="s">
        <v>61</v>
      </c>
      <c r="AA9" s="37" t="s">
        <v>61</v>
      </c>
      <c r="AB9" s="37" t="s">
        <v>61</v>
      </c>
      <c r="AC9" s="38" t="s">
        <v>61</v>
      </c>
      <c r="AD9" s="37" t="s">
        <v>61</v>
      </c>
      <c r="AE9" s="37" t="s">
        <v>61</v>
      </c>
      <c r="AF9" s="38" t="s">
        <v>61</v>
      </c>
      <c r="AG9" s="39">
        <v>23</v>
      </c>
      <c r="AH9" s="39">
        <v>13</v>
      </c>
      <c r="AI9" s="38">
        <f t="shared" si="8"/>
        <v>36</v>
      </c>
      <c r="AJ9" s="39">
        <v>24</v>
      </c>
      <c r="AK9" s="39">
        <v>16</v>
      </c>
      <c r="AL9" s="38">
        <f t="shared" si="9"/>
        <v>40</v>
      </c>
      <c r="AM9" s="39">
        <v>25</v>
      </c>
      <c r="AN9" s="39">
        <v>18</v>
      </c>
      <c r="AO9" s="38">
        <f t="shared" si="10"/>
        <v>43</v>
      </c>
      <c r="AP9" s="39">
        <v>25</v>
      </c>
      <c r="AQ9" s="39">
        <v>17</v>
      </c>
      <c r="AR9" s="38">
        <f t="shared" si="11"/>
        <v>42</v>
      </c>
      <c r="AV9">
        <f t="shared" ca="1" si="12"/>
        <v>131.5</v>
      </c>
      <c r="AW9">
        <f t="shared" ca="1" si="0"/>
        <v>20</v>
      </c>
      <c r="AX9">
        <f t="shared" ca="1" si="1"/>
        <v>0</v>
      </c>
      <c r="AY9">
        <f t="shared" ca="1" si="13"/>
        <v>5.479166666666667</v>
      </c>
      <c r="BC9" t="str">
        <f t="shared" si="14"/>
        <v>I</v>
      </c>
      <c r="BD9">
        <f t="shared" si="15"/>
        <v>14</v>
      </c>
    </row>
    <row r="10" spans="1:56" ht="16" x14ac:dyDescent="0.2">
      <c r="A10">
        <v>5</v>
      </c>
      <c r="B10" s="1">
        <v>250090600005</v>
      </c>
      <c r="C10" s="1" t="s">
        <v>265</v>
      </c>
      <c r="D10" s="1" t="s">
        <v>266</v>
      </c>
      <c r="E10" t="s">
        <v>267</v>
      </c>
      <c r="F10" s="39">
        <v>58</v>
      </c>
      <c r="G10" s="39">
        <v>38</v>
      </c>
      <c r="H10" s="38">
        <f t="shared" si="2"/>
        <v>96</v>
      </c>
      <c r="I10" s="39">
        <v>49</v>
      </c>
      <c r="J10" s="39">
        <v>37</v>
      </c>
      <c r="K10" s="38">
        <f t="shared" si="3"/>
        <v>86</v>
      </c>
      <c r="L10" s="39">
        <v>77</v>
      </c>
      <c r="M10" s="39">
        <v>44</v>
      </c>
      <c r="N10" s="38">
        <f t="shared" si="4"/>
        <v>121</v>
      </c>
      <c r="O10" s="39">
        <v>40</v>
      </c>
      <c r="P10" s="39">
        <v>34</v>
      </c>
      <c r="Q10" s="38">
        <f t="shared" si="5"/>
        <v>74</v>
      </c>
      <c r="R10" s="39">
        <v>63</v>
      </c>
      <c r="S10" s="39">
        <v>32</v>
      </c>
      <c r="T10" s="38">
        <f t="shared" si="6"/>
        <v>95</v>
      </c>
      <c r="U10" s="39">
        <v>19</v>
      </c>
      <c r="V10" s="39">
        <v>15</v>
      </c>
      <c r="W10" s="38">
        <f t="shared" si="7"/>
        <v>34</v>
      </c>
      <c r="X10" s="37" t="s">
        <v>61</v>
      </c>
      <c r="Y10" s="37" t="s">
        <v>61</v>
      </c>
      <c r="Z10" s="38" t="s">
        <v>61</v>
      </c>
      <c r="AA10" s="37" t="s">
        <v>61</v>
      </c>
      <c r="AB10" s="37" t="s">
        <v>61</v>
      </c>
      <c r="AC10" s="38" t="s">
        <v>61</v>
      </c>
      <c r="AD10" s="37" t="s">
        <v>61</v>
      </c>
      <c r="AE10" s="37" t="s">
        <v>61</v>
      </c>
      <c r="AF10" s="38" t="s">
        <v>61</v>
      </c>
      <c r="AG10" s="39">
        <v>25</v>
      </c>
      <c r="AH10" s="39">
        <v>15</v>
      </c>
      <c r="AI10" s="38">
        <f t="shared" si="8"/>
        <v>40</v>
      </c>
      <c r="AJ10" s="39">
        <v>27</v>
      </c>
      <c r="AK10" s="39">
        <v>18</v>
      </c>
      <c r="AL10" s="38">
        <f t="shared" si="9"/>
        <v>45</v>
      </c>
      <c r="AM10" s="39">
        <v>23</v>
      </c>
      <c r="AN10" s="39">
        <v>17</v>
      </c>
      <c r="AO10" s="38">
        <f t="shared" si="10"/>
        <v>40</v>
      </c>
      <c r="AP10" s="39">
        <v>24</v>
      </c>
      <c r="AQ10" s="39">
        <v>16</v>
      </c>
      <c r="AR10" s="38">
        <f t="shared" si="11"/>
        <v>40</v>
      </c>
      <c r="AV10">
        <f t="shared" ca="1" si="12"/>
        <v>165</v>
      </c>
      <c r="AW10">
        <f t="shared" ca="1" si="0"/>
        <v>24</v>
      </c>
      <c r="AX10">
        <f t="shared" ca="1" si="1"/>
        <v>0</v>
      </c>
      <c r="AY10">
        <f t="shared" ca="1" si="13"/>
        <v>6.875</v>
      </c>
      <c r="BC10" t="str">
        <f t="shared" si="14"/>
        <v>I</v>
      </c>
      <c r="BD10">
        <f t="shared" si="15"/>
        <v>14</v>
      </c>
    </row>
    <row r="11" spans="1:56" ht="16" x14ac:dyDescent="0.2">
      <c r="A11">
        <v>6</v>
      </c>
      <c r="B11" s="1">
        <v>250090600006</v>
      </c>
      <c r="C11" s="1" t="s">
        <v>268</v>
      </c>
      <c r="D11" s="1" t="s">
        <v>269</v>
      </c>
      <c r="E11" t="s">
        <v>270</v>
      </c>
      <c r="F11" s="39">
        <v>47</v>
      </c>
      <c r="G11" s="39">
        <v>35</v>
      </c>
      <c r="H11" s="38">
        <f t="shared" si="2"/>
        <v>82</v>
      </c>
      <c r="I11" s="39">
        <v>64</v>
      </c>
      <c r="J11" s="39">
        <v>42</v>
      </c>
      <c r="K11" s="38">
        <f t="shared" si="3"/>
        <v>106</v>
      </c>
      <c r="L11" s="39">
        <v>69</v>
      </c>
      <c r="M11" s="39">
        <v>43</v>
      </c>
      <c r="N11" s="38">
        <f t="shared" si="4"/>
        <v>112</v>
      </c>
      <c r="O11" s="39">
        <v>46</v>
      </c>
      <c r="P11" s="39">
        <v>39</v>
      </c>
      <c r="Q11" s="38">
        <f t="shared" si="5"/>
        <v>85</v>
      </c>
      <c r="R11" s="39">
        <v>85</v>
      </c>
      <c r="S11" s="39">
        <v>35</v>
      </c>
      <c r="T11" s="38">
        <f t="shared" si="6"/>
        <v>120</v>
      </c>
      <c r="U11" s="39">
        <v>23</v>
      </c>
      <c r="V11" s="39">
        <v>11</v>
      </c>
      <c r="W11" s="38">
        <f t="shared" si="7"/>
        <v>34</v>
      </c>
      <c r="X11" s="37" t="s">
        <v>61</v>
      </c>
      <c r="Y11" s="37" t="s">
        <v>61</v>
      </c>
      <c r="Z11" s="38" t="s">
        <v>61</v>
      </c>
      <c r="AA11" s="37" t="s">
        <v>61</v>
      </c>
      <c r="AB11" s="37" t="s">
        <v>61</v>
      </c>
      <c r="AC11" s="38" t="s">
        <v>61</v>
      </c>
      <c r="AD11" s="37" t="s">
        <v>61</v>
      </c>
      <c r="AE11" s="37" t="s">
        <v>61</v>
      </c>
      <c r="AF11" s="38" t="s">
        <v>61</v>
      </c>
      <c r="AG11" s="39">
        <v>27</v>
      </c>
      <c r="AH11" s="39">
        <v>17</v>
      </c>
      <c r="AI11" s="38">
        <f t="shared" si="8"/>
        <v>44</v>
      </c>
      <c r="AJ11" s="39">
        <v>27</v>
      </c>
      <c r="AK11" s="39">
        <v>18</v>
      </c>
      <c r="AL11" s="38">
        <f t="shared" si="9"/>
        <v>45</v>
      </c>
      <c r="AM11" s="39">
        <v>25</v>
      </c>
      <c r="AN11" s="39">
        <v>18</v>
      </c>
      <c r="AO11" s="38">
        <f t="shared" si="10"/>
        <v>43</v>
      </c>
      <c r="AP11" s="39">
        <v>26</v>
      </c>
      <c r="AQ11" s="39">
        <v>18</v>
      </c>
      <c r="AR11" s="38">
        <f t="shared" si="11"/>
        <v>44</v>
      </c>
      <c r="AV11">
        <f t="shared" ca="1" si="12"/>
        <v>176.5</v>
      </c>
      <c r="AW11">
        <f t="shared" ca="1" si="0"/>
        <v>24</v>
      </c>
      <c r="AX11">
        <f t="shared" ca="1" si="1"/>
        <v>0</v>
      </c>
      <c r="AY11">
        <f t="shared" ca="1" si="13"/>
        <v>7.354166666666667</v>
      </c>
      <c r="BC11" t="str">
        <f t="shared" si="14"/>
        <v>I</v>
      </c>
      <c r="BD11">
        <f t="shared" si="15"/>
        <v>14</v>
      </c>
    </row>
    <row r="12" spans="1:56" ht="16" x14ac:dyDescent="0.2">
      <c r="A12">
        <v>7</v>
      </c>
      <c r="B12" s="1">
        <v>250090600007</v>
      </c>
      <c r="C12" s="1" t="s">
        <v>271</v>
      </c>
      <c r="D12" s="1" t="s">
        <v>272</v>
      </c>
      <c r="E12" t="s">
        <v>273</v>
      </c>
      <c r="F12" s="39">
        <v>40</v>
      </c>
      <c r="G12" s="39">
        <v>44</v>
      </c>
      <c r="H12" s="38">
        <f t="shared" si="2"/>
        <v>84</v>
      </c>
      <c r="I12" s="39">
        <v>37</v>
      </c>
      <c r="J12" s="39">
        <v>37</v>
      </c>
      <c r="K12" s="38">
        <f t="shared" si="3"/>
        <v>74</v>
      </c>
      <c r="L12" s="39">
        <v>52</v>
      </c>
      <c r="M12" s="39">
        <v>36</v>
      </c>
      <c r="N12" s="38">
        <f t="shared" si="4"/>
        <v>88</v>
      </c>
      <c r="O12" s="39">
        <v>42</v>
      </c>
      <c r="P12" s="39">
        <v>43</v>
      </c>
      <c r="Q12" s="38">
        <f t="shared" si="5"/>
        <v>85</v>
      </c>
      <c r="R12" s="39">
        <v>62</v>
      </c>
      <c r="S12" s="39">
        <v>36</v>
      </c>
      <c r="T12" s="38">
        <f t="shared" si="6"/>
        <v>98</v>
      </c>
      <c r="U12" s="39">
        <v>14</v>
      </c>
      <c r="V12" s="39">
        <v>12</v>
      </c>
      <c r="W12" s="38">
        <f t="shared" si="7"/>
        <v>26</v>
      </c>
      <c r="X12" s="37" t="s">
        <v>61</v>
      </c>
      <c r="Y12" s="37" t="s">
        <v>61</v>
      </c>
      <c r="Z12" s="38" t="s">
        <v>61</v>
      </c>
      <c r="AA12" s="37" t="s">
        <v>61</v>
      </c>
      <c r="AB12" s="37" t="s">
        <v>61</v>
      </c>
      <c r="AC12" s="38" t="s">
        <v>61</v>
      </c>
      <c r="AD12" s="37" t="s">
        <v>61</v>
      </c>
      <c r="AE12" s="37" t="s">
        <v>61</v>
      </c>
      <c r="AF12" s="38" t="s">
        <v>61</v>
      </c>
      <c r="AG12" s="39">
        <v>25</v>
      </c>
      <c r="AH12" s="39">
        <v>15</v>
      </c>
      <c r="AI12" s="38">
        <f t="shared" si="8"/>
        <v>40</v>
      </c>
      <c r="AJ12" s="39">
        <v>24</v>
      </c>
      <c r="AK12" s="39">
        <v>16</v>
      </c>
      <c r="AL12" s="38">
        <f t="shared" si="9"/>
        <v>40</v>
      </c>
      <c r="AM12" s="39">
        <v>27</v>
      </c>
      <c r="AN12" s="39">
        <v>18</v>
      </c>
      <c r="AO12" s="38">
        <f t="shared" si="10"/>
        <v>45</v>
      </c>
      <c r="AP12" s="39">
        <v>25</v>
      </c>
      <c r="AQ12" s="39">
        <v>16</v>
      </c>
      <c r="AR12" s="38">
        <f t="shared" si="11"/>
        <v>41</v>
      </c>
      <c r="AV12">
        <f t="shared" ca="1" si="12"/>
        <v>155</v>
      </c>
      <c r="AW12">
        <f t="shared" ca="1" si="0"/>
        <v>24</v>
      </c>
      <c r="AX12">
        <f t="shared" ca="1" si="1"/>
        <v>0</v>
      </c>
      <c r="AY12">
        <f t="shared" ca="1" si="13"/>
        <v>6.458333333333333</v>
      </c>
      <c r="BC12" t="str">
        <f t="shared" si="14"/>
        <v>I</v>
      </c>
      <c r="BD12">
        <f t="shared" si="15"/>
        <v>14</v>
      </c>
    </row>
    <row r="13" spans="1:56" ht="16" x14ac:dyDescent="0.2">
      <c r="A13">
        <v>8</v>
      </c>
      <c r="B13" s="1">
        <v>250090600008</v>
      </c>
      <c r="C13" s="1" t="s">
        <v>274</v>
      </c>
      <c r="D13" s="1" t="s">
        <v>275</v>
      </c>
      <c r="E13" t="s">
        <v>276</v>
      </c>
      <c r="F13" s="39">
        <v>81</v>
      </c>
      <c r="G13" s="39">
        <v>49</v>
      </c>
      <c r="H13" s="38">
        <f t="shared" si="2"/>
        <v>130</v>
      </c>
      <c r="I13" s="39">
        <v>88</v>
      </c>
      <c r="J13" s="39">
        <v>48</v>
      </c>
      <c r="K13" s="38">
        <f t="shared" si="3"/>
        <v>136</v>
      </c>
      <c r="L13" s="39">
        <v>98</v>
      </c>
      <c r="M13" s="39">
        <v>50</v>
      </c>
      <c r="N13" s="38">
        <f t="shared" si="4"/>
        <v>148</v>
      </c>
      <c r="O13" s="39">
        <v>89</v>
      </c>
      <c r="P13" s="39">
        <v>50</v>
      </c>
      <c r="Q13" s="38">
        <f t="shared" si="5"/>
        <v>139</v>
      </c>
      <c r="R13" s="39">
        <v>95</v>
      </c>
      <c r="S13" s="39">
        <v>35</v>
      </c>
      <c r="T13" s="38">
        <f t="shared" si="6"/>
        <v>130</v>
      </c>
      <c r="U13" s="39">
        <v>24</v>
      </c>
      <c r="V13" s="39">
        <v>19</v>
      </c>
      <c r="W13" s="38">
        <f t="shared" si="7"/>
        <v>43</v>
      </c>
      <c r="X13" s="37" t="s">
        <v>61</v>
      </c>
      <c r="Y13" s="37" t="s">
        <v>61</v>
      </c>
      <c r="Z13" s="38" t="s">
        <v>61</v>
      </c>
      <c r="AA13" s="37" t="s">
        <v>61</v>
      </c>
      <c r="AB13" s="37" t="s">
        <v>61</v>
      </c>
      <c r="AC13" s="38" t="s">
        <v>61</v>
      </c>
      <c r="AD13" s="37" t="s">
        <v>61</v>
      </c>
      <c r="AE13" s="37" t="s">
        <v>61</v>
      </c>
      <c r="AF13" s="38" t="s">
        <v>61</v>
      </c>
      <c r="AG13" s="39">
        <v>29</v>
      </c>
      <c r="AH13" s="39">
        <v>19</v>
      </c>
      <c r="AI13" s="38">
        <f t="shared" si="8"/>
        <v>48</v>
      </c>
      <c r="AJ13" s="39">
        <v>30</v>
      </c>
      <c r="AK13" s="39">
        <v>20</v>
      </c>
      <c r="AL13" s="38">
        <f t="shared" si="9"/>
        <v>50</v>
      </c>
      <c r="AM13" s="39">
        <v>30</v>
      </c>
      <c r="AN13" s="39">
        <v>20</v>
      </c>
      <c r="AO13" s="38">
        <f t="shared" si="10"/>
        <v>50</v>
      </c>
      <c r="AP13" s="39">
        <v>23</v>
      </c>
      <c r="AQ13" s="39">
        <v>17</v>
      </c>
      <c r="AR13" s="38">
        <f t="shared" si="11"/>
        <v>40</v>
      </c>
      <c r="AV13">
        <f t="shared" ca="1" si="12"/>
        <v>226.5</v>
      </c>
      <c r="AW13">
        <f t="shared" ca="1" si="0"/>
        <v>24</v>
      </c>
      <c r="AX13">
        <f t="shared" ca="1" si="1"/>
        <v>0</v>
      </c>
      <c r="AY13">
        <f t="shared" ca="1" si="13"/>
        <v>9.4375</v>
      </c>
      <c r="BC13" t="str">
        <f t="shared" si="14"/>
        <v>I</v>
      </c>
      <c r="BD13">
        <f t="shared" si="15"/>
        <v>14</v>
      </c>
    </row>
    <row r="14" spans="1:56" x14ac:dyDescent="0.2">
      <c r="A14">
        <v>9</v>
      </c>
      <c r="B14" s="1">
        <v>250090600009</v>
      </c>
      <c r="C14" s="1" t="s">
        <v>277</v>
      </c>
      <c r="D14" s="1" t="s">
        <v>278</v>
      </c>
      <c r="E14" t="s">
        <v>279</v>
      </c>
      <c r="F14" s="39">
        <v>65</v>
      </c>
      <c r="G14" s="39">
        <v>43</v>
      </c>
      <c r="H14" s="38">
        <f t="shared" si="2"/>
        <v>108</v>
      </c>
      <c r="I14" s="39">
        <v>59</v>
      </c>
      <c r="J14" s="39">
        <v>36</v>
      </c>
      <c r="K14" s="38">
        <f t="shared" si="3"/>
        <v>95</v>
      </c>
      <c r="L14" s="39">
        <v>71</v>
      </c>
      <c r="M14" s="39">
        <v>40</v>
      </c>
      <c r="N14" s="38">
        <f t="shared" si="4"/>
        <v>111</v>
      </c>
      <c r="O14" s="39">
        <v>46</v>
      </c>
      <c r="P14" s="39">
        <v>46</v>
      </c>
      <c r="Q14" s="38">
        <f t="shared" si="5"/>
        <v>92</v>
      </c>
      <c r="R14" s="39">
        <v>63</v>
      </c>
      <c r="S14" s="39">
        <v>33</v>
      </c>
      <c r="T14" s="38">
        <f t="shared" si="6"/>
        <v>96</v>
      </c>
      <c r="U14" s="39">
        <v>15</v>
      </c>
      <c r="V14" s="39">
        <v>12</v>
      </c>
      <c r="W14" s="38">
        <f t="shared" si="7"/>
        <v>27</v>
      </c>
      <c r="X14" s="39">
        <v>23</v>
      </c>
      <c r="Y14" s="39">
        <v>15</v>
      </c>
      <c r="Z14" s="38">
        <f>SUM(X14:Y14)</f>
        <v>38</v>
      </c>
      <c r="AA14" s="39">
        <v>18</v>
      </c>
      <c r="AB14" s="39">
        <v>17</v>
      </c>
      <c r="AC14" s="38">
        <f>SUM(AA14:AB14)</f>
        <v>35</v>
      </c>
      <c r="AD14" s="39">
        <v>24</v>
      </c>
      <c r="AE14" s="39">
        <v>16</v>
      </c>
      <c r="AF14" s="38">
        <f>SUM(AD14:AE14)</f>
        <v>40</v>
      </c>
      <c r="AG14" s="39">
        <v>25</v>
      </c>
      <c r="AH14" s="39">
        <v>15</v>
      </c>
      <c r="AI14" s="38">
        <f t="shared" si="8"/>
        <v>40</v>
      </c>
      <c r="AJ14" s="39">
        <v>24</v>
      </c>
      <c r="AK14" s="39">
        <v>16</v>
      </c>
      <c r="AL14" s="38">
        <f t="shared" si="9"/>
        <v>40</v>
      </c>
      <c r="AM14" s="39">
        <v>27</v>
      </c>
      <c r="AN14" s="39">
        <v>19</v>
      </c>
      <c r="AO14" s="38">
        <f t="shared" si="10"/>
        <v>46</v>
      </c>
      <c r="AP14" s="39">
        <v>22</v>
      </c>
      <c r="AQ14" s="39">
        <v>16</v>
      </c>
      <c r="AR14" s="38">
        <f t="shared" si="11"/>
        <v>38</v>
      </c>
      <c r="AV14">
        <f t="shared" ca="1" si="12"/>
        <v>172.5</v>
      </c>
      <c r="AW14">
        <f t="shared" ca="1" si="0"/>
        <v>24</v>
      </c>
      <c r="AX14">
        <f t="shared" ca="1" si="1"/>
        <v>0</v>
      </c>
      <c r="AY14">
        <f t="shared" ca="1" si="13"/>
        <v>7.1875</v>
      </c>
      <c r="BC14" t="str">
        <f t="shared" si="14"/>
        <v>I</v>
      </c>
      <c r="BD14">
        <f t="shared" si="15"/>
        <v>14</v>
      </c>
    </row>
    <row r="15" spans="1:56" ht="16" x14ac:dyDescent="0.2">
      <c r="A15">
        <v>10</v>
      </c>
      <c r="B15" s="1">
        <v>250090600010</v>
      </c>
      <c r="C15" s="1" t="s">
        <v>280</v>
      </c>
      <c r="D15" s="1" t="s">
        <v>281</v>
      </c>
      <c r="E15" t="s">
        <v>282</v>
      </c>
      <c r="F15" s="39">
        <v>53</v>
      </c>
      <c r="G15" s="39">
        <v>37</v>
      </c>
      <c r="H15" s="38">
        <f t="shared" si="2"/>
        <v>90</v>
      </c>
      <c r="I15" s="39">
        <v>64</v>
      </c>
      <c r="J15" s="39">
        <v>38</v>
      </c>
      <c r="K15" s="38">
        <f t="shared" si="3"/>
        <v>102</v>
      </c>
      <c r="L15" s="39">
        <v>76</v>
      </c>
      <c r="M15" s="39">
        <v>42</v>
      </c>
      <c r="N15" s="38">
        <f t="shared" si="4"/>
        <v>118</v>
      </c>
      <c r="O15" s="39">
        <v>52</v>
      </c>
      <c r="P15" s="39">
        <v>44</v>
      </c>
      <c r="Q15" s="38">
        <f t="shared" si="5"/>
        <v>96</v>
      </c>
      <c r="R15" s="39">
        <v>84</v>
      </c>
      <c r="S15" s="39">
        <v>37</v>
      </c>
      <c r="T15" s="38">
        <f t="shared" si="6"/>
        <v>121</v>
      </c>
      <c r="U15" s="39">
        <v>13</v>
      </c>
      <c r="V15" s="39">
        <v>14</v>
      </c>
      <c r="W15" s="38">
        <f t="shared" si="7"/>
        <v>27</v>
      </c>
      <c r="X15" s="37" t="s">
        <v>61</v>
      </c>
      <c r="Y15" s="37" t="s">
        <v>61</v>
      </c>
      <c r="Z15" s="38" t="s">
        <v>61</v>
      </c>
      <c r="AA15" s="37" t="s">
        <v>61</v>
      </c>
      <c r="AB15" s="37" t="s">
        <v>61</v>
      </c>
      <c r="AC15" s="38" t="s">
        <v>61</v>
      </c>
      <c r="AD15" s="37" t="s">
        <v>61</v>
      </c>
      <c r="AE15" s="37" t="s">
        <v>61</v>
      </c>
      <c r="AF15" s="38" t="s">
        <v>61</v>
      </c>
      <c r="AG15" s="39">
        <v>24</v>
      </c>
      <c r="AH15" s="39">
        <v>15</v>
      </c>
      <c r="AI15" s="38">
        <f t="shared" si="8"/>
        <v>39</v>
      </c>
      <c r="AJ15" s="39">
        <v>26</v>
      </c>
      <c r="AK15" s="39">
        <v>17</v>
      </c>
      <c r="AL15" s="38">
        <f t="shared" si="9"/>
        <v>43</v>
      </c>
      <c r="AM15" s="39">
        <v>25</v>
      </c>
      <c r="AN15" s="39">
        <v>19</v>
      </c>
      <c r="AO15" s="38">
        <f t="shared" si="10"/>
        <v>44</v>
      </c>
      <c r="AP15" s="39">
        <v>24</v>
      </c>
      <c r="AQ15" s="39">
        <v>18</v>
      </c>
      <c r="AR15" s="38">
        <f t="shared" si="11"/>
        <v>42</v>
      </c>
      <c r="AV15">
        <f t="shared" ca="1" si="12"/>
        <v>180.5</v>
      </c>
      <c r="AW15">
        <f t="shared" ca="1" si="0"/>
        <v>24</v>
      </c>
      <c r="AX15">
        <f t="shared" ca="1" si="1"/>
        <v>0</v>
      </c>
      <c r="AY15">
        <f t="shared" ca="1" si="13"/>
        <v>7.520833333333333</v>
      </c>
      <c r="BC15" t="str">
        <f t="shared" si="14"/>
        <v>I</v>
      </c>
      <c r="BD15">
        <f t="shared" si="15"/>
        <v>14</v>
      </c>
    </row>
    <row r="16" spans="1:56" ht="16" x14ac:dyDescent="0.2">
      <c r="A16">
        <v>11</v>
      </c>
      <c r="B16" s="1">
        <v>250090600011</v>
      </c>
      <c r="C16" s="1" t="s">
        <v>283</v>
      </c>
      <c r="D16" s="1" t="s">
        <v>284</v>
      </c>
      <c r="E16" t="s">
        <v>285</v>
      </c>
      <c r="F16" s="39">
        <v>53</v>
      </c>
      <c r="G16" s="39">
        <v>38</v>
      </c>
      <c r="H16" s="38">
        <f t="shared" si="2"/>
        <v>91</v>
      </c>
      <c r="I16" s="39">
        <v>66</v>
      </c>
      <c r="J16" s="39">
        <v>38</v>
      </c>
      <c r="K16" s="38">
        <f t="shared" si="3"/>
        <v>104</v>
      </c>
      <c r="L16" s="39">
        <v>67</v>
      </c>
      <c r="M16" s="39">
        <v>50</v>
      </c>
      <c r="N16" s="38">
        <f t="shared" si="4"/>
        <v>117</v>
      </c>
      <c r="O16" s="39">
        <v>55</v>
      </c>
      <c r="P16" s="39">
        <v>41</v>
      </c>
      <c r="Q16" s="38">
        <f t="shared" si="5"/>
        <v>96</v>
      </c>
      <c r="R16" s="39">
        <v>85</v>
      </c>
      <c r="S16" s="39">
        <v>34</v>
      </c>
      <c r="T16" s="38">
        <f t="shared" si="6"/>
        <v>119</v>
      </c>
      <c r="U16" s="39">
        <v>16</v>
      </c>
      <c r="V16" s="39">
        <v>14</v>
      </c>
      <c r="W16" s="38">
        <f t="shared" si="7"/>
        <v>30</v>
      </c>
      <c r="X16" s="37" t="s">
        <v>61</v>
      </c>
      <c r="Y16" s="37" t="s">
        <v>61</v>
      </c>
      <c r="Z16" s="38" t="s">
        <v>61</v>
      </c>
      <c r="AA16" s="37" t="s">
        <v>61</v>
      </c>
      <c r="AB16" s="37" t="s">
        <v>61</v>
      </c>
      <c r="AC16" s="38" t="s">
        <v>61</v>
      </c>
      <c r="AD16" s="37" t="s">
        <v>61</v>
      </c>
      <c r="AE16" s="37" t="s">
        <v>61</v>
      </c>
      <c r="AF16" s="38" t="s">
        <v>61</v>
      </c>
      <c r="AG16" s="39">
        <v>25</v>
      </c>
      <c r="AH16" s="39">
        <v>15</v>
      </c>
      <c r="AI16" s="38">
        <f t="shared" si="8"/>
        <v>40</v>
      </c>
      <c r="AJ16" s="39">
        <v>30</v>
      </c>
      <c r="AK16" s="39">
        <v>20</v>
      </c>
      <c r="AL16" s="38">
        <f t="shared" si="9"/>
        <v>50</v>
      </c>
      <c r="AM16" s="39">
        <v>25</v>
      </c>
      <c r="AN16" s="39">
        <v>19</v>
      </c>
      <c r="AO16" s="38">
        <f t="shared" si="10"/>
        <v>44</v>
      </c>
      <c r="AP16" s="39">
        <v>25</v>
      </c>
      <c r="AQ16" s="39">
        <v>17</v>
      </c>
      <c r="AR16" s="38">
        <f t="shared" si="11"/>
        <v>42</v>
      </c>
      <c r="AV16">
        <f t="shared" ca="1" si="12"/>
        <v>180</v>
      </c>
      <c r="AW16">
        <f t="shared" ca="1" si="0"/>
        <v>24</v>
      </c>
      <c r="AX16">
        <f t="shared" ca="1" si="1"/>
        <v>0</v>
      </c>
      <c r="AY16">
        <f t="shared" ca="1" si="13"/>
        <v>7.5</v>
      </c>
      <c r="BC16" t="str">
        <f t="shared" si="14"/>
        <v>I</v>
      </c>
      <c r="BD16">
        <f t="shared" si="15"/>
        <v>14</v>
      </c>
    </row>
    <row r="17" spans="1:56" ht="16" x14ac:dyDescent="0.2">
      <c r="A17">
        <v>12</v>
      </c>
      <c r="B17" s="1">
        <v>250090600012</v>
      </c>
      <c r="C17" s="1" t="s">
        <v>286</v>
      </c>
      <c r="D17" s="1" t="s">
        <v>287</v>
      </c>
      <c r="E17" t="s">
        <v>288</v>
      </c>
      <c r="F17" s="39">
        <v>65</v>
      </c>
      <c r="G17" s="39">
        <v>46</v>
      </c>
      <c r="H17" s="38">
        <f t="shared" si="2"/>
        <v>111</v>
      </c>
      <c r="I17" s="39">
        <v>59</v>
      </c>
      <c r="J17" s="39">
        <v>44</v>
      </c>
      <c r="K17" s="38">
        <f t="shared" si="3"/>
        <v>103</v>
      </c>
      <c r="L17" s="39">
        <v>79</v>
      </c>
      <c r="M17" s="39">
        <v>46</v>
      </c>
      <c r="N17" s="38">
        <f t="shared" si="4"/>
        <v>125</v>
      </c>
      <c r="O17" s="39">
        <v>60</v>
      </c>
      <c r="P17" s="39">
        <v>41</v>
      </c>
      <c r="Q17" s="38">
        <f t="shared" si="5"/>
        <v>101</v>
      </c>
      <c r="R17" s="39">
        <v>83</v>
      </c>
      <c r="S17" s="39">
        <v>36</v>
      </c>
      <c r="T17" s="38">
        <f t="shared" si="6"/>
        <v>119</v>
      </c>
      <c r="U17" s="39">
        <v>22</v>
      </c>
      <c r="V17" s="39">
        <v>15</v>
      </c>
      <c r="W17" s="38">
        <f t="shared" si="7"/>
        <v>37</v>
      </c>
      <c r="X17" s="37" t="s">
        <v>61</v>
      </c>
      <c r="Y17" s="37" t="s">
        <v>61</v>
      </c>
      <c r="Z17" s="38" t="s">
        <v>61</v>
      </c>
      <c r="AA17" s="37" t="s">
        <v>61</v>
      </c>
      <c r="AB17" s="37" t="s">
        <v>61</v>
      </c>
      <c r="AC17" s="38" t="s">
        <v>61</v>
      </c>
      <c r="AD17" s="37" t="s">
        <v>61</v>
      </c>
      <c r="AE17" s="37" t="s">
        <v>61</v>
      </c>
      <c r="AF17" s="38" t="s">
        <v>61</v>
      </c>
      <c r="AG17" s="39">
        <v>28</v>
      </c>
      <c r="AH17" s="40">
        <v>18</v>
      </c>
      <c r="AI17" s="38">
        <f t="shared" si="8"/>
        <v>46</v>
      </c>
      <c r="AJ17" s="39">
        <v>27</v>
      </c>
      <c r="AK17" s="39">
        <v>18</v>
      </c>
      <c r="AL17" s="38">
        <f t="shared" si="9"/>
        <v>45</v>
      </c>
      <c r="AM17" s="39">
        <v>25</v>
      </c>
      <c r="AN17" s="40">
        <v>19</v>
      </c>
      <c r="AO17" s="38">
        <f t="shared" si="10"/>
        <v>44</v>
      </c>
      <c r="AP17" s="39">
        <v>26</v>
      </c>
      <c r="AQ17" s="40">
        <v>17</v>
      </c>
      <c r="AR17" s="38">
        <f t="shared" si="11"/>
        <v>43</v>
      </c>
      <c r="AV17">
        <f t="shared" ca="1" si="12"/>
        <v>189</v>
      </c>
      <c r="AW17">
        <f t="shared" ca="1" si="0"/>
        <v>24</v>
      </c>
      <c r="AX17">
        <f t="shared" ca="1" si="1"/>
        <v>0</v>
      </c>
      <c r="AY17">
        <f t="shared" ca="1" si="13"/>
        <v>7.875</v>
      </c>
      <c r="BC17" t="str">
        <f t="shared" si="14"/>
        <v>I</v>
      </c>
      <c r="BD17">
        <f t="shared" si="15"/>
        <v>14</v>
      </c>
    </row>
    <row r="18" spans="1:56" ht="16" x14ac:dyDescent="0.2">
      <c r="A18">
        <v>13</v>
      </c>
      <c r="B18" s="1">
        <v>250090600013</v>
      </c>
      <c r="C18" s="1" t="s">
        <v>289</v>
      </c>
      <c r="D18" s="1" t="s">
        <v>290</v>
      </c>
      <c r="E18" t="s">
        <v>291</v>
      </c>
      <c r="F18" s="39">
        <v>41</v>
      </c>
      <c r="G18" s="39">
        <v>36</v>
      </c>
      <c r="H18" s="38">
        <f t="shared" si="2"/>
        <v>77</v>
      </c>
      <c r="I18" s="39">
        <v>41</v>
      </c>
      <c r="J18" s="39">
        <v>28</v>
      </c>
      <c r="K18" s="38">
        <f t="shared" si="3"/>
        <v>69</v>
      </c>
      <c r="L18" s="39">
        <v>57</v>
      </c>
      <c r="M18" s="39">
        <v>35</v>
      </c>
      <c r="N18" s="38">
        <f t="shared" si="4"/>
        <v>92</v>
      </c>
      <c r="O18" s="39">
        <v>26</v>
      </c>
      <c r="P18" s="39">
        <v>31</v>
      </c>
      <c r="Q18" s="38">
        <f t="shared" si="5"/>
        <v>57</v>
      </c>
      <c r="R18" s="39">
        <v>51</v>
      </c>
      <c r="S18" s="39">
        <v>34</v>
      </c>
      <c r="T18" s="38">
        <f t="shared" si="6"/>
        <v>85</v>
      </c>
      <c r="U18" s="39">
        <v>17</v>
      </c>
      <c r="V18" s="39">
        <v>12</v>
      </c>
      <c r="W18" s="38">
        <f t="shared" si="7"/>
        <v>29</v>
      </c>
      <c r="X18" s="37" t="s">
        <v>61</v>
      </c>
      <c r="Y18" s="37" t="s">
        <v>61</v>
      </c>
      <c r="Z18" s="38" t="s">
        <v>61</v>
      </c>
      <c r="AA18" s="37" t="s">
        <v>61</v>
      </c>
      <c r="AB18" s="37" t="s">
        <v>61</v>
      </c>
      <c r="AC18" s="38" t="s">
        <v>61</v>
      </c>
      <c r="AD18" s="37" t="s">
        <v>61</v>
      </c>
      <c r="AE18" s="37" t="s">
        <v>61</v>
      </c>
      <c r="AF18" s="38" t="s">
        <v>61</v>
      </c>
      <c r="AG18" s="39">
        <v>23</v>
      </c>
      <c r="AH18" s="39">
        <v>13</v>
      </c>
      <c r="AI18" s="38">
        <f t="shared" si="8"/>
        <v>36</v>
      </c>
      <c r="AJ18" s="39">
        <v>24</v>
      </c>
      <c r="AK18" s="39">
        <v>16</v>
      </c>
      <c r="AL18" s="38">
        <f t="shared" si="9"/>
        <v>40</v>
      </c>
      <c r="AM18" s="39">
        <v>27</v>
      </c>
      <c r="AN18" s="39">
        <v>18</v>
      </c>
      <c r="AO18" s="38">
        <f t="shared" si="10"/>
        <v>45</v>
      </c>
      <c r="AP18" s="39">
        <v>25</v>
      </c>
      <c r="AQ18" s="39">
        <v>16</v>
      </c>
      <c r="AR18" s="38">
        <f t="shared" si="11"/>
        <v>41</v>
      </c>
      <c r="AV18">
        <f t="shared" ca="1" si="12"/>
        <v>144</v>
      </c>
      <c r="AW18">
        <f t="shared" ca="1" si="0"/>
        <v>24</v>
      </c>
      <c r="AX18">
        <f t="shared" ca="1" si="1"/>
        <v>4</v>
      </c>
      <c r="AY18">
        <f t="shared" ca="1" si="13"/>
        <v>6</v>
      </c>
      <c r="BC18" t="str">
        <f t="shared" si="14"/>
        <v>I</v>
      </c>
      <c r="BD18">
        <f t="shared" si="15"/>
        <v>14</v>
      </c>
    </row>
    <row r="19" spans="1:56" ht="16" x14ac:dyDescent="0.2">
      <c r="A19">
        <v>14</v>
      </c>
      <c r="B19" s="1">
        <v>250090600014</v>
      </c>
      <c r="C19" s="1" t="s">
        <v>292</v>
      </c>
      <c r="D19" s="1" t="s">
        <v>293</v>
      </c>
      <c r="E19" t="s">
        <v>294</v>
      </c>
      <c r="F19" s="39">
        <v>35</v>
      </c>
      <c r="G19" s="39">
        <v>33</v>
      </c>
      <c r="H19" s="38">
        <f t="shared" si="2"/>
        <v>68</v>
      </c>
      <c r="I19" s="39">
        <v>58</v>
      </c>
      <c r="J19" s="39">
        <v>35</v>
      </c>
      <c r="K19" s="38">
        <f t="shared" si="3"/>
        <v>93</v>
      </c>
      <c r="L19" s="39">
        <v>74</v>
      </c>
      <c r="M19" s="39">
        <v>39</v>
      </c>
      <c r="N19" s="38">
        <f t="shared" si="4"/>
        <v>113</v>
      </c>
      <c r="O19" s="39">
        <v>35</v>
      </c>
      <c r="P19" s="39">
        <v>47</v>
      </c>
      <c r="Q19" s="38">
        <f t="shared" si="5"/>
        <v>82</v>
      </c>
      <c r="R19" s="39">
        <v>61</v>
      </c>
      <c r="S19" s="39">
        <v>32</v>
      </c>
      <c r="T19" s="38">
        <f t="shared" si="6"/>
        <v>93</v>
      </c>
      <c r="U19" s="39">
        <v>14</v>
      </c>
      <c r="V19" s="39">
        <v>12</v>
      </c>
      <c r="W19" s="38">
        <f t="shared" si="7"/>
        <v>26</v>
      </c>
      <c r="X19" s="37" t="s">
        <v>61</v>
      </c>
      <c r="Y19" s="37" t="s">
        <v>61</v>
      </c>
      <c r="Z19" s="38" t="s">
        <v>61</v>
      </c>
      <c r="AA19" s="37" t="s">
        <v>61</v>
      </c>
      <c r="AB19" s="37" t="s">
        <v>61</v>
      </c>
      <c r="AC19" s="38" t="s">
        <v>61</v>
      </c>
      <c r="AD19" s="37" t="s">
        <v>61</v>
      </c>
      <c r="AE19" s="37" t="s">
        <v>61</v>
      </c>
      <c r="AF19" s="38" t="s">
        <v>61</v>
      </c>
      <c r="AG19" s="39">
        <v>24</v>
      </c>
      <c r="AH19" s="39">
        <v>14</v>
      </c>
      <c r="AI19" s="38">
        <f t="shared" si="8"/>
        <v>38</v>
      </c>
      <c r="AJ19" s="39">
        <v>24</v>
      </c>
      <c r="AK19" s="39">
        <v>16</v>
      </c>
      <c r="AL19" s="38">
        <f t="shared" si="9"/>
        <v>40</v>
      </c>
      <c r="AM19" s="39">
        <v>23</v>
      </c>
      <c r="AN19" s="39">
        <v>19</v>
      </c>
      <c r="AO19" s="38">
        <f t="shared" si="10"/>
        <v>42</v>
      </c>
      <c r="AP19" s="39">
        <v>23</v>
      </c>
      <c r="AQ19" s="39">
        <v>17</v>
      </c>
      <c r="AR19" s="38">
        <f t="shared" si="11"/>
        <v>40</v>
      </c>
      <c r="AV19">
        <f t="shared" ca="1" si="12"/>
        <v>159.5</v>
      </c>
      <c r="AW19">
        <f t="shared" ca="1" si="0"/>
        <v>24</v>
      </c>
      <c r="AX19">
        <f t="shared" ca="1" si="1"/>
        <v>0</v>
      </c>
      <c r="AY19">
        <f t="shared" ca="1" si="13"/>
        <v>6.645833333333333</v>
      </c>
      <c r="BC19" t="str">
        <f t="shared" si="14"/>
        <v>I</v>
      </c>
      <c r="BD19">
        <f t="shared" si="15"/>
        <v>14</v>
      </c>
    </row>
    <row r="20" spans="1:56" ht="16" x14ac:dyDescent="0.2">
      <c r="A20">
        <v>15</v>
      </c>
      <c r="B20" s="1">
        <v>250090600015</v>
      </c>
      <c r="C20" s="1" t="s">
        <v>295</v>
      </c>
      <c r="D20" s="1" t="s">
        <v>296</v>
      </c>
      <c r="E20" t="s">
        <v>297</v>
      </c>
      <c r="F20" s="39">
        <v>36</v>
      </c>
      <c r="G20" s="39">
        <v>32</v>
      </c>
      <c r="H20" s="38">
        <f t="shared" si="2"/>
        <v>68</v>
      </c>
      <c r="I20" s="39">
        <v>35</v>
      </c>
      <c r="J20" s="39">
        <v>33</v>
      </c>
      <c r="K20" s="38">
        <f t="shared" si="3"/>
        <v>68</v>
      </c>
      <c r="L20" s="39">
        <v>50</v>
      </c>
      <c r="M20" s="39">
        <v>36</v>
      </c>
      <c r="N20" s="38">
        <f t="shared" si="4"/>
        <v>86</v>
      </c>
      <c r="O20" s="39">
        <v>27</v>
      </c>
      <c r="P20" s="39">
        <v>30</v>
      </c>
      <c r="Q20" s="38">
        <f t="shared" si="5"/>
        <v>57</v>
      </c>
      <c r="R20" s="39">
        <v>55</v>
      </c>
      <c r="S20" s="39">
        <v>31</v>
      </c>
      <c r="T20" s="38">
        <f t="shared" si="6"/>
        <v>86</v>
      </c>
      <c r="U20" s="39">
        <v>14</v>
      </c>
      <c r="V20" s="39">
        <v>13</v>
      </c>
      <c r="W20" s="38">
        <f t="shared" si="7"/>
        <v>27</v>
      </c>
      <c r="X20" s="37" t="s">
        <v>61</v>
      </c>
      <c r="Y20" s="37" t="s">
        <v>61</v>
      </c>
      <c r="Z20" s="38" t="s">
        <v>61</v>
      </c>
      <c r="AA20" s="37" t="s">
        <v>61</v>
      </c>
      <c r="AB20" s="37" t="s">
        <v>61</v>
      </c>
      <c r="AC20" s="38" t="s">
        <v>61</v>
      </c>
      <c r="AD20" s="37" t="s">
        <v>61</v>
      </c>
      <c r="AE20" s="37" t="s">
        <v>61</v>
      </c>
      <c r="AF20" s="38" t="s">
        <v>61</v>
      </c>
      <c r="AG20" s="39">
        <v>23</v>
      </c>
      <c r="AH20" s="39">
        <v>13</v>
      </c>
      <c r="AI20" s="38">
        <f t="shared" si="8"/>
        <v>36</v>
      </c>
      <c r="AJ20" s="39">
        <v>24</v>
      </c>
      <c r="AK20" s="39">
        <v>16</v>
      </c>
      <c r="AL20" s="38">
        <f t="shared" si="9"/>
        <v>40</v>
      </c>
      <c r="AM20" s="39">
        <v>23</v>
      </c>
      <c r="AN20" s="39">
        <v>16</v>
      </c>
      <c r="AO20" s="38">
        <f t="shared" si="10"/>
        <v>39</v>
      </c>
      <c r="AP20" s="39">
        <v>25</v>
      </c>
      <c r="AQ20" s="39">
        <v>17</v>
      </c>
      <c r="AR20" s="38">
        <f t="shared" si="11"/>
        <v>42</v>
      </c>
      <c r="AV20">
        <f t="shared" ca="1" si="12"/>
        <v>138.5</v>
      </c>
      <c r="AW20">
        <f t="shared" ca="1" si="0"/>
        <v>24</v>
      </c>
      <c r="AX20">
        <f t="shared" ca="1" si="1"/>
        <v>3</v>
      </c>
      <c r="AY20">
        <f t="shared" ca="1" si="13"/>
        <v>5.770833333333333</v>
      </c>
      <c r="BC20" t="str">
        <f t="shared" si="14"/>
        <v>I</v>
      </c>
      <c r="BD20">
        <f t="shared" si="15"/>
        <v>14</v>
      </c>
    </row>
    <row r="21" spans="1:56" ht="16" x14ac:dyDescent="0.2">
      <c r="A21">
        <v>16</v>
      </c>
      <c r="B21" s="1">
        <v>250090600016</v>
      </c>
      <c r="C21" s="1" t="s">
        <v>298</v>
      </c>
      <c r="D21" s="1" t="s">
        <v>299</v>
      </c>
      <c r="E21" t="s">
        <v>300</v>
      </c>
      <c r="F21" s="39">
        <v>80</v>
      </c>
      <c r="G21" s="39">
        <v>42</v>
      </c>
      <c r="H21" s="38">
        <f t="shared" si="2"/>
        <v>122</v>
      </c>
      <c r="I21" s="39">
        <v>57</v>
      </c>
      <c r="J21" s="39">
        <v>39</v>
      </c>
      <c r="K21" s="38">
        <f t="shared" si="3"/>
        <v>96</v>
      </c>
      <c r="L21" s="39">
        <v>79</v>
      </c>
      <c r="M21" s="39">
        <v>45</v>
      </c>
      <c r="N21" s="38">
        <f t="shared" si="4"/>
        <v>124</v>
      </c>
      <c r="O21" s="39">
        <v>75</v>
      </c>
      <c r="P21" s="39">
        <v>49</v>
      </c>
      <c r="Q21" s="38">
        <f t="shared" si="5"/>
        <v>124</v>
      </c>
      <c r="R21" s="39">
        <v>83</v>
      </c>
      <c r="S21" s="39">
        <v>49</v>
      </c>
      <c r="T21" s="38">
        <f t="shared" si="6"/>
        <v>132</v>
      </c>
      <c r="U21" s="39">
        <v>17</v>
      </c>
      <c r="V21" s="39">
        <v>15</v>
      </c>
      <c r="W21" s="38">
        <f t="shared" si="7"/>
        <v>32</v>
      </c>
      <c r="X21" s="37" t="s">
        <v>61</v>
      </c>
      <c r="Y21" s="37" t="s">
        <v>61</v>
      </c>
      <c r="Z21" s="38" t="s">
        <v>61</v>
      </c>
      <c r="AA21" s="37" t="s">
        <v>61</v>
      </c>
      <c r="AB21" s="37" t="s">
        <v>61</v>
      </c>
      <c r="AC21" s="38" t="s">
        <v>61</v>
      </c>
      <c r="AD21" s="37" t="s">
        <v>61</v>
      </c>
      <c r="AE21" s="37" t="s">
        <v>61</v>
      </c>
      <c r="AF21" s="38" t="s">
        <v>61</v>
      </c>
      <c r="AG21" s="39">
        <v>26</v>
      </c>
      <c r="AH21" s="39">
        <v>16</v>
      </c>
      <c r="AI21" s="38">
        <f t="shared" si="8"/>
        <v>42</v>
      </c>
      <c r="AJ21" s="39">
        <v>27</v>
      </c>
      <c r="AK21" s="39">
        <v>18</v>
      </c>
      <c r="AL21" s="38">
        <f t="shared" si="9"/>
        <v>45</v>
      </c>
      <c r="AM21" s="39">
        <v>28</v>
      </c>
      <c r="AN21" s="39">
        <v>19</v>
      </c>
      <c r="AO21" s="38">
        <f t="shared" si="10"/>
        <v>47</v>
      </c>
      <c r="AP21" s="39">
        <v>30</v>
      </c>
      <c r="AQ21" s="39">
        <v>18</v>
      </c>
      <c r="AR21" s="38">
        <f t="shared" si="11"/>
        <v>48</v>
      </c>
      <c r="AV21">
        <f t="shared" ca="1" si="12"/>
        <v>201.5</v>
      </c>
      <c r="AW21">
        <f t="shared" ca="1" si="0"/>
        <v>24</v>
      </c>
      <c r="AX21">
        <f t="shared" ca="1" si="1"/>
        <v>0</v>
      </c>
      <c r="AY21">
        <f t="shared" ca="1" si="13"/>
        <v>8.3958333333333339</v>
      </c>
      <c r="BC21" t="str">
        <f t="shared" si="14"/>
        <v>I</v>
      </c>
      <c r="BD21">
        <f t="shared" si="15"/>
        <v>14</v>
      </c>
    </row>
    <row r="22" spans="1:56" ht="16" x14ac:dyDescent="0.2">
      <c r="A22">
        <v>17</v>
      </c>
      <c r="B22" s="1">
        <v>250090600017</v>
      </c>
      <c r="C22" s="1" t="s">
        <v>301</v>
      </c>
      <c r="D22" s="1" t="s">
        <v>302</v>
      </c>
      <c r="E22" t="s">
        <v>193</v>
      </c>
      <c r="F22" s="39">
        <v>58</v>
      </c>
      <c r="G22" s="39">
        <v>34</v>
      </c>
      <c r="H22" s="38">
        <f t="shared" si="2"/>
        <v>92</v>
      </c>
      <c r="I22" s="39">
        <v>47</v>
      </c>
      <c r="J22" s="39">
        <v>39</v>
      </c>
      <c r="K22" s="38">
        <f t="shared" si="3"/>
        <v>86</v>
      </c>
      <c r="L22" s="39">
        <v>75</v>
      </c>
      <c r="M22" s="39">
        <v>46</v>
      </c>
      <c r="N22" s="38">
        <f t="shared" si="4"/>
        <v>121</v>
      </c>
      <c r="O22" s="39">
        <v>38</v>
      </c>
      <c r="P22" s="39">
        <v>31</v>
      </c>
      <c r="Q22" s="38">
        <f t="shared" si="5"/>
        <v>69</v>
      </c>
      <c r="R22" s="39">
        <v>73</v>
      </c>
      <c r="S22" s="39">
        <v>34</v>
      </c>
      <c r="T22" s="38">
        <f t="shared" si="6"/>
        <v>107</v>
      </c>
      <c r="U22" s="39">
        <v>16</v>
      </c>
      <c r="V22" s="39">
        <v>13</v>
      </c>
      <c r="W22" s="38">
        <f t="shared" si="7"/>
        <v>29</v>
      </c>
      <c r="X22" s="37" t="s">
        <v>61</v>
      </c>
      <c r="Y22" s="37" t="s">
        <v>61</v>
      </c>
      <c r="Z22" s="38" t="s">
        <v>61</v>
      </c>
      <c r="AA22" s="37" t="s">
        <v>61</v>
      </c>
      <c r="AB22" s="37" t="s">
        <v>61</v>
      </c>
      <c r="AC22" s="38" t="s">
        <v>61</v>
      </c>
      <c r="AD22" s="37" t="s">
        <v>61</v>
      </c>
      <c r="AE22" s="37" t="s">
        <v>61</v>
      </c>
      <c r="AF22" s="38" t="s">
        <v>61</v>
      </c>
      <c r="AG22" s="39">
        <v>27</v>
      </c>
      <c r="AH22" s="39">
        <v>17</v>
      </c>
      <c r="AI22" s="38">
        <f t="shared" si="8"/>
        <v>44</v>
      </c>
      <c r="AJ22" s="39">
        <v>27</v>
      </c>
      <c r="AK22" s="39">
        <v>18</v>
      </c>
      <c r="AL22" s="38">
        <f t="shared" si="9"/>
        <v>45</v>
      </c>
      <c r="AM22" s="39">
        <v>27</v>
      </c>
      <c r="AN22" s="39">
        <v>17</v>
      </c>
      <c r="AO22" s="38">
        <f t="shared" si="10"/>
        <v>44</v>
      </c>
      <c r="AP22" s="39">
        <v>26</v>
      </c>
      <c r="AQ22" s="39">
        <v>16</v>
      </c>
      <c r="AR22" s="38">
        <f t="shared" si="11"/>
        <v>42</v>
      </c>
      <c r="AV22">
        <f t="shared" ca="1" si="12"/>
        <v>170</v>
      </c>
      <c r="AW22">
        <f t="shared" ca="1" si="0"/>
        <v>24</v>
      </c>
      <c r="AX22">
        <f t="shared" ca="1" si="1"/>
        <v>0</v>
      </c>
      <c r="AY22">
        <f t="shared" ca="1" si="13"/>
        <v>7.083333333333333</v>
      </c>
      <c r="BC22" t="str">
        <f t="shared" si="14"/>
        <v>I</v>
      </c>
      <c r="BD22">
        <f t="shared" si="15"/>
        <v>14</v>
      </c>
    </row>
    <row r="23" spans="1:56" ht="16" x14ac:dyDescent="0.2">
      <c r="A23">
        <v>18</v>
      </c>
      <c r="B23" s="1">
        <v>250090600018</v>
      </c>
      <c r="C23" s="1" t="s">
        <v>303</v>
      </c>
      <c r="D23" s="1" t="s">
        <v>304</v>
      </c>
      <c r="E23" t="s">
        <v>305</v>
      </c>
      <c r="F23" s="39">
        <v>68</v>
      </c>
      <c r="G23" s="39">
        <v>43</v>
      </c>
      <c r="H23" s="38">
        <f t="shared" si="2"/>
        <v>111</v>
      </c>
      <c r="I23" s="39">
        <v>57</v>
      </c>
      <c r="J23" s="39">
        <v>39</v>
      </c>
      <c r="K23" s="38">
        <f t="shared" si="3"/>
        <v>96</v>
      </c>
      <c r="L23" s="39">
        <v>66</v>
      </c>
      <c r="M23" s="39">
        <v>44</v>
      </c>
      <c r="N23" s="38">
        <f t="shared" si="4"/>
        <v>110</v>
      </c>
      <c r="O23" s="39">
        <v>60</v>
      </c>
      <c r="P23" s="39">
        <v>42</v>
      </c>
      <c r="Q23" s="38">
        <f t="shared" si="5"/>
        <v>102</v>
      </c>
      <c r="R23" s="39">
        <v>56</v>
      </c>
      <c r="S23" s="39">
        <v>35</v>
      </c>
      <c r="T23" s="38">
        <f t="shared" si="6"/>
        <v>91</v>
      </c>
      <c r="U23" s="39">
        <v>17</v>
      </c>
      <c r="V23" s="39">
        <v>16</v>
      </c>
      <c r="W23" s="38">
        <f t="shared" si="7"/>
        <v>33</v>
      </c>
      <c r="X23" s="37" t="s">
        <v>61</v>
      </c>
      <c r="Y23" s="37" t="s">
        <v>61</v>
      </c>
      <c r="Z23" s="38" t="s">
        <v>61</v>
      </c>
      <c r="AA23" s="37" t="s">
        <v>61</v>
      </c>
      <c r="AB23" s="37" t="s">
        <v>61</v>
      </c>
      <c r="AC23" s="38" t="s">
        <v>61</v>
      </c>
      <c r="AD23" s="37" t="s">
        <v>61</v>
      </c>
      <c r="AE23" s="37" t="s">
        <v>61</v>
      </c>
      <c r="AF23" s="38" t="s">
        <v>61</v>
      </c>
      <c r="AG23" s="39">
        <v>25</v>
      </c>
      <c r="AH23" s="39">
        <v>17</v>
      </c>
      <c r="AI23" s="38">
        <f t="shared" si="8"/>
        <v>42</v>
      </c>
      <c r="AJ23" s="39">
        <v>27</v>
      </c>
      <c r="AK23" s="39">
        <v>18</v>
      </c>
      <c r="AL23" s="38">
        <f t="shared" si="9"/>
        <v>45</v>
      </c>
      <c r="AM23" s="39">
        <v>27</v>
      </c>
      <c r="AN23" s="39">
        <v>19</v>
      </c>
      <c r="AO23" s="38">
        <f t="shared" si="10"/>
        <v>46</v>
      </c>
      <c r="AP23" s="39">
        <v>25</v>
      </c>
      <c r="AQ23" s="39">
        <v>17</v>
      </c>
      <c r="AR23" s="38">
        <f t="shared" si="11"/>
        <v>42</v>
      </c>
      <c r="AV23">
        <f t="shared" ca="1" si="12"/>
        <v>176</v>
      </c>
      <c r="AW23">
        <f t="shared" ca="1" si="0"/>
        <v>24</v>
      </c>
      <c r="AX23">
        <f t="shared" ca="1" si="1"/>
        <v>0</v>
      </c>
      <c r="AY23">
        <f t="shared" ca="1" si="13"/>
        <v>7.333333333333333</v>
      </c>
      <c r="BC23" t="str">
        <f t="shared" si="14"/>
        <v>I</v>
      </c>
      <c r="BD23">
        <f t="shared" si="15"/>
        <v>14</v>
      </c>
    </row>
    <row r="24" spans="1:56" ht="16" x14ac:dyDescent="0.2">
      <c r="A24">
        <v>19</v>
      </c>
      <c r="B24" s="1">
        <v>250090600019</v>
      </c>
      <c r="C24" s="1" t="s">
        <v>306</v>
      </c>
      <c r="D24" s="1" t="s">
        <v>307</v>
      </c>
      <c r="E24" t="s">
        <v>308</v>
      </c>
      <c r="F24" s="39">
        <v>70</v>
      </c>
      <c r="G24" s="39">
        <v>40</v>
      </c>
      <c r="H24" s="38">
        <f t="shared" si="2"/>
        <v>110</v>
      </c>
      <c r="I24" s="39">
        <v>71</v>
      </c>
      <c r="J24" s="39">
        <v>39</v>
      </c>
      <c r="K24" s="38">
        <f t="shared" si="3"/>
        <v>110</v>
      </c>
      <c r="L24" s="39">
        <v>72</v>
      </c>
      <c r="M24" s="39">
        <v>39</v>
      </c>
      <c r="N24" s="38">
        <f t="shared" si="4"/>
        <v>111</v>
      </c>
      <c r="O24" s="39">
        <v>36</v>
      </c>
      <c r="P24" s="39">
        <v>44</v>
      </c>
      <c r="Q24" s="38">
        <f t="shared" si="5"/>
        <v>80</v>
      </c>
      <c r="R24" s="39">
        <v>92</v>
      </c>
      <c r="S24" s="39">
        <v>36</v>
      </c>
      <c r="T24" s="38">
        <f t="shared" si="6"/>
        <v>128</v>
      </c>
      <c r="U24" s="39">
        <v>18</v>
      </c>
      <c r="V24" s="39">
        <v>16</v>
      </c>
      <c r="W24" s="38">
        <f t="shared" si="7"/>
        <v>34</v>
      </c>
      <c r="X24" s="37" t="s">
        <v>61</v>
      </c>
      <c r="Y24" s="37" t="s">
        <v>61</v>
      </c>
      <c r="Z24" s="38" t="s">
        <v>61</v>
      </c>
      <c r="AA24" s="37" t="s">
        <v>61</v>
      </c>
      <c r="AB24" s="37" t="s">
        <v>61</v>
      </c>
      <c r="AC24" s="38" t="s">
        <v>61</v>
      </c>
      <c r="AD24" s="37" t="s">
        <v>61</v>
      </c>
      <c r="AE24" s="37" t="s">
        <v>61</v>
      </c>
      <c r="AF24" s="38" t="s">
        <v>61</v>
      </c>
      <c r="AG24" s="39">
        <v>26</v>
      </c>
      <c r="AH24" s="39">
        <v>17</v>
      </c>
      <c r="AI24" s="38">
        <f t="shared" si="8"/>
        <v>43</v>
      </c>
      <c r="AJ24" s="39">
        <v>24</v>
      </c>
      <c r="AK24" s="39">
        <v>16</v>
      </c>
      <c r="AL24" s="38">
        <f t="shared" si="9"/>
        <v>40</v>
      </c>
      <c r="AM24" s="39">
        <v>28</v>
      </c>
      <c r="AN24" s="39">
        <v>19</v>
      </c>
      <c r="AO24" s="38">
        <f t="shared" si="10"/>
        <v>47</v>
      </c>
      <c r="AP24" s="39">
        <v>26</v>
      </c>
      <c r="AQ24" s="39">
        <v>18</v>
      </c>
      <c r="AR24" s="38">
        <f t="shared" si="11"/>
        <v>44</v>
      </c>
      <c r="AV24">
        <f t="shared" ca="1" si="12"/>
        <v>184</v>
      </c>
      <c r="AW24">
        <f ca="1">INDIRECT(_xlfn.TEXTJOIN("",TRUE,"TC_",BC24,"!",ADDRESS(5+A24*(BD24+9),12)))</f>
        <v>24</v>
      </c>
      <c r="AX24">
        <f t="shared" ca="1" si="1"/>
        <v>0</v>
      </c>
      <c r="AY24">
        <f t="shared" ca="1" si="13"/>
        <v>7.666666666666667</v>
      </c>
      <c r="BC24" t="str">
        <f t="shared" si="14"/>
        <v>I</v>
      </c>
      <c r="BD24">
        <f t="shared" si="15"/>
        <v>14</v>
      </c>
    </row>
    <row r="25" spans="1:56" ht="16" x14ac:dyDescent="0.2">
      <c r="A25">
        <v>20</v>
      </c>
      <c r="B25" s="1">
        <v>250090600020</v>
      </c>
      <c r="C25" s="1" t="s">
        <v>309</v>
      </c>
      <c r="D25" s="1" t="s">
        <v>310</v>
      </c>
      <c r="E25" t="s">
        <v>311</v>
      </c>
      <c r="F25" s="39">
        <v>41</v>
      </c>
      <c r="G25" s="39">
        <v>32</v>
      </c>
      <c r="H25" s="38">
        <f t="shared" si="2"/>
        <v>73</v>
      </c>
      <c r="I25" s="39">
        <v>37</v>
      </c>
      <c r="J25" s="39">
        <v>30</v>
      </c>
      <c r="K25" s="38">
        <f t="shared" si="3"/>
        <v>67</v>
      </c>
      <c r="L25" s="39">
        <v>51</v>
      </c>
      <c r="M25" s="39">
        <v>35</v>
      </c>
      <c r="N25" s="38">
        <f t="shared" si="4"/>
        <v>86</v>
      </c>
      <c r="O25" s="39">
        <v>34</v>
      </c>
      <c r="P25" s="39">
        <v>33</v>
      </c>
      <c r="Q25" s="38">
        <f t="shared" si="5"/>
        <v>67</v>
      </c>
      <c r="R25" s="39">
        <v>68</v>
      </c>
      <c r="S25" s="39">
        <v>34</v>
      </c>
      <c r="T25" s="38">
        <f t="shared" si="6"/>
        <v>102</v>
      </c>
      <c r="U25" s="39">
        <v>18</v>
      </c>
      <c r="V25" s="39">
        <v>15</v>
      </c>
      <c r="W25" s="38">
        <f t="shared" si="7"/>
        <v>33</v>
      </c>
      <c r="X25" s="37" t="s">
        <v>61</v>
      </c>
      <c r="Y25" s="37" t="s">
        <v>61</v>
      </c>
      <c r="Z25" s="38" t="s">
        <v>61</v>
      </c>
      <c r="AA25" s="37" t="s">
        <v>61</v>
      </c>
      <c r="AB25" s="37" t="s">
        <v>61</v>
      </c>
      <c r="AC25" s="38" t="s">
        <v>61</v>
      </c>
      <c r="AD25" s="37" t="s">
        <v>61</v>
      </c>
      <c r="AE25" s="37" t="s">
        <v>61</v>
      </c>
      <c r="AF25" s="38" t="s">
        <v>61</v>
      </c>
      <c r="AG25" s="39">
        <v>23</v>
      </c>
      <c r="AH25" s="39">
        <v>13</v>
      </c>
      <c r="AI25" s="38">
        <f t="shared" si="8"/>
        <v>36</v>
      </c>
      <c r="AJ25" s="39">
        <v>24</v>
      </c>
      <c r="AK25" s="39">
        <v>16</v>
      </c>
      <c r="AL25" s="38">
        <f t="shared" si="9"/>
        <v>40</v>
      </c>
      <c r="AM25" s="39">
        <v>27</v>
      </c>
      <c r="AN25" s="39">
        <v>18</v>
      </c>
      <c r="AO25" s="38">
        <f t="shared" si="10"/>
        <v>45</v>
      </c>
      <c r="AP25" s="39">
        <v>25</v>
      </c>
      <c r="AQ25" s="39">
        <v>16</v>
      </c>
      <c r="AR25" s="38">
        <f t="shared" si="11"/>
        <v>41</v>
      </c>
      <c r="AV25">
        <f t="shared" ca="1" si="12"/>
        <v>142</v>
      </c>
      <c r="AW25">
        <f t="shared" ca="1" si="0"/>
        <v>24</v>
      </c>
      <c r="AX25">
        <f t="shared" ca="1" si="1"/>
        <v>0</v>
      </c>
      <c r="AY25">
        <f t="shared" ca="1" si="13"/>
        <v>5.916666666666667</v>
      </c>
      <c r="BC25" t="str">
        <f t="shared" si="14"/>
        <v>I</v>
      </c>
      <c r="BD25">
        <f t="shared" si="15"/>
        <v>14</v>
      </c>
    </row>
    <row r="26" spans="1:56" x14ac:dyDescent="0.2">
      <c r="B26" s="1"/>
      <c r="C26" s="1"/>
      <c r="D26" s="1"/>
    </row>
    <row r="27" spans="1:56" x14ac:dyDescent="0.2">
      <c r="B27" s="1"/>
      <c r="C27" s="1"/>
      <c r="D27" s="1"/>
    </row>
    <row r="28" spans="1:56" x14ac:dyDescent="0.2">
      <c r="B28" s="1"/>
    </row>
    <row r="29" spans="1:56" x14ac:dyDescent="0.2">
      <c r="B29" s="1"/>
    </row>
    <row r="30" spans="1:56" x14ac:dyDescent="0.2">
      <c r="B30" s="1"/>
    </row>
    <row r="31" spans="1:56" x14ac:dyDescent="0.2">
      <c r="B31" s="1"/>
    </row>
    <row r="32" spans="1:56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</sheetData>
  <conditionalFormatting sqref="F6:F25 I6:I25 L6:L25 O6:O25 R6:R25">
    <cfRule type="cellIs" dxfId="188" priority="16" stopIfTrue="1" operator="lessThan">
      <formula>30</formula>
    </cfRule>
  </conditionalFormatting>
  <conditionalFormatting sqref="F6:AR25">
    <cfRule type="containsText" dxfId="187" priority="4" stopIfTrue="1" operator="containsText" text="A">
      <formula>NOT(ISERROR(SEARCH("A",F6)))</formula>
    </cfRule>
  </conditionalFormatting>
  <conditionalFormatting sqref="H6:H25 K6:K25 N6:N25 Q6:Q25 T6:T25">
    <cfRule type="cellIs" dxfId="186" priority="15" stopIfTrue="1" operator="lessThan">
      <formula>60</formula>
    </cfRule>
  </conditionalFormatting>
  <conditionalFormatting sqref="W6:W25">
    <cfRule type="cellIs" dxfId="185" priority="5" stopIfTrue="1" operator="lessThan">
      <formula>20</formula>
    </cfRule>
  </conditionalFormatting>
  <conditionalFormatting sqref="X6:X25 AA9:AA13 AD9:AD13 AA15:AA25 AD15:AD25 U6:U25">
    <cfRule type="cellIs" dxfId="184" priority="14" stopIfTrue="1" operator="lessThan">
      <formula>9</formula>
    </cfRule>
  </conditionalFormatting>
  <conditionalFormatting sqref="Z6:Z25 AC6:AC25 AF6:AF25">
    <cfRule type="cellIs" dxfId="183" priority="6" stopIfTrue="1" operator="lessThan">
      <formula>20</formula>
    </cfRule>
  </conditionalFormatting>
  <conditionalFormatting sqref="AA6:AA25">
    <cfRule type="cellIs" dxfId="182" priority="10" stopIfTrue="1" operator="lessThan">
      <formula>9</formula>
    </cfRule>
  </conditionalFormatting>
  <conditionalFormatting sqref="AA7 AD7">
    <cfRule type="containsText" dxfId="181" priority="2" stopIfTrue="1" operator="containsText" text="N/A">
      <formula>NOT(ISERROR(SEARCH("N/A",AA7)))</formula>
    </cfRule>
    <cfRule type="cellIs" dxfId="180" priority="3" stopIfTrue="1" operator="lessThan">
      <formula>9</formula>
    </cfRule>
  </conditionalFormatting>
  <conditionalFormatting sqref="AA9:AA13 AA15:AA25 AD9:AD13 AD15:AD25 X6:X25">
    <cfRule type="containsText" dxfId="179" priority="11" stopIfTrue="1" operator="containsText" text="N/A">
      <formula>NOT(ISERROR(SEARCH("N/A",X6)))</formula>
    </cfRule>
  </conditionalFormatting>
  <conditionalFormatting sqref="AC7 AF7">
    <cfRule type="cellIs" dxfId="178" priority="1" stopIfTrue="1" operator="lessThan">
      <formula>20</formula>
    </cfRule>
  </conditionalFormatting>
  <conditionalFormatting sqref="AD6:AD25">
    <cfRule type="cellIs" dxfId="177" priority="9" stopIfTrue="1" operator="lessThan">
      <formula>9</formula>
    </cfRule>
  </conditionalFormatting>
  <conditionalFormatting sqref="AG6:AG25 AJ6:AJ25 AM6:AM25 AP6:AP25">
    <cfRule type="cellIs" dxfId="176" priority="13" stopIfTrue="1" operator="lessThan">
      <formula>15</formula>
    </cfRule>
  </conditionalFormatting>
  <conditionalFormatting sqref="AI6:AI25 AL6:AL25 AO6:AO25 AR6:AR25">
    <cfRule type="cellIs" dxfId="175" priority="12" stopIfTrue="1" operator="lessThan">
      <formula>25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E122-23B6-42B3-B24B-A62734FD08D3}">
  <dimension ref="A1:AR45"/>
  <sheetViews>
    <sheetView zoomScale="91" zoomScaleNormal="100" workbookViewId="0">
      <pane xSplit="5" ySplit="10" topLeftCell="R11" activePane="bottomRight" state="frozen"/>
      <selection pane="topRight" activeCell="F1" sqref="F1"/>
      <selection pane="bottomLeft" activeCell="A11" sqref="A11"/>
      <selection pane="bottomRight" activeCell="R21" sqref="R21"/>
    </sheetView>
  </sheetViews>
  <sheetFormatPr baseColWidth="10" defaultColWidth="8.83203125" defaultRowHeight="15" x14ac:dyDescent="0.2"/>
  <cols>
    <col min="1" max="1" width="5.33203125" bestFit="1" customWidth="1"/>
    <col min="2" max="3" width="15.5" bestFit="1" customWidth="1"/>
    <col min="4" max="4" width="23" bestFit="1" customWidth="1"/>
    <col min="5" max="5" width="22.5" bestFit="1" customWidth="1"/>
  </cols>
  <sheetData>
    <row r="1" spans="1:44" ht="14.75" customHeight="1" x14ac:dyDescent="0.2">
      <c r="A1" t="s">
        <v>22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87</v>
      </c>
      <c r="I1" t="s">
        <v>89</v>
      </c>
      <c r="L1" t="s">
        <v>91</v>
      </c>
      <c r="O1" t="s">
        <v>93</v>
      </c>
      <c r="R1" t="s">
        <v>95</v>
      </c>
      <c r="U1" t="s">
        <v>97</v>
      </c>
      <c r="X1" t="s">
        <v>99</v>
      </c>
      <c r="AA1" t="s">
        <v>100</v>
      </c>
      <c r="AD1" t="s">
        <v>101</v>
      </c>
      <c r="AG1" t="s">
        <v>102</v>
      </c>
      <c r="AJ1" t="s">
        <v>45</v>
      </c>
      <c r="AK1" t="s">
        <v>46</v>
      </c>
      <c r="AL1" t="s">
        <v>47</v>
      </c>
      <c r="AM1" t="s">
        <v>48</v>
      </c>
    </row>
    <row r="2" spans="1:44" ht="14.75" customHeight="1" x14ac:dyDescent="0.2">
      <c r="A2" t="s">
        <v>23</v>
      </c>
      <c r="B2" s="12"/>
      <c r="C2" s="12"/>
      <c r="D2" s="12"/>
      <c r="E2" s="12"/>
      <c r="F2" t="s">
        <v>88</v>
      </c>
      <c r="I2" t="s">
        <v>90</v>
      </c>
      <c r="L2" t="s">
        <v>92</v>
      </c>
      <c r="O2" t="s">
        <v>94</v>
      </c>
      <c r="R2" t="s">
        <v>96</v>
      </c>
      <c r="U2" t="s">
        <v>98</v>
      </c>
      <c r="X2" t="s">
        <v>157</v>
      </c>
      <c r="AA2" t="s">
        <v>158</v>
      </c>
      <c r="AD2" t="s">
        <v>156</v>
      </c>
      <c r="AG2" t="s">
        <v>103</v>
      </c>
    </row>
    <row r="3" spans="1:44" x14ac:dyDescent="0.2">
      <c r="A3" t="s">
        <v>13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4</v>
      </c>
      <c r="U3">
        <v>0</v>
      </c>
      <c r="X3">
        <v>1</v>
      </c>
      <c r="AA3">
        <v>1</v>
      </c>
      <c r="AD3">
        <v>1</v>
      </c>
      <c r="AG3">
        <v>1</v>
      </c>
      <c r="AK3">
        <f ca="1">INDIRECT(_xlfn.TEXTJOIN("",TRUE,"SEM_",AN6,"!",ADDRESS(3,5+AP6*3+2)))+SUM(F3:AI3)</f>
        <v>48</v>
      </c>
    </row>
    <row r="4" spans="1:44" x14ac:dyDescent="0.2">
      <c r="B4" s="12"/>
      <c r="C4" s="12"/>
      <c r="D4" s="12"/>
      <c r="E4" s="12"/>
      <c r="F4" t="s">
        <v>4</v>
      </c>
      <c r="G4" t="s">
        <v>5</v>
      </c>
      <c r="H4" t="s">
        <v>6</v>
      </c>
      <c r="I4" t="s">
        <v>4</v>
      </c>
      <c r="J4" t="s">
        <v>5</v>
      </c>
      <c r="K4" t="s">
        <v>6</v>
      </c>
      <c r="L4" t="s">
        <v>4</v>
      </c>
      <c r="M4" t="s">
        <v>5</v>
      </c>
      <c r="N4" t="s">
        <v>6</v>
      </c>
      <c r="O4" t="s">
        <v>4</v>
      </c>
      <c r="P4" t="s">
        <v>5</v>
      </c>
      <c r="Q4" t="s">
        <v>6</v>
      </c>
      <c r="R4" t="s">
        <v>4</v>
      </c>
      <c r="S4" t="s">
        <v>5</v>
      </c>
      <c r="T4" t="s">
        <v>6</v>
      </c>
      <c r="U4" t="s">
        <v>7</v>
      </c>
      <c r="V4" t="s">
        <v>5</v>
      </c>
      <c r="W4" t="s">
        <v>6</v>
      </c>
      <c r="X4" t="s">
        <v>7</v>
      </c>
      <c r="Y4" t="s">
        <v>5</v>
      </c>
      <c r="Z4" t="s">
        <v>6</v>
      </c>
      <c r="AA4" t="s">
        <v>7</v>
      </c>
      <c r="AB4" t="s">
        <v>5</v>
      </c>
      <c r="AC4" t="s">
        <v>6</v>
      </c>
      <c r="AD4" t="s">
        <v>7</v>
      </c>
      <c r="AE4" t="s">
        <v>5</v>
      </c>
      <c r="AF4" t="s">
        <v>6</v>
      </c>
      <c r="AG4" t="s">
        <v>7</v>
      </c>
      <c r="AH4" t="s">
        <v>5</v>
      </c>
      <c r="AI4" t="s">
        <v>6</v>
      </c>
    </row>
    <row r="5" spans="1:44" x14ac:dyDescent="0.2">
      <c r="A5" t="s">
        <v>43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100</v>
      </c>
      <c r="S5">
        <v>50</v>
      </c>
      <c r="T5">
        <v>150</v>
      </c>
      <c r="U5">
        <v>0</v>
      </c>
      <c r="V5">
        <v>50</v>
      </c>
      <c r="W5">
        <v>50</v>
      </c>
      <c r="X5">
        <v>30</v>
      </c>
      <c r="Y5">
        <v>20</v>
      </c>
      <c r="Z5">
        <v>50</v>
      </c>
      <c r="AA5">
        <v>30</v>
      </c>
      <c r="AB5">
        <v>20</v>
      </c>
      <c r="AC5">
        <v>50</v>
      </c>
      <c r="AD5">
        <v>30</v>
      </c>
      <c r="AE5">
        <v>20</v>
      </c>
      <c r="AF5">
        <v>50</v>
      </c>
      <c r="AG5">
        <v>30</v>
      </c>
      <c r="AH5">
        <v>20</v>
      </c>
      <c r="AI5">
        <v>50</v>
      </c>
    </row>
    <row r="6" spans="1:44" x14ac:dyDescent="0.2">
      <c r="A6">
        <v>1</v>
      </c>
      <c r="B6" s="1">
        <v>240090600001</v>
      </c>
      <c r="C6" s="1" t="s">
        <v>167</v>
      </c>
      <c r="D6" s="1" t="s">
        <v>168</v>
      </c>
      <c r="E6" s="1" t="s">
        <v>169</v>
      </c>
      <c r="F6">
        <v>58</v>
      </c>
      <c r="G6">
        <v>46</v>
      </c>
      <c r="H6">
        <f>SUM(F6:G6)</f>
        <v>104</v>
      </c>
      <c r="I6">
        <v>75</v>
      </c>
      <c r="J6">
        <v>43</v>
      </c>
      <c r="K6">
        <f>SUM(I6:J6)</f>
        <v>118</v>
      </c>
      <c r="L6">
        <v>66</v>
      </c>
      <c r="M6">
        <v>44</v>
      </c>
      <c r="N6">
        <f>SUM(L6:M6)</f>
        <v>110</v>
      </c>
      <c r="O6">
        <v>54</v>
      </c>
      <c r="P6">
        <v>42</v>
      </c>
      <c r="Q6">
        <f>SUM(O6:P6)</f>
        <v>96</v>
      </c>
      <c r="R6">
        <v>77</v>
      </c>
      <c r="S6">
        <v>46</v>
      </c>
      <c r="T6">
        <f>SUM(R6:S6)</f>
        <v>123</v>
      </c>
      <c r="V6">
        <v>27</v>
      </c>
      <c r="W6">
        <f>SUM(V6)</f>
        <v>27</v>
      </c>
      <c r="X6">
        <v>24</v>
      </c>
      <c r="Y6">
        <v>18</v>
      </c>
      <c r="Z6">
        <f>SUM(X6:Y6)</f>
        <v>42</v>
      </c>
      <c r="AA6">
        <v>20</v>
      </c>
      <c r="AB6">
        <v>17</v>
      </c>
      <c r="AC6">
        <f>SUM(AA6:AB6)</f>
        <v>37</v>
      </c>
      <c r="AD6">
        <v>24</v>
      </c>
      <c r="AE6">
        <v>18</v>
      </c>
      <c r="AF6">
        <f>SUM(AD6:AE6)</f>
        <v>42</v>
      </c>
      <c r="AG6">
        <v>27</v>
      </c>
      <c r="AH6">
        <v>19</v>
      </c>
      <c r="AI6">
        <f>SUM(AG6:AH6)</f>
        <v>46</v>
      </c>
      <c r="AJ6" t="e">
        <f ca="1">IF(LEFT(B6,1)="7",0,INDEX(INDIRECT(_xlfn.TEXTJOIN("",TRUE,"SEM_",AN6,"!",ADDRESS(6,5+AP6*3+1),":",ADDRESS(5+AO6,5+AP6*3+1))),MATCH(B6,INDIRECT(_xlfn.TEXTJOIN("",TRUE,"SEM_",AN6,"!",ADDRESS(6,2),":",ADDRESS(5+AO6,2))),0)))+INDIRECT(_xlfn.TEXTJOIN("",TRUE,"TC_",AQ6,"!",ADDRESS(4+A6*(AR6+9),13)))</f>
        <v>#N/A</v>
      </c>
      <c r="AK6" t="e">
        <f t="shared" ref="AK6:AK29" ca="1" si="0">IF(LEFT(B6,1)="7",0,INDEX(INDIRECT(_xlfn.TEXTJOIN("",TRUE,"SEM_",AN6,"!",ADDRESS(6,5+AP6*3+2),":",ADDRESS(5+AO6,5+AP6*3+2))),MATCH(B6,INDIRECT(_xlfn.TEXTJOIN("",TRUE,"SEM_",AN6,"!",ADDRESS(6,2),":",ADDRESS(5+AO6,2))),0)))+INDIRECT(_xlfn.TEXTJOIN("",TRUE,"TC_",AQ6,"!",ADDRESS(5+A6*(AR6+9),12)))</f>
        <v>#N/A</v>
      </c>
      <c r="AL6" t="e">
        <f t="shared" ref="AL6:AL29" ca="1" si="1">IF(INDIRECT(_xlfn.TEXTJOIN("",TRUE,"TC_",AQ6,"!",ADDRESS(4+A6*(AR6+9),23))),SUM(INDIRECT(_xlfn.TEXTJOIN("",TRUE,"TC_",AQ6,"!",ADDRESS(4+A6*(AR6+9)-AR6,23),":",ADDRESS(3+A6*(AR6+9),23)))),0)</f>
        <v>#N/A</v>
      </c>
      <c r="AM6" t="e">
        <f t="shared" ref="AM6:AM29" ca="1" si="2">IF(LEFT(B6,1)="7",AJ6/$AK$4,AJ6/$AK$3)</f>
        <v>#N/A</v>
      </c>
      <c r="AN6" t="s">
        <v>42</v>
      </c>
      <c r="AO6">
        <v>25</v>
      </c>
      <c r="AP6">
        <v>14</v>
      </c>
      <c r="AQ6" t="s">
        <v>56</v>
      </c>
      <c r="AR6">
        <v>10</v>
      </c>
    </row>
    <row r="7" spans="1:44" x14ac:dyDescent="0.2">
      <c r="A7">
        <v>2</v>
      </c>
      <c r="B7" s="1">
        <v>240090600002</v>
      </c>
      <c r="C7" s="1" t="s">
        <v>170</v>
      </c>
      <c r="D7" s="1" t="s">
        <v>171</v>
      </c>
      <c r="E7" s="1" t="s">
        <v>172</v>
      </c>
      <c r="F7">
        <v>40</v>
      </c>
      <c r="G7">
        <v>42</v>
      </c>
      <c r="H7">
        <f t="shared" ref="H7:H30" si="3">SUM(F7:G7)</f>
        <v>82</v>
      </c>
      <c r="I7">
        <v>57</v>
      </c>
      <c r="J7">
        <v>40</v>
      </c>
      <c r="K7">
        <f t="shared" ref="K7:K30" si="4">SUM(I7:J7)</f>
        <v>97</v>
      </c>
      <c r="L7">
        <v>45</v>
      </c>
      <c r="M7">
        <v>36</v>
      </c>
      <c r="N7">
        <f t="shared" ref="N7:N30" si="5">SUM(L7:M7)</f>
        <v>81</v>
      </c>
      <c r="O7">
        <v>32</v>
      </c>
      <c r="P7">
        <v>38</v>
      </c>
      <c r="Q7">
        <f t="shared" ref="Q7:Q30" si="6">SUM(O7:P7)</f>
        <v>70</v>
      </c>
      <c r="R7">
        <v>53</v>
      </c>
      <c r="S7">
        <v>48</v>
      </c>
      <c r="T7">
        <f t="shared" ref="T7:T30" si="7">SUM(R7:S7)</f>
        <v>101</v>
      </c>
      <c r="V7">
        <v>35</v>
      </c>
      <c r="W7">
        <f t="shared" ref="W7:W30" si="8">SUM(V7)</f>
        <v>35</v>
      </c>
      <c r="X7">
        <v>23</v>
      </c>
      <c r="Y7">
        <v>16</v>
      </c>
      <c r="Z7">
        <f t="shared" ref="Z7:Z30" si="9">SUM(X7:Y7)</f>
        <v>39</v>
      </c>
      <c r="AA7">
        <v>23</v>
      </c>
      <c r="AB7">
        <v>14</v>
      </c>
      <c r="AC7">
        <f t="shared" ref="AC7:AC30" si="10">SUM(AA7:AB7)</f>
        <v>37</v>
      </c>
      <c r="AD7">
        <v>23</v>
      </c>
      <c r="AE7">
        <v>17</v>
      </c>
      <c r="AF7">
        <f t="shared" ref="AF7:AF30" si="11">SUM(AD7:AE7)</f>
        <v>40</v>
      </c>
      <c r="AG7">
        <v>26</v>
      </c>
      <c r="AH7">
        <v>19</v>
      </c>
      <c r="AI7">
        <f t="shared" ref="AI7:AI30" si="12">SUM(AG7:AH7)</f>
        <v>45</v>
      </c>
      <c r="AJ7" t="e">
        <f t="shared" ref="AJ7:AJ29" ca="1" si="13">IF(LEFT(B7,1)="7",0,INDEX(INDIRECT(_xlfn.TEXTJOIN("",TRUE,"SEM_",AN7,"!",ADDRESS(6,5+AP7*3+1),":",ADDRESS(5+AO7,5+AP7*3+1))),MATCH(B7,INDIRECT(_xlfn.TEXTJOIN("",TRUE,"SEM_",AN7,"!",ADDRESS(6,2),":",ADDRESS(5+AO7,2))),0)))+INDIRECT(_xlfn.TEXTJOIN("",TRUE,"TC_",AQ7,"!",ADDRESS(4+A7*(AR7+9),13)))</f>
        <v>#N/A</v>
      </c>
      <c r="AK7" t="e">
        <f t="shared" ca="1" si="0"/>
        <v>#N/A</v>
      </c>
      <c r="AL7" t="e">
        <f t="shared" ca="1" si="1"/>
        <v>#N/A</v>
      </c>
      <c r="AM7" t="e">
        <f t="shared" ca="1" si="2"/>
        <v>#N/A</v>
      </c>
      <c r="AN7" t="str">
        <f>AN6</f>
        <v>I</v>
      </c>
      <c r="AO7">
        <f>AO6</f>
        <v>25</v>
      </c>
      <c r="AP7">
        <f>AP6</f>
        <v>14</v>
      </c>
      <c r="AQ7" t="str">
        <f>AQ6</f>
        <v>II</v>
      </c>
      <c r="AR7">
        <f>AR6</f>
        <v>10</v>
      </c>
    </row>
    <row r="8" spans="1:44" x14ac:dyDescent="0.2">
      <c r="A8">
        <v>3</v>
      </c>
      <c r="B8" s="1">
        <v>240090600003</v>
      </c>
      <c r="C8" s="1" t="s">
        <v>173</v>
      </c>
      <c r="D8" s="1" t="s">
        <v>174</v>
      </c>
      <c r="E8" t="s">
        <v>175</v>
      </c>
      <c r="F8">
        <v>50</v>
      </c>
      <c r="G8">
        <v>37</v>
      </c>
      <c r="H8">
        <f t="shared" si="3"/>
        <v>87</v>
      </c>
      <c r="I8">
        <v>50</v>
      </c>
      <c r="J8">
        <v>37</v>
      </c>
      <c r="K8">
        <f t="shared" si="4"/>
        <v>87</v>
      </c>
      <c r="L8">
        <v>41</v>
      </c>
      <c r="M8">
        <v>40</v>
      </c>
      <c r="N8">
        <f t="shared" si="5"/>
        <v>81</v>
      </c>
      <c r="O8">
        <v>43</v>
      </c>
      <c r="P8">
        <v>40</v>
      </c>
      <c r="Q8">
        <f t="shared" si="6"/>
        <v>83</v>
      </c>
      <c r="R8">
        <v>61</v>
      </c>
      <c r="S8">
        <v>45</v>
      </c>
      <c r="T8">
        <f t="shared" si="7"/>
        <v>106</v>
      </c>
      <c r="V8">
        <v>28</v>
      </c>
      <c r="W8">
        <f t="shared" si="8"/>
        <v>28</v>
      </c>
      <c r="X8">
        <v>22</v>
      </c>
      <c r="Y8">
        <v>15</v>
      </c>
      <c r="Z8">
        <f t="shared" si="9"/>
        <v>37</v>
      </c>
      <c r="AA8">
        <v>20</v>
      </c>
      <c r="AB8">
        <v>16</v>
      </c>
      <c r="AC8">
        <f t="shared" si="10"/>
        <v>36</v>
      </c>
      <c r="AD8">
        <v>22</v>
      </c>
      <c r="AE8">
        <v>16</v>
      </c>
      <c r="AF8">
        <f t="shared" si="11"/>
        <v>38</v>
      </c>
      <c r="AG8">
        <v>24</v>
      </c>
      <c r="AH8">
        <v>17</v>
      </c>
      <c r="AI8">
        <f t="shared" si="12"/>
        <v>41</v>
      </c>
      <c r="AJ8" t="e">
        <f t="shared" ca="1" si="13"/>
        <v>#N/A</v>
      </c>
      <c r="AK8" t="e">
        <f t="shared" ca="1" si="0"/>
        <v>#N/A</v>
      </c>
      <c r="AL8" t="e">
        <f t="shared" ca="1" si="1"/>
        <v>#N/A</v>
      </c>
      <c r="AM8" t="e">
        <f t="shared" ca="1" si="2"/>
        <v>#N/A</v>
      </c>
      <c r="AN8" t="str">
        <f t="shared" ref="AN8:AN30" si="14">AN7</f>
        <v>I</v>
      </c>
      <c r="AO8">
        <f t="shared" ref="AO8:AO30" si="15">AO7</f>
        <v>25</v>
      </c>
      <c r="AP8">
        <f t="shared" ref="AP8:AR30" si="16">AP7</f>
        <v>14</v>
      </c>
      <c r="AQ8" t="str">
        <f t="shared" ref="AQ8:AR23" si="17">AQ7</f>
        <v>II</v>
      </c>
      <c r="AR8">
        <f t="shared" si="17"/>
        <v>10</v>
      </c>
    </row>
    <row r="9" spans="1:44" x14ac:dyDescent="0.2">
      <c r="A9">
        <v>4</v>
      </c>
      <c r="B9" s="1">
        <v>240090600004</v>
      </c>
      <c r="C9" s="1" t="s">
        <v>176</v>
      </c>
      <c r="D9" s="1" t="s">
        <v>177</v>
      </c>
      <c r="E9" t="s">
        <v>178</v>
      </c>
      <c r="F9">
        <v>62</v>
      </c>
      <c r="G9">
        <v>43</v>
      </c>
      <c r="H9">
        <f t="shared" si="3"/>
        <v>105</v>
      </c>
      <c r="I9">
        <v>66</v>
      </c>
      <c r="J9">
        <v>37</v>
      </c>
      <c r="K9">
        <f t="shared" si="4"/>
        <v>103</v>
      </c>
      <c r="L9">
        <v>40</v>
      </c>
      <c r="M9">
        <v>34</v>
      </c>
      <c r="N9">
        <f t="shared" si="5"/>
        <v>74</v>
      </c>
      <c r="O9">
        <v>30</v>
      </c>
      <c r="P9">
        <v>32</v>
      </c>
      <c r="Q9">
        <f t="shared" si="6"/>
        <v>62</v>
      </c>
      <c r="R9">
        <v>42</v>
      </c>
      <c r="S9">
        <v>34</v>
      </c>
      <c r="T9">
        <f t="shared" si="7"/>
        <v>76</v>
      </c>
      <c r="V9">
        <v>32</v>
      </c>
      <c r="W9">
        <f t="shared" si="8"/>
        <v>32</v>
      </c>
      <c r="X9">
        <v>22</v>
      </c>
      <c r="Y9">
        <v>15</v>
      </c>
      <c r="Z9">
        <f t="shared" si="9"/>
        <v>37</v>
      </c>
      <c r="AA9">
        <v>21</v>
      </c>
      <c r="AB9">
        <v>14</v>
      </c>
      <c r="AC9">
        <f t="shared" si="10"/>
        <v>35</v>
      </c>
      <c r="AD9">
        <v>25</v>
      </c>
      <c r="AE9">
        <v>16</v>
      </c>
      <c r="AF9">
        <f t="shared" si="11"/>
        <v>41</v>
      </c>
      <c r="AG9">
        <v>24</v>
      </c>
      <c r="AH9">
        <v>17</v>
      </c>
      <c r="AI9">
        <f t="shared" si="12"/>
        <v>41</v>
      </c>
      <c r="AJ9" t="e">
        <f t="shared" ca="1" si="13"/>
        <v>#N/A</v>
      </c>
      <c r="AK9" t="e">
        <f t="shared" ca="1" si="0"/>
        <v>#N/A</v>
      </c>
      <c r="AL9" t="e">
        <f t="shared" ca="1" si="1"/>
        <v>#N/A</v>
      </c>
      <c r="AM9" t="e">
        <f t="shared" ca="1" si="2"/>
        <v>#N/A</v>
      </c>
      <c r="AN9" t="str">
        <f t="shared" si="14"/>
        <v>I</v>
      </c>
      <c r="AO9">
        <f t="shared" si="15"/>
        <v>25</v>
      </c>
      <c r="AP9">
        <f t="shared" si="16"/>
        <v>14</v>
      </c>
      <c r="AQ9" t="str">
        <f t="shared" si="17"/>
        <v>II</v>
      </c>
      <c r="AR9">
        <f t="shared" si="17"/>
        <v>10</v>
      </c>
    </row>
    <row r="10" spans="1:44" x14ac:dyDescent="0.2">
      <c r="A10">
        <v>5</v>
      </c>
      <c r="B10" s="1">
        <v>240090600005</v>
      </c>
      <c r="C10" s="1" t="s">
        <v>179</v>
      </c>
      <c r="D10" s="1" t="s">
        <v>180</v>
      </c>
      <c r="E10" t="s">
        <v>181</v>
      </c>
      <c r="F10">
        <v>75</v>
      </c>
      <c r="G10">
        <v>48</v>
      </c>
      <c r="H10">
        <f t="shared" si="3"/>
        <v>123</v>
      </c>
      <c r="I10">
        <v>84</v>
      </c>
      <c r="J10">
        <v>45</v>
      </c>
      <c r="K10">
        <f t="shared" si="4"/>
        <v>129</v>
      </c>
      <c r="L10">
        <v>49</v>
      </c>
      <c r="M10">
        <v>43</v>
      </c>
      <c r="N10">
        <f t="shared" si="5"/>
        <v>92</v>
      </c>
      <c r="O10">
        <v>70</v>
      </c>
      <c r="P10">
        <v>42</v>
      </c>
      <c r="Q10">
        <f t="shared" si="6"/>
        <v>112</v>
      </c>
      <c r="R10">
        <v>90</v>
      </c>
      <c r="S10">
        <v>47</v>
      </c>
      <c r="T10">
        <f t="shared" si="7"/>
        <v>137</v>
      </c>
      <c r="V10">
        <v>41</v>
      </c>
      <c r="W10">
        <f t="shared" si="8"/>
        <v>41</v>
      </c>
      <c r="X10">
        <v>25</v>
      </c>
      <c r="Y10">
        <v>18</v>
      </c>
      <c r="Z10">
        <f t="shared" si="9"/>
        <v>43</v>
      </c>
      <c r="AA10">
        <v>24</v>
      </c>
      <c r="AB10">
        <v>17</v>
      </c>
      <c r="AC10">
        <f t="shared" si="10"/>
        <v>41</v>
      </c>
      <c r="AD10">
        <v>21</v>
      </c>
      <c r="AE10">
        <v>17</v>
      </c>
      <c r="AF10">
        <f t="shared" si="11"/>
        <v>38</v>
      </c>
      <c r="AG10">
        <v>27</v>
      </c>
      <c r="AH10">
        <v>19</v>
      </c>
      <c r="AI10">
        <f t="shared" si="12"/>
        <v>46</v>
      </c>
      <c r="AJ10" t="e">
        <f t="shared" ca="1" si="13"/>
        <v>#N/A</v>
      </c>
      <c r="AK10" t="e">
        <f t="shared" ca="1" si="0"/>
        <v>#N/A</v>
      </c>
      <c r="AL10" t="e">
        <f t="shared" ca="1" si="1"/>
        <v>#N/A</v>
      </c>
      <c r="AM10" t="e">
        <f t="shared" ca="1" si="2"/>
        <v>#N/A</v>
      </c>
      <c r="AN10" t="str">
        <f t="shared" si="14"/>
        <v>I</v>
      </c>
      <c r="AO10">
        <f t="shared" si="15"/>
        <v>25</v>
      </c>
      <c r="AP10">
        <f t="shared" si="16"/>
        <v>14</v>
      </c>
      <c r="AQ10" t="str">
        <f t="shared" si="17"/>
        <v>II</v>
      </c>
      <c r="AR10">
        <f t="shared" si="17"/>
        <v>10</v>
      </c>
    </row>
    <row r="11" spans="1:44" x14ac:dyDescent="0.2">
      <c r="A11">
        <v>6</v>
      </c>
      <c r="B11" s="1">
        <v>240090600006</v>
      </c>
      <c r="C11" s="1" t="s">
        <v>182</v>
      </c>
      <c r="D11" s="1" t="s">
        <v>183</v>
      </c>
      <c r="E11" t="s">
        <v>184</v>
      </c>
      <c r="F11">
        <v>57</v>
      </c>
      <c r="G11">
        <v>45</v>
      </c>
      <c r="H11">
        <f t="shared" si="3"/>
        <v>102</v>
      </c>
      <c r="I11">
        <v>68</v>
      </c>
      <c r="J11">
        <v>43</v>
      </c>
      <c r="K11">
        <f t="shared" si="4"/>
        <v>111</v>
      </c>
      <c r="L11">
        <v>64</v>
      </c>
      <c r="M11">
        <v>41</v>
      </c>
      <c r="N11">
        <f t="shared" si="5"/>
        <v>105</v>
      </c>
      <c r="O11">
        <v>55</v>
      </c>
      <c r="P11">
        <v>37</v>
      </c>
      <c r="Q11">
        <f t="shared" si="6"/>
        <v>92</v>
      </c>
      <c r="R11">
        <v>70</v>
      </c>
      <c r="S11">
        <v>47</v>
      </c>
      <c r="T11">
        <f t="shared" si="7"/>
        <v>117</v>
      </c>
      <c r="V11">
        <v>32</v>
      </c>
      <c r="W11">
        <f t="shared" si="8"/>
        <v>32</v>
      </c>
      <c r="X11">
        <v>25</v>
      </c>
      <c r="Y11">
        <v>18</v>
      </c>
      <c r="Z11">
        <f t="shared" si="9"/>
        <v>43</v>
      </c>
      <c r="AA11">
        <v>19</v>
      </c>
      <c r="AB11">
        <v>16</v>
      </c>
      <c r="AC11">
        <f t="shared" si="10"/>
        <v>35</v>
      </c>
      <c r="AD11">
        <v>19</v>
      </c>
      <c r="AE11">
        <v>16</v>
      </c>
      <c r="AF11">
        <f t="shared" si="11"/>
        <v>35</v>
      </c>
      <c r="AG11">
        <v>26</v>
      </c>
      <c r="AH11">
        <v>18</v>
      </c>
      <c r="AI11">
        <f t="shared" si="12"/>
        <v>44</v>
      </c>
      <c r="AJ11" t="e">
        <f t="shared" ca="1" si="13"/>
        <v>#N/A</v>
      </c>
      <c r="AK11" t="e">
        <f t="shared" ca="1" si="0"/>
        <v>#N/A</v>
      </c>
      <c r="AL11" t="e">
        <f t="shared" ca="1" si="1"/>
        <v>#N/A</v>
      </c>
      <c r="AM11" t="e">
        <f t="shared" ca="1" si="2"/>
        <v>#N/A</v>
      </c>
      <c r="AN11" t="str">
        <f t="shared" si="14"/>
        <v>I</v>
      </c>
      <c r="AO11">
        <f t="shared" si="15"/>
        <v>25</v>
      </c>
      <c r="AP11">
        <f t="shared" si="16"/>
        <v>14</v>
      </c>
      <c r="AQ11" t="str">
        <f t="shared" si="17"/>
        <v>II</v>
      </c>
      <c r="AR11">
        <f t="shared" si="17"/>
        <v>10</v>
      </c>
    </row>
    <row r="12" spans="1:44" x14ac:dyDescent="0.2">
      <c r="A12">
        <v>7</v>
      </c>
      <c r="B12" s="1">
        <v>240090600007</v>
      </c>
      <c r="C12" s="1" t="s">
        <v>185</v>
      </c>
      <c r="D12" s="1" t="s">
        <v>186</v>
      </c>
      <c r="E12" t="s">
        <v>187</v>
      </c>
      <c r="F12">
        <v>70</v>
      </c>
      <c r="G12">
        <v>46</v>
      </c>
      <c r="H12">
        <f t="shared" si="3"/>
        <v>116</v>
      </c>
      <c r="I12">
        <v>74</v>
      </c>
      <c r="J12">
        <v>47</v>
      </c>
      <c r="K12">
        <f t="shared" si="4"/>
        <v>121</v>
      </c>
      <c r="L12">
        <v>49</v>
      </c>
      <c r="M12">
        <v>44</v>
      </c>
      <c r="N12">
        <f t="shared" si="5"/>
        <v>93</v>
      </c>
      <c r="O12">
        <v>45</v>
      </c>
      <c r="P12">
        <v>43</v>
      </c>
      <c r="Q12">
        <f t="shared" si="6"/>
        <v>88</v>
      </c>
      <c r="R12">
        <v>94</v>
      </c>
      <c r="S12">
        <v>49</v>
      </c>
      <c r="T12">
        <f t="shared" si="7"/>
        <v>143</v>
      </c>
      <c r="V12">
        <v>33</v>
      </c>
      <c r="W12">
        <f t="shared" si="8"/>
        <v>33</v>
      </c>
      <c r="X12">
        <v>26</v>
      </c>
      <c r="Y12">
        <v>19</v>
      </c>
      <c r="Z12">
        <f t="shared" si="9"/>
        <v>45</v>
      </c>
      <c r="AA12">
        <v>22</v>
      </c>
      <c r="AB12">
        <v>18</v>
      </c>
      <c r="AC12">
        <f t="shared" si="10"/>
        <v>40</v>
      </c>
      <c r="AD12">
        <v>25</v>
      </c>
      <c r="AE12">
        <v>17</v>
      </c>
      <c r="AF12">
        <f t="shared" si="11"/>
        <v>42</v>
      </c>
      <c r="AG12">
        <v>28</v>
      </c>
      <c r="AH12">
        <v>19</v>
      </c>
      <c r="AI12">
        <f t="shared" si="12"/>
        <v>47</v>
      </c>
      <c r="AJ12" t="e">
        <f t="shared" ca="1" si="13"/>
        <v>#N/A</v>
      </c>
      <c r="AK12" t="e">
        <f t="shared" ca="1" si="0"/>
        <v>#N/A</v>
      </c>
      <c r="AL12" t="e">
        <f t="shared" ca="1" si="1"/>
        <v>#N/A</v>
      </c>
      <c r="AM12" t="e">
        <f t="shared" ca="1" si="2"/>
        <v>#N/A</v>
      </c>
      <c r="AN12" t="str">
        <f t="shared" si="14"/>
        <v>I</v>
      </c>
      <c r="AO12">
        <f t="shared" si="15"/>
        <v>25</v>
      </c>
      <c r="AP12">
        <f t="shared" si="16"/>
        <v>14</v>
      </c>
      <c r="AQ12" t="str">
        <f t="shared" si="17"/>
        <v>II</v>
      </c>
      <c r="AR12">
        <f t="shared" si="17"/>
        <v>10</v>
      </c>
    </row>
    <row r="13" spans="1:44" x14ac:dyDescent="0.2">
      <c r="A13">
        <v>8</v>
      </c>
      <c r="B13" s="1">
        <v>240090600008</v>
      </c>
      <c r="C13" s="1" t="s">
        <v>188</v>
      </c>
      <c r="D13" s="1" t="s">
        <v>189</v>
      </c>
      <c r="E13" t="s">
        <v>190</v>
      </c>
      <c r="F13">
        <v>69</v>
      </c>
      <c r="G13">
        <v>45</v>
      </c>
      <c r="H13">
        <f t="shared" si="3"/>
        <v>114</v>
      </c>
      <c r="I13">
        <v>79</v>
      </c>
      <c r="J13">
        <v>47</v>
      </c>
      <c r="K13">
        <f t="shared" si="4"/>
        <v>126</v>
      </c>
      <c r="L13">
        <v>82</v>
      </c>
      <c r="M13">
        <v>43</v>
      </c>
      <c r="N13">
        <f t="shared" si="5"/>
        <v>125</v>
      </c>
      <c r="O13">
        <v>38</v>
      </c>
      <c r="P13">
        <v>40</v>
      </c>
      <c r="Q13">
        <f t="shared" si="6"/>
        <v>78</v>
      </c>
      <c r="R13">
        <v>87</v>
      </c>
      <c r="S13">
        <v>48</v>
      </c>
      <c r="T13">
        <f t="shared" si="7"/>
        <v>135</v>
      </c>
      <c r="V13">
        <v>29</v>
      </c>
      <c r="W13">
        <f t="shared" si="8"/>
        <v>29</v>
      </c>
      <c r="X13">
        <v>27</v>
      </c>
      <c r="Y13">
        <v>19</v>
      </c>
      <c r="Z13">
        <f t="shared" si="9"/>
        <v>46</v>
      </c>
      <c r="AA13">
        <v>24</v>
      </c>
      <c r="AB13">
        <v>17</v>
      </c>
      <c r="AC13">
        <f t="shared" si="10"/>
        <v>41</v>
      </c>
      <c r="AD13">
        <v>23</v>
      </c>
      <c r="AE13">
        <v>16</v>
      </c>
      <c r="AF13">
        <f t="shared" si="11"/>
        <v>39</v>
      </c>
      <c r="AG13">
        <v>28</v>
      </c>
      <c r="AH13">
        <v>19</v>
      </c>
      <c r="AI13">
        <f t="shared" si="12"/>
        <v>47</v>
      </c>
      <c r="AJ13" t="e">
        <f t="shared" ca="1" si="13"/>
        <v>#N/A</v>
      </c>
      <c r="AK13" t="e">
        <f t="shared" ca="1" si="0"/>
        <v>#N/A</v>
      </c>
      <c r="AL13" t="e">
        <f t="shared" ca="1" si="1"/>
        <v>#N/A</v>
      </c>
      <c r="AM13" t="e">
        <f t="shared" ca="1" si="2"/>
        <v>#N/A</v>
      </c>
      <c r="AN13" t="str">
        <f t="shared" si="14"/>
        <v>I</v>
      </c>
      <c r="AO13">
        <f t="shared" si="15"/>
        <v>25</v>
      </c>
      <c r="AP13">
        <f t="shared" si="16"/>
        <v>14</v>
      </c>
      <c r="AQ13" t="str">
        <f t="shared" si="17"/>
        <v>II</v>
      </c>
      <c r="AR13">
        <f t="shared" si="17"/>
        <v>10</v>
      </c>
    </row>
    <row r="14" spans="1:44" x14ac:dyDescent="0.2">
      <c r="A14">
        <v>9</v>
      </c>
      <c r="B14" s="1">
        <v>240090600009</v>
      </c>
      <c r="C14" s="1" t="s">
        <v>191</v>
      </c>
      <c r="D14" s="1" t="s">
        <v>192</v>
      </c>
      <c r="E14" t="s">
        <v>193</v>
      </c>
      <c r="F14">
        <v>81</v>
      </c>
      <c r="G14">
        <v>47</v>
      </c>
      <c r="H14">
        <f t="shared" si="3"/>
        <v>128</v>
      </c>
      <c r="I14">
        <v>79</v>
      </c>
      <c r="J14">
        <v>44</v>
      </c>
      <c r="K14">
        <f t="shared" si="4"/>
        <v>123</v>
      </c>
      <c r="L14">
        <v>73</v>
      </c>
      <c r="M14">
        <v>50</v>
      </c>
      <c r="N14">
        <f t="shared" si="5"/>
        <v>123</v>
      </c>
      <c r="O14">
        <v>58</v>
      </c>
      <c r="P14">
        <v>42</v>
      </c>
      <c r="Q14">
        <f t="shared" si="6"/>
        <v>100</v>
      </c>
      <c r="R14">
        <v>77</v>
      </c>
      <c r="S14">
        <v>45</v>
      </c>
      <c r="T14">
        <f t="shared" si="7"/>
        <v>122</v>
      </c>
      <c r="V14">
        <v>34</v>
      </c>
      <c r="W14">
        <f t="shared" si="8"/>
        <v>34</v>
      </c>
      <c r="X14">
        <v>27</v>
      </c>
      <c r="Y14">
        <v>18</v>
      </c>
      <c r="Z14">
        <f t="shared" si="9"/>
        <v>45</v>
      </c>
      <c r="AA14">
        <v>24</v>
      </c>
      <c r="AB14">
        <v>20</v>
      </c>
      <c r="AC14">
        <f t="shared" si="10"/>
        <v>44</v>
      </c>
      <c r="AD14">
        <v>23</v>
      </c>
      <c r="AE14">
        <v>18</v>
      </c>
      <c r="AF14">
        <f t="shared" si="11"/>
        <v>41</v>
      </c>
      <c r="AG14">
        <v>28</v>
      </c>
      <c r="AH14">
        <v>18</v>
      </c>
      <c r="AI14">
        <f t="shared" si="12"/>
        <v>46</v>
      </c>
      <c r="AJ14" t="e">
        <f t="shared" ca="1" si="13"/>
        <v>#N/A</v>
      </c>
      <c r="AK14" t="e">
        <f t="shared" ca="1" si="0"/>
        <v>#N/A</v>
      </c>
      <c r="AL14" t="e">
        <f t="shared" ca="1" si="1"/>
        <v>#N/A</v>
      </c>
      <c r="AM14" t="e">
        <f t="shared" ca="1" si="2"/>
        <v>#N/A</v>
      </c>
      <c r="AN14" t="str">
        <f t="shared" si="14"/>
        <v>I</v>
      </c>
      <c r="AO14">
        <f t="shared" si="15"/>
        <v>25</v>
      </c>
      <c r="AP14">
        <f t="shared" si="16"/>
        <v>14</v>
      </c>
      <c r="AQ14" t="str">
        <f t="shared" si="17"/>
        <v>II</v>
      </c>
      <c r="AR14">
        <f t="shared" si="17"/>
        <v>10</v>
      </c>
    </row>
    <row r="15" spans="1:44" x14ac:dyDescent="0.2">
      <c r="A15">
        <v>10</v>
      </c>
      <c r="B15" s="1">
        <v>240090600010</v>
      </c>
      <c r="C15" s="1" t="s">
        <v>194</v>
      </c>
      <c r="D15" s="1" t="s">
        <v>195</v>
      </c>
      <c r="E15" t="s">
        <v>196</v>
      </c>
      <c r="F15">
        <v>36</v>
      </c>
      <c r="G15">
        <v>40</v>
      </c>
      <c r="H15">
        <f t="shared" si="3"/>
        <v>76</v>
      </c>
      <c r="I15">
        <v>50</v>
      </c>
      <c r="J15">
        <v>43</v>
      </c>
      <c r="K15">
        <f t="shared" si="4"/>
        <v>93</v>
      </c>
      <c r="L15">
        <v>60</v>
      </c>
      <c r="M15">
        <v>35</v>
      </c>
      <c r="N15">
        <f t="shared" si="5"/>
        <v>95</v>
      </c>
      <c r="O15">
        <v>32</v>
      </c>
      <c r="P15">
        <v>34</v>
      </c>
      <c r="Q15">
        <f t="shared" si="6"/>
        <v>66</v>
      </c>
      <c r="R15">
        <v>55</v>
      </c>
      <c r="S15">
        <v>41</v>
      </c>
      <c r="T15">
        <f t="shared" si="7"/>
        <v>96</v>
      </c>
      <c r="V15">
        <v>24</v>
      </c>
      <c r="W15">
        <f t="shared" si="8"/>
        <v>24</v>
      </c>
      <c r="X15">
        <v>25</v>
      </c>
      <c r="Y15">
        <v>18</v>
      </c>
      <c r="Z15">
        <f t="shared" si="9"/>
        <v>43</v>
      </c>
      <c r="AA15">
        <v>21</v>
      </c>
      <c r="AB15">
        <v>14</v>
      </c>
      <c r="AC15">
        <f t="shared" si="10"/>
        <v>35</v>
      </c>
      <c r="AD15">
        <v>21</v>
      </c>
      <c r="AE15">
        <v>17</v>
      </c>
      <c r="AF15">
        <f t="shared" si="11"/>
        <v>38</v>
      </c>
      <c r="AG15">
        <v>25</v>
      </c>
      <c r="AH15">
        <v>17</v>
      </c>
      <c r="AI15">
        <f t="shared" si="12"/>
        <v>42</v>
      </c>
      <c r="AJ15" t="e">
        <f t="shared" ca="1" si="13"/>
        <v>#N/A</v>
      </c>
      <c r="AK15" t="e">
        <f t="shared" ca="1" si="0"/>
        <v>#N/A</v>
      </c>
      <c r="AL15" t="e">
        <f t="shared" ca="1" si="1"/>
        <v>#N/A</v>
      </c>
      <c r="AM15" t="e">
        <f t="shared" ca="1" si="2"/>
        <v>#N/A</v>
      </c>
      <c r="AN15" t="str">
        <f t="shared" si="14"/>
        <v>I</v>
      </c>
      <c r="AO15">
        <f t="shared" si="15"/>
        <v>25</v>
      </c>
      <c r="AP15">
        <f t="shared" si="16"/>
        <v>14</v>
      </c>
      <c r="AQ15" t="str">
        <f t="shared" si="17"/>
        <v>II</v>
      </c>
      <c r="AR15">
        <f t="shared" si="17"/>
        <v>10</v>
      </c>
    </row>
    <row r="16" spans="1:44" x14ac:dyDescent="0.2">
      <c r="A16">
        <v>11</v>
      </c>
      <c r="B16" s="1">
        <v>240090600011</v>
      </c>
      <c r="C16" s="1" t="s">
        <v>197</v>
      </c>
      <c r="D16" s="1" t="s">
        <v>198</v>
      </c>
      <c r="E16" t="s">
        <v>199</v>
      </c>
      <c r="F16">
        <v>76</v>
      </c>
      <c r="G16">
        <v>47</v>
      </c>
      <c r="H16">
        <f t="shared" si="3"/>
        <v>123</v>
      </c>
      <c r="I16">
        <v>85</v>
      </c>
      <c r="J16">
        <v>47</v>
      </c>
      <c r="K16">
        <f t="shared" si="4"/>
        <v>132</v>
      </c>
      <c r="L16">
        <v>54</v>
      </c>
      <c r="M16">
        <v>46</v>
      </c>
      <c r="N16">
        <f t="shared" si="5"/>
        <v>100</v>
      </c>
      <c r="O16">
        <v>49</v>
      </c>
      <c r="P16">
        <v>41</v>
      </c>
      <c r="Q16">
        <f t="shared" si="6"/>
        <v>90</v>
      </c>
      <c r="R16">
        <v>73</v>
      </c>
      <c r="S16">
        <v>46</v>
      </c>
      <c r="T16">
        <f t="shared" si="7"/>
        <v>119</v>
      </c>
      <c r="V16">
        <v>35</v>
      </c>
      <c r="W16">
        <f t="shared" si="8"/>
        <v>35</v>
      </c>
      <c r="X16">
        <v>27</v>
      </c>
      <c r="Y16">
        <v>19</v>
      </c>
      <c r="Z16">
        <f t="shared" si="9"/>
        <v>46</v>
      </c>
      <c r="AA16">
        <v>21</v>
      </c>
      <c r="AB16">
        <v>18</v>
      </c>
      <c r="AC16">
        <f t="shared" si="10"/>
        <v>39</v>
      </c>
      <c r="AD16">
        <v>25</v>
      </c>
      <c r="AE16">
        <v>16</v>
      </c>
      <c r="AF16">
        <f t="shared" si="11"/>
        <v>41</v>
      </c>
      <c r="AG16">
        <v>28</v>
      </c>
      <c r="AH16">
        <v>19</v>
      </c>
      <c r="AI16">
        <f t="shared" si="12"/>
        <v>47</v>
      </c>
      <c r="AJ16" t="e">
        <f t="shared" ca="1" si="13"/>
        <v>#N/A</v>
      </c>
      <c r="AK16" t="e">
        <f t="shared" ca="1" si="0"/>
        <v>#N/A</v>
      </c>
      <c r="AL16" t="e">
        <f t="shared" ca="1" si="1"/>
        <v>#N/A</v>
      </c>
      <c r="AM16" t="e">
        <f t="shared" ca="1" si="2"/>
        <v>#N/A</v>
      </c>
      <c r="AN16" t="str">
        <f t="shared" si="14"/>
        <v>I</v>
      </c>
      <c r="AO16">
        <f t="shared" si="15"/>
        <v>25</v>
      </c>
      <c r="AP16">
        <f t="shared" si="16"/>
        <v>14</v>
      </c>
      <c r="AQ16" t="str">
        <f t="shared" si="17"/>
        <v>II</v>
      </c>
      <c r="AR16">
        <f t="shared" si="17"/>
        <v>10</v>
      </c>
    </row>
    <row r="17" spans="1:44" x14ac:dyDescent="0.2">
      <c r="A17">
        <v>12</v>
      </c>
      <c r="B17" s="1">
        <v>240090600012</v>
      </c>
      <c r="C17" s="1" t="s">
        <v>200</v>
      </c>
      <c r="D17" s="1" t="s">
        <v>201</v>
      </c>
      <c r="E17" t="s">
        <v>202</v>
      </c>
      <c r="F17">
        <v>46</v>
      </c>
      <c r="G17">
        <v>44</v>
      </c>
      <c r="H17">
        <f t="shared" si="3"/>
        <v>90</v>
      </c>
      <c r="I17">
        <v>51</v>
      </c>
      <c r="J17">
        <v>35</v>
      </c>
      <c r="K17">
        <f t="shared" si="4"/>
        <v>86</v>
      </c>
      <c r="L17">
        <v>32</v>
      </c>
      <c r="M17">
        <v>34</v>
      </c>
      <c r="N17">
        <f t="shared" si="5"/>
        <v>66</v>
      </c>
      <c r="O17">
        <v>15</v>
      </c>
      <c r="P17">
        <v>38</v>
      </c>
      <c r="Q17">
        <f t="shared" si="6"/>
        <v>53</v>
      </c>
      <c r="R17">
        <v>26</v>
      </c>
      <c r="S17">
        <v>41</v>
      </c>
      <c r="T17">
        <f t="shared" si="7"/>
        <v>67</v>
      </c>
      <c r="V17">
        <v>25</v>
      </c>
      <c r="W17">
        <f t="shared" si="8"/>
        <v>25</v>
      </c>
      <c r="X17">
        <v>25</v>
      </c>
      <c r="Y17">
        <v>18</v>
      </c>
      <c r="Z17">
        <f t="shared" si="9"/>
        <v>43</v>
      </c>
      <c r="AA17">
        <v>19</v>
      </c>
      <c r="AB17">
        <v>13</v>
      </c>
      <c r="AC17">
        <f t="shared" si="10"/>
        <v>32</v>
      </c>
      <c r="AD17">
        <v>20</v>
      </c>
      <c r="AE17">
        <v>16</v>
      </c>
      <c r="AF17">
        <f t="shared" si="11"/>
        <v>36</v>
      </c>
      <c r="AG17">
        <v>27</v>
      </c>
      <c r="AH17">
        <v>18</v>
      </c>
      <c r="AI17">
        <f t="shared" si="12"/>
        <v>45</v>
      </c>
      <c r="AJ17" t="e">
        <f t="shared" ca="1" si="13"/>
        <v>#N/A</v>
      </c>
      <c r="AK17" t="e">
        <f t="shared" ca="1" si="0"/>
        <v>#N/A</v>
      </c>
      <c r="AL17" t="e">
        <f t="shared" ca="1" si="1"/>
        <v>#N/A</v>
      </c>
      <c r="AM17" t="e">
        <f t="shared" ca="1" si="2"/>
        <v>#N/A</v>
      </c>
      <c r="AN17" t="str">
        <f t="shared" si="14"/>
        <v>I</v>
      </c>
      <c r="AO17">
        <f t="shared" si="15"/>
        <v>25</v>
      </c>
      <c r="AP17">
        <f t="shared" si="16"/>
        <v>14</v>
      </c>
      <c r="AQ17" t="str">
        <f t="shared" si="17"/>
        <v>II</v>
      </c>
      <c r="AR17">
        <f t="shared" si="17"/>
        <v>10</v>
      </c>
    </row>
    <row r="18" spans="1:44" x14ac:dyDescent="0.2">
      <c r="A18">
        <v>13</v>
      </c>
      <c r="B18" s="1">
        <v>240090600013</v>
      </c>
      <c r="C18" s="1" t="s">
        <v>203</v>
      </c>
      <c r="D18" s="1" t="s">
        <v>204</v>
      </c>
      <c r="E18" t="s">
        <v>205</v>
      </c>
      <c r="F18">
        <v>42</v>
      </c>
      <c r="G18">
        <v>46</v>
      </c>
      <c r="H18">
        <f t="shared" si="3"/>
        <v>88</v>
      </c>
      <c r="I18">
        <v>63</v>
      </c>
      <c r="J18">
        <v>39</v>
      </c>
      <c r="K18">
        <f t="shared" si="4"/>
        <v>102</v>
      </c>
      <c r="L18">
        <v>47</v>
      </c>
      <c r="M18">
        <v>39</v>
      </c>
      <c r="N18">
        <f t="shared" si="5"/>
        <v>86</v>
      </c>
      <c r="O18">
        <v>45</v>
      </c>
      <c r="P18">
        <v>40</v>
      </c>
      <c r="Q18">
        <f t="shared" si="6"/>
        <v>85</v>
      </c>
      <c r="R18">
        <v>41</v>
      </c>
      <c r="S18">
        <v>44</v>
      </c>
      <c r="T18">
        <f t="shared" si="7"/>
        <v>85</v>
      </c>
      <c r="V18">
        <v>28</v>
      </c>
      <c r="W18">
        <f t="shared" si="8"/>
        <v>28</v>
      </c>
      <c r="X18">
        <v>26</v>
      </c>
      <c r="Y18">
        <v>19</v>
      </c>
      <c r="Z18">
        <f t="shared" si="9"/>
        <v>45</v>
      </c>
      <c r="AA18">
        <v>22</v>
      </c>
      <c r="AB18">
        <v>15</v>
      </c>
      <c r="AC18">
        <f t="shared" si="10"/>
        <v>37</v>
      </c>
      <c r="AD18">
        <v>25</v>
      </c>
      <c r="AE18">
        <v>16</v>
      </c>
      <c r="AF18">
        <f t="shared" si="11"/>
        <v>41</v>
      </c>
      <c r="AG18">
        <v>27</v>
      </c>
      <c r="AH18">
        <v>18</v>
      </c>
      <c r="AI18">
        <f t="shared" si="12"/>
        <v>45</v>
      </c>
      <c r="AJ18" t="e">
        <f t="shared" ca="1" si="13"/>
        <v>#N/A</v>
      </c>
      <c r="AK18" t="e">
        <f t="shared" ca="1" si="0"/>
        <v>#N/A</v>
      </c>
      <c r="AL18" t="e">
        <f t="shared" ca="1" si="1"/>
        <v>#N/A</v>
      </c>
      <c r="AM18" t="e">
        <f t="shared" ca="1" si="2"/>
        <v>#N/A</v>
      </c>
      <c r="AN18" t="str">
        <f t="shared" si="14"/>
        <v>I</v>
      </c>
      <c r="AO18">
        <f t="shared" si="15"/>
        <v>25</v>
      </c>
      <c r="AP18">
        <f t="shared" si="16"/>
        <v>14</v>
      </c>
      <c r="AQ18" t="str">
        <f t="shared" si="17"/>
        <v>II</v>
      </c>
      <c r="AR18">
        <f t="shared" si="17"/>
        <v>10</v>
      </c>
    </row>
    <row r="19" spans="1:44" x14ac:dyDescent="0.2">
      <c r="A19">
        <v>14</v>
      </c>
      <c r="B19" s="1">
        <v>240090600014</v>
      </c>
      <c r="C19" s="1" t="s">
        <v>206</v>
      </c>
      <c r="D19" s="1" t="s">
        <v>207</v>
      </c>
      <c r="E19" t="s">
        <v>208</v>
      </c>
      <c r="F19">
        <v>56</v>
      </c>
      <c r="G19">
        <v>44</v>
      </c>
      <c r="H19">
        <f t="shared" si="3"/>
        <v>100</v>
      </c>
      <c r="I19">
        <v>67</v>
      </c>
      <c r="J19">
        <v>42</v>
      </c>
      <c r="K19">
        <f t="shared" si="4"/>
        <v>109</v>
      </c>
      <c r="L19">
        <v>60</v>
      </c>
      <c r="M19">
        <v>40</v>
      </c>
      <c r="N19">
        <f t="shared" si="5"/>
        <v>100</v>
      </c>
      <c r="O19">
        <v>62</v>
      </c>
      <c r="P19">
        <v>39</v>
      </c>
      <c r="Q19">
        <f t="shared" si="6"/>
        <v>101</v>
      </c>
      <c r="R19">
        <v>76</v>
      </c>
      <c r="S19">
        <v>46</v>
      </c>
      <c r="T19">
        <f t="shared" si="7"/>
        <v>122</v>
      </c>
      <c r="V19">
        <v>27</v>
      </c>
      <c r="W19">
        <f t="shared" si="8"/>
        <v>27</v>
      </c>
      <c r="X19">
        <v>24</v>
      </c>
      <c r="Y19">
        <v>18</v>
      </c>
      <c r="Z19">
        <f t="shared" si="9"/>
        <v>42</v>
      </c>
      <c r="AA19">
        <v>20</v>
      </c>
      <c r="AB19">
        <v>16</v>
      </c>
      <c r="AC19">
        <f t="shared" si="10"/>
        <v>36</v>
      </c>
      <c r="AD19">
        <v>25</v>
      </c>
      <c r="AE19">
        <v>16</v>
      </c>
      <c r="AF19">
        <f t="shared" si="11"/>
        <v>41</v>
      </c>
      <c r="AG19">
        <v>27</v>
      </c>
      <c r="AH19">
        <v>19</v>
      </c>
      <c r="AI19">
        <f t="shared" si="12"/>
        <v>46</v>
      </c>
      <c r="AJ19" t="e">
        <f t="shared" ca="1" si="13"/>
        <v>#N/A</v>
      </c>
      <c r="AK19" t="e">
        <f t="shared" ca="1" si="0"/>
        <v>#N/A</v>
      </c>
      <c r="AL19" t="e">
        <f t="shared" ca="1" si="1"/>
        <v>#N/A</v>
      </c>
      <c r="AM19" t="e">
        <f t="shared" ca="1" si="2"/>
        <v>#N/A</v>
      </c>
      <c r="AN19" t="str">
        <f t="shared" si="14"/>
        <v>I</v>
      </c>
      <c r="AO19">
        <f t="shared" si="15"/>
        <v>25</v>
      </c>
      <c r="AP19">
        <f t="shared" si="16"/>
        <v>14</v>
      </c>
      <c r="AQ19" t="str">
        <f t="shared" si="17"/>
        <v>II</v>
      </c>
      <c r="AR19">
        <f t="shared" si="17"/>
        <v>10</v>
      </c>
    </row>
    <row r="20" spans="1:44" x14ac:dyDescent="0.2">
      <c r="A20">
        <v>15</v>
      </c>
      <c r="B20" s="1">
        <v>240090600015</v>
      </c>
      <c r="C20" s="1" t="s">
        <v>209</v>
      </c>
      <c r="D20" s="1" t="s">
        <v>210</v>
      </c>
      <c r="E20" t="s">
        <v>211</v>
      </c>
      <c r="F20">
        <v>63</v>
      </c>
      <c r="G20">
        <v>41</v>
      </c>
      <c r="H20">
        <f t="shared" si="3"/>
        <v>104</v>
      </c>
      <c r="I20">
        <v>67</v>
      </c>
      <c r="J20">
        <v>41</v>
      </c>
      <c r="K20">
        <f t="shared" si="4"/>
        <v>108</v>
      </c>
      <c r="L20">
        <v>40</v>
      </c>
      <c r="M20">
        <v>34</v>
      </c>
      <c r="N20">
        <f t="shared" si="5"/>
        <v>74</v>
      </c>
      <c r="O20">
        <v>40</v>
      </c>
      <c r="P20">
        <v>35</v>
      </c>
      <c r="Q20">
        <f t="shared" si="6"/>
        <v>75</v>
      </c>
      <c r="R20">
        <v>57</v>
      </c>
      <c r="S20">
        <v>42</v>
      </c>
      <c r="T20">
        <f t="shared" si="7"/>
        <v>99</v>
      </c>
      <c r="V20">
        <v>29</v>
      </c>
      <c r="W20">
        <f t="shared" si="8"/>
        <v>29</v>
      </c>
      <c r="X20">
        <v>26</v>
      </c>
      <c r="Y20">
        <v>17</v>
      </c>
      <c r="Z20">
        <f t="shared" si="9"/>
        <v>43</v>
      </c>
      <c r="AA20">
        <v>19</v>
      </c>
      <c r="AB20">
        <v>13</v>
      </c>
      <c r="AC20">
        <f t="shared" si="10"/>
        <v>32</v>
      </c>
      <c r="AD20">
        <v>23</v>
      </c>
      <c r="AE20">
        <v>16</v>
      </c>
      <c r="AF20">
        <f t="shared" si="11"/>
        <v>39</v>
      </c>
      <c r="AG20">
        <v>26</v>
      </c>
      <c r="AH20">
        <v>18</v>
      </c>
      <c r="AI20">
        <f t="shared" si="12"/>
        <v>44</v>
      </c>
      <c r="AJ20" t="e">
        <f t="shared" ca="1" si="13"/>
        <v>#N/A</v>
      </c>
      <c r="AK20" t="e">
        <f t="shared" ca="1" si="0"/>
        <v>#N/A</v>
      </c>
      <c r="AL20" t="e">
        <f t="shared" ca="1" si="1"/>
        <v>#N/A</v>
      </c>
      <c r="AM20" t="e">
        <f t="shared" ca="1" si="2"/>
        <v>#N/A</v>
      </c>
      <c r="AN20" t="str">
        <f t="shared" si="14"/>
        <v>I</v>
      </c>
      <c r="AO20">
        <f t="shared" si="15"/>
        <v>25</v>
      </c>
      <c r="AP20">
        <f t="shared" si="16"/>
        <v>14</v>
      </c>
      <c r="AQ20" t="str">
        <f t="shared" si="17"/>
        <v>II</v>
      </c>
      <c r="AR20">
        <f t="shared" si="17"/>
        <v>10</v>
      </c>
    </row>
    <row r="21" spans="1:44" x14ac:dyDescent="0.2">
      <c r="A21">
        <v>16</v>
      </c>
      <c r="B21" s="1">
        <v>240090600016</v>
      </c>
      <c r="C21" s="1" t="s">
        <v>212</v>
      </c>
      <c r="D21" s="1" t="s">
        <v>213</v>
      </c>
      <c r="E21" t="s">
        <v>214</v>
      </c>
      <c r="F21">
        <v>71</v>
      </c>
      <c r="G21">
        <v>42</v>
      </c>
      <c r="H21">
        <f t="shared" si="3"/>
        <v>113</v>
      </c>
      <c r="I21">
        <v>50</v>
      </c>
      <c r="J21">
        <v>38</v>
      </c>
      <c r="K21">
        <f t="shared" si="4"/>
        <v>88</v>
      </c>
      <c r="L21">
        <v>40</v>
      </c>
      <c r="M21">
        <v>43</v>
      </c>
      <c r="N21">
        <f t="shared" si="5"/>
        <v>83</v>
      </c>
      <c r="O21">
        <v>14</v>
      </c>
      <c r="P21">
        <v>35</v>
      </c>
      <c r="Q21">
        <f t="shared" si="6"/>
        <v>49</v>
      </c>
      <c r="R21">
        <v>62</v>
      </c>
      <c r="S21">
        <v>44</v>
      </c>
      <c r="T21">
        <f t="shared" si="7"/>
        <v>106</v>
      </c>
      <c r="V21">
        <v>27</v>
      </c>
      <c r="W21">
        <f t="shared" si="8"/>
        <v>27</v>
      </c>
      <c r="X21">
        <v>23</v>
      </c>
      <c r="Y21">
        <v>16</v>
      </c>
      <c r="Z21">
        <f t="shared" si="9"/>
        <v>39</v>
      </c>
      <c r="AA21">
        <v>23</v>
      </c>
      <c r="AB21">
        <v>17</v>
      </c>
      <c r="AC21">
        <f t="shared" si="10"/>
        <v>40</v>
      </c>
      <c r="AD21">
        <v>26</v>
      </c>
      <c r="AE21">
        <v>15</v>
      </c>
      <c r="AF21">
        <f t="shared" si="11"/>
        <v>41</v>
      </c>
      <c r="AG21">
        <v>27</v>
      </c>
      <c r="AH21">
        <v>18</v>
      </c>
      <c r="AI21">
        <f t="shared" si="12"/>
        <v>45</v>
      </c>
      <c r="AJ21" t="e">
        <f t="shared" ca="1" si="13"/>
        <v>#N/A</v>
      </c>
      <c r="AK21" t="e">
        <f t="shared" ca="1" si="0"/>
        <v>#N/A</v>
      </c>
      <c r="AL21" t="e">
        <f t="shared" ca="1" si="1"/>
        <v>#N/A</v>
      </c>
      <c r="AM21" t="e">
        <f t="shared" ca="1" si="2"/>
        <v>#N/A</v>
      </c>
      <c r="AN21" t="str">
        <f t="shared" si="14"/>
        <v>I</v>
      </c>
      <c r="AO21">
        <f t="shared" si="15"/>
        <v>25</v>
      </c>
      <c r="AP21">
        <f t="shared" si="16"/>
        <v>14</v>
      </c>
      <c r="AQ21" t="str">
        <f t="shared" si="17"/>
        <v>II</v>
      </c>
      <c r="AR21">
        <f t="shared" si="17"/>
        <v>10</v>
      </c>
    </row>
    <row r="22" spans="1:44" x14ac:dyDescent="0.2">
      <c r="A22">
        <v>17</v>
      </c>
      <c r="B22" s="1">
        <v>240090600017</v>
      </c>
      <c r="C22" s="1" t="s">
        <v>215</v>
      </c>
      <c r="D22" s="1" t="s">
        <v>216</v>
      </c>
      <c r="E22" t="s">
        <v>217</v>
      </c>
      <c r="F22">
        <v>41</v>
      </c>
      <c r="G22">
        <v>37</v>
      </c>
      <c r="H22">
        <f t="shared" si="3"/>
        <v>78</v>
      </c>
      <c r="I22">
        <v>63</v>
      </c>
      <c r="J22">
        <v>37</v>
      </c>
      <c r="K22">
        <f t="shared" si="4"/>
        <v>100</v>
      </c>
      <c r="L22">
        <v>42</v>
      </c>
      <c r="M22">
        <v>32</v>
      </c>
      <c r="N22">
        <f t="shared" si="5"/>
        <v>74</v>
      </c>
      <c r="O22">
        <v>35</v>
      </c>
      <c r="P22">
        <v>41</v>
      </c>
      <c r="Q22">
        <f t="shared" si="6"/>
        <v>76</v>
      </c>
      <c r="R22">
        <v>55</v>
      </c>
      <c r="S22">
        <v>36</v>
      </c>
      <c r="T22">
        <f t="shared" si="7"/>
        <v>91</v>
      </c>
      <c r="V22">
        <v>28</v>
      </c>
      <c r="W22">
        <f t="shared" si="8"/>
        <v>28</v>
      </c>
      <c r="X22">
        <v>23</v>
      </c>
      <c r="Y22">
        <v>16</v>
      </c>
      <c r="Z22">
        <f t="shared" si="9"/>
        <v>39</v>
      </c>
      <c r="AA22">
        <v>24</v>
      </c>
      <c r="AB22">
        <v>13</v>
      </c>
      <c r="AC22">
        <f t="shared" si="10"/>
        <v>37</v>
      </c>
      <c r="AD22">
        <v>22</v>
      </c>
      <c r="AE22">
        <v>16</v>
      </c>
      <c r="AF22">
        <f t="shared" si="11"/>
        <v>38</v>
      </c>
      <c r="AG22">
        <v>26</v>
      </c>
      <c r="AH22">
        <v>17</v>
      </c>
      <c r="AI22">
        <f t="shared" si="12"/>
        <v>43</v>
      </c>
      <c r="AJ22" t="e">
        <f t="shared" ca="1" si="13"/>
        <v>#N/A</v>
      </c>
      <c r="AK22" t="e">
        <f t="shared" ca="1" si="0"/>
        <v>#N/A</v>
      </c>
      <c r="AL22" t="e">
        <f t="shared" ca="1" si="1"/>
        <v>#N/A</v>
      </c>
      <c r="AM22" t="e">
        <f t="shared" ca="1" si="2"/>
        <v>#N/A</v>
      </c>
      <c r="AN22" t="str">
        <f t="shared" si="14"/>
        <v>I</v>
      </c>
      <c r="AO22">
        <f t="shared" si="15"/>
        <v>25</v>
      </c>
      <c r="AP22">
        <f t="shared" si="16"/>
        <v>14</v>
      </c>
      <c r="AQ22" t="str">
        <f t="shared" si="17"/>
        <v>II</v>
      </c>
      <c r="AR22">
        <f t="shared" si="17"/>
        <v>10</v>
      </c>
    </row>
    <row r="23" spans="1:44" x14ac:dyDescent="0.2">
      <c r="A23">
        <v>18</v>
      </c>
      <c r="B23" s="1">
        <v>240090600018</v>
      </c>
      <c r="C23" s="1" t="s">
        <v>170</v>
      </c>
      <c r="D23" s="1" t="s">
        <v>218</v>
      </c>
      <c r="E23" t="s">
        <v>219</v>
      </c>
      <c r="F23">
        <v>54</v>
      </c>
      <c r="G23">
        <v>35</v>
      </c>
      <c r="H23">
        <f t="shared" si="3"/>
        <v>89</v>
      </c>
      <c r="I23">
        <v>45</v>
      </c>
      <c r="J23">
        <v>35</v>
      </c>
      <c r="K23">
        <f t="shared" si="4"/>
        <v>80</v>
      </c>
      <c r="L23">
        <v>49</v>
      </c>
      <c r="M23">
        <v>32</v>
      </c>
      <c r="N23">
        <f t="shared" si="5"/>
        <v>81</v>
      </c>
      <c r="O23">
        <v>32</v>
      </c>
      <c r="P23">
        <v>40</v>
      </c>
      <c r="Q23">
        <f t="shared" si="6"/>
        <v>72</v>
      </c>
      <c r="R23">
        <v>53</v>
      </c>
      <c r="S23">
        <v>43</v>
      </c>
      <c r="T23">
        <f t="shared" si="7"/>
        <v>96</v>
      </c>
      <c r="V23">
        <v>27</v>
      </c>
      <c r="W23">
        <f t="shared" si="8"/>
        <v>27</v>
      </c>
      <c r="X23">
        <v>24</v>
      </c>
      <c r="Y23">
        <v>15</v>
      </c>
      <c r="Z23">
        <f t="shared" si="9"/>
        <v>39</v>
      </c>
      <c r="AA23">
        <v>23</v>
      </c>
      <c r="AB23">
        <v>13</v>
      </c>
      <c r="AC23">
        <f t="shared" si="10"/>
        <v>36</v>
      </c>
      <c r="AD23">
        <v>21</v>
      </c>
      <c r="AE23">
        <v>16</v>
      </c>
      <c r="AF23">
        <f t="shared" si="11"/>
        <v>37</v>
      </c>
      <c r="AG23">
        <v>27</v>
      </c>
      <c r="AH23">
        <v>18</v>
      </c>
      <c r="AI23">
        <f t="shared" si="12"/>
        <v>45</v>
      </c>
      <c r="AJ23" t="e">
        <f t="shared" ca="1" si="13"/>
        <v>#N/A</v>
      </c>
      <c r="AK23" t="e">
        <f t="shared" ca="1" si="0"/>
        <v>#N/A</v>
      </c>
      <c r="AL23" t="e">
        <f t="shared" ca="1" si="1"/>
        <v>#N/A</v>
      </c>
      <c r="AM23" t="e">
        <f t="shared" ca="1" si="2"/>
        <v>#N/A</v>
      </c>
      <c r="AN23" t="str">
        <f t="shared" si="14"/>
        <v>I</v>
      </c>
      <c r="AO23">
        <f t="shared" si="15"/>
        <v>25</v>
      </c>
      <c r="AP23">
        <f t="shared" si="16"/>
        <v>14</v>
      </c>
      <c r="AQ23" t="str">
        <f t="shared" si="17"/>
        <v>II</v>
      </c>
      <c r="AR23">
        <f t="shared" si="17"/>
        <v>10</v>
      </c>
    </row>
    <row r="24" spans="1:44" x14ac:dyDescent="0.2">
      <c r="A24">
        <v>19</v>
      </c>
      <c r="B24" s="1">
        <v>240090600019</v>
      </c>
      <c r="C24" s="1" t="s">
        <v>220</v>
      </c>
      <c r="D24" s="1" t="s">
        <v>221</v>
      </c>
      <c r="E24" t="s">
        <v>222</v>
      </c>
      <c r="F24">
        <v>30</v>
      </c>
      <c r="G24">
        <v>45</v>
      </c>
      <c r="H24">
        <f t="shared" si="3"/>
        <v>75</v>
      </c>
      <c r="I24">
        <v>64</v>
      </c>
      <c r="J24">
        <v>36</v>
      </c>
      <c r="K24">
        <f t="shared" si="4"/>
        <v>100</v>
      </c>
      <c r="L24">
        <v>40</v>
      </c>
      <c r="M24">
        <v>39</v>
      </c>
      <c r="N24">
        <f t="shared" si="5"/>
        <v>79</v>
      </c>
      <c r="O24">
        <v>9</v>
      </c>
      <c r="P24">
        <v>33</v>
      </c>
      <c r="Q24">
        <f t="shared" si="6"/>
        <v>42</v>
      </c>
      <c r="R24">
        <v>51</v>
      </c>
      <c r="S24">
        <v>45</v>
      </c>
      <c r="T24">
        <f t="shared" si="7"/>
        <v>96</v>
      </c>
      <c r="V24">
        <v>31</v>
      </c>
      <c r="W24">
        <f t="shared" si="8"/>
        <v>31</v>
      </c>
      <c r="X24">
        <v>25</v>
      </c>
      <c r="Y24">
        <v>17</v>
      </c>
      <c r="Z24">
        <f t="shared" si="9"/>
        <v>42</v>
      </c>
      <c r="AA24">
        <v>24</v>
      </c>
      <c r="AB24">
        <v>16</v>
      </c>
      <c r="AC24">
        <f t="shared" si="10"/>
        <v>40</v>
      </c>
      <c r="AD24">
        <v>24</v>
      </c>
      <c r="AE24">
        <v>17</v>
      </c>
      <c r="AF24">
        <f t="shared" si="11"/>
        <v>41</v>
      </c>
      <c r="AG24">
        <v>26</v>
      </c>
      <c r="AH24">
        <v>19</v>
      </c>
      <c r="AI24">
        <f t="shared" si="12"/>
        <v>45</v>
      </c>
      <c r="AJ24" t="e">
        <f t="shared" ca="1" si="13"/>
        <v>#N/A</v>
      </c>
      <c r="AK24" t="e">
        <f t="shared" ca="1" si="0"/>
        <v>#N/A</v>
      </c>
      <c r="AL24" t="e">
        <f t="shared" ca="1" si="1"/>
        <v>#N/A</v>
      </c>
      <c r="AM24" t="e">
        <f t="shared" ca="1" si="2"/>
        <v>#N/A</v>
      </c>
      <c r="AN24" t="str">
        <f t="shared" si="14"/>
        <v>I</v>
      </c>
      <c r="AO24">
        <f t="shared" si="15"/>
        <v>25</v>
      </c>
      <c r="AP24">
        <f t="shared" si="16"/>
        <v>14</v>
      </c>
      <c r="AQ24" t="str">
        <f t="shared" ref="AQ24:AR29" si="18">AQ23</f>
        <v>II</v>
      </c>
      <c r="AR24">
        <f t="shared" si="18"/>
        <v>10</v>
      </c>
    </row>
    <row r="25" spans="1:44" x14ac:dyDescent="0.2">
      <c r="A25">
        <v>20</v>
      </c>
      <c r="B25" s="1">
        <v>240090600020</v>
      </c>
      <c r="C25" s="1" t="s">
        <v>223</v>
      </c>
      <c r="D25" s="1" t="s">
        <v>224</v>
      </c>
      <c r="E25" t="s">
        <v>225</v>
      </c>
      <c r="F25">
        <v>25</v>
      </c>
      <c r="G25">
        <v>37</v>
      </c>
      <c r="H25">
        <f t="shared" si="3"/>
        <v>62</v>
      </c>
      <c r="I25">
        <v>45</v>
      </c>
      <c r="J25">
        <v>41</v>
      </c>
      <c r="K25">
        <f t="shared" si="4"/>
        <v>86</v>
      </c>
      <c r="L25">
        <v>30</v>
      </c>
      <c r="M25">
        <v>36</v>
      </c>
      <c r="N25">
        <f t="shared" si="5"/>
        <v>66</v>
      </c>
      <c r="O25">
        <v>17</v>
      </c>
      <c r="P25">
        <v>32</v>
      </c>
      <c r="Q25">
        <f t="shared" si="6"/>
        <v>49</v>
      </c>
      <c r="R25">
        <v>30</v>
      </c>
      <c r="S25">
        <v>39</v>
      </c>
      <c r="T25">
        <f t="shared" si="7"/>
        <v>69</v>
      </c>
      <c r="V25">
        <v>30</v>
      </c>
      <c r="W25">
        <f t="shared" si="8"/>
        <v>30</v>
      </c>
      <c r="X25">
        <v>24</v>
      </c>
      <c r="Y25">
        <v>18</v>
      </c>
      <c r="Z25">
        <f t="shared" si="9"/>
        <v>42</v>
      </c>
      <c r="AA25">
        <v>22</v>
      </c>
      <c r="AB25">
        <v>14</v>
      </c>
      <c r="AC25">
        <f t="shared" si="10"/>
        <v>36</v>
      </c>
      <c r="AD25">
        <v>20</v>
      </c>
      <c r="AE25">
        <v>16</v>
      </c>
      <c r="AF25">
        <f t="shared" si="11"/>
        <v>36</v>
      </c>
      <c r="AG25">
        <v>25</v>
      </c>
      <c r="AH25">
        <v>17</v>
      </c>
      <c r="AI25">
        <f t="shared" si="12"/>
        <v>42</v>
      </c>
      <c r="AJ25" t="e">
        <f t="shared" ca="1" si="13"/>
        <v>#N/A</v>
      </c>
      <c r="AK25" t="e">
        <f t="shared" ca="1" si="0"/>
        <v>#N/A</v>
      </c>
      <c r="AL25" t="e">
        <f t="shared" ca="1" si="1"/>
        <v>#N/A</v>
      </c>
      <c r="AM25" t="e">
        <f t="shared" ca="1" si="2"/>
        <v>#N/A</v>
      </c>
      <c r="AN25" t="str">
        <f t="shared" si="14"/>
        <v>I</v>
      </c>
      <c r="AO25">
        <f t="shared" si="15"/>
        <v>25</v>
      </c>
      <c r="AP25">
        <f t="shared" si="16"/>
        <v>14</v>
      </c>
      <c r="AQ25" t="str">
        <f t="shared" si="18"/>
        <v>II</v>
      </c>
      <c r="AR25">
        <f t="shared" si="18"/>
        <v>10</v>
      </c>
    </row>
    <row r="26" spans="1:44" x14ac:dyDescent="0.2">
      <c r="A26">
        <v>21</v>
      </c>
      <c r="B26" s="1">
        <v>240090600021</v>
      </c>
      <c r="C26" s="1" t="s">
        <v>226</v>
      </c>
      <c r="D26" s="1" t="s">
        <v>227</v>
      </c>
      <c r="E26" t="s">
        <v>228</v>
      </c>
      <c r="F26">
        <v>64</v>
      </c>
      <c r="G26">
        <v>43</v>
      </c>
      <c r="H26">
        <f t="shared" si="3"/>
        <v>107</v>
      </c>
      <c r="I26">
        <v>67</v>
      </c>
      <c r="J26">
        <v>43</v>
      </c>
      <c r="K26">
        <f t="shared" si="4"/>
        <v>110</v>
      </c>
      <c r="L26">
        <v>53</v>
      </c>
      <c r="M26">
        <v>39</v>
      </c>
      <c r="N26">
        <f t="shared" si="5"/>
        <v>92</v>
      </c>
      <c r="O26">
        <v>57</v>
      </c>
      <c r="P26">
        <v>44</v>
      </c>
      <c r="Q26">
        <f t="shared" si="6"/>
        <v>101</v>
      </c>
      <c r="R26">
        <v>80</v>
      </c>
      <c r="S26">
        <v>43</v>
      </c>
      <c r="T26">
        <f t="shared" si="7"/>
        <v>123</v>
      </c>
      <c r="V26">
        <v>41</v>
      </c>
      <c r="W26">
        <f t="shared" si="8"/>
        <v>41</v>
      </c>
      <c r="X26">
        <v>25</v>
      </c>
      <c r="Y26">
        <v>17</v>
      </c>
      <c r="Z26">
        <f t="shared" si="9"/>
        <v>42</v>
      </c>
      <c r="AA26">
        <v>20</v>
      </c>
      <c r="AB26">
        <v>15</v>
      </c>
      <c r="AC26">
        <f t="shared" si="10"/>
        <v>35</v>
      </c>
      <c r="AD26">
        <v>22</v>
      </c>
      <c r="AE26">
        <v>17</v>
      </c>
      <c r="AF26">
        <f t="shared" si="11"/>
        <v>39</v>
      </c>
      <c r="AG26">
        <v>26</v>
      </c>
      <c r="AH26">
        <v>18</v>
      </c>
      <c r="AI26">
        <f t="shared" si="12"/>
        <v>44</v>
      </c>
      <c r="AJ26" t="e">
        <f t="shared" ca="1" si="13"/>
        <v>#N/A</v>
      </c>
      <c r="AK26" t="e">
        <f t="shared" ca="1" si="0"/>
        <v>#N/A</v>
      </c>
      <c r="AL26" t="e">
        <f t="shared" ca="1" si="1"/>
        <v>#N/A</v>
      </c>
      <c r="AM26" t="e">
        <f t="shared" ca="1" si="2"/>
        <v>#N/A</v>
      </c>
      <c r="AN26" t="str">
        <f t="shared" si="14"/>
        <v>I</v>
      </c>
      <c r="AO26">
        <f t="shared" si="15"/>
        <v>25</v>
      </c>
      <c r="AP26">
        <f t="shared" si="16"/>
        <v>14</v>
      </c>
      <c r="AQ26" t="str">
        <f t="shared" si="18"/>
        <v>II</v>
      </c>
      <c r="AR26">
        <f t="shared" si="18"/>
        <v>10</v>
      </c>
    </row>
    <row r="27" spans="1:44" x14ac:dyDescent="0.2">
      <c r="A27">
        <v>22</v>
      </c>
      <c r="B27" s="1">
        <v>240090600022</v>
      </c>
      <c r="C27" s="1" t="s">
        <v>229</v>
      </c>
      <c r="D27" s="1" t="s">
        <v>230</v>
      </c>
      <c r="E27" t="s">
        <v>231</v>
      </c>
      <c r="F27">
        <v>65</v>
      </c>
      <c r="G27">
        <v>42</v>
      </c>
      <c r="H27">
        <f t="shared" si="3"/>
        <v>107</v>
      </c>
      <c r="I27">
        <v>71</v>
      </c>
      <c r="J27">
        <v>40</v>
      </c>
      <c r="K27">
        <f t="shared" si="4"/>
        <v>111</v>
      </c>
      <c r="L27">
        <v>48</v>
      </c>
      <c r="M27">
        <v>45</v>
      </c>
      <c r="N27">
        <f t="shared" si="5"/>
        <v>93</v>
      </c>
      <c r="O27">
        <v>48</v>
      </c>
      <c r="P27">
        <v>41</v>
      </c>
      <c r="Q27">
        <f t="shared" si="6"/>
        <v>89</v>
      </c>
      <c r="R27">
        <v>74</v>
      </c>
      <c r="S27">
        <v>45</v>
      </c>
      <c r="T27">
        <f t="shared" si="7"/>
        <v>119</v>
      </c>
      <c r="V27">
        <v>39</v>
      </c>
      <c r="W27">
        <f t="shared" si="8"/>
        <v>39</v>
      </c>
      <c r="X27">
        <v>26</v>
      </c>
      <c r="Y27">
        <v>18</v>
      </c>
      <c r="Z27">
        <f t="shared" si="9"/>
        <v>44</v>
      </c>
      <c r="AA27">
        <v>22</v>
      </c>
      <c r="AB27">
        <v>18</v>
      </c>
      <c r="AC27">
        <f t="shared" si="10"/>
        <v>40</v>
      </c>
      <c r="AD27">
        <v>25</v>
      </c>
      <c r="AE27">
        <v>17</v>
      </c>
      <c r="AF27">
        <f t="shared" si="11"/>
        <v>42</v>
      </c>
      <c r="AG27">
        <v>26</v>
      </c>
      <c r="AH27">
        <v>19</v>
      </c>
      <c r="AI27">
        <f t="shared" si="12"/>
        <v>45</v>
      </c>
      <c r="AJ27" t="e">
        <f t="shared" ca="1" si="13"/>
        <v>#N/A</v>
      </c>
      <c r="AK27" t="e">
        <f t="shared" ca="1" si="0"/>
        <v>#N/A</v>
      </c>
      <c r="AL27" t="e">
        <f t="shared" ca="1" si="1"/>
        <v>#N/A</v>
      </c>
      <c r="AM27" t="e">
        <f t="shared" ca="1" si="2"/>
        <v>#N/A</v>
      </c>
      <c r="AN27" t="str">
        <f t="shared" si="14"/>
        <v>I</v>
      </c>
      <c r="AO27">
        <f t="shared" si="15"/>
        <v>25</v>
      </c>
      <c r="AP27">
        <f t="shared" si="16"/>
        <v>14</v>
      </c>
      <c r="AQ27" t="str">
        <f t="shared" si="18"/>
        <v>II</v>
      </c>
      <c r="AR27">
        <f t="shared" si="18"/>
        <v>10</v>
      </c>
    </row>
    <row r="28" spans="1:44" x14ac:dyDescent="0.2">
      <c r="A28">
        <v>23</v>
      </c>
      <c r="B28" s="1">
        <v>240090600023</v>
      </c>
      <c r="C28" t="s">
        <v>232</v>
      </c>
      <c r="D28" t="s">
        <v>233</v>
      </c>
      <c r="E28" t="s">
        <v>234</v>
      </c>
      <c r="F28">
        <v>50</v>
      </c>
      <c r="G28">
        <v>44</v>
      </c>
      <c r="H28">
        <f t="shared" si="3"/>
        <v>94</v>
      </c>
      <c r="I28">
        <v>63</v>
      </c>
      <c r="J28">
        <v>40</v>
      </c>
      <c r="K28">
        <f t="shared" si="4"/>
        <v>103</v>
      </c>
      <c r="L28">
        <v>53</v>
      </c>
      <c r="M28">
        <v>37</v>
      </c>
      <c r="N28">
        <f t="shared" si="5"/>
        <v>90</v>
      </c>
      <c r="O28">
        <v>53</v>
      </c>
      <c r="P28">
        <v>43</v>
      </c>
      <c r="Q28">
        <f t="shared" si="6"/>
        <v>96</v>
      </c>
      <c r="R28">
        <v>63</v>
      </c>
      <c r="S28">
        <v>44</v>
      </c>
      <c r="T28">
        <f t="shared" si="7"/>
        <v>107</v>
      </c>
      <c r="V28">
        <v>34</v>
      </c>
      <c r="W28">
        <f t="shared" si="8"/>
        <v>34</v>
      </c>
      <c r="X28">
        <v>24</v>
      </c>
      <c r="Y28">
        <v>16</v>
      </c>
      <c r="Z28">
        <f t="shared" si="9"/>
        <v>40</v>
      </c>
      <c r="AA28">
        <v>19</v>
      </c>
      <c r="AB28">
        <v>15</v>
      </c>
      <c r="AC28">
        <f t="shared" si="10"/>
        <v>34</v>
      </c>
      <c r="AD28">
        <v>20</v>
      </c>
      <c r="AE28">
        <v>16</v>
      </c>
      <c r="AF28">
        <f t="shared" si="11"/>
        <v>36</v>
      </c>
      <c r="AG28">
        <v>26</v>
      </c>
      <c r="AH28">
        <v>19</v>
      </c>
      <c r="AI28">
        <f t="shared" si="12"/>
        <v>45</v>
      </c>
      <c r="AJ28" t="e">
        <f t="shared" ca="1" si="13"/>
        <v>#N/A</v>
      </c>
      <c r="AK28" t="e">
        <f t="shared" ca="1" si="0"/>
        <v>#N/A</v>
      </c>
      <c r="AL28" t="e">
        <f t="shared" ca="1" si="1"/>
        <v>#N/A</v>
      </c>
      <c r="AM28" t="e">
        <f t="shared" ca="1" si="2"/>
        <v>#N/A</v>
      </c>
      <c r="AN28" t="str">
        <f t="shared" si="14"/>
        <v>I</v>
      </c>
      <c r="AO28">
        <f t="shared" si="15"/>
        <v>25</v>
      </c>
      <c r="AP28">
        <f t="shared" si="16"/>
        <v>14</v>
      </c>
      <c r="AQ28" t="str">
        <f t="shared" si="18"/>
        <v>II</v>
      </c>
      <c r="AR28">
        <f t="shared" si="18"/>
        <v>10</v>
      </c>
    </row>
    <row r="29" spans="1:44" x14ac:dyDescent="0.2">
      <c r="A29">
        <v>24</v>
      </c>
      <c r="B29" s="1">
        <v>240090600024</v>
      </c>
      <c r="C29" t="s">
        <v>235</v>
      </c>
      <c r="D29" t="s">
        <v>236</v>
      </c>
      <c r="E29" t="s">
        <v>237</v>
      </c>
      <c r="F29">
        <v>55</v>
      </c>
      <c r="G29">
        <v>36</v>
      </c>
      <c r="H29">
        <f t="shared" si="3"/>
        <v>91</v>
      </c>
      <c r="I29">
        <v>80</v>
      </c>
      <c r="J29">
        <v>45</v>
      </c>
      <c r="K29">
        <f t="shared" si="4"/>
        <v>125</v>
      </c>
      <c r="L29">
        <v>60</v>
      </c>
      <c r="M29">
        <v>38</v>
      </c>
      <c r="N29">
        <f t="shared" si="5"/>
        <v>98</v>
      </c>
      <c r="O29">
        <v>39</v>
      </c>
      <c r="P29">
        <v>44</v>
      </c>
      <c r="Q29">
        <f t="shared" si="6"/>
        <v>83</v>
      </c>
      <c r="R29">
        <v>66</v>
      </c>
      <c r="S29">
        <v>46</v>
      </c>
      <c r="T29">
        <f t="shared" si="7"/>
        <v>112</v>
      </c>
      <c r="V29">
        <v>35</v>
      </c>
      <c r="W29">
        <f t="shared" si="8"/>
        <v>35</v>
      </c>
      <c r="X29">
        <v>28</v>
      </c>
      <c r="Y29">
        <v>19</v>
      </c>
      <c r="Z29">
        <f t="shared" si="9"/>
        <v>47</v>
      </c>
      <c r="AA29">
        <v>19</v>
      </c>
      <c r="AB29">
        <v>15</v>
      </c>
      <c r="AC29">
        <f t="shared" si="10"/>
        <v>34</v>
      </c>
      <c r="AD29">
        <v>23</v>
      </c>
      <c r="AE29">
        <v>17</v>
      </c>
      <c r="AF29">
        <f t="shared" si="11"/>
        <v>40</v>
      </c>
      <c r="AG29">
        <v>27</v>
      </c>
      <c r="AH29">
        <v>19</v>
      </c>
      <c r="AI29">
        <f t="shared" si="12"/>
        <v>46</v>
      </c>
      <c r="AJ29" t="e">
        <f t="shared" ca="1" si="13"/>
        <v>#N/A</v>
      </c>
      <c r="AK29" t="e">
        <f t="shared" ca="1" si="0"/>
        <v>#N/A</v>
      </c>
      <c r="AL29" t="e">
        <f t="shared" ca="1" si="1"/>
        <v>#N/A</v>
      </c>
      <c r="AM29" t="e">
        <f t="shared" ca="1" si="2"/>
        <v>#N/A</v>
      </c>
      <c r="AN29" t="str">
        <f t="shared" si="14"/>
        <v>I</v>
      </c>
      <c r="AO29">
        <f t="shared" si="15"/>
        <v>25</v>
      </c>
      <c r="AP29">
        <f t="shared" si="16"/>
        <v>14</v>
      </c>
      <c r="AQ29" t="str">
        <f t="shared" si="18"/>
        <v>II</v>
      </c>
      <c r="AR29">
        <f t="shared" si="18"/>
        <v>10</v>
      </c>
    </row>
    <row r="30" spans="1:44" x14ac:dyDescent="0.2">
      <c r="A30">
        <v>25</v>
      </c>
      <c r="B30" s="1">
        <v>240090600025</v>
      </c>
      <c r="C30" t="s">
        <v>238</v>
      </c>
      <c r="D30" t="s">
        <v>239</v>
      </c>
      <c r="E30" t="s">
        <v>240</v>
      </c>
      <c r="F30">
        <v>47</v>
      </c>
      <c r="G30">
        <v>41</v>
      </c>
      <c r="H30">
        <f t="shared" si="3"/>
        <v>88</v>
      </c>
      <c r="I30">
        <v>45</v>
      </c>
      <c r="J30">
        <v>38</v>
      </c>
      <c r="K30">
        <f t="shared" si="4"/>
        <v>83</v>
      </c>
      <c r="L30">
        <v>49</v>
      </c>
      <c r="M30">
        <v>36</v>
      </c>
      <c r="N30">
        <f t="shared" si="5"/>
        <v>85</v>
      </c>
      <c r="O30">
        <v>22</v>
      </c>
      <c r="P30">
        <v>31</v>
      </c>
      <c r="Q30">
        <f t="shared" si="6"/>
        <v>53</v>
      </c>
      <c r="R30">
        <v>51</v>
      </c>
      <c r="S30">
        <v>33</v>
      </c>
      <c r="T30">
        <f t="shared" si="7"/>
        <v>84</v>
      </c>
      <c r="V30">
        <v>25</v>
      </c>
      <c r="W30">
        <f t="shared" si="8"/>
        <v>25</v>
      </c>
      <c r="X30">
        <v>23</v>
      </c>
      <c r="Y30">
        <v>17</v>
      </c>
      <c r="Z30">
        <f t="shared" si="9"/>
        <v>40</v>
      </c>
      <c r="AA30">
        <v>23</v>
      </c>
      <c r="AB30">
        <v>14</v>
      </c>
      <c r="AC30">
        <f t="shared" si="10"/>
        <v>37</v>
      </c>
      <c r="AD30">
        <v>21</v>
      </c>
      <c r="AE30">
        <v>16</v>
      </c>
      <c r="AF30">
        <f t="shared" si="11"/>
        <v>37</v>
      </c>
      <c r="AG30">
        <v>24</v>
      </c>
      <c r="AH30">
        <v>16</v>
      </c>
      <c r="AI30">
        <f t="shared" si="12"/>
        <v>40</v>
      </c>
      <c r="AJ30" t="e">
        <f t="shared" ref="AJ30" ca="1" si="19">IF(LEFT(B30,1)="7",0,INDEX(INDIRECT(_xlfn.TEXTJOIN("",TRUE,"SEM_",AN30,"!",ADDRESS(6,5+AP30*3+1),":",ADDRESS(5+AO30,5+AP30*3+1))),MATCH(B30,INDIRECT(_xlfn.TEXTJOIN("",TRUE,"SEM_",AN30,"!",ADDRESS(6,2),":",ADDRESS(5+AO30,2))),0)))+INDIRECT(_xlfn.TEXTJOIN("",TRUE,"TC_",AQ30,"!",ADDRESS(4+A30*(AR30+9),13)))</f>
        <v>#N/A</v>
      </c>
      <c r="AK30" t="e">
        <f t="shared" ref="AK30" ca="1" si="20">IF(LEFT(B30,1)="7",0,INDEX(INDIRECT(_xlfn.TEXTJOIN("",TRUE,"SEM_",AN30,"!",ADDRESS(6,5+AP30*3+2),":",ADDRESS(5+AO30,5+AP30*3+2))),MATCH(B30,INDIRECT(_xlfn.TEXTJOIN("",TRUE,"SEM_",AN30,"!",ADDRESS(6,2),":",ADDRESS(5+AO30,2))),0)))+INDIRECT(_xlfn.TEXTJOIN("",TRUE,"TC_",AQ30,"!",ADDRESS(5+A30*(AR30+9),12)))</f>
        <v>#N/A</v>
      </c>
      <c r="AL30" t="e">
        <f t="shared" ref="AL30" ca="1" si="21">IF(INDIRECT(_xlfn.TEXTJOIN("",TRUE,"TC_",AQ30,"!",ADDRESS(4+A30*(AR30+9),23))),SUM(INDIRECT(_xlfn.TEXTJOIN("",TRUE,"TC_",AQ30,"!",ADDRESS(4+A30*(AR30+9)-AR30,23),":",ADDRESS(3+A30*(AR30+9),23)))),0)</f>
        <v>#N/A</v>
      </c>
      <c r="AM30" t="e">
        <f t="shared" ref="AM30" ca="1" si="22">IF(LEFT(B30,1)="7",AJ30/$AK$4,AJ30/$AK$3)</f>
        <v>#N/A</v>
      </c>
      <c r="AN30" t="str">
        <f t="shared" si="14"/>
        <v>I</v>
      </c>
      <c r="AO30">
        <f t="shared" si="15"/>
        <v>25</v>
      </c>
      <c r="AP30">
        <f t="shared" si="16"/>
        <v>14</v>
      </c>
      <c r="AQ30" t="str">
        <f t="shared" si="16"/>
        <v>II</v>
      </c>
      <c r="AR30">
        <f t="shared" si="16"/>
        <v>10</v>
      </c>
    </row>
    <row r="31" spans="1:44" x14ac:dyDescent="0.2">
      <c r="B31" s="1"/>
    </row>
    <row r="32" spans="1:44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6FF9-F76B-43CE-9E25-326D14848845}">
  <dimension ref="A1:AR44"/>
  <sheetViews>
    <sheetView zoomScaleNormal="100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A6" sqref="A6:E30"/>
    </sheetView>
  </sheetViews>
  <sheetFormatPr baseColWidth="10" defaultColWidth="8.83203125" defaultRowHeight="15" x14ac:dyDescent="0.2"/>
  <cols>
    <col min="1" max="1" width="5.33203125" bestFit="1" customWidth="1"/>
    <col min="2" max="3" width="15.5" bestFit="1" customWidth="1"/>
    <col min="4" max="4" width="23" bestFit="1" customWidth="1"/>
    <col min="5" max="5" width="26.5" bestFit="1" customWidth="1"/>
  </cols>
  <sheetData>
    <row r="1" spans="1:44" ht="14.75" customHeight="1" x14ac:dyDescent="0.2">
      <c r="A1" t="s">
        <v>22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155</v>
      </c>
      <c r="I1" t="s">
        <v>106</v>
      </c>
      <c r="L1" t="s">
        <v>159</v>
      </c>
      <c r="O1" t="s">
        <v>108</v>
      </c>
      <c r="R1" t="s">
        <v>161</v>
      </c>
      <c r="U1" t="s">
        <v>109</v>
      </c>
      <c r="X1" t="s">
        <v>111</v>
      </c>
      <c r="AA1" t="s">
        <v>112</v>
      </c>
      <c r="AD1" t="s">
        <v>114</v>
      </c>
      <c r="AG1" t="s">
        <v>116</v>
      </c>
      <c r="AJ1" t="s">
        <v>45</v>
      </c>
      <c r="AK1" t="s">
        <v>46</v>
      </c>
      <c r="AL1" t="s">
        <v>47</v>
      </c>
      <c r="AM1" t="s">
        <v>48</v>
      </c>
    </row>
    <row r="2" spans="1:44" ht="14.75" customHeight="1" x14ac:dyDescent="0.2">
      <c r="A2" t="s">
        <v>23</v>
      </c>
      <c r="B2" s="12"/>
      <c r="C2" s="12"/>
      <c r="D2" s="12"/>
      <c r="E2" s="12"/>
      <c r="F2" t="s">
        <v>104</v>
      </c>
      <c r="I2" t="s">
        <v>105</v>
      </c>
      <c r="L2" t="s">
        <v>160</v>
      </c>
      <c r="O2" t="s">
        <v>107</v>
      </c>
      <c r="R2" t="s">
        <v>162</v>
      </c>
      <c r="U2" t="s">
        <v>110</v>
      </c>
      <c r="X2" t="s">
        <v>58</v>
      </c>
      <c r="AA2" t="s">
        <v>113</v>
      </c>
      <c r="AD2" t="s">
        <v>115</v>
      </c>
      <c r="AG2" t="s">
        <v>117</v>
      </c>
    </row>
    <row r="3" spans="1:44" x14ac:dyDescent="0.2">
      <c r="A3" t="s">
        <v>13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4</v>
      </c>
      <c r="U3">
        <v>4</v>
      </c>
      <c r="X3">
        <v>3</v>
      </c>
      <c r="AA3">
        <v>1</v>
      </c>
      <c r="AD3">
        <v>2</v>
      </c>
      <c r="AG3">
        <v>2</v>
      </c>
      <c r="AK3">
        <f ca="1">INDIRECT(_xlfn.TEXTJOIN("",TRUE,"SEM_",AN6,"!",ADDRESS(3,5+AP6*3+2)))+SUM(F3:AI3)-4-4</f>
        <v>72</v>
      </c>
    </row>
    <row r="4" spans="1:44" x14ac:dyDescent="0.2">
      <c r="B4" s="12"/>
      <c r="C4" s="12"/>
      <c r="D4" s="12"/>
      <c r="E4" s="12"/>
      <c r="F4" t="s">
        <v>4</v>
      </c>
      <c r="G4" t="s">
        <v>5</v>
      </c>
      <c r="H4" t="s">
        <v>6</v>
      </c>
      <c r="I4" t="s">
        <v>4</v>
      </c>
      <c r="J4" t="s">
        <v>5</v>
      </c>
      <c r="K4" t="s">
        <v>6</v>
      </c>
      <c r="L4" t="s">
        <v>4</v>
      </c>
      <c r="M4" t="s">
        <v>5</v>
      </c>
      <c r="N4" t="s">
        <v>6</v>
      </c>
      <c r="O4" t="s">
        <v>4</v>
      </c>
      <c r="P4" t="s">
        <v>5</v>
      </c>
      <c r="Q4" t="s">
        <v>6</v>
      </c>
      <c r="R4" t="s">
        <v>4</v>
      </c>
      <c r="S4" t="s">
        <v>5</v>
      </c>
      <c r="T4" t="s">
        <v>6</v>
      </c>
      <c r="U4" t="s">
        <v>7</v>
      </c>
      <c r="V4" t="s">
        <v>5</v>
      </c>
      <c r="W4" t="s">
        <v>6</v>
      </c>
      <c r="X4" t="s">
        <v>7</v>
      </c>
      <c r="Y4" t="s">
        <v>5</v>
      </c>
      <c r="Z4" t="s">
        <v>6</v>
      </c>
      <c r="AA4" t="s">
        <v>7</v>
      </c>
      <c r="AB4" t="s">
        <v>5</v>
      </c>
      <c r="AC4" t="s">
        <v>6</v>
      </c>
      <c r="AD4" t="s">
        <v>7</v>
      </c>
      <c r="AE4" t="s">
        <v>5</v>
      </c>
      <c r="AF4" t="s">
        <v>6</v>
      </c>
      <c r="AG4" t="s">
        <v>7</v>
      </c>
      <c r="AH4" t="s">
        <v>5</v>
      </c>
      <c r="AI4" t="s">
        <v>6</v>
      </c>
      <c r="AK4">
        <f>SUM(F3:AI3)-4-4</f>
        <v>24</v>
      </c>
    </row>
    <row r="5" spans="1:44" x14ac:dyDescent="0.2">
      <c r="A5" t="s">
        <v>43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100</v>
      </c>
      <c r="S5">
        <v>50</v>
      </c>
      <c r="T5">
        <v>150</v>
      </c>
      <c r="U5">
        <v>100</v>
      </c>
      <c r="V5">
        <v>50</v>
      </c>
      <c r="W5">
        <v>150</v>
      </c>
      <c r="X5">
        <v>100</v>
      </c>
      <c r="Y5">
        <v>50</v>
      </c>
      <c r="Z5">
        <v>150</v>
      </c>
      <c r="AA5">
        <v>30</v>
      </c>
      <c r="AB5">
        <v>20</v>
      </c>
      <c r="AC5">
        <v>50</v>
      </c>
      <c r="AD5">
        <v>0</v>
      </c>
      <c r="AE5">
        <v>100</v>
      </c>
      <c r="AF5">
        <v>100</v>
      </c>
      <c r="AG5">
        <v>50</v>
      </c>
      <c r="AH5">
        <v>50</v>
      </c>
      <c r="AI5">
        <v>100</v>
      </c>
    </row>
    <row r="6" spans="1:44" x14ac:dyDescent="0.2">
      <c r="A6">
        <v>1</v>
      </c>
      <c r="B6" s="1">
        <v>240090600001</v>
      </c>
      <c r="C6" s="1" t="s">
        <v>167</v>
      </c>
      <c r="D6" s="1" t="s">
        <v>168</v>
      </c>
      <c r="E6" s="1" t="s">
        <v>169</v>
      </c>
      <c r="AJ6" t="e">
        <f t="shared" ref="AJ6:AJ28" ca="1" si="0">IF(LEFT(B6,1)="7",0,INDEX(INDIRECT(_xlfn.TEXTJOIN("",TRUE,"SEM_",AN6,"!",ADDRESS(6,5+AP6*3+1),":",ADDRESS(5+AO6,5+AP6*3+1))),MATCH(B6,INDIRECT(_xlfn.TEXTJOIN("",TRUE,"SEM_",AN6,"!",ADDRESS(6,2),":",ADDRESS(5+AO6,2))),0)))+INDIRECT(_xlfn.TEXTJOIN("",TRUE,"TC_",AQ6,"!",ADDRESS(4+A6*(AR6+9),13)))</f>
        <v>#N/A</v>
      </c>
      <c r="AK6" t="e">
        <f t="shared" ref="AK6:AK28" ca="1" si="1">IF(LEFT(B6,1)="7",0,INDEX(INDIRECT(_xlfn.TEXTJOIN("",TRUE,"SEM_",AN6,"!",ADDRESS(6,5+AP6*3+2),":",ADDRESS(5+AO6,5+AP6*3+2))),MATCH(B6,INDIRECT(_xlfn.TEXTJOIN("",TRUE,"SEM_",AN6,"!",ADDRESS(6,2),":",ADDRESS(5+AO6,2))),0)))+INDIRECT(_xlfn.TEXTJOIN("",TRUE,"TC_",AQ6,"!",ADDRESS(5+A6*(AR6+9),12)))</f>
        <v>#N/A</v>
      </c>
      <c r="AL6">
        <f t="shared" ref="AL6:AL28" ca="1" si="2">IF(INDIRECT(_xlfn.TEXTJOIN("",TRUE,"TC_",AQ6,"!",ADDRESS(4+A6*(AR6+9),23))),SUM(INDIRECT(_xlfn.TEXTJOIN("",TRUE,"TC_",AQ6,"!",ADDRESS(4+A6*(AR6+9)-AR6,23),":",ADDRESS(3+A6*(AR6+9),23)))),0)</f>
        <v>0</v>
      </c>
      <c r="AM6" t="e">
        <f t="shared" ref="AM6:AM28" ca="1" si="3">IF(LEFT(B6,1)="7",AJ6/$AK$4,AJ6/$AK$3)</f>
        <v>#N/A</v>
      </c>
      <c r="AN6" t="s">
        <v>56</v>
      </c>
      <c r="AO6">
        <v>25</v>
      </c>
      <c r="AP6">
        <v>10</v>
      </c>
      <c r="AQ6" t="s">
        <v>59</v>
      </c>
      <c r="AR6">
        <v>8</v>
      </c>
    </row>
    <row r="7" spans="1:44" x14ac:dyDescent="0.2">
      <c r="A7">
        <v>2</v>
      </c>
      <c r="B7" s="1">
        <v>240090600002</v>
      </c>
      <c r="C7" s="1" t="s">
        <v>170</v>
      </c>
      <c r="D7" s="1" t="s">
        <v>171</v>
      </c>
      <c r="E7" s="1" t="s">
        <v>172</v>
      </c>
      <c r="AJ7" t="e">
        <f t="shared" ca="1" si="0"/>
        <v>#N/A</v>
      </c>
      <c r="AK7" t="e">
        <f t="shared" ca="1" si="1"/>
        <v>#N/A</v>
      </c>
      <c r="AL7">
        <f t="shared" ca="1" si="2"/>
        <v>0</v>
      </c>
      <c r="AM7" t="e">
        <f t="shared" ca="1" si="3"/>
        <v>#N/A</v>
      </c>
      <c r="AN7" t="str">
        <f>AN6</f>
        <v>II</v>
      </c>
      <c r="AO7">
        <f>AO6</f>
        <v>25</v>
      </c>
      <c r="AP7">
        <f>AP6</f>
        <v>10</v>
      </c>
      <c r="AQ7" t="str">
        <f>AQ6</f>
        <v>III</v>
      </c>
      <c r="AR7">
        <f>AR6</f>
        <v>8</v>
      </c>
    </row>
    <row r="8" spans="1:44" x14ac:dyDescent="0.2">
      <c r="A8">
        <v>3</v>
      </c>
      <c r="B8" s="1">
        <v>240090600003</v>
      </c>
      <c r="C8" s="1" t="s">
        <v>173</v>
      </c>
      <c r="D8" s="1" t="s">
        <v>174</v>
      </c>
      <c r="E8" t="s">
        <v>175</v>
      </c>
      <c r="AJ8" t="e">
        <f t="shared" ca="1" si="0"/>
        <v>#N/A</v>
      </c>
      <c r="AK8" t="e">
        <f t="shared" ca="1" si="1"/>
        <v>#N/A</v>
      </c>
      <c r="AL8">
        <f t="shared" ca="1" si="2"/>
        <v>0</v>
      </c>
      <c r="AM8" t="e">
        <f t="shared" ca="1" si="3"/>
        <v>#N/A</v>
      </c>
      <c r="AN8" t="str">
        <f t="shared" ref="AN8:AR28" si="4">AN7</f>
        <v>II</v>
      </c>
      <c r="AO8">
        <f t="shared" si="4"/>
        <v>25</v>
      </c>
      <c r="AP8">
        <f t="shared" si="4"/>
        <v>10</v>
      </c>
      <c r="AQ8" t="str">
        <f t="shared" si="4"/>
        <v>III</v>
      </c>
      <c r="AR8">
        <f t="shared" si="4"/>
        <v>8</v>
      </c>
    </row>
    <row r="9" spans="1:44" x14ac:dyDescent="0.2">
      <c r="A9">
        <v>4</v>
      </c>
      <c r="B9" s="1">
        <v>240090600004</v>
      </c>
      <c r="C9" s="1" t="s">
        <v>176</v>
      </c>
      <c r="D9" s="1" t="s">
        <v>177</v>
      </c>
      <c r="E9" t="s">
        <v>178</v>
      </c>
      <c r="AJ9" t="e">
        <f t="shared" ca="1" si="0"/>
        <v>#N/A</v>
      </c>
      <c r="AK9" t="e">
        <f t="shared" ca="1" si="1"/>
        <v>#N/A</v>
      </c>
      <c r="AL9">
        <f t="shared" ca="1" si="2"/>
        <v>0</v>
      </c>
      <c r="AM9" t="e">
        <f t="shared" ca="1" si="3"/>
        <v>#N/A</v>
      </c>
      <c r="AN9" t="str">
        <f t="shared" si="4"/>
        <v>II</v>
      </c>
      <c r="AO9">
        <f t="shared" si="4"/>
        <v>25</v>
      </c>
      <c r="AP9">
        <f t="shared" si="4"/>
        <v>10</v>
      </c>
      <c r="AQ9" t="str">
        <f t="shared" si="4"/>
        <v>III</v>
      </c>
      <c r="AR9">
        <f t="shared" si="4"/>
        <v>8</v>
      </c>
    </row>
    <row r="10" spans="1:44" x14ac:dyDescent="0.2">
      <c r="A10">
        <v>5</v>
      </c>
      <c r="B10" s="1">
        <v>240090600005</v>
      </c>
      <c r="C10" s="1" t="s">
        <v>179</v>
      </c>
      <c r="D10" s="1" t="s">
        <v>180</v>
      </c>
      <c r="E10" t="s">
        <v>181</v>
      </c>
      <c r="AJ10" t="e">
        <f t="shared" ca="1" si="0"/>
        <v>#N/A</v>
      </c>
      <c r="AK10" t="e">
        <f t="shared" ca="1" si="1"/>
        <v>#N/A</v>
      </c>
      <c r="AL10">
        <f t="shared" ca="1" si="2"/>
        <v>0</v>
      </c>
      <c r="AM10" t="e">
        <f t="shared" ca="1" si="3"/>
        <v>#N/A</v>
      </c>
      <c r="AN10" t="str">
        <f t="shared" si="4"/>
        <v>II</v>
      </c>
      <c r="AO10">
        <f t="shared" si="4"/>
        <v>25</v>
      </c>
      <c r="AP10">
        <f t="shared" si="4"/>
        <v>10</v>
      </c>
      <c r="AQ10" t="str">
        <f t="shared" si="4"/>
        <v>III</v>
      </c>
      <c r="AR10">
        <f t="shared" si="4"/>
        <v>8</v>
      </c>
    </row>
    <row r="11" spans="1:44" x14ac:dyDescent="0.2">
      <c r="A11">
        <v>6</v>
      </c>
      <c r="B11" s="1">
        <v>240090600006</v>
      </c>
      <c r="C11" s="1" t="s">
        <v>182</v>
      </c>
      <c r="D11" s="1" t="s">
        <v>183</v>
      </c>
      <c r="E11" t="s">
        <v>184</v>
      </c>
      <c r="AJ11" t="e">
        <f t="shared" ca="1" si="0"/>
        <v>#N/A</v>
      </c>
      <c r="AK11" t="e">
        <f t="shared" ca="1" si="1"/>
        <v>#N/A</v>
      </c>
      <c r="AL11">
        <f t="shared" ca="1" si="2"/>
        <v>0</v>
      </c>
      <c r="AM11" t="e">
        <f t="shared" ca="1" si="3"/>
        <v>#N/A</v>
      </c>
      <c r="AN11" t="str">
        <f t="shared" si="4"/>
        <v>II</v>
      </c>
      <c r="AO11">
        <f t="shared" si="4"/>
        <v>25</v>
      </c>
      <c r="AP11">
        <f t="shared" si="4"/>
        <v>10</v>
      </c>
      <c r="AQ11" t="str">
        <f t="shared" si="4"/>
        <v>III</v>
      </c>
      <c r="AR11">
        <f t="shared" si="4"/>
        <v>8</v>
      </c>
    </row>
    <row r="12" spans="1:44" x14ac:dyDescent="0.2">
      <c r="A12">
        <v>7</v>
      </c>
      <c r="B12" s="1">
        <v>240090600007</v>
      </c>
      <c r="C12" s="1" t="s">
        <v>185</v>
      </c>
      <c r="D12" s="1" t="s">
        <v>186</v>
      </c>
      <c r="E12" t="s">
        <v>187</v>
      </c>
      <c r="AJ12" t="e">
        <f t="shared" ca="1" si="0"/>
        <v>#N/A</v>
      </c>
      <c r="AK12" t="e">
        <f t="shared" ca="1" si="1"/>
        <v>#N/A</v>
      </c>
      <c r="AL12">
        <f t="shared" ca="1" si="2"/>
        <v>0</v>
      </c>
      <c r="AM12" t="e">
        <f t="shared" ca="1" si="3"/>
        <v>#N/A</v>
      </c>
      <c r="AN12" t="str">
        <f t="shared" si="4"/>
        <v>II</v>
      </c>
      <c r="AO12">
        <f t="shared" si="4"/>
        <v>25</v>
      </c>
      <c r="AP12">
        <f t="shared" si="4"/>
        <v>10</v>
      </c>
      <c r="AQ12" t="str">
        <f t="shared" si="4"/>
        <v>III</v>
      </c>
      <c r="AR12">
        <f t="shared" si="4"/>
        <v>8</v>
      </c>
    </row>
    <row r="13" spans="1:44" x14ac:dyDescent="0.2">
      <c r="A13">
        <v>8</v>
      </c>
      <c r="B13" s="1">
        <v>240090600008</v>
      </c>
      <c r="C13" s="1" t="s">
        <v>188</v>
      </c>
      <c r="D13" s="1" t="s">
        <v>189</v>
      </c>
      <c r="E13" t="s">
        <v>190</v>
      </c>
      <c r="AJ13" t="e">
        <f t="shared" ca="1" si="0"/>
        <v>#N/A</v>
      </c>
      <c r="AK13" t="e">
        <f t="shared" ca="1" si="1"/>
        <v>#N/A</v>
      </c>
      <c r="AL13">
        <f t="shared" ca="1" si="2"/>
        <v>0</v>
      </c>
      <c r="AM13" t="e">
        <f t="shared" ca="1" si="3"/>
        <v>#N/A</v>
      </c>
      <c r="AN13" t="str">
        <f t="shared" si="4"/>
        <v>II</v>
      </c>
      <c r="AO13">
        <f t="shared" si="4"/>
        <v>25</v>
      </c>
      <c r="AP13">
        <f t="shared" si="4"/>
        <v>10</v>
      </c>
      <c r="AQ13" t="str">
        <f t="shared" si="4"/>
        <v>III</v>
      </c>
      <c r="AR13">
        <f t="shared" si="4"/>
        <v>8</v>
      </c>
    </row>
    <row r="14" spans="1:44" x14ac:dyDescent="0.2">
      <c r="A14">
        <v>9</v>
      </c>
      <c r="B14" s="1">
        <v>240090600009</v>
      </c>
      <c r="C14" s="1" t="s">
        <v>191</v>
      </c>
      <c r="D14" s="1" t="s">
        <v>192</v>
      </c>
      <c r="E14" t="s">
        <v>193</v>
      </c>
      <c r="AJ14" t="e">
        <f t="shared" ca="1" si="0"/>
        <v>#N/A</v>
      </c>
      <c r="AK14" t="e">
        <f t="shared" ca="1" si="1"/>
        <v>#N/A</v>
      </c>
      <c r="AL14">
        <f t="shared" ca="1" si="2"/>
        <v>0</v>
      </c>
      <c r="AM14" t="e">
        <f t="shared" ca="1" si="3"/>
        <v>#N/A</v>
      </c>
      <c r="AN14" t="str">
        <f t="shared" si="4"/>
        <v>II</v>
      </c>
      <c r="AO14">
        <f t="shared" si="4"/>
        <v>25</v>
      </c>
      <c r="AP14">
        <f t="shared" si="4"/>
        <v>10</v>
      </c>
      <c r="AQ14" t="str">
        <f t="shared" si="4"/>
        <v>III</v>
      </c>
      <c r="AR14">
        <f t="shared" si="4"/>
        <v>8</v>
      </c>
    </row>
    <row r="15" spans="1:44" x14ac:dyDescent="0.2">
      <c r="A15">
        <v>10</v>
      </c>
      <c r="B15" s="1">
        <v>240090600010</v>
      </c>
      <c r="C15" s="1" t="s">
        <v>194</v>
      </c>
      <c r="D15" s="1" t="s">
        <v>195</v>
      </c>
      <c r="E15" t="s">
        <v>196</v>
      </c>
      <c r="AJ15" t="e">
        <f t="shared" ca="1" si="0"/>
        <v>#N/A</v>
      </c>
      <c r="AK15" t="e">
        <f t="shared" ca="1" si="1"/>
        <v>#N/A</v>
      </c>
      <c r="AL15">
        <f t="shared" ca="1" si="2"/>
        <v>0</v>
      </c>
      <c r="AM15" t="e">
        <f t="shared" ca="1" si="3"/>
        <v>#N/A</v>
      </c>
      <c r="AN15" t="str">
        <f t="shared" si="4"/>
        <v>II</v>
      </c>
      <c r="AO15">
        <f t="shared" si="4"/>
        <v>25</v>
      </c>
      <c r="AP15">
        <f t="shared" si="4"/>
        <v>10</v>
      </c>
      <c r="AQ15" t="str">
        <f t="shared" si="4"/>
        <v>III</v>
      </c>
      <c r="AR15">
        <f t="shared" si="4"/>
        <v>8</v>
      </c>
    </row>
    <row r="16" spans="1:44" x14ac:dyDescent="0.2">
      <c r="A16">
        <v>11</v>
      </c>
      <c r="B16" s="1">
        <v>240090600011</v>
      </c>
      <c r="C16" s="1" t="s">
        <v>197</v>
      </c>
      <c r="D16" s="1" t="s">
        <v>198</v>
      </c>
      <c r="E16" t="s">
        <v>199</v>
      </c>
      <c r="AJ16" t="e">
        <f t="shared" ca="1" si="0"/>
        <v>#N/A</v>
      </c>
      <c r="AK16" t="e">
        <f t="shared" ca="1" si="1"/>
        <v>#N/A</v>
      </c>
      <c r="AL16">
        <f t="shared" ca="1" si="2"/>
        <v>0</v>
      </c>
      <c r="AM16" t="e">
        <f t="shared" ca="1" si="3"/>
        <v>#N/A</v>
      </c>
      <c r="AN16" t="str">
        <f t="shared" si="4"/>
        <v>II</v>
      </c>
      <c r="AO16">
        <f t="shared" si="4"/>
        <v>25</v>
      </c>
      <c r="AP16">
        <f t="shared" si="4"/>
        <v>10</v>
      </c>
      <c r="AQ16" t="str">
        <f t="shared" si="4"/>
        <v>III</v>
      </c>
      <c r="AR16">
        <f t="shared" si="4"/>
        <v>8</v>
      </c>
    </row>
    <row r="17" spans="1:44" x14ac:dyDescent="0.2">
      <c r="A17">
        <v>12</v>
      </c>
      <c r="B17" s="1">
        <v>240090600012</v>
      </c>
      <c r="C17" s="1" t="s">
        <v>200</v>
      </c>
      <c r="D17" s="1" t="s">
        <v>201</v>
      </c>
      <c r="E17" t="s">
        <v>202</v>
      </c>
      <c r="AJ17" t="e">
        <f t="shared" ca="1" si="0"/>
        <v>#N/A</v>
      </c>
      <c r="AK17" t="e">
        <f t="shared" ca="1" si="1"/>
        <v>#N/A</v>
      </c>
      <c r="AL17">
        <f t="shared" ca="1" si="2"/>
        <v>0</v>
      </c>
      <c r="AM17" t="e">
        <f t="shared" ca="1" si="3"/>
        <v>#N/A</v>
      </c>
      <c r="AN17" t="str">
        <f t="shared" si="4"/>
        <v>II</v>
      </c>
      <c r="AO17">
        <f t="shared" si="4"/>
        <v>25</v>
      </c>
      <c r="AP17">
        <f t="shared" si="4"/>
        <v>10</v>
      </c>
      <c r="AQ17" t="str">
        <f t="shared" si="4"/>
        <v>III</v>
      </c>
      <c r="AR17">
        <f t="shared" si="4"/>
        <v>8</v>
      </c>
    </row>
    <row r="18" spans="1:44" x14ac:dyDescent="0.2">
      <c r="A18">
        <v>13</v>
      </c>
      <c r="B18" s="1">
        <v>240090600013</v>
      </c>
      <c r="C18" s="1" t="s">
        <v>203</v>
      </c>
      <c r="D18" s="1" t="s">
        <v>204</v>
      </c>
      <c r="E18" t="s">
        <v>205</v>
      </c>
      <c r="AJ18" t="e">
        <f t="shared" ca="1" si="0"/>
        <v>#N/A</v>
      </c>
      <c r="AK18" t="e">
        <f t="shared" ca="1" si="1"/>
        <v>#N/A</v>
      </c>
      <c r="AL18">
        <f t="shared" ca="1" si="2"/>
        <v>0</v>
      </c>
      <c r="AM18" t="e">
        <f t="shared" ca="1" si="3"/>
        <v>#N/A</v>
      </c>
      <c r="AN18" t="str">
        <f t="shared" si="4"/>
        <v>II</v>
      </c>
      <c r="AO18">
        <f t="shared" si="4"/>
        <v>25</v>
      </c>
      <c r="AP18">
        <f t="shared" si="4"/>
        <v>10</v>
      </c>
      <c r="AQ18" t="str">
        <f t="shared" si="4"/>
        <v>III</v>
      </c>
      <c r="AR18">
        <f t="shared" si="4"/>
        <v>8</v>
      </c>
    </row>
    <row r="19" spans="1:44" x14ac:dyDescent="0.2">
      <c r="A19">
        <v>14</v>
      </c>
      <c r="B19" s="1">
        <v>240090600014</v>
      </c>
      <c r="C19" s="1" t="s">
        <v>206</v>
      </c>
      <c r="D19" s="1" t="s">
        <v>207</v>
      </c>
      <c r="E19" t="s">
        <v>208</v>
      </c>
      <c r="AJ19" t="e">
        <f t="shared" ca="1" si="0"/>
        <v>#N/A</v>
      </c>
      <c r="AK19" t="e">
        <f t="shared" ca="1" si="1"/>
        <v>#N/A</v>
      </c>
      <c r="AL19">
        <f t="shared" ca="1" si="2"/>
        <v>0</v>
      </c>
      <c r="AM19" t="e">
        <f t="shared" ca="1" si="3"/>
        <v>#N/A</v>
      </c>
      <c r="AN19" t="str">
        <f t="shared" si="4"/>
        <v>II</v>
      </c>
      <c r="AO19">
        <f t="shared" si="4"/>
        <v>25</v>
      </c>
      <c r="AP19">
        <f t="shared" si="4"/>
        <v>10</v>
      </c>
      <c r="AQ19" t="str">
        <f t="shared" si="4"/>
        <v>III</v>
      </c>
      <c r="AR19">
        <f t="shared" si="4"/>
        <v>8</v>
      </c>
    </row>
    <row r="20" spans="1:44" x14ac:dyDescent="0.2">
      <c r="A20">
        <v>15</v>
      </c>
      <c r="B20" s="1">
        <v>240090600015</v>
      </c>
      <c r="C20" s="1" t="s">
        <v>209</v>
      </c>
      <c r="D20" s="1" t="s">
        <v>210</v>
      </c>
      <c r="E20" t="s">
        <v>211</v>
      </c>
      <c r="AJ20" t="e">
        <f t="shared" ca="1" si="0"/>
        <v>#N/A</v>
      </c>
      <c r="AK20" t="e">
        <f t="shared" ca="1" si="1"/>
        <v>#N/A</v>
      </c>
      <c r="AL20">
        <f t="shared" ca="1" si="2"/>
        <v>0</v>
      </c>
      <c r="AM20" t="e">
        <f t="shared" ca="1" si="3"/>
        <v>#N/A</v>
      </c>
      <c r="AN20" t="str">
        <f t="shared" si="4"/>
        <v>II</v>
      </c>
      <c r="AO20">
        <f t="shared" si="4"/>
        <v>25</v>
      </c>
      <c r="AP20">
        <f t="shared" si="4"/>
        <v>10</v>
      </c>
      <c r="AQ20" t="str">
        <f t="shared" si="4"/>
        <v>III</v>
      </c>
      <c r="AR20">
        <f t="shared" si="4"/>
        <v>8</v>
      </c>
    </row>
    <row r="21" spans="1:44" x14ac:dyDescent="0.2">
      <c r="A21">
        <v>16</v>
      </c>
      <c r="B21" s="1">
        <v>240090600016</v>
      </c>
      <c r="C21" s="1" t="s">
        <v>212</v>
      </c>
      <c r="D21" s="1" t="s">
        <v>213</v>
      </c>
      <c r="E21" t="s">
        <v>214</v>
      </c>
      <c r="AJ21" t="e">
        <f t="shared" ca="1" si="0"/>
        <v>#N/A</v>
      </c>
      <c r="AK21" t="e">
        <f t="shared" ca="1" si="1"/>
        <v>#N/A</v>
      </c>
      <c r="AL21">
        <f t="shared" ca="1" si="2"/>
        <v>0</v>
      </c>
      <c r="AM21" t="e">
        <f t="shared" ca="1" si="3"/>
        <v>#N/A</v>
      </c>
      <c r="AN21" t="str">
        <f t="shared" si="4"/>
        <v>II</v>
      </c>
      <c r="AO21">
        <f t="shared" si="4"/>
        <v>25</v>
      </c>
      <c r="AP21">
        <f t="shared" si="4"/>
        <v>10</v>
      </c>
      <c r="AQ21" t="str">
        <f t="shared" si="4"/>
        <v>III</v>
      </c>
      <c r="AR21">
        <f t="shared" si="4"/>
        <v>8</v>
      </c>
    </row>
    <row r="22" spans="1:44" x14ac:dyDescent="0.2">
      <c r="A22">
        <v>17</v>
      </c>
      <c r="B22" s="1">
        <v>240090600017</v>
      </c>
      <c r="C22" s="1" t="s">
        <v>215</v>
      </c>
      <c r="D22" s="1" t="s">
        <v>216</v>
      </c>
      <c r="E22" t="s">
        <v>217</v>
      </c>
      <c r="AJ22" t="e">
        <f t="shared" ca="1" si="0"/>
        <v>#N/A</v>
      </c>
      <c r="AK22" t="e">
        <f t="shared" ca="1" si="1"/>
        <v>#N/A</v>
      </c>
      <c r="AL22">
        <f t="shared" ca="1" si="2"/>
        <v>0</v>
      </c>
      <c r="AM22" t="e">
        <f t="shared" ca="1" si="3"/>
        <v>#N/A</v>
      </c>
      <c r="AN22" t="str">
        <f t="shared" si="4"/>
        <v>II</v>
      </c>
      <c r="AO22">
        <f t="shared" si="4"/>
        <v>25</v>
      </c>
      <c r="AP22">
        <f t="shared" si="4"/>
        <v>10</v>
      </c>
      <c r="AQ22" t="str">
        <f t="shared" si="4"/>
        <v>III</v>
      </c>
      <c r="AR22">
        <f t="shared" si="4"/>
        <v>8</v>
      </c>
    </row>
    <row r="23" spans="1:44" x14ac:dyDescent="0.2">
      <c r="A23">
        <v>18</v>
      </c>
      <c r="B23" s="1">
        <v>240090600018</v>
      </c>
      <c r="C23" s="1" t="s">
        <v>170</v>
      </c>
      <c r="D23" s="1" t="s">
        <v>218</v>
      </c>
      <c r="E23" t="s">
        <v>219</v>
      </c>
      <c r="AJ23" t="e">
        <f t="shared" ca="1" si="0"/>
        <v>#N/A</v>
      </c>
      <c r="AK23" t="e">
        <f t="shared" ca="1" si="1"/>
        <v>#N/A</v>
      </c>
      <c r="AL23">
        <f t="shared" ca="1" si="2"/>
        <v>0</v>
      </c>
      <c r="AM23" t="e">
        <f t="shared" ca="1" si="3"/>
        <v>#N/A</v>
      </c>
      <c r="AN23" t="str">
        <f t="shared" si="4"/>
        <v>II</v>
      </c>
      <c r="AO23">
        <f t="shared" si="4"/>
        <v>25</v>
      </c>
      <c r="AP23">
        <f t="shared" si="4"/>
        <v>10</v>
      </c>
      <c r="AQ23" t="str">
        <f t="shared" si="4"/>
        <v>III</v>
      </c>
      <c r="AR23">
        <f t="shared" si="4"/>
        <v>8</v>
      </c>
    </row>
    <row r="24" spans="1:44" x14ac:dyDescent="0.2">
      <c r="A24">
        <v>19</v>
      </c>
      <c r="B24" s="1">
        <v>240090600019</v>
      </c>
      <c r="C24" s="1" t="s">
        <v>220</v>
      </c>
      <c r="D24" s="1" t="s">
        <v>221</v>
      </c>
      <c r="E24" t="s">
        <v>222</v>
      </c>
      <c r="AJ24" t="e">
        <f t="shared" ca="1" si="0"/>
        <v>#N/A</v>
      </c>
      <c r="AK24" t="e">
        <f t="shared" ca="1" si="1"/>
        <v>#N/A</v>
      </c>
      <c r="AL24">
        <f t="shared" ca="1" si="2"/>
        <v>0</v>
      </c>
      <c r="AM24" t="e">
        <f t="shared" ca="1" si="3"/>
        <v>#N/A</v>
      </c>
      <c r="AN24" t="str">
        <f t="shared" si="4"/>
        <v>II</v>
      </c>
      <c r="AO24">
        <f t="shared" si="4"/>
        <v>25</v>
      </c>
      <c r="AP24">
        <f t="shared" si="4"/>
        <v>10</v>
      </c>
      <c r="AQ24" t="str">
        <f t="shared" si="4"/>
        <v>III</v>
      </c>
      <c r="AR24">
        <f t="shared" si="4"/>
        <v>8</v>
      </c>
    </row>
    <row r="25" spans="1:44" x14ac:dyDescent="0.2">
      <c r="A25">
        <v>20</v>
      </c>
      <c r="B25" s="1">
        <v>240090600020</v>
      </c>
      <c r="C25" s="1" t="s">
        <v>223</v>
      </c>
      <c r="D25" s="1" t="s">
        <v>224</v>
      </c>
      <c r="E25" t="s">
        <v>225</v>
      </c>
      <c r="AJ25" t="e">
        <f t="shared" ca="1" si="0"/>
        <v>#N/A</v>
      </c>
      <c r="AK25" t="e">
        <f t="shared" ca="1" si="1"/>
        <v>#N/A</v>
      </c>
      <c r="AL25">
        <f t="shared" ca="1" si="2"/>
        <v>0</v>
      </c>
      <c r="AM25" t="e">
        <f t="shared" ca="1" si="3"/>
        <v>#N/A</v>
      </c>
      <c r="AN25" t="str">
        <f t="shared" si="4"/>
        <v>II</v>
      </c>
      <c r="AO25">
        <f t="shared" si="4"/>
        <v>25</v>
      </c>
      <c r="AP25">
        <f t="shared" si="4"/>
        <v>10</v>
      </c>
      <c r="AQ25" t="str">
        <f t="shared" si="4"/>
        <v>III</v>
      </c>
      <c r="AR25">
        <f t="shared" si="4"/>
        <v>8</v>
      </c>
    </row>
    <row r="26" spans="1:44" x14ac:dyDescent="0.2">
      <c r="A26">
        <v>21</v>
      </c>
      <c r="B26" s="1">
        <v>240090600021</v>
      </c>
      <c r="C26" s="1" t="s">
        <v>226</v>
      </c>
      <c r="D26" s="1" t="s">
        <v>227</v>
      </c>
      <c r="E26" t="s">
        <v>228</v>
      </c>
      <c r="AJ26" t="e">
        <f t="shared" ca="1" si="0"/>
        <v>#N/A</v>
      </c>
      <c r="AK26" t="e">
        <f t="shared" ca="1" si="1"/>
        <v>#N/A</v>
      </c>
      <c r="AL26">
        <f t="shared" ca="1" si="2"/>
        <v>0</v>
      </c>
      <c r="AM26" t="e">
        <f t="shared" ca="1" si="3"/>
        <v>#N/A</v>
      </c>
      <c r="AN26" t="str">
        <f t="shared" si="4"/>
        <v>II</v>
      </c>
      <c r="AO26">
        <f t="shared" si="4"/>
        <v>25</v>
      </c>
      <c r="AP26">
        <f t="shared" si="4"/>
        <v>10</v>
      </c>
      <c r="AQ26" t="str">
        <f t="shared" si="4"/>
        <v>III</v>
      </c>
      <c r="AR26">
        <f t="shared" si="4"/>
        <v>8</v>
      </c>
    </row>
    <row r="27" spans="1:44" x14ac:dyDescent="0.2">
      <c r="A27">
        <v>22</v>
      </c>
      <c r="B27" s="1">
        <v>240090600022</v>
      </c>
      <c r="C27" s="1" t="s">
        <v>229</v>
      </c>
      <c r="D27" s="1" t="s">
        <v>230</v>
      </c>
      <c r="E27" t="s">
        <v>231</v>
      </c>
      <c r="AJ27" t="e">
        <f t="shared" ca="1" si="0"/>
        <v>#N/A</v>
      </c>
      <c r="AK27" t="e">
        <f t="shared" ca="1" si="1"/>
        <v>#N/A</v>
      </c>
      <c r="AL27">
        <f t="shared" ca="1" si="2"/>
        <v>0</v>
      </c>
      <c r="AM27" t="e">
        <f t="shared" ca="1" si="3"/>
        <v>#N/A</v>
      </c>
      <c r="AN27" t="str">
        <f t="shared" si="4"/>
        <v>II</v>
      </c>
      <c r="AO27">
        <f t="shared" si="4"/>
        <v>25</v>
      </c>
      <c r="AP27">
        <f t="shared" si="4"/>
        <v>10</v>
      </c>
      <c r="AQ27" t="str">
        <f t="shared" si="4"/>
        <v>III</v>
      </c>
      <c r="AR27">
        <f t="shared" si="4"/>
        <v>8</v>
      </c>
    </row>
    <row r="28" spans="1:44" x14ac:dyDescent="0.2">
      <c r="A28">
        <v>23</v>
      </c>
      <c r="B28" s="1">
        <v>240090600023</v>
      </c>
      <c r="C28" t="s">
        <v>232</v>
      </c>
      <c r="D28" t="s">
        <v>233</v>
      </c>
      <c r="E28" t="s">
        <v>234</v>
      </c>
      <c r="AJ28" t="e">
        <f t="shared" ca="1" si="0"/>
        <v>#N/A</v>
      </c>
      <c r="AK28" t="e">
        <f t="shared" ca="1" si="1"/>
        <v>#N/A</v>
      </c>
      <c r="AL28">
        <f t="shared" ca="1" si="2"/>
        <v>0</v>
      </c>
      <c r="AM28" t="e">
        <f t="shared" ca="1" si="3"/>
        <v>#N/A</v>
      </c>
      <c r="AN28" t="str">
        <f t="shared" si="4"/>
        <v>II</v>
      </c>
      <c r="AO28">
        <f t="shared" si="4"/>
        <v>25</v>
      </c>
      <c r="AP28">
        <f t="shared" si="4"/>
        <v>10</v>
      </c>
      <c r="AQ28" t="str">
        <f t="shared" si="4"/>
        <v>III</v>
      </c>
      <c r="AR28">
        <f t="shared" si="4"/>
        <v>8</v>
      </c>
    </row>
    <row r="29" spans="1:44" x14ac:dyDescent="0.2">
      <c r="A29">
        <v>24</v>
      </c>
      <c r="B29" s="1">
        <v>240090600024</v>
      </c>
      <c r="C29" t="s">
        <v>235</v>
      </c>
      <c r="D29" t="s">
        <v>236</v>
      </c>
      <c r="E29" t="s">
        <v>237</v>
      </c>
      <c r="AJ29" t="e">
        <f t="shared" ref="AJ29:AJ43" ca="1" si="5">IF(LEFT(B29,1)="7",0,INDEX(INDIRECT(_xlfn.TEXTJOIN("",TRUE,"SEM_",AN29,"!",ADDRESS(6,5+AP29*3+1),":",ADDRESS(5+AO29,5+AP29*3+1))),MATCH(B29,INDIRECT(_xlfn.TEXTJOIN("",TRUE,"SEM_",AN29,"!",ADDRESS(6,2),":",ADDRESS(5+AO29,2))),0)))+INDIRECT(_xlfn.TEXTJOIN("",TRUE,"TC_",AQ29,"!",ADDRESS(4+A29*(AR29+9),13)))</f>
        <v>#N/A</v>
      </c>
      <c r="AK29" t="e">
        <f t="shared" ref="AK29:AK43" ca="1" si="6">IF(LEFT(B29,1)="7",0,INDEX(INDIRECT(_xlfn.TEXTJOIN("",TRUE,"SEM_",AN29,"!",ADDRESS(6,5+AP29*3+2),":",ADDRESS(5+AO29,5+AP29*3+2))),MATCH(B29,INDIRECT(_xlfn.TEXTJOIN("",TRUE,"SEM_",AN29,"!",ADDRESS(6,2),":",ADDRESS(5+AO29,2))),0)))+INDIRECT(_xlfn.TEXTJOIN("",TRUE,"TC_",AQ29,"!",ADDRESS(5+A29*(AR29+9),12)))</f>
        <v>#N/A</v>
      </c>
      <c r="AL29">
        <f t="shared" ref="AL29:AL43" ca="1" si="7">IF(INDIRECT(_xlfn.TEXTJOIN("",TRUE,"TC_",AQ29,"!",ADDRESS(4+A29*(AR29+9),23))),SUM(INDIRECT(_xlfn.TEXTJOIN("",TRUE,"TC_",AQ29,"!",ADDRESS(4+A29*(AR29+9)-AR29,23),":",ADDRESS(3+A29*(AR29+9),23)))),0)</f>
        <v>0</v>
      </c>
      <c r="AM29" t="e">
        <f t="shared" ref="AM29:AM43" ca="1" si="8">IF(LEFT(B29,1)="7",AJ29/$AK$4,AJ29/$AK$3)</f>
        <v>#N/A</v>
      </c>
      <c r="AN29" t="str">
        <f t="shared" ref="AN29:AR29" si="9">AN28</f>
        <v>II</v>
      </c>
      <c r="AO29">
        <f t="shared" si="9"/>
        <v>25</v>
      </c>
      <c r="AP29">
        <f t="shared" si="9"/>
        <v>10</v>
      </c>
      <c r="AQ29" t="str">
        <f t="shared" si="9"/>
        <v>III</v>
      </c>
      <c r="AR29">
        <f t="shared" si="9"/>
        <v>8</v>
      </c>
    </row>
    <row r="30" spans="1:44" x14ac:dyDescent="0.2">
      <c r="A30">
        <v>25</v>
      </c>
      <c r="B30" s="1">
        <v>240090600025</v>
      </c>
      <c r="C30" t="s">
        <v>238</v>
      </c>
      <c r="D30" t="s">
        <v>239</v>
      </c>
      <c r="E30" t="s">
        <v>240</v>
      </c>
      <c r="AJ30" t="e">
        <f t="shared" ca="1" si="5"/>
        <v>#N/A</v>
      </c>
      <c r="AK30" t="e">
        <f t="shared" ca="1" si="6"/>
        <v>#N/A</v>
      </c>
      <c r="AL30">
        <f t="shared" ca="1" si="7"/>
        <v>0</v>
      </c>
      <c r="AM30" t="e">
        <f t="shared" ca="1" si="8"/>
        <v>#N/A</v>
      </c>
      <c r="AN30" t="str">
        <f t="shared" ref="AN30:AR30" si="10">AN29</f>
        <v>II</v>
      </c>
      <c r="AO30">
        <f t="shared" si="10"/>
        <v>25</v>
      </c>
      <c r="AP30">
        <f t="shared" si="10"/>
        <v>10</v>
      </c>
      <c r="AQ30" t="str">
        <f t="shared" si="10"/>
        <v>III</v>
      </c>
      <c r="AR30">
        <f t="shared" si="10"/>
        <v>8</v>
      </c>
    </row>
    <row r="31" spans="1:44" x14ac:dyDescent="0.2">
      <c r="B31" s="1"/>
      <c r="AJ31" t="e">
        <f t="shared" ca="1" si="5"/>
        <v>#N/A</v>
      </c>
      <c r="AK31" t="e">
        <f t="shared" ca="1" si="6"/>
        <v>#N/A</v>
      </c>
      <c r="AL31">
        <f t="shared" ca="1" si="7"/>
        <v>0</v>
      </c>
      <c r="AM31" t="e">
        <f t="shared" ca="1" si="8"/>
        <v>#N/A</v>
      </c>
      <c r="AN31" t="str">
        <f t="shared" ref="AN31:AR31" si="11">AN30</f>
        <v>II</v>
      </c>
      <c r="AO31">
        <f t="shared" si="11"/>
        <v>25</v>
      </c>
      <c r="AP31">
        <f t="shared" si="11"/>
        <v>10</v>
      </c>
      <c r="AQ31" t="str">
        <f t="shared" si="11"/>
        <v>III</v>
      </c>
      <c r="AR31">
        <f t="shared" si="11"/>
        <v>8</v>
      </c>
    </row>
    <row r="32" spans="1:44" x14ac:dyDescent="0.2">
      <c r="B32" s="1"/>
      <c r="AJ32" t="e">
        <f t="shared" ca="1" si="5"/>
        <v>#N/A</v>
      </c>
      <c r="AK32" t="e">
        <f t="shared" ca="1" si="6"/>
        <v>#N/A</v>
      </c>
      <c r="AL32">
        <f t="shared" ca="1" si="7"/>
        <v>0</v>
      </c>
      <c r="AM32" t="e">
        <f t="shared" ca="1" si="8"/>
        <v>#N/A</v>
      </c>
      <c r="AN32" t="str">
        <f t="shared" ref="AN32:AR32" si="12">AN31</f>
        <v>II</v>
      </c>
      <c r="AO32">
        <f t="shared" si="12"/>
        <v>25</v>
      </c>
      <c r="AP32">
        <f t="shared" si="12"/>
        <v>10</v>
      </c>
      <c r="AQ32" t="str">
        <f t="shared" si="12"/>
        <v>III</v>
      </c>
      <c r="AR32">
        <f t="shared" si="12"/>
        <v>8</v>
      </c>
    </row>
    <row r="33" spans="2:44" x14ac:dyDescent="0.2">
      <c r="B33" s="1"/>
      <c r="AJ33" t="e">
        <f t="shared" ca="1" si="5"/>
        <v>#N/A</v>
      </c>
      <c r="AK33" t="e">
        <f t="shared" ca="1" si="6"/>
        <v>#N/A</v>
      </c>
      <c r="AL33">
        <f t="shared" ca="1" si="7"/>
        <v>0</v>
      </c>
      <c r="AM33" t="e">
        <f t="shared" ca="1" si="8"/>
        <v>#N/A</v>
      </c>
      <c r="AN33" t="str">
        <f t="shared" ref="AN33:AR33" si="13">AN32</f>
        <v>II</v>
      </c>
      <c r="AO33">
        <f t="shared" si="13"/>
        <v>25</v>
      </c>
      <c r="AP33">
        <f t="shared" si="13"/>
        <v>10</v>
      </c>
      <c r="AQ33" t="str">
        <f t="shared" si="13"/>
        <v>III</v>
      </c>
      <c r="AR33">
        <f t="shared" si="13"/>
        <v>8</v>
      </c>
    </row>
    <row r="34" spans="2:44" x14ac:dyDescent="0.2">
      <c r="B34" s="1"/>
      <c r="AJ34" t="e">
        <f t="shared" ca="1" si="5"/>
        <v>#N/A</v>
      </c>
      <c r="AK34" t="e">
        <f t="shared" ca="1" si="6"/>
        <v>#N/A</v>
      </c>
      <c r="AL34">
        <f t="shared" ca="1" si="7"/>
        <v>0</v>
      </c>
      <c r="AM34" t="e">
        <f t="shared" ca="1" si="8"/>
        <v>#N/A</v>
      </c>
      <c r="AN34" t="str">
        <f t="shared" ref="AN34:AR34" si="14">AN33</f>
        <v>II</v>
      </c>
      <c r="AO34">
        <f t="shared" si="14"/>
        <v>25</v>
      </c>
      <c r="AP34">
        <f t="shared" si="14"/>
        <v>10</v>
      </c>
      <c r="AQ34" t="str">
        <f t="shared" si="14"/>
        <v>III</v>
      </c>
      <c r="AR34">
        <f t="shared" si="14"/>
        <v>8</v>
      </c>
    </row>
    <row r="35" spans="2:44" x14ac:dyDescent="0.2">
      <c r="B35" s="1"/>
      <c r="AJ35" t="e">
        <f t="shared" ca="1" si="5"/>
        <v>#N/A</v>
      </c>
      <c r="AK35" t="e">
        <f t="shared" ca="1" si="6"/>
        <v>#N/A</v>
      </c>
      <c r="AL35">
        <f t="shared" ca="1" si="7"/>
        <v>0</v>
      </c>
      <c r="AM35" t="e">
        <f t="shared" ca="1" si="8"/>
        <v>#N/A</v>
      </c>
      <c r="AN35" t="str">
        <f t="shared" ref="AN35:AR35" si="15">AN34</f>
        <v>II</v>
      </c>
      <c r="AO35">
        <f t="shared" si="15"/>
        <v>25</v>
      </c>
      <c r="AP35">
        <f t="shared" si="15"/>
        <v>10</v>
      </c>
      <c r="AQ35" t="str">
        <f t="shared" si="15"/>
        <v>III</v>
      </c>
      <c r="AR35">
        <f t="shared" si="15"/>
        <v>8</v>
      </c>
    </row>
    <row r="36" spans="2:44" x14ac:dyDescent="0.2">
      <c r="B36" s="1"/>
      <c r="AJ36" t="e">
        <f t="shared" ca="1" si="5"/>
        <v>#N/A</v>
      </c>
      <c r="AK36" t="e">
        <f t="shared" ca="1" si="6"/>
        <v>#N/A</v>
      </c>
      <c r="AL36">
        <f t="shared" ca="1" si="7"/>
        <v>0</v>
      </c>
      <c r="AM36" t="e">
        <f t="shared" ca="1" si="8"/>
        <v>#N/A</v>
      </c>
      <c r="AN36" t="str">
        <f t="shared" ref="AN36:AR36" si="16">AN35</f>
        <v>II</v>
      </c>
      <c r="AO36">
        <f t="shared" si="16"/>
        <v>25</v>
      </c>
      <c r="AP36">
        <f t="shared" si="16"/>
        <v>10</v>
      </c>
      <c r="AQ36" t="str">
        <f t="shared" si="16"/>
        <v>III</v>
      </c>
      <c r="AR36">
        <f t="shared" si="16"/>
        <v>8</v>
      </c>
    </row>
    <row r="37" spans="2:44" x14ac:dyDescent="0.2">
      <c r="B37" s="1"/>
      <c r="AJ37" t="e">
        <f t="shared" ca="1" si="5"/>
        <v>#N/A</v>
      </c>
      <c r="AK37" t="e">
        <f t="shared" ca="1" si="6"/>
        <v>#N/A</v>
      </c>
      <c r="AL37">
        <f t="shared" ca="1" si="7"/>
        <v>0</v>
      </c>
      <c r="AM37" t="e">
        <f t="shared" ca="1" si="8"/>
        <v>#N/A</v>
      </c>
      <c r="AN37" t="str">
        <f t="shared" ref="AN37:AR37" si="17">AN36</f>
        <v>II</v>
      </c>
      <c r="AO37">
        <f t="shared" si="17"/>
        <v>25</v>
      </c>
      <c r="AP37">
        <f t="shared" si="17"/>
        <v>10</v>
      </c>
      <c r="AQ37" t="str">
        <f t="shared" si="17"/>
        <v>III</v>
      </c>
      <c r="AR37">
        <f t="shared" si="17"/>
        <v>8</v>
      </c>
    </row>
    <row r="38" spans="2:44" x14ac:dyDescent="0.2">
      <c r="B38" s="1"/>
      <c r="AJ38" t="e">
        <f t="shared" ca="1" si="5"/>
        <v>#N/A</v>
      </c>
      <c r="AK38" t="e">
        <f t="shared" ca="1" si="6"/>
        <v>#N/A</v>
      </c>
      <c r="AL38">
        <f t="shared" ca="1" si="7"/>
        <v>0</v>
      </c>
      <c r="AM38" t="e">
        <f t="shared" ca="1" si="8"/>
        <v>#N/A</v>
      </c>
      <c r="AN38" t="str">
        <f t="shared" ref="AN38:AR38" si="18">AN37</f>
        <v>II</v>
      </c>
      <c r="AO38">
        <f t="shared" si="18"/>
        <v>25</v>
      </c>
      <c r="AP38">
        <f t="shared" si="18"/>
        <v>10</v>
      </c>
      <c r="AQ38" t="str">
        <f t="shared" si="18"/>
        <v>III</v>
      </c>
      <c r="AR38">
        <f t="shared" si="18"/>
        <v>8</v>
      </c>
    </row>
    <row r="39" spans="2:44" x14ac:dyDescent="0.2">
      <c r="B39" s="1"/>
      <c r="AJ39" t="e">
        <f t="shared" ca="1" si="5"/>
        <v>#N/A</v>
      </c>
      <c r="AK39" t="e">
        <f t="shared" ca="1" si="6"/>
        <v>#N/A</v>
      </c>
      <c r="AL39">
        <f t="shared" ca="1" si="7"/>
        <v>0</v>
      </c>
      <c r="AM39" t="e">
        <f t="shared" ca="1" si="8"/>
        <v>#N/A</v>
      </c>
      <c r="AN39" t="str">
        <f t="shared" ref="AN39:AR39" si="19">AN38</f>
        <v>II</v>
      </c>
      <c r="AO39">
        <f t="shared" si="19"/>
        <v>25</v>
      </c>
      <c r="AP39">
        <f t="shared" si="19"/>
        <v>10</v>
      </c>
      <c r="AQ39" t="str">
        <f t="shared" si="19"/>
        <v>III</v>
      </c>
      <c r="AR39">
        <f t="shared" si="19"/>
        <v>8</v>
      </c>
    </row>
    <row r="40" spans="2:44" x14ac:dyDescent="0.2">
      <c r="B40" s="1"/>
      <c r="AJ40" t="e">
        <f t="shared" ca="1" si="5"/>
        <v>#N/A</v>
      </c>
      <c r="AK40" t="e">
        <f t="shared" ca="1" si="6"/>
        <v>#N/A</v>
      </c>
      <c r="AL40">
        <f t="shared" ca="1" si="7"/>
        <v>0</v>
      </c>
      <c r="AM40" t="e">
        <f t="shared" ca="1" si="8"/>
        <v>#N/A</v>
      </c>
      <c r="AN40" t="str">
        <f t="shared" ref="AN40:AR40" si="20">AN39</f>
        <v>II</v>
      </c>
      <c r="AO40">
        <f t="shared" si="20"/>
        <v>25</v>
      </c>
      <c r="AP40">
        <f t="shared" si="20"/>
        <v>10</v>
      </c>
      <c r="AQ40" t="str">
        <f t="shared" si="20"/>
        <v>III</v>
      </c>
      <c r="AR40">
        <f t="shared" si="20"/>
        <v>8</v>
      </c>
    </row>
    <row r="41" spans="2:44" x14ac:dyDescent="0.2">
      <c r="B41" s="1"/>
      <c r="AJ41" t="e">
        <f t="shared" ca="1" si="5"/>
        <v>#N/A</v>
      </c>
      <c r="AK41" t="e">
        <f t="shared" ca="1" si="6"/>
        <v>#N/A</v>
      </c>
      <c r="AL41">
        <f t="shared" ca="1" si="7"/>
        <v>0</v>
      </c>
      <c r="AM41" t="e">
        <f t="shared" ca="1" si="8"/>
        <v>#N/A</v>
      </c>
      <c r="AN41" t="str">
        <f t="shared" ref="AN41:AR41" si="21">AN40</f>
        <v>II</v>
      </c>
      <c r="AO41">
        <f t="shared" si="21"/>
        <v>25</v>
      </c>
      <c r="AP41">
        <f t="shared" si="21"/>
        <v>10</v>
      </c>
      <c r="AQ41" t="str">
        <f t="shared" si="21"/>
        <v>III</v>
      </c>
      <c r="AR41">
        <f t="shared" si="21"/>
        <v>8</v>
      </c>
    </row>
    <row r="42" spans="2:44" x14ac:dyDescent="0.2">
      <c r="B42" s="1"/>
      <c r="AJ42" t="e">
        <f t="shared" ca="1" si="5"/>
        <v>#N/A</v>
      </c>
      <c r="AK42" t="e">
        <f t="shared" ca="1" si="6"/>
        <v>#N/A</v>
      </c>
      <c r="AL42">
        <f t="shared" ca="1" si="7"/>
        <v>0</v>
      </c>
      <c r="AM42" t="e">
        <f t="shared" ca="1" si="8"/>
        <v>#N/A</v>
      </c>
      <c r="AN42" t="str">
        <f t="shared" ref="AN42:AR42" si="22">AN41</f>
        <v>II</v>
      </c>
      <c r="AO42">
        <f t="shared" si="22"/>
        <v>25</v>
      </c>
      <c r="AP42">
        <f t="shared" si="22"/>
        <v>10</v>
      </c>
      <c r="AQ42" t="str">
        <f t="shared" si="22"/>
        <v>III</v>
      </c>
      <c r="AR42">
        <f t="shared" si="22"/>
        <v>8</v>
      </c>
    </row>
    <row r="43" spans="2:44" x14ac:dyDescent="0.2">
      <c r="B43" s="1"/>
      <c r="AJ43" t="e">
        <f t="shared" ca="1" si="5"/>
        <v>#N/A</v>
      </c>
      <c r="AK43" t="e">
        <f t="shared" ca="1" si="6"/>
        <v>#N/A</v>
      </c>
      <c r="AL43">
        <f t="shared" ca="1" si="7"/>
        <v>0</v>
      </c>
      <c r="AM43" t="e">
        <f t="shared" ca="1" si="8"/>
        <v>#N/A</v>
      </c>
      <c r="AN43" t="str">
        <f t="shared" ref="AN43:AR44" si="23">AN42</f>
        <v>II</v>
      </c>
      <c r="AO43">
        <f t="shared" si="23"/>
        <v>25</v>
      </c>
      <c r="AP43">
        <f t="shared" si="23"/>
        <v>10</v>
      </c>
      <c r="AQ43" t="str">
        <f t="shared" si="23"/>
        <v>III</v>
      </c>
      <c r="AR43">
        <f t="shared" si="23"/>
        <v>8</v>
      </c>
    </row>
    <row r="44" spans="2:44" x14ac:dyDescent="0.2">
      <c r="B44" s="1"/>
      <c r="AJ44" t="e">
        <f t="shared" ref="AJ44" ca="1" si="24">IF(LEFT(B44,1)="7",0,INDEX(INDIRECT(_xlfn.TEXTJOIN("",TRUE,"SEM_",AN44,"!",ADDRESS(6,5+AP44*3+1),":",ADDRESS(5+AO44,5+AP44*3+1))),MATCH(B44,INDIRECT(_xlfn.TEXTJOIN("",TRUE,"SEM_",AN44,"!",ADDRESS(6,2),":",ADDRESS(5+AO44,2))),0)))+INDIRECT(_xlfn.TEXTJOIN("",TRUE,"TC_",AQ44,"!",ADDRESS(4+A44*(AR44+9),13)))</f>
        <v>#N/A</v>
      </c>
      <c r="AK44" t="e">
        <f t="shared" ref="AK44" ca="1" si="25">IF(LEFT(B44,1)="7",0,INDEX(INDIRECT(_xlfn.TEXTJOIN("",TRUE,"SEM_",AN44,"!",ADDRESS(6,5+AP44*3+2),":",ADDRESS(5+AO44,5+AP44*3+2))),MATCH(B44,INDIRECT(_xlfn.TEXTJOIN("",TRUE,"SEM_",AN44,"!",ADDRESS(6,2),":",ADDRESS(5+AO44,2))),0)))+INDIRECT(_xlfn.TEXTJOIN("",TRUE,"TC_",AQ44,"!",ADDRESS(5+A44*(AR44+9),12)))</f>
        <v>#N/A</v>
      </c>
      <c r="AL44">
        <f t="shared" ref="AL44" ca="1" si="26">IF(INDIRECT(_xlfn.TEXTJOIN("",TRUE,"TC_",AQ44,"!",ADDRESS(4+A44*(AR44+9),23))),SUM(INDIRECT(_xlfn.TEXTJOIN("",TRUE,"TC_",AQ44,"!",ADDRESS(4+A44*(AR44+9)-AR44,23),":",ADDRESS(3+A44*(AR44+9),23)))),0)</f>
        <v>0</v>
      </c>
      <c r="AM44" t="e">
        <f t="shared" ref="AM44" ca="1" si="27">IF(LEFT(B44,1)="7",AJ44/$AK$4,AJ44/$AK$3)</f>
        <v>#N/A</v>
      </c>
      <c r="AN44" t="str">
        <f t="shared" si="23"/>
        <v>II</v>
      </c>
      <c r="AO44">
        <f t="shared" si="23"/>
        <v>25</v>
      </c>
      <c r="AP44">
        <f t="shared" si="23"/>
        <v>10</v>
      </c>
      <c r="AQ44" t="str">
        <f t="shared" si="23"/>
        <v>III</v>
      </c>
      <c r="AR44">
        <f t="shared" si="23"/>
        <v>8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51F-24A1-471C-8F2F-C7E2CA265193}">
  <dimension ref="A1:AR44"/>
  <sheetViews>
    <sheetView zoomScaleNormal="100" workbookViewId="0">
      <selection activeCell="A6" sqref="A6:E30"/>
    </sheetView>
  </sheetViews>
  <sheetFormatPr baseColWidth="10" defaultColWidth="8.83203125" defaultRowHeight="15" x14ac:dyDescent="0.2"/>
  <cols>
    <col min="1" max="1" width="5.33203125" bestFit="1" customWidth="1"/>
    <col min="2" max="3" width="15.5" bestFit="1" customWidth="1"/>
    <col min="4" max="4" width="22.6640625" bestFit="1" customWidth="1"/>
    <col min="5" max="5" width="26.5" bestFit="1" customWidth="1"/>
  </cols>
  <sheetData>
    <row r="1" spans="1:44" ht="14.75" customHeight="1" x14ac:dyDescent="0.2">
      <c r="A1" t="s">
        <v>22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119</v>
      </c>
      <c r="I1" t="s">
        <v>163</v>
      </c>
      <c r="L1" t="s">
        <v>120</v>
      </c>
      <c r="O1" t="s">
        <v>122</v>
      </c>
      <c r="R1" t="s">
        <v>124</v>
      </c>
      <c r="X1" t="s">
        <v>127</v>
      </c>
      <c r="AA1" t="s">
        <v>128</v>
      </c>
      <c r="AG1" t="s">
        <v>130</v>
      </c>
      <c r="AJ1" t="s">
        <v>45</v>
      </c>
      <c r="AK1" t="s">
        <v>46</v>
      </c>
      <c r="AL1" t="s">
        <v>47</v>
      </c>
      <c r="AM1" t="s">
        <v>48</v>
      </c>
    </row>
    <row r="2" spans="1:44" ht="14.75" customHeight="1" x14ac:dyDescent="0.2">
      <c r="A2" t="s">
        <v>23</v>
      </c>
      <c r="B2" s="12"/>
      <c r="C2" s="12"/>
      <c r="D2" s="12"/>
      <c r="E2" s="12"/>
      <c r="F2" t="s">
        <v>118</v>
      </c>
      <c r="I2" t="s">
        <v>164</v>
      </c>
      <c r="L2" t="s">
        <v>121</v>
      </c>
      <c r="O2" t="s">
        <v>123</v>
      </c>
      <c r="R2" t="s">
        <v>125</v>
      </c>
      <c r="X2" t="s">
        <v>126</v>
      </c>
      <c r="AA2" t="s">
        <v>131</v>
      </c>
      <c r="AG2" t="s">
        <v>129</v>
      </c>
    </row>
    <row r="3" spans="1:44" x14ac:dyDescent="0.2">
      <c r="A3" t="s">
        <v>13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4</v>
      </c>
      <c r="X3">
        <v>1</v>
      </c>
      <c r="AA3">
        <v>1</v>
      </c>
      <c r="AG3">
        <v>6</v>
      </c>
      <c r="AK3">
        <f ca="1">INDIRECT(_xlfn.TEXTJOIN("",TRUE,"SEM_",AN6,"!",ADDRESS(3,5+AP6*3+2)))+SUM(F3:AI3)-4</f>
        <v>96</v>
      </c>
    </row>
    <row r="4" spans="1:44" x14ac:dyDescent="0.2">
      <c r="B4" s="12"/>
      <c r="C4" s="12"/>
      <c r="D4" s="12"/>
      <c r="E4" s="12"/>
      <c r="F4" t="s">
        <v>4</v>
      </c>
      <c r="G4" t="s">
        <v>5</v>
      </c>
      <c r="H4" t="s">
        <v>6</v>
      </c>
      <c r="I4" t="s">
        <v>4</v>
      </c>
      <c r="J4" t="s">
        <v>5</v>
      </c>
      <c r="K4" t="s">
        <v>6</v>
      </c>
      <c r="L4" t="s">
        <v>4</v>
      </c>
      <c r="M4" t="s">
        <v>5</v>
      </c>
      <c r="N4" t="s">
        <v>6</v>
      </c>
      <c r="O4" t="s">
        <v>4</v>
      </c>
      <c r="P4" t="s">
        <v>5</v>
      </c>
      <c r="Q4" t="s">
        <v>6</v>
      </c>
      <c r="R4" t="s">
        <v>4</v>
      </c>
      <c r="S4" t="s">
        <v>5</v>
      </c>
      <c r="T4" t="s">
        <v>6</v>
      </c>
      <c r="X4" t="s">
        <v>7</v>
      </c>
      <c r="Y4" t="s">
        <v>5</v>
      </c>
      <c r="Z4" t="s">
        <v>6</v>
      </c>
      <c r="AA4" t="s">
        <v>7</v>
      </c>
      <c r="AB4" t="s">
        <v>5</v>
      </c>
      <c r="AC4" t="s">
        <v>6</v>
      </c>
      <c r="AG4" t="s">
        <v>7</v>
      </c>
      <c r="AH4" t="s">
        <v>5</v>
      </c>
      <c r="AI4" t="s">
        <v>6</v>
      </c>
      <c r="AK4">
        <f ca="1">INDIRECT(_xlfn.TEXTJOIN("",TRUE,"SEM_",AN6,"!",ADDRESS(4,5+AP6*3+2)))+SUM(F3:AI3)-4</f>
        <v>48</v>
      </c>
    </row>
    <row r="5" spans="1:44" x14ac:dyDescent="0.2">
      <c r="A5" t="s">
        <v>43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100</v>
      </c>
      <c r="S5">
        <v>50</v>
      </c>
      <c r="T5">
        <v>150</v>
      </c>
      <c r="X5">
        <v>30</v>
      </c>
      <c r="Y5">
        <v>20</v>
      </c>
      <c r="Z5">
        <v>50</v>
      </c>
      <c r="AA5">
        <v>30</v>
      </c>
      <c r="AB5">
        <v>20</v>
      </c>
      <c r="AC5">
        <v>50</v>
      </c>
      <c r="AG5">
        <v>200</v>
      </c>
      <c r="AH5">
        <v>100</v>
      </c>
      <c r="AI5">
        <v>300</v>
      </c>
    </row>
    <row r="6" spans="1:44" x14ac:dyDescent="0.2">
      <c r="A6">
        <v>1</v>
      </c>
      <c r="B6" s="1">
        <v>240090600001</v>
      </c>
      <c r="C6" s="1" t="s">
        <v>167</v>
      </c>
      <c r="D6" s="1" t="s">
        <v>168</v>
      </c>
      <c r="E6" s="1" t="s">
        <v>169</v>
      </c>
      <c r="AJ6" t="e">
        <f t="shared" ref="AJ6:AJ44" ca="1" si="0">IF(LEFT(B6,1)="7",0,INDEX(INDIRECT(_xlfn.TEXTJOIN("",TRUE,"SEM_",AN6,"!",ADDRESS(6,5+AP6*3+1),":",ADDRESS(5+AO6,5+AP6*3+1))),MATCH(B6,INDIRECT(_xlfn.TEXTJOIN("",TRUE,"SEM_",AN6,"!",ADDRESS(6,2),":",ADDRESS(5+AO6,2))),0)))+INDIRECT(_xlfn.TEXTJOIN("",TRUE,"TC_",AQ6,"!",ADDRESS(4+A6*(AR6+9),13)))</f>
        <v>#N/A</v>
      </c>
      <c r="AK6" t="e">
        <f ca="1">IF(LEFT(B6,1)="7",0,INDEX(INDIRECT(_xlfn.TEXTJOIN("",TRUE,"SEM_",AN6,"!",ADDRESS(6,5+AP6*3+2),":",ADDRESS(5+AO6,5+AP6*3+2))),MATCH(B6,INDIRECT(_xlfn.TEXTJOIN("",TRUE,"SEM_",AN6,"!",ADDRESS(6,2),":",ADDRESS(5+AO6,2))),0)))+INDIRECT(_xlfn.TEXTJOIN("",TRUE,"TC_",AQ6,"!",ADDRESS(5+A6*(AR6+9),12)))</f>
        <v>#N/A</v>
      </c>
      <c r="AL6">
        <f t="shared" ref="AL6:AL28" ca="1" si="1">IF(INDIRECT(_xlfn.TEXTJOIN("",TRUE,"TC_",AQ6,"!",ADDRESS(4+A6*(AR6+9),23))),SUM(INDIRECT(_xlfn.TEXTJOIN("",TRUE,"TC_",AQ6,"!",ADDRESS(4+A6*(AR6+9)-AR6,23),":",ADDRESS(3+A6*(AR6+9),23)))),0)</f>
        <v>0</v>
      </c>
      <c r="AM6" t="e">
        <f t="shared" ref="AM6:AM43" ca="1" si="2">IF(LEFT(B6,1)="7",AJ6/$AK$4,AJ6/$AK$3)</f>
        <v>#N/A</v>
      </c>
      <c r="AN6" t="s">
        <v>59</v>
      </c>
      <c r="AO6">
        <v>25</v>
      </c>
      <c r="AP6">
        <v>10</v>
      </c>
      <c r="AQ6" t="s">
        <v>132</v>
      </c>
      <c r="AR6">
        <v>7</v>
      </c>
    </row>
    <row r="7" spans="1:44" x14ac:dyDescent="0.2">
      <c r="A7">
        <v>2</v>
      </c>
      <c r="B7" s="1">
        <v>240090600002</v>
      </c>
      <c r="C7" s="1" t="s">
        <v>170</v>
      </c>
      <c r="D7" s="1" t="s">
        <v>171</v>
      </c>
      <c r="E7" s="1" t="s">
        <v>172</v>
      </c>
      <c r="AJ7" t="e">
        <f t="shared" ca="1" si="0"/>
        <v>#N/A</v>
      </c>
      <c r="AK7" t="e">
        <f t="shared" ref="AK7:AK43" ca="1" si="3">IF(LEFT(B7,1)="7",0,INDEX(INDIRECT(_xlfn.TEXTJOIN("",TRUE,"SEM_",AN7,"!",ADDRESS(6,5+AP7*3+2),":",ADDRESS(5+AO7,5+AP7*3+2))),MATCH(B7,INDIRECT(_xlfn.TEXTJOIN("",TRUE,"SEM_",AN7,"!",ADDRESS(6,2),":",ADDRESS(5+AO7,2))),0)))+INDIRECT(_xlfn.TEXTJOIN("",TRUE,"TC_",AQ7,"!",ADDRESS(5+A7*(AR7+9),12)))</f>
        <v>#N/A</v>
      </c>
      <c r="AL7">
        <f t="shared" ca="1" si="1"/>
        <v>0</v>
      </c>
      <c r="AM7" t="e">
        <f t="shared" ca="1" si="2"/>
        <v>#N/A</v>
      </c>
      <c r="AN7" t="str">
        <f>AN6</f>
        <v>III</v>
      </c>
      <c r="AO7">
        <f>AO6</f>
        <v>25</v>
      </c>
      <c r="AP7">
        <f>AP6</f>
        <v>10</v>
      </c>
      <c r="AQ7" t="str">
        <f>AQ6</f>
        <v>IV</v>
      </c>
      <c r="AR7">
        <f>AR6</f>
        <v>7</v>
      </c>
    </row>
    <row r="8" spans="1:44" x14ac:dyDescent="0.2">
      <c r="A8">
        <v>3</v>
      </c>
      <c r="B8" s="1">
        <v>240090600003</v>
      </c>
      <c r="C8" s="1" t="s">
        <v>173</v>
      </c>
      <c r="D8" s="1" t="s">
        <v>174</v>
      </c>
      <c r="E8" t="s">
        <v>175</v>
      </c>
      <c r="AJ8" t="e">
        <f t="shared" ca="1" si="0"/>
        <v>#N/A</v>
      </c>
      <c r="AK8" t="e">
        <f t="shared" ca="1" si="3"/>
        <v>#N/A</v>
      </c>
      <c r="AL8">
        <f t="shared" ca="1" si="1"/>
        <v>0</v>
      </c>
      <c r="AM8" t="e">
        <f t="shared" ca="1" si="2"/>
        <v>#N/A</v>
      </c>
      <c r="AN8" t="str">
        <f t="shared" ref="AN8:AR23" si="4">AN7</f>
        <v>III</v>
      </c>
      <c r="AO8">
        <f t="shared" si="4"/>
        <v>25</v>
      </c>
      <c r="AP8">
        <f t="shared" si="4"/>
        <v>10</v>
      </c>
      <c r="AQ8" t="str">
        <f t="shared" si="4"/>
        <v>IV</v>
      </c>
      <c r="AR8">
        <f t="shared" si="4"/>
        <v>7</v>
      </c>
    </row>
    <row r="9" spans="1:44" x14ac:dyDescent="0.2">
      <c r="A9">
        <v>4</v>
      </c>
      <c r="B9" s="1">
        <v>240090600004</v>
      </c>
      <c r="C9" s="1" t="s">
        <v>176</v>
      </c>
      <c r="D9" s="1" t="s">
        <v>177</v>
      </c>
      <c r="E9" t="s">
        <v>178</v>
      </c>
      <c r="AJ9" t="e">
        <f t="shared" ca="1" si="0"/>
        <v>#N/A</v>
      </c>
      <c r="AK9" t="e">
        <f t="shared" ca="1" si="3"/>
        <v>#N/A</v>
      </c>
      <c r="AL9">
        <f t="shared" ca="1" si="1"/>
        <v>0</v>
      </c>
      <c r="AM9" t="e">
        <f t="shared" ca="1" si="2"/>
        <v>#N/A</v>
      </c>
      <c r="AN9" t="str">
        <f t="shared" si="4"/>
        <v>III</v>
      </c>
      <c r="AO9">
        <f t="shared" si="4"/>
        <v>25</v>
      </c>
      <c r="AP9">
        <f t="shared" si="4"/>
        <v>10</v>
      </c>
      <c r="AQ9" t="str">
        <f t="shared" si="4"/>
        <v>IV</v>
      </c>
      <c r="AR9">
        <f t="shared" si="4"/>
        <v>7</v>
      </c>
    </row>
    <row r="10" spans="1:44" x14ac:dyDescent="0.2">
      <c r="A10">
        <v>5</v>
      </c>
      <c r="B10" s="1">
        <v>240090600005</v>
      </c>
      <c r="C10" s="1" t="s">
        <v>179</v>
      </c>
      <c r="D10" s="1" t="s">
        <v>180</v>
      </c>
      <c r="E10" t="s">
        <v>181</v>
      </c>
      <c r="AJ10" t="e">
        <f t="shared" ca="1" si="0"/>
        <v>#N/A</v>
      </c>
      <c r="AK10" t="e">
        <f t="shared" ca="1" si="3"/>
        <v>#N/A</v>
      </c>
      <c r="AL10">
        <f t="shared" ca="1" si="1"/>
        <v>0</v>
      </c>
      <c r="AM10" t="e">
        <f t="shared" ca="1" si="2"/>
        <v>#N/A</v>
      </c>
      <c r="AN10" t="str">
        <f t="shared" si="4"/>
        <v>III</v>
      </c>
      <c r="AO10">
        <f t="shared" si="4"/>
        <v>25</v>
      </c>
      <c r="AP10">
        <f t="shared" si="4"/>
        <v>10</v>
      </c>
      <c r="AQ10" t="str">
        <f t="shared" si="4"/>
        <v>IV</v>
      </c>
      <c r="AR10">
        <f t="shared" si="4"/>
        <v>7</v>
      </c>
    </row>
    <row r="11" spans="1:44" x14ac:dyDescent="0.2">
      <c r="A11">
        <v>6</v>
      </c>
      <c r="B11" s="1">
        <v>240090600006</v>
      </c>
      <c r="C11" s="1" t="s">
        <v>182</v>
      </c>
      <c r="D11" s="1" t="s">
        <v>183</v>
      </c>
      <c r="E11" t="s">
        <v>184</v>
      </c>
      <c r="AJ11" t="e">
        <f t="shared" ca="1" si="0"/>
        <v>#N/A</v>
      </c>
      <c r="AK11" t="e">
        <f t="shared" ca="1" si="3"/>
        <v>#N/A</v>
      </c>
      <c r="AL11">
        <f t="shared" ca="1" si="1"/>
        <v>0</v>
      </c>
      <c r="AM11" t="e">
        <f t="shared" ca="1" si="2"/>
        <v>#N/A</v>
      </c>
      <c r="AN11" t="str">
        <f t="shared" si="4"/>
        <v>III</v>
      </c>
      <c r="AO11">
        <f t="shared" si="4"/>
        <v>25</v>
      </c>
      <c r="AP11">
        <f t="shared" si="4"/>
        <v>10</v>
      </c>
      <c r="AQ11" t="str">
        <f t="shared" si="4"/>
        <v>IV</v>
      </c>
      <c r="AR11">
        <f t="shared" si="4"/>
        <v>7</v>
      </c>
    </row>
    <row r="12" spans="1:44" x14ac:dyDescent="0.2">
      <c r="A12">
        <v>7</v>
      </c>
      <c r="B12" s="1">
        <v>240090600007</v>
      </c>
      <c r="C12" s="1" t="s">
        <v>185</v>
      </c>
      <c r="D12" s="1" t="s">
        <v>186</v>
      </c>
      <c r="E12" t="s">
        <v>187</v>
      </c>
      <c r="AJ12" t="e">
        <f t="shared" ca="1" si="0"/>
        <v>#N/A</v>
      </c>
      <c r="AK12" t="e">
        <f t="shared" ca="1" si="3"/>
        <v>#N/A</v>
      </c>
      <c r="AL12">
        <f t="shared" ca="1" si="1"/>
        <v>0</v>
      </c>
      <c r="AM12" t="e">
        <f t="shared" ca="1" si="2"/>
        <v>#N/A</v>
      </c>
      <c r="AN12" t="str">
        <f t="shared" si="4"/>
        <v>III</v>
      </c>
      <c r="AO12">
        <f t="shared" si="4"/>
        <v>25</v>
      </c>
      <c r="AP12">
        <f t="shared" si="4"/>
        <v>10</v>
      </c>
      <c r="AQ12" t="str">
        <f t="shared" si="4"/>
        <v>IV</v>
      </c>
      <c r="AR12">
        <f t="shared" si="4"/>
        <v>7</v>
      </c>
    </row>
    <row r="13" spans="1:44" x14ac:dyDescent="0.2">
      <c r="A13">
        <v>8</v>
      </c>
      <c r="B13" s="1">
        <v>240090600008</v>
      </c>
      <c r="C13" s="1" t="s">
        <v>188</v>
      </c>
      <c r="D13" s="1" t="s">
        <v>189</v>
      </c>
      <c r="E13" t="s">
        <v>190</v>
      </c>
      <c r="AJ13" t="e">
        <f t="shared" ca="1" si="0"/>
        <v>#N/A</v>
      </c>
      <c r="AK13" t="e">
        <f t="shared" ca="1" si="3"/>
        <v>#N/A</v>
      </c>
      <c r="AL13">
        <f t="shared" ca="1" si="1"/>
        <v>0</v>
      </c>
      <c r="AM13" t="e">
        <f t="shared" ca="1" si="2"/>
        <v>#N/A</v>
      </c>
      <c r="AN13" t="str">
        <f t="shared" si="4"/>
        <v>III</v>
      </c>
      <c r="AO13">
        <f t="shared" si="4"/>
        <v>25</v>
      </c>
      <c r="AP13">
        <f t="shared" si="4"/>
        <v>10</v>
      </c>
      <c r="AQ13" t="str">
        <f t="shared" si="4"/>
        <v>IV</v>
      </c>
      <c r="AR13">
        <f t="shared" si="4"/>
        <v>7</v>
      </c>
    </row>
    <row r="14" spans="1:44" x14ac:dyDescent="0.2">
      <c r="A14">
        <v>9</v>
      </c>
      <c r="B14" s="1">
        <v>240090600009</v>
      </c>
      <c r="C14" s="1" t="s">
        <v>191</v>
      </c>
      <c r="D14" s="1" t="s">
        <v>192</v>
      </c>
      <c r="E14" t="s">
        <v>193</v>
      </c>
      <c r="AJ14" t="e">
        <f t="shared" ca="1" si="0"/>
        <v>#N/A</v>
      </c>
      <c r="AK14" t="e">
        <f t="shared" ca="1" si="3"/>
        <v>#N/A</v>
      </c>
      <c r="AL14">
        <f t="shared" ca="1" si="1"/>
        <v>0</v>
      </c>
      <c r="AM14" t="e">
        <f t="shared" ca="1" si="2"/>
        <v>#N/A</v>
      </c>
      <c r="AN14" t="str">
        <f t="shared" si="4"/>
        <v>III</v>
      </c>
      <c r="AO14">
        <f t="shared" si="4"/>
        <v>25</v>
      </c>
      <c r="AP14">
        <f t="shared" si="4"/>
        <v>10</v>
      </c>
      <c r="AQ14" t="str">
        <f t="shared" si="4"/>
        <v>IV</v>
      </c>
      <c r="AR14">
        <f t="shared" si="4"/>
        <v>7</v>
      </c>
    </row>
    <row r="15" spans="1:44" x14ac:dyDescent="0.2">
      <c r="A15">
        <v>10</v>
      </c>
      <c r="B15" s="1">
        <v>240090600010</v>
      </c>
      <c r="C15" s="1" t="s">
        <v>194</v>
      </c>
      <c r="D15" s="1" t="s">
        <v>195</v>
      </c>
      <c r="E15" t="s">
        <v>196</v>
      </c>
      <c r="AJ15" t="e">
        <f t="shared" ca="1" si="0"/>
        <v>#N/A</v>
      </c>
      <c r="AK15" t="e">
        <f t="shared" ca="1" si="3"/>
        <v>#N/A</v>
      </c>
      <c r="AL15">
        <f t="shared" ca="1" si="1"/>
        <v>0</v>
      </c>
      <c r="AM15" t="e">
        <f t="shared" ca="1" si="2"/>
        <v>#N/A</v>
      </c>
      <c r="AN15" t="str">
        <f t="shared" si="4"/>
        <v>III</v>
      </c>
      <c r="AO15">
        <f t="shared" si="4"/>
        <v>25</v>
      </c>
      <c r="AP15">
        <f t="shared" si="4"/>
        <v>10</v>
      </c>
      <c r="AQ15" t="str">
        <f t="shared" si="4"/>
        <v>IV</v>
      </c>
      <c r="AR15">
        <f t="shared" si="4"/>
        <v>7</v>
      </c>
    </row>
    <row r="16" spans="1:44" x14ac:dyDescent="0.2">
      <c r="A16">
        <v>11</v>
      </c>
      <c r="B16" s="1">
        <v>240090600011</v>
      </c>
      <c r="C16" s="1" t="s">
        <v>197</v>
      </c>
      <c r="D16" s="1" t="s">
        <v>198</v>
      </c>
      <c r="E16" t="s">
        <v>199</v>
      </c>
      <c r="AJ16" t="e">
        <f t="shared" ca="1" si="0"/>
        <v>#N/A</v>
      </c>
      <c r="AK16" t="e">
        <f t="shared" ca="1" si="3"/>
        <v>#N/A</v>
      </c>
      <c r="AL16">
        <f t="shared" ca="1" si="1"/>
        <v>0</v>
      </c>
      <c r="AM16" t="e">
        <f t="shared" ca="1" si="2"/>
        <v>#N/A</v>
      </c>
      <c r="AN16" t="str">
        <f t="shared" si="4"/>
        <v>III</v>
      </c>
      <c r="AO16">
        <f t="shared" si="4"/>
        <v>25</v>
      </c>
      <c r="AP16">
        <f t="shared" si="4"/>
        <v>10</v>
      </c>
      <c r="AQ16" t="str">
        <f t="shared" si="4"/>
        <v>IV</v>
      </c>
      <c r="AR16">
        <f t="shared" si="4"/>
        <v>7</v>
      </c>
    </row>
    <row r="17" spans="1:44" x14ac:dyDescent="0.2">
      <c r="A17">
        <v>12</v>
      </c>
      <c r="B17" s="1">
        <v>240090600012</v>
      </c>
      <c r="C17" s="1" t="s">
        <v>200</v>
      </c>
      <c r="D17" s="1" t="s">
        <v>201</v>
      </c>
      <c r="E17" t="s">
        <v>202</v>
      </c>
      <c r="AJ17" t="e">
        <f t="shared" ca="1" si="0"/>
        <v>#N/A</v>
      </c>
      <c r="AK17" t="e">
        <f t="shared" ca="1" si="3"/>
        <v>#N/A</v>
      </c>
      <c r="AL17">
        <f t="shared" ca="1" si="1"/>
        <v>0</v>
      </c>
      <c r="AM17" t="e">
        <f t="shared" ca="1" si="2"/>
        <v>#N/A</v>
      </c>
      <c r="AN17" t="str">
        <f t="shared" si="4"/>
        <v>III</v>
      </c>
      <c r="AO17">
        <f t="shared" si="4"/>
        <v>25</v>
      </c>
      <c r="AP17">
        <f t="shared" si="4"/>
        <v>10</v>
      </c>
      <c r="AQ17" t="str">
        <f t="shared" si="4"/>
        <v>IV</v>
      </c>
      <c r="AR17">
        <f t="shared" si="4"/>
        <v>7</v>
      </c>
    </row>
    <row r="18" spans="1:44" x14ac:dyDescent="0.2">
      <c r="A18">
        <v>13</v>
      </c>
      <c r="B18" s="1">
        <v>240090600013</v>
      </c>
      <c r="C18" s="1" t="s">
        <v>203</v>
      </c>
      <c r="D18" s="1" t="s">
        <v>204</v>
      </c>
      <c r="E18" t="s">
        <v>205</v>
      </c>
      <c r="AJ18" t="e">
        <f t="shared" ca="1" si="0"/>
        <v>#N/A</v>
      </c>
      <c r="AK18" t="e">
        <f t="shared" ca="1" si="3"/>
        <v>#N/A</v>
      </c>
      <c r="AL18">
        <f t="shared" ca="1" si="1"/>
        <v>0</v>
      </c>
      <c r="AM18" t="e">
        <f t="shared" ca="1" si="2"/>
        <v>#N/A</v>
      </c>
      <c r="AN18" t="str">
        <f t="shared" si="4"/>
        <v>III</v>
      </c>
      <c r="AO18">
        <f t="shared" si="4"/>
        <v>25</v>
      </c>
      <c r="AP18">
        <f t="shared" si="4"/>
        <v>10</v>
      </c>
      <c r="AQ18" t="str">
        <f t="shared" si="4"/>
        <v>IV</v>
      </c>
      <c r="AR18">
        <f t="shared" si="4"/>
        <v>7</v>
      </c>
    </row>
    <row r="19" spans="1:44" x14ac:dyDescent="0.2">
      <c r="A19">
        <v>14</v>
      </c>
      <c r="B19" s="1">
        <v>240090600014</v>
      </c>
      <c r="C19" s="1" t="s">
        <v>206</v>
      </c>
      <c r="D19" s="1" t="s">
        <v>207</v>
      </c>
      <c r="E19" t="s">
        <v>208</v>
      </c>
      <c r="AJ19" t="e">
        <f t="shared" ca="1" si="0"/>
        <v>#N/A</v>
      </c>
      <c r="AK19" t="e">
        <f t="shared" ca="1" si="3"/>
        <v>#N/A</v>
      </c>
      <c r="AL19">
        <f t="shared" ca="1" si="1"/>
        <v>0</v>
      </c>
      <c r="AM19" t="e">
        <f t="shared" ca="1" si="2"/>
        <v>#N/A</v>
      </c>
      <c r="AN19" t="str">
        <f t="shared" si="4"/>
        <v>III</v>
      </c>
      <c r="AO19">
        <f t="shared" si="4"/>
        <v>25</v>
      </c>
      <c r="AP19">
        <f t="shared" si="4"/>
        <v>10</v>
      </c>
      <c r="AQ19" t="str">
        <f t="shared" si="4"/>
        <v>IV</v>
      </c>
      <c r="AR19">
        <f t="shared" si="4"/>
        <v>7</v>
      </c>
    </row>
    <row r="20" spans="1:44" x14ac:dyDescent="0.2">
      <c r="A20">
        <v>15</v>
      </c>
      <c r="B20" s="1">
        <v>240090600015</v>
      </c>
      <c r="C20" s="1" t="s">
        <v>209</v>
      </c>
      <c r="D20" s="1" t="s">
        <v>210</v>
      </c>
      <c r="E20" t="s">
        <v>211</v>
      </c>
      <c r="AJ20" t="e">
        <f t="shared" ca="1" si="0"/>
        <v>#N/A</v>
      </c>
      <c r="AK20" t="e">
        <f t="shared" ca="1" si="3"/>
        <v>#N/A</v>
      </c>
      <c r="AL20">
        <f t="shared" ca="1" si="1"/>
        <v>0</v>
      </c>
      <c r="AM20" t="e">
        <f t="shared" ca="1" si="2"/>
        <v>#N/A</v>
      </c>
      <c r="AN20" t="str">
        <f t="shared" si="4"/>
        <v>III</v>
      </c>
      <c r="AO20">
        <f t="shared" si="4"/>
        <v>25</v>
      </c>
      <c r="AP20">
        <f t="shared" si="4"/>
        <v>10</v>
      </c>
      <c r="AQ20" t="str">
        <f t="shared" si="4"/>
        <v>IV</v>
      </c>
      <c r="AR20">
        <f t="shared" si="4"/>
        <v>7</v>
      </c>
    </row>
    <row r="21" spans="1:44" x14ac:dyDescent="0.2">
      <c r="A21">
        <v>16</v>
      </c>
      <c r="B21" s="1">
        <v>240090600016</v>
      </c>
      <c r="C21" s="1" t="s">
        <v>212</v>
      </c>
      <c r="D21" s="1" t="s">
        <v>213</v>
      </c>
      <c r="E21" t="s">
        <v>214</v>
      </c>
      <c r="AJ21" t="e">
        <f t="shared" ca="1" si="0"/>
        <v>#N/A</v>
      </c>
      <c r="AK21" t="e">
        <f t="shared" ca="1" si="3"/>
        <v>#N/A</v>
      </c>
      <c r="AL21">
        <f t="shared" ca="1" si="1"/>
        <v>0</v>
      </c>
      <c r="AM21" t="e">
        <f t="shared" ca="1" si="2"/>
        <v>#N/A</v>
      </c>
      <c r="AN21" t="str">
        <f t="shared" si="4"/>
        <v>III</v>
      </c>
      <c r="AO21">
        <f t="shared" si="4"/>
        <v>25</v>
      </c>
      <c r="AP21">
        <f t="shared" si="4"/>
        <v>10</v>
      </c>
      <c r="AQ21" t="str">
        <f t="shared" si="4"/>
        <v>IV</v>
      </c>
      <c r="AR21">
        <f t="shared" si="4"/>
        <v>7</v>
      </c>
    </row>
    <row r="22" spans="1:44" x14ac:dyDescent="0.2">
      <c r="A22">
        <v>17</v>
      </c>
      <c r="B22" s="1">
        <v>240090600017</v>
      </c>
      <c r="C22" s="1" t="s">
        <v>215</v>
      </c>
      <c r="D22" s="1" t="s">
        <v>216</v>
      </c>
      <c r="E22" t="s">
        <v>217</v>
      </c>
      <c r="AJ22" t="e">
        <f t="shared" ca="1" si="0"/>
        <v>#N/A</v>
      </c>
      <c r="AK22" t="e">
        <f t="shared" ca="1" si="3"/>
        <v>#N/A</v>
      </c>
      <c r="AL22">
        <f t="shared" ca="1" si="1"/>
        <v>0</v>
      </c>
      <c r="AM22" t="e">
        <f t="shared" ca="1" si="2"/>
        <v>#N/A</v>
      </c>
      <c r="AN22" t="str">
        <f t="shared" si="4"/>
        <v>III</v>
      </c>
      <c r="AO22">
        <f t="shared" si="4"/>
        <v>25</v>
      </c>
      <c r="AP22">
        <f t="shared" si="4"/>
        <v>10</v>
      </c>
      <c r="AQ22" t="str">
        <f t="shared" si="4"/>
        <v>IV</v>
      </c>
      <c r="AR22">
        <f t="shared" si="4"/>
        <v>7</v>
      </c>
    </row>
    <row r="23" spans="1:44" x14ac:dyDescent="0.2">
      <c r="A23">
        <v>18</v>
      </c>
      <c r="B23" s="1">
        <v>240090600018</v>
      </c>
      <c r="C23" s="1" t="s">
        <v>170</v>
      </c>
      <c r="D23" s="1" t="s">
        <v>218</v>
      </c>
      <c r="E23" t="s">
        <v>219</v>
      </c>
      <c r="AJ23" t="e">
        <f t="shared" ca="1" si="0"/>
        <v>#N/A</v>
      </c>
      <c r="AK23" t="e">
        <f t="shared" ca="1" si="3"/>
        <v>#N/A</v>
      </c>
      <c r="AL23">
        <f t="shared" ca="1" si="1"/>
        <v>0</v>
      </c>
      <c r="AM23" t="e">
        <f t="shared" ca="1" si="2"/>
        <v>#N/A</v>
      </c>
      <c r="AN23" t="str">
        <f t="shared" si="4"/>
        <v>III</v>
      </c>
      <c r="AO23">
        <f t="shared" si="4"/>
        <v>25</v>
      </c>
      <c r="AP23">
        <f t="shared" si="4"/>
        <v>10</v>
      </c>
      <c r="AQ23" t="str">
        <f t="shared" si="4"/>
        <v>IV</v>
      </c>
      <c r="AR23">
        <f t="shared" si="4"/>
        <v>7</v>
      </c>
    </row>
    <row r="24" spans="1:44" x14ac:dyDescent="0.2">
      <c r="A24">
        <v>19</v>
      </c>
      <c r="B24" s="1">
        <v>240090600019</v>
      </c>
      <c r="C24" s="1" t="s">
        <v>220</v>
      </c>
      <c r="D24" s="1" t="s">
        <v>221</v>
      </c>
      <c r="E24" t="s">
        <v>222</v>
      </c>
      <c r="AJ24" t="e">
        <f t="shared" ca="1" si="0"/>
        <v>#N/A</v>
      </c>
      <c r="AK24" t="e">
        <f t="shared" ca="1" si="3"/>
        <v>#N/A</v>
      </c>
      <c r="AL24">
        <f t="shared" ca="1" si="1"/>
        <v>0</v>
      </c>
      <c r="AM24" t="e">
        <f t="shared" ca="1" si="2"/>
        <v>#N/A</v>
      </c>
      <c r="AN24" t="str">
        <f t="shared" ref="AN24:AR39" si="5">AN23</f>
        <v>III</v>
      </c>
      <c r="AO24">
        <f t="shared" si="5"/>
        <v>25</v>
      </c>
      <c r="AP24">
        <f t="shared" si="5"/>
        <v>10</v>
      </c>
      <c r="AQ24" t="str">
        <f t="shared" si="5"/>
        <v>IV</v>
      </c>
      <c r="AR24">
        <f t="shared" si="5"/>
        <v>7</v>
      </c>
    </row>
    <row r="25" spans="1:44" x14ac:dyDescent="0.2">
      <c r="A25">
        <v>20</v>
      </c>
      <c r="B25" s="1">
        <v>240090600020</v>
      </c>
      <c r="C25" s="1" t="s">
        <v>223</v>
      </c>
      <c r="D25" s="1" t="s">
        <v>224</v>
      </c>
      <c r="E25" t="s">
        <v>225</v>
      </c>
      <c r="AJ25" t="e">
        <f t="shared" ca="1" si="0"/>
        <v>#N/A</v>
      </c>
      <c r="AK25" t="e">
        <f t="shared" ca="1" si="3"/>
        <v>#N/A</v>
      </c>
      <c r="AL25">
        <f t="shared" ca="1" si="1"/>
        <v>0</v>
      </c>
      <c r="AM25" t="e">
        <f t="shared" ca="1" si="2"/>
        <v>#N/A</v>
      </c>
      <c r="AN25" t="str">
        <f t="shared" si="5"/>
        <v>III</v>
      </c>
      <c r="AO25">
        <f t="shared" si="5"/>
        <v>25</v>
      </c>
      <c r="AP25">
        <f t="shared" si="5"/>
        <v>10</v>
      </c>
      <c r="AQ25" t="str">
        <f t="shared" si="5"/>
        <v>IV</v>
      </c>
      <c r="AR25">
        <f t="shared" si="5"/>
        <v>7</v>
      </c>
    </row>
    <row r="26" spans="1:44" x14ac:dyDescent="0.2">
      <c r="A26">
        <v>21</v>
      </c>
      <c r="B26" s="1">
        <v>240090600021</v>
      </c>
      <c r="C26" s="1" t="s">
        <v>226</v>
      </c>
      <c r="D26" s="1" t="s">
        <v>227</v>
      </c>
      <c r="E26" t="s">
        <v>228</v>
      </c>
      <c r="AJ26" t="e">
        <f t="shared" ca="1" si="0"/>
        <v>#N/A</v>
      </c>
      <c r="AK26" t="e">
        <f t="shared" ca="1" si="3"/>
        <v>#N/A</v>
      </c>
      <c r="AL26">
        <f t="shared" ca="1" si="1"/>
        <v>0</v>
      </c>
      <c r="AM26" t="e">
        <f t="shared" ca="1" si="2"/>
        <v>#N/A</v>
      </c>
      <c r="AN26" t="str">
        <f t="shared" si="5"/>
        <v>III</v>
      </c>
      <c r="AO26">
        <f t="shared" si="5"/>
        <v>25</v>
      </c>
      <c r="AP26">
        <f t="shared" si="5"/>
        <v>10</v>
      </c>
      <c r="AQ26" t="str">
        <f t="shared" si="5"/>
        <v>IV</v>
      </c>
      <c r="AR26">
        <f t="shared" si="5"/>
        <v>7</v>
      </c>
    </row>
    <row r="27" spans="1:44" x14ac:dyDescent="0.2">
      <c r="A27">
        <v>22</v>
      </c>
      <c r="B27" s="1">
        <v>240090600022</v>
      </c>
      <c r="C27" s="1" t="s">
        <v>229</v>
      </c>
      <c r="D27" s="1" t="s">
        <v>230</v>
      </c>
      <c r="E27" t="s">
        <v>231</v>
      </c>
      <c r="AJ27" t="e">
        <f t="shared" ca="1" si="0"/>
        <v>#N/A</v>
      </c>
      <c r="AK27" t="e">
        <f t="shared" ca="1" si="3"/>
        <v>#N/A</v>
      </c>
      <c r="AL27">
        <f t="shared" ca="1" si="1"/>
        <v>0</v>
      </c>
      <c r="AM27" t="e">
        <f t="shared" ca="1" si="2"/>
        <v>#N/A</v>
      </c>
      <c r="AN27" t="str">
        <f t="shared" si="5"/>
        <v>III</v>
      </c>
      <c r="AO27">
        <f t="shared" si="5"/>
        <v>25</v>
      </c>
      <c r="AP27">
        <f t="shared" si="5"/>
        <v>10</v>
      </c>
      <c r="AQ27" t="str">
        <f t="shared" si="5"/>
        <v>IV</v>
      </c>
      <c r="AR27">
        <f t="shared" si="5"/>
        <v>7</v>
      </c>
    </row>
    <row r="28" spans="1:44" x14ac:dyDescent="0.2">
      <c r="A28">
        <v>23</v>
      </c>
      <c r="B28" s="1">
        <v>240090600023</v>
      </c>
      <c r="C28" t="s">
        <v>232</v>
      </c>
      <c r="D28" t="s">
        <v>233</v>
      </c>
      <c r="E28" t="s">
        <v>234</v>
      </c>
      <c r="AJ28" t="e">
        <f t="shared" ca="1" si="0"/>
        <v>#N/A</v>
      </c>
      <c r="AK28" t="e">
        <f t="shared" ca="1" si="3"/>
        <v>#N/A</v>
      </c>
      <c r="AL28">
        <f t="shared" ca="1" si="1"/>
        <v>0</v>
      </c>
      <c r="AM28" t="e">
        <f t="shared" ca="1" si="2"/>
        <v>#N/A</v>
      </c>
      <c r="AN28" t="str">
        <f t="shared" si="5"/>
        <v>III</v>
      </c>
      <c r="AO28">
        <f t="shared" si="5"/>
        <v>25</v>
      </c>
      <c r="AP28">
        <f t="shared" si="5"/>
        <v>10</v>
      </c>
      <c r="AQ28" t="str">
        <f t="shared" si="5"/>
        <v>IV</v>
      </c>
      <c r="AR28">
        <f t="shared" si="5"/>
        <v>7</v>
      </c>
    </row>
    <row r="29" spans="1:44" x14ac:dyDescent="0.2">
      <c r="A29">
        <v>24</v>
      </c>
      <c r="B29" s="1">
        <v>240090600024</v>
      </c>
      <c r="C29" t="s">
        <v>235</v>
      </c>
      <c r="D29" t="s">
        <v>236</v>
      </c>
      <c r="E29" t="s">
        <v>237</v>
      </c>
      <c r="AJ29" t="e">
        <f t="shared" ca="1" si="0"/>
        <v>#N/A</v>
      </c>
      <c r="AK29" t="e">
        <f t="shared" ca="1" si="3"/>
        <v>#N/A</v>
      </c>
      <c r="AL29">
        <f t="shared" ref="AL29:AL43" ca="1" si="6">IF(INDIRECT(_xlfn.TEXTJOIN("",TRUE,"TC_",AQ29,"!",ADDRESS(4+A29*(AR29+9),23))),SUM(INDIRECT(_xlfn.TEXTJOIN("",TRUE,"TC_",AQ29,"!",ADDRESS(4+A29*(AR29+9)-AR29,23),":",ADDRESS(3+A29*(AR29+9),23)))),0)</f>
        <v>0</v>
      </c>
      <c r="AM29" t="e">
        <f t="shared" ca="1" si="2"/>
        <v>#N/A</v>
      </c>
      <c r="AN29" t="str">
        <f t="shared" si="5"/>
        <v>III</v>
      </c>
      <c r="AO29">
        <f t="shared" si="5"/>
        <v>25</v>
      </c>
      <c r="AP29">
        <f t="shared" si="5"/>
        <v>10</v>
      </c>
      <c r="AQ29" t="str">
        <f t="shared" si="5"/>
        <v>IV</v>
      </c>
      <c r="AR29">
        <f t="shared" si="5"/>
        <v>7</v>
      </c>
    </row>
    <row r="30" spans="1:44" x14ac:dyDescent="0.2">
      <c r="A30">
        <v>25</v>
      </c>
      <c r="B30" s="1">
        <v>240090600025</v>
      </c>
      <c r="C30" t="s">
        <v>238</v>
      </c>
      <c r="D30" t="s">
        <v>239</v>
      </c>
      <c r="E30" t="s">
        <v>240</v>
      </c>
      <c r="AJ30" t="e">
        <f t="shared" ca="1" si="0"/>
        <v>#N/A</v>
      </c>
      <c r="AK30" t="e">
        <f t="shared" ca="1" si="3"/>
        <v>#N/A</v>
      </c>
      <c r="AL30">
        <f t="shared" ca="1" si="6"/>
        <v>0</v>
      </c>
      <c r="AM30" t="e">
        <f t="shared" ca="1" si="2"/>
        <v>#N/A</v>
      </c>
      <c r="AN30" t="str">
        <f t="shared" si="5"/>
        <v>III</v>
      </c>
      <c r="AO30">
        <f t="shared" si="5"/>
        <v>25</v>
      </c>
      <c r="AP30">
        <f t="shared" si="5"/>
        <v>10</v>
      </c>
      <c r="AQ30" t="str">
        <f t="shared" si="5"/>
        <v>IV</v>
      </c>
      <c r="AR30">
        <f t="shared" si="5"/>
        <v>7</v>
      </c>
    </row>
    <row r="31" spans="1:44" x14ac:dyDescent="0.2">
      <c r="B31" s="1"/>
      <c r="AJ31" t="e">
        <f t="shared" ca="1" si="0"/>
        <v>#N/A</v>
      </c>
      <c r="AK31" t="e">
        <f t="shared" ca="1" si="3"/>
        <v>#N/A</v>
      </c>
      <c r="AL31">
        <f t="shared" ca="1" si="6"/>
        <v>0</v>
      </c>
      <c r="AM31" t="e">
        <f t="shared" ca="1" si="2"/>
        <v>#N/A</v>
      </c>
      <c r="AN31" t="str">
        <f t="shared" si="5"/>
        <v>III</v>
      </c>
      <c r="AO31">
        <f t="shared" si="5"/>
        <v>25</v>
      </c>
      <c r="AP31">
        <f t="shared" si="5"/>
        <v>10</v>
      </c>
      <c r="AQ31" t="str">
        <f t="shared" si="5"/>
        <v>IV</v>
      </c>
      <c r="AR31">
        <f t="shared" si="5"/>
        <v>7</v>
      </c>
    </row>
    <row r="32" spans="1:44" x14ac:dyDescent="0.2">
      <c r="B32" s="1"/>
      <c r="AJ32" t="e">
        <f t="shared" ca="1" si="0"/>
        <v>#N/A</v>
      </c>
      <c r="AK32" t="e">
        <f t="shared" ca="1" si="3"/>
        <v>#N/A</v>
      </c>
      <c r="AL32">
        <f t="shared" ca="1" si="6"/>
        <v>0</v>
      </c>
      <c r="AM32" t="e">
        <f t="shared" ca="1" si="2"/>
        <v>#N/A</v>
      </c>
      <c r="AN32" t="str">
        <f t="shared" si="5"/>
        <v>III</v>
      </c>
      <c r="AO32">
        <f t="shared" si="5"/>
        <v>25</v>
      </c>
      <c r="AP32">
        <f t="shared" si="5"/>
        <v>10</v>
      </c>
      <c r="AQ32" t="str">
        <f t="shared" si="5"/>
        <v>IV</v>
      </c>
      <c r="AR32">
        <f t="shared" si="5"/>
        <v>7</v>
      </c>
    </row>
    <row r="33" spans="2:44" x14ac:dyDescent="0.2">
      <c r="B33" s="1"/>
      <c r="AJ33" t="e">
        <f t="shared" ca="1" si="0"/>
        <v>#N/A</v>
      </c>
      <c r="AK33" t="e">
        <f t="shared" ca="1" si="3"/>
        <v>#N/A</v>
      </c>
      <c r="AL33">
        <f t="shared" ca="1" si="6"/>
        <v>0</v>
      </c>
      <c r="AM33" t="e">
        <f t="shared" ca="1" si="2"/>
        <v>#N/A</v>
      </c>
      <c r="AN33" t="str">
        <f t="shared" si="5"/>
        <v>III</v>
      </c>
      <c r="AO33">
        <f t="shared" si="5"/>
        <v>25</v>
      </c>
      <c r="AP33">
        <f t="shared" si="5"/>
        <v>10</v>
      </c>
      <c r="AQ33" t="str">
        <f t="shared" si="5"/>
        <v>IV</v>
      </c>
      <c r="AR33">
        <f t="shared" si="5"/>
        <v>7</v>
      </c>
    </row>
    <row r="34" spans="2:44" x14ac:dyDescent="0.2">
      <c r="B34" s="1"/>
      <c r="AJ34" t="e">
        <f t="shared" ca="1" si="0"/>
        <v>#N/A</v>
      </c>
      <c r="AK34" t="e">
        <f t="shared" ca="1" si="3"/>
        <v>#N/A</v>
      </c>
      <c r="AL34">
        <f t="shared" ca="1" si="6"/>
        <v>0</v>
      </c>
      <c r="AM34" t="e">
        <f t="shared" ca="1" si="2"/>
        <v>#N/A</v>
      </c>
      <c r="AN34" t="str">
        <f t="shared" si="5"/>
        <v>III</v>
      </c>
      <c r="AO34">
        <f t="shared" si="5"/>
        <v>25</v>
      </c>
      <c r="AP34">
        <f t="shared" si="5"/>
        <v>10</v>
      </c>
      <c r="AQ34" t="str">
        <f t="shared" si="5"/>
        <v>IV</v>
      </c>
      <c r="AR34">
        <f t="shared" si="5"/>
        <v>7</v>
      </c>
    </row>
    <row r="35" spans="2:44" x14ac:dyDescent="0.2">
      <c r="B35" s="1"/>
      <c r="AJ35" t="e">
        <f t="shared" ca="1" si="0"/>
        <v>#N/A</v>
      </c>
      <c r="AK35" t="e">
        <f t="shared" ca="1" si="3"/>
        <v>#N/A</v>
      </c>
      <c r="AL35">
        <f t="shared" ca="1" si="6"/>
        <v>0</v>
      </c>
      <c r="AM35" t="e">
        <f t="shared" ca="1" si="2"/>
        <v>#N/A</v>
      </c>
      <c r="AN35" t="str">
        <f t="shared" si="5"/>
        <v>III</v>
      </c>
      <c r="AO35">
        <f t="shared" si="5"/>
        <v>25</v>
      </c>
      <c r="AP35">
        <f t="shared" si="5"/>
        <v>10</v>
      </c>
      <c r="AQ35" t="str">
        <f t="shared" si="5"/>
        <v>IV</v>
      </c>
      <c r="AR35">
        <f t="shared" si="5"/>
        <v>7</v>
      </c>
    </row>
    <row r="36" spans="2:44" x14ac:dyDescent="0.2">
      <c r="B36" s="1"/>
      <c r="AJ36" t="e">
        <f t="shared" ca="1" si="0"/>
        <v>#N/A</v>
      </c>
      <c r="AK36" t="e">
        <f t="shared" ca="1" si="3"/>
        <v>#N/A</v>
      </c>
      <c r="AL36">
        <f t="shared" ca="1" si="6"/>
        <v>0</v>
      </c>
      <c r="AM36" t="e">
        <f t="shared" ca="1" si="2"/>
        <v>#N/A</v>
      </c>
      <c r="AN36" t="str">
        <f t="shared" si="5"/>
        <v>III</v>
      </c>
      <c r="AO36">
        <f t="shared" si="5"/>
        <v>25</v>
      </c>
      <c r="AP36">
        <f t="shared" si="5"/>
        <v>10</v>
      </c>
      <c r="AQ36" t="str">
        <f t="shared" si="5"/>
        <v>IV</v>
      </c>
      <c r="AR36">
        <f t="shared" si="5"/>
        <v>7</v>
      </c>
    </row>
    <row r="37" spans="2:44" x14ac:dyDescent="0.2">
      <c r="B37" s="1"/>
      <c r="AJ37" t="e">
        <f t="shared" ca="1" si="0"/>
        <v>#N/A</v>
      </c>
      <c r="AK37" t="e">
        <f t="shared" ca="1" si="3"/>
        <v>#N/A</v>
      </c>
      <c r="AL37">
        <f t="shared" ca="1" si="6"/>
        <v>0</v>
      </c>
      <c r="AM37" t="e">
        <f t="shared" ca="1" si="2"/>
        <v>#N/A</v>
      </c>
      <c r="AN37" t="str">
        <f t="shared" si="5"/>
        <v>III</v>
      </c>
      <c r="AO37">
        <f t="shared" si="5"/>
        <v>25</v>
      </c>
      <c r="AP37">
        <f t="shared" si="5"/>
        <v>10</v>
      </c>
      <c r="AQ37" t="str">
        <f t="shared" si="5"/>
        <v>IV</v>
      </c>
      <c r="AR37">
        <f t="shared" si="5"/>
        <v>7</v>
      </c>
    </row>
    <row r="38" spans="2:44" x14ac:dyDescent="0.2">
      <c r="B38" s="1"/>
      <c r="AJ38" t="e">
        <f t="shared" ca="1" si="0"/>
        <v>#N/A</v>
      </c>
      <c r="AK38" t="e">
        <f t="shared" ca="1" si="3"/>
        <v>#N/A</v>
      </c>
      <c r="AL38">
        <f t="shared" ca="1" si="6"/>
        <v>0</v>
      </c>
      <c r="AM38" t="e">
        <f t="shared" ca="1" si="2"/>
        <v>#N/A</v>
      </c>
      <c r="AN38" t="str">
        <f t="shared" si="5"/>
        <v>III</v>
      </c>
      <c r="AO38">
        <f t="shared" si="5"/>
        <v>25</v>
      </c>
      <c r="AP38">
        <f t="shared" si="5"/>
        <v>10</v>
      </c>
      <c r="AQ38" t="str">
        <f t="shared" si="5"/>
        <v>IV</v>
      </c>
      <c r="AR38">
        <f t="shared" si="5"/>
        <v>7</v>
      </c>
    </row>
    <row r="39" spans="2:44" x14ac:dyDescent="0.2">
      <c r="B39" s="1"/>
      <c r="AJ39" t="e">
        <f t="shared" ca="1" si="0"/>
        <v>#N/A</v>
      </c>
      <c r="AK39" t="e">
        <f t="shared" ca="1" si="3"/>
        <v>#N/A</v>
      </c>
      <c r="AL39">
        <f t="shared" ca="1" si="6"/>
        <v>0</v>
      </c>
      <c r="AM39" t="e">
        <f t="shared" ca="1" si="2"/>
        <v>#N/A</v>
      </c>
      <c r="AN39" t="str">
        <f t="shared" si="5"/>
        <v>III</v>
      </c>
      <c r="AO39">
        <f t="shared" si="5"/>
        <v>25</v>
      </c>
      <c r="AP39">
        <f t="shared" si="5"/>
        <v>10</v>
      </c>
      <c r="AQ39" t="str">
        <f t="shared" si="5"/>
        <v>IV</v>
      </c>
      <c r="AR39">
        <f t="shared" si="5"/>
        <v>7</v>
      </c>
    </row>
    <row r="40" spans="2:44" x14ac:dyDescent="0.2">
      <c r="B40" s="1"/>
      <c r="AJ40" t="e">
        <f t="shared" ca="1" si="0"/>
        <v>#N/A</v>
      </c>
      <c r="AK40" t="e">
        <f t="shared" ca="1" si="3"/>
        <v>#N/A</v>
      </c>
      <c r="AL40">
        <f t="shared" ca="1" si="6"/>
        <v>0</v>
      </c>
      <c r="AM40" t="e">
        <f t="shared" ca="1" si="2"/>
        <v>#N/A</v>
      </c>
      <c r="AN40" t="str">
        <f t="shared" ref="AN40:AR44" si="7">AN39</f>
        <v>III</v>
      </c>
      <c r="AO40">
        <f t="shared" si="7"/>
        <v>25</v>
      </c>
      <c r="AP40">
        <f t="shared" si="7"/>
        <v>10</v>
      </c>
      <c r="AQ40" t="str">
        <f t="shared" si="7"/>
        <v>IV</v>
      </c>
      <c r="AR40">
        <f t="shared" si="7"/>
        <v>7</v>
      </c>
    </row>
    <row r="41" spans="2:44" x14ac:dyDescent="0.2">
      <c r="B41" s="1"/>
      <c r="AJ41" t="e">
        <f t="shared" ca="1" si="0"/>
        <v>#N/A</v>
      </c>
      <c r="AK41" t="e">
        <f t="shared" ca="1" si="3"/>
        <v>#N/A</v>
      </c>
      <c r="AL41">
        <f t="shared" ca="1" si="6"/>
        <v>0</v>
      </c>
      <c r="AM41" t="e">
        <f t="shared" ca="1" si="2"/>
        <v>#N/A</v>
      </c>
      <c r="AN41" t="str">
        <f t="shared" si="7"/>
        <v>III</v>
      </c>
      <c r="AO41">
        <f t="shared" si="7"/>
        <v>25</v>
      </c>
      <c r="AP41">
        <f t="shared" si="7"/>
        <v>10</v>
      </c>
      <c r="AQ41" t="str">
        <f t="shared" si="7"/>
        <v>IV</v>
      </c>
      <c r="AR41">
        <f t="shared" si="7"/>
        <v>7</v>
      </c>
    </row>
    <row r="42" spans="2:44" x14ac:dyDescent="0.2">
      <c r="B42" s="1"/>
      <c r="AJ42" t="e">
        <f t="shared" ca="1" si="0"/>
        <v>#N/A</v>
      </c>
      <c r="AK42" t="e">
        <f t="shared" ca="1" si="3"/>
        <v>#N/A</v>
      </c>
      <c r="AL42">
        <f t="shared" ca="1" si="6"/>
        <v>0</v>
      </c>
      <c r="AM42" t="e">
        <f t="shared" ca="1" si="2"/>
        <v>#N/A</v>
      </c>
      <c r="AN42" t="str">
        <f t="shared" si="7"/>
        <v>III</v>
      </c>
      <c r="AO42">
        <f t="shared" si="7"/>
        <v>25</v>
      </c>
      <c r="AP42">
        <f t="shared" si="7"/>
        <v>10</v>
      </c>
      <c r="AQ42" t="str">
        <f t="shared" si="7"/>
        <v>IV</v>
      </c>
      <c r="AR42">
        <f t="shared" si="7"/>
        <v>7</v>
      </c>
    </row>
    <row r="43" spans="2:44" x14ac:dyDescent="0.2">
      <c r="B43" s="1"/>
      <c r="AJ43" t="e">
        <f t="shared" ca="1" si="0"/>
        <v>#N/A</v>
      </c>
      <c r="AK43" t="e">
        <f t="shared" ca="1" si="3"/>
        <v>#N/A</v>
      </c>
      <c r="AL43">
        <f t="shared" ca="1" si="6"/>
        <v>0</v>
      </c>
      <c r="AM43" t="e">
        <f t="shared" ca="1" si="2"/>
        <v>#N/A</v>
      </c>
      <c r="AN43" t="str">
        <f t="shared" si="7"/>
        <v>III</v>
      </c>
      <c r="AO43">
        <f t="shared" si="7"/>
        <v>25</v>
      </c>
      <c r="AP43">
        <f t="shared" si="7"/>
        <v>10</v>
      </c>
      <c r="AQ43" t="str">
        <f t="shared" si="7"/>
        <v>IV</v>
      </c>
      <c r="AR43">
        <f t="shared" si="7"/>
        <v>7</v>
      </c>
    </row>
    <row r="44" spans="2:44" x14ac:dyDescent="0.2">
      <c r="B44" s="1"/>
      <c r="AJ44" t="e">
        <f t="shared" ca="1" si="0"/>
        <v>#N/A</v>
      </c>
      <c r="AK44" t="e">
        <f t="shared" ref="AK44" ca="1" si="8">IF(LEFT(B44,1)="7",0,INDEX(INDIRECT(_xlfn.TEXTJOIN("",TRUE,"SEM_",AN44,"!",ADDRESS(6,5+AP44*3+2),":",ADDRESS(5+AO44,5+AP44*3+2))),MATCH(B44,INDIRECT(_xlfn.TEXTJOIN("",TRUE,"SEM_",AN44,"!",ADDRESS(6,2),":",ADDRESS(5+AO44,2))),0)))+INDIRECT(_xlfn.TEXTJOIN("",TRUE,"TC_",AQ44,"!",ADDRESS(5+A44*(AR44+9),12)))</f>
        <v>#N/A</v>
      </c>
      <c r="AL44">
        <f t="shared" ref="AL44" ca="1" si="9">IF(INDIRECT(_xlfn.TEXTJOIN("",TRUE,"TC_",AQ44,"!",ADDRESS(4+A44*(AR44+9),23))),SUM(INDIRECT(_xlfn.TEXTJOIN("",TRUE,"TC_",AQ44,"!",ADDRESS(4+A44*(AR44+9)-AR44,23),":",ADDRESS(3+A44*(AR44+9),23)))),0)</f>
        <v>0</v>
      </c>
      <c r="AM44" t="e">
        <f t="shared" ref="AM44" ca="1" si="10">IF(LEFT(B44,1)="7",AJ44/$AK$4,AJ44/$AK$3)</f>
        <v>#N/A</v>
      </c>
      <c r="AN44" t="str">
        <f t="shared" si="7"/>
        <v>III</v>
      </c>
      <c r="AO44">
        <f t="shared" si="7"/>
        <v>25</v>
      </c>
      <c r="AP44">
        <f t="shared" si="7"/>
        <v>10</v>
      </c>
      <c r="AQ44" t="str">
        <f t="shared" si="7"/>
        <v>IV</v>
      </c>
      <c r="AR44">
        <f t="shared" si="7"/>
        <v>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1B24-D0EC-48C1-9530-FBCE1FEBAD59}">
  <dimension ref="A1:Z950"/>
  <sheetViews>
    <sheetView view="pageBreakPreview" topLeftCell="A408" zoomScale="85" zoomScaleNormal="100" zoomScaleSheetLayoutView="85" zoomScalePageLayoutView="85" workbookViewId="0">
      <selection activeCell="M933" sqref="M933:N945"/>
    </sheetView>
  </sheetViews>
  <sheetFormatPr baseColWidth="10" defaultColWidth="8.83203125" defaultRowHeight="11.5" customHeight="1" x14ac:dyDescent="0.2"/>
  <sheetData>
    <row r="1" spans="1:26" ht="18.75" customHeight="1" x14ac:dyDescent="0.2">
      <c r="A1" s="51" t="s">
        <v>19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Y1" s="2" t="s">
        <v>9</v>
      </c>
      <c r="Z1" s="3" t="s">
        <v>10</v>
      </c>
    </row>
    <row r="2" spans="1:26" ht="15" x14ac:dyDescent="0.2">
      <c r="A2" s="52" t="s">
        <v>20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Y2" s="4" t="s">
        <v>11</v>
      </c>
      <c r="Z2" s="36">
        <v>10</v>
      </c>
    </row>
    <row r="3" spans="1:26" ht="12" customHeight="1" x14ac:dyDescent="0.2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Y3" s="4" t="s">
        <v>54</v>
      </c>
      <c r="Z3" s="36">
        <v>9.5</v>
      </c>
    </row>
    <row r="4" spans="1:26" ht="15" x14ac:dyDescent="0.2">
      <c r="A4" s="52" t="s">
        <v>21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Y4" s="4" t="s">
        <v>8</v>
      </c>
      <c r="Z4" s="36">
        <v>9</v>
      </c>
    </row>
    <row r="5" spans="1:26" ht="15" x14ac:dyDescent="0.2">
      <c r="A5" s="53" t="s">
        <v>246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Y5" s="4" t="s">
        <v>55</v>
      </c>
      <c r="Z5" s="36">
        <v>8.5</v>
      </c>
    </row>
    <row r="6" spans="1:26" ht="15" x14ac:dyDescent="0.2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Y6" s="4" t="s">
        <v>12</v>
      </c>
      <c r="Z6" s="36">
        <v>8</v>
      </c>
    </row>
    <row r="7" spans="1:26" ht="1.5" customHeight="1" x14ac:dyDescent="0.2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Y7" s="4" t="s">
        <v>248</v>
      </c>
      <c r="Z7" s="36">
        <v>7.5</v>
      </c>
    </row>
    <row r="8" spans="1:26" ht="11.25" customHeight="1" x14ac:dyDescent="0.2">
      <c r="A8" s="5" t="s">
        <v>43</v>
      </c>
      <c r="B8" s="5">
        <v>1</v>
      </c>
      <c r="C8" s="5" t="s">
        <v>22</v>
      </c>
      <c r="D8" s="5" t="s">
        <v>23</v>
      </c>
      <c r="E8" s="5" t="s">
        <v>13</v>
      </c>
      <c r="F8" s="5" t="s">
        <v>42</v>
      </c>
      <c r="G8" s="5"/>
      <c r="H8" s="5"/>
      <c r="I8" s="5"/>
      <c r="J8" s="6"/>
      <c r="K8" s="6"/>
      <c r="L8" s="6"/>
      <c r="M8" s="6"/>
      <c r="N8" s="6"/>
      <c r="Y8" s="4" t="s">
        <v>13</v>
      </c>
      <c r="Z8" s="36">
        <v>7</v>
      </c>
    </row>
    <row r="9" spans="1:26" ht="11.25" customHeight="1" x14ac:dyDescent="0.2">
      <c r="A9" s="47" t="s">
        <v>24</v>
      </c>
      <c r="B9" s="47" t="str">
        <f ca="1">VLOOKUP(B8,INDIRECT($F$8),4,0)</f>
        <v>ABHISHEK RAWAT</v>
      </c>
      <c r="C9" s="47"/>
      <c r="D9" s="47" t="s">
        <v>25</v>
      </c>
      <c r="E9" s="47" t="str">
        <f ca="1">VLOOKUP(B8,INDIRECT($F$8),5,0)</f>
        <v>RAMESH RAWAT</v>
      </c>
      <c r="F9" s="47"/>
      <c r="G9" s="47" t="s">
        <v>26</v>
      </c>
      <c r="H9" s="47"/>
      <c r="I9" s="48">
        <f ca="1">VLOOKUP(B8,INDIRECT($F$8),2,0)</f>
        <v>250090600001</v>
      </c>
      <c r="J9" s="48"/>
      <c r="K9" s="47" t="s">
        <v>27</v>
      </c>
      <c r="L9" s="47"/>
      <c r="M9" s="48" t="str">
        <f ca="1">VLOOKUP(B8,INDIRECT($F$8),3,0)</f>
        <v>UTU/2506100119</v>
      </c>
      <c r="N9" s="48"/>
      <c r="Y9" s="4" t="s">
        <v>249</v>
      </c>
      <c r="Z9" s="36">
        <v>6.5</v>
      </c>
    </row>
    <row r="10" spans="1:26" ht="15" x14ac:dyDescent="0.2">
      <c r="A10" s="47"/>
      <c r="B10" s="47"/>
      <c r="C10" s="47"/>
      <c r="D10" s="47"/>
      <c r="E10" s="47"/>
      <c r="F10" s="47"/>
      <c r="G10" s="47"/>
      <c r="H10" s="47"/>
      <c r="I10" s="48"/>
      <c r="J10" s="48"/>
      <c r="K10" s="47"/>
      <c r="L10" s="47"/>
      <c r="M10" s="48"/>
      <c r="N10" s="48"/>
      <c r="Y10" s="4" t="s">
        <v>250</v>
      </c>
      <c r="Z10" s="36">
        <v>6</v>
      </c>
    </row>
    <row r="11" spans="1:26" ht="11.25" customHeight="1" x14ac:dyDescent="0.2">
      <c r="A11" s="45" t="s">
        <v>28</v>
      </c>
      <c r="B11" s="45" t="s">
        <v>29</v>
      </c>
      <c r="C11" s="45"/>
      <c r="D11" s="45"/>
      <c r="E11" s="45"/>
      <c r="F11" s="45" t="s">
        <v>30</v>
      </c>
      <c r="G11" s="45" t="s">
        <v>31</v>
      </c>
      <c r="H11" s="45"/>
      <c r="I11" s="45" t="s">
        <v>32</v>
      </c>
      <c r="J11" s="45"/>
      <c r="K11" s="45" t="s">
        <v>33</v>
      </c>
      <c r="L11" s="45"/>
      <c r="M11" s="45" t="s">
        <v>9</v>
      </c>
      <c r="N11" s="45" t="s">
        <v>34</v>
      </c>
      <c r="Y11" s="4" t="s">
        <v>251</v>
      </c>
      <c r="Z11" s="36">
        <v>5.5</v>
      </c>
    </row>
    <row r="12" spans="1:26" ht="11.25" customHeight="1" x14ac:dyDescent="0.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252</v>
      </c>
      <c r="Z12" s="36">
        <v>5</v>
      </c>
    </row>
    <row r="13" spans="1:26" ht="11.25" customHeight="1" x14ac:dyDescent="0.2">
      <c r="A13" s="7" t="str">
        <f ca="1">IF(ISERROR(F8),"",VLOOKUP(C8,INDIRECT($F$8),6+(O13-1)*3,0))</f>
        <v>CAT 004</v>
      </c>
      <c r="B13" s="41" t="str">
        <f ca="1">IF(ISERROR(F8),"",VLOOKUP(D8,INDIRECT($F$8),6+(O13-1)*3,0))</f>
        <v>Discrete Structure</v>
      </c>
      <c r="C13" s="41"/>
      <c r="D13" s="41"/>
      <c r="E13" s="41"/>
      <c r="F13" s="7">
        <f ca="1">IF(ISERROR(F8),"",VLOOKUP(E8,INDIRECT($F$8),6+(O13-1)*3,0))</f>
        <v>4</v>
      </c>
      <c r="G13" s="42" t="str">
        <f ca="1">IF(ISERROR(F8),"",_xlfn.TEXTJOIN("/",FALSE,P13,S13))</f>
        <v>67/100</v>
      </c>
      <c r="H13" s="42"/>
      <c r="I13" s="42" t="str">
        <f ca="1">IF(ISERROR(F8),"",_xlfn.TEXTJOIN("/",FALSE,Q13,T13))</f>
        <v>42/50</v>
      </c>
      <c r="J13" s="42"/>
      <c r="K13" s="42" t="str">
        <f ca="1">IF(ISERROR(F8),"",_xlfn.TEXTJOIN("/",FALSE,R13,U13))</f>
        <v>109/150</v>
      </c>
      <c r="L13" s="42"/>
      <c r="M13" s="7" t="str">
        <f ca="1">IF(ISERROR(F8),"",IF(ISTEXT(P13),IF(P13="A","Ab",IF(P13="D","Dt",IF(P13="UFM","UFM",IF(P13="NA","-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C+</v>
      </c>
      <c r="N13" s="8">
        <f ca="1">INDEX($Z$2:$Z$18,MATCH(M13,$Y$2:$Y$18,0))</f>
        <v>7.5</v>
      </c>
      <c r="O13">
        <v>1</v>
      </c>
      <c r="P13" s="1">
        <f ca="1">IF(ISERROR(F8),"",IF(ISTEXT(VLOOKUP(B8,INDIRECT($F$8),6+(O13-1)*3)),(VLOOKUP(B8,INDIRECT($F$8),6+(O13-1)*3)),SUM(VLOOKUP(B8,INDIRECT($F$8),6+(O13-1)*3),IF(W27,W13,0))))</f>
        <v>67</v>
      </c>
      <c r="Q13" s="1">
        <f ca="1">IF(ISERROR(F8),"",VLOOKUP(B8,INDIRECT($F$8),7+(O13-1)*3))</f>
        <v>42</v>
      </c>
      <c r="R13" s="1">
        <f ca="1">IF(ISERROR(F8),"",SUM(P13:Q13))</f>
        <v>109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/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">
        <v>14</v>
      </c>
      <c r="Z13" s="36">
        <v>4.5</v>
      </c>
    </row>
    <row r="14" spans="1:26" ht="11.25" customHeight="1" x14ac:dyDescent="0.2">
      <c r="A14" s="7" t="str">
        <f ca="1">IF(ISERROR(F8),"",VLOOKUP(C8,INDIRECT($F$8),6+(O14-1)*3,0))</f>
        <v>CAT 005</v>
      </c>
      <c r="B14" s="41" t="str">
        <f ca="1">IF(ISERROR(F8),"",VLOOKUP(D8,INDIRECT($F$8),6+(O14-1)*3,0))</f>
        <v>Database Management System</v>
      </c>
      <c r="C14" s="41"/>
      <c r="D14" s="41"/>
      <c r="E14" s="41"/>
      <c r="F14" s="7">
        <f ca="1">IF(ISERROR(F8),"",VLOOKUP(E8,INDIRECT($F$8),6+(O14-1)*3,0))</f>
        <v>4</v>
      </c>
      <c r="G14" s="42" t="str">
        <f ca="1">IF(ISERROR(F8),"",_xlfn.TEXTJOIN("/",FALSE,P14,S14))</f>
        <v>54/100</v>
      </c>
      <c r="H14" s="42"/>
      <c r="I14" s="42" t="str">
        <f ca="1">IF(ISERROR(F8),"",_xlfn.TEXTJOIN("/",FALSE,Q14,T14))</f>
        <v>40/50</v>
      </c>
      <c r="J14" s="42"/>
      <c r="K14" s="42" t="str">
        <f ca="1">IF(ISERROR(F8),"",_xlfn.TEXTJOIN("/",FALSE,R14,U14))</f>
        <v>94/150</v>
      </c>
      <c r="L14" s="42"/>
      <c r="M14" s="7" t="str">
        <f ca="1">IF(ISERROR(F8),"",IF(ISTEXT(P14),IF(P14="A","Ab",IF(P14="D","Dt",IF(P14="UFM","UFM",IF(P14="NA","-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D+</v>
      </c>
      <c r="N14" s="8">
        <f t="shared" ref="N14:N25" ca="1" si="0">INDEX($Z$2:$Z$18,MATCH(M14,$Y$2:$Y$18,0))</f>
        <v>6.5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IF(ISERROR(F8),"",IF(ISTEXT(VLOOKUP(B8,INDIRECT($F$8),6+(O14-1)*3)),(VLOOKUP(B8,INDIRECT($F$8),6+(O14-1)*3)),SUM(VLOOKUP(B8,INDIRECT($F$8),6+(O14-1)*3),IF(W27,W14,0))))</f>
        <v>54</v>
      </c>
      <c r="Q14" s="1">
        <f ca="1">IF(ISERROR(F8),"",VLOOKUP(B8,INDIRECT($F$8),7+(O14-1)*3))</f>
        <v>40</v>
      </c>
      <c r="R14" s="1">
        <f ca="1">IF(ISERROR(F8),"",SUM(P14:Q14))</f>
        <v>94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/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  <c r="Y14" s="4" t="s">
        <v>15</v>
      </c>
      <c r="Z14" s="36">
        <v>0</v>
      </c>
    </row>
    <row r="15" spans="1:26" ht="11.25" customHeight="1" x14ac:dyDescent="0.2">
      <c r="A15" s="7" t="str">
        <f ca="1">IF(ISERROR(F8),"",VLOOKUP(C8,INDIRECT($F$8),6+(O15-1)*3,0))</f>
        <v>CAT 006</v>
      </c>
      <c r="B15" s="41" t="str">
        <f ca="1">IF(ISERROR(F8),"",VLOOKUP(D8,INDIRECT($F$8),6+(O15-1)*3,0))</f>
        <v>Operating System</v>
      </c>
      <c r="C15" s="41"/>
      <c r="D15" s="41"/>
      <c r="E15" s="41"/>
      <c r="F15" s="7">
        <f ca="1">IF(ISERROR(F8),"",VLOOKUP(E8,INDIRECT($F$8),6+(O15-1)*3,0))</f>
        <v>4</v>
      </c>
      <c r="G15" s="42" t="str">
        <f ca="1">IF(ISERROR(F8),"",_xlfn.TEXTJOIN("/",FALSE,P15,S15))</f>
        <v>60/100</v>
      </c>
      <c r="H15" s="42"/>
      <c r="I15" s="42" t="str">
        <f ca="1">IF(ISERROR(F8),"",_xlfn.TEXTJOIN("/",FALSE,Q15,T15))</f>
        <v>42/50</v>
      </c>
      <c r="J15" s="42"/>
      <c r="K15" s="42" t="str">
        <f ca="1">IF(ISERROR(F8),"",_xlfn.TEXTJOIN("/",FALSE,R15,U15))</f>
        <v>102/150</v>
      </c>
      <c r="L15" s="42"/>
      <c r="M15" s="7" t="str">
        <f ca="1">IF(ISERROR(F8),"",IF(ISTEXT(P15),IF(P15="A","Ab",IF(P15="D","Dt",IF(P15="UFM","UFM",IF(P15="NA","-")))),IF(AND(ISBLANK(P15),ISBLANK(R15)),"",IF(P15&lt;0.3*S15,"F",IF(ISBLANK(R15),"",IF(ISTEXT(R15),R15,IF(R15&gt;=0.95*U15,"O",IF(R15&gt;=0.9*U15,"A+",IF(R15&gt;=0.85*U15,"A",IF(R15&gt;=0.8*U15,"B+",IF(R15&gt;=0.75*U15,"B",IF(R15&gt;=0.7*U15,"C+",IF(R15&gt;=0.65*U15,"C",IF(R15&gt;=0.6*U15,"D+",IF(R15&gt;=0.55*U15,"D",IF(R15&gt;=0.5*U15,"E+",IF(R15&gt;=0.45*U15,"E",IF(R15&gt;=0.4*U15,"P",IF(R15&lt;0.4*U15,"F",R15)))))))))))))))))))</f>
        <v>C</v>
      </c>
      <c r="N15" s="8">
        <f t="shared" ca="1" si="0"/>
        <v>7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IF(ISERROR(F8),"",IF(ISTEXT(VLOOKUP(B8,INDIRECT($F$8),6+(O15-1)*3)),(VLOOKUP(B8,INDIRECT($F$8),6+(O15-1)*3)),SUM(VLOOKUP(B8,INDIRECT($F$8),6+(O15-1)*3),IF(W27,W15,0))))</f>
        <v>60</v>
      </c>
      <c r="Q15" s="1">
        <f ca="1">IF(ISERROR(F8),"",VLOOKUP(B8,INDIRECT($F$8),7+(O15-1)*3))</f>
        <v>42</v>
      </c>
      <c r="R15" s="1">
        <f ca="1">IF(ISERROR(F8),"",SUM(P15:Q15))</f>
        <v>102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/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  <c r="Y15" s="4" t="s">
        <v>16</v>
      </c>
      <c r="Z15" s="36">
        <v>0</v>
      </c>
    </row>
    <row r="16" spans="1:26" ht="11.25" customHeight="1" x14ac:dyDescent="0.2">
      <c r="A16" s="7" t="str">
        <f ca="1">IF(ISERROR(F8),"",VLOOKUP(C8,INDIRECT($F$8),6+(O16-1)*3,0))</f>
        <v>CAT 007</v>
      </c>
      <c r="B16" s="41" t="str">
        <f ca="1">IF(ISERROR(F8),"",VLOOKUP(D8,INDIRECT($F$8),6+(O16-1)*3,0))</f>
        <v>Computer Organization</v>
      </c>
      <c r="C16" s="41"/>
      <c r="D16" s="41"/>
      <c r="E16" s="41"/>
      <c r="F16" s="7">
        <f ca="1">IF(ISERROR(F8),"",VLOOKUP(E8,INDIRECT($F$8),6+(O16-1)*3,0))</f>
        <v>4</v>
      </c>
      <c r="G16" s="42" t="str">
        <f ca="1">IF(ISERROR(F8),"",_xlfn.TEXTJOIN("/",FALSE,P16,S16))</f>
        <v>37/100</v>
      </c>
      <c r="H16" s="42"/>
      <c r="I16" s="42" t="str">
        <f ca="1">IF(ISERROR(F8),"",_xlfn.TEXTJOIN("/",FALSE,Q16,T16))</f>
        <v>40/50</v>
      </c>
      <c r="J16" s="42"/>
      <c r="K16" s="42" t="str">
        <f ca="1">IF(ISERROR(F8),"",_xlfn.TEXTJOIN("/",FALSE,R16,U16))</f>
        <v>77/150</v>
      </c>
      <c r="L16" s="42"/>
      <c r="M16" s="7" t="str">
        <f ca="1">IF(ISERROR(F8),"",IF(ISTEXT(P16),IF(P16="A","Ab",IF(P16="D","Dt",IF(P16="UFM","UFM",IF(P16="NA","-")))),IF(AND(ISBLANK(P16),ISBLANK(R16)),"",IF(P16&lt;0.3*S16,"F",IF(ISBLANK(R16),"",IF(ISTEXT(R16),R16,IF(R16&gt;=0.95*U16,"O",IF(R16&gt;=0.9*U16,"A+",IF(R16&gt;=0.85*U16,"A",IF(R16&gt;=0.8*U16,"B+",IF(R16&gt;=0.75*U16,"B",IF(R16&gt;=0.7*U16,"C+",IF(R16&gt;=0.65*U16,"C",IF(R16&gt;=0.6*U16,"D+",IF(R16&gt;=0.55*U16,"D",IF(R16&gt;=0.5*U16,"E+",IF(R16&gt;=0.45*U16,"E",IF(R16&gt;=0.4*U16,"P",IF(R16&lt;0.4*U16,"F",R16)))))))))))))))))))</f>
        <v>E+</v>
      </c>
      <c r="N16" s="8">
        <f t="shared" ca="1" si="0"/>
        <v>5.5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IF(ISERROR(F8),"",IF(ISTEXT(VLOOKUP(B8,INDIRECT($F$8),6+(O16-1)*3)),(VLOOKUP(B8,INDIRECT($F$8),6+(O16-1)*3)),SUM(VLOOKUP(B8,INDIRECT($F$8),6+(O16-1)*3),IF(W27,W16,0))))</f>
        <v>37</v>
      </c>
      <c r="Q16" s="1">
        <f ca="1">IF(ISERROR(F8),"",VLOOKUP(B8,INDIRECT($F$8),7+(O16-1)*3))</f>
        <v>40</v>
      </c>
      <c r="R16" s="1">
        <f ca="1">IF(ISERROR(F8),"",SUM(P16:Q16))</f>
        <v>77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17</v>
      </c>
      <c r="Z16" s="36">
        <v>0</v>
      </c>
    </row>
    <row r="17" spans="1:26" ht="11.25" customHeight="1" x14ac:dyDescent="0.2">
      <c r="A17" s="7" t="str">
        <f ca="1">IF(ISERROR(F8),"",VLOOKUP(C8,INDIRECT($F$8),6+(O17-1)*3,0))</f>
        <v>AHT 303</v>
      </c>
      <c r="B17" s="41" t="str">
        <f ca="1">IF(ISERROR(F8),"",VLOOKUP(D8,INDIRECT($F$8),6+(O17-1)*3,0))</f>
        <v>Technical Communication Skills</v>
      </c>
      <c r="C17" s="41"/>
      <c r="D17" s="41"/>
      <c r="E17" s="41"/>
      <c r="F17" s="7">
        <f ca="1">IF(ISERROR(F8),"",VLOOKUP(E8,INDIRECT($F$8),6+(O17-1)*3,0))</f>
        <v>4</v>
      </c>
      <c r="G17" s="42" t="str">
        <f ca="1">IF(ISERROR(F8),"",_xlfn.TEXTJOIN("/",FALSE,P17,S17))</f>
        <v>67/100</v>
      </c>
      <c r="H17" s="42"/>
      <c r="I17" s="42" t="str">
        <f ca="1">IF(ISERROR(F8),"",_xlfn.TEXTJOIN("/",FALSE,Q17,T17))</f>
        <v>35/50</v>
      </c>
      <c r="J17" s="42"/>
      <c r="K17" s="42" t="str">
        <f ca="1">IF(ISERROR(F8),"",_xlfn.TEXTJOIN("/",FALSE,R17,U17))</f>
        <v>102/150</v>
      </c>
      <c r="L17" s="42"/>
      <c r="M17" s="7" t="str">
        <f ca="1">IF(ISERROR(F8),"",IF(ISTEXT(P17),IF(P17="A","Ab",IF(P17="D","Dt",IF(P17="UFM","UFM",IF(P17="NA","-")))),IF(AND(ISBLANK(P17),ISBLANK(R17)),"",IF(P17&lt;0.3*S17,"F",IF(ISBLANK(R17),"",IF(ISTEXT(R17),R17,IF(R17&gt;=0.95*U17,"O",IF(R17&gt;=0.9*U17,"A+",IF(R17&gt;=0.85*U17,"A",IF(R17&gt;=0.8*U17,"B+",IF(R17&gt;=0.75*U17,"B",IF(R17&gt;=0.7*U17,"C+",IF(R17&gt;=0.65*U17,"C",IF(R17&gt;=0.6*U17,"D+",IF(R17&gt;=0.55*U17,"D",IF(R17&gt;=0.5*U17,"E+",IF(R17&gt;=0.45*U17,"E",IF(R17&gt;=0.4*U17,"P",IF(R17&lt;0.4*U17,"F",R17)))))))))))))))))))</f>
        <v>C</v>
      </c>
      <c r="N17" s="8">
        <f t="shared" ca="1" si="0"/>
        <v>7</v>
      </c>
      <c r="O17">
        <f t="shared" ref="O17:O26" si="1">O16+1</f>
        <v>5</v>
      </c>
      <c r="P17" s="1">
        <f ca="1">IF(ISERROR(F8),"",IF(ISTEXT(VLOOKUP(B8,INDIRECT($F$8),6+(O17-1)*3)),(VLOOKUP(B8,INDIRECT($F$8),6+(O17-1)*3)),SUM(VLOOKUP(B8,INDIRECT($F$8),6+(O17-1)*3),IF(W27,W17,0))))</f>
        <v>67</v>
      </c>
      <c r="Q17" s="1">
        <f ca="1">IF(ISERROR(F8),"",VLOOKUP(B8,INDIRECT($F$8),7+(O17-1)*3))</f>
        <v>35</v>
      </c>
      <c r="R17" s="1">
        <f ca="1">IF(ISERROR(F8),"",SUM(P17:Q17))</f>
        <v>102</v>
      </c>
      <c r="S17" s="1">
        <f ca="1">IF(ISERROR(F8),"",VLOOKUP(A8,INDIRECT($F$8),6+(O17-1)*3))</f>
        <v>100</v>
      </c>
      <c r="T17" s="1">
        <f ca="1">IF(ISERROR(F8),"",VLOOKUP(A8,INDIRECT($F$8),7+(O17-1)*3))</f>
        <v>50</v>
      </c>
      <c r="U17" s="1">
        <f ca="1">IF(ISERROR(F8),"",VLOOKUP(A8,INDIRECT($F$8),8+(O17-1)*3))</f>
        <v>150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18</v>
      </c>
      <c r="Z17" s="36">
        <v>0</v>
      </c>
    </row>
    <row r="18" spans="1:26" ht="11.25" customHeight="1" x14ac:dyDescent="0.2">
      <c r="A18" s="7" t="str">
        <f ca="1">IF(ISERROR(F8),"",VLOOKUP(C8,INDIRECT($F$8),6+(O18-1)*3,0))</f>
        <v>CAT 008</v>
      </c>
      <c r="B18" s="41" t="str">
        <f ca="1">IF(ISERROR(F8),"",VLOOKUP(D8,INDIRECT($F$8),6+(O18-1)*3,0))</f>
        <v>Python Programming ($)</v>
      </c>
      <c r="C18" s="41"/>
      <c r="D18" s="41"/>
      <c r="E18" s="41"/>
      <c r="F18" s="7">
        <f ca="1">IF(ISERROR(F8),"",VLOOKUP(E8,INDIRECT($F$8),6+(O18-1)*3,0))</f>
        <v>0</v>
      </c>
      <c r="G18" s="42" t="str">
        <f ca="1">IF(ISERROR(F8),"",_xlfn.TEXTJOIN("/",FALSE,P18,S18))</f>
        <v>16/30</v>
      </c>
      <c r="H18" s="42"/>
      <c r="I18" s="42" t="str">
        <f ca="1">IF(ISERROR(F8),"",_xlfn.TEXTJOIN("/",FALSE,Q18,T18))</f>
        <v>16/20</v>
      </c>
      <c r="J18" s="42"/>
      <c r="K18" s="42" t="str">
        <f ca="1">IF(ISERROR(F8),"",_xlfn.TEXTJOIN("/",FALSE,R18,U18))</f>
        <v>32/50</v>
      </c>
      <c r="L18" s="42"/>
      <c r="M18" s="7" t="str">
        <f ca="1">IF(ISERROR(F8),"",IF(ISTEXT(P18),IF(P18="A","Ab",IF(P18="D","Dt",IF(P18="UFM","UFM",IF(P18="NA","-")))),IF(AND(ISBLANK(P18),ISBLANK(R18)),"",IF(P18&lt;0.3*S18,"F",IF(ISBLANK(R18),"",IF(ISTEXT(R18),R18,IF(R18&gt;=0.95*U18,"O",IF(R18&gt;=0.9*U18,"A+",IF(R18&gt;=0.85*U18,"A",IF(R18&gt;=0.8*U18,"B+",IF(R18&gt;=0.75*U18,"B",IF(R18&gt;=0.7*U18,"C+",IF(R18&gt;=0.65*U18,"C",IF(R18&gt;=0.6*U18,"D+",IF(R18&gt;=0.55*U18,"D",IF(R18&gt;=0.5*U18,"E+",IF(R18&gt;=0.45*U18,"E",IF(R18&gt;=0.4*U18,"P",IF(R18&lt;0.4*U18,"F",R18)))))))))))))))))))</f>
        <v>D+</v>
      </c>
      <c r="N18" s="8">
        <f t="shared" ca="1" si="0"/>
        <v>6.5</v>
      </c>
      <c r="O18">
        <f t="shared" si="1"/>
        <v>6</v>
      </c>
      <c r="P18" s="1">
        <f ca="1">IF(ISERROR(F8),"",IF(ISTEXT(VLOOKUP(B8,INDIRECT($F$8),6+(O18-1)*3)),(VLOOKUP(B8,INDIRECT($F$8),6+(O18-1)*3)),SUM(VLOOKUP(B8,INDIRECT($F$8),6+(O18-1)*3),IF(W27,W18,0))))</f>
        <v>16</v>
      </c>
      <c r="Q18" s="1">
        <f ca="1">IF(ISERROR(F8),"",VLOOKUP(B8,INDIRECT($F$8),7+(O18-1)*3))</f>
        <v>16</v>
      </c>
      <c r="R18" s="1">
        <f ca="1">IF(ISERROR(F9),"",SUM(P18:Q18))</f>
        <v>32</v>
      </c>
      <c r="S18" s="1">
        <f ca="1">IF(ISERROR(F9),"",VLOOKUP(A9,INDIRECT($F$8),6+(O18-1)*3))</f>
        <v>30</v>
      </c>
      <c r="T18" s="1">
        <f ca="1">IF(ISERROR(F9),"",VLOOKUP(A9,INDIRECT($F$8),7+(O18-1)*3))</f>
        <v>20</v>
      </c>
      <c r="U18" s="1">
        <f ca="1">IF(ISERROR(F9),"",VLOOKUP(A9,INDIRECT($F$8),8+(O18-1)*3))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  <c r="Y18" s="4" t="str">
        <f>"-"</f>
        <v>-</v>
      </c>
      <c r="Z18" s="4" t="s">
        <v>44</v>
      </c>
    </row>
    <row r="19" spans="1:26" ht="11.25" customHeight="1" x14ac:dyDescent="0.2">
      <c r="A19" s="7" t="str">
        <f ca="1">IF(ISERROR(F8),"",VLOOKUP(C8,INDIRECT($F$8),6+(O19-1)*3,0))</f>
        <v>CAT 001</v>
      </c>
      <c r="B19" s="41" t="str">
        <f ca="1">IF(ISERROR(F8),"",VLOOKUP(D8,INDIRECT($F$8),6+(O19-1)*3,0))</f>
        <v>Introduction of Information Technology ($)</v>
      </c>
      <c r="C19" s="41"/>
      <c r="D19" s="41"/>
      <c r="E19" s="41"/>
      <c r="F19" s="7">
        <f ca="1">IF(ISERROR(F8),"",VLOOKUP(E8,INDIRECT($F$8),6+(O19-1)*3,0))</f>
        <v>0</v>
      </c>
      <c r="G19" s="42" t="str">
        <f ca="1">IF(ISERROR(F8),"",_xlfn.TEXTJOIN("/",FALSE,P19,S19))</f>
        <v>27/30</v>
      </c>
      <c r="H19" s="42"/>
      <c r="I19" s="42" t="str">
        <f ca="1">IF(ISERROR(F8),"",_xlfn.TEXTJOIN("/",FALSE,Q19,T19))</f>
        <v>19/20</v>
      </c>
      <c r="J19" s="42"/>
      <c r="K19" s="42" t="str">
        <f ca="1">IF(ISERROR(F8),"",_xlfn.TEXTJOIN("/",FALSE,R19,U19))</f>
        <v>46/50</v>
      </c>
      <c r="L19" s="42"/>
      <c r="M19" s="7" t="str">
        <f ca="1">IF(ISERROR(F8),"",IF(ISTEXT(P19),IF(P19="A","Ab",IF(P19="D","Dt",IF(P19="UFM","UFM",IF(P19="NA","-")))),IF(AND(ISBLANK(P19),ISBLANK(R19)),"",IF(P19&lt;0.3*S19,"F",IF(ISBLANK(R19),"",IF(ISTEXT(R19),R19,IF(R19&gt;=0.95*U19,"O",IF(R19&gt;=0.9*U19,"A+",IF(R19&gt;=0.85*U19,"A",IF(R19&gt;=0.8*U19,"B+",IF(R19&gt;=0.75*U19,"B",IF(R19&gt;=0.7*U19,"C+",IF(R19&gt;=0.65*U19,"C",IF(R19&gt;=0.6*U19,"D+",IF(R19&gt;=0.55*U19,"D",IF(R19&gt;=0.5*U19,"E+",IF(R19&gt;=0.45*U19,"E",IF(R19&gt;=0.4*U19,"P",IF(R19&lt;0.4*U19,"F",R19)))))))))))))))))))</f>
        <v>A+</v>
      </c>
      <c r="N19" s="8">
        <f t="shared" ca="1" si="0"/>
        <v>9.5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IF(ISERROR(F8),"",IF(ISTEXT(VLOOKUP(B8,INDIRECT($F$8),6+(O19-1)*3)),(VLOOKUP(B8,INDIRECT($F$8),6+(O19-1)*3)),SUM(VLOOKUP(B8,INDIRECT($F$8),6+(O19-1)*3),IF(W27,W19,0))))</f>
        <v>27</v>
      </c>
      <c r="Q19" s="1">
        <f ca="1">IF(ISERROR(F8),"",VLOOKUP(B8,INDIRECT($F$8),7+(O19-1)*3))</f>
        <v>19</v>
      </c>
      <c r="R19" s="1">
        <f ca="1">IF(ISERROR(F8),"",SUM(P19:Q19))</f>
        <v>46</v>
      </c>
      <c r="S19" s="1">
        <f ca="1">IF(ISERROR(F8),"",VLOOKUP(A8,INDIRECT($F$8),6+(O19-1)*3))</f>
        <v>30</v>
      </c>
      <c r="T19" s="1">
        <f ca="1">IF(ISERROR(F8),"",VLOOKUP(A8,INDIRECT($F$8),7+(O19-1)*3))</f>
        <v>20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6" ht="11.25" customHeight="1" x14ac:dyDescent="0.2">
      <c r="A20" s="7" t="str">
        <f ca="1">IF(ISERROR(F8),"",VLOOKUP(C8,INDIRECT($F$8),6+(O20-1)*3,0))</f>
        <v>CAT 002</v>
      </c>
      <c r="B20" s="41" t="str">
        <f ca="1">IF(ISERROR(F8),"",VLOOKUP(D8,INDIRECT($F$8),6+(O20-1)*3,0))</f>
        <v>Programming Fundamentals with "C" ($)</v>
      </c>
      <c r="C20" s="41"/>
      <c r="D20" s="41"/>
      <c r="E20" s="41"/>
      <c r="F20" s="7">
        <f ca="1">IF(ISERROR(F8),"",VLOOKUP(E8,INDIRECT($F$8),6+(O20-1)*3,0))</f>
        <v>0</v>
      </c>
      <c r="G20" s="42" t="str">
        <f ca="1">IF(ISERROR(F8),"",_xlfn.TEXTJOIN("/",FALSE,P20,S20))</f>
        <v>24/30</v>
      </c>
      <c r="H20" s="42"/>
      <c r="I20" s="42" t="str">
        <f ca="1">IF(ISERROR(F8),"",_xlfn.TEXTJOIN("/",FALSE,Q20,T20))</f>
        <v>18/20</v>
      </c>
      <c r="J20" s="42"/>
      <c r="K20" s="42" t="str">
        <f ca="1">IF(ISERROR(F8),"",_xlfn.TEXTJOIN("/",FALSE,R20,U20))</f>
        <v>42/50</v>
      </c>
      <c r="L20" s="42"/>
      <c r="M20" s="7" t="str">
        <f ca="1">IF(ISERROR(F8),"",IF(ISTEXT(P20),IF(P20="A","Ab",IF(P20="D","Dt",IF(P20="UFM","UFM",IF(P20="NA","-")))),IF(AND(ISBLANK(P20),ISBLANK(R20)),"",IF(P20&lt;0.3*S20,"F",IF(ISBLANK(R20),"",IF(ISTEXT(R20),R20,IF(R20&gt;=0.95*U20,"O",IF(R20&gt;=0.9*U20,"A+",IF(R20&gt;=0.85*U20,"A",IF(R20&gt;=0.8*U20,"B+",IF(R20&gt;=0.75*U20,"B",IF(R20&gt;=0.7*U20,"C+",IF(R20&gt;=0.65*U20,"C",IF(R20&gt;=0.6*U20,"D+",IF(R20&gt;=0.55*U20,"D",IF(R20&gt;=0.5*U20,"E+",IF(R20&gt;=0.45*U20,"E",IF(R20&gt;=0.4*U20,"P",IF(R20&lt;0.4*U20,"F",R20)))))))))))))))))))</f>
        <v>B+</v>
      </c>
      <c r="N20" s="8">
        <f t="shared" ca="1" si="0"/>
        <v>8.5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IF(ISERROR(F8),"",IF(ISTEXT(VLOOKUP(B8,INDIRECT($F$8),6+(O20-1)*3)),(VLOOKUP(B8,INDIRECT($F$8),6+(O20-1)*3)),SUM(VLOOKUP(B8,INDIRECT($F$8),6+(O20-1)*3),IF(W27,W20,0))))</f>
        <v>24</v>
      </c>
      <c r="Q20" s="1">
        <f ca="1">IF(ISERROR(F8),"",VLOOKUP(B8,INDIRECT($F$8),7+(O20-1)*3))</f>
        <v>18</v>
      </c>
      <c r="R20" s="1">
        <f ca="1">IF(ISERROR(F8),"",SUM(P20:Q20))</f>
        <v>42</v>
      </c>
      <c r="S20" s="1">
        <f ca="1">IF(ISERROR(F8),"",VLOOKUP(A8,INDIRECT($F$8),6+(O20-1)*3))</f>
        <v>30</v>
      </c>
      <c r="T20" s="1">
        <f ca="1">IF(ISERROR(F8),"",VLOOKUP(A8,INDIRECT($F$8),7+(O20-1)*3))</f>
        <v>20</v>
      </c>
      <c r="U20" s="1">
        <f ca="1">IF(ISERROR(F8),"",VLOOKUP(A8,INDIRECT($F$8),8+(O20-1)*3))</f>
        <v>50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6" ht="11.25" customHeight="1" x14ac:dyDescent="0.2">
      <c r="A21" s="7" t="str">
        <f ca="1">IF(ISERROR(F8),"",VLOOKUP(C8,INDIRECT($F$8),6+(O21-1)*3,0))</f>
        <v>CAT 003</v>
      </c>
      <c r="B21" s="41" t="str">
        <f ca="1">IF(ISERROR(F8),"",VLOOKUP(D8,INDIRECT($F$8),6+(O21-1)*3-Z21,0))</f>
        <v>Fundamental of Web Technology ($)</v>
      </c>
      <c r="C21" s="41"/>
      <c r="D21" s="41"/>
      <c r="E21" s="41"/>
      <c r="F21" s="7">
        <f ca="1">IF(ISERROR(F8),"",VLOOKUP(E8,INDIRECT($F$8),6+(O21-1)*3,0))</f>
        <v>0</v>
      </c>
      <c r="G21" s="42" t="str">
        <f ca="1">IF(ISERROR(F8),"",_xlfn.TEXTJOIN("/",FALSE,P21,S21))</f>
        <v>24/30</v>
      </c>
      <c r="H21" s="42"/>
      <c r="I21" s="42" t="str">
        <f ca="1">IF(ISERROR(F8),"",_xlfn.TEXTJOIN("/",FALSE,Q21,T21))</f>
        <v>19/20</v>
      </c>
      <c r="J21" s="42"/>
      <c r="K21" s="42" t="str">
        <f ca="1">IF(ISERROR(F8),"",_xlfn.TEXTJOIN("/",FALSE,R21,U21))</f>
        <v>43/50</v>
      </c>
      <c r="L21" s="42"/>
      <c r="M21" s="7" t="str">
        <f ca="1">IF(ISERROR(F8),"",IF(ISTEXT(P21),IF(P21="A","Ab",IF(P21="D","Dt",IF(P21="UFM","UFM",IF(P21="NA","-")))),IF(AND(ISBLANK(P21),ISBLANK(R21)),"",IF(P21&lt;0.3*S21,"F",IF(ISBLANK(R21),"",IF(ISTEXT(R21),R21,IF(R21&gt;=0.95*U21,"O",IF(R21&gt;=0.9*U21,"A+",IF(R21&gt;=0.85*U21,"A",IF(R21&gt;=0.8*U21,"B+",IF(R21&gt;=0.75*U21,"B",IF(R21&gt;=0.7*U21,"C+",IF(R21&gt;=0.65*U21,"C",IF(R21&gt;=0.6*U21,"D+",IF(R21&gt;=0.55*U21,"D",IF(R21&gt;=0.5*U21,"E+",IF(R21&gt;=0.45*U21,"E",IF(R21&gt;=0.4*U21,"P",IF(R21&lt;0.4*U21,"F",R21)))))))))))))))))))</f>
        <v>A</v>
      </c>
      <c r="N21" s="8">
        <f t="shared" ca="1" si="0"/>
        <v>9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IF(ISERROR(F8),"",IF(ISTEXT(VLOOKUP(B8,INDIRECT($F$8),6+(O21-1)*3)),(VLOOKUP(B8,INDIRECT($F$8),6+(O21-1)*3)),SUM(VLOOKUP(B8,INDIRECT($F$8),6+(O21-1)*3),IF(W27,W21,0))))</f>
        <v>24</v>
      </c>
      <c r="Q21" s="1">
        <f ca="1">IF(ISERROR(F8),"",VLOOKUP(B8,INDIRECT($F$8),7+(O21-1)*3))</f>
        <v>19</v>
      </c>
      <c r="R21" s="1">
        <f ca="1">IF(ISERROR(F8),"",SUM(P21:Q21))</f>
        <v>43</v>
      </c>
      <c r="S21" s="1">
        <f ca="1">IF(ISERROR(F8),"",VLOOKUP(A8,INDIRECT($F$8),6+(O21-1)*3))</f>
        <v>30</v>
      </c>
      <c r="T21" s="1">
        <f ca="1">IF(ISERROR(F8),"",VLOOKUP(A8,INDIRECT($F$8),7+(O21-1)*3))</f>
        <v>20</v>
      </c>
      <c r="U21" s="1">
        <f ca="1">IF(ISERROR(F8),"",VLOOKUP(A8,INDIRECT($F$8),8+(O21-1)*3))</f>
        <v>50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6" ht="11.25" customHeight="1" x14ac:dyDescent="0.2">
      <c r="A22" s="7" t="str">
        <f ca="1">IF(ISERROR(F8),"",VLOOKUP(C8,INDIRECT($F$8),6+(O22-1)*3,0))</f>
        <v>CAP 001</v>
      </c>
      <c r="B22" s="41" t="str">
        <f ca="1">IF(ISERROR(F8),"",VLOOKUP(D8,INDIRECT($F$8),6+(O22-1)*3-Z22,0))</f>
        <v>Database Management System Lab</v>
      </c>
      <c r="C22" s="41"/>
      <c r="D22" s="41"/>
      <c r="E22" s="41"/>
      <c r="F22" s="7">
        <f ca="1">IF(ISERROR(F8),"",VLOOKUP(E8,INDIRECT($F$8),6+(O22-1)*3,0))</f>
        <v>1</v>
      </c>
      <c r="G22" s="42" t="str">
        <f ca="1">IF(ISERROR(F8),"",_xlfn.TEXTJOIN("/",FALSE,P22,S22))</f>
        <v>26/30</v>
      </c>
      <c r="H22" s="42"/>
      <c r="I22" s="42" t="str">
        <f ca="1">IF(ISERROR(F8),"",_xlfn.TEXTJOIN("/",FALSE,Q22,T22))</f>
        <v>16/20</v>
      </c>
      <c r="J22" s="42"/>
      <c r="K22" s="42" t="str">
        <f ca="1">IF(ISERROR(F8),"",_xlfn.TEXTJOIN("/",FALSE,R22,U22))</f>
        <v>42/50</v>
      </c>
      <c r="L22" s="42"/>
      <c r="M22" s="7" t="str">
        <f ca="1">IF(ISERROR(F8),"",IF(ISTEXT(P22),IF(P22="A","Ab",IF(P22="D","Dt",IF(P22="UFM","UFM",IF(P22="NA","-")))),IF(AND(ISBLANK(P22),ISBLANK(R22)),"",IF(P22&lt;0.3*S22,"F",IF(ISBLANK(R22),"",IF(ISTEXT(R22),R22,IF(R22&gt;=0.95*U22,"O",IF(R22&gt;=0.9*U22,"A+",IF(R22&gt;=0.85*U22,"A",IF(R22&gt;=0.8*U22,"B+",IF(R22&gt;=0.75*U22,"B",IF(R22&gt;=0.7*U22,"C+",IF(R22&gt;=0.65*U22,"C",IF(R22&gt;=0.6*U22,"D+",IF(R22&gt;=0.55*U22,"D",IF(R22&gt;=0.5*U22,"E+",IF(R22&gt;=0.45*U22,"E",IF(R22&gt;=0.4*U22,"P",IF(R22&lt;0.4*U22,"F",R22)))))))))))))))))))</f>
        <v>B+</v>
      </c>
      <c r="N22" s="8">
        <f t="shared" ca="1" si="0"/>
        <v>8.5</v>
      </c>
      <c r="O22">
        <f>O21+1</f>
        <v>10</v>
      </c>
      <c r="P22" s="1">
        <f ca="1">IF(ISERROR(F8),"",IF(ISTEXT(VLOOKUP(B8,INDIRECT($F$8),6+(O22-1)*3)),(VLOOKUP(B8,INDIRECT($F$8),6+(O22-1)*3)),SUM(VLOOKUP(B8,INDIRECT($F$8),6+(O22-1)*3),IF(W27,W22,0))))</f>
        <v>26</v>
      </c>
      <c r="Q22" s="1">
        <f ca="1">IF(ISERROR(F8),"",VLOOKUP(B8,INDIRECT($F$8),7+(O22-1)*3))</f>
        <v>16</v>
      </c>
      <c r="R22" s="1">
        <f ca="1">IF(ISERROR(F8),"",SUM(P22:Q22))</f>
        <v>42</v>
      </c>
      <c r="S22" s="1">
        <f ca="1">IF(ISERROR(F8),"",VLOOKUP(A8,INDIRECT($F$8),6+(O22-1)*3))</f>
        <v>30</v>
      </c>
      <c r="T22" s="1">
        <f ca="1">IF(ISERROR(F8),"",VLOOKUP(A8,INDIRECT($F$8),7+(O22-1)*3))</f>
        <v>20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6" ht="11.25" customHeight="1" x14ac:dyDescent="0.2">
      <c r="A23" s="7" t="str">
        <f ca="1">IF(ISERROR(F8),"",VLOOKUP(C8,INDIRECT($F$8),6+(O23-1)*3,0))</f>
        <v>CAP 002</v>
      </c>
      <c r="B23" s="41" t="str">
        <f ca="1">IF(ISERROR(F8),"",VLOOKUP(D8,INDIRECT($F$8),6+(O23-1)*3,0))</f>
        <v>Operating System Lab</v>
      </c>
      <c r="C23" s="41"/>
      <c r="D23" s="41"/>
      <c r="E23" s="41"/>
      <c r="F23" s="7">
        <f ca="1">IF(ISERROR(F8),"",VLOOKUP(E8,INDIRECT($F$8),6+(O23-1)*3,0))</f>
        <v>1</v>
      </c>
      <c r="G23" s="42" t="str">
        <f ca="1">IF(ISERROR(F8),"",_xlfn.TEXTJOIN("/",FALSE,P23,S23))</f>
        <v>26/30</v>
      </c>
      <c r="H23" s="42"/>
      <c r="I23" s="42" t="str">
        <f ca="1">IF(ISERROR(F8),"",_xlfn.TEXTJOIN("/",FALSE,Q23,T23))</f>
        <v>17/20</v>
      </c>
      <c r="J23" s="42"/>
      <c r="K23" s="42" t="str">
        <f ca="1">IF(ISERROR(F8),"",_xlfn.TEXTJOIN("/",FALSE,R23,U23))</f>
        <v>43/50</v>
      </c>
      <c r="L23" s="42"/>
      <c r="M23" s="7" t="str">
        <f ca="1">IF(ISERROR(F8),"",IF(ISTEXT(P23),IF(P23="A","Ab",IF(P23="D","Dt",IF(P23="UFM","UFM",IF(P23="NA","-")))),IF(AND(ISBLANK(P23),ISBLANK(R23)),"",IF(P23&lt;0.3*S23,"F",IF(ISBLANK(R23),"",IF(ISTEXT(R23),R23,IF(R23&gt;=0.95*U23,"O",IF(R23&gt;=0.9*U23,"A+",IF(R23&gt;=0.85*U23,"A",IF(R23&gt;=0.8*U23,"B+",IF(R23&gt;=0.75*U23,"B",IF(R23&gt;=0.7*U23,"C+",IF(R23&gt;=0.65*U23,"C",IF(R23&gt;=0.6*U23,"D+",IF(R23&gt;=0.55*U23,"D",IF(R23&gt;=0.5*U23,"E+",IF(R23&gt;=0.45*U23,"E",IF(R23&gt;=0.4*U23,"P",IF(R23&lt;0.4*U23,"F",R23)))))))))))))))))))</f>
        <v>A</v>
      </c>
      <c r="N23" s="8">
        <f t="shared" ca="1" si="0"/>
        <v>9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IF(ISERROR(F8),"",IF(ISTEXT(VLOOKUP(B8,INDIRECT($F$8),6+(O23-1)*3)),(VLOOKUP(B8,INDIRECT($F$8),6+(O23-1)*3)),SUM(VLOOKUP(B8,INDIRECT($F$8),6+(O23-1)*3),IF(W27,W23,0))))</f>
        <v>26</v>
      </c>
      <c r="Q23" s="1">
        <f ca="1">IF(ISERROR(F8),"",VLOOKUP(B8,INDIRECT($F$8),7+(O23-1)*3))</f>
        <v>17</v>
      </c>
      <c r="R23" s="1">
        <f ca="1">IF(ISERROR(F8),"",SUM(P23:Q23))</f>
        <v>43</v>
      </c>
      <c r="S23" s="1">
        <f ca="1">IF(ISERROR(F8),"",VLOOKUP(A8,INDIRECT($F$8),6+(O23-1)*3))</f>
        <v>30</v>
      </c>
      <c r="T23" s="1">
        <f ca="1">IF(ISERROR(F8),"",VLOOKUP(A8,INDIRECT($F$8),7+(O23-1)*3))</f>
        <v>20</v>
      </c>
      <c r="U23" s="1">
        <f ca="1">IF(ISERROR(F8),"",VLOOKUP(A8,INDIRECT($F$8),8+(O23-1)*3))</f>
        <v>50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6" ht="11.25" customHeight="1" x14ac:dyDescent="0.2">
      <c r="A24" s="7" t="str">
        <f ca="1">IF(ISERROR(F8),"",VLOOKUP(C8,INDIRECT($F$8),6+(O24-1)*3,0))</f>
        <v>CAP 003</v>
      </c>
      <c r="B24" s="41" t="str">
        <f ca="1">IF(ISERROR(F8),"",VLOOKUP(D8,INDIRECT($F$8),6+(O24-1)*3,0))</f>
        <v>Computer Organization Lab</v>
      </c>
      <c r="C24" s="41"/>
      <c r="D24" s="41"/>
      <c r="E24" s="41"/>
      <c r="F24" s="7">
        <f ca="1">IF(ISERROR(F8),"",VLOOKUP(E8,INDIRECT($F$8),6+(O24-1)*3,0))</f>
        <v>1</v>
      </c>
      <c r="G24" s="42" t="str">
        <f ca="1">IF(ISERROR(F8),"",_xlfn.TEXTJOIN("/",FALSE,P24,S24))</f>
        <v>25/30</v>
      </c>
      <c r="H24" s="42"/>
      <c r="I24" s="42" t="str">
        <f ca="1">IF(ISERROR(F8),"",_xlfn.TEXTJOIN("/",FALSE,Q24,T24))</f>
        <v>19/20</v>
      </c>
      <c r="J24" s="42"/>
      <c r="K24" s="42" t="str">
        <f ca="1">IF(ISERROR(F8),"",_xlfn.TEXTJOIN("/",FALSE,R24,U24))</f>
        <v>44/50</v>
      </c>
      <c r="L24" s="42"/>
      <c r="M24" s="7" t="str">
        <f ca="1">IF(ISERROR(F8),"",IF(ISTEXT(P24),IF(P24="A","Ab",IF(P24="D","Dt",IF(P24="UFM","UFM",IF(P24="NA","-")))),IF(AND(ISBLANK(P24),ISBLANK(R24)),"",IF(P24&lt;0.3*S24,"F",IF(ISBLANK(R24),"",IF(ISTEXT(R24),R24,IF(R24&gt;=0.95*U24,"O",IF(R24&gt;=0.9*U24,"A+",IF(R24&gt;=0.85*U24,"A",IF(R24&gt;=0.8*U24,"B+",IF(R24&gt;=0.75*U24,"B",IF(R24&gt;=0.7*U24,"C+",IF(R24&gt;=0.65*U24,"C",IF(R24&gt;=0.6*U24,"D+",IF(R24&gt;=0.55*U24,"D",IF(R24&gt;=0.5*U24,"E+",IF(R24&gt;=0.45*U24,"E",IF(R24&gt;=0.4*U24,"P",IF(R24&lt;0.4*U24,"F",R24)))))))))))))))))))</f>
        <v>A</v>
      </c>
      <c r="N24" s="8">
        <f t="shared" ca="1" si="0"/>
        <v>9</v>
      </c>
      <c r="O24">
        <f t="shared" si="1"/>
        <v>12</v>
      </c>
      <c r="P24" s="1">
        <f ca="1">IF(ISERROR(F8),"",IF(ISTEXT(VLOOKUP(B8,INDIRECT($F$8),6+(O24-1)*3)),(VLOOKUP(B8,INDIRECT($F$8),6+(O24-1)*3)),SUM(VLOOKUP(B8,INDIRECT($F$8),6+(O24-1)*3),IF(W27,W24,0))))</f>
        <v>25</v>
      </c>
      <c r="Q24" s="1">
        <f ca="1">IF(ISERROR(F8),"",VLOOKUP(B8,INDIRECT($F$8),7+(O24-1)*3))</f>
        <v>19</v>
      </c>
      <c r="R24" s="1">
        <f ca="1">IF(ISERROR(F8),"",SUM(P24:Q24))</f>
        <v>44</v>
      </c>
      <c r="S24" s="1">
        <f ca="1">IF(ISERROR(F8),"",VLOOKUP(A8,INDIRECT($F$8),6+(O24-1)*3))</f>
        <v>30</v>
      </c>
      <c r="T24" s="1">
        <f ca="1">IF(ISERROR(F8),"",VLOOKUP(A8,INDIRECT($F$8),7+(O24-1)*3))</f>
        <v>20</v>
      </c>
      <c r="U24" s="1">
        <f ca="1">IF(ISERROR(F8),"",VLOOKUP(A8,INDIRECT($F$8),8+(O24-1)*3))</f>
        <v>50</v>
      </c>
      <c r="V24" s="1" t="str">
        <f ca="1">IF(ISERROR(F8),"",IF(N24=0,A24,""))</f>
        <v/>
      </c>
      <c r="W24" s="1">
        <f ca="1">IF(ISERROR(F8),"",IF(ISTEXT(VLOOKUP(B8,INDIRECT($F$8),6+(O24-1)*3)),11,IF(VLOOKUP(B8,INDIRECT($F$8),6+(O24-1)*3)&lt;S24*0.3,IF(VLOOKUP(B8,INDIRECT($F$8),8+(O24-1)*3)&lt;U24*0.4,IF(AND(0.4*U24-VLOOKUP(B8,INDIRECT($F$8),8+(O24-1)*3)&lt;=5,0.3*S24-VLOOKUP(B8,INDIRECT($F$8),6+(O24-1)*3)&lt;=5),MAX(0.4*U24-VLOOKUP(B8,INDIRECT($F$8),8+(O24-1)*3),0.3*S24-VLOOKUP(B8,INDIRECT($F$8),6+(O24-1)*3)),11),IF(0.3*S24-VLOOKUP(B8,INDIRECT($F$8),6+(O24-1)*3)&lt;=5,0.3*S24-VLOOKUP(B8,INDIRECT($F$8),6+(O24-1)*3),11)),IF(VLOOKUP(B8,INDIRECT($F$8),8+(O24-1)*3)&lt;U24*0.4,IF(U24*0.4-VLOOKUP(B8,INDIRECT($F$8),8+(O24-1)*3)&lt;=5,U24*0.4-VLOOKUP(B8,INDIRECT($F$8),8+(O24-1)*3),11),0))))</f>
        <v>0</v>
      </c>
      <c r="X24" s="1" t="str">
        <f ca="1">IF(ISERROR(F8),"",IF(W24=0,"",_xlfn.TEXTJOIN("",FALSE," G+",W24," in ",A24)))</f>
        <v/>
      </c>
    </row>
    <row r="25" spans="1:26" ht="11.25" customHeight="1" x14ac:dyDescent="0.2">
      <c r="A25" s="7" t="str">
        <f ca="1">IF(ISERROR(F8),"",VLOOKUP(C8,INDIRECT($F$8),6+(O25-1)*3,0))</f>
        <v>AHP 303</v>
      </c>
      <c r="B25" s="41" t="str">
        <f ca="1">IF(ISERROR(F8),"",VLOOKUP(D8,INDIRECT($F$8),6+(O25-1)*3,0))</f>
        <v>Technical Communication Skills</v>
      </c>
      <c r="C25" s="41"/>
      <c r="D25" s="41"/>
      <c r="E25" s="41"/>
      <c r="F25" s="7">
        <f ca="1">IF(ISERROR(F8),"",VLOOKUP(E8,INDIRECT($F$8),6+(O25-1)*3,0))</f>
        <v>1</v>
      </c>
      <c r="G25" s="42" t="str">
        <f ca="1">IF(ISERROR(F8),"",_xlfn.TEXTJOIN("/",FALSE,P25,S25))</f>
        <v>22/30</v>
      </c>
      <c r="H25" s="42"/>
      <c r="I25" s="42" t="str">
        <f ca="1">IF(ISERROR(F8),"",_xlfn.TEXTJOIN("/",FALSE,Q25,T25))</f>
        <v>16/20</v>
      </c>
      <c r="J25" s="42"/>
      <c r="K25" s="42" t="str">
        <f ca="1">IF(ISERROR(F8),"",_xlfn.TEXTJOIN("/",FALSE,R25,U25))</f>
        <v>38/50</v>
      </c>
      <c r="L25" s="42"/>
      <c r="M25" s="7" t="str">
        <f ca="1">IF(ISERROR(F8),"",IF(ISTEXT(P25),IF(P25="A","Ab",IF(P25="D","Dt",IF(P25="UFM","UFM",IF(P25="NA","-")))),IF(AND(ISBLANK(P25),ISBLANK(R25)),"",IF(P25&lt;0.3*S25,"F",IF(ISBLANK(R25),"",IF(ISTEXT(R25),R25,IF(R25&gt;=0.95*U25,"O",IF(R25&gt;=0.9*U25,"A+",IF(R25&gt;=0.85*U25,"A",IF(R25&gt;=0.8*U25,"B+",IF(R25&gt;=0.75*U25,"B",IF(R25&gt;=0.7*U25,"C+",IF(R25&gt;=0.65*U25,"C",IF(R25&gt;=0.6*U25,"D+",IF(R25&gt;=0.55*U25,"D",IF(R25&gt;=0.5*U25,"E+",IF(R25&gt;=0.45*U25,"E",IF(R25&gt;=0.4*U25,"P",IF(R25&lt;0.4*U25,"F",R25)))))))))))))))))))</f>
        <v>B</v>
      </c>
      <c r="N25" s="8">
        <f t="shared" ca="1" si="0"/>
        <v>8</v>
      </c>
      <c r="O25">
        <f t="shared" si="1"/>
        <v>13</v>
      </c>
      <c r="P25" s="1">
        <f ca="1">IF(ISERROR(F8),"",IF(ISTEXT(VLOOKUP(B8,INDIRECT($F$8),6+(O25-1)*3)),(VLOOKUP(B8,INDIRECT($F$8),6+(O25-1)*3)),SUM(VLOOKUP(B8,INDIRECT($F$8),6+(O25-1)*3),IF(W27,W25,0))))</f>
        <v>22</v>
      </c>
      <c r="Q25" s="1">
        <f ca="1">IF(ISERROR(F8),"",VLOOKUP(B8,INDIRECT($F$8),7+(O25-1)*3))</f>
        <v>16</v>
      </c>
      <c r="R25" s="1">
        <f ca="1">IF(ISERROR(F8),"",SUM(P25:Q25))</f>
        <v>38</v>
      </c>
      <c r="S25" s="1">
        <f ca="1">IF(ISERROR(F8),"",VLOOKUP(A8,INDIRECT($F$8),6+(O25-1)*3))</f>
        <v>30</v>
      </c>
      <c r="T25" s="1">
        <f ca="1">IF(ISERROR(F8),"",VLOOKUP(A8,INDIRECT($F$8),7+(O25-1)*3))</f>
        <v>20</v>
      </c>
      <c r="U25" s="1">
        <f ca="1">IF(ISERROR(F8),"",VLOOKUP(A8,INDIRECT($F$8),8+(O25-1)*3))</f>
        <v>50</v>
      </c>
      <c r="V25" s="1"/>
      <c r="W25" s="1">
        <f ca="1">IF(ISERROR(F8),"",IF(ISTEXT(VLOOKUP(B8,INDIRECT($F$8),6+(O25-1)*3)),11,IF(VLOOKUP(B8,INDIRECT($F$8),6+(O25-1)*3)&lt;S25*0.3,IF(VLOOKUP(B8,INDIRECT($F$8),8+(O25-1)*3)&lt;U25*0.4,IF(AND(0.4*U25-VLOOKUP(B8,INDIRECT($F$8),8+(O25-1)*3)&lt;=5,0.3*S25-VLOOKUP(B8,INDIRECT($F$8),6+(O25-1)*3)&lt;=5),MAX(0.4*U25-VLOOKUP(B8,INDIRECT($F$8),8+(O25-1)*3),0.3*S25-VLOOKUP(B8,INDIRECT($F$8),6+(O25-1)*3)),11),IF(0.3*S25-VLOOKUP(B8,INDIRECT($F$8),6+(O25-1)*3)&lt;=5,0.3*S25-VLOOKUP(B8,INDIRECT($F$8),6+(O25-1)*3),11)),IF(VLOOKUP(B8,INDIRECT($F$8),8+(O25-1)*3)&lt;U25*0.4,IF(U25*0.4-VLOOKUP(B8,INDIRECT($F$8),8+(O25-1)*3)&lt;=5,U25*0.4-VLOOKUP(B8,INDIRECT($F$8),8+(O25-1)*3),11),0))))</f>
        <v>0</v>
      </c>
      <c r="X25" s="1" t="str">
        <f ca="1">IF(ISERROR(F8),"",IF(W25=0,"",_xlfn.TEXTJOIN("",FALSE," G+",W25," in ",A25)))</f>
        <v/>
      </c>
    </row>
    <row r="26" spans="1:26" s="32" customFormat="1" ht="11.25" customHeight="1" x14ac:dyDescent="0.2">
      <c r="A26" s="31">
        <f ca="1">IF(ISERROR(F8),"",VLOOKUP(C8,INDIRECT($F$8),6+(O26-1)*3-Y26,0))</f>
        <v>0</v>
      </c>
      <c r="B26" s="49">
        <f ca="1">IF(ISERROR(F8),"",VLOOKUP(D8,INDIRECT($F$8),6+(O26-1)*3-Z26,0))</f>
        <v>0</v>
      </c>
      <c r="C26" s="49"/>
      <c r="D26" s="49"/>
      <c r="E26" s="49"/>
      <c r="F26" s="31">
        <f ca="1">IF(ISERROR(F8),"",VLOOKUP(E8,INDIRECT($F$8),6+(O26-1)*3-AA26,0))</f>
        <v>0</v>
      </c>
      <c r="G26" s="50" t="str">
        <f>IF(ISERROR(F8),"","-")</f>
        <v>-</v>
      </c>
      <c r="H26" s="50"/>
      <c r="I26" s="50" t="str">
        <f ca="1">IF(ISERROR(F8),"",_xlfn.TEXTJOIN("/",FALSE,Q26,T26))</f>
        <v>0/0</v>
      </c>
      <c r="J26" s="50"/>
      <c r="K26" s="50" t="str">
        <f ca="1">IF(ISERROR(F8),"",_xlfn.TEXTJOIN("/",FALSE,R26,U26))</f>
        <v>0/0</v>
      </c>
      <c r="L26" s="50"/>
      <c r="M26" s="50" t="str">
        <f ca="1">IF(ISBLANK(R26),"",IF(ISTEXT(R26),R26,IF(R26&gt;=0.8*U26,"Excellent",IF(R26&gt;=0.6*U26,"Very Good",IF(R26&gt;=0.4*U26,"Good",IF(R26&gt;=0.2*U26,"Satisfactory","Average"))))))</f>
        <v>Excellent</v>
      </c>
      <c r="N26" s="50"/>
      <c r="O26" s="32">
        <f t="shared" si="1"/>
        <v>14</v>
      </c>
      <c r="P26" s="33">
        <f ca="1">IF(ISERROR(F8),"",IF(ISTEXT(VLOOKUP(B\28,INDIRECT($F$8),6+(O26-1)*3)),(VLOOKUP(B8,INDIRECT($F$8),6+(O26-1)*3)),SUM(VLOOKUP(B8,INDIRECT($F$8),6+(O26-1)*3),IF(W27,W26,0))))</f>
        <v>0</v>
      </c>
      <c r="Q26" s="33">
        <f ca="1">IF(ISERROR(F8),"",VLOOKUP(B8,INDIRECT($F$8),7+(O26-1)*3))</f>
        <v>0</v>
      </c>
      <c r="R26" s="33">
        <f ca="1">IF(ISERROR(F8),"",SUM(P26:Q26))</f>
        <v>0</v>
      </c>
      <c r="S26" s="33">
        <f ca="1">IF(ISERROR(F8),"",VLOOKUP(A8,INDIRECT($F$8),6+(O26-1)*3))</f>
        <v>0</v>
      </c>
      <c r="T26" s="33">
        <f ca="1">IF(ISERROR(F8),"",VLOOKUP(A8,INDIRECT($F$8),7+(O26-1)*3))</f>
        <v>0</v>
      </c>
      <c r="U26" s="33">
        <f ca="1">IF(ISERROR(F8),"",VLOOKUP(A8,INDIRECT($F$8),8+(O26-1)*3))</f>
        <v>0</v>
      </c>
      <c r="V26" s="33"/>
      <c r="W26" s="33"/>
      <c r="X26" s="33" t="str">
        <f>IF(ISERROR(F8),"",IF(W26=0,"",_xlfn.TEXTJOIN("",FALSE," G+",W26," in ",A26)))</f>
        <v/>
      </c>
    </row>
    <row r="27" spans="1:26" ht="11.25" customHeight="1" x14ac:dyDescent="0.2">
      <c r="A27" s="44" t="s">
        <v>35</v>
      </c>
      <c r="B27" s="44"/>
      <c r="C27" s="44"/>
      <c r="D27" s="44"/>
      <c r="E27" s="44"/>
      <c r="F27" s="9">
        <f ca="1">SUM(F13:F26)</f>
        <v>24</v>
      </c>
      <c r="G27" s="44" t="str">
        <f ca="1">_xlfn.TEXTJOIN("/",TRUE,SUMIF(F13:F26,"&gt;0",P13:P26),SUMIF(F13:F26,"&gt;0",S13:S26))</f>
        <v>384/620</v>
      </c>
      <c r="H27" s="44"/>
      <c r="I27" s="44" t="str">
        <f ca="1">_xlfn.TEXTJOIN("/",TRUE,SUMIF(F13:F26,"&gt;0",Q13:Q26),SUMIF(F13:F26,"&gt;0",T13:T26))</f>
        <v>267/330</v>
      </c>
      <c r="J27" s="44"/>
      <c r="K27" s="44" t="str">
        <f ca="1">_xlfn.TEXTJOIN("/",TRUE,SUMIF(F13:F26,"&gt;0",R13:R26),SUMIF(F13:F26,"&gt;0",U13:U26))</f>
        <v>651/950</v>
      </c>
      <c r="L27" s="44"/>
      <c r="M27" s="43">
        <f ca="1">SUMPRODUCT(N13:N25,F13:F25)</f>
        <v>168.5</v>
      </c>
      <c r="N27" s="43"/>
      <c r="V27" s="1" t="str">
        <f ca="1">_xlfn.TEXTJOIN(", ",TRUE,V13:V26)</f>
        <v/>
      </c>
      <c r="W27" t="b">
        <f ca="1">IF(SUM(W13:W26)&lt;=W12,TRUE,FALSE)</f>
        <v>1</v>
      </c>
      <c r="X27" s="1" t="str">
        <f ca="1">_xlfn.TEXTJOIN(",",TRUE,X13:X26)</f>
        <v/>
      </c>
    </row>
    <row r="28" spans="1:26" ht="11.25" customHeight="1" x14ac:dyDescent="0.2">
      <c r="A28" s="43" t="s">
        <v>36</v>
      </c>
      <c r="B28" s="45" t="str">
        <f ca="1">IF(V27="","PASS","CARRY OVER")</f>
        <v>PASS</v>
      </c>
      <c r="C28" s="45"/>
      <c r="D28" s="43" t="s">
        <v>37</v>
      </c>
      <c r="E28" s="45" t="str">
        <f ca="1">IF(ISERROR(F8),"",IF(W27,X27,IF(V27="","",_xlfn.TEXTJOIN("",TRUE,"BACK IN ",V27))))</f>
        <v/>
      </c>
      <c r="F28" s="45"/>
      <c r="G28" s="43" t="s">
        <v>38</v>
      </c>
      <c r="H28" s="46">
        <f ca="1">M27/F27</f>
        <v>7.020833333333333</v>
      </c>
      <c r="I28" s="43" t="s">
        <v>39</v>
      </c>
      <c r="J28" s="46">
        <f ca="1">IF(ISERROR(F8),"",VLOOKUP(B8,INDIRECT($F$8),12+(O26-1)*3,0))</f>
        <v>7.020833333333333</v>
      </c>
      <c r="K28" s="45" t="s">
        <v>40</v>
      </c>
      <c r="L28" s="43">
        <f ca="1">SUMIF(N13:N25,"&gt;0",F13:F25)</f>
        <v>24</v>
      </c>
      <c r="M28" s="45" t="s">
        <v>41</v>
      </c>
      <c r="N28" s="43">
        <f ca="1">IF(ISERROR(F8),"",VLOOKUP(B8,INDIRECT($F$8),10+(O26-1)*3,0))</f>
        <v>24</v>
      </c>
    </row>
    <row r="29" spans="1:26" ht="11.25" customHeight="1" x14ac:dyDescent="0.2">
      <c r="A29" s="43"/>
      <c r="B29" s="45"/>
      <c r="C29" s="45"/>
      <c r="D29" s="43"/>
      <c r="E29" s="45"/>
      <c r="F29" s="45"/>
      <c r="G29" s="43"/>
      <c r="H29" s="46"/>
      <c r="I29" s="43"/>
      <c r="J29" s="46"/>
      <c r="K29" s="45"/>
      <c r="L29" s="43"/>
      <c r="M29" s="45"/>
      <c r="N29" s="43"/>
    </row>
    <row r="30" spans="1:26" ht="15" x14ac:dyDescent="0.2">
      <c r="A30" s="43"/>
      <c r="B30" s="45"/>
      <c r="C30" s="45"/>
      <c r="D30" s="43"/>
      <c r="E30" s="45"/>
      <c r="F30" s="45"/>
      <c r="G30" s="43"/>
      <c r="H30" s="46"/>
      <c r="I30" s="43"/>
      <c r="J30" s="46"/>
      <c r="K30" s="45"/>
      <c r="L30" s="43"/>
      <c r="M30" s="45"/>
      <c r="N30" s="43"/>
    </row>
    <row r="31" spans="1:26" ht="11.25" customHeight="1" x14ac:dyDescent="0.2">
      <c r="A31" s="11" t="str">
        <f>A8</f>
        <v>MM</v>
      </c>
      <c r="B31" s="11">
        <f>B8+1</f>
        <v>2</v>
      </c>
      <c r="C31" s="11" t="str">
        <f>C8</f>
        <v>SC</v>
      </c>
      <c r="D31" s="11" t="str">
        <f>D8</f>
        <v>SN</v>
      </c>
      <c r="E31" s="11" t="str">
        <f>E8</f>
        <v>C</v>
      </c>
      <c r="F31" s="11" t="str">
        <f ca="1">VLOOKUP(B31,INDIRECT($F$8),4,0)</f>
        <v>ABHISHEK SINGH NAYAL</v>
      </c>
    </row>
    <row r="32" spans="1:26" ht="11.25" customHeight="1" x14ac:dyDescent="0.2">
      <c r="A32" s="47" t="str">
        <f ca="1">IF(ISERROR(F31),"",A9)</f>
        <v>Name:</v>
      </c>
      <c r="B32" s="47" t="str">
        <f ca="1">IFERROR(VLOOKUP(B31,INDIRECT($F$8),4,0),"")</f>
        <v>ABHISHEK SINGH NAYAL</v>
      </c>
      <c r="C32" s="47"/>
      <c r="D32" s="47" t="str">
        <f ca="1">IF(ISERROR(F31),"",D9)</f>
        <v>Father's Name:</v>
      </c>
      <c r="E32" s="47" t="str">
        <f ca="1">IFERROR(VLOOKUP(B31,INDIRECT($F$8),5,0),"")</f>
        <v>RAVENDRA SINGH NAYAL</v>
      </c>
      <c r="F32" s="47"/>
      <c r="G32" s="47" t="str">
        <f ca="1">IF(ISERROR(F31),"",G9)</f>
        <v>University Roll No:</v>
      </c>
      <c r="H32" s="47"/>
      <c r="I32" s="48">
        <f ca="1">IFERROR(VLOOKUP(B31,INDIRECT($F$8),2,0),"")</f>
        <v>250090600002</v>
      </c>
      <c r="J32" s="48"/>
      <c r="K32" s="47" t="str">
        <f ca="1">IF(ISERROR(F31),"",K9)</f>
        <v>University Enrol. No:</v>
      </c>
      <c r="L32" s="47"/>
      <c r="M32" s="48" t="str">
        <f ca="1">IFERROR(VLOOKUP(B31,INDIRECT($F$8),3,0),"")</f>
        <v>UTU/2506100159</v>
      </c>
      <c r="N32" s="48"/>
    </row>
    <row r="33" spans="1:24" ht="15" x14ac:dyDescent="0.2">
      <c r="A33" s="47"/>
      <c r="B33" s="47"/>
      <c r="C33" s="47"/>
      <c r="D33" s="47"/>
      <c r="E33" s="47"/>
      <c r="F33" s="47"/>
      <c r="G33" s="47"/>
      <c r="H33" s="47"/>
      <c r="I33" s="48"/>
      <c r="J33" s="48"/>
      <c r="K33" s="47"/>
      <c r="L33" s="47"/>
      <c r="M33" s="48"/>
      <c r="N33" s="48"/>
    </row>
    <row r="34" spans="1:24" ht="11.25" customHeight="1" x14ac:dyDescent="0.2">
      <c r="A34" s="45" t="str">
        <f ca="1">IF(ISERROR(F31),"",A11)</f>
        <v>Subject Code</v>
      </c>
      <c r="B34" s="45" t="str">
        <f ca="1">IF(ISERROR(F31),"",B11)</f>
        <v>Subject Name</v>
      </c>
      <c r="C34" s="45"/>
      <c r="D34" s="45"/>
      <c r="E34" s="45"/>
      <c r="F34" s="45" t="str">
        <f ca="1">IF(ISERROR(F31),"",F11)</f>
        <v>Credits</v>
      </c>
      <c r="G34" s="45" t="str">
        <f ca="1">IF(ISERROR(F31),"",G11)</f>
        <v>External Marks</v>
      </c>
      <c r="H34" s="45"/>
      <c r="I34" s="45" t="str">
        <f ca="1">IF(ISERROR(F31),"",I11)</f>
        <v>Sessional Marks</v>
      </c>
      <c r="J34" s="45"/>
      <c r="K34" s="45" t="str">
        <f ca="1">IF(ISERROR(F31),"",K11)</f>
        <v>Total Marks</v>
      </c>
      <c r="L34" s="45"/>
      <c r="M34" s="45" t="str">
        <f ca="1">IF(ISERROR(F31),"",M11)</f>
        <v>Grade</v>
      </c>
      <c r="N34" s="45" t="str">
        <f ca="1">IF(ISERROR(F31),"",N11)</f>
        <v>Grade Points</v>
      </c>
    </row>
    <row r="35" spans="1:24" ht="11.25" customHeight="1" x14ac:dyDescent="0.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W35">
        <f ca="1">IF(ISNUMBER(MATCH($F$8,{"I","III","V","VII"},0)),10,10-INDEX(INDIRECT(_xlfn.TEXTJOIN("",TRUE,"SEM_",$G$8,"!",ADDRESS(6,4+$I$8*3+4),":",ADDRESS(5+$H$8,4+$I$8*3+4))),MATCH(INDIRECT(_xlfn.TEXTJOIN("",TRUE,"TC_",$F$8,"!",ADDRESS(ROW(I32),COLUMN(I32)))),INDIRECT(_xlfn.TEXTJOIN("",TRUE,"SEM_",$G$8,"!",ADDRESS(6,2),":",ADDRESS(5+$H$8,2))))))</f>
        <v>10</v>
      </c>
    </row>
    <row r="36" spans="1:24" ht="11.25" customHeight="1" x14ac:dyDescent="0.2">
      <c r="A36" s="7" t="str">
        <f ca="1">IF(ISERROR(F31),"",VLOOKUP(C31,INDIRECT($F$8),6+(O36-1)*3,0))</f>
        <v>CAT 004</v>
      </c>
      <c r="B36" s="41" t="str">
        <f ca="1">IF(ISERROR(F31),"",VLOOKUP(D31,INDIRECT($F$8),6+(O36-1)*3,0))</f>
        <v>Discrete Structure</v>
      </c>
      <c r="C36" s="41"/>
      <c r="D36" s="41"/>
      <c r="E36" s="41"/>
      <c r="F36" s="7">
        <f ca="1">IF(ISERROR(F31),"",VLOOKUP(E31,INDIRECT($F$8),6+(O36-1)*3,0))</f>
        <v>4</v>
      </c>
      <c r="G36" s="42" t="str">
        <f ca="1">IF(ISERROR(F31),"",_xlfn.TEXTJOIN("/",FALSE,P36,S36))</f>
        <v>61/100</v>
      </c>
      <c r="H36" s="42"/>
      <c r="I36" s="42" t="str">
        <f ca="1">IF(ISERROR(F31),"",_xlfn.TEXTJOIN("/",FALSE,Q36,T36))</f>
        <v>35/50</v>
      </c>
      <c r="J36" s="42"/>
      <c r="K36" s="42" t="str">
        <f ca="1">IF(ISERROR(F31),"",_xlfn.TEXTJOIN("/",FALSE,R36,U36))</f>
        <v>96/150</v>
      </c>
      <c r="L36" s="42"/>
      <c r="M36" s="7" t="str">
        <f ca="1">IF(ISERROR(F31),"",IF(ISTEXT(P36),IF(P36="A","Ab",IF(P36="D","Dt",IF(P36="UFM","UFM",IF(P36="NA","-")))),IF(AND(ISBLANK(P36),ISBLANK(R36)),"",IF(P36&lt;0.3*S36,"F",IF(ISBLANK(R36),"",IF(ISTEXT(R36),R36,IF(R36&gt;=0.95*U36,"O",IF(R36&gt;=0.9*U36,"A+",IF(R36&gt;=0.85*U36,"A",IF(R36&gt;=0.8*U36,"B+",IF(R36&gt;=0.75*U36,"B",IF(R36&gt;=0.7*U36,"C+",IF(R36&gt;=0.65*U36,"C",IF(R36&gt;=0.6*U36,"D+",IF(R36&gt;=0.55*U36,"D",IF(R36&gt;=0.5*U36,"E+",IF(R36&gt;=0.45*U36,"E",IF(R36&gt;=0.4*U36,"P",IF(R36&lt;0.4*U36,"F",R36)))))))))))))))))))</f>
        <v>D+</v>
      </c>
      <c r="N36" s="8">
        <f ca="1">INDEX($Z$2:$Z$18,MATCH(M36,$Y$2:$Y$18,0))</f>
        <v>6.5</v>
      </c>
      <c r="O36">
        <v>1</v>
      </c>
      <c r="P36" s="1">
        <f ca="1">IF(ISERROR(F31),"",IF(ISTEXT(VLOOKUP(B31,INDIRECT($F$8),6+(O36-1)*3)),(VLOOKUP(B31,INDIRECT($F$8),6+(O36-1)*3)),SUM(VLOOKUP(B31,INDIRECT($F$8),6+(O36-1)*3),IF(W50,W36,0))))</f>
        <v>61</v>
      </c>
      <c r="Q36" s="1">
        <f ca="1">IF(ISERROR(F31),"",VLOOKUP(B31,INDIRECT($F$8),7+(O36-1)*3))</f>
        <v>35</v>
      </c>
      <c r="R36" s="1">
        <f ca="1">IF(ISERROR(F31),"",SUM(P36:Q36))</f>
        <v>96</v>
      </c>
      <c r="S36" s="1">
        <f ca="1">IF(ISERROR(F31),"",VLOOKUP(A31,INDIRECT($F$8),6+(O36-1)*3))</f>
        <v>100</v>
      </c>
      <c r="T36" s="1">
        <f ca="1">IF(ISERROR(F31),"",VLOOKUP(A31,INDIRECT($F$8),7+(O36-1)*3))</f>
        <v>50</v>
      </c>
      <c r="U36" s="1">
        <f ca="1">IF(ISERROR(F31),"",VLOOKUP(A31,INDIRECT($F$8),8+(O36-1)*3))</f>
        <v>150</v>
      </c>
      <c r="V36" s="1" t="str">
        <f ca="1">IF(ISERROR(F31),"",IF(N36=0,A36,""))</f>
        <v/>
      </c>
      <c r="W36" s="1">
        <f ca="1">IF(ISERROR(F31),"",IF(ISTEXT(VLOOKUP(B31,INDIRECT($F$8),6+(O36-1)*3)),11,IF(VLOOKUP(B31,INDIRECT($F$8),6+(O36-1)*3)&lt;S36*0.3,IF(VLOOKUP(B31,INDIRECT($F$8),8+(O36-1)*3)&lt;U36*0.4,IF(AND(0.4*U36-VLOOKUP(B31,INDIRECT($F$8),8+(O36-1)*3)&lt;=5,0.3*S36-VLOOKUP(B31,INDIRECT($F$8),6+(O36-1)*3)&lt;=5),MAX(0.4*U36-VLOOKUP(B31,INDIRECT($F$8),8+(O36-1)*3),0.3*S36-VLOOKUP(B31,INDIRECT($F$8),6+(O36-1)*3)),11),IF(0.3*S36-VLOOKUP(B31,INDIRECT($F$8),6+(O36-1)*3)&lt;=5,0.3*S36-VLOOKUP(B31,INDIRECT($F$8),6+(O36-1)*3),11)),IF(VLOOKUP(B31,INDIRECT($F$8),8+(O36-1)*3)&lt;U36*0.4,IF(U36*0.4-VLOOKUP(B31,INDIRECT($F$8),8+(O36-1)*3)&lt;=5,U36*0.4-VLOOKUP(B31,INDIRECT($F$8),8+(O36-1)*3),11),0))))</f>
        <v>0</v>
      </c>
      <c r="X36" s="1" t="str">
        <f ca="1">IF(ISERROR(F31),"",IF(W36=0,"",_xlfn.TEXTJOIN("",FALSE," G+",W36," in ",A36)))</f>
        <v/>
      </c>
    </row>
    <row r="37" spans="1:24" ht="11.25" customHeight="1" x14ac:dyDescent="0.2">
      <c r="A37" s="7" t="str">
        <f ca="1">IF(ISERROR(F31),"",VLOOKUP(C31,INDIRECT($F$8),6+(O37-1)*3,0))</f>
        <v>CAT 005</v>
      </c>
      <c r="B37" s="41" t="str">
        <f ca="1">IF(ISERROR(F31),"",VLOOKUP(D31,INDIRECT($F$8),6+(O37-1)*3,0))</f>
        <v>Database Management System</v>
      </c>
      <c r="C37" s="41"/>
      <c r="D37" s="41"/>
      <c r="E37" s="41"/>
      <c r="F37" s="7">
        <f ca="1">IF(ISERROR(F31),"",VLOOKUP(E31,INDIRECT($F$8),6+(O37-1)*3,0))</f>
        <v>4</v>
      </c>
      <c r="G37" s="42" t="str">
        <f ca="1">IF(ISERROR(F31),"",_xlfn.TEXTJOIN("/",FALSE,P37,S37))</f>
        <v>46/100</v>
      </c>
      <c r="H37" s="42"/>
      <c r="I37" s="42" t="str">
        <f ca="1">IF(ISERROR(F31),"",_xlfn.TEXTJOIN("/",FALSE,Q37,T37))</f>
        <v>34/50</v>
      </c>
      <c r="J37" s="42"/>
      <c r="K37" s="42" t="str">
        <f ca="1">IF(ISERROR(F31),"",_xlfn.TEXTJOIN("/",FALSE,R37,U37))</f>
        <v>80/150</v>
      </c>
      <c r="L37" s="42"/>
      <c r="M37" s="7" t="str">
        <f ca="1">IF(ISERROR(F31),"",IF(ISTEXT(P37),IF(P37="A","Ab",IF(P37="D","Dt",IF(P37="UFM","UFM",IF(P37="NA","-")))),IF(AND(ISBLANK(P37),ISBLANK(R37)),"",IF(P37&lt;0.3*S37,"F",IF(ISBLANK(R37),"",IF(ISTEXT(R37),R37,IF(R37&gt;=0.95*U37,"O",IF(R37&gt;=0.9*U37,"A+",IF(R37&gt;=0.85*U37,"A",IF(R37&gt;=0.8*U37,"B+",IF(R37&gt;=0.75*U37,"B",IF(R37&gt;=0.7*U37,"C+",IF(R37&gt;=0.65*U37,"C",IF(R37&gt;=0.6*U37,"D+",IF(R37&gt;=0.55*U37,"D",IF(R37&gt;=0.5*U37,"E+",IF(R37&gt;=0.45*U37,"E",IF(R37&gt;=0.4*U37,"P",IF(R37&lt;0.4*U37,"F",R37)))))))))))))))))))</f>
        <v>E+</v>
      </c>
      <c r="N37" s="8">
        <f t="shared" ref="N37:N48" ca="1" si="2">INDEX($Z$2:$Z$18,MATCH(M37,$Y$2:$Y$18,0))</f>
        <v>5.5</v>
      </c>
      <c r="O37">
        <f>O36+1</f>
        <v>2</v>
      </c>
      <c r="P37" s="1">
        <f ca="1">IF(ISERROR(F31),"",IF(ISTEXT(VLOOKUP(B31,INDIRECT($F$8),6+(O37-1)*3)),(VLOOKUP(B31,INDIRECT($F$8),6+(O37-1)*3)),SUM(VLOOKUP(B31,INDIRECT($F$8),6+(O37-1)*3),IF(W50,W37,0))))</f>
        <v>46</v>
      </c>
      <c r="Q37" s="1">
        <f ca="1">IF(ISERROR(F31),"",VLOOKUP(B31,INDIRECT($F$8),7+(O37-1)*3))</f>
        <v>34</v>
      </c>
      <c r="R37" s="1">
        <f ca="1">IF(ISERROR(F31),"",SUM(P37:Q37))</f>
        <v>80</v>
      </c>
      <c r="S37" s="1">
        <f ca="1">IF(ISERROR(F31),"",VLOOKUP(A31,INDIRECT($F$8),6+(O37-1)*3))</f>
        <v>100</v>
      </c>
      <c r="T37" s="1">
        <f ca="1">IF(ISERROR(F31),"",VLOOKUP(A31,INDIRECT($F$8),7+(O37-1)*3))</f>
        <v>50</v>
      </c>
      <c r="U37" s="1">
        <f ca="1">IF(ISERROR(F31),"",VLOOKUP(A31,INDIRECT($F$8),8+(O37-1)*3))</f>
        <v>150</v>
      </c>
      <c r="V37" s="1" t="str">
        <f ca="1">IF(ISERROR(F31),"",IF(N37=0,A37,""))</f>
        <v/>
      </c>
      <c r="W37" s="1">
        <f ca="1">IF(ISERROR(F31),"",IF(ISTEXT(VLOOKUP(B31,INDIRECT($F$8),6+(O37-1)*3)),11,IF(VLOOKUP(B31,INDIRECT($F$8),6+(O37-1)*3)&lt;S37*0.3,IF(VLOOKUP(B31,INDIRECT($F$8),8+(O37-1)*3)&lt;U37*0.4,IF(AND(0.4*U37-VLOOKUP(B31,INDIRECT($F$8),8+(O37-1)*3)&lt;=5,0.3*S37-VLOOKUP(B31,INDIRECT($F$8),6+(O37-1)*3)&lt;=5),MAX(0.4*U37-VLOOKUP(B31,INDIRECT($F$8),8+(O37-1)*3),0.3*S37-VLOOKUP(B31,INDIRECT($F$8),6+(O37-1)*3)),11),IF(0.3*S37-VLOOKUP(B31,INDIRECT($F$8),6+(O37-1)*3)&lt;=5,0.3*S37-VLOOKUP(B31,INDIRECT($F$8),6+(O37-1)*3),11)),IF(VLOOKUP(B31,INDIRECT($F$8),8+(O37-1)*3)&lt;U37*0.4,IF(U37*0.4-VLOOKUP(B31,INDIRECT($F$8),8+(O37-1)*3)&lt;=5,U37*0.4-VLOOKUP(B31,INDIRECT($F$8),8+(O37-1)*3),11),0))))</f>
        <v>0</v>
      </c>
      <c r="X37" s="1" t="str">
        <f ca="1">IF(ISERROR(F31),"",IF(W37=0,"",_xlfn.TEXTJOIN("",FALSE," G+",W37," in ",A37)))</f>
        <v/>
      </c>
    </row>
    <row r="38" spans="1:24" ht="11.25" customHeight="1" x14ac:dyDescent="0.2">
      <c r="A38" s="7" t="str">
        <f ca="1">IF(ISERROR(F31),"",VLOOKUP(C31,INDIRECT($F$8),6+(O38-1)*3,0))</f>
        <v>CAT 006</v>
      </c>
      <c r="B38" s="41" t="str">
        <f ca="1">IF(ISERROR(F31),"",VLOOKUP(D31,INDIRECT($F$8),6+(O38-1)*3,0))</f>
        <v>Operating System</v>
      </c>
      <c r="C38" s="41"/>
      <c r="D38" s="41"/>
      <c r="E38" s="41"/>
      <c r="F38" s="7">
        <f ca="1">IF(ISERROR(F31),"",VLOOKUP(E31,INDIRECT($F$8),6+(O38-1)*3,0))</f>
        <v>4</v>
      </c>
      <c r="G38" s="42" t="str">
        <f ca="1">IF(ISERROR(F31),"",_xlfn.TEXTJOIN("/",FALSE,P38,S38))</f>
        <v>56/100</v>
      </c>
      <c r="H38" s="42"/>
      <c r="I38" s="42" t="str">
        <f ca="1">IF(ISERROR(F31),"",_xlfn.TEXTJOIN("/",FALSE,Q38,T38))</f>
        <v>46/50</v>
      </c>
      <c r="J38" s="42"/>
      <c r="K38" s="42" t="str">
        <f ca="1">IF(ISERROR(F31),"",_xlfn.TEXTJOIN("/",FALSE,R38,U38))</f>
        <v>102/150</v>
      </c>
      <c r="L38" s="42"/>
      <c r="M38" s="7" t="str">
        <f ca="1">IF(ISERROR(F31),"",IF(ISTEXT(P38),IF(P38="A","Ab",IF(P38="D","Dt",IF(P38="UFM","UFM",IF(P38="NA","-")))),IF(AND(ISBLANK(P38),ISBLANK(R38)),"",IF(P38&lt;0.3*S38,"F",IF(ISBLANK(R38),"",IF(ISTEXT(R38),R38,IF(R38&gt;=0.95*U38,"O",IF(R38&gt;=0.9*U38,"A+",IF(R38&gt;=0.85*U38,"A",IF(R38&gt;=0.8*U38,"B+",IF(R38&gt;=0.75*U38,"B",IF(R38&gt;=0.7*U38,"C+",IF(R38&gt;=0.65*U38,"C",IF(R38&gt;=0.6*U38,"D+",IF(R38&gt;=0.55*U38,"D",IF(R38&gt;=0.5*U38,"E+",IF(R38&gt;=0.45*U38,"E",IF(R38&gt;=0.4*U38,"P",IF(R38&lt;0.4*U38,"F",R38)))))))))))))))))))</f>
        <v>C</v>
      </c>
      <c r="N38" s="8">
        <f t="shared" ca="1" si="2"/>
        <v>7</v>
      </c>
      <c r="O38">
        <f>O37+1</f>
        <v>3</v>
      </c>
      <c r="P38" s="1">
        <f ca="1">IF(ISERROR(F31),"",IF(ISTEXT(VLOOKUP(B31,INDIRECT($F$8),6+(O38-1)*3)),(VLOOKUP(B31,INDIRECT($F$8),6+(O38-1)*3)),SUM(VLOOKUP(B31,INDIRECT($F$8),6+(O38-1)*3),IF(W50,W38,0))))</f>
        <v>56</v>
      </c>
      <c r="Q38" s="1">
        <f ca="1">IF(ISERROR(F31),"",VLOOKUP(B31,INDIRECT($F$8),7+(O38-1)*3))</f>
        <v>46</v>
      </c>
      <c r="R38" s="1">
        <f ca="1">IF(ISERROR(F31),"",SUM(P38:Q38))</f>
        <v>102</v>
      </c>
      <c r="S38" s="1">
        <f ca="1">IF(ISERROR(F31),"",VLOOKUP(A31,INDIRECT($F$8),6+(O38-1)*3))</f>
        <v>100</v>
      </c>
      <c r="T38" s="1">
        <f ca="1">IF(ISERROR(F31),"",VLOOKUP(A31,INDIRECT($F$8),7+(O38-1)*3))</f>
        <v>50</v>
      </c>
      <c r="U38" s="1">
        <f ca="1">IF(ISERROR(F31),"",VLOOKUP(A31,INDIRECT($F$8),8+(O38-1)*3))</f>
        <v>150</v>
      </c>
      <c r="V38" s="1" t="str">
        <f ca="1">IF(ISERROR(F31),"",IF(N38=0,A38,""))</f>
        <v/>
      </c>
      <c r="W38" s="1">
        <f ca="1">IF(ISERROR(F31),"",IF(ISTEXT(VLOOKUP(B31,INDIRECT($F$8),6+(O38-1)*3)),11,IF(VLOOKUP(B31,INDIRECT($F$8),6+(O38-1)*3)&lt;S38*0.3,IF(VLOOKUP(B31,INDIRECT($F$8),8+(O38-1)*3)&lt;U38*0.4,IF(AND(0.4*U38-VLOOKUP(B31,INDIRECT($F$8),8+(O38-1)*3)&lt;=5,0.3*S38-VLOOKUP(B31,INDIRECT($F$8),6+(O38-1)*3)&lt;=5),MAX(0.4*U38-VLOOKUP(B31,INDIRECT($F$8),8+(O38-1)*3),0.3*S38-VLOOKUP(B31,INDIRECT($F$8),6+(O38-1)*3)),11),IF(0.3*S38-VLOOKUP(B31,INDIRECT($F$8),6+(O38-1)*3)&lt;=5,0.3*S38-VLOOKUP(B31,INDIRECT($F$8),6+(O38-1)*3),11)),IF(VLOOKUP(B31,INDIRECT($F$8),8+(O38-1)*3)&lt;U38*0.4,IF(U38*0.4-VLOOKUP(B31,INDIRECT($F$8),8+(O38-1)*3)&lt;=5,U38*0.4-VLOOKUP(B31,INDIRECT($F$8),8+(O38-1)*3),11),0))))</f>
        <v>0</v>
      </c>
      <c r="X38" s="1" t="str">
        <f ca="1">IF(ISERROR(F31),"",IF(W38=0,"",_xlfn.TEXTJOIN("",FALSE," G+",W38," in ",A38)))</f>
        <v/>
      </c>
    </row>
    <row r="39" spans="1:24" ht="11.25" customHeight="1" x14ac:dyDescent="0.2">
      <c r="A39" s="7" t="str">
        <f ca="1">IF(ISERROR(F31),"",VLOOKUP(C31,INDIRECT($F$8),6+(O39-1)*3,0))</f>
        <v>CAT 007</v>
      </c>
      <c r="B39" s="41" t="str">
        <f ca="1">IF(ISERROR(F31),"",VLOOKUP(D31,INDIRECT($F$8),6+(O39-1)*3,0))</f>
        <v>Computer Organization</v>
      </c>
      <c r="C39" s="41"/>
      <c r="D39" s="41"/>
      <c r="E39" s="41"/>
      <c r="F39" s="7">
        <f ca="1">IF(ISERROR(F31),"",VLOOKUP(E31,INDIRECT($F$8),6+(O39-1)*3,0))</f>
        <v>4</v>
      </c>
      <c r="G39" s="42" t="str">
        <f ca="1">IF(ISERROR(F31),"",_xlfn.TEXTJOIN("/",FALSE,P39,S39))</f>
        <v>51/100</v>
      </c>
      <c r="H39" s="42"/>
      <c r="I39" s="42" t="str">
        <f ca="1">IF(ISERROR(F31),"",_xlfn.TEXTJOIN("/",FALSE,Q39,T39))</f>
        <v>41/50</v>
      </c>
      <c r="J39" s="42"/>
      <c r="K39" s="42" t="str">
        <f ca="1">IF(ISERROR(F31),"",_xlfn.TEXTJOIN("/",FALSE,R39,U39))</f>
        <v>92/150</v>
      </c>
      <c r="L39" s="42"/>
      <c r="M39" s="7" t="str">
        <f ca="1">IF(ISERROR(F31),"",IF(ISTEXT(P39),IF(P39="A","Ab",IF(P39="D","Dt",IF(P39="UFM","UFM",IF(P39="NA","-")))),IF(AND(ISBLANK(P39),ISBLANK(R39)),"",IF(P39&lt;0.3*S39,"F",IF(ISBLANK(R39),"",IF(ISTEXT(R39),R39,IF(R39&gt;=0.95*U39,"O",IF(R39&gt;=0.9*U39,"A+",IF(R39&gt;=0.85*U39,"A",IF(R39&gt;=0.8*U39,"B+",IF(R39&gt;=0.75*U39,"B",IF(R39&gt;=0.7*U39,"C+",IF(R39&gt;=0.65*U39,"C",IF(R39&gt;=0.6*U39,"D+",IF(R39&gt;=0.55*U39,"D",IF(R39&gt;=0.5*U39,"E+",IF(R39&gt;=0.45*U39,"E",IF(R39&gt;=0.4*U39,"P",IF(R39&lt;0.4*U39,"F",R39)))))))))))))))))))</f>
        <v>D+</v>
      </c>
      <c r="N39" s="8">
        <f t="shared" ca="1" si="2"/>
        <v>6.5</v>
      </c>
      <c r="O39">
        <f>O38+1</f>
        <v>4</v>
      </c>
      <c r="P39" s="1">
        <f ca="1">IF(ISERROR(F31),"",IF(ISTEXT(VLOOKUP(B31,INDIRECT($F$8),6+(O39-1)*3)),(VLOOKUP(B31,INDIRECT($F$8),6+(O39-1)*3)),SUM(VLOOKUP(B31,INDIRECT($F$8),6+(O39-1)*3),IF(W50,W39,0))))</f>
        <v>51</v>
      </c>
      <c r="Q39" s="1">
        <f ca="1">IF(ISERROR(F31),"",VLOOKUP(B31,INDIRECT($F$8),7+(O39-1)*3))</f>
        <v>41</v>
      </c>
      <c r="R39" s="1">
        <f ca="1">IF(ISERROR(F31),"",SUM(P39:Q39))</f>
        <v>92</v>
      </c>
      <c r="S39" s="1">
        <f ca="1">IF(ISERROR(F31),"",VLOOKUP(A31,INDIRECT($F$8),6+(O39-1)*3))</f>
        <v>100</v>
      </c>
      <c r="T39" s="1">
        <f ca="1">IF(ISERROR(F31),"",VLOOKUP(A31,INDIRECT($F$8),7+(O39-1)*3))</f>
        <v>50</v>
      </c>
      <c r="U39" s="1">
        <f ca="1">IF(ISERROR(F31),"",VLOOKUP(A31,INDIRECT($F$8),8+(O39-1)*3))</f>
        <v>150</v>
      </c>
      <c r="V39" s="1" t="str">
        <f ca="1">IF(ISERROR(F31),"",IF(N39=0,A39,""))</f>
        <v/>
      </c>
      <c r="W39" s="1">
        <f ca="1">IF(ISERROR(F31),"",IF(ISTEXT(VLOOKUP(B31,INDIRECT($F$8),6+(O39-1)*3)),11,IF(VLOOKUP(B31,INDIRECT($F$8),6+(O39-1)*3)&lt;S39*0.3,IF(VLOOKUP(B31,INDIRECT($F$8),8+(O39-1)*3)&lt;U39*0.4,IF(AND(0.4*U39-VLOOKUP(B31,INDIRECT($F$8),8+(O39-1)*3)&lt;=5,0.3*S39-VLOOKUP(B31,INDIRECT($F$8),6+(O39-1)*3)&lt;=5),MAX(0.4*U39-VLOOKUP(B31,INDIRECT($F$8),8+(O39-1)*3),0.3*S39-VLOOKUP(B31,INDIRECT($F$8),6+(O39-1)*3)),11),IF(0.3*S39-VLOOKUP(B31,INDIRECT($F$8),6+(O39-1)*3)&lt;=5,0.3*S39-VLOOKUP(B31,INDIRECT($F$8),6+(O39-1)*3),11)),IF(VLOOKUP(B31,INDIRECT($F$8),8+(O39-1)*3)&lt;U39*0.4,IF(U39*0.4-VLOOKUP(B31,INDIRECT($F$8),8+(O39-1)*3)&lt;=5,U39*0.4-VLOOKUP(B31,INDIRECT($F$8),8+(O39-1)*3),11),0))))</f>
        <v>0</v>
      </c>
      <c r="X39" s="1" t="str">
        <f ca="1">IF(ISERROR(F31),"",IF(W39=0,"",_xlfn.TEXTJOIN("",FALSE," G+",W39," in ",A39)))</f>
        <v/>
      </c>
    </row>
    <row r="40" spans="1:24" ht="11.25" customHeight="1" x14ac:dyDescent="0.2">
      <c r="A40" s="7" t="str">
        <f ca="1">IF(ISERROR(F31),"",VLOOKUP(C31,INDIRECT($F$8),6+(O40-1)*3,0))</f>
        <v>AHT 303</v>
      </c>
      <c r="B40" s="41" t="str">
        <f ca="1">IF(ISERROR(F31),"",VLOOKUP(D31,INDIRECT($F$8),6+(O40-1)*3,0))</f>
        <v>Technical Communication Skills</v>
      </c>
      <c r="C40" s="41"/>
      <c r="D40" s="41"/>
      <c r="E40" s="41"/>
      <c r="F40" s="7">
        <f ca="1">IF(ISERROR(F31),"",VLOOKUP(E31,INDIRECT($F$8),6+(O40-1)*3,0))</f>
        <v>4</v>
      </c>
      <c r="G40" s="42" t="str">
        <f ca="1">IF(ISERROR(F31),"",_xlfn.TEXTJOIN("/",FALSE,P40,S40))</f>
        <v>70/100</v>
      </c>
      <c r="H40" s="42"/>
      <c r="I40" s="42" t="str">
        <f ca="1">IF(ISERROR(F31),"",_xlfn.TEXTJOIN("/",FALSE,Q40,T40))</f>
        <v>37/50</v>
      </c>
      <c r="J40" s="42"/>
      <c r="K40" s="42" t="str">
        <f ca="1">IF(ISERROR(F31),"",_xlfn.TEXTJOIN("/",FALSE,R40,U40))</f>
        <v>107/150</v>
      </c>
      <c r="L40" s="42"/>
      <c r="M40" s="7" t="str">
        <f ca="1">IF(ISERROR(F31),"",IF(ISTEXT(P40),IF(P40="A","Ab",IF(P40="D","Dt",IF(P40="UFM","UFM",IF(P40="NA","-")))),IF(AND(ISBLANK(P40),ISBLANK(R40)),"",IF(P40&lt;0.3*S40,"F",IF(ISBLANK(R40),"",IF(ISTEXT(R40),R40,IF(R40&gt;=0.95*U40,"O",IF(R40&gt;=0.9*U40,"A+",IF(R40&gt;=0.85*U40,"A",IF(R40&gt;=0.8*U40,"B+",IF(R40&gt;=0.75*U40,"B",IF(R40&gt;=0.7*U40,"C+",IF(R40&gt;=0.65*U40,"C",IF(R40&gt;=0.6*U40,"D+",IF(R40&gt;=0.55*U40,"D",IF(R40&gt;=0.5*U40,"E+",IF(R40&gt;=0.45*U40,"E",IF(R40&gt;=0.4*U40,"P",IF(R40&lt;0.4*U40,"F",R40)))))))))))))))))))</f>
        <v>C+</v>
      </c>
      <c r="N40" s="8">
        <f t="shared" ca="1" si="2"/>
        <v>7.5</v>
      </c>
      <c r="O40">
        <f t="shared" ref="O40:O49" si="3">O39+1</f>
        <v>5</v>
      </c>
      <c r="P40" s="1">
        <f ca="1">IF(ISERROR(F31),"",IF(ISTEXT(VLOOKUP(B31,INDIRECT($F$8),6+(O40-1)*3)),(VLOOKUP(B31,INDIRECT($F$8),6+(O40-1)*3)),SUM(VLOOKUP(B31,INDIRECT($F$8),6+(O40-1)*3),IF(W50,W40,0))))</f>
        <v>70</v>
      </c>
      <c r="Q40" s="1">
        <f ca="1">IF(ISERROR(F31),"",VLOOKUP(B31,INDIRECT($F$8),7+(O40-1)*3))</f>
        <v>37</v>
      </c>
      <c r="R40" s="1">
        <f ca="1">IF(ISERROR(F31),"",SUM(P40:Q40))</f>
        <v>107</v>
      </c>
      <c r="S40" s="1">
        <f ca="1">IF(ISERROR(F31),"",VLOOKUP(A31,INDIRECT($F$8),6+(O40-1)*3))</f>
        <v>100</v>
      </c>
      <c r="T40" s="1">
        <f ca="1">IF(ISERROR(F31),"",VLOOKUP(A31,INDIRECT($F$8),7+(O40-1)*3))</f>
        <v>50</v>
      </c>
      <c r="U40" s="1">
        <f ca="1">IF(ISERROR(F31),"",VLOOKUP(A31,INDIRECT($F$8),8+(O40-1)*3))</f>
        <v>150</v>
      </c>
      <c r="V40" s="1" t="str">
        <f ca="1">IF(ISERROR(F31),"",IF(N40=0,A40,""))</f>
        <v/>
      </c>
      <c r="W40" s="1">
        <f ca="1">IF(ISERROR(F31),"",IF(ISTEXT(VLOOKUP(B31,INDIRECT($F$8),6+(O40-1)*3)),11,IF(VLOOKUP(B31,INDIRECT($F$8),6+(O40-1)*3)&lt;S40*0.3,IF(VLOOKUP(B31,INDIRECT($F$8),8+(O40-1)*3)&lt;U40*0.4,IF(AND(0.4*U40-VLOOKUP(B31,INDIRECT($F$8),8+(O40-1)*3)&lt;=5,0.3*S40-VLOOKUP(B31,INDIRECT($F$8),6+(O40-1)*3)&lt;=5),MAX(0.4*U40-VLOOKUP(B31,INDIRECT($F$8),8+(O40-1)*3),0.3*S40-VLOOKUP(B31,INDIRECT($F$8),6+(O40-1)*3)),11),IF(0.3*S40-VLOOKUP(B31,INDIRECT($F$8),6+(O40-1)*3)&lt;=5,0.3*S40-VLOOKUP(B31,INDIRECT($F$8),6+(O40-1)*3),11)),IF(VLOOKUP(B31,INDIRECT($F$8),8+(O40-1)*3)&lt;U40*0.4,IF(U40*0.4-VLOOKUP(B31,INDIRECT($F$8),8+(O40-1)*3)&lt;=5,U40*0.4-VLOOKUP(B31,INDIRECT($F$8),8+(O40-1)*3),11),0))))</f>
        <v>0</v>
      </c>
      <c r="X40" s="1" t="str">
        <f ca="1">IF(ISERROR(F31),"",IF(W40=0,"",_xlfn.TEXTJOIN("",FALSE," G+",W40," in ",A40)))</f>
        <v/>
      </c>
    </row>
    <row r="41" spans="1:24" ht="11.25" customHeight="1" x14ac:dyDescent="0.2">
      <c r="A41" s="7" t="str">
        <f ca="1">IF(ISERROR(F31),"",VLOOKUP(C31,INDIRECT($F$8),6+(O41-1)*3,0))</f>
        <v>CAT 008</v>
      </c>
      <c r="B41" s="41" t="str">
        <f ca="1">IF(ISERROR(F31),"",VLOOKUP(D31,INDIRECT($F$8),6+(O41-1)*3,0))</f>
        <v>Python Programming ($)</v>
      </c>
      <c r="C41" s="41"/>
      <c r="D41" s="41"/>
      <c r="E41" s="41"/>
      <c r="F41" s="7">
        <f ca="1">IF(ISERROR(F31),"",VLOOKUP(E31,INDIRECT($F$8),6+(O41-1)*3,0))</f>
        <v>0</v>
      </c>
      <c r="G41" s="42" t="str">
        <f ca="1">IF(ISERROR(F31),"",_xlfn.TEXTJOIN("/",FALSE,P41,S41))</f>
        <v>14/30</v>
      </c>
      <c r="H41" s="42"/>
      <c r="I41" s="42" t="str">
        <f ca="1">IF(ISERROR(F31),"",_xlfn.TEXTJOIN("/",FALSE,Q41,T41))</f>
        <v>12/20</v>
      </c>
      <c r="J41" s="42"/>
      <c r="K41" s="42" t="str">
        <f ca="1">IF(ISERROR(F31),"",_xlfn.TEXTJOIN("/",FALSE,R41,U41))</f>
        <v>26/50</v>
      </c>
      <c r="L41" s="42"/>
      <c r="M41" s="7" t="str">
        <f ca="1">IF(ISERROR(F31),"",IF(ISTEXT(P41),IF(P41="A","Ab",IF(P41="D","Dt",IF(P41="UFM","UFM",IF(P41="NA","-")))),IF(AND(ISBLANK(P41),ISBLANK(R41)),"",IF(P41&lt;0.3*S41,"F",IF(ISBLANK(R41),"",IF(ISTEXT(R41),R41,IF(R41&gt;=0.95*U41,"O",IF(R41&gt;=0.9*U41,"A+",IF(R41&gt;=0.85*U41,"A",IF(R41&gt;=0.8*U41,"B+",IF(R41&gt;=0.75*U41,"B",IF(R41&gt;=0.7*U41,"C+",IF(R41&gt;=0.65*U41,"C",IF(R41&gt;=0.6*U41,"D+",IF(R41&gt;=0.55*U41,"D",IF(R41&gt;=0.5*U41,"E+",IF(R41&gt;=0.45*U41,"E",IF(R41&gt;=0.4*U41,"P",IF(R41&lt;0.4*U41,"F",R41)))))))))))))))))))</f>
        <v>E+</v>
      </c>
      <c r="N41" s="8">
        <f t="shared" ca="1" si="2"/>
        <v>5.5</v>
      </c>
      <c r="O41">
        <f t="shared" si="3"/>
        <v>6</v>
      </c>
      <c r="P41" s="1">
        <f ca="1">IF(ISERROR(F31),"",IF(ISTEXT(VLOOKUP(B31,INDIRECT($F$8),6+(O41-1)*3)),(VLOOKUP(B31,INDIRECT($F$8),6+(O41-1)*3)),SUM(VLOOKUP(B31,INDIRECT($F$8),6+(O41-1)*3),IF(W50,W41,0))))</f>
        <v>14</v>
      </c>
      <c r="Q41" s="1">
        <f ca="1">IF(ISERROR(F31),"",VLOOKUP(B31,INDIRECT($F$8),7+(O41-1)*3))</f>
        <v>12</v>
      </c>
      <c r="R41" s="1">
        <f ca="1">IF(ISERROR(F31),"",SUM(P41:Q41))</f>
        <v>26</v>
      </c>
      <c r="S41" s="1">
        <f ca="1">IF(ISERROR(F31),"",VLOOKUP(A31,INDIRECT($F$8),6+(O41-1)*3))</f>
        <v>30</v>
      </c>
      <c r="T41" s="1">
        <f ca="1">IF(ISERROR(F31),"",VLOOKUP(A31,INDIRECT($F$8),7+(O41-1)*3))</f>
        <v>20</v>
      </c>
      <c r="U41" s="1">
        <f ca="1">IF(ISERROR(F31),"",VLOOKUP(A31,INDIRECT($F$8),8+(O41-1)*3))</f>
        <v>50</v>
      </c>
      <c r="V41" s="1" t="str">
        <f ca="1">IF(ISERROR(F31),"",IF(N41=0,A41,""))</f>
        <v/>
      </c>
      <c r="W41" s="1">
        <f ca="1">IF(ISERROR(F31),"",IF(ISTEXT(VLOOKUP(B31,INDIRECT($F$8),6+(O41-1)*3)),11,IF(VLOOKUP(B31,INDIRECT($F$8),6+(O41-1)*3)&lt;S41*0.3,IF(VLOOKUP(B31,INDIRECT($F$8),8+(O41-1)*3)&lt;U41*0.4,IF(AND(0.4*U41-VLOOKUP(B31,INDIRECT($F$8),8+(O41-1)*3)&lt;=5,0.3*S41-VLOOKUP(B31,INDIRECT($F$8),6+(O41-1)*3)&lt;=5),MAX(0.4*U41-VLOOKUP(B31,INDIRECT($F$8),8+(O41-1)*3),0.3*S41-VLOOKUP(B31,INDIRECT($F$8),6+(O41-1)*3)),11),IF(0.3*S41-VLOOKUP(B31,INDIRECT($F$8),6+(O41-1)*3)&lt;=5,0.3*S41-VLOOKUP(B31,INDIRECT($F$8),6+(O41-1)*3),11)),IF(VLOOKUP(B31,INDIRECT($F$8),8+(O41-1)*3)&lt;U41*0.4,IF(U41*0.4-VLOOKUP(B31,INDIRECT($F$8),8+(O41-1)*3)&lt;=5,U41*0.4-VLOOKUP(B31,INDIRECT($F$8),8+(O41-1)*3),11),0))))</f>
        <v>0</v>
      </c>
      <c r="X41" s="1" t="str">
        <f ca="1">IF(ISERROR(F31),"",IF(W41=0,"",_xlfn.TEXTJOIN("",FALSE," G+",W41," in ",A41)))</f>
        <v/>
      </c>
    </row>
    <row r="42" spans="1:24" ht="11.25" customHeight="1" x14ac:dyDescent="0.2">
      <c r="A42" s="7" t="str">
        <f ca="1">IF(ISERROR(F31),"",VLOOKUP(C31,INDIRECT($F$8),6+(O42-1)*3,0))</f>
        <v>CAT 001</v>
      </c>
      <c r="B42" s="41" t="str">
        <f ca="1">IF(ISERROR(F31),"",VLOOKUP(D31,INDIRECT($F$8),6+(O42-1)*3,0))</f>
        <v>Introduction of Information Technology ($)</v>
      </c>
      <c r="C42" s="41"/>
      <c r="D42" s="41"/>
      <c r="E42" s="41"/>
      <c r="F42" s="7">
        <f ca="1">IF(ISERROR(F31),"",VLOOKUP(E31,INDIRECT($F$8),6+(O42-1)*3,0))</f>
        <v>0</v>
      </c>
      <c r="G42" s="42" t="str">
        <f ca="1">IF(ISERROR(F31),"",_xlfn.TEXTJOIN("/",FALSE,P42,S42))</f>
        <v>NA/30</v>
      </c>
      <c r="H42" s="42"/>
      <c r="I42" s="42" t="str">
        <f ca="1">IF(ISERROR(F31),"",_xlfn.TEXTJOIN("/",FALSE,Q42,T42))</f>
        <v>NA/20</v>
      </c>
      <c r="J42" s="42"/>
      <c r="K42" s="42" t="str">
        <f ca="1">IF(ISERROR(F31),"",_xlfn.TEXTJOIN("/",FALSE,R42,U42))</f>
        <v>0/50</v>
      </c>
      <c r="L42" s="42"/>
      <c r="M42" s="7" t="str">
        <f ca="1">IF(ISERROR(F31),"",IF(ISTEXT(P42),IF(P42="A","Ab",IF(P42="D","Dt",IF(P42="UFM","UFM",IF(P42="NA","-")))),IF(AND(ISBLANK(P42),ISBLANK(R42)),"",IF(P42&lt;0.3*S42,"F",IF(ISBLANK(R42),"",IF(ISTEXT(R42),R42,IF(R42&gt;=0.95*U42,"O",IF(R42&gt;=0.9*U42,"A+",IF(R42&gt;=0.85*U42,"A",IF(R42&gt;=0.8*U42,"B+",IF(R42&gt;=0.75*U42,"B",IF(R42&gt;=0.7*U42,"C+",IF(R42&gt;=0.65*U42,"C",IF(R42&gt;=0.6*U42,"D+",IF(R42&gt;=0.55*U42,"D",IF(R42&gt;=0.5*U42,"E+",IF(R42&gt;=0.45*U42,"E",IF(R42&gt;=0.4*U42,"P",IF(R42&lt;0.4*U42,"F",R42)))))))))))))))))))</f>
        <v>-</v>
      </c>
      <c r="N42" s="8" t="str">
        <f t="shared" ca="1" si="2"/>
        <v>-</v>
      </c>
      <c r="O42">
        <f t="shared" si="3"/>
        <v>7</v>
      </c>
      <c r="P42" s="1" t="str">
        <f ca="1">IF(ISERROR(F31),"",IF(ISTEXT(VLOOKUP(B31,INDIRECT($F$8),6+(O42-1)*3)),(VLOOKUP(B31,INDIRECT($F$8),6+(O42-1)*3)),SUM(VLOOKUP(B31,INDIRECT($F$8),6+(O42-1)*3),IF(W50,W42,0))))</f>
        <v>NA</v>
      </c>
      <c r="Q42" s="1" t="str">
        <f ca="1">IF(ISERROR(F31),"",VLOOKUP(B31,INDIRECT($F$8),7+(O42-1)*3))</f>
        <v>NA</v>
      </c>
      <c r="R42" s="1">
        <f ca="1">IF(ISERROR(F31),"",SUM(P42:Q42))</f>
        <v>0</v>
      </c>
      <c r="S42" s="1">
        <f ca="1">IF(ISERROR(F31),"",VLOOKUP(A31,INDIRECT($F$8),6+(O42-1)*3))</f>
        <v>30</v>
      </c>
      <c r="T42" s="1">
        <f ca="1">IF(ISERROR(F31),"",VLOOKUP(A31,INDIRECT($F$8),7+(O42-1)*3))</f>
        <v>20</v>
      </c>
      <c r="U42" s="1">
        <f ca="1">IF(ISERROR(F31),"",VLOOKUP(A31,INDIRECT($F$8),8+(O42-1)*3))</f>
        <v>50</v>
      </c>
      <c r="V42" s="1" t="str">
        <f ca="1">IF(ISERROR(F31),"",IF(N42=0,A42,""))</f>
        <v/>
      </c>
      <c r="W42" s="1">
        <f ca="1">IF(ISERROR(F31),"",IF(ISTEXT(VLOOKUP(B31,INDIRECT($F$8),6+(O42-1)*3)),11,IF(VLOOKUP(B31,INDIRECT($F$8),6+(O42-1)*3)&lt;S42*0.3,IF(VLOOKUP(B31,INDIRECT($F$8),8+(O42-1)*3)&lt;U42*0.4,IF(AND(0.4*U42-VLOOKUP(B31,INDIRECT($F$8),8+(O42-1)*3)&lt;=5,0.3*S42-VLOOKUP(B31,INDIRECT($F$8),6+(O42-1)*3)&lt;=5),MAX(0.4*U42-VLOOKUP(B31,INDIRECT($F$8),8+(O42-1)*3),0.3*S42-VLOOKUP(B31,INDIRECT($F$8),6+(O42-1)*3)),11),IF(0.3*S42-VLOOKUP(B31,INDIRECT($F$8),6+(O42-1)*3)&lt;=5,0.3*S42-VLOOKUP(B31,INDIRECT($F$8),6+(O42-1)*3),11)),IF(VLOOKUP(B31,INDIRECT($F$8),8+(O42-1)*3)&lt;U42*0.4,IF(U42*0.4-VLOOKUP(B31,INDIRECT($F$8),8+(O42-1)*3)&lt;=5,U42*0.4-VLOOKUP(B31,INDIRECT($F$8),8+(O42-1)*3),11),0))))</f>
        <v>11</v>
      </c>
      <c r="X42" s="1" t="str">
        <f ca="1">IF(ISERROR(F31),"",IF(W42=0,"",_xlfn.TEXTJOIN("",FALSE," G+",W42," in ",A42)))</f>
        <v xml:space="preserve"> G+11 in CAT 001</v>
      </c>
    </row>
    <row r="43" spans="1:24" ht="11.25" customHeight="1" x14ac:dyDescent="0.2">
      <c r="A43" s="7" t="str">
        <f ca="1">IF(ISERROR(F31),"",VLOOKUP(C31,INDIRECT($F$8),6+(O43-1)*3,0))</f>
        <v>CAT 002</v>
      </c>
      <c r="B43" s="41" t="str">
        <f ca="1">IF(ISERROR(F31),"",VLOOKUP(D31,INDIRECT($F$8),6+(O43-1)*3,0))</f>
        <v>Programming Fundamentals with "C" ($)</v>
      </c>
      <c r="C43" s="41"/>
      <c r="D43" s="41"/>
      <c r="E43" s="41"/>
      <c r="F43" s="7">
        <f ca="1">IF(ISERROR(F31),"",VLOOKUP(E31,INDIRECT($F$8),6+(O43-1)*3,0))</f>
        <v>0</v>
      </c>
      <c r="G43" s="42" t="str">
        <f ca="1">IF(ISERROR(F31),"",_xlfn.TEXTJOIN("/",FALSE,P43,S43))</f>
        <v>NA/30</v>
      </c>
      <c r="H43" s="42"/>
      <c r="I43" s="42" t="str">
        <f ca="1">IF(ISERROR(F31),"",_xlfn.TEXTJOIN("/",FALSE,Q43,T43))</f>
        <v>NA/20</v>
      </c>
      <c r="J43" s="42"/>
      <c r="K43" s="42" t="str">
        <f ca="1">IF(ISERROR(F31),"",_xlfn.TEXTJOIN("/",FALSE,R43,U43))</f>
        <v>0/50</v>
      </c>
      <c r="L43" s="42"/>
      <c r="M43" s="7" t="str">
        <f ca="1">IF(ISERROR(F31),"",IF(ISTEXT(P43),IF(P43="A","Ab",IF(P43="D","Dt",IF(P43="UFM","UFM",IF(P43="NA","-")))),IF(AND(ISBLANK(P43),ISBLANK(R43)),"",IF(P43&lt;0.3*S43,"F",IF(ISBLANK(R43),"",IF(ISTEXT(R43),R43,IF(R43&gt;=0.95*U43,"O",IF(R43&gt;=0.9*U43,"A+",IF(R43&gt;=0.85*U43,"A",IF(R43&gt;=0.8*U43,"B+",IF(R43&gt;=0.75*U43,"B",IF(R43&gt;=0.7*U43,"C+",IF(R43&gt;=0.65*U43,"C",IF(R43&gt;=0.6*U43,"D+",IF(R43&gt;=0.55*U43,"D",IF(R43&gt;=0.5*U43,"E+",IF(R43&gt;=0.45*U43,"E",IF(R43&gt;=0.4*U43,"P",IF(R43&lt;0.4*U43,"F",R43)))))))))))))))))))</f>
        <v>-</v>
      </c>
      <c r="N43" s="8" t="str">
        <f t="shared" ca="1" si="2"/>
        <v>-</v>
      </c>
      <c r="O43">
        <f t="shared" si="3"/>
        <v>8</v>
      </c>
      <c r="P43" s="1" t="str">
        <f ca="1">IF(ISERROR(F31),"",IF(ISTEXT(VLOOKUP(B31,INDIRECT($F$8),6+(O43-1)*3)),(VLOOKUP(B31,INDIRECT($F$8),6+(O43-1)*3)),SUM(VLOOKUP(B31,INDIRECT($F$8),6+(O43-1)*3),IF(W50,W43,0))))</f>
        <v>NA</v>
      </c>
      <c r="Q43" s="1" t="str">
        <f ca="1">IF(ISERROR(F31),"",VLOOKUP(B31,INDIRECT($F$8),7+(O43-1)*3))</f>
        <v>NA</v>
      </c>
      <c r="R43" s="1">
        <f ca="1">IF(ISERROR(F31),"",SUM(P43:Q43))</f>
        <v>0</v>
      </c>
      <c r="S43" s="1">
        <f ca="1">IF(ISERROR(F31),"",VLOOKUP(A31,INDIRECT($F$8),6+(O43-1)*3))</f>
        <v>30</v>
      </c>
      <c r="T43" s="1">
        <f ca="1">IF(ISERROR(F31),"",VLOOKUP(A31,INDIRECT($F$8),7+(O43-1)*3))</f>
        <v>20</v>
      </c>
      <c r="U43" s="1">
        <f ca="1">IF(ISERROR(F31),"",VLOOKUP(A31,INDIRECT($F$8),8+(O43-1)*3))</f>
        <v>50</v>
      </c>
      <c r="V43" s="1" t="str">
        <f ca="1">IF(ISERROR(F31),"",IF(N43=0,A43,""))</f>
        <v/>
      </c>
      <c r="W43" s="1">
        <f ca="1">IF(ISERROR(F31),"",IF(ISTEXT(VLOOKUP(B31,INDIRECT($F$8),6+(O43-1)*3)),11,IF(VLOOKUP(B31,INDIRECT($F$8),6+(O43-1)*3)&lt;S43*0.3,IF(VLOOKUP(B31,INDIRECT($F$8),8+(O43-1)*3)&lt;U43*0.4,IF(AND(0.4*U43-VLOOKUP(B31,INDIRECT($F$8),8+(O43-1)*3)&lt;=5,0.3*S43-VLOOKUP(B31,INDIRECT($F$8),6+(O43-1)*3)&lt;=5),MAX(0.4*U43-VLOOKUP(B31,INDIRECT($F$8),8+(O43-1)*3),0.3*S43-VLOOKUP(B31,INDIRECT($F$8),6+(O43-1)*3)),11),IF(0.3*S43-VLOOKUP(B31,INDIRECT($F$8),6+(O43-1)*3)&lt;=5,0.3*S43-VLOOKUP(B31,INDIRECT($F$8),6+(O43-1)*3),11)),IF(VLOOKUP(B31,INDIRECT($F$8),8+(O43-1)*3)&lt;U43*0.4,IF(U43*0.4-VLOOKUP(B31,INDIRECT($F$8),8+(O43-1)*3)&lt;=5,U43*0.4-VLOOKUP(B31,INDIRECT($F$8),8+(O43-1)*3),11),0))))</f>
        <v>11</v>
      </c>
      <c r="X43" s="1" t="str">
        <f ca="1">IF(ISERROR(F31),"",IF(W43=0,"",_xlfn.TEXTJOIN("",FALSE," G+",W43," in ",A43)))</f>
        <v xml:space="preserve"> G+11 in CAT 002</v>
      </c>
    </row>
    <row r="44" spans="1:24" ht="11.25" customHeight="1" x14ac:dyDescent="0.2">
      <c r="A44" s="7" t="str">
        <f ca="1">IF(ISERROR(F31),"",VLOOKUP(C31,INDIRECT($F$8),6+(O44-1)*3,0))</f>
        <v>CAT 003</v>
      </c>
      <c r="B44" s="41" t="str">
        <f ca="1">IF(ISERROR(F31),"",VLOOKUP(D31,INDIRECT($F$8),6+(O44-1)*3-Z44,0))</f>
        <v>Fundamental of Web Technology ($)</v>
      </c>
      <c r="C44" s="41"/>
      <c r="D44" s="41"/>
      <c r="E44" s="41"/>
      <c r="F44" s="7">
        <f ca="1">IF(ISERROR(F31),"",VLOOKUP(E31,INDIRECT($F$8),6+(O44-1)*3,0))</f>
        <v>0</v>
      </c>
      <c r="G44" s="42" t="str">
        <f ca="1">IF(ISERROR(F31),"",_xlfn.TEXTJOIN("/",FALSE,P44,S44))</f>
        <v>NA/30</v>
      </c>
      <c r="H44" s="42"/>
      <c r="I44" s="42" t="str">
        <f ca="1">IF(ISERROR(F31),"",_xlfn.TEXTJOIN("/",FALSE,Q44,T44))</f>
        <v>NA/20</v>
      </c>
      <c r="J44" s="42"/>
      <c r="K44" s="42" t="str">
        <f ca="1">IF(ISERROR(F31),"",_xlfn.TEXTJOIN("/",FALSE,R44,U44))</f>
        <v>0/50</v>
      </c>
      <c r="L44" s="42"/>
      <c r="M44" s="7" t="str">
        <f ca="1">IF(ISERROR(F31),"",IF(ISTEXT(P44),IF(P44="A","Ab",IF(P44="D","Dt",IF(P44="UFM","UFM",IF(P44="NA","-")))),IF(AND(ISBLANK(P44),ISBLANK(R44)),"",IF(P44&lt;0.3*S44,"F",IF(ISBLANK(R44),"",IF(ISTEXT(R44),R44,IF(R44&gt;=0.95*U44,"O",IF(R44&gt;=0.9*U44,"A+",IF(R44&gt;=0.85*U44,"A",IF(R44&gt;=0.8*U44,"B+",IF(R44&gt;=0.75*U44,"B",IF(R44&gt;=0.7*U44,"C+",IF(R44&gt;=0.65*U44,"C",IF(R44&gt;=0.6*U44,"D+",IF(R44&gt;=0.55*U44,"D",IF(R44&gt;=0.5*U44,"E+",IF(R44&gt;=0.45*U44,"E",IF(R44&gt;=0.4*U44,"P",IF(R44&lt;0.4*U44,"F",R44)))))))))))))))))))</f>
        <v>-</v>
      </c>
      <c r="N44" s="8" t="str">
        <f t="shared" ca="1" si="2"/>
        <v>-</v>
      </c>
      <c r="O44">
        <f t="shared" si="3"/>
        <v>9</v>
      </c>
      <c r="P44" s="1" t="str">
        <f ca="1">IF(ISERROR(F31),"",IF(ISTEXT(VLOOKUP(B31,INDIRECT($F$8),6+(O44-1)*3)),(VLOOKUP(B31,INDIRECT($F$8),6+(O44-1)*3)),SUM(VLOOKUP(B31,INDIRECT($F$8),6+(O44-1)*3),IF(W50,W44,0))))</f>
        <v>NA</v>
      </c>
      <c r="Q44" s="1" t="str">
        <f ca="1">IF(ISERROR(F31),"",VLOOKUP(B31,INDIRECT($F$8),7+(O44-1)*3))</f>
        <v>NA</v>
      </c>
      <c r="R44" s="1">
        <f ca="1">IF(ISERROR(F31),"",SUM(P44:Q44))</f>
        <v>0</v>
      </c>
      <c r="S44" s="1">
        <f ca="1">IF(ISERROR(F31),"",VLOOKUP(A31,INDIRECT($F$8),6+(O44-1)*3))</f>
        <v>30</v>
      </c>
      <c r="T44" s="1">
        <f ca="1">IF(ISERROR(F31),"",VLOOKUP(A31,INDIRECT($F$8),7+(O44-1)*3))</f>
        <v>20</v>
      </c>
      <c r="U44" s="1">
        <f ca="1">IF(ISERROR(F31),"",VLOOKUP(A31,INDIRECT($F$8),8+(O44-1)*3))</f>
        <v>50</v>
      </c>
      <c r="V44" s="1" t="str">
        <f ca="1">IF(ISERROR(F31),"",IF(N44=0,A44,""))</f>
        <v/>
      </c>
      <c r="W44" s="1">
        <f ca="1">IF(ISERROR(F31),"",IF(ISTEXT(VLOOKUP(B31,INDIRECT($F$8),6+(O44-1)*3)),11,IF(VLOOKUP(B31,INDIRECT($F$8),6+(O44-1)*3)&lt;S44*0.3,IF(VLOOKUP(B31,INDIRECT($F$8),8+(O44-1)*3)&lt;U44*0.4,IF(AND(0.4*U44-VLOOKUP(B31,INDIRECT($F$8),8+(O44-1)*3)&lt;=5,0.3*S44-VLOOKUP(B31,INDIRECT($F$8),6+(O44-1)*3)&lt;=5),MAX(0.4*U44-VLOOKUP(B31,INDIRECT($F$8),8+(O44-1)*3),0.3*S44-VLOOKUP(B31,INDIRECT($F$8),6+(O44-1)*3)),11),IF(0.3*S44-VLOOKUP(B31,INDIRECT($F$8),6+(O44-1)*3)&lt;=5,0.3*S44-VLOOKUP(B31,INDIRECT($F$8),6+(O44-1)*3),11)),IF(VLOOKUP(B31,INDIRECT($F$8),8+(O44-1)*3)&lt;U44*0.4,IF(U44*0.4-VLOOKUP(B31,INDIRECT($F$8),8+(O44-1)*3)&lt;=5,U44*0.4-VLOOKUP(B31,INDIRECT($F$8),8+(O44-1)*3),11),0))))</f>
        <v>11</v>
      </c>
      <c r="X44" s="1" t="str">
        <f ca="1">IF(ISERROR(F31),"",IF(W44=0,"",_xlfn.TEXTJOIN("",FALSE," G+",W44," in ",A44)))</f>
        <v xml:space="preserve"> G+11 in CAT 003</v>
      </c>
    </row>
    <row r="45" spans="1:24" ht="11.25" customHeight="1" x14ac:dyDescent="0.2">
      <c r="A45" s="7" t="str">
        <f ca="1">IF(ISERROR(F31),"",VLOOKUP(C31,INDIRECT($F$8),6+(O45-1)*3,0))</f>
        <v>CAP 001</v>
      </c>
      <c r="B45" s="41" t="str">
        <f ca="1">IF(ISERROR(F31),"",VLOOKUP(D31,INDIRECT($F$8),6+(O45-1)*3-Z45,0))</f>
        <v>Database Management System Lab</v>
      </c>
      <c r="C45" s="41"/>
      <c r="D45" s="41"/>
      <c r="E45" s="41"/>
      <c r="F45" s="7">
        <f ca="1">IF(ISERROR(F31),"",VLOOKUP(E31,INDIRECT($F$8),6+(O45-1)*3,0))</f>
        <v>1</v>
      </c>
      <c r="G45" s="42" t="str">
        <f ca="1">IF(ISERROR(F31),"",_xlfn.TEXTJOIN("/",FALSE,P45,S45))</f>
        <v>24/30</v>
      </c>
      <c r="H45" s="42"/>
      <c r="I45" s="42" t="str">
        <f ca="1">IF(ISERROR(F31),"",_xlfn.TEXTJOIN("/",FALSE,Q45,T45))</f>
        <v>14/20</v>
      </c>
      <c r="J45" s="42"/>
      <c r="K45" s="42" t="str">
        <f ca="1">IF(ISERROR(F31),"",_xlfn.TEXTJOIN("/",FALSE,R45,U45))</f>
        <v>38/50</v>
      </c>
      <c r="L45" s="42"/>
      <c r="M45" s="7" t="str">
        <f ca="1">IF(ISERROR(F31),"",IF(ISTEXT(P45),IF(P45="A","Ab",IF(P45="D","Dt",IF(P45="UFM","UFM",IF(P45="NA","-")))),IF(AND(ISBLANK(P45),ISBLANK(R45)),"",IF(P45&lt;0.3*S45,"F",IF(ISBLANK(R45),"",IF(ISTEXT(R45),R45,IF(R45&gt;=0.95*U45,"O",IF(R45&gt;=0.9*U45,"A+",IF(R45&gt;=0.85*U45,"A",IF(R45&gt;=0.8*U45,"B+",IF(R45&gt;=0.75*U45,"B",IF(R45&gt;=0.7*U45,"C+",IF(R45&gt;=0.65*U45,"C",IF(R45&gt;=0.6*U45,"D+",IF(R45&gt;=0.55*U45,"D",IF(R45&gt;=0.5*U45,"E+",IF(R45&gt;=0.45*U45,"E",IF(R45&gt;=0.4*U45,"P",IF(R45&lt;0.4*U45,"F",R45)))))))))))))))))))</f>
        <v>B</v>
      </c>
      <c r="N45" s="8">
        <f t="shared" ca="1" si="2"/>
        <v>8</v>
      </c>
      <c r="O45">
        <f t="shared" si="3"/>
        <v>10</v>
      </c>
      <c r="P45" s="1">
        <f ca="1">IF(ISERROR(F31),"",IF(ISTEXT(VLOOKUP(B31,INDIRECT($F$8),6+(O45-1)*3)),(VLOOKUP(B31,INDIRECT($F$8),6+(O45-1)*3)),SUM(VLOOKUP(B31,INDIRECT($F$8),6+(O45-1)*3),IF(W50,W45,0))))</f>
        <v>24</v>
      </c>
      <c r="Q45" s="1">
        <f ca="1">IF(ISERROR(F31),"",VLOOKUP(B31,INDIRECT($F$8),7+(O45-1)*3))</f>
        <v>14</v>
      </c>
      <c r="R45" s="1">
        <f ca="1">IF(ISERROR(F31),"",SUM(P45:Q45))</f>
        <v>38</v>
      </c>
      <c r="S45" s="1">
        <f ca="1">IF(ISERROR(F31),"",VLOOKUP(A31,INDIRECT($F$8),6+(O45-1)*3))</f>
        <v>30</v>
      </c>
      <c r="T45" s="1">
        <f ca="1">IF(ISERROR(F31),"",VLOOKUP(A31,INDIRECT($F$8),7+(O45-1)*3))</f>
        <v>20</v>
      </c>
      <c r="U45" s="1">
        <f ca="1">IF(ISERROR(F31),"",VLOOKUP(A31,INDIRECT($F$8),8+(O45-1)*3))</f>
        <v>50</v>
      </c>
      <c r="V45" s="1" t="str">
        <f ca="1">IF(ISERROR(F31),"",IF(N45=0,A45,""))</f>
        <v/>
      </c>
      <c r="W45" s="1">
        <f ca="1">IF(ISERROR(F31),"",IF(ISTEXT(VLOOKUP(B31,INDIRECT($F$8),6+(O45-1)*3)),11,IF(VLOOKUP(B31,INDIRECT($F$8),6+(O45-1)*3)&lt;S45*0.3,IF(VLOOKUP(B31,INDIRECT($F$8),8+(O45-1)*3)&lt;U45*0.4,IF(AND(0.4*U45-VLOOKUP(B31,INDIRECT($F$8),8+(O45-1)*3)&lt;=5,0.3*S45-VLOOKUP(B31,INDIRECT($F$8),6+(O45-1)*3)&lt;=5),MAX(0.4*U45-VLOOKUP(B31,INDIRECT($F$8),8+(O45-1)*3),0.3*S45-VLOOKUP(B31,INDIRECT($F$8),6+(O45-1)*3)),11),IF(0.3*S45-VLOOKUP(B31,INDIRECT($F$8),6+(O45-1)*3)&lt;=5,0.3*S45-VLOOKUP(B31,INDIRECT($F$8),6+(O45-1)*3),11)),IF(VLOOKUP(B31,INDIRECT($F$8),8+(O45-1)*3)&lt;U45*0.4,IF(U45*0.4-VLOOKUP(B31,INDIRECT($F$8),8+(O45-1)*3)&lt;=5,U45*0.4-VLOOKUP(B31,INDIRECT($F$8),8+(O45-1)*3),11),0))))</f>
        <v>0</v>
      </c>
      <c r="X45" s="1" t="str">
        <f ca="1">IF(ISERROR(F31),"",IF(W45=0,"",_xlfn.TEXTJOIN("",FALSE," G+",W45," in ",A45)))</f>
        <v/>
      </c>
    </row>
    <row r="46" spans="1:24" ht="11.25" customHeight="1" x14ac:dyDescent="0.2">
      <c r="A46" s="7" t="str">
        <f ca="1">IF(ISERROR(F31),"",VLOOKUP(C31,INDIRECT($F$8),6+(O46-1)*3,0))</f>
        <v>CAP 002</v>
      </c>
      <c r="B46" s="41" t="str">
        <f ca="1">IF(ISERROR(F31),"",VLOOKUP(D31,INDIRECT($F$8),6+(O46-1)*3,0))</f>
        <v>Operating System Lab</v>
      </c>
      <c r="C46" s="41"/>
      <c r="D46" s="41"/>
      <c r="E46" s="41"/>
      <c r="F46" s="7">
        <f ca="1">IF(ISERROR(F31),"",VLOOKUP(E31,INDIRECT($F$8),6+(O46-1)*3,0))</f>
        <v>1</v>
      </c>
      <c r="G46" s="42" t="str">
        <f ca="1">IF(ISERROR(F31),"",_xlfn.TEXTJOIN("/",FALSE,P46,S46))</f>
        <v>27/30</v>
      </c>
      <c r="H46" s="42"/>
      <c r="I46" s="42" t="str">
        <f ca="1">IF(ISERROR(F31),"",_xlfn.TEXTJOIN("/",FALSE,Q46,T46))</f>
        <v>18/20</v>
      </c>
      <c r="J46" s="42"/>
      <c r="K46" s="42" t="str">
        <f ca="1">IF(ISERROR(F31),"",_xlfn.TEXTJOIN("/",FALSE,R46,U46))</f>
        <v>45/50</v>
      </c>
      <c r="L46" s="42"/>
      <c r="M46" s="7" t="str">
        <f ca="1">IF(ISERROR(F31),"",IF(ISTEXT(P46),IF(P46="A","Ab",IF(P46="D","Dt",IF(P46="UFM","UFM",IF(P46="NA","-")))),IF(AND(ISBLANK(P46),ISBLANK(R46)),"",IF(P46&lt;0.3*S46,"F",IF(ISBLANK(R46),"",IF(ISTEXT(R46),R46,IF(R46&gt;=0.95*U46,"O",IF(R46&gt;=0.9*U46,"A+",IF(R46&gt;=0.85*U46,"A",IF(R46&gt;=0.8*U46,"B+",IF(R46&gt;=0.75*U46,"B",IF(R46&gt;=0.7*U46,"C+",IF(R46&gt;=0.65*U46,"C",IF(R46&gt;=0.6*U46,"D+",IF(R46&gt;=0.55*U46,"D",IF(R46&gt;=0.5*U46,"E+",IF(R46&gt;=0.45*U46,"E",IF(R46&gt;=0.4*U46,"P",IF(R46&lt;0.4*U46,"F",R46)))))))))))))))))))</f>
        <v>A+</v>
      </c>
      <c r="N46" s="8">
        <f t="shared" ca="1" si="2"/>
        <v>9.5</v>
      </c>
      <c r="O46">
        <f t="shared" si="3"/>
        <v>11</v>
      </c>
      <c r="P46" s="1">
        <f ca="1">IF(ISERROR(F31),"",IF(ISTEXT(VLOOKUP(B31,INDIRECT($F$8),6+(O46-1)*3)),(VLOOKUP(B31,INDIRECT($F$8),6+(O46-1)*3)),SUM(VLOOKUP(B31,INDIRECT($F$8),6+(O46-1)*3),IF(W50,W46,0))))</f>
        <v>27</v>
      </c>
      <c r="Q46" s="1">
        <f ca="1">IF(ISERROR(F31),"",VLOOKUP(B31,INDIRECT($F$8),7+(O46-1)*3))</f>
        <v>18</v>
      </c>
      <c r="R46" s="1">
        <f ca="1">IF(ISERROR(F31),"",SUM(P46:Q46))</f>
        <v>45</v>
      </c>
      <c r="S46" s="1">
        <f ca="1">IF(ISERROR(F31),"",VLOOKUP(A31,INDIRECT($F$8),6+(O46-1)*3))</f>
        <v>30</v>
      </c>
      <c r="T46" s="1">
        <f ca="1">IF(ISERROR(F31),"",VLOOKUP(A31,INDIRECT($F$8),7+(O46-1)*3))</f>
        <v>20</v>
      </c>
      <c r="U46" s="1">
        <f ca="1">IF(ISERROR(F31),"",VLOOKUP(A31,INDIRECT($F$8),8+(O46-1)*3))</f>
        <v>50</v>
      </c>
      <c r="V46" s="1" t="str">
        <f ca="1">IF(ISERROR(F31),"",IF(N46=0,A46,""))</f>
        <v/>
      </c>
      <c r="W46" s="1">
        <f ca="1">IF(ISERROR(F31),"",IF(ISTEXT(VLOOKUP(B31,INDIRECT($F$8),6+(O46-1)*3)),11,IF(VLOOKUP(B31,INDIRECT($F$8),6+(O46-1)*3)&lt;S46*0.3,IF(VLOOKUP(B31,INDIRECT($F$8),8+(O46-1)*3)&lt;U46*0.4,IF(AND(0.4*U46-VLOOKUP(B31,INDIRECT($F$8),8+(O46-1)*3)&lt;=5,0.3*S46-VLOOKUP(B31,INDIRECT($F$8),6+(O46-1)*3)&lt;=5),MAX(0.4*U46-VLOOKUP(B31,INDIRECT($F$8),8+(O46-1)*3),0.3*S46-VLOOKUP(B31,INDIRECT($F$8),6+(O46-1)*3)),11),IF(0.3*S46-VLOOKUP(B31,INDIRECT($F$8),6+(O46-1)*3)&lt;=5,0.3*S46-VLOOKUP(B31,INDIRECT($F$8),6+(O46-1)*3),11)),IF(VLOOKUP(B31,INDIRECT($F$8),8+(O46-1)*3)&lt;U46*0.4,IF(U46*0.4-VLOOKUP(B31,INDIRECT($F$8),8+(O46-1)*3)&lt;=5,U46*0.4-VLOOKUP(B31,INDIRECT($F$8),8+(O46-1)*3),11),0))))</f>
        <v>0</v>
      </c>
      <c r="X46" s="1" t="str">
        <f ca="1">IF(ISERROR(F31),"",IF(W46=0,"",_xlfn.TEXTJOIN("",FALSE," G+",W46," in ",A46)))</f>
        <v/>
      </c>
    </row>
    <row r="47" spans="1:24" ht="11.25" customHeight="1" x14ac:dyDescent="0.2">
      <c r="A47" s="7" t="str">
        <f ca="1">IF(ISERROR(F31),"",VLOOKUP(C31,INDIRECT($F$8),6+(O47-1)*3,0))</f>
        <v>CAP 003</v>
      </c>
      <c r="B47" s="41" t="str">
        <f ca="1">IF(ISERROR(F31),"",VLOOKUP(D31,INDIRECT($F$8),6+(O47-1)*3,0))</f>
        <v>Computer Organization Lab</v>
      </c>
      <c r="C47" s="41"/>
      <c r="D47" s="41"/>
      <c r="E47" s="41"/>
      <c r="F47" s="7">
        <f ca="1">IF(ISERROR(F31),"",VLOOKUP(E31,INDIRECT($F$8),6+(O47-1)*3,0))</f>
        <v>1</v>
      </c>
      <c r="G47" s="42" t="str">
        <f ca="1">IF(ISERROR(F31),"",_xlfn.TEXTJOIN("/",FALSE,P47,S47))</f>
        <v>27/30</v>
      </c>
      <c r="H47" s="42"/>
      <c r="I47" s="42" t="str">
        <f ca="1">IF(ISERROR(F31),"",_xlfn.TEXTJOIN("/",FALSE,Q47,T47))</f>
        <v>18/20</v>
      </c>
      <c r="J47" s="42"/>
      <c r="K47" s="42" t="str">
        <f ca="1">IF(ISERROR(F31),"",_xlfn.TEXTJOIN("/",FALSE,R47,U47))</f>
        <v>45/50</v>
      </c>
      <c r="L47" s="42"/>
      <c r="M47" s="7" t="str">
        <f ca="1">IF(ISERROR(F31),"",IF(ISTEXT(P47),IF(P47="A","Ab",IF(P47="D","Dt",IF(P47="UFM","UFM",IF(P47="NA","-")))),IF(AND(ISBLANK(P47),ISBLANK(R47)),"",IF(P47&lt;0.3*S47,"F",IF(ISBLANK(R47),"",IF(ISTEXT(R47),R47,IF(R47&gt;=0.95*U47,"O",IF(R47&gt;=0.9*U47,"A+",IF(R47&gt;=0.85*U47,"A",IF(R47&gt;=0.8*U47,"B+",IF(R47&gt;=0.75*U47,"B",IF(R47&gt;=0.7*U47,"C+",IF(R47&gt;=0.65*U47,"C",IF(R47&gt;=0.6*U47,"D+",IF(R47&gt;=0.55*U47,"D",IF(R47&gt;=0.5*U47,"E+",IF(R47&gt;=0.45*U47,"E",IF(R47&gt;=0.4*U47,"P",IF(R47&lt;0.4*U47,"F",R47)))))))))))))))))))</f>
        <v>A+</v>
      </c>
      <c r="N47" s="8">
        <f t="shared" ca="1" si="2"/>
        <v>9.5</v>
      </c>
      <c r="O47">
        <f t="shared" si="3"/>
        <v>12</v>
      </c>
      <c r="P47" s="1">
        <f ca="1">IF(ISERROR(F31),"",IF(ISTEXT(VLOOKUP(B31,INDIRECT($F$8),6+(O47-1)*3)),(VLOOKUP(B31,INDIRECT($F$8),6+(O47-1)*3)),SUM(VLOOKUP(B31,INDIRECT($F$8),6+(O47-1)*3),IF(W50,W47,0))))</f>
        <v>27</v>
      </c>
      <c r="Q47" s="1">
        <f ca="1">IF(ISERROR(F31),"",VLOOKUP(B31,INDIRECT($F$8),7+(O47-1)*3))</f>
        <v>18</v>
      </c>
      <c r="R47" s="1">
        <f ca="1">IF(ISERROR(F31),"",SUM(P47:Q47))</f>
        <v>45</v>
      </c>
      <c r="S47" s="1">
        <f ca="1">IF(ISERROR(F31),"",VLOOKUP(A31,INDIRECT($F$8),6+(O47-1)*3))</f>
        <v>30</v>
      </c>
      <c r="T47" s="1">
        <f ca="1">IF(ISERROR(F31),"",VLOOKUP(A31,INDIRECT($F$8),7+(O47-1)*3))</f>
        <v>20</v>
      </c>
      <c r="U47" s="1">
        <f ca="1">IF(ISERROR(F31),"",VLOOKUP(A31,INDIRECT($F$8),8+(O47-1)*3))</f>
        <v>50</v>
      </c>
      <c r="V47" s="1" t="str">
        <f ca="1">IF(ISERROR(F31),"",IF(N47=0,A47,""))</f>
        <v/>
      </c>
      <c r="W47" s="1">
        <f ca="1">IF(ISERROR(F31),"",IF(ISTEXT(VLOOKUP(B31,INDIRECT($F$8),6+(O47-1)*3)),11,IF(VLOOKUP(B31,INDIRECT($F$8),6+(O47-1)*3)&lt;S47*0.3,IF(VLOOKUP(B31,INDIRECT($F$8),8+(O47-1)*3)&lt;U47*0.4,IF(AND(0.4*U47-VLOOKUP(B31,INDIRECT($F$8),8+(O47-1)*3)&lt;=5,0.3*S47-VLOOKUP(B31,INDIRECT($F$8),6+(O47-1)*3)&lt;=5),MAX(0.4*U47-VLOOKUP(B31,INDIRECT($F$8),8+(O47-1)*3),0.3*S47-VLOOKUP(B31,INDIRECT($F$8),6+(O47-1)*3)),11),IF(0.3*S47-VLOOKUP(B31,INDIRECT($F$8),6+(O47-1)*3)&lt;=5,0.3*S47-VLOOKUP(B31,INDIRECT($F$8),6+(O47-1)*3),11)),IF(VLOOKUP(B31,INDIRECT($F$8),8+(O47-1)*3)&lt;U47*0.4,IF(U47*0.4-VLOOKUP(B31,INDIRECT($F$8),8+(O47-1)*3)&lt;=5,U47*0.4-VLOOKUP(B31,INDIRECT($F$8),8+(O47-1)*3),11),0))))</f>
        <v>0</v>
      </c>
      <c r="X47" s="1" t="str">
        <f ca="1">IF(ISERROR(F31),"",IF(W47=0,"",_xlfn.TEXTJOIN("",FALSE," G+",W47," in ",A47)))</f>
        <v/>
      </c>
    </row>
    <row r="48" spans="1:24" ht="11.25" customHeight="1" x14ac:dyDescent="0.2">
      <c r="A48" s="7" t="str">
        <f ca="1">IF(ISERROR(F31),"",VLOOKUP(C31,INDIRECT($F$8),6+(O48-1)*3,0))</f>
        <v>AHP 303</v>
      </c>
      <c r="B48" s="41" t="str">
        <f ca="1">IF(ISERROR(F31),"",VLOOKUP(D31,INDIRECT($F$8),6+(O48-1)*3,0))</f>
        <v>Technical Communication Skills</v>
      </c>
      <c r="C48" s="41"/>
      <c r="D48" s="41"/>
      <c r="E48" s="41"/>
      <c r="F48" s="7">
        <f ca="1">IF(ISERROR(F31),"",VLOOKUP(E31,INDIRECT($F$8),6+(O48-1)*3,0))</f>
        <v>1</v>
      </c>
      <c r="G48" s="42" t="str">
        <f ca="1">IF(ISERROR(F31),"",_xlfn.TEXTJOIN("/",FALSE,P48,S48))</f>
        <v>23/30</v>
      </c>
      <c r="H48" s="42"/>
      <c r="I48" s="42" t="str">
        <f ca="1">IF(ISERROR(F31),"",_xlfn.TEXTJOIN("/",FALSE,Q48,T48))</f>
        <v>17/20</v>
      </c>
      <c r="J48" s="42"/>
      <c r="K48" s="42" t="str">
        <f ca="1">IF(ISERROR(F31),"",_xlfn.TEXTJOIN("/",FALSE,R48,U48))</f>
        <v>40/50</v>
      </c>
      <c r="L48" s="42"/>
      <c r="M48" s="7" t="str">
        <f ca="1">IF(ISERROR(F31),"",IF(ISTEXT(P48),IF(P48="A","Ab",IF(P48="D","Dt",IF(P48="UFM","UFM",IF(P48="NA","-")))),IF(AND(ISBLANK(P48),ISBLANK(R48)),"",IF(P48&lt;0.3*S48,"F",IF(ISBLANK(R48),"",IF(ISTEXT(R48),R48,IF(R48&gt;=0.95*U48,"O",IF(R48&gt;=0.9*U48,"A+",IF(R48&gt;=0.85*U48,"A",IF(R48&gt;=0.8*U48,"B+",IF(R48&gt;=0.75*U48,"B",IF(R48&gt;=0.7*U48,"C+",IF(R48&gt;=0.65*U48,"C",IF(R48&gt;=0.6*U48,"D+",IF(R48&gt;=0.55*U48,"D",IF(R48&gt;=0.5*U48,"E+",IF(R48&gt;=0.45*U48,"E",IF(R48&gt;=0.4*U48,"P",IF(R48&lt;0.4*U48,"F",R48)))))))))))))))))))</f>
        <v>B+</v>
      </c>
      <c r="N48" s="8">
        <f t="shared" ca="1" si="2"/>
        <v>8.5</v>
      </c>
      <c r="O48">
        <f t="shared" si="3"/>
        <v>13</v>
      </c>
      <c r="P48" s="1">
        <f ca="1">IF(ISERROR(F31),"",IF(ISTEXT(VLOOKUP(B31,INDIRECT($F$8),6+(O48-1)*3)),(VLOOKUP(B31,INDIRECT($F$8),6+(O48-1)*3)),SUM(VLOOKUP(B31,INDIRECT($F$8),6+(O48-1)*3),IF(W50,W48,0))))</f>
        <v>23</v>
      </c>
      <c r="Q48" s="1">
        <f ca="1">IF(ISERROR(F31),"",VLOOKUP(B31,INDIRECT($F$8),7+(O48-1)*3))</f>
        <v>17</v>
      </c>
      <c r="R48" s="1">
        <f ca="1">IF(ISERROR(F31),"",SUM(P48:Q48))</f>
        <v>40</v>
      </c>
      <c r="S48" s="1">
        <f ca="1">IF(ISERROR(F31),"",VLOOKUP(A31,INDIRECT($F$8),6+(O48-1)*3))</f>
        <v>30</v>
      </c>
      <c r="T48" s="1">
        <f ca="1">IF(ISERROR(F31),"",VLOOKUP(A31,INDIRECT($F$8),7+(O48-1)*3))</f>
        <v>20</v>
      </c>
      <c r="U48" s="1">
        <f ca="1">IF(ISERROR(F31),"",VLOOKUP(A31,INDIRECT($F$8),8+(O48-1)*3))</f>
        <v>50</v>
      </c>
      <c r="V48" s="1"/>
      <c r="W48" s="1">
        <f ca="1">IF(ISERROR(F31),"",IF(ISTEXT(VLOOKUP(B31,INDIRECT($F$8),6+(O48-1)*3)),11,IF(VLOOKUP(B31,INDIRECT($F$8),6+(O48-1)*3)&lt;S48*0.3,IF(VLOOKUP(B31,INDIRECT($F$8),8+(O48-1)*3)&lt;U48*0.4,IF(AND(0.4*U48-VLOOKUP(B31,INDIRECT($F$8),8+(O48-1)*3)&lt;=5,0.3*S48-VLOOKUP(B31,INDIRECT($F$8),6+(O48-1)*3)&lt;=5),MAX(0.4*U48-VLOOKUP(B31,INDIRECT($F$8),8+(O48-1)*3),0.3*S48-VLOOKUP(B31,INDIRECT($F$8),6+(O48-1)*3)),11),IF(0.3*S48-VLOOKUP(B31,INDIRECT($F$8),6+(O48-1)*3)&lt;=5,0.3*S48-VLOOKUP(B31,INDIRECT($F$8),6+(O48-1)*3),11)),IF(VLOOKUP(B31,INDIRECT($F$8),8+(O48-1)*3)&lt;U48*0.4,IF(U48*0.4-VLOOKUP(B31,INDIRECT($F$8),8+(O48-1)*3)&lt;=5,U48*0.4-VLOOKUP(B31,INDIRECT($F$8),8+(O48-1)*3),11),0))))</f>
        <v>0</v>
      </c>
      <c r="X48" s="1" t="str">
        <f ca="1">IF(ISERROR(F31),"",IF(W48=0,"",_xlfn.TEXTJOIN("",FALSE," G+",W48," in ",A48)))</f>
        <v/>
      </c>
    </row>
    <row r="49" spans="1:24" s="32" customFormat="1" ht="11.25" customHeight="1" x14ac:dyDescent="0.2">
      <c r="A49" s="31">
        <f ca="1">IF(ISERROR(F31),"",VLOOKUP(C31,INDIRECT($F$8),6+(O49-1)*3-Y49,0))</f>
        <v>0</v>
      </c>
      <c r="B49" s="49">
        <f ca="1">IF(ISERROR(F31),"",VLOOKUP(D31,INDIRECT($F$8),6+(O49-1)*3-Z49,0))</f>
        <v>0</v>
      </c>
      <c r="C49" s="49"/>
      <c r="D49" s="49"/>
      <c r="E49" s="49"/>
      <c r="F49" s="31">
        <f ca="1">IF(ISERROR(F31),"",VLOOKUP(E31,INDIRECT($F$8),6+(O49-1)*3-AA49,0))</f>
        <v>0</v>
      </c>
      <c r="G49" s="50" t="str">
        <f ca="1">IF(ISERROR(F31),"","-")</f>
        <v>-</v>
      </c>
      <c r="H49" s="50"/>
      <c r="I49" s="50" t="str">
        <f ca="1">IF(ISERROR(F31),"",_xlfn.TEXTJOIN("/",FALSE,Q49,T49))</f>
        <v>0/0</v>
      </c>
      <c r="J49" s="50"/>
      <c r="K49" s="50" t="str">
        <f ca="1">IF(ISERROR(F31),"",_xlfn.TEXTJOIN("/",FALSE,R49,U49))</f>
        <v>0/0</v>
      </c>
      <c r="L49" s="50"/>
      <c r="M49" s="50" t="str">
        <f ca="1">IF(ISBLANK(R49),"",IF(ISTEXT(R49),R49,IF(R49&gt;=0.8*U49,"Excellent",IF(R49&gt;=0.6*U49,"Very Good",IF(R49&gt;=0.4*U49,"Good",IF(R49&gt;=0.2*U49,"Satisfactory","Average"))))))</f>
        <v>Excellent</v>
      </c>
      <c r="N49" s="50"/>
      <c r="O49" s="32">
        <f t="shared" si="3"/>
        <v>14</v>
      </c>
      <c r="P49" s="33">
        <f ca="1">IF(ISERROR(F31),"",IF(ISTEXT(VLOOKUP(B\28,INDIRECT($F$8),6+(O49-1)*3)),(VLOOKUP(B31,INDIRECT($F$8),6+(O49-1)*3)),SUM(VLOOKUP(B31,INDIRECT($F$8),6+(O49-1)*3),IF(W50,W49,0))))</f>
        <v>0</v>
      </c>
      <c r="Q49" s="33">
        <f ca="1">IF(ISERROR(F31),"",VLOOKUP(B31,INDIRECT($F$8),7+(O49-1)*3))</f>
        <v>0</v>
      </c>
      <c r="R49" s="33">
        <f ca="1">IF(ISERROR(F31),"",SUM(P49:Q49))</f>
        <v>0</v>
      </c>
      <c r="S49" s="33">
        <f ca="1">IF(ISERROR(F31),"",VLOOKUP(A31,INDIRECT($F$8),6+(O49-1)*3))</f>
        <v>0</v>
      </c>
      <c r="T49" s="33">
        <f ca="1">IF(ISERROR(F31),"",VLOOKUP(A31,INDIRECT($F$8),7+(O49-1)*3))</f>
        <v>0</v>
      </c>
      <c r="U49" s="33">
        <f ca="1">IF(ISERROR(F31),"",VLOOKUP(A31,INDIRECT($F$8),8+(O49-1)*3))</f>
        <v>0</v>
      </c>
      <c r="V49" s="33"/>
      <c r="W49" s="33"/>
      <c r="X49" s="33" t="str">
        <f ca="1">IF(ISERROR(F31),"",IF(W49=0,"",_xlfn.TEXTJOIN("",FALSE," G+",W49," in ",A49)))</f>
        <v/>
      </c>
    </row>
    <row r="50" spans="1:24" ht="11.25" customHeight="1" x14ac:dyDescent="0.2">
      <c r="A50" s="43" t="str">
        <f ca="1">IF(ISERROR(F31),"",A27)</f>
        <v>Total Credits/ Marks/ Total Grade Points</v>
      </c>
      <c r="B50" s="43"/>
      <c r="C50" s="43"/>
      <c r="D50" s="43"/>
      <c r="E50" s="43"/>
      <c r="F50" s="10">
        <f ca="1">IF(ISERROR(F31),"",SUM(F36:F49))</f>
        <v>24</v>
      </c>
      <c r="G50" s="44" t="str">
        <f ca="1">IF(ISERROR(F31),"",_xlfn.TEXTJOIN("/",TRUE,SUMIF(F36:F49,"&gt;0",P36:P49),SUMIF(F36:F49,"&gt;0",S36:S49)))</f>
        <v>385/620</v>
      </c>
      <c r="H50" s="44"/>
      <c r="I50" s="44" t="str">
        <f ca="1">IF(ISERROR(F31),"",_xlfn.TEXTJOIN("/",TRUE,SUMIF(F36:F49,"&gt;0",Q36:Q49),SUMIF(F36:F49,"&gt;0",T36:T49)))</f>
        <v>260/330</v>
      </c>
      <c r="J50" s="44"/>
      <c r="K50" s="44" t="str">
        <f ca="1">IF(ISERROR(F31),"",_xlfn.TEXTJOIN("/",TRUE,SUMIF(F36:F49,"&gt;0",R36:R49),SUMIF(F36:F49,"&gt;0",U36:U49)))</f>
        <v>645/950</v>
      </c>
      <c r="L50" s="44"/>
      <c r="M50" s="43">
        <f ca="1">IF(ISERROR(F31),"",SUMPRODUCT(N36:N48,F36:F48))</f>
        <v>167.5</v>
      </c>
      <c r="N50" s="43"/>
      <c r="V50" s="1" t="str">
        <f ca="1">IF(ISERROR(F31),"",_xlfn.TEXTJOIN(", ",TRUE,V36:V49))</f>
        <v/>
      </c>
      <c r="W50" t="b">
        <f ca="1">IF(ISERROR(F31),"",IF(SUM(W36:W49)&lt;=W35,TRUE,FALSE))</f>
        <v>0</v>
      </c>
      <c r="X50" s="1" t="str">
        <f ca="1">_xlfn.TEXTJOIN(",",TRUE,X36:X49)</f>
        <v xml:space="preserve"> G+11 in CAT 001, G+11 in CAT 002, G+11 in CAT 003</v>
      </c>
    </row>
    <row r="51" spans="1:24" ht="11.25" customHeight="1" x14ac:dyDescent="0.2">
      <c r="A51" s="43" t="str">
        <f ca="1">IF(ISERROR(F31),"",A28)</f>
        <v>Result:</v>
      </c>
      <c r="B51" s="45" t="str">
        <f ca="1">IF(ISERROR(F31),"",IF(V50="","PASS","CARRY OVER"))</f>
        <v>PASS</v>
      </c>
      <c r="C51" s="45"/>
      <c r="D51" s="43" t="str">
        <f ca="1">IF(ISERROR(F31),"",D28)</f>
        <v>Remark:</v>
      </c>
      <c r="E51" s="45" t="str">
        <f ca="1">IF(ISERROR(F31),"",IF(W50,X50,IF(V50="","",_xlfn.TEXTJOIN("",TRUE,"BACK IN ",V50))))</f>
        <v/>
      </c>
      <c r="F51" s="45"/>
      <c r="G51" s="43" t="str">
        <f ca="1">IF(ISERROR(F31),"",G28)</f>
        <v>SGPA:</v>
      </c>
      <c r="H51" s="46">
        <f ca="1">IF(ISERROR(F31),"",M50/F50)</f>
        <v>6.979166666666667</v>
      </c>
      <c r="I51" s="43" t="str">
        <f ca="1">IF(ISERROR(F31),"",I28)</f>
        <v>CGPA:</v>
      </c>
      <c r="J51" s="46">
        <f ca="1">IF(ISERROR(F31),"",VLOOKUP(B31,INDIRECT($F$8),12+(O49-1)*3,0))</f>
        <v>6.979166666666667</v>
      </c>
      <c r="K51" s="45" t="str">
        <f ca="1">IF(ISERROR(F31),"",K28)</f>
        <v>Earned Credits:</v>
      </c>
      <c r="L51" s="43">
        <f ca="1">IF(ISERROR(F31),"",SUMIF(N36:N48,"&gt;0",F36:F48))</f>
        <v>24</v>
      </c>
      <c r="M51" s="45" t="str">
        <f ca="1">IF(ISERROR(F31),"",M28)</f>
        <v>Cuml. Earned Credits:</v>
      </c>
      <c r="N51" s="43">
        <f ca="1">IF(ISERROR(F31),"",VLOOKUP(B31,INDIRECT($F$8),10+(O49-1)*3,0))</f>
        <v>24</v>
      </c>
    </row>
    <row r="52" spans="1:24" ht="11.25" customHeight="1" x14ac:dyDescent="0.2">
      <c r="A52" s="43"/>
      <c r="B52" s="45"/>
      <c r="C52" s="45"/>
      <c r="D52" s="43"/>
      <c r="E52" s="45"/>
      <c r="F52" s="45"/>
      <c r="G52" s="43"/>
      <c r="H52" s="46"/>
      <c r="I52" s="43"/>
      <c r="J52" s="46"/>
      <c r="K52" s="45"/>
      <c r="L52" s="43"/>
      <c r="M52" s="45"/>
      <c r="N52" s="43"/>
    </row>
    <row r="53" spans="1:24" ht="15" x14ac:dyDescent="0.2">
      <c r="A53" s="43"/>
      <c r="B53" s="45"/>
      <c r="C53" s="45"/>
      <c r="D53" s="43"/>
      <c r="E53" s="45"/>
      <c r="F53" s="45"/>
      <c r="G53" s="43"/>
      <c r="H53" s="46"/>
      <c r="I53" s="43"/>
      <c r="J53" s="46"/>
      <c r="K53" s="45"/>
      <c r="L53" s="43"/>
      <c r="M53" s="45"/>
      <c r="N53" s="43"/>
    </row>
    <row r="54" spans="1:24" ht="11.25" customHeight="1" x14ac:dyDescent="0.2">
      <c r="A54" s="11" t="str">
        <f>A31</f>
        <v>MM</v>
      </c>
      <c r="B54" s="11">
        <f>B31+1</f>
        <v>3</v>
      </c>
      <c r="C54" s="11" t="str">
        <f>C31</f>
        <v>SC</v>
      </c>
      <c r="D54" s="11" t="str">
        <f>D31</f>
        <v>SN</v>
      </c>
      <c r="E54" s="11" t="str">
        <f>E31</f>
        <v>C</v>
      </c>
      <c r="F54" s="11" t="str">
        <f ca="1">VLOOKUP(B54,INDIRECT($F$8),4,0)</f>
        <v>ASHOK CHANDRA UPRETI</v>
      </c>
    </row>
    <row r="55" spans="1:24" ht="11.25" customHeight="1" x14ac:dyDescent="0.2">
      <c r="A55" s="47" t="str">
        <f ca="1">IF(ISERROR(F54),"",A32)</f>
        <v>Name:</v>
      </c>
      <c r="B55" s="47" t="str">
        <f ca="1">IFERROR(VLOOKUP(B54,INDIRECT($F$8),4,0),"")</f>
        <v>ASHOK CHANDRA UPRETI</v>
      </c>
      <c r="C55" s="47"/>
      <c r="D55" s="47" t="str">
        <f ca="1">IF(ISERROR(F54),"",D32)</f>
        <v>Father's Name:</v>
      </c>
      <c r="E55" s="47" t="str">
        <f ca="1">IFERROR(VLOOKUP(B54,INDIRECT($F$8),5,0),"")</f>
        <v>LALITA PRASAD UPRETI</v>
      </c>
      <c r="F55" s="47"/>
      <c r="G55" s="47" t="str">
        <f ca="1">IF(ISERROR(F54),"",G32)</f>
        <v>University Roll No:</v>
      </c>
      <c r="H55" s="47"/>
      <c r="I55" s="48">
        <f ca="1">IFERROR(VLOOKUP(B54,INDIRECT($F$8),2,0),"")</f>
        <v>250090600003</v>
      </c>
      <c r="J55" s="48"/>
      <c r="K55" s="47" t="str">
        <f ca="1">IF(ISERROR(F54),"",K32)</f>
        <v>University Enrol. No:</v>
      </c>
      <c r="L55" s="47"/>
      <c r="M55" s="48" t="str">
        <f ca="1">IFERROR(VLOOKUP(B54,INDIRECT($F$8),3,0),"")</f>
        <v>UTU/2506100120</v>
      </c>
      <c r="N55" s="48"/>
    </row>
    <row r="56" spans="1:24" ht="15" x14ac:dyDescent="0.2">
      <c r="A56" s="47"/>
      <c r="B56" s="47"/>
      <c r="C56" s="47"/>
      <c r="D56" s="47"/>
      <c r="E56" s="47"/>
      <c r="F56" s="47"/>
      <c r="G56" s="47"/>
      <c r="H56" s="47"/>
      <c r="I56" s="48"/>
      <c r="J56" s="48"/>
      <c r="K56" s="47"/>
      <c r="L56" s="47"/>
      <c r="M56" s="48"/>
      <c r="N56" s="48"/>
    </row>
    <row r="57" spans="1:24" ht="11.25" customHeight="1" x14ac:dyDescent="0.2">
      <c r="A57" s="45" t="str">
        <f ca="1">IF(ISERROR(F54),"",A34)</f>
        <v>Subject Code</v>
      </c>
      <c r="B57" s="45" t="str">
        <f ca="1">IF(ISERROR(F54),"",B34)</f>
        <v>Subject Name</v>
      </c>
      <c r="C57" s="45"/>
      <c r="D57" s="45"/>
      <c r="E57" s="45"/>
      <c r="F57" s="45" t="str">
        <f ca="1">IF(ISERROR(F54),"",F34)</f>
        <v>Credits</v>
      </c>
      <c r="G57" s="45" t="str">
        <f ca="1">IF(ISERROR(F54),"",G34)</f>
        <v>External Marks</v>
      </c>
      <c r="H57" s="45"/>
      <c r="I57" s="45" t="str">
        <f ca="1">IF(ISERROR(F54),"",I34)</f>
        <v>Sessional Marks</v>
      </c>
      <c r="J57" s="45"/>
      <c r="K57" s="45" t="str">
        <f ca="1">IF(ISERROR(F54),"",K34)</f>
        <v>Total Marks</v>
      </c>
      <c r="L57" s="45"/>
      <c r="M57" s="45" t="str">
        <f ca="1">IF(ISERROR(F54),"",M34)</f>
        <v>Grade</v>
      </c>
      <c r="N57" s="45" t="str">
        <f ca="1">IF(ISERROR(F54),"",N34)</f>
        <v>Grade Points</v>
      </c>
    </row>
    <row r="58" spans="1:24" ht="15" x14ac:dyDescent="0.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W58">
        <f ca="1">IF(ISNUMBER(MATCH($F$8,{"I","III","V","VII"},0)),10,10-INDEX(INDIRECT(_xlfn.TEXTJOIN("",TRUE,"SEM_",$G$8,"!",ADDRESS(6,4+$I$8*3+4),":",ADDRESS(5+$H$8,4+$I$8*3+4))),MATCH(INDIRECT(_xlfn.TEXTJOIN("",TRUE,"TC_",$F$8,"!",ADDRESS(ROW(I55),COLUMN(I55)))),INDIRECT(_xlfn.TEXTJOIN("",TRUE,"SEM_",$G$8,"!",ADDRESS(6,2),":",ADDRESS(5+$H$8,2))))))</f>
        <v>10</v>
      </c>
    </row>
    <row r="59" spans="1:24" ht="11.25" customHeight="1" x14ac:dyDescent="0.2">
      <c r="A59" s="7" t="str">
        <f ca="1">IF(ISERROR(F54),"",VLOOKUP(C54,INDIRECT($F$8),6+(O59-1)*3,0))</f>
        <v>CAT 004</v>
      </c>
      <c r="B59" s="41" t="str">
        <f ca="1">IF(ISERROR(F54),"",VLOOKUP(D54,INDIRECT($F$8),6+(O59-1)*3,0))</f>
        <v>Discrete Structure</v>
      </c>
      <c r="C59" s="41"/>
      <c r="D59" s="41"/>
      <c r="E59" s="41"/>
      <c r="F59" s="7">
        <f ca="1">IF(ISERROR(F54),"",VLOOKUP(E54,INDIRECT($F$8),6+(O59-1)*3,0))</f>
        <v>4</v>
      </c>
      <c r="G59" s="42" t="str">
        <f ca="1">IF(ISERROR(F54),"",_xlfn.TEXTJOIN("/",FALSE,P59,S59))</f>
        <v>69/100</v>
      </c>
      <c r="H59" s="42"/>
      <c r="I59" s="42" t="str">
        <f ca="1">IF(ISERROR(F54),"",_xlfn.TEXTJOIN("/",FALSE,Q59,T59))</f>
        <v>46/50</v>
      </c>
      <c r="J59" s="42"/>
      <c r="K59" s="42" t="str">
        <f ca="1">IF(ISERROR(F54),"",_xlfn.TEXTJOIN("/",FALSE,R59,U59))</f>
        <v>115/150</v>
      </c>
      <c r="L59" s="42"/>
      <c r="M59" s="7" t="str">
        <f ca="1">IF(ISERROR(F54),"",IF(ISTEXT(P59),IF(P59="A","Ab",IF(P59="D","Dt",IF(P59="UFM","UFM",IF(P59="NA","-")))),IF(AND(ISBLANK(P59),ISBLANK(R59)),"",IF(P59&lt;0.3*S59,"F",IF(ISBLANK(R59),"",IF(ISTEXT(R59),R59,IF(R59&gt;=0.95*U59,"O",IF(R59&gt;=0.9*U59,"A+",IF(R59&gt;=0.85*U59,"A",IF(R59&gt;=0.8*U59,"B+",IF(R59&gt;=0.75*U59,"B",IF(R59&gt;=0.7*U59,"C+",IF(R59&gt;=0.65*U59,"C",IF(R59&gt;=0.6*U59,"D+",IF(R59&gt;=0.55*U59,"D",IF(R59&gt;=0.5*U59,"E+",IF(R59&gt;=0.45*U59,"E",IF(R59&gt;=0.4*U59,"P",IF(R59&lt;0.4*U59,"F",R59)))))))))))))))))))</f>
        <v>B</v>
      </c>
      <c r="N59" s="8">
        <f ca="1">INDEX($Z$2:$Z$18,MATCH(M59,$Y$2:$Y$18,0))</f>
        <v>8</v>
      </c>
      <c r="O59">
        <v>1</v>
      </c>
      <c r="P59" s="1">
        <f ca="1">IF(ISERROR(F54),"",IF(ISTEXT(VLOOKUP(B54,INDIRECT($F$8),6+(O59-1)*3)),(VLOOKUP(B54,INDIRECT($F$8),6+(O59-1)*3)),SUM(VLOOKUP(B54,INDIRECT($F$8),6+(O59-1)*3),IF(W73,W59,0))))</f>
        <v>69</v>
      </c>
      <c r="Q59" s="1">
        <f ca="1">IF(ISERROR(F54),"",VLOOKUP(B54,INDIRECT($F$8),7+(O59-1)*3))</f>
        <v>46</v>
      </c>
      <c r="R59" s="1">
        <f ca="1">IF(ISERROR(F54),"",SUM(P59:Q59))</f>
        <v>115</v>
      </c>
      <c r="S59" s="1">
        <f ca="1">IF(ISERROR(F54),"",VLOOKUP(A54,INDIRECT($F$8),6+(O59-1)*3))</f>
        <v>100</v>
      </c>
      <c r="T59" s="1">
        <f ca="1">IF(ISERROR(F54),"",VLOOKUP(A54,INDIRECT($F$8),7+(O59-1)*3))</f>
        <v>50</v>
      </c>
      <c r="U59" s="1">
        <f ca="1">IF(ISERROR(F54),"",VLOOKUP(A54,INDIRECT($F$8),8+(O59-1)*3))</f>
        <v>150</v>
      </c>
      <c r="V59" s="1" t="str">
        <f ca="1">IF(ISERROR(F54),"",IF(N59=0,A59,""))</f>
        <v/>
      </c>
      <c r="W59" s="1">
        <f ca="1">IF(ISERROR(F54),"",IF(ISTEXT(VLOOKUP(B54,INDIRECT($F$8),6+(O59-1)*3)),11,IF(VLOOKUP(B54,INDIRECT($F$8),6+(O59-1)*3)&lt;S59*0.3,IF(VLOOKUP(B54,INDIRECT($F$8),8+(O59-1)*3)&lt;U59*0.4,IF(AND(0.4*U59-VLOOKUP(B54,INDIRECT($F$8),8+(O59-1)*3)&lt;=5,0.3*S59-VLOOKUP(B54,INDIRECT($F$8),6+(O59-1)*3)&lt;=5),MAX(0.4*U59-VLOOKUP(B54,INDIRECT($F$8),8+(O59-1)*3),0.3*S59-VLOOKUP(B54,INDIRECT($F$8),6+(O59-1)*3)),11),IF(0.3*S59-VLOOKUP(B54,INDIRECT($F$8),6+(O59-1)*3)&lt;=5,0.3*S59-VLOOKUP(B54,INDIRECT($F$8),6+(O59-1)*3),11)),IF(VLOOKUP(B54,INDIRECT($F$8),8+(O59-1)*3)&lt;U59*0.4,IF(U59*0.4-VLOOKUP(B54,INDIRECT($F$8),8+(O59-1)*3)&lt;=5,U59*0.4-VLOOKUP(B54,INDIRECT($F$8),8+(O59-1)*3),11),0))))</f>
        <v>0</v>
      </c>
      <c r="X59" s="1" t="str">
        <f ca="1">IF(ISERROR(F54),"",IF(W59=0,"",_xlfn.TEXTJOIN("",FALSE," G+",W59," in ",A59)))</f>
        <v/>
      </c>
    </row>
    <row r="60" spans="1:24" ht="11.25" customHeight="1" x14ac:dyDescent="0.2">
      <c r="A60" s="7" t="str">
        <f ca="1">IF(ISERROR(F54),"",VLOOKUP(C54,INDIRECT($F$8),6+(O60-1)*3,0))</f>
        <v>CAT 005</v>
      </c>
      <c r="B60" s="41" t="str">
        <f ca="1">IF(ISERROR(F54),"",VLOOKUP(D54,INDIRECT($F$8),6+(O60-1)*3,0))</f>
        <v>Database Management System</v>
      </c>
      <c r="C60" s="41"/>
      <c r="D60" s="41"/>
      <c r="E60" s="41"/>
      <c r="F60" s="7">
        <f ca="1">IF(ISERROR(F54),"",VLOOKUP(E54,INDIRECT($F$8),6+(O60-1)*3,0))</f>
        <v>4</v>
      </c>
      <c r="G60" s="42" t="str">
        <f ca="1">IF(ISERROR(F54),"",_xlfn.TEXTJOIN("/",FALSE,P60,S60))</f>
        <v>85/100</v>
      </c>
      <c r="H60" s="42"/>
      <c r="I60" s="42" t="str">
        <f ca="1">IF(ISERROR(F54),"",_xlfn.TEXTJOIN("/",FALSE,Q60,T60))</f>
        <v>45/50</v>
      </c>
      <c r="J60" s="42"/>
      <c r="K60" s="42" t="str">
        <f ca="1">IF(ISERROR(F54),"",_xlfn.TEXTJOIN("/",FALSE,R60,U60))</f>
        <v>130/150</v>
      </c>
      <c r="L60" s="42"/>
      <c r="M60" s="7" t="str">
        <f ca="1">IF(ISERROR(F54),"",IF(ISTEXT(P60),IF(P60="A","Ab",IF(P60="D","Dt",IF(P60="UFM","UFM",IF(P60="NA","-")))),IF(AND(ISBLANK(P60),ISBLANK(R60)),"",IF(P60&lt;0.3*S60,"F",IF(ISBLANK(R60),"",IF(ISTEXT(R60),R60,IF(R60&gt;=0.95*U60,"O",IF(R60&gt;=0.9*U60,"A+",IF(R60&gt;=0.85*U60,"A",IF(R60&gt;=0.8*U60,"B+",IF(R60&gt;=0.75*U60,"B",IF(R60&gt;=0.7*U60,"C+",IF(R60&gt;=0.65*U60,"C",IF(R60&gt;=0.6*U60,"D+",IF(R60&gt;=0.55*U60,"D",IF(R60&gt;=0.5*U60,"E+",IF(R60&gt;=0.45*U60,"E",IF(R60&gt;=0.4*U60,"P",IF(R60&lt;0.4*U60,"F",R60)))))))))))))))))))</f>
        <v>A</v>
      </c>
      <c r="N60" s="8">
        <f t="shared" ref="N60:N71" ca="1" si="4">INDEX($Z$2:$Z$18,MATCH(M60,$Y$2:$Y$18,0))</f>
        <v>9</v>
      </c>
      <c r="O60">
        <f>O59+1</f>
        <v>2</v>
      </c>
      <c r="P60" s="1">
        <f ca="1">IF(ISERROR(F54),"",IF(ISTEXT(VLOOKUP(B54,INDIRECT($F$8),6+(O60-1)*3)),(VLOOKUP(B54,INDIRECT($F$8),6+(O60-1)*3)),SUM(VLOOKUP(B54,INDIRECT($F$8),6+(O60-1)*3),IF(W73,W60,0))))</f>
        <v>85</v>
      </c>
      <c r="Q60" s="1">
        <f ca="1">IF(ISERROR(F54),"",VLOOKUP(B54,INDIRECT($F$8),7+(O60-1)*3))</f>
        <v>45</v>
      </c>
      <c r="R60" s="1">
        <f ca="1">IF(ISERROR(F54),"",SUM(P60:Q60))</f>
        <v>130</v>
      </c>
      <c r="S60" s="1">
        <f ca="1">IF(ISERROR(F54),"",VLOOKUP(A54,INDIRECT($F$8),6+(O60-1)*3))</f>
        <v>100</v>
      </c>
      <c r="T60" s="1">
        <f ca="1">IF(ISERROR(F54),"",VLOOKUP(A54,INDIRECT($F$8),7+(O60-1)*3))</f>
        <v>50</v>
      </c>
      <c r="U60" s="1">
        <f ca="1">IF(ISERROR(F54),"",VLOOKUP(A54,INDIRECT($F$8),8+(O60-1)*3))</f>
        <v>150</v>
      </c>
      <c r="V60" s="1" t="str">
        <f ca="1">IF(ISERROR(F54),"",IF(N60=0,A60,""))</f>
        <v/>
      </c>
      <c r="W60" s="1">
        <f ca="1">IF(ISERROR(F54),"",IF(ISTEXT(VLOOKUP(B54,INDIRECT($F$8),6+(O60-1)*3)),11,IF(VLOOKUP(B54,INDIRECT($F$8),6+(O60-1)*3)&lt;S60*0.3,IF(VLOOKUP(B54,INDIRECT($F$8),8+(O60-1)*3)&lt;U60*0.4,IF(AND(0.4*U60-VLOOKUP(B54,INDIRECT($F$8),8+(O60-1)*3)&lt;=5,0.3*S60-VLOOKUP(B54,INDIRECT($F$8),6+(O60-1)*3)&lt;=5),MAX(0.4*U60-VLOOKUP(B54,INDIRECT($F$8),8+(O60-1)*3),0.3*S60-VLOOKUP(B54,INDIRECT($F$8),6+(O60-1)*3)),11),IF(0.3*S60-VLOOKUP(B54,INDIRECT($F$8),6+(O60-1)*3)&lt;=5,0.3*S60-VLOOKUP(B54,INDIRECT($F$8),6+(O60-1)*3),11)),IF(VLOOKUP(B54,INDIRECT($F$8),8+(O60-1)*3)&lt;U60*0.4,IF(U60*0.4-VLOOKUP(B54,INDIRECT($F$8),8+(O60-1)*3)&lt;=5,U60*0.4-VLOOKUP(B54,INDIRECT($F$8),8+(O60-1)*3),11),0))))</f>
        <v>0</v>
      </c>
      <c r="X60" s="1" t="str">
        <f ca="1">IF(ISERROR(F54),"",IF(W60=0,"",_xlfn.TEXTJOIN("",FALSE," G+",W60," in ",A60)))</f>
        <v/>
      </c>
    </row>
    <row r="61" spans="1:24" ht="11.25" customHeight="1" x14ac:dyDescent="0.2">
      <c r="A61" s="7" t="str">
        <f ca="1">IF(ISERROR(F54),"",VLOOKUP(C54,INDIRECT($F$8),6+(O61-1)*3,0))</f>
        <v>CAT 006</v>
      </c>
      <c r="B61" s="41" t="str">
        <f ca="1">IF(ISERROR(F54),"",VLOOKUP(D54,INDIRECT($F$8),6+(O61-1)*3,0))</f>
        <v>Operating System</v>
      </c>
      <c r="C61" s="41"/>
      <c r="D61" s="41"/>
      <c r="E61" s="41"/>
      <c r="F61" s="7">
        <f ca="1">IF(ISERROR(F54),"",VLOOKUP(E54,INDIRECT($F$8),6+(O61-1)*3,0))</f>
        <v>4</v>
      </c>
      <c r="G61" s="42" t="str">
        <f ca="1">IF(ISERROR(F54),"",_xlfn.TEXTJOIN("/",FALSE,P61,S61))</f>
        <v>88/100</v>
      </c>
      <c r="H61" s="42"/>
      <c r="I61" s="42" t="str">
        <f ca="1">IF(ISERROR(F54),"",_xlfn.TEXTJOIN("/",FALSE,Q61,T61))</f>
        <v>50/50</v>
      </c>
      <c r="J61" s="42"/>
      <c r="K61" s="42" t="str">
        <f ca="1">IF(ISERROR(F54),"",_xlfn.TEXTJOIN("/",FALSE,R61,U61))</f>
        <v>138/150</v>
      </c>
      <c r="L61" s="42"/>
      <c r="M61" s="7" t="str">
        <f ca="1">IF(ISERROR(F54),"",IF(ISTEXT(P61),IF(P61="A","Ab",IF(P61="D","Dt",IF(P61="UFM","UFM",IF(P61="NA","-")))),IF(AND(ISBLANK(P61),ISBLANK(R61)),"",IF(P61&lt;0.3*S61,"F",IF(ISBLANK(R61),"",IF(ISTEXT(R61),R61,IF(R61&gt;=0.95*U61,"O",IF(R61&gt;=0.9*U61,"A+",IF(R61&gt;=0.85*U61,"A",IF(R61&gt;=0.8*U61,"B+",IF(R61&gt;=0.75*U61,"B",IF(R61&gt;=0.7*U61,"C+",IF(R61&gt;=0.65*U61,"C",IF(R61&gt;=0.6*U61,"D+",IF(R61&gt;=0.55*U61,"D",IF(R61&gt;=0.5*U61,"E+",IF(R61&gt;=0.45*U61,"E",IF(R61&gt;=0.4*U61,"P",IF(R61&lt;0.4*U61,"F",R61)))))))))))))))))))</f>
        <v>A+</v>
      </c>
      <c r="N61" s="8">
        <f t="shared" ca="1" si="4"/>
        <v>9.5</v>
      </c>
      <c r="O61">
        <f>O60+1</f>
        <v>3</v>
      </c>
      <c r="P61" s="1">
        <f ca="1">IF(ISERROR(F54),"",IF(ISTEXT(VLOOKUP(B54,INDIRECT($F$8),6+(O61-1)*3)),(VLOOKUP(B54,INDIRECT($F$8),6+(O61-1)*3)),SUM(VLOOKUP(B54,INDIRECT($F$8),6+(O61-1)*3),IF(W73,W61,0))))</f>
        <v>88</v>
      </c>
      <c r="Q61" s="1">
        <f ca="1">IF(ISERROR(F54),"",VLOOKUP(B54,INDIRECT($F$8),7+(O61-1)*3))</f>
        <v>50</v>
      </c>
      <c r="R61" s="1">
        <f ca="1">IF(ISERROR(F54),"",SUM(P61:Q61))</f>
        <v>138</v>
      </c>
      <c r="S61" s="1">
        <f ca="1">IF(ISERROR(F54),"",VLOOKUP(A54,INDIRECT($F$8),6+(O61-1)*3))</f>
        <v>100</v>
      </c>
      <c r="T61" s="1">
        <f ca="1">IF(ISERROR(F54),"",VLOOKUP(A54,INDIRECT($F$8),7+(O61-1)*3))</f>
        <v>50</v>
      </c>
      <c r="U61" s="1">
        <f ca="1">IF(ISERROR(F54),"",VLOOKUP(A54,INDIRECT($F$8),8+(O61-1)*3))</f>
        <v>150</v>
      </c>
      <c r="V61" s="1" t="str">
        <f ca="1">IF(ISERROR(F54),"",IF(N61=0,A61,""))</f>
        <v/>
      </c>
      <c r="W61" s="1">
        <f ca="1">IF(ISERROR(F54),"",IF(ISTEXT(VLOOKUP(B54,INDIRECT($F$8),6+(O61-1)*3)),11,IF(VLOOKUP(B54,INDIRECT($F$8),6+(O61-1)*3)&lt;S61*0.3,IF(VLOOKUP(B54,INDIRECT($F$8),8+(O61-1)*3)&lt;U61*0.4,IF(AND(0.4*U61-VLOOKUP(B54,INDIRECT($F$8),8+(O61-1)*3)&lt;=5,0.3*S61-VLOOKUP(B54,INDIRECT($F$8),6+(O61-1)*3)&lt;=5),MAX(0.4*U61-VLOOKUP(B54,INDIRECT($F$8),8+(O61-1)*3),0.3*S61-VLOOKUP(B54,INDIRECT($F$8),6+(O61-1)*3)),11),IF(0.3*S61-VLOOKUP(B54,INDIRECT($F$8),6+(O61-1)*3)&lt;=5,0.3*S61-VLOOKUP(B54,INDIRECT($F$8),6+(O61-1)*3),11)),IF(VLOOKUP(B54,INDIRECT($F$8),8+(O61-1)*3)&lt;U61*0.4,IF(U61*0.4-VLOOKUP(B54,INDIRECT($F$8),8+(O61-1)*3)&lt;=5,U61*0.4-VLOOKUP(B54,INDIRECT($F$8),8+(O61-1)*3),11),0))))</f>
        <v>0</v>
      </c>
      <c r="X61" s="1" t="str">
        <f ca="1">IF(ISERROR(F54),"",IF(W61=0,"",_xlfn.TEXTJOIN("",FALSE," G+",W61," in ",A61)))</f>
        <v/>
      </c>
    </row>
    <row r="62" spans="1:24" ht="11.25" customHeight="1" x14ac:dyDescent="0.2">
      <c r="A62" s="7" t="str">
        <f ca="1">IF(ISERROR(F54),"",VLOOKUP(C54,INDIRECT($F$8),6+(O62-1)*3,0))</f>
        <v>CAT 007</v>
      </c>
      <c r="B62" s="41" t="str">
        <f ca="1">IF(ISERROR(F54),"",VLOOKUP(D54,INDIRECT($F$8),6+(O62-1)*3,0))</f>
        <v>Computer Organization</v>
      </c>
      <c r="C62" s="41"/>
      <c r="D62" s="41"/>
      <c r="E62" s="41"/>
      <c r="F62" s="7">
        <f ca="1">IF(ISERROR(F54),"",VLOOKUP(E54,INDIRECT($F$8),6+(O62-1)*3,0))</f>
        <v>4</v>
      </c>
      <c r="G62" s="42" t="str">
        <f ca="1">IF(ISERROR(F54),"",_xlfn.TEXTJOIN("/",FALSE,P62,S62))</f>
        <v>81/100</v>
      </c>
      <c r="H62" s="42"/>
      <c r="I62" s="42" t="str">
        <f ca="1">IF(ISERROR(F54),"",_xlfn.TEXTJOIN("/",FALSE,Q62,T62))</f>
        <v>48/50</v>
      </c>
      <c r="J62" s="42"/>
      <c r="K62" s="42" t="str">
        <f ca="1">IF(ISERROR(F54),"",_xlfn.TEXTJOIN("/",FALSE,R62,U62))</f>
        <v>129/150</v>
      </c>
      <c r="L62" s="42"/>
      <c r="M62" s="7" t="str">
        <f ca="1">IF(ISERROR(F54),"",IF(ISTEXT(P62),IF(P62="A","Ab",IF(P62="D","Dt",IF(P62="UFM","UFM",IF(P62="NA","-")))),IF(AND(ISBLANK(P62),ISBLANK(R62)),"",IF(P62&lt;0.3*S62,"F",IF(ISBLANK(R62),"",IF(ISTEXT(R62),R62,IF(R62&gt;=0.95*U62,"O",IF(R62&gt;=0.9*U62,"A+",IF(R62&gt;=0.85*U62,"A",IF(R62&gt;=0.8*U62,"B+",IF(R62&gt;=0.75*U62,"B",IF(R62&gt;=0.7*U62,"C+",IF(R62&gt;=0.65*U62,"C",IF(R62&gt;=0.6*U62,"D+",IF(R62&gt;=0.55*U62,"D",IF(R62&gt;=0.5*U62,"E+",IF(R62&gt;=0.45*U62,"E",IF(R62&gt;=0.4*U62,"P",IF(R62&lt;0.4*U62,"F",R62)))))))))))))))))))</f>
        <v>A</v>
      </c>
      <c r="N62" s="8">
        <f t="shared" ca="1" si="4"/>
        <v>9</v>
      </c>
      <c r="O62">
        <f>O61+1</f>
        <v>4</v>
      </c>
      <c r="P62" s="1">
        <f ca="1">IF(ISERROR(F54),"",IF(ISTEXT(VLOOKUP(B54,INDIRECT($F$8),6+(O62-1)*3)),(VLOOKUP(B54,INDIRECT($F$8),6+(O62-1)*3)),SUM(VLOOKUP(B54,INDIRECT($F$8),6+(O62-1)*3),IF(W73,W62,0))))</f>
        <v>81</v>
      </c>
      <c r="Q62" s="1">
        <f ca="1">IF(ISERROR(F54),"",VLOOKUP(B54,INDIRECT($F$8),7+(O62-1)*3))</f>
        <v>48</v>
      </c>
      <c r="R62" s="1">
        <f ca="1">IF(ISERROR(F54),"",SUM(P62:Q62))</f>
        <v>129</v>
      </c>
      <c r="S62" s="1">
        <f ca="1">IF(ISERROR(F54),"",VLOOKUP(A54,INDIRECT($F$8),6+(O62-1)*3))</f>
        <v>100</v>
      </c>
      <c r="T62" s="1">
        <f ca="1">IF(ISERROR(F54),"",VLOOKUP(A54,INDIRECT($F$8),7+(O62-1)*3))</f>
        <v>50</v>
      </c>
      <c r="U62" s="1">
        <f ca="1">IF(ISERROR(F54),"",VLOOKUP(A54,INDIRECT($F$8),8+(O62-1)*3))</f>
        <v>150</v>
      </c>
      <c r="V62" s="1" t="str">
        <f ca="1">IF(ISERROR(F54),"",IF(N62=0,A62,""))</f>
        <v/>
      </c>
      <c r="W62" s="1">
        <f ca="1">IF(ISERROR(F54),"",IF(ISTEXT(VLOOKUP(B54,INDIRECT($F$8),6+(O62-1)*3)),11,IF(VLOOKUP(B54,INDIRECT($F$8),6+(O62-1)*3)&lt;S62*0.3,IF(VLOOKUP(B54,INDIRECT($F$8),8+(O62-1)*3)&lt;U62*0.4,IF(AND(0.4*U62-VLOOKUP(B54,INDIRECT($F$8),8+(O62-1)*3)&lt;=5,0.3*S62-VLOOKUP(B54,INDIRECT($F$8),6+(O62-1)*3)&lt;=5),MAX(0.4*U62-VLOOKUP(B54,INDIRECT($F$8),8+(O62-1)*3),0.3*S62-VLOOKUP(B54,INDIRECT($F$8),6+(O62-1)*3)),11),IF(0.3*S62-VLOOKUP(B54,INDIRECT($F$8),6+(O62-1)*3)&lt;=5,0.3*S62-VLOOKUP(B54,INDIRECT($F$8),6+(O62-1)*3),11)),IF(VLOOKUP(B54,INDIRECT($F$8),8+(O62-1)*3)&lt;U62*0.4,IF(U62*0.4-VLOOKUP(B54,INDIRECT($F$8),8+(O62-1)*3)&lt;=5,U62*0.4-VLOOKUP(B54,INDIRECT($F$8),8+(O62-1)*3),11),0))))</f>
        <v>0</v>
      </c>
      <c r="X62" s="1" t="str">
        <f ca="1">IF(ISERROR(F54),"",IF(W62=0,"",_xlfn.TEXTJOIN("",FALSE," G+",W62," in ",A62)))</f>
        <v/>
      </c>
    </row>
    <row r="63" spans="1:24" ht="11.25" customHeight="1" x14ac:dyDescent="0.2">
      <c r="A63" s="7" t="str">
        <f ca="1">IF(ISERROR(F54),"",VLOOKUP(C54,INDIRECT($F$8),6+(O63-1)*3,0))</f>
        <v>AHT 303</v>
      </c>
      <c r="B63" s="41" t="str">
        <f ca="1">IF(ISERROR(F54),"",VLOOKUP(D54,INDIRECT($F$8),6+(O63-1)*3,0))</f>
        <v>Technical Communication Skills</v>
      </c>
      <c r="C63" s="41"/>
      <c r="D63" s="41"/>
      <c r="E63" s="41"/>
      <c r="F63" s="7">
        <f ca="1">IF(ISERROR(F54),"",VLOOKUP(E54,INDIRECT($F$8),6+(O63-1)*3,0))</f>
        <v>4</v>
      </c>
      <c r="G63" s="42" t="str">
        <f ca="1">IF(ISERROR(F54),"",_xlfn.TEXTJOIN("/",FALSE,P63,S63))</f>
        <v>90/100</v>
      </c>
      <c r="H63" s="42"/>
      <c r="I63" s="42" t="str">
        <f ca="1">IF(ISERROR(F54),"",_xlfn.TEXTJOIN("/",FALSE,Q63,T63))</f>
        <v>48/50</v>
      </c>
      <c r="J63" s="42"/>
      <c r="K63" s="42" t="str">
        <f ca="1">IF(ISERROR(F54),"",_xlfn.TEXTJOIN("/",FALSE,R63,U63))</f>
        <v>138/150</v>
      </c>
      <c r="L63" s="42"/>
      <c r="M63" s="7" t="str">
        <f ca="1">IF(ISERROR(F54),"",IF(ISTEXT(P63),IF(P63="A","Ab",IF(P63="D","Dt",IF(P63="UFM","UFM",IF(P63="NA","-")))),IF(AND(ISBLANK(P63),ISBLANK(R63)),"",IF(P63&lt;0.3*S63,"F",IF(ISBLANK(R63),"",IF(ISTEXT(R63),R63,IF(R63&gt;=0.95*U63,"O",IF(R63&gt;=0.9*U63,"A+",IF(R63&gt;=0.85*U63,"A",IF(R63&gt;=0.8*U63,"B+",IF(R63&gt;=0.75*U63,"B",IF(R63&gt;=0.7*U63,"C+",IF(R63&gt;=0.65*U63,"C",IF(R63&gt;=0.6*U63,"D+",IF(R63&gt;=0.55*U63,"D",IF(R63&gt;=0.5*U63,"E+",IF(R63&gt;=0.45*U63,"E",IF(R63&gt;=0.4*U63,"P",IF(R63&lt;0.4*U63,"F",R63)))))))))))))))))))</f>
        <v>A+</v>
      </c>
      <c r="N63" s="8">
        <f t="shared" ca="1" si="4"/>
        <v>9.5</v>
      </c>
      <c r="O63">
        <f t="shared" ref="O63:O72" si="5">O62+1</f>
        <v>5</v>
      </c>
      <c r="P63" s="1">
        <f ca="1">IF(ISERROR(F54),"",IF(ISTEXT(VLOOKUP(B54,INDIRECT($F$8),6+(O63-1)*3)),(VLOOKUP(B54,INDIRECT($F$8),6+(O63-1)*3)),SUM(VLOOKUP(B54,INDIRECT($F$8),6+(O63-1)*3),IF(W73,W63,0))))</f>
        <v>90</v>
      </c>
      <c r="Q63" s="1">
        <f ca="1">IF(ISERROR(F54),"",VLOOKUP(B54,INDIRECT($F$8),7+(O63-1)*3))</f>
        <v>48</v>
      </c>
      <c r="R63" s="1">
        <f ca="1">IF(ISERROR(F54),"",SUM(P63:Q63))</f>
        <v>138</v>
      </c>
      <c r="S63" s="1">
        <f ca="1">IF(ISERROR(F54),"",VLOOKUP(A54,INDIRECT($F$8),6+(O63-1)*3))</f>
        <v>100</v>
      </c>
      <c r="T63" s="1">
        <f ca="1">IF(ISERROR(F54),"",VLOOKUP(A54,INDIRECT($F$8),7+(O63-1)*3))</f>
        <v>50</v>
      </c>
      <c r="U63" s="1">
        <f ca="1">IF(ISERROR(F54),"",VLOOKUP(A54,INDIRECT($F$8),8+(O63-1)*3))</f>
        <v>150</v>
      </c>
      <c r="V63" s="1" t="str">
        <f ca="1">IF(ISERROR(F54),"",IF(N63=0,A63,""))</f>
        <v/>
      </c>
      <c r="W63" s="1">
        <f ca="1">IF(ISERROR(F54),"",IF(ISTEXT(VLOOKUP(B54,INDIRECT($F$8),6+(O63-1)*3)),11,IF(VLOOKUP(B54,INDIRECT($F$8),6+(O63-1)*3)&lt;S63*0.3,IF(VLOOKUP(B54,INDIRECT($F$8),8+(O63-1)*3)&lt;U63*0.4,IF(AND(0.4*U63-VLOOKUP(B54,INDIRECT($F$8),8+(O63-1)*3)&lt;=5,0.3*S63-VLOOKUP(B54,INDIRECT($F$8),6+(O63-1)*3)&lt;=5),MAX(0.4*U63-VLOOKUP(B54,INDIRECT($F$8),8+(O63-1)*3),0.3*S63-VLOOKUP(B54,INDIRECT($F$8),6+(O63-1)*3)),11),IF(0.3*S63-VLOOKUP(B54,INDIRECT($F$8),6+(O63-1)*3)&lt;=5,0.3*S63-VLOOKUP(B54,INDIRECT($F$8),6+(O63-1)*3),11)),IF(VLOOKUP(B54,INDIRECT($F$8),8+(O63-1)*3)&lt;U63*0.4,IF(U63*0.4-VLOOKUP(B54,INDIRECT($F$8),8+(O63-1)*3)&lt;=5,U63*0.4-VLOOKUP(B54,INDIRECT($F$8),8+(O63-1)*3),11),0))))</f>
        <v>0</v>
      </c>
      <c r="X63" s="1" t="str">
        <f ca="1">IF(ISERROR(F54),"",IF(W63=0,"",_xlfn.TEXTJOIN("",FALSE," G+",W63," in ",A63)))</f>
        <v/>
      </c>
    </row>
    <row r="64" spans="1:24" ht="11.25" customHeight="1" x14ac:dyDescent="0.2">
      <c r="A64" s="7" t="str">
        <f ca="1">IF(ISERROR(F54),"",VLOOKUP(C54,INDIRECT($F$8),6+(O64-1)*3,0))</f>
        <v>CAT 008</v>
      </c>
      <c r="B64" s="41" t="str">
        <f ca="1">IF(ISERROR(F54),"",VLOOKUP(D54,INDIRECT($F$8),6+(O64-1)*3,0))</f>
        <v>Python Programming ($)</v>
      </c>
      <c r="C64" s="41"/>
      <c r="D64" s="41"/>
      <c r="E64" s="41"/>
      <c r="F64" s="7">
        <f ca="1">IF(ISERROR(F54),"",VLOOKUP(E54,INDIRECT($F$8),6+(O64-1)*3,0))</f>
        <v>0</v>
      </c>
      <c r="G64" s="42" t="str">
        <f ca="1">IF(ISERROR(F54),"",_xlfn.TEXTJOIN("/",FALSE,P64,S64))</f>
        <v>18/30</v>
      </c>
      <c r="H64" s="42"/>
      <c r="I64" s="42" t="str">
        <f ca="1">IF(ISERROR(F54),"",_xlfn.TEXTJOIN("/",FALSE,Q64,T64))</f>
        <v>13/20</v>
      </c>
      <c r="J64" s="42"/>
      <c r="K64" s="42" t="str">
        <f ca="1">IF(ISERROR(F54),"",_xlfn.TEXTJOIN("/",FALSE,R64,U64))</f>
        <v>31/50</v>
      </c>
      <c r="L64" s="42"/>
      <c r="M64" s="7" t="str">
        <f ca="1">IF(ISERROR(F54),"",IF(ISTEXT(P64),IF(P64="A","Ab",IF(P64="D","Dt",IF(P64="UFM","UFM",IF(P64="NA","-")))),IF(AND(ISBLANK(P64),ISBLANK(R64)),"",IF(P64&lt;0.3*S64,"F",IF(ISBLANK(R64),"",IF(ISTEXT(R64),R64,IF(R64&gt;=0.95*U64,"O",IF(R64&gt;=0.9*U64,"A+",IF(R64&gt;=0.85*U64,"A",IF(R64&gt;=0.8*U64,"B+",IF(R64&gt;=0.75*U64,"B",IF(R64&gt;=0.7*U64,"C+",IF(R64&gt;=0.65*U64,"C",IF(R64&gt;=0.6*U64,"D+",IF(R64&gt;=0.55*U64,"D",IF(R64&gt;=0.5*U64,"E+",IF(R64&gt;=0.45*U64,"E",IF(R64&gt;=0.4*U64,"P",IF(R64&lt;0.4*U64,"F",R64)))))))))))))))))))</f>
        <v>D+</v>
      </c>
      <c r="N64" s="8">
        <f t="shared" ca="1" si="4"/>
        <v>6.5</v>
      </c>
      <c r="O64">
        <f t="shared" si="5"/>
        <v>6</v>
      </c>
      <c r="P64" s="1">
        <f ca="1">IF(ISERROR(F54),"",IF(ISTEXT(VLOOKUP(B54,INDIRECT($F$8),6+(O64-1)*3)),(VLOOKUP(B54,INDIRECT($F$8),6+(O64-1)*3)),SUM(VLOOKUP(B54,INDIRECT($F$8),6+(O64-1)*3),IF(W73,W64,0))))</f>
        <v>18</v>
      </c>
      <c r="Q64" s="1">
        <f ca="1">IF(ISERROR(F54),"",VLOOKUP(B54,INDIRECT($F$8),7+(O64-1)*3))</f>
        <v>13</v>
      </c>
      <c r="R64" s="1">
        <f ca="1">IF(ISERROR(F54),"",SUM(P64:Q64))</f>
        <v>31</v>
      </c>
      <c r="S64" s="1">
        <f ca="1">IF(ISERROR(F54),"",VLOOKUP(A54,INDIRECT($F$8),6+(O64-1)*3))</f>
        <v>30</v>
      </c>
      <c r="T64" s="1">
        <f ca="1">IF(ISERROR(F54),"",VLOOKUP(A54,INDIRECT($F$8),7+(O64-1)*3))</f>
        <v>20</v>
      </c>
      <c r="U64" s="1">
        <f ca="1">IF(ISERROR(F54),"",VLOOKUP(A54,INDIRECT($F$8),8+(O64-1)*3))</f>
        <v>50</v>
      </c>
      <c r="V64" s="1" t="str">
        <f ca="1">IF(ISERROR(F54),"",IF(N64=0,A64,""))</f>
        <v/>
      </c>
      <c r="W64" s="1">
        <f ca="1">IF(ISERROR(F54),"",IF(ISTEXT(VLOOKUP(B54,INDIRECT($F$8),6+(O64-1)*3)),11,IF(VLOOKUP(B54,INDIRECT($F$8),6+(O64-1)*3)&lt;S64*0.3,IF(VLOOKUP(B54,INDIRECT($F$8),8+(O64-1)*3)&lt;U64*0.4,IF(AND(0.4*U64-VLOOKUP(B54,INDIRECT($F$8),8+(O64-1)*3)&lt;=5,0.3*S64-VLOOKUP(B54,INDIRECT($F$8),6+(O64-1)*3)&lt;=5),MAX(0.4*U64-VLOOKUP(B54,INDIRECT($F$8),8+(O64-1)*3),0.3*S64-VLOOKUP(B54,INDIRECT($F$8),6+(O64-1)*3)),11),IF(0.3*S64-VLOOKUP(B54,INDIRECT($F$8),6+(O64-1)*3)&lt;=5,0.3*S64-VLOOKUP(B54,INDIRECT($F$8),6+(O64-1)*3),11)),IF(VLOOKUP(B54,INDIRECT($F$8),8+(O64-1)*3)&lt;U64*0.4,IF(U64*0.4-VLOOKUP(B54,INDIRECT($F$8),8+(O64-1)*3)&lt;=5,U64*0.4-VLOOKUP(B54,INDIRECT($F$8),8+(O64-1)*3),11),0))))</f>
        <v>0</v>
      </c>
      <c r="X64" s="1" t="str">
        <f ca="1">IF(ISERROR(F54),"",IF(W64=0,"",_xlfn.TEXTJOIN("",FALSE," G+",W64," in ",A64)))</f>
        <v/>
      </c>
    </row>
    <row r="65" spans="1:24" ht="11.25" customHeight="1" x14ac:dyDescent="0.2">
      <c r="A65" s="7" t="str">
        <f ca="1">IF(ISERROR(F54),"",VLOOKUP(C54,INDIRECT($F$8),6+(O65-1)*3,0))</f>
        <v>CAT 001</v>
      </c>
      <c r="B65" s="41" t="str">
        <f ca="1">IF(ISERROR(F54),"",VLOOKUP(D54,INDIRECT($F$8),6+(O65-1)*3,0))</f>
        <v>Introduction of Information Technology ($)</v>
      </c>
      <c r="C65" s="41"/>
      <c r="D65" s="41"/>
      <c r="E65" s="41"/>
      <c r="F65" s="7">
        <f ca="1">IF(ISERROR(F54),"",VLOOKUP(E54,INDIRECT($F$8),6+(O65-1)*3,0))</f>
        <v>0</v>
      </c>
      <c r="G65" s="42" t="str">
        <f ca="1">IF(ISERROR(F54),"",_xlfn.TEXTJOIN("/",FALSE,P65,S65))</f>
        <v>28/30</v>
      </c>
      <c r="H65" s="42"/>
      <c r="I65" s="42" t="str">
        <f ca="1">IF(ISERROR(F54),"",_xlfn.TEXTJOIN("/",FALSE,Q65,T65))</f>
        <v>18/20</v>
      </c>
      <c r="J65" s="42"/>
      <c r="K65" s="42" t="str">
        <f ca="1">IF(ISERROR(F54),"",_xlfn.TEXTJOIN("/",FALSE,R65,U65))</f>
        <v>46/50</v>
      </c>
      <c r="L65" s="42"/>
      <c r="M65" s="7" t="str">
        <f ca="1">IF(ISERROR(F54),"",IF(ISTEXT(P65),IF(P65="A","Ab",IF(P65="D","Dt",IF(P65="UFM","UFM",IF(P65="NA","-")))),IF(AND(ISBLANK(P65),ISBLANK(R65)),"",IF(P65&lt;0.3*S65,"F",IF(ISBLANK(R65),"",IF(ISTEXT(R65),R65,IF(R65&gt;=0.95*U65,"O",IF(R65&gt;=0.9*U65,"A+",IF(R65&gt;=0.85*U65,"A",IF(R65&gt;=0.8*U65,"B+",IF(R65&gt;=0.75*U65,"B",IF(R65&gt;=0.7*U65,"C+",IF(R65&gt;=0.65*U65,"C",IF(R65&gt;=0.6*U65,"D+",IF(R65&gt;=0.55*U65,"D",IF(R65&gt;=0.5*U65,"E+",IF(R65&gt;=0.45*U65,"E",IF(R65&gt;=0.4*U65,"P",IF(R65&lt;0.4*U65,"F",R65)))))))))))))))))))</f>
        <v>A+</v>
      </c>
      <c r="N65" s="8">
        <f t="shared" ca="1" si="4"/>
        <v>9.5</v>
      </c>
      <c r="O65">
        <f t="shared" si="5"/>
        <v>7</v>
      </c>
      <c r="P65" s="1">
        <f ca="1">IF(ISERROR(F54),"",IF(ISTEXT(VLOOKUP(B54,INDIRECT($F$8),6+(O65-1)*3)),(VLOOKUP(B54,INDIRECT($F$8),6+(O65-1)*3)),SUM(VLOOKUP(B54,INDIRECT($F$8),6+(O65-1)*3),IF(W73,W65,0))))</f>
        <v>28</v>
      </c>
      <c r="Q65" s="1">
        <f ca="1">IF(ISERROR(F54),"",VLOOKUP(B54,INDIRECT($F$8),7+(O65-1)*3))</f>
        <v>18</v>
      </c>
      <c r="R65" s="1">
        <f ca="1">IF(ISERROR(F54),"",SUM(P65:Q65))</f>
        <v>46</v>
      </c>
      <c r="S65" s="1">
        <f ca="1">IF(ISERROR(F54),"",VLOOKUP(A54,INDIRECT($F$8),6+(O65-1)*3))</f>
        <v>30</v>
      </c>
      <c r="T65" s="1">
        <f ca="1">IF(ISERROR(F54),"",VLOOKUP(A54,INDIRECT($F$8),7+(O65-1)*3))</f>
        <v>20</v>
      </c>
      <c r="U65" s="1">
        <f ca="1">IF(ISERROR(F54),"",VLOOKUP(A54,INDIRECT($F$8),8+(O65-1)*3))</f>
        <v>50</v>
      </c>
      <c r="V65" s="1" t="str">
        <f ca="1">IF(ISERROR(F54),"",IF(N65=0,A65,""))</f>
        <v/>
      </c>
      <c r="W65" s="1">
        <f ca="1">IF(ISERROR(F54),"",IF(ISTEXT(VLOOKUP(B54,INDIRECT($F$8),6+(O65-1)*3)),11,IF(VLOOKUP(B54,INDIRECT($F$8),6+(O65-1)*3)&lt;S65*0.3,IF(VLOOKUP(B54,INDIRECT($F$8),8+(O65-1)*3)&lt;U65*0.4,IF(AND(0.4*U65-VLOOKUP(B54,INDIRECT($F$8),8+(O65-1)*3)&lt;=5,0.3*S65-VLOOKUP(B54,INDIRECT($F$8),6+(O65-1)*3)&lt;=5),MAX(0.4*U65-VLOOKUP(B54,INDIRECT($F$8),8+(O65-1)*3),0.3*S65-VLOOKUP(B54,INDIRECT($F$8),6+(O65-1)*3)),11),IF(0.3*S65-VLOOKUP(B54,INDIRECT($F$8),6+(O65-1)*3)&lt;=5,0.3*S65-VLOOKUP(B54,INDIRECT($F$8),6+(O65-1)*3),11)),IF(VLOOKUP(B54,INDIRECT($F$8),8+(O65-1)*3)&lt;U65*0.4,IF(U65*0.4-VLOOKUP(B54,INDIRECT($F$8),8+(O65-1)*3)&lt;=5,U65*0.4-VLOOKUP(B54,INDIRECT($F$8),8+(O65-1)*3),11),0))))</f>
        <v>0</v>
      </c>
      <c r="X65" s="1" t="str">
        <f ca="1">IF(ISERROR(F54),"",IF(W65=0,"",_xlfn.TEXTJOIN("",FALSE," G+",W65," in ",A65)))</f>
        <v/>
      </c>
    </row>
    <row r="66" spans="1:24" ht="11.25" customHeight="1" x14ac:dyDescent="0.2">
      <c r="A66" s="7" t="str">
        <f ca="1">IF(ISERROR(F54),"",VLOOKUP(C54,INDIRECT($F$8),6+(O66-1)*3,0))</f>
        <v>CAT 002</v>
      </c>
      <c r="B66" s="41" t="str">
        <f ca="1">IF(ISERROR(F54),"",VLOOKUP(D54,INDIRECT($F$8),6+(O66-1)*3,0))</f>
        <v>Programming Fundamentals with "C" ($)</v>
      </c>
      <c r="C66" s="41"/>
      <c r="D66" s="41"/>
      <c r="E66" s="41"/>
      <c r="F66" s="7">
        <f ca="1">IF(ISERROR(F54),"",VLOOKUP(E54,INDIRECT($F$8),6+(O66-1)*3,0))</f>
        <v>0</v>
      </c>
      <c r="G66" s="42" t="str">
        <f ca="1">IF(ISERROR(F54),"",_xlfn.TEXTJOIN("/",FALSE,P66,S66))</f>
        <v>21/30</v>
      </c>
      <c r="H66" s="42"/>
      <c r="I66" s="42" t="str">
        <f ca="1">IF(ISERROR(F54),"",_xlfn.TEXTJOIN("/",FALSE,Q66,T66))</f>
        <v>18/20</v>
      </c>
      <c r="J66" s="42"/>
      <c r="K66" s="42" t="str">
        <f ca="1">IF(ISERROR(F54),"",_xlfn.TEXTJOIN("/",FALSE,R66,U66))</f>
        <v>39/50</v>
      </c>
      <c r="L66" s="42"/>
      <c r="M66" s="7" t="str">
        <f ca="1">IF(ISERROR(F54),"",IF(ISTEXT(P66),IF(P66="A","Ab",IF(P66="D","Dt",IF(P66="UFM","UFM",IF(P66="NA","-")))),IF(AND(ISBLANK(P66),ISBLANK(R66)),"",IF(P66&lt;0.3*S66,"F",IF(ISBLANK(R66),"",IF(ISTEXT(R66),R66,IF(R66&gt;=0.95*U66,"O",IF(R66&gt;=0.9*U66,"A+",IF(R66&gt;=0.85*U66,"A",IF(R66&gt;=0.8*U66,"B+",IF(R66&gt;=0.75*U66,"B",IF(R66&gt;=0.7*U66,"C+",IF(R66&gt;=0.65*U66,"C",IF(R66&gt;=0.6*U66,"D+",IF(R66&gt;=0.55*U66,"D",IF(R66&gt;=0.5*U66,"E+",IF(R66&gt;=0.45*U66,"E",IF(R66&gt;=0.4*U66,"P",IF(R66&lt;0.4*U66,"F",R66)))))))))))))))))))</f>
        <v>B</v>
      </c>
      <c r="N66" s="8">
        <f t="shared" ca="1" si="4"/>
        <v>8</v>
      </c>
      <c r="O66">
        <f t="shared" si="5"/>
        <v>8</v>
      </c>
      <c r="P66" s="1">
        <f ca="1">IF(ISERROR(F54),"",IF(ISTEXT(VLOOKUP(B54,INDIRECT($F$8),6+(O66-1)*3)),(VLOOKUP(B54,INDIRECT($F$8),6+(O66-1)*3)),SUM(VLOOKUP(B54,INDIRECT($F$8),6+(O66-1)*3),IF(W73,W66,0))))</f>
        <v>21</v>
      </c>
      <c r="Q66" s="1">
        <f ca="1">IF(ISERROR(F54),"",VLOOKUP(B54,INDIRECT($F$8),7+(O66-1)*3))</f>
        <v>18</v>
      </c>
      <c r="R66" s="1">
        <f ca="1">IF(ISERROR(F54),"",SUM(P66:Q66))</f>
        <v>39</v>
      </c>
      <c r="S66" s="1">
        <f ca="1">IF(ISERROR(F54),"",VLOOKUP(A54,INDIRECT($F$8),6+(O66-1)*3))</f>
        <v>30</v>
      </c>
      <c r="T66" s="1">
        <f ca="1">IF(ISERROR(F54),"",VLOOKUP(A54,INDIRECT($F$8),7+(O66-1)*3))</f>
        <v>20</v>
      </c>
      <c r="U66" s="1">
        <f ca="1">IF(ISERROR(F54),"",VLOOKUP(A54,INDIRECT($F$8),8+(O66-1)*3))</f>
        <v>50</v>
      </c>
      <c r="V66" s="1" t="str">
        <f ca="1">IF(ISERROR(F54),"",IF(N66=0,A66,""))</f>
        <v/>
      </c>
      <c r="W66" s="1">
        <f ca="1">IF(ISERROR(F54),"",IF(ISTEXT(VLOOKUP(B54,INDIRECT($F$8),6+(O66-1)*3)),11,IF(VLOOKUP(B54,INDIRECT($F$8),6+(O66-1)*3)&lt;S66*0.3,IF(VLOOKUP(B54,INDIRECT($F$8),8+(O66-1)*3)&lt;U66*0.4,IF(AND(0.4*U66-VLOOKUP(B54,INDIRECT($F$8),8+(O66-1)*3)&lt;=5,0.3*S66-VLOOKUP(B54,INDIRECT($F$8),6+(O66-1)*3)&lt;=5),MAX(0.4*U66-VLOOKUP(B54,INDIRECT($F$8),8+(O66-1)*3),0.3*S66-VLOOKUP(B54,INDIRECT($F$8),6+(O66-1)*3)),11),IF(0.3*S66-VLOOKUP(B54,INDIRECT($F$8),6+(O66-1)*3)&lt;=5,0.3*S66-VLOOKUP(B54,INDIRECT($F$8),6+(O66-1)*3),11)),IF(VLOOKUP(B54,INDIRECT($F$8),8+(O66-1)*3)&lt;U66*0.4,IF(U66*0.4-VLOOKUP(B54,INDIRECT($F$8),8+(O66-1)*3)&lt;=5,U66*0.4-VLOOKUP(B54,INDIRECT($F$8),8+(O66-1)*3),11),0))))</f>
        <v>0</v>
      </c>
      <c r="X66" s="1" t="str">
        <f ca="1">IF(ISERROR(F54),"",IF(W66=0,"",_xlfn.TEXTJOIN("",FALSE," G+",W66," in ",A66)))</f>
        <v/>
      </c>
    </row>
    <row r="67" spans="1:24" ht="11.25" customHeight="1" x14ac:dyDescent="0.2">
      <c r="A67" s="7" t="str">
        <f ca="1">IF(ISERROR(F54),"",VLOOKUP(C54,INDIRECT($F$8),6+(O67-1)*3,0))</f>
        <v>CAT 003</v>
      </c>
      <c r="B67" s="41" t="str">
        <f ca="1">IF(ISERROR(F54),"",VLOOKUP(D54,INDIRECT($F$8),6+(O67-1)*3-Z67,0))</f>
        <v>Fundamental of Web Technology ($)</v>
      </c>
      <c r="C67" s="41"/>
      <c r="D67" s="41"/>
      <c r="E67" s="41"/>
      <c r="F67" s="7">
        <f ca="1">IF(ISERROR(F54),"",VLOOKUP(E54,INDIRECT($F$8),6+(O67-1)*3,0))</f>
        <v>0</v>
      </c>
      <c r="G67" s="42" t="str">
        <f ca="1">IF(ISERROR(F54),"",_xlfn.TEXTJOIN("/",FALSE,P67,S67))</f>
        <v>22/30</v>
      </c>
      <c r="H67" s="42"/>
      <c r="I67" s="42" t="str">
        <f ca="1">IF(ISERROR(F54),"",_xlfn.TEXTJOIN("/",FALSE,Q67,T67))</f>
        <v>19/20</v>
      </c>
      <c r="J67" s="42"/>
      <c r="K67" s="42" t="str">
        <f ca="1">IF(ISERROR(F54),"",_xlfn.TEXTJOIN("/",FALSE,R67,U67))</f>
        <v>41/50</v>
      </c>
      <c r="L67" s="42"/>
      <c r="M67" s="7" t="str">
        <f ca="1">IF(ISERROR(F54),"",IF(ISTEXT(P67),IF(P67="A","Ab",IF(P67="D","Dt",IF(P67="UFM","UFM",IF(P67="NA","-")))),IF(AND(ISBLANK(P67),ISBLANK(R67)),"",IF(P67&lt;0.3*S67,"F",IF(ISBLANK(R67),"",IF(ISTEXT(R67),R67,IF(R67&gt;=0.95*U67,"O",IF(R67&gt;=0.9*U67,"A+",IF(R67&gt;=0.85*U67,"A",IF(R67&gt;=0.8*U67,"B+",IF(R67&gt;=0.75*U67,"B",IF(R67&gt;=0.7*U67,"C+",IF(R67&gt;=0.65*U67,"C",IF(R67&gt;=0.6*U67,"D+",IF(R67&gt;=0.55*U67,"D",IF(R67&gt;=0.5*U67,"E+",IF(R67&gt;=0.45*U67,"E",IF(R67&gt;=0.4*U67,"P",IF(R67&lt;0.4*U67,"F",R67)))))))))))))))))))</f>
        <v>B+</v>
      </c>
      <c r="N67" s="8">
        <f t="shared" ca="1" si="4"/>
        <v>8.5</v>
      </c>
      <c r="O67">
        <f t="shared" si="5"/>
        <v>9</v>
      </c>
      <c r="P67" s="1">
        <f ca="1">IF(ISERROR(F54),"",IF(ISTEXT(VLOOKUP(B54,INDIRECT($F$8),6+(O67-1)*3)),(VLOOKUP(B54,INDIRECT($F$8),6+(O67-1)*3)),SUM(VLOOKUP(B54,INDIRECT($F$8),6+(O67-1)*3),IF(W73,W67,0))))</f>
        <v>22</v>
      </c>
      <c r="Q67" s="1">
        <f ca="1">IF(ISERROR(F54),"",VLOOKUP(B54,INDIRECT($F$8),7+(O67-1)*3))</f>
        <v>19</v>
      </c>
      <c r="R67" s="1">
        <f ca="1">IF(ISERROR(F54),"",SUM(P67:Q67))</f>
        <v>41</v>
      </c>
      <c r="S67" s="1">
        <f ca="1">IF(ISERROR(F54),"",VLOOKUP(A54,INDIRECT($F$8),6+(O67-1)*3))</f>
        <v>30</v>
      </c>
      <c r="T67" s="1">
        <f ca="1">IF(ISERROR(F54),"",VLOOKUP(A54,INDIRECT($F$8),7+(O67-1)*3))</f>
        <v>20</v>
      </c>
      <c r="U67" s="1">
        <f ca="1">IF(ISERROR(F54),"",VLOOKUP(A54,INDIRECT($F$8),8+(O67-1)*3))</f>
        <v>50</v>
      </c>
      <c r="V67" s="1" t="str">
        <f ca="1">IF(ISERROR(F54),"",IF(N67=0,A67,""))</f>
        <v/>
      </c>
      <c r="W67" s="1">
        <f ca="1">IF(ISERROR(F54),"",IF(ISTEXT(VLOOKUP(B54,INDIRECT($F$8),6+(O67-1)*3)),11,IF(VLOOKUP(B54,INDIRECT($F$8),6+(O67-1)*3)&lt;S67*0.3,IF(VLOOKUP(B54,INDIRECT($F$8),8+(O67-1)*3)&lt;U67*0.4,IF(AND(0.4*U67-VLOOKUP(B54,INDIRECT($F$8),8+(O67-1)*3)&lt;=5,0.3*S67-VLOOKUP(B54,INDIRECT($F$8),6+(O67-1)*3)&lt;=5),MAX(0.4*U67-VLOOKUP(B54,INDIRECT($F$8),8+(O67-1)*3),0.3*S67-VLOOKUP(B54,INDIRECT($F$8),6+(O67-1)*3)),11),IF(0.3*S67-VLOOKUP(B54,INDIRECT($F$8),6+(O67-1)*3)&lt;=5,0.3*S67-VLOOKUP(B54,INDIRECT($F$8),6+(O67-1)*3),11)),IF(VLOOKUP(B54,INDIRECT($F$8),8+(O67-1)*3)&lt;U67*0.4,IF(U67*0.4-VLOOKUP(B54,INDIRECT($F$8),8+(O67-1)*3)&lt;=5,U67*0.4-VLOOKUP(B54,INDIRECT($F$8),8+(O67-1)*3),11),0))))</f>
        <v>0</v>
      </c>
      <c r="X67" s="1" t="str">
        <f ca="1">IF(ISERROR(F54),"",IF(W67=0,"",_xlfn.TEXTJOIN("",FALSE," G+",W67," in ",A67)))</f>
        <v/>
      </c>
    </row>
    <row r="68" spans="1:24" ht="11.25" customHeight="1" x14ac:dyDescent="0.2">
      <c r="A68" s="7" t="str">
        <f ca="1">IF(ISERROR(F54),"",VLOOKUP(C54,INDIRECT($F$8),6+(O68-1)*3,0))</f>
        <v>CAP 001</v>
      </c>
      <c r="B68" s="41" t="str">
        <f ca="1">IF(ISERROR(F54),"",VLOOKUP(D54,INDIRECT($F$8),6+(O68-1)*3-Z68,0))</f>
        <v>Database Management System Lab</v>
      </c>
      <c r="C68" s="41"/>
      <c r="D68" s="41"/>
      <c r="E68" s="41"/>
      <c r="F68" s="7">
        <f ca="1">IF(ISERROR(F54),"",VLOOKUP(E54,INDIRECT($F$8),6+(O68-1)*3,0))</f>
        <v>1</v>
      </c>
      <c r="G68" s="42" t="str">
        <f ca="1">IF(ISERROR(F54),"",_xlfn.TEXTJOIN("/",FALSE,P68,S68))</f>
        <v>28/30</v>
      </c>
      <c r="H68" s="42"/>
      <c r="I68" s="42" t="str">
        <f ca="1">IF(ISERROR(F54),"",_xlfn.TEXTJOIN("/",FALSE,Q68,T68))</f>
        <v>18/20</v>
      </c>
      <c r="J68" s="42"/>
      <c r="K68" s="42" t="str">
        <f ca="1">IF(ISERROR(F54),"",_xlfn.TEXTJOIN("/",FALSE,R68,U68))</f>
        <v>46/50</v>
      </c>
      <c r="L68" s="42"/>
      <c r="M68" s="7" t="str">
        <f ca="1">IF(ISERROR(F54),"",IF(ISTEXT(P68),IF(P68="A","Ab",IF(P68="D","Dt",IF(P68="UFM","UFM",IF(P68="NA","-")))),IF(AND(ISBLANK(P68),ISBLANK(R68)),"",IF(P68&lt;0.3*S68,"F",IF(ISBLANK(R68),"",IF(ISTEXT(R68),R68,IF(R68&gt;=0.95*U68,"O",IF(R68&gt;=0.9*U68,"A+",IF(R68&gt;=0.85*U68,"A",IF(R68&gt;=0.8*U68,"B+",IF(R68&gt;=0.75*U68,"B",IF(R68&gt;=0.7*U68,"C+",IF(R68&gt;=0.65*U68,"C",IF(R68&gt;=0.6*U68,"D+",IF(R68&gt;=0.55*U68,"D",IF(R68&gt;=0.5*U68,"E+",IF(R68&gt;=0.45*U68,"E",IF(R68&gt;=0.4*U68,"P",IF(R68&lt;0.4*U68,"F",R68)))))))))))))))))))</f>
        <v>A+</v>
      </c>
      <c r="N68" s="8">
        <f t="shared" ca="1" si="4"/>
        <v>9.5</v>
      </c>
      <c r="O68">
        <f t="shared" si="5"/>
        <v>10</v>
      </c>
      <c r="P68" s="1">
        <f ca="1">IF(ISERROR(F54),"",IF(ISTEXT(VLOOKUP(B54,INDIRECT($F$8),6+(O68-1)*3)),(VLOOKUP(B54,INDIRECT($F$8),6+(O68-1)*3)),SUM(VLOOKUP(B54,INDIRECT($F$8),6+(O68-1)*3),IF(W73,W68,0))))</f>
        <v>28</v>
      </c>
      <c r="Q68" s="1">
        <f ca="1">IF(ISERROR(F54),"",VLOOKUP(B54,INDIRECT($F$8),7+(O68-1)*3))</f>
        <v>18</v>
      </c>
      <c r="R68" s="1">
        <f ca="1">IF(ISERROR(F54),"",SUM(P68:Q68))</f>
        <v>46</v>
      </c>
      <c r="S68" s="1">
        <f ca="1">IF(ISERROR(F54),"",VLOOKUP(A54,INDIRECT($F$8),6+(O68-1)*3))</f>
        <v>30</v>
      </c>
      <c r="T68" s="1">
        <f ca="1">IF(ISERROR(F54),"",VLOOKUP(A54,INDIRECT($F$8),7+(O68-1)*3))</f>
        <v>20</v>
      </c>
      <c r="U68" s="1">
        <f ca="1">IF(ISERROR(F54),"",VLOOKUP(A54,INDIRECT($F$8),8+(O68-1)*3))</f>
        <v>50</v>
      </c>
      <c r="V68" s="1" t="str">
        <f ca="1">IF(ISERROR(F54),"",IF(N68=0,A68,""))</f>
        <v/>
      </c>
      <c r="W68" s="1">
        <f ca="1">IF(ISERROR(F54),"",IF(ISTEXT(VLOOKUP(B54,INDIRECT($F$8),6+(O68-1)*3)),11,IF(VLOOKUP(B54,INDIRECT($F$8),6+(O68-1)*3)&lt;S68*0.3,IF(VLOOKUP(B54,INDIRECT($F$8),8+(O68-1)*3)&lt;U68*0.4,IF(AND(0.4*U68-VLOOKUP(B54,INDIRECT($F$8),8+(O68-1)*3)&lt;=5,0.3*S68-VLOOKUP(B54,INDIRECT($F$8),6+(O68-1)*3)&lt;=5),MAX(0.4*U68-VLOOKUP(B54,INDIRECT($F$8),8+(O68-1)*3),0.3*S68-VLOOKUP(B54,INDIRECT($F$8),6+(O68-1)*3)),11),IF(0.3*S68-VLOOKUP(B54,INDIRECT($F$8),6+(O68-1)*3)&lt;=5,0.3*S68-VLOOKUP(B54,INDIRECT($F$8),6+(O68-1)*3),11)),IF(VLOOKUP(B54,INDIRECT($F$8),8+(O68-1)*3)&lt;U68*0.4,IF(U68*0.4-VLOOKUP(B54,INDIRECT($F$8),8+(O68-1)*3)&lt;=5,U68*0.4-VLOOKUP(B54,INDIRECT($F$8),8+(O68-1)*3),11),0))))</f>
        <v>0</v>
      </c>
      <c r="X68" s="1" t="str">
        <f ca="1">IF(ISERROR(F54),"",IF(W68=0,"",_xlfn.TEXTJOIN("",FALSE," G+",W68," in ",A68)))</f>
        <v/>
      </c>
    </row>
    <row r="69" spans="1:24" ht="11.25" customHeight="1" x14ac:dyDescent="0.2">
      <c r="A69" s="7" t="str">
        <f ca="1">IF(ISERROR(F54),"",VLOOKUP(C54,INDIRECT($F$8),6+(O69-1)*3,0))</f>
        <v>CAP 002</v>
      </c>
      <c r="B69" s="41" t="str">
        <f ca="1">IF(ISERROR(F54),"",VLOOKUP(D54,INDIRECT($F$8),6+(O69-1)*3,0))</f>
        <v>Operating System Lab</v>
      </c>
      <c r="C69" s="41"/>
      <c r="D69" s="41"/>
      <c r="E69" s="41"/>
      <c r="F69" s="7">
        <f ca="1">IF(ISERROR(F54),"",VLOOKUP(E54,INDIRECT($F$8),6+(O69-1)*3,0))</f>
        <v>1</v>
      </c>
      <c r="G69" s="42" t="str">
        <f ca="1">IF(ISERROR(F54),"",_xlfn.TEXTJOIN("/",FALSE,P69,S69))</f>
        <v>30/30</v>
      </c>
      <c r="H69" s="42"/>
      <c r="I69" s="42" t="str">
        <f ca="1">IF(ISERROR(F54),"",_xlfn.TEXTJOIN("/",FALSE,Q69,T69))</f>
        <v>20/20</v>
      </c>
      <c r="J69" s="42"/>
      <c r="K69" s="42" t="str">
        <f ca="1">IF(ISERROR(F54),"",_xlfn.TEXTJOIN("/",FALSE,R69,U69))</f>
        <v>50/50</v>
      </c>
      <c r="L69" s="42"/>
      <c r="M69" s="7" t="str">
        <f ca="1">IF(ISERROR(F54),"",IF(ISTEXT(P69),IF(P69="A","Ab",IF(P69="D","Dt",IF(P69="UFM","UFM",IF(P69="NA","-")))),IF(AND(ISBLANK(P69),ISBLANK(R69)),"",IF(P69&lt;0.3*S69,"F",IF(ISBLANK(R69),"",IF(ISTEXT(R69),R69,IF(R69&gt;=0.95*U69,"O",IF(R69&gt;=0.9*U69,"A+",IF(R69&gt;=0.85*U69,"A",IF(R69&gt;=0.8*U69,"B+",IF(R69&gt;=0.75*U69,"B",IF(R69&gt;=0.7*U69,"C+",IF(R69&gt;=0.65*U69,"C",IF(R69&gt;=0.6*U69,"D+",IF(R69&gt;=0.55*U69,"D",IF(R69&gt;=0.5*U69,"E+",IF(R69&gt;=0.45*U69,"E",IF(R69&gt;=0.4*U69,"P",IF(R69&lt;0.4*U69,"F",R69)))))))))))))))))))</f>
        <v>O</v>
      </c>
      <c r="N69" s="8">
        <f t="shared" ca="1" si="4"/>
        <v>10</v>
      </c>
      <c r="O69">
        <f t="shared" si="5"/>
        <v>11</v>
      </c>
      <c r="P69" s="1">
        <f ca="1">IF(ISERROR(F54),"",IF(ISTEXT(VLOOKUP(B54,INDIRECT($F$8),6+(O69-1)*3)),(VLOOKUP(B54,INDIRECT($F$8),6+(O69-1)*3)),SUM(VLOOKUP(B54,INDIRECT($F$8),6+(O69-1)*3),IF(W73,W69,0))))</f>
        <v>30</v>
      </c>
      <c r="Q69" s="1">
        <f ca="1">IF(ISERROR(F54),"",VLOOKUP(B54,INDIRECT($F$8),7+(O69-1)*3))</f>
        <v>20</v>
      </c>
      <c r="R69" s="1">
        <f ca="1">IF(ISERROR(F54),"",SUM(P69:Q69))</f>
        <v>50</v>
      </c>
      <c r="S69" s="1">
        <f ca="1">IF(ISERROR(F54),"",VLOOKUP(A54,INDIRECT($F$8),6+(O69-1)*3))</f>
        <v>30</v>
      </c>
      <c r="T69" s="1">
        <f ca="1">IF(ISERROR(F54),"",VLOOKUP(A54,INDIRECT($F$8),7+(O69-1)*3))</f>
        <v>20</v>
      </c>
      <c r="U69" s="1">
        <f ca="1">IF(ISERROR(F54),"",VLOOKUP(A54,INDIRECT($F$8),8+(O69-1)*3))</f>
        <v>50</v>
      </c>
      <c r="V69" s="1" t="str">
        <f ca="1">IF(ISERROR(F54),"",IF(N69=0,A69,""))</f>
        <v/>
      </c>
      <c r="W69" s="1">
        <f ca="1">IF(ISERROR(F54),"",IF(ISTEXT(VLOOKUP(B54,INDIRECT($F$8),6+(O69-1)*3)),11,IF(VLOOKUP(B54,INDIRECT($F$8),6+(O69-1)*3)&lt;S69*0.3,IF(VLOOKUP(B54,INDIRECT($F$8),8+(O69-1)*3)&lt;U69*0.4,IF(AND(0.4*U69-VLOOKUP(B54,INDIRECT($F$8),8+(O69-1)*3)&lt;=5,0.3*S69-VLOOKUP(B54,INDIRECT($F$8),6+(O69-1)*3)&lt;=5),MAX(0.4*U69-VLOOKUP(B54,INDIRECT($F$8),8+(O69-1)*3),0.3*S69-VLOOKUP(B54,INDIRECT($F$8),6+(O69-1)*3)),11),IF(0.3*S69-VLOOKUP(B54,INDIRECT($F$8),6+(O69-1)*3)&lt;=5,0.3*S69-VLOOKUP(B54,INDIRECT($F$8),6+(O69-1)*3),11)),IF(VLOOKUP(B54,INDIRECT($F$8),8+(O69-1)*3)&lt;U69*0.4,IF(U69*0.4-VLOOKUP(B54,INDIRECT($F$8),8+(O69-1)*3)&lt;=5,U69*0.4-VLOOKUP(B54,INDIRECT($F$8),8+(O69-1)*3),11),0))))</f>
        <v>0</v>
      </c>
      <c r="X69" s="1" t="str">
        <f ca="1">IF(ISERROR(F54),"",IF(W69=0,"",_xlfn.TEXTJOIN("",FALSE," G+",W69," in ",A69)))</f>
        <v/>
      </c>
    </row>
    <row r="70" spans="1:24" ht="11.25" customHeight="1" x14ac:dyDescent="0.2">
      <c r="A70" s="7" t="str">
        <f ca="1">IF(ISERROR(F54),"",VLOOKUP(C54,INDIRECT($F$8),6+(O70-1)*3,0))</f>
        <v>CAP 003</v>
      </c>
      <c r="B70" s="41" t="str">
        <f ca="1">IF(ISERROR(F54),"",VLOOKUP(D54,INDIRECT($F$8),6+(O70-1)*3,0))</f>
        <v>Computer Organization Lab</v>
      </c>
      <c r="C70" s="41"/>
      <c r="D70" s="41"/>
      <c r="E70" s="41"/>
      <c r="F70" s="7">
        <f ca="1">IF(ISERROR(F54),"",VLOOKUP(E54,INDIRECT($F$8),6+(O70-1)*3,0))</f>
        <v>1</v>
      </c>
      <c r="G70" s="42" t="str">
        <f ca="1">IF(ISERROR(F54),"",_xlfn.TEXTJOIN("/",FALSE,P70,S70))</f>
        <v>27/30</v>
      </c>
      <c r="H70" s="42"/>
      <c r="I70" s="42" t="str">
        <f ca="1">IF(ISERROR(F54),"",_xlfn.TEXTJOIN("/",FALSE,Q70,T70))</f>
        <v>20/20</v>
      </c>
      <c r="J70" s="42"/>
      <c r="K70" s="42" t="str">
        <f ca="1">IF(ISERROR(F54),"",_xlfn.TEXTJOIN("/",FALSE,R70,U70))</f>
        <v>47/50</v>
      </c>
      <c r="L70" s="42"/>
      <c r="M70" s="7" t="str">
        <f ca="1">IF(ISERROR(F54),"",IF(ISTEXT(P70),IF(P70="A","Ab",IF(P70="D","Dt",IF(P70="UFM","UFM",IF(P70="NA","-")))),IF(AND(ISBLANK(P70),ISBLANK(R70)),"",IF(P70&lt;0.3*S70,"F",IF(ISBLANK(R70),"",IF(ISTEXT(R70),R70,IF(R70&gt;=0.95*U70,"O",IF(R70&gt;=0.9*U70,"A+",IF(R70&gt;=0.85*U70,"A",IF(R70&gt;=0.8*U70,"B+",IF(R70&gt;=0.75*U70,"B",IF(R70&gt;=0.7*U70,"C+",IF(R70&gt;=0.65*U70,"C",IF(R70&gt;=0.6*U70,"D+",IF(R70&gt;=0.55*U70,"D",IF(R70&gt;=0.5*U70,"E+",IF(R70&gt;=0.45*U70,"E",IF(R70&gt;=0.4*U70,"P",IF(R70&lt;0.4*U70,"F",R70)))))))))))))))))))</f>
        <v>A+</v>
      </c>
      <c r="N70" s="8">
        <f t="shared" ca="1" si="4"/>
        <v>9.5</v>
      </c>
      <c r="O70">
        <f t="shared" si="5"/>
        <v>12</v>
      </c>
      <c r="P70" s="1">
        <f ca="1">IF(ISERROR(F54),"",IF(ISTEXT(VLOOKUP(B54,INDIRECT($F$8),6+(O70-1)*3)),(VLOOKUP(B54,INDIRECT($F$8),6+(O70-1)*3)),SUM(VLOOKUP(B54,INDIRECT($F$8),6+(O70-1)*3),IF(W73,W70,0))))</f>
        <v>27</v>
      </c>
      <c r="Q70" s="1">
        <f ca="1">IF(ISERROR(F54),"",VLOOKUP(B54,INDIRECT($F$8),7+(O70-1)*3))</f>
        <v>20</v>
      </c>
      <c r="R70" s="1">
        <f ca="1">IF(ISERROR(F54),"",SUM(P70:Q70))</f>
        <v>47</v>
      </c>
      <c r="S70" s="1">
        <f ca="1">IF(ISERROR(F54),"",VLOOKUP(A54,INDIRECT($F$8),6+(O70-1)*3))</f>
        <v>30</v>
      </c>
      <c r="T70" s="1">
        <f ca="1">IF(ISERROR(F54),"",VLOOKUP(A54,INDIRECT($F$8),7+(O70-1)*3))</f>
        <v>20</v>
      </c>
      <c r="U70" s="1">
        <f ca="1">IF(ISERROR(F54),"",VLOOKUP(A54,INDIRECT($F$8),8+(O70-1)*3))</f>
        <v>50</v>
      </c>
      <c r="V70" s="1" t="str">
        <f ca="1">IF(ISERROR(F54),"",IF(N70=0,A70,""))</f>
        <v/>
      </c>
      <c r="W70" s="1">
        <f ca="1">IF(ISERROR(F54),"",IF(ISTEXT(VLOOKUP(B54,INDIRECT($F$8),6+(O70-1)*3)),11,IF(VLOOKUP(B54,INDIRECT($F$8),6+(O70-1)*3)&lt;S70*0.3,IF(VLOOKUP(B54,INDIRECT($F$8),8+(O70-1)*3)&lt;U70*0.4,IF(AND(0.4*U70-VLOOKUP(B54,INDIRECT($F$8),8+(O70-1)*3)&lt;=5,0.3*S70-VLOOKUP(B54,INDIRECT($F$8),6+(O70-1)*3)&lt;=5),MAX(0.4*U70-VLOOKUP(B54,INDIRECT($F$8),8+(O70-1)*3),0.3*S70-VLOOKUP(B54,INDIRECT($F$8),6+(O70-1)*3)),11),IF(0.3*S70-VLOOKUP(B54,INDIRECT($F$8),6+(O70-1)*3)&lt;=5,0.3*S70-VLOOKUP(B54,INDIRECT($F$8),6+(O70-1)*3),11)),IF(VLOOKUP(B54,INDIRECT($F$8),8+(O70-1)*3)&lt;U70*0.4,IF(U70*0.4-VLOOKUP(B54,INDIRECT($F$8),8+(O70-1)*3)&lt;=5,U70*0.4-VLOOKUP(B54,INDIRECT($F$8),8+(O70-1)*3),11),0))))</f>
        <v>0</v>
      </c>
      <c r="X70" s="1" t="str">
        <f ca="1">IF(ISERROR(F54),"",IF(W70=0,"",_xlfn.TEXTJOIN("",FALSE," G+",W70," in ",A70)))</f>
        <v/>
      </c>
    </row>
    <row r="71" spans="1:24" ht="11.25" customHeight="1" x14ac:dyDescent="0.2">
      <c r="A71" s="7" t="str">
        <f ca="1">IF(ISERROR(F54),"",VLOOKUP(C54,INDIRECT($F$8),6+(O71-1)*3,0))</f>
        <v>AHP 303</v>
      </c>
      <c r="B71" s="41" t="str">
        <f ca="1">IF(ISERROR(F54),"",VLOOKUP(D54,INDIRECT($F$8),6+(O71-1)*3,0))</f>
        <v>Technical Communication Skills</v>
      </c>
      <c r="C71" s="41"/>
      <c r="D71" s="41"/>
      <c r="E71" s="41"/>
      <c r="F71" s="7">
        <f ca="1">IF(ISERROR(F54),"",VLOOKUP(E54,INDIRECT($F$8),6+(O71-1)*3,0))</f>
        <v>1</v>
      </c>
      <c r="G71" s="42" t="str">
        <f ca="1">IF(ISERROR(F54),"",_xlfn.TEXTJOIN("/",FALSE,P71,S71))</f>
        <v>30/30</v>
      </c>
      <c r="H71" s="42"/>
      <c r="I71" s="42" t="str">
        <f ca="1">IF(ISERROR(F54),"",_xlfn.TEXTJOIN("/",FALSE,Q71,T71))</f>
        <v>16/20</v>
      </c>
      <c r="J71" s="42"/>
      <c r="K71" s="42" t="str">
        <f ca="1">IF(ISERROR(F54),"",_xlfn.TEXTJOIN("/",FALSE,R71,U71))</f>
        <v>46/50</v>
      </c>
      <c r="L71" s="42"/>
      <c r="M71" s="7" t="str">
        <f ca="1">IF(ISERROR(F54),"",IF(ISTEXT(P71),IF(P71="A","Ab",IF(P71="D","Dt",IF(P71="UFM","UFM",IF(P71="NA","-")))),IF(AND(ISBLANK(P71),ISBLANK(R71)),"",IF(P71&lt;0.3*S71,"F",IF(ISBLANK(R71),"",IF(ISTEXT(R71),R71,IF(R71&gt;=0.95*U71,"O",IF(R71&gt;=0.9*U71,"A+",IF(R71&gt;=0.85*U71,"A",IF(R71&gt;=0.8*U71,"B+",IF(R71&gt;=0.75*U71,"B",IF(R71&gt;=0.7*U71,"C+",IF(R71&gt;=0.65*U71,"C",IF(R71&gt;=0.6*U71,"D+",IF(R71&gt;=0.55*U71,"D",IF(R71&gt;=0.5*U71,"E+",IF(R71&gt;=0.45*U71,"E",IF(R71&gt;=0.4*U71,"P",IF(R71&lt;0.4*U71,"F",R71)))))))))))))))))))</f>
        <v>A+</v>
      </c>
      <c r="N71" s="8">
        <f t="shared" ca="1" si="4"/>
        <v>9.5</v>
      </c>
      <c r="O71">
        <f t="shared" si="5"/>
        <v>13</v>
      </c>
      <c r="P71" s="1">
        <f ca="1">IF(ISERROR(F54),"",IF(ISTEXT(VLOOKUP(B54,INDIRECT($F$8),6+(O71-1)*3)),(VLOOKUP(B54,INDIRECT($F$8),6+(O71-1)*3)),SUM(VLOOKUP(B54,INDIRECT($F$8),6+(O71-1)*3),IF(W73,W71,0))))</f>
        <v>30</v>
      </c>
      <c r="Q71" s="1">
        <f ca="1">IF(ISERROR(F54),"",VLOOKUP(B54,INDIRECT($F$8),7+(O71-1)*3))</f>
        <v>16</v>
      </c>
      <c r="R71" s="1">
        <f ca="1">IF(ISERROR(F54),"",SUM(P71:Q71))</f>
        <v>46</v>
      </c>
      <c r="S71" s="1">
        <f ca="1">IF(ISERROR(F54),"",VLOOKUP(A54,INDIRECT($F$8),6+(O71-1)*3))</f>
        <v>30</v>
      </c>
      <c r="T71" s="1">
        <f ca="1">IF(ISERROR(F54),"",VLOOKUP(A54,INDIRECT($F$8),7+(O71-1)*3))</f>
        <v>20</v>
      </c>
      <c r="U71" s="1">
        <f ca="1">IF(ISERROR(F54),"",VLOOKUP(A54,INDIRECT($F$8),8+(O71-1)*3))</f>
        <v>50</v>
      </c>
      <c r="V71" s="1"/>
      <c r="W71" s="1">
        <f ca="1">IF(ISERROR(F54),"",IF(ISTEXT(VLOOKUP(B54,INDIRECT($F$8),6+(O71-1)*3)),11,IF(VLOOKUP(B54,INDIRECT($F$8),6+(O71-1)*3)&lt;S71*0.3,IF(VLOOKUP(B54,INDIRECT($F$8),8+(O71-1)*3)&lt;U71*0.4,IF(AND(0.4*U71-VLOOKUP(B54,INDIRECT($F$8),8+(O71-1)*3)&lt;=5,0.3*S71-VLOOKUP(B54,INDIRECT($F$8),6+(O71-1)*3)&lt;=5),MAX(0.4*U71-VLOOKUP(B54,INDIRECT($F$8),8+(O71-1)*3),0.3*S71-VLOOKUP(B54,INDIRECT($F$8),6+(O71-1)*3)),11),IF(0.3*S71-VLOOKUP(B54,INDIRECT($F$8),6+(O71-1)*3)&lt;=5,0.3*S71-VLOOKUP(B54,INDIRECT($F$8),6+(O71-1)*3),11)),IF(VLOOKUP(B54,INDIRECT($F$8),8+(O71-1)*3)&lt;U71*0.4,IF(U71*0.4-VLOOKUP(B54,INDIRECT($F$8),8+(O71-1)*3)&lt;=5,U71*0.4-VLOOKUP(B54,INDIRECT($F$8),8+(O71-1)*3),11),0))))</f>
        <v>0</v>
      </c>
      <c r="X71" s="1" t="str">
        <f ca="1">IF(ISERROR(F54),"",IF(W71=0,"",_xlfn.TEXTJOIN("",FALSE," G+",W71," in ",A71)))</f>
        <v/>
      </c>
    </row>
    <row r="72" spans="1:24" s="32" customFormat="1" ht="11.25" customHeight="1" x14ac:dyDescent="0.2">
      <c r="A72" s="31">
        <f ca="1">IF(ISERROR(F54),"",VLOOKUP(C54,INDIRECT($F$8),6+(O72-1)*3-Y72,0))</f>
        <v>0</v>
      </c>
      <c r="B72" s="49">
        <f ca="1">IF(ISERROR(F54),"",VLOOKUP(D54,INDIRECT($F$8),6+(O72-1)*3-Z72,0))</f>
        <v>0</v>
      </c>
      <c r="C72" s="49"/>
      <c r="D72" s="49"/>
      <c r="E72" s="49"/>
      <c r="F72" s="31">
        <f ca="1">IF(ISERROR(F54),"",VLOOKUP(E54,INDIRECT($F$8),6+(O72-1)*3-AA72,0))</f>
        <v>0</v>
      </c>
      <c r="G72" s="50" t="str">
        <f ca="1">IF(ISERROR(F54),"","-")</f>
        <v>-</v>
      </c>
      <c r="H72" s="50"/>
      <c r="I72" s="50" t="str">
        <f ca="1">IF(ISERROR(F54),"",_xlfn.TEXTJOIN("/",FALSE,Q72,T72))</f>
        <v>0/0</v>
      </c>
      <c r="J72" s="50"/>
      <c r="K72" s="50" t="str">
        <f ca="1">IF(ISERROR(F54),"",_xlfn.TEXTJOIN("/",FALSE,R72,U72))</f>
        <v>0/0</v>
      </c>
      <c r="L72" s="50"/>
      <c r="M72" s="50" t="str">
        <f ca="1">IF(ISBLANK(R72),"",IF(ISTEXT(R72),R72,IF(R72&gt;=0.8*U72,"Excellent",IF(R72&gt;=0.6*U72,"Very Good",IF(R72&gt;=0.4*U72,"Good",IF(R72&gt;=0.2*U72,"Satisfactory","Average"))))))</f>
        <v>Excellent</v>
      </c>
      <c r="N72" s="50"/>
      <c r="O72" s="32">
        <f t="shared" si="5"/>
        <v>14</v>
      </c>
      <c r="P72" s="33">
        <f ca="1">IF(ISERROR(F54),"",IF(ISTEXT(VLOOKUP(B\28,INDIRECT($F$8),6+(O72-1)*3)),(VLOOKUP(B54,INDIRECT($F$8),6+(O72-1)*3)),SUM(VLOOKUP(B54,INDIRECT($F$8),6+(O72-1)*3),IF(W73,W72,0))))</f>
        <v>0</v>
      </c>
      <c r="Q72" s="33">
        <f ca="1">IF(ISERROR(F54),"",VLOOKUP(B54,INDIRECT($F$8),7+(O72-1)*3))</f>
        <v>0</v>
      </c>
      <c r="R72" s="33">
        <f ca="1">IF(ISERROR(F54),"",SUM(P72:Q72))</f>
        <v>0</v>
      </c>
      <c r="S72" s="33">
        <f ca="1">IF(ISERROR(F54),"",VLOOKUP(A54,INDIRECT($F$8),6+(O72-1)*3))</f>
        <v>0</v>
      </c>
      <c r="T72" s="33">
        <f ca="1">IF(ISERROR(F54),"",VLOOKUP(A54,INDIRECT($F$8),7+(O72-1)*3))</f>
        <v>0</v>
      </c>
      <c r="U72" s="33">
        <f ca="1">IF(ISERROR(F54),"",VLOOKUP(A54,INDIRECT($F$8),8+(O72-1)*3))</f>
        <v>0</v>
      </c>
      <c r="V72" s="33"/>
      <c r="W72" s="33"/>
      <c r="X72" s="33" t="str">
        <f ca="1">IF(ISERROR(F54),"",IF(W72=0,"",_xlfn.TEXTJOIN("",FALSE," G+",W72," in ",A72)))</f>
        <v/>
      </c>
    </row>
    <row r="73" spans="1:24" ht="11.25" customHeight="1" x14ac:dyDescent="0.2">
      <c r="A73" s="43" t="str">
        <f ca="1">IF(ISERROR(F54),"",A50)</f>
        <v>Total Credits/ Marks/ Total Grade Points</v>
      </c>
      <c r="B73" s="43"/>
      <c r="C73" s="43"/>
      <c r="D73" s="43"/>
      <c r="E73" s="43"/>
      <c r="F73" s="10">
        <f ca="1">IF(ISERROR(F54),"",SUM(F59:F72))</f>
        <v>24</v>
      </c>
      <c r="G73" s="44" t="str">
        <f ca="1">IF(ISERROR(F54),"",_xlfn.TEXTJOIN("/",TRUE,SUMIF(F59:F72,"&gt;0",P59:P72),SUMIF(F59:F72,"&gt;0",S59:S72)))</f>
        <v>528/620</v>
      </c>
      <c r="H73" s="44"/>
      <c r="I73" s="44" t="str">
        <f ca="1">IF(ISERROR(F54),"",_xlfn.TEXTJOIN("/",TRUE,SUMIF(F59:F72,"&gt;0",Q59:Q72),SUMIF(F59:F72,"&gt;0",T59:T72)))</f>
        <v>311/330</v>
      </c>
      <c r="J73" s="44"/>
      <c r="K73" s="44" t="str">
        <f ca="1">IF(ISERROR(F54),"",_xlfn.TEXTJOIN("/",TRUE,SUMIF(F59:F72,"&gt;0",R59:R72),SUMIF(F59:F72,"&gt;0",U59:U72)))</f>
        <v>839/950</v>
      </c>
      <c r="L73" s="44"/>
      <c r="M73" s="43">
        <f ca="1">IF(ISERROR(F54),"",SUMPRODUCT(N59:N71,F59:F71))</f>
        <v>218.5</v>
      </c>
      <c r="N73" s="43"/>
      <c r="V73" s="1" t="str">
        <f ca="1">IF(ISERROR(F54),"",_xlfn.TEXTJOIN(", ",TRUE,V59:V72))</f>
        <v/>
      </c>
      <c r="W73" t="b">
        <f ca="1">IF(ISERROR(F54),"",IF(SUM(W59:W72)&lt;=W58,TRUE,FALSE))</f>
        <v>1</v>
      </c>
      <c r="X73" s="1" t="str">
        <f ca="1">_xlfn.TEXTJOIN(",",TRUE,X59:X72)</f>
        <v/>
      </c>
    </row>
    <row r="74" spans="1:24" ht="11.25" customHeight="1" x14ac:dyDescent="0.2">
      <c r="A74" s="43" t="str">
        <f ca="1">IF(ISERROR(F54),"",A51)</f>
        <v>Result:</v>
      </c>
      <c r="B74" s="45" t="str">
        <f ca="1">IF(ISERROR(F54),"",IF(V73="","PASS","CARRY OVER"))</f>
        <v>PASS</v>
      </c>
      <c r="C74" s="45"/>
      <c r="D74" s="43" t="str">
        <f ca="1">IF(ISERROR(F54),"",D51)</f>
        <v>Remark:</v>
      </c>
      <c r="E74" s="45" t="str">
        <f ca="1">IF(ISERROR(F54),"",IF(W73,X73,IF(V73="","",_xlfn.TEXTJOIN("",TRUE,"BACK IN ",V73))))</f>
        <v/>
      </c>
      <c r="F74" s="45"/>
      <c r="G74" s="43" t="str">
        <f ca="1">IF(ISERROR(F54),"",G51)</f>
        <v>SGPA:</v>
      </c>
      <c r="H74" s="46">
        <f ca="1">IF(ISERROR(F54),"",M73/F73)</f>
        <v>9.1041666666666661</v>
      </c>
      <c r="I74" s="43" t="str">
        <f ca="1">IF(ISERROR(F54),"",I51)</f>
        <v>CGPA:</v>
      </c>
      <c r="J74" s="46">
        <f ca="1">IF(ISERROR(F54),"",VLOOKUP(B54,INDIRECT($F$8),12+(O72-1)*3,0))</f>
        <v>9.1041666666666661</v>
      </c>
      <c r="K74" s="45" t="str">
        <f ca="1">IF(ISERROR(F54),"",K51)</f>
        <v>Earned Credits:</v>
      </c>
      <c r="L74" s="43">
        <f ca="1">IF(ISERROR(F54),"",SUMIF(N59:N71,"&gt;0",F59:F71))</f>
        <v>24</v>
      </c>
      <c r="M74" s="45" t="str">
        <f ca="1">IF(ISERROR(F54),"",M51)</f>
        <v>Cuml. Earned Credits:</v>
      </c>
      <c r="N74" s="43">
        <f ca="1">IF(ISERROR(F54),"",VLOOKUP(B54,INDIRECT($F$8),10+(O72-1)*3,0))</f>
        <v>24</v>
      </c>
    </row>
    <row r="75" spans="1:24" ht="11.25" customHeight="1" x14ac:dyDescent="0.2">
      <c r="A75" s="43"/>
      <c r="B75" s="45"/>
      <c r="C75" s="45"/>
      <c r="D75" s="43"/>
      <c r="E75" s="45"/>
      <c r="F75" s="45"/>
      <c r="G75" s="43"/>
      <c r="H75" s="46"/>
      <c r="I75" s="43"/>
      <c r="J75" s="46"/>
      <c r="K75" s="45"/>
      <c r="L75" s="43"/>
      <c r="M75" s="45"/>
      <c r="N75" s="43"/>
    </row>
    <row r="76" spans="1:24" ht="15" x14ac:dyDescent="0.2">
      <c r="A76" s="43"/>
      <c r="B76" s="45"/>
      <c r="C76" s="45"/>
      <c r="D76" s="43"/>
      <c r="E76" s="45"/>
      <c r="F76" s="45"/>
      <c r="G76" s="43"/>
      <c r="H76" s="46"/>
      <c r="I76" s="43"/>
      <c r="J76" s="46"/>
      <c r="K76" s="45"/>
      <c r="L76" s="43"/>
      <c r="M76" s="45"/>
      <c r="N76" s="43"/>
    </row>
    <row r="77" spans="1:24" ht="11.25" customHeight="1" x14ac:dyDescent="0.2">
      <c r="A77" s="11" t="str">
        <f>A54</f>
        <v>MM</v>
      </c>
      <c r="B77" s="11">
        <f>B54+1</f>
        <v>4</v>
      </c>
      <c r="C77" s="11" t="str">
        <f>C54</f>
        <v>SC</v>
      </c>
      <c r="D77" s="11" t="str">
        <f>D54</f>
        <v>SN</v>
      </c>
      <c r="E77" s="11" t="str">
        <f>E54</f>
        <v>C</v>
      </c>
      <c r="F77" s="11" t="str">
        <f ca="1">VLOOKUP(B77,INDIRECT($F$8),4,0)</f>
        <v>AYUSH SINGH RAWAT</v>
      </c>
    </row>
    <row r="78" spans="1:24" ht="11.25" customHeight="1" x14ac:dyDescent="0.2">
      <c r="A78" s="47" t="str">
        <f ca="1">IF(ISERROR(F77),"",A55)</f>
        <v>Name:</v>
      </c>
      <c r="B78" s="47" t="str">
        <f ca="1">IFERROR(VLOOKUP(B77,INDIRECT($F$8),4,0),"")</f>
        <v>AYUSH SINGH RAWAT</v>
      </c>
      <c r="C78" s="47"/>
      <c r="D78" s="47" t="str">
        <f ca="1">IF(ISERROR(F77),"",D55)</f>
        <v>Father's Name:</v>
      </c>
      <c r="E78" s="47" t="str">
        <f ca="1">IFERROR(VLOOKUP(B77,INDIRECT($F$8),5,0),"")</f>
        <v>RAJENDRA SINGH RAWAT</v>
      </c>
      <c r="F78" s="47"/>
      <c r="G78" s="47" t="str">
        <f ca="1">IF(ISERROR(F77),"",G55)</f>
        <v>University Roll No:</v>
      </c>
      <c r="H78" s="47"/>
      <c r="I78" s="48">
        <f ca="1">IFERROR(VLOOKUP(B77,INDIRECT($F$8),2,0),"")</f>
        <v>250090600004</v>
      </c>
      <c r="J78" s="48"/>
      <c r="K78" s="47" t="str">
        <f ca="1">IF(ISERROR(F77),"",K55)</f>
        <v>University Enrol. No:</v>
      </c>
      <c r="L78" s="47"/>
      <c r="M78" s="48" t="str">
        <f ca="1">IFERROR(VLOOKUP(B77,INDIRECT($F$8),3,0),"")</f>
        <v>UTU/2506100116</v>
      </c>
      <c r="N78" s="48"/>
    </row>
    <row r="79" spans="1:24" ht="15" x14ac:dyDescent="0.2">
      <c r="A79" s="47"/>
      <c r="B79" s="47"/>
      <c r="C79" s="47"/>
      <c r="D79" s="47"/>
      <c r="E79" s="47"/>
      <c r="F79" s="47"/>
      <c r="G79" s="47"/>
      <c r="H79" s="47"/>
      <c r="I79" s="48"/>
      <c r="J79" s="48"/>
      <c r="K79" s="47"/>
      <c r="L79" s="47"/>
      <c r="M79" s="48"/>
      <c r="N79" s="48"/>
    </row>
    <row r="80" spans="1:24" ht="11.25" customHeight="1" x14ac:dyDescent="0.2">
      <c r="A80" s="45" t="str">
        <f ca="1">IF(ISERROR(F77),"",A57)</f>
        <v>Subject Code</v>
      </c>
      <c r="B80" s="45" t="str">
        <f ca="1">IF(ISERROR(F77),"",B57)</f>
        <v>Subject Name</v>
      </c>
      <c r="C80" s="45"/>
      <c r="D80" s="45"/>
      <c r="E80" s="45"/>
      <c r="F80" s="45" t="str">
        <f ca="1">IF(ISERROR(F77),"",F57)</f>
        <v>Credits</v>
      </c>
      <c r="G80" s="45" t="str">
        <f ca="1">IF(ISERROR(F77),"",G57)</f>
        <v>External Marks</v>
      </c>
      <c r="H80" s="45"/>
      <c r="I80" s="45" t="str">
        <f ca="1">IF(ISERROR(F77),"",I57)</f>
        <v>Sessional Marks</v>
      </c>
      <c r="J80" s="45"/>
      <c r="K80" s="45" t="str">
        <f ca="1">IF(ISERROR(F77),"",K57)</f>
        <v>Total Marks</v>
      </c>
      <c r="L80" s="45"/>
      <c r="M80" s="45" t="str">
        <f ca="1">IF(ISERROR(F77),"",M57)</f>
        <v>Grade</v>
      </c>
      <c r="N80" s="45" t="str">
        <f ca="1">IF(ISERROR(F77),"",N57)</f>
        <v>Grade Points</v>
      </c>
    </row>
    <row r="81" spans="1:24" ht="15" x14ac:dyDescent="0.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W81">
        <f ca="1">IF(ISNUMBER(MATCH($F$8,{"I","III","V","VII"},0)),10,10-INDEX(INDIRECT(_xlfn.TEXTJOIN("",TRUE,"SEM_",$G$8,"!",ADDRESS(6,4+$I$8*3+4),":",ADDRESS(5+$H$8,4+$I$8*3+4))),MATCH(INDIRECT(_xlfn.TEXTJOIN("",TRUE,"TC_",$F$8,"!",ADDRESS(ROW(I78),COLUMN(I78)))),INDIRECT(_xlfn.TEXTJOIN("",TRUE,"SEM_",$G$8,"!",ADDRESS(6,2),":",ADDRESS(5+$H$8,2))))))</f>
        <v>10</v>
      </c>
    </row>
    <row r="82" spans="1:24" ht="11.25" customHeight="1" x14ac:dyDescent="0.2">
      <c r="A82" s="7" t="str">
        <f ca="1">IF(ISERROR(F77),"",VLOOKUP(C77,INDIRECT($F$8),6+(O82-1)*3,0))</f>
        <v>CAT 004</v>
      </c>
      <c r="B82" s="41" t="str">
        <f ca="1">IF(ISERROR(F77),"",VLOOKUP(D77,INDIRECT($F$8),6+(O82-1)*3,0))</f>
        <v>Discrete Structure</v>
      </c>
      <c r="C82" s="41"/>
      <c r="D82" s="41"/>
      <c r="E82" s="41"/>
      <c r="F82" s="7">
        <f ca="1">IF(ISERROR(F77),"",VLOOKUP(E77,INDIRECT($F$8),6+(O82-1)*3,0))</f>
        <v>4</v>
      </c>
      <c r="G82" s="42" t="str">
        <f ca="1">IF(ISERROR(F77),"",_xlfn.TEXTJOIN("/",FALSE,P82,S82))</f>
        <v>48/100</v>
      </c>
      <c r="H82" s="42"/>
      <c r="I82" s="42" t="str">
        <f ca="1">IF(ISERROR(F77),"",_xlfn.TEXTJOIN("/",FALSE,Q82,T82))</f>
        <v>42/50</v>
      </c>
      <c r="J82" s="42"/>
      <c r="K82" s="42" t="str">
        <f ca="1">IF(ISERROR(F77),"",_xlfn.TEXTJOIN("/",FALSE,R82,U82))</f>
        <v>90/150</v>
      </c>
      <c r="L82" s="42"/>
      <c r="M82" s="7" t="str">
        <f ca="1">IF(ISERROR(F77),"",IF(ISTEXT(P82),IF(P82="A","Ab",IF(P82="D","Dt",IF(P82="UFM","UFM",IF(P82="NA","-")))),IF(AND(ISBLANK(P82),ISBLANK(R82)),"",IF(P82&lt;0.3*S82,"F",IF(ISBLANK(R82),"",IF(ISTEXT(R82),R82,IF(R82&gt;=0.95*U82,"O",IF(R82&gt;=0.9*U82,"A+",IF(R82&gt;=0.85*U82,"A",IF(R82&gt;=0.8*U82,"B+",IF(R82&gt;=0.75*U82,"B",IF(R82&gt;=0.7*U82,"C+",IF(R82&gt;=0.65*U82,"C",IF(R82&gt;=0.6*U82,"D+",IF(R82&gt;=0.55*U82,"D",IF(R82&gt;=0.5*U82,"E+",IF(R82&gt;=0.45*U82,"E",IF(R82&gt;=0.4*U82,"P",IF(R82&lt;0.4*U82,"F",R82)))))))))))))))))))</f>
        <v>D+</v>
      </c>
      <c r="N82" s="8">
        <f ca="1">INDEX($Z$2:$Z$18,MATCH(M82,$Y$2:$Y$18,0))</f>
        <v>6.5</v>
      </c>
      <c r="O82">
        <v>1</v>
      </c>
      <c r="P82" s="1">
        <f ca="1">IF(ISERROR(F77),"",IF(ISTEXT(VLOOKUP(B77,INDIRECT($F$8),6+(O82-1)*3)),(VLOOKUP(B77,INDIRECT($F$8),6+(O82-1)*3)),SUM(VLOOKUP(B77,INDIRECT($F$8),6+(O82-1)*3),IF(W96,W82,0))))</f>
        <v>48</v>
      </c>
      <c r="Q82" s="1">
        <f ca="1">IF(ISERROR(F77),"",VLOOKUP(B77,INDIRECT($F$8),7+(O82-1)*3))</f>
        <v>42</v>
      </c>
      <c r="R82" s="1">
        <f ca="1">IF(ISERROR(F77),"",SUM(P82:Q82))</f>
        <v>90</v>
      </c>
      <c r="S82" s="1">
        <f ca="1">IF(ISERROR(F77),"",VLOOKUP(A77,INDIRECT($F$8),6+(O82-1)*3))</f>
        <v>100</v>
      </c>
      <c r="T82" s="1">
        <f ca="1">IF(ISERROR(F77),"",VLOOKUP(A77,INDIRECT($F$8),7+(O82-1)*3))</f>
        <v>50</v>
      </c>
      <c r="U82" s="1">
        <f ca="1">IF(ISERROR(F77),"",VLOOKUP(A77,INDIRECT($F$8),8+(O82-1)*3))</f>
        <v>150</v>
      </c>
      <c r="V82" s="1" t="str">
        <f ca="1">IF(ISERROR(F77),"",IF(N82=0,A82,""))</f>
        <v/>
      </c>
      <c r="W82" s="1">
        <f ca="1">IF(ISERROR(F77),"",IF(ISTEXT(VLOOKUP(B77,INDIRECT($F$8),6+(O82-1)*3)),11,IF(VLOOKUP(B77,INDIRECT($F$8),6+(O82-1)*3)&lt;S82*0.3,IF(VLOOKUP(B77,INDIRECT($F$8),8+(O82-1)*3)&lt;U82*0.4,IF(AND(0.4*U82-VLOOKUP(B77,INDIRECT($F$8),8+(O82-1)*3)&lt;=5,0.3*S82-VLOOKUP(B77,INDIRECT($F$8),6+(O82-1)*3)&lt;=5),MAX(0.4*U82-VLOOKUP(B77,INDIRECT($F$8),8+(O82-1)*3),0.3*S82-VLOOKUP(B77,INDIRECT($F$8),6+(O82-1)*3)),11),IF(0.3*S82-VLOOKUP(B77,INDIRECT($F$8),6+(O82-1)*3)&lt;=5,0.3*S82-VLOOKUP(B77,INDIRECT($F$8),6+(O82-1)*3),11)),IF(VLOOKUP(B77,INDIRECT($F$8),8+(O82-1)*3)&lt;U82*0.4,IF(U82*0.4-VLOOKUP(B77,INDIRECT($F$8),8+(O82-1)*3)&lt;=5,U82*0.4-VLOOKUP(B77,INDIRECT($F$8),8+(O82-1)*3),11),0))))</f>
        <v>0</v>
      </c>
      <c r="X82" s="1" t="str">
        <f ca="1">IF(ISERROR(F77),"",IF(W82=0,"",_xlfn.TEXTJOIN("",FALSE," G+",W82," in ",A82)))</f>
        <v/>
      </c>
    </row>
    <row r="83" spans="1:24" ht="11.25" customHeight="1" x14ac:dyDescent="0.2">
      <c r="A83" s="7" t="str">
        <f ca="1">IF(ISERROR(F77),"",VLOOKUP(C77,INDIRECT($F$8),6+(O83-1)*3,0))</f>
        <v>CAT 005</v>
      </c>
      <c r="B83" s="41" t="str">
        <f ca="1">IF(ISERROR(F77),"",VLOOKUP(D77,INDIRECT($F$8),6+(O83-1)*3,0))</f>
        <v>Database Management System</v>
      </c>
      <c r="C83" s="41"/>
      <c r="D83" s="41"/>
      <c r="E83" s="41"/>
      <c r="F83" s="7">
        <f ca="1">IF(ISERROR(F77),"",VLOOKUP(E77,INDIRECT($F$8),6+(O83-1)*3,0))</f>
        <v>4</v>
      </c>
      <c r="G83" s="42" t="str">
        <f ca="1">IF(ISERROR(F77),"",_xlfn.TEXTJOIN("/",FALSE,P83,S83))</f>
        <v>47/100</v>
      </c>
      <c r="H83" s="42"/>
      <c r="I83" s="42" t="str">
        <f ca="1">IF(ISERROR(F77),"",_xlfn.TEXTJOIN("/",FALSE,Q83,T83))</f>
        <v>31/50</v>
      </c>
      <c r="J83" s="42"/>
      <c r="K83" s="42" t="str">
        <f ca="1">IF(ISERROR(F77),"",_xlfn.TEXTJOIN("/",FALSE,R83,U83))</f>
        <v>78/150</v>
      </c>
      <c r="L83" s="42"/>
      <c r="M83" s="7" t="str">
        <f ca="1">IF(ISERROR(F77),"",IF(ISTEXT(P83),IF(P83="A","Ab",IF(P83="D","Dt",IF(P83="UFM","UFM",IF(P83="NA","-")))),IF(AND(ISBLANK(P83),ISBLANK(R83)),"",IF(P83&lt;0.3*S83,"F",IF(ISBLANK(R83),"",IF(ISTEXT(R83),R83,IF(R83&gt;=0.95*U83,"O",IF(R83&gt;=0.9*U83,"A+",IF(R83&gt;=0.85*U83,"A",IF(R83&gt;=0.8*U83,"B+",IF(R83&gt;=0.75*U83,"B",IF(R83&gt;=0.7*U83,"C+",IF(R83&gt;=0.65*U83,"C",IF(R83&gt;=0.6*U83,"D+",IF(R83&gt;=0.55*U83,"D",IF(R83&gt;=0.5*U83,"E+",IF(R83&gt;=0.45*U83,"E",IF(R83&gt;=0.4*U83,"P",IF(R83&lt;0.4*U83,"F",R83)))))))))))))))))))</f>
        <v>E+</v>
      </c>
      <c r="N83" s="8">
        <f t="shared" ref="N83:N94" ca="1" si="6">INDEX($Z$2:$Z$18,MATCH(M83,$Y$2:$Y$18,0))</f>
        <v>5.5</v>
      </c>
      <c r="O83">
        <f>O82+1</f>
        <v>2</v>
      </c>
      <c r="P83" s="1">
        <f ca="1">IF(ISERROR(F77),"",IF(ISTEXT(VLOOKUP(B77,INDIRECT($F$8),6+(O83-1)*3)),(VLOOKUP(B77,INDIRECT($F$8),6+(O83-1)*3)),SUM(VLOOKUP(B77,INDIRECT($F$8),6+(O83-1)*3),IF(W96,W83,0))))</f>
        <v>47</v>
      </c>
      <c r="Q83" s="1">
        <f ca="1">IF(ISERROR(F77),"",VLOOKUP(B77,INDIRECT($F$8),7+(O83-1)*3))</f>
        <v>31</v>
      </c>
      <c r="R83" s="1">
        <f ca="1">IF(ISERROR(F77),"",SUM(P83:Q83))</f>
        <v>78</v>
      </c>
      <c r="S83" s="1">
        <f ca="1">IF(ISERROR(F77),"",VLOOKUP(A77,INDIRECT($F$8),6+(O83-1)*3))</f>
        <v>100</v>
      </c>
      <c r="T83" s="1">
        <f ca="1">IF(ISERROR(F77),"",VLOOKUP(A77,INDIRECT($F$8),7+(O83-1)*3))</f>
        <v>50</v>
      </c>
      <c r="U83" s="1">
        <f ca="1">IF(ISERROR(F77),"",VLOOKUP(A77,INDIRECT($F$8),8+(O83-1)*3))</f>
        <v>150</v>
      </c>
      <c r="V83" s="1" t="str">
        <f ca="1">IF(ISERROR(F77),"",IF(N83=0,A83,""))</f>
        <v/>
      </c>
      <c r="W83" s="1">
        <f ca="1">IF(ISERROR(F77),"",IF(ISTEXT(VLOOKUP(B77,INDIRECT($F$8),6+(O83-1)*3)),11,IF(VLOOKUP(B77,INDIRECT($F$8),6+(O83-1)*3)&lt;S83*0.3,IF(VLOOKUP(B77,INDIRECT($F$8),8+(O83-1)*3)&lt;U83*0.4,IF(AND(0.4*U83-VLOOKUP(B77,INDIRECT($F$8),8+(O83-1)*3)&lt;=5,0.3*S83-VLOOKUP(B77,INDIRECT($F$8),6+(O83-1)*3)&lt;=5),MAX(0.4*U83-VLOOKUP(B77,INDIRECT($F$8),8+(O83-1)*3),0.3*S83-VLOOKUP(B77,INDIRECT($F$8),6+(O83-1)*3)),11),IF(0.3*S83-VLOOKUP(B77,INDIRECT($F$8),6+(O83-1)*3)&lt;=5,0.3*S83-VLOOKUP(B77,INDIRECT($F$8),6+(O83-1)*3),11)),IF(VLOOKUP(B77,INDIRECT($F$8),8+(O83-1)*3)&lt;U83*0.4,IF(U83*0.4-VLOOKUP(B77,INDIRECT($F$8),8+(O83-1)*3)&lt;=5,U83*0.4-VLOOKUP(B77,INDIRECT($F$8),8+(O83-1)*3),11),0))))</f>
        <v>0</v>
      </c>
      <c r="X83" s="1" t="str">
        <f ca="1">IF(ISERROR(F77),"",IF(W83=0,"",_xlfn.TEXTJOIN("",FALSE," G+",W83," in ",A83)))</f>
        <v/>
      </c>
    </row>
    <row r="84" spans="1:24" ht="11.25" customHeight="1" x14ac:dyDescent="0.2">
      <c r="A84" s="7" t="str">
        <f ca="1">IF(ISERROR(F77),"",VLOOKUP(C77,INDIRECT($F$8),6+(O84-1)*3,0))</f>
        <v>CAT 006</v>
      </c>
      <c r="B84" s="41" t="str">
        <f ca="1">IF(ISERROR(F77),"",VLOOKUP(D77,INDIRECT($F$8),6+(O84-1)*3,0))</f>
        <v>Operating System</v>
      </c>
      <c r="C84" s="41"/>
      <c r="D84" s="41"/>
      <c r="E84" s="41"/>
      <c r="F84" s="7">
        <f ca="1">IF(ISERROR(F77),"",VLOOKUP(E77,INDIRECT($F$8),6+(O84-1)*3,0))</f>
        <v>4</v>
      </c>
      <c r="G84" s="42" t="str">
        <f ca="1">IF(ISERROR(F77),"",_xlfn.TEXTJOIN("/",FALSE,P84,S84))</f>
        <v>66/100</v>
      </c>
      <c r="H84" s="42"/>
      <c r="I84" s="42" t="str">
        <f ca="1">IF(ISERROR(F77),"",_xlfn.TEXTJOIN("/",FALSE,Q84,T84))</f>
        <v>36/50</v>
      </c>
      <c r="J84" s="42"/>
      <c r="K84" s="42" t="str">
        <f ca="1">IF(ISERROR(F77),"",_xlfn.TEXTJOIN("/",FALSE,R84,U84))</f>
        <v>102/150</v>
      </c>
      <c r="L84" s="42"/>
      <c r="M84" s="7" t="str">
        <f ca="1">IF(ISERROR(F77),"",IF(ISTEXT(P84),IF(P84="A","Ab",IF(P84="D","Dt",IF(P84="UFM","UFM",IF(P84="NA","-")))),IF(AND(ISBLANK(P84),ISBLANK(R84)),"",IF(P84&lt;0.3*S84,"F",IF(ISBLANK(R84),"",IF(ISTEXT(R84),R84,IF(R84&gt;=0.95*U84,"O",IF(R84&gt;=0.9*U84,"A+",IF(R84&gt;=0.85*U84,"A",IF(R84&gt;=0.8*U84,"B+",IF(R84&gt;=0.75*U84,"B",IF(R84&gt;=0.7*U84,"C+",IF(R84&gt;=0.65*U84,"C",IF(R84&gt;=0.6*U84,"D+",IF(R84&gt;=0.55*U84,"D",IF(R84&gt;=0.5*U84,"E+",IF(R84&gt;=0.45*U84,"E",IF(R84&gt;=0.4*U84,"P",IF(R84&lt;0.4*U84,"F",R84)))))))))))))))))))</f>
        <v>C</v>
      </c>
      <c r="N84" s="8">
        <f t="shared" ca="1" si="6"/>
        <v>7</v>
      </c>
      <c r="O84">
        <f>O83+1</f>
        <v>3</v>
      </c>
      <c r="P84" s="1">
        <f ca="1">IF(ISERROR(F77),"",IF(ISTEXT(VLOOKUP(B77,INDIRECT($F$8),6+(O84-1)*3)),(VLOOKUP(B77,INDIRECT($F$8),6+(O84-1)*3)),SUM(VLOOKUP(B77,INDIRECT($F$8),6+(O84-1)*3),IF(W96,W84,0))))</f>
        <v>66</v>
      </c>
      <c r="Q84" s="1">
        <f ca="1">IF(ISERROR(F77),"",VLOOKUP(B77,INDIRECT($F$8),7+(O84-1)*3))</f>
        <v>36</v>
      </c>
      <c r="R84" s="1">
        <f ca="1">IF(ISERROR(F77),"",SUM(P84:Q84))</f>
        <v>102</v>
      </c>
      <c r="S84" s="1">
        <f ca="1">IF(ISERROR(F77),"",VLOOKUP(A77,INDIRECT($F$8),6+(O84-1)*3))</f>
        <v>100</v>
      </c>
      <c r="T84" s="1">
        <f ca="1">IF(ISERROR(F77),"",VLOOKUP(A77,INDIRECT($F$8),7+(O84-1)*3))</f>
        <v>50</v>
      </c>
      <c r="U84" s="1">
        <f ca="1">IF(ISERROR(F77),"",VLOOKUP(A77,INDIRECT($F$8),8+(O84-1)*3))</f>
        <v>150</v>
      </c>
      <c r="V84" s="1" t="str">
        <f ca="1">IF(ISERROR(F77),"",IF(N84=0,A84,""))</f>
        <v/>
      </c>
      <c r="W84" s="1">
        <f ca="1">IF(ISERROR(F77),"",IF(ISTEXT(VLOOKUP(B77,INDIRECT($F$8),6+(O84-1)*3)),11,IF(VLOOKUP(B77,INDIRECT($F$8),6+(O84-1)*3)&lt;S84*0.3,IF(VLOOKUP(B77,INDIRECT($F$8),8+(O84-1)*3)&lt;U84*0.4,IF(AND(0.4*U84-VLOOKUP(B77,INDIRECT($F$8),8+(O84-1)*3)&lt;=5,0.3*S84-VLOOKUP(B77,INDIRECT($F$8),6+(O84-1)*3)&lt;=5),MAX(0.4*U84-VLOOKUP(B77,INDIRECT($F$8),8+(O84-1)*3),0.3*S84-VLOOKUP(B77,INDIRECT($F$8),6+(O84-1)*3)),11),IF(0.3*S84-VLOOKUP(B77,INDIRECT($F$8),6+(O84-1)*3)&lt;=5,0.3*S84-VLOOKUP(B77,INDIRECT($F$8),6+(O84-1)*3),11)),IF(VLOOKUP(B77,INDIRECT($F$8),8+(O84-1)*3)&lt;U84*0.4,IF(U84*0.4-VLOOKUP(B77,INDIRECT($F$8),8+(O84-1)*3)&lt;=5,U84*0.4-VLOOKUP(B77,INDIRECT($F$8),8+(O84-1)*3),11),0))))</f>
        <v>0</v>
      </c>
      <c r="X84" s="1" t="str">
        <f ca="1">IF(ISERROR(F77),"",IF(W84=0,"",_xlfn.TEXTJOIN("",FALSE," G+",W84," in ",A84)))</f>
        <v/>
      </c>
    </row>
    <row r="85" spans="1:24" ht="11.25" customHeight="1" x14ac:dyDescent="0.2">
      <c r="A85" s="7" t="str">
        <f ca="1">IF(ISERROR(F77),"",VLOOKUP(C77,INDIRECT($F$8),6+(O85-1)*3,0))</f>
        <v>CAT 007</v>
      </c>
      <c r="B85" s="41" t="str">
        <f ca="1">IF(ISERROR(F77),"",VLOOKUP(D77,INDIRECT($F$8),6+(O85-1)*3,0))</f>
        <v>Computer Organization</v>
      </c>
      <c r="C85" s="41"/>
      <c r="D85" s="41"/>
      <c r="E85" s="41"/>
      <c r="F85" s="7">
        <f ca="1">IF(ISERROR(F77),"",VLOOKUP(E77,INDIRECT($F$8),6+(O85-1)*3,0))</f>
        <v>4</v>
      </c>
      <c r="G85" s="42" t="str">
        <f ca="1">IF(ISERROR(F77),"",_xlfn.TEXTJOIN("/",FALSE,P85,S85))</f>
        <v>43/100</v>
      </c>
      <c r="H85" s="42"/>
      <c r="I85" s="42" t="str">
        <f ca="1">IF(ISERROR(F77),"",_xlfn.TEXTJOIN("/",FALSE,Q85,T85))</f>
        <v>33/50</v>
      </c>
      <c r="J85" s="42"/>
      <c r="K85" s="42" t="str">
        <f ca="1">IF(ISERROR(F77),"",_xlfn.TEXTJOIN("/",FALSE,R85,U85))</f>
        <v>76/150</v>
      </c>
      <c r="L85" s="42"/>
      <c r="M85" s="7" t="str">
        <f ca="1">IF(ISERROR(F77),"",IF(ISTEXT(P85),IF(P85="A","Ab",IF(P85="D","Dt",IF(P85="UFM","UFM",IF(P85="NA","-")))),IF(AND(ISBLANK(P85),ISBLANK(R85)),"",IF(P85&lt;0.3*S85,"F",IF(ISBLANK(R85),"",IF(ISTEXT(R85),R85,IF(R85&gt;=0.95*U85,"O",IF(R85&gt;=0.9*U85,"A+",IF(R85&gt;=0.85*U85,"A",IF(R85&gt;=0.8*U85,"B+",IF(R85&gt;=0.75*U85,"B",IF(R85&gt;=0.7*U85,"C+",IF(R85&gt;=0.65*U85,"C",IF(R85&gt;=0.6*U85,"D+",IF(R85&gt;=0.55*U85,"D",IF(R85&gt;=0.5*U85,"E+",IF(R85&gt;=0.45*U85,"E",IF(R85&gt;=0.4*U85,"P",IF(R85&lt;0.4*U85,"F",R85)))))))))))))))))))</f>
        <v>E+</v>
      </c>
      <c r="N85" s="8">
        <f t="shared" ca="1" si="6"/>
        <v>5.5</v>
      </c>
      <c r="O85">
        <f>O84+1</f>
        <v>4</v>
      </c>
      <c r="P85" s="1">
        <f ca="1">IF(ISERROR(F77),"",IF(ISTEXT(VLOOKUP(B77,INDIRECT($F$8),6+(O85-1)*3)),(VLOOKUP(B77,INDIRECT($F$8),6+(O85-1)*3)),SUM(VLOOKUP(B77,INDIRECT($F$8),6+(O85-1)*3),IF(W96,W85,0))))</f>
        <v>43</v>
      </c>
      <c r="Q85" s="1">
        <f ca="1">IF(ISERROR(F77),"",VLOOKUP(B77,INDIRECT($F$8),7+(O85-1)*3))</f>
        <v>33</v>
      </c>
      <c r="R85" s="1">
        <f ca="1">IF(ISERROR(F77),"",SUM(P85:Q85))</f>
        <v>76</v>
      </c>
      <c r="S85" s="1">
        <f ca="1">IF(ISERROR(F77),"",VLOOKUP(A77,INDIRECT($F$8),6+(O85-1)*3))</f>
        <v>100</v>
      </c>
      <c r="T85" s="1">
        <f ca="1">IF(ISERROR(F77),"",VLOOKUP(A77,INDIRECT($F$8),7+(O85-1)*3))</f>
        <v>50</v>
      </c>
      <c r="U85" s="1">
        <f ca="1">IF(ISERROR(F77),"",VLOOKUP(A77,INDIRECT($F$8),8+(O85-1)*3))</f>
        <v>150</v>
      </c>
      <c r="V85" s="1" t="str">
        <f ca="1">IF(ISERROR(F77),"",IF(N85=0,A85,""))</f>
        <v/>
      </c>
      <c r="W85" s="1">
        <f ca="1">IF(ISERROR(F77),"",IF(ISTEXT(VLOOKUP(B77,INDIRECT($F$8),6+(O85-1)*3)),11,IF(VLOOKUP(B77,INDIRECT($F$8),6+(O85-1)*3)&lt;S85*0.3,IF(VLOOKUP(B77,INDIRECT($F$8),8+(O85-1)*3)&lt;U85*0.4,IF(AND(0.4*U85-VLOOKUP(B77,INDIRECT($F$8),8+(O85-1)*3)&lt;=5,0.3*S85-VLOOKUP(B77,INDIRECT($F$8),6+(O85-1)*3)&lt;=5),MAX(0.4*U85-VLOOKUP(B77,INDIRECT($F$8),8+(O85-1)*3),0.3*S85-VLOOKUP(B77,INDIRECT($F$8),6+(O85-1)*3)),11),IF(0.3*S85-VLOOKUP(B77,INDIRECT($F$8),6+(O85-1)*3)&lt;=5,0.3*S85-VLOOKUP(B77,INDIRECT($F$8),6+(O85-1)*3),11)),IF(VLOOKUP(B77,INDIRECT($F$8),8+(O85-1)*3)&lt;U85*0.4,IF(U85*0.4-VLOOKUP(B77,INDIRECT($F$8),8+(O85-1)*3)&lt;=5,U85*0.4-VLOOKUP(B77,INDIRECT($F$8),8+(O85-1)*3),11),0))))</f>
        <v>0</v>
      </c>
      <c r="X85" s="1" t="str">
        <f ca="1">IF(ISERROR(F77),"",IF(W85=0,"",_xlfn.TEXTJOIN("",FALSE," G+",W85," in ",A85)))</f>
        <v/>
      </c>
    </row>
    <row r="86" spans="1:24" ht="11.25" customHeight="1" x14ac:dyDescent="0.2">
      <c r="A86" s="7" t="str">
        <f ca="1">IF(ISERROR(F77),"",VLOOKUP(C77,INDIRECT($F$8),6+(O86-1)*3,0))</f>
        <v>AHT 303</v>
      </c>
      <c r="B86" s="41" t="str">
        <f ca="1">IF(ISERROR(F77),"",VLOOKUP(D77,INDIRECT($F$8),6+(O86-1)*3,0))</f>
        <v>Technical Communication Skills</v>
      </c>
      <c r="C86" s="41"/>
      <c r="D86" s="41"/>
      <c r="E86" s="41"/>
      <c r="F86" s="7">
        <f ca="1">IF(ISERROR(F77),"",VLOOKUP(E77,INDIRECT($F$8),6+(O86-1)*3,0))</f>
        <v>4</v>
      </c>
      <c r="G86" s="42" t="str">
        <f ca="1">IF(ISERROR(F77),"",_xlfn.TEXTJOIN("/",FALSE,P86,S86))</f>
        <v>A/100</v>
      </c>
      <c r="H86" s="42"/>
      <c r="I86" s="42" t="str">
        <f ca="1">IF(ISERROR(F77),"",_xlfn.TEXTJOIN("/",FALSE,Q86,T86))</f>
        <v>33/50</v>
      </c>
      <c r="J86" s="42"/>
      <c r="K86" s="42" t="str">
        <f ca="1">IF(ISERROR(F77),"",_xlfn.TEXTJOIN("/",FALSE,R86,U86))</f>
        <v>33/150</v>
      </c>
      <c r="L86" s="42"/>
      <c r="M86" s="7" t="str">
        <f ca="1">IF(ISERROR(F77),"",IF(ISTEXT(P86),IF(P86="A","Ab",IF(P86="D","Dt",IF(P86="UFM","UFM",IF(P86="NA","-")))),IF(AND(ISBLANK(P86),ISBLANK(R86)),"",IF(P86&lt;0.3*S86,"F",IF(ISBLANK(R86),"",IF(ISTEXT(R86),R86,IF(R86&gt;=0.95*U86,"O",IF(R86&gt;=0.9*U86,"A+",IF(R86&gt;=0.85*U86,"A",IF(R86&gt;=0.8*U86,"B+",IF(R86&gt;=0.75*U86,"B",IF(R86&gt;=0.7*U86,"C+",IF(R86&gt;=0.65*U86,"C",IF(R86&gt;=0.6*U86,"D+",IF(R86&gt;=0.55*U86,"D",IF(R86&gt;=0.5*U86,"E+",IF(R86&gt;=0.45*U86,"E",IF(R86&gt;=0.4*U86,"P",IF(R86&lt;0.4*U86,"F",R86)))))))))))))))))))</f>
        <v>Ab</v>
      </c>
      <c r="N86" s="8">
        <f t="shared" ca="1" si="6"/>
        <v>0</v>
      </c>
      <c r="O86">
        <f t="shared" ref="O86:O95" si="7">O85+1</f>
        <v>5</v>
      </c>
      <c r="P86" s="1" t="str">
        <f ca="1">IF(ISERROR(F77),"",IF(ISTEXT(VLOOKUP(B77,INDIRECT($F$8),6+(O86-1)*3)),(VLOOKUP(B77,INDIRECT($F$8),6+(O86-1)*3)),SUM(VLOOKUP(B77,INDIRECT($F$8),6+(O86-1)*3),IF(W96,W86,0))))</f>
        <v>A</v>
      </c>
      <c r="Q86" s="1">
        <f ca="1">IF(ISERROR(F77),"",VLOOKUP(B77,INDIRECT($F$8),7+(O86-1)*3))</f>
        <v>33</v>
      </c>
      <c r="R86" s="1">
        <f ca="1">IF(ISERROR(F77),"",SUM(P86:Q86))</f>
        <v>33</v>
      </c>
      <c r="S86" s="1">
        <f ca="1">IF(ISERROR(F77),"",VLOOKUP(A77,INDIRECT($F$8),6+(O86-1)*3))</f>
        <v>100</v>
      </c>
      <c r="T86" s="1">
        <f ca="1">IF(ISERROR(F77),"",VLOOKUP(A77,INDIRECT($F$8),7+(O86-1)*3))</f>
        <v>50</v>
      </c>
      <c r="U86" s="1">
        <f ca="1">IF(ISERROR(F77),"",VLOOKUP(A77,INDIRECT($F$8),8+(O86-1)*3))</f>
        <v>150</v>
      </c>
      <c r="V86" s="1" t="str">
        <f ca="1">IF(ISERROR(F77),"",IF(N86=0,A86,""))</f>
        <v>AHT 303</v>
      </c>
      <c r="W86" s="1">
        <f ca="1">IF(ISERROR(F77),"",IF(ISTEXT(VLOOKUP(B77,INDIRECT($F$8),6+(O86-1)*3)),11,IF(VLOOKUP(B77,INDIRECT($F$8),6+(O86-1)*3)&lt;S86*0.3,IF(VLOOKUP(B77,INDIRECT($F$8),8+(O86-1)*3)&lt;U86*0.4,IF(AND(0.4*U86-VLOOKUP(B77,INDIRECT($F$8),8+(O86-1)*3)&lt;=5,0.3*S86-VLOOKUP(B77,INDIRECT($F$8),6+(O86-1)*3)&lt;=5),MAX(0.4*U86-VLOOKUP(B77,INDIRECT($F$8),8+(O86-1)*3),0.3*S86-VLOOKUP(B77,INDIRECT($F$8),6+(O86-1)*3)),11),IF(0.3*S86-VLOOKUP(B77,INDIRECT($F$8),6+(O86-1)*3)&lt;=5,0.3*S86-VLOOKUP(B77,INDIRECT($F$8),6+(O86-1)*3),11)),IF(VLOOKUP(B77,INDIRECT($F$8),8+(O86-1)*3)&lt;U86*0.4,IF(U86*0.4-VLOOKUP(B77,INDIRECT($F$8),8+(O86-1)*3)&lt;=5,U86*0.4-VLOOKUP(B77,INDIRECT($F$8),8+(O86-1)*3),11),0))))</f>
        <v>11</v>
      </c>
      <c r="X86" s="1" t="str">
        <f ca="1">IF(ISERROR(F77),"",IF(W86=0,"",_xlfn.TEXTJOIN("",FALSE," G+",W86," in ",A86)))</f>
        <v xml:space="preserve"> G+11 in AHT 303</v>
      </c>
    </row>
    <row r="87" spans="1:24" ht="11.25" customHeight="1" x14ac:dyDescent="0.2">
      <c r="A87" s="7" t="str">
        <f ca="1">IF(ISERROR(F77),"",VLOOKUP(C77,INDIRECT($F$8),6+(O87-1)*3,0))</f>
        <v>CAT 008</v>
      </c>
      <c r="B87" s="41" t="str">
        <f ca="1">IF(ISERROR(F77),"",VLOOKUP(D77,INDIRECT($F$8),6+(O87-1)*3,0))</f>
        <v>Python Programming ($)</v>
      </c>
      <c r="C87" s="41"/>
      <c r="D87" s="41"/>
      <c r="E87" s="41"/>
      <c r="F87" s="7">
        <f ca="1">IF(ISERROR(F77),"",VLOOKUP(E77,INDIRECT($F$8),6+(O87-1)*3,0))</f>
        <v>0</v>
      </c>
      <c r="G87" s="42" t="str">
        <f ca="1">IF(ISERROR(F77),"",_xlfn.TEXTJOIN("/",FALSE,P87,S87))</f>
        <v>13/30</v>
      </c>
      <c r="H87" s="42"/>
      <c r="I87" s="42" t="str">
        <f ca="1">IF(ISERROR(F77),"",_xlfn.TEXTJOIN("/",FALSE,Q87,T87))</f>
        <v>12/20</v>
      </c>
      <c r="J87" s="42"/>
      <c r="K87" s="42" t="str">
        <f ca="1">IF(ISERROR(F77),"",_xlfn.TEXTJOIN("/",FALSE,R87,U87))</f>
        <v>25/50</v>
      </c>
      <c r="L87" s="42"/>
      <c r="M87" s="7" t="str">
        <f ca="1">IF(ISERROR(F77),"",IF(ISTEXT(P87),IF(P87="A","Ab",IF(P87="D","Dt",IF(P87="UFM","UFM",IF(P87="NA","-")))),IF(AND(ISBLANK(P87),ISBLANK(R87)),"",IF(P87&lt;0.3*S87,"F",IF(ISBLANK(R87),"",IF(ISTEXT(R87),R87,IF(R87&gt;=0.95*U87,"O",IF(R87&gt;=0.9*U87,"A+",IF(R87&gt;=0.85*U87,"A",IF(R87&gt;=0.8*U87,"B+",IF(R87&gt;=0.75*U87,"B",IF(R87&gt;=0.7*U87,"C+",IF(R87&gt;=0.65*U87,"C",IF(R87&gt;=0.6*U87,"D+",IF(R87&gt;=0.55*U87,"D",IF(R87&gt;=0.5*U87,"E+",IF(R87&gt;=0.45*U87,"E",IF(R87&gt;=0.4*U87,"P",IF(R87&lt;0.4*U87,"F",R87)))))))))))))))))))</f>
        <v>E+</v>
      </c>
      <c r="N87" s="8">
        <f t="shared" ca="1" si="6"/>
        <v>5.5</v>
      </c>
      <c r="O87">
        <f t="shared" si="7"/>
        <v>6</v>
      </c>
      <c r="P87" s="1">
        <f ca="1">IF(ISERROR(F77),"",IF(ISTEXT(VLOOKUP(B77,INDIRECT($F$8),6+(O87-1)*3)),(VLOOKUP(B77,INDIRECT($F$8),6+(O87-1)*3)),SUM(VLOOKUP(B77,INDIRECT($F$8),6+(O87-1)*3),IF(W96,W87,0))))</f>
        <v>13</v>
      </c>
      <c r="Q87" s="1">
        <f ca="1">IF(ISERROR(F77),"",VLOOKUP(B77,INDIRECT($F$8),7+(O87-1)*3))</f>
        <v>12</v>
      </c>
      <c r="R87" s="1">
        <f ca="1">IF(ISERROR(F77),"",SUM(P87:Q87))</f>
        <v>25</v>
      </c>
      <c r="S87" s="1">
        <f ca="1">IF(ISERROR(F77),"",VLOOKUP(A77,INDIRECT($F$8),6+(O87-1)*3))</f>
        <v>30</v>
      </c>
      <c r="T87" s="1">
        <f ca="1">IF(ISERROR(F77),"",VLOOKUP(A77,INDIRECT($F$8),7+(O87-1)*3))</f>
        <v>20</v>
      </c>
      <c r="U87" s="1">
        <f ca="1">IF(ISERROR(F77),"",VLOOKUP(A77,INDIRECT($F$8),8+(O87-1)*3))</f>
        <v>50</v>
      </c>
      <c r="V87" s="1" t="str">
        <f ca="1">IF(ISERROR(F77),"",IF(N87=0,A87,""))</f>
        <v/>
      </c>
      <c r="W87" s="1">
        <f ca="1">IF(ISERROR(F77),"",IF(ISTEXT(VLOOKUP(B77,INDIRECT($F$8),6+(O87-1)*3)),11,IF(VLOOKUP(B77,INDIRECT($F$8),6+(O87-1)*3)&lt;S87*0.3,IF(VLOOKUP(B77,INDIRECT($F$8),8+(O87-1)*3)&lt;U87*0.4,IF(AND(0.4*U87-VLOOKUP(B77,INDIRECT($F$8),8+(O87-1)*3)&lt;=5,0.3*S87-VLOOKUP(B77,INDIRECT($F$8),6+(O87-1)*3)&lt;=5),MAX(0.4*U87-VLOOKUP(B77,INDIRECT($F$8),8+(O87-1)*3),0.3*S87-VLOOKUP(B77,INDIRECT($F$8),6+(O87-1)*3)),11),IF(0.3*S87-VLOOKUP(B77,INDIRECT($F$8),6+(O87-1)*3)&lt;=5,0.3*S87-VLOOKUP(B77,INDIRECT($F$8),6+(O87-1)*3),11)),IF(VLOOKUP(B77,INDIRECT($F$8),8+(O87-1)*3)&lt;U87*0.4,IF(U87*0.4-VLOOKUP(B77,INDIRECT($F$8),8+(O87-1)*3)&lt;=5,U87*0.4-VLOOKUP(B77,INDIRECT($F$8),8+(O87-1)*3),11),0))))</f>
        <v>0</v>
      </c>
      <c r="X87" s="1" t="str">
        <f ca="1">IF(ISERROR(F77),"",IF(W87=0,"",_xlfn.TEXTJOIN("",FALSE," G+",W87," in ",A87)))</f>
        <v/>
      </c>
    </row>
    <row r="88" spans="1:24" ht="11.25" customHeight="1" x14ac:dyDescent="0.2">
      <c r="A88" s="7" t="str">
        <f ca="1">IF(ISERROR(F77),"",VLOOKUP(C77,INDIRECT($F$8),6+(O88-1)*3,0))</f>
        <v>CAT 001</v>
      </c>
      <c r="B88" s="41" t="str">
        <f ca="1">IF(ISERROR(F77),"",VLOOKUP(D77,INDIRECT($F$8),6+(O88-1)*3,0))</f>
        <v>Introduction of Information Technology ($)</v>
      </c>
      <c r="C88" s="41"/>
      <c r="D88" s="41"/>
      <c r="E88" s="41"/>
      <c r="F88" s="7">
        <f ca="1">IF(ISERROR(F77),"",VLOOKUP(E77,INDIRECT($F$8),6+(O88-1)*3,0))</f>
        <v>0</v>
      </c>
      <c r="G88" s="42" t="str">
        <f ca="1">IF(ISERROR(F77),"",_xlfn.TEXTJOIN("/",FALSE,P88,S88))</f>
        <v>NA/30</v>
      </c>
      <c r="H88" s="42"/>
      <c r="I88" s="42" t="str">
        <f ca="1">IF(ISERROR(F77),"",_xlfn.TEXTJOIN("/",FALSE,Q88,T88))</f>
        <v>NA/20</v>
      </c>
      <c r="J88" s="42"/>
      <c r="K88" s="42" t="str">
        <f ca="1">IF(ISERROR(F77),"",_xlfn.TEXTJOIN("/",FALSE,R88,U88))</f>
        <v>0/50</v>
      </c>
      <c r="L88" s="42"/>
      <c r="M88" s="7" t="str">
        <f ca="1">IF(ISERROR(F77),"",IF(ISTEXT(P88),IF(P88="A","Ab",IF(P88="D","Dt",IF(P88="UFM","UFM",IF(P88="NA","-")))),IF(AND(ISBLANK(P88),ISBLANK(R88)),"",IF(P88&lt;0.3*S88,"F",IF(ISBLANK(R88),"",IF(ISTEXT(R88),R88,IF(R88&gt;=0.95*U88,"O",IF(R88&gt;=0.9*U88,"A+",IF(R88&gt;=0.85*U88,"A",IF(R88&gt;=0.8*U88,"B+",IF(R88&gt;=0.75*U88,"B",IF(R88&gt;=0.7*U88,"C+",IF(R88&gt;=0.65*U88,"C",IF(R88&gt;=0.6*U88,"D+",IF(R88&gt;=0.55*U88,"D",IF(R88&gt;=0.5*U88,"E+",IF(R88&gt;=0.45*U88,"E",IF(R88&gt;=0.4*U88,"P",IF(R88&lt;0.4*U88,"F",R88)))))))))))))))))))</f>
        <v>-</v>
      </c>
      <c r="N88" s="8" t="str">
        <f t="shared" ca="1" si="6"/>
        <v>-</v>
      </c>
      <c r="O88">
        <f t="shared" si="7"/>
        <v>7</v>
      </c>
      <c r="P88" s="1" t="str">
        <f ca="1">IF(ISERROR(F77),"",IF(ISTEXT(VLOOKUP(B77,INDIRECT($F$8),6+(O88-1)*3)),(VLOOKUP(B77,INDIRECT($F$8),6+(O88-1)*3)),SUM(VLOOKUP(B77,INDIRECT($F$8),6+(O88-1)*3),IF(W96,W88,0))))</f>
        <v>NA</v>
      </c>
      <c r="Q88" s="1" t="str">
        <f ca="1">IF(ISERROR(F77),"",VLOOKUP(B77,INDIRECT($F$8),7+(O88-1)*3))</f>
        <v>NA</v>
      </c>
      <c r="R88" s="1">
        <f ca="1">IF(ISERROR(F77),"",SUM(P88:Q88))</f>
        <v>0</v>
      </c>
      <c r="S88" s="1">
        <f ca="1">IF(ISERROR(F77),"",VLOOKUP(A77,INDIRECT($F$8),6+(O88-1)*3))</f>
        <v>30</v>
      </c>
      <c r="T88" s="1">
        <f ca="1">IF(ISERROR(F77),"",VLOOKUP(A77,INDIRECT($F$8),7+(O88-1)*3))</f>
        <v>20</v>
      </c>
      <c r="U88" s="1">
        <f ca="1">IF(ISERROR(F77),"",VLOOKUP(A77,INDIRECT($F$8),8+(O88-1)*3))</f>
        <v>50</v>
      </c>
      <c r="V88" s="1" t="str">
        <f ca="1">IF(ISERROR(F77),"",IF(N88=0,A88,""))</f>
        <v/>
      </c>
      <c r="W88" s="1">
        <f ca="1">IF(ISERROR(F77),"",IF(ISTEXT(VLOOKUP(B77,INDIRECT($F$8),6+(O88-1)*3)),11,IF(VLOOKUP(B77,INDIRECT($F$8),6+(O88-1)*3)&lt;S88*0.3,IF(VLOOKUP(B77,INDIRECT($F$8),8+(O88-1)*3)&lt;U88*0.4,IF(AND(0.4*U88-VLOOKUP(B77,INDIRECT($F$8),8+(O88-1)*3)&lt;=5,0.3*S88-VLOOKUP(B77,INDIRECT($F$8),6+(O88-1)*3)&lt;=5),MAX(0.4*U88-VLOOKUP(B77,INDIRECT($F$8),8+(O88-1)*3),0.3*S88-VLOOKUP(B77,INDIRECT($F$8),6+(O88-1)*3)),11),IF(0.3*S88-VLOOKUP(B77,INDIRECT($F$8),6+(O88-1)*3)&lt;=5,0.3*S88-VLOOKUP(B77,INDIRECT($F$8),6+(O88-1)*3),11)),IF(VLOOKUP(B77,INDIRECT($F$8),8+(O88-1)*3)&lt;U88*0.4,IF(U88*0.4-VLOOKUP(B77,INDIRECT($F$8),8+(O88-1)*3)&lt;=5,U88*0.4-VLOOKUP(B77,INDIRECT($F$8),8+(O88-1)*3),11),0))))</f>
        <v>11</v>
      </c>
      <c r="X88" s="1" t="str">
        <f ca="1">IF(ISERROR(F77),"",IF(W88=0,"",_xlfn.TEXTJOIN("",FALSE," G+",W88," in ",A88)))</f>
        <v xml:space="preserve"> G+11 in CAT 001</v>
      </c>
    </row>
    <row r="89" spans="1:24" ht="11.25" customHeight="1" x14ac:dyDescent="0.2">
      <c r="A89" s="7" t="str">
        <f ca="1">IF(ISERROR(F77),"",VLOOKUP(C77,INDIRECT($F$8),6+(O89-1)*3,0))</f>
        <v>CAT 002</v>
      </c>
      <c r="B89" s="41" t="str">
        <f ca="1">IF(ISERROR(F77),"",VLOOKUP(D77,INDIRECT($F$8),6+(O89-1)*3,0))</f>
        <v>Programming Fundamentals with "C" ($)</v>
      </c>
      <c r="C89" s="41"/>
      <c r="D89" s="41"/>
      <c r="E89" s="41"/>
      <c r="F89" s="7">
        <f ca="1">IF(ISERROR(F77),"",VLOOKUP(E77,INDIRECT($F$8),6+(O89-1)*3,0))</f>
        <v>0</v>
      </c>
      <c r="G89" s="42" t="str">
        <f ca="1">IF(ISERROR(F77),"",_xlfn.TEXTJOIN("/",FALSE,P89,S89))</f>
        <v>NA/30</v>
      </c>
      <c r="H89" s="42"/>
      <c r="I89" s="42" t="str">
        <f ca="1">IF(ISERROR(F77),"",_xlfn.TEXTJOIN("/",FALSE,Q89,T89))</f>
        <v>NA/20</v>
      </c>
      <c r="J89" s="42"/>
      <c r="K89" s="42" t="str">
        <f ca="1">IF(ISERROR(F77),"",_xlfn.TEXTJOIN("/",FALSE,R89,U89))</f>
        <v>0/50</v>
      </c>
      <c r="L89" s="42"/>
      <c r="M89" s="7" t="str">
        <f ca="1">IF(ISERROR(F77),"",IF(ISTEXT(P89),IF(P89="A","Ab",IF(P89="D","Dt",IF(P89="UFM","UFM",IF(P89="NA","-")))),IF(AND(ISBLANK(P89),ISBLANK(R89)),"",IF(P89&lt;0.3*S89,"F",IF(ISBLANK(R89),"",IF(ISTEXT(R89),R89,IF(R89&gt;=0.95*U89,"O",IF(R89&gt;=0.9*U89,"A+",IF(R89&gt;=0.85*U89,"A",IF(R89&gt;=0.8*U89,"B+",IF(R89&gt;=0.75*U89,"B",IF(R89&gt;=0.7*U89,"C+",IF(R89&gt;=0.65*U89,"C",IF(R89&gt;=0.6*U89,"D+",IF(R89&gt;=0.55*U89,"D",IF(R89&gt;=0.5*U89,"E+",IF(R89&gt;=0.45*U89,"E",IF(R89&gt;=0.4*U89,"P",IF(R89&lt;0.4*U89,"F",R89)))))))))))))))))))</f>
        <v>-</v>
      </c>
      <c r="N89" s="8" t="str">
        <f t="shared" ca="1" si="6"/>
        <v>-</v>
      </c>
      <c r="O89">
        <f t="shared" si="7"/>
        <v>8</v>
      </c>
      <c r="P89" s="1" t="str">
        <f ca="1">IF(ISERROR(F77),"",IF(ISTEXT(VLOOKUP(B77,INDIRECT($F$8),6+(O89-1)*3)),(VLOOKUP(B77,INDIRECT($F$8),6+(O89-1)*3)),SUM(VLOOKUP(B77,INDIRECT($F$8),6+(O89-1)*3),IF(W96,W89,0))))</f>
        <v>NA</v>
      </c>
      <c r="Q89" s="1" t="str">
        <f ca="1">IF(ISERROR(F77),"",VLOOKUP(B77,INDIRECT($F$8),7+(O89-1)*3))</f>
        <v>NA</v>
      </c>
      <c r="R89" s="1">
        <f ca="1">IF(ISERROR(F77),"",SUM(P89:Q89))</f>
        <v>0</v>
      </c>
      <c r="S89" s="1">
        <f ca="1">IF(ISERROR(F77),"",VLOOKUP(A77,INDIRECT($F$8),6+(O89-1)*3))</f>
        <v>30</v>
      </c>
      <c r="T89" s="1">
        <f ca="1">IF(ISERROR(F77),"",VLOOKUP(A77,INDIRECT($F$8),7+(O89-1)*3))</f>
        <v>20</v>
      </c>
      <c r="U89" s="1">
        <f ca="1">IF(ISERROR(F77),"",VLOOKUP(A77,INDIRECT($F$8),8+(O89-1)*3))</f>
        <v>50</v>
      </c>
      <c r="V89" s="1" t="str">
        <f ca="1">IF(ISERROR(F77),"",IF(N89=0,A89,""))</f>
        <v/>
      </c>
      <c r="W89" s="1">
        <f ca="1">IF(ISERROR(F77),"",IF(ISTEXT(VLOOKUP(B77,INDIRECT($F$8),6+(O89-1)*3)),11,IF(VLOOKUP(B77,INDIRECT($F$8),6+(O89-1)*3)&lt;S89*0.3,IF(VLOOKUP(B77,INDIRECT($F$8),8+(O89-1)*3)&lt;U89*0.4,IF(AND(0.4*U89-VLOOKUP(B77,INDIRECT($F$8),8+(O89-1)*3)&lt;=5,0.3*S89-VLOOKUP(B77,INDIRECT($F$8),6+(O89-1)*3)&lt;=5),MAX(0.4*U89-VLOOKUP(B77,INDIRECT($F$8),8+(O89-1)*3),0.3*S89-VLOOKUP(B77,INDIRECT($F$8),6+(O89-1)*3)),11),IF(0.3*S89-VLOOKUP(B77,INDIRECT($F$8),6+(O89-1)*3)&lt;=5,0.3*S89-VLOOKUP(B77,INDIRECT($F$8),6+(O89-1)*3),11)),IF(VLOOKUP(B77,INDIRECT($F$8),8+(O89-1)*3)&lt;U89*0.4,IF(U89*0.4-VLOOKUP(B77,INDIRECT($F$8),8+(O89-1)*3)&lt;=5,U89*0.4-VLOOKUP(B77,INDIRECT($F$8),8+(O89-1)*3),11),0))))</f>
        <v>11</v>
      </c>
      <c r="X89" s="1" t="str">
        <f ca="1">IF(ISERROR(F77),"",IF(W89=0,"",_xlfn.TEXTJOIN("",FALSE," G+",W89," in ",A89)))</f>
        <v xml:space="preserve"> G+11 in CAT 002</v>
      </c>
    </row>
    <row r="90" spans="1:24" ht="11.25" customHeight="1" x14ac:dyDescent="0.2">
      <c r="A90" s="7" t="str">
        <f ca="1">IF(ISERROR(F77),"",VLOOKUP(C77,INDIRECT($F$8),6+(O90-1)*3,0))</f>
        <v>CAT 003</v>
      </c>
      <c r="B90" s="41" t="str">
        <f ca="1">IF(ISERROR(F77),"",VLOOKUP(D77,INDIRECT($F$8),6+(O90-1)*3-Z90,0))</f>
        <v>Fundamental of Web Technology ($)</v>
      </c>
      <c r="C90" s="41"/>
      <c r="D90" s="41"/>
      <c r="E90" s="41"/>
      <c r="F90" s="7">
        <f ca="1">IF(ISERROR(F77),"",VLOOKUP(E77,INDIRECT($F$8),6+(O90-1)*3,0))</f>
        <v>0</v>
      </c>
      <c r="G90" s="42" t="str">
        <f ca="1">IF(ISERROR(F77),"",_xlfn.TEXTJOIN("/",FALSE,P90,S90))</f>
        <v>NA/30</v>
      </c>
      <c r="H90" s="42"/>
      <c r="I90" s="42" t="str">
        <f ca="1">IF(ISERROR(F77),"",_xlfn.TEXTJOIN("/",FALSE,Q90,T90))</f>
        <v>NA/20</v>
      </c>
      <c r="J90" s="42"/>
      <c r="K90" s="42" t="str">
        <f ca="1">IF(ISERROR(F77),"",_xlfn.TEXTJOIN("/",FALSE,R90,U90))</f>
        <v>0/50</v>
      </c>
      <c r="L90" s="42"/>
      <c r="M90" s="7" t="str">
        <f ca="1">IF(ISERROR(F77),"",IF(ISTEXT(P90),IF(P90="A","Ab",IF(P90="D","Dt",IF(P90="UFM","UFM",IF(P90="NA","-")))),IF(AND(ISBLANK(P90),ISBLANK(R90)),"",IF(P90&lt;0.3*S90,"F",IF(ISBLANK(R90),"",IF(ISTEXT(R90),R90,IF(R90&gt;=0.95*U90,"O",IF(R90&gt;=0.9*U90,"A+",IF(R90&gt;=0.85*U90,"A",IF(R90&gt;=0.8*U90,"B+",IF(R90&gt;=0.75*U90,"B",IF(R90&gt;=0.7*U90,"C+",IF(R90&gt;=0.65*U90,"C",IF(R90&gt;=0.6*U90,"D+",IF(R90&gt;=0.55*U90,"D",IF(R90&gt;=0.5*U90,"E+",IF(R90&gt;=0.45*U90,"E",IF(R90&gt;=0.4*U90,"P",IF(R90&lt;0.4*U90,"F",R90)))))))))))))))))))</f>
        <v>-</v>
      </c>
      <c r="N90" s="8" t="str">
        <f t="shared" ca="1" si="6"/>
        <v>-</v>
      </c>
      <c r="O90">
        <f t="shared" si="7"/>
        <v>9</v>
      </c>
      <c r="P90" s="1" t="str">
        <f ca="1">IF(ISERROR(F77),"",IF(ISTEXT(VLOOKUP(B77,INDIRECT($F$8),6+(O90-1)*3)),(VLOOKUP(B77,INDIRECT($F$8),6+(O90-1)*3)),SUM(VLOOKUP(B77,INDIRECT($F$8),6+(O90-1)*3),IF(W96,W90,0))))</f>
        <v>NA</v>
      </c>
      <c r="Q90" s="1" t="str">
        <f ca="1">IF(ISERROR(F77),"",VLOOKUP(B77,INDIRECT($F$8),7+(O90-1)*3))</f>
        <v>NA</v>
      </c>
      <c r="R90" s="1">
        <f ca="1">IF(ISERROR(F77),"",SUM(P90:Q90))</f>
        <v>0</v>
      </c>
      <c r="S90" s="1">
        <f ca="1">IF(ISERROR(F77),"",VLOOKUP(A77,INDIRECT($F$8),6+(O90-1)*3))</f>
        <v>30</v>
      </c>
      <c r="T90" s="1">
        <f ca="1">IF(ISERROR(F77),"",VLOOKUP(A77,INDIRECT($F$8),7+(O90-1)*3))</f>
        <v>20</v>
      </c>
      <c r="U90" s="1">
        <f ca="1">IF(ISERROR(F77),"",VLOOKUP(A77,INDIRECT($F$8),8+(O90-1)*3))</f>
        <v>50</v>
      </c>
      <c r="V90" s="1" t="str">
        <f ca="1">IF(ISERROR(F77),"",IF(N90=0,A90,""))</f>
        <v/>
      </c>
      <c r="W90" s="1">
        <f ca="1">IF(ISERROR(F77),"",IF(ISTEXT(VLOOKUP(B77,INDIRECT($F$8),6+(O90-1)*3)),11,IF(VLOOKUP(B77,INDIRECT($F$8),6+(O90-1)*3)&lt;S90*0.3,IF(VLOOKUP(B77,INDIRECT($F$8),8+(O90-1)*3)&lt;U90*0.4,IF(AND(0.4*U90-VLOOKUP(B77,INDIRECT($F$8),8+(O90-1)*3)&lt;=5,0.3*S90-VLOOKUP(B77,INDIRECT($F$8),6+(O90-1)*3)&lt;=5),MAX(0.4*U90-VLOOKUP(B77,INDIRECT($F$8),8+(O90-1)*3),0.3*S90-VLOOKUP(B77,INDIRECT($F$8),6+(O90-1)*3)),11),IF(0.3*S90-VLOOKUP(B77,INDIRECT($F$8),6+(O90-1)*3)&lt;=5,0.3*S90-VLOOKUP(B77,INDIRECT($F$8),6+(O90-1)*3),11)),IF(VLOOKUP(B77,INDIRECT($F$8),8+(O90-1)*3)&lt;U90*0.4,IF(U90*0.4-VLOOKUP(B77,INDIRECT($F$8),8+(O90-1)*3)&lt;=5,U90*0.4-VLOOKUP(B77,INDIRECT($F$8),8+(O90-1)*3),11),0))))</f>
        <v>11</v>
      </c>
      <c r="X90" s="1" t="str">
        <f ca="1">IF(ISERROR(F77),"",IF(W90=0,"",_xlfn.TEXTJOIN("",FALSE," G+",W90," in ",A90)))</f>
        <v xml:space="preserve"> G+11 in CAT 003</v>
      </c>
    </row>
    <row r="91" spans="1:24" ht="11.25" customHeight="1" x14ac:dyDescent="0.2">
      <c r="A91" s="7" t="str">
        <f ca="1">IF(ISERROR(F77),"",VLOOKUP(C77,INDIRECT($F$8),6+(O91-1)*3,0))</f>
        <v>CAP 001</v>
      </c>
      <c r="B91" s="41" t="str">
        <f ca="1">IF(ISERROR(F77),"",VLOOKUP(D77,INDIRECT($F$8),6+(O91-1)*3-Z91,0))</f>
        <v>Database Management System Lab</v>
      </c>
      <c r="C91" s="41"/>
      <c r="D91" s="41"/>
      <c r="E91" s="41"/>
      <c r="F91" s="7">
        <f ca="1">IF(ISERROR(F77),"",VLOOKUP(E77,INDIRECT($F$8),6+(O91-1)*3,0))</f>
        <v>1</v>
      </c>
      <c r="G91" s="42" t="str">
        <f ca="1">IF(ISERROR(F77),"",_xlfn.TEXTJOIN("/",FALSE,P91,S91))</f>
        <v>23/30</v>
      </c>
      <c r="H91" s="42"/>
      <c r="I91" s="42" t="str">
        <f ca="1">IF(ISERROR(F77),"",_xlfn.TEXTJOIN("/",FALSE,Q91,T91))</f>
        <v>13/20</v>
      </c>
      <c r="J91" s="42"/>
      <c r="K91" s="42" t="str">
        <f ca="1">IF(ISERROR(F77),"",_xlfn.TEXTJOIN("/",FALSE,R91,U91))</f>
        <v>36/50</v>
      </c>
      <c r="L91" s="42"/>
      <c r="M91" s="7" t="str">
        <f ca="1">IF(ISERROR(F77),"",IF(ISTEXT(P91),IF(P91="A","Ab",IF(P91="D","Dt",IF(P91="UFM","UFM",IF(P91="NA","-")))),IF(AND(ISBLANK(P91),ISBLANK(R91)),"",IF(P91&lt;0.3*S91,"F",IF(ISBLANK(R91),"",IF(ISTEXT(R91),R91,IF(R91&gt;=0.95*U91,"O",IF(R91&gt;=0.9*U91,"A+",IF(R91&gt;=0.85*U91,"A",IF(R91&gt;=0.8*U91,"B+",IF(R91&gt;=0.75*U91,"B",IF(R91&gt;=0.7*U91,"C+",IF(R91&gt;=0.65*U91,"C",IF(R91&gt;=0.6*U91,"D+",IF(R91&gt;=0.55*U91,"D",IF(R91&gt;=0.5*U91,"E+",IF(R91&gt;=0.45*U91,"E",IF(R91&gt;=0.4*U91,"P",IF(R91&lt;0.4*U91,"F",R91)))))))))))))))))))</f>
        <v>C+</v>
      </c>
      <c r="N91" s="8">
        <f t="shared" ca="1" si="6"/>
        <v>7.5</v>
      </c>
      <c r="O91">
        <f t="shared" si="7"/>
        <v>10</v>
      </c>
      <c r="P91" s="1">
        <f ca="1">IF(ISERROR(F77),"",IF(ISTEXT(VLOOKUP(B77,INDIRECT($F$8),6+(O91-1)*3)),(VLOOKUP(B77,INDIRECT($F$8),6+(O91-1)*3)),SUM(VLOOKUP(B77,INDIRECT($F$8),6+(O91-1)*3),IF(W96,W91,0))))</f>
        <v>23</v>
      </c>
      <c r="Q91" s="1">
        <f ca="1">IF(ISERROR(F77),"",VLOOKUP(B77,INDIRECT($F$8),7+(O91-1)*3))</f>
        <v>13</v>
      </c>
      <c r="R91" s="1">
        <f ca="1">IF(ISERROR(F77),"",SUM(P91:Q91))</f>
        <v>36</v>
      </c>
      <c r="S91" s="1">
        <f ca="1">IF(ISERROR(F77),"",VLOOKUP(A77,INDIRECT($F$8),6+(O91-1)*3))</f>
        <v>30</v>
      </c>
      <c r="T91" s="1">
        <f ca="1">IF(ISERROR(F77),"",VLOOKUP(A77,INDIRECT($F$8),7+(O91-1)*3))</f>
        <v>20</v>
      </c>
      <c r="U91" s="1">
        <f ca="1">IF(ISERROR(F77),"",VLOOKUP(A77,INDIRECT($F$8),8+(O91-1)*3))</f>
        <v>50</v>
      </c>
      <c r="V91" s="1" t="str">
        <f ca="1">IF(ISERROR(F77),"",IF(N91=0,A91,""))</f>
        <v/>
      </c>
      <c r="W91" s="1">
        <f ca="1">IF(ISERROR(F77),"",IF(ISTEXT(VLOOKUP(B77,INDIRECT($F$8),6+(O91-1)*3)),11,IF(VLOOKUP(B77,INDIRECT($F$8),6+(O91-1)*3)&lt;S91*0.3,IF(VLOOKUP(B77,INDIRECT($F$8),8+(O91-1)*3)&lt;U91*0.4,IF(AND(0.4*U91-VLOOKUP(B77,INDIRECT($F$8),8+(O91-1)*3)&lt;=5,0.3*S91-VLOOKUP(B77,INDIRECT($F$8),6+(O91-1)*3)&lt;=5),MAX(0.4*U91-VLOOKUP(B77,INDIRECT($F$8),8+(O91-1)*3),0.3*S91-VLOOKUP(B77,INDIRECT($F$8),6+(O91-1)*3)),11),IF(0.3*S91-VLOOKUP(B77,INDIRECT($F$8),6+(O91-1)*3)&lt;=5,0.3*S91-VLOOKUP(B77,INDIRECT($F$8),6+(O91-1)*3),11)),IF(VLOOKUP(B77,INDIRECT($F$8),8+(O91-1)*3)&lt;U91*0.4,IF(U91*0.4-VLOOKUP(B77,INDIRECT($F$8),8+(O91-1)*3)&lt;=5,U91*0.4-VLOOKUP(B77,INDIRECT($F$8),8+(O91-1)*3),11),0))))</f>
        <v>0</v>
      </c>
      <c r="X91" s="1" t="str">
        <f ca="1">IF(ISERROR(F77),"",IF(W91=0,"",_xlfn.TEXTJOIN("",FALSE," G+",W91," in ",A91)))</f>
        <v/>
      </c>
    </row>
    <row r="92" spans="1:24" ht="11.25" customHeight="1" x14ac:dyDescent="0.2">
      <c r="A92" s="7" t="str">
        <f ca="1">IF(ISERROR(F77),"",VLOOKUP(C77,INDIRECT($F$8),6+(O92-1)*3,0))</f>
        <v>CAP 002</v>
      </c>
      <c r="B92" s="41" t="str">
        <f ca="1">IF(ISERROR(F77),"",VLOOKUP(D77,INDIRECT($F$8),6+(O92-1)*3,0))</f>
        <v>Operating System Lab</v>
      </c>
      <c r="C92" s="41"/>
      <c r="D92" s="41"/>
      <c r="E92" s="41"/>
      <c r="F92" s="7">
        <f ca="1">IF(ISERROR(F77),"",VLOOKUP(E77,INDIRECT($F$8),6+(O92-1)*3,0))</f>
        <v>1</v>
      </c>
      <c r="G92" s="42" t="str">
        <f ca="1">IF(ISERROR(F77),"",_xlfn.TEXTJOIN("/",FALSE,P92,S92))</f>
        <v>24/30</v>
      </c>
      <c r="H92" s="42"/>
      <c r="I92" s="42" t="str">
        <f ca="1">IF(ISERROR(F77),"",_xlfn.TEXTJOIN("/",FALSE,Q92,T92))</f>
        <v>16/20</v>
      </c>
      <c r="J92" s="42"/>
      <c r="K92" s="42" t="str">
        <f ca="1">IF(ISERROR(F77),"",_xlfn.TEXTJOIN("/",FALSE,R92,U92))</f>
        <v>40/50</v>
      </c>
      <c r="L92" s="42"/>
      <c r="M92" s="7" t="str">
        <f ca="1">IF(ISERROR(F77),"",IF(ISTEXT(P92),IF(P92="A","Ab",IF(P92="D","Dt",IF(P92="UFM","UFM",IF(P92="NA","-")))),IF(AND(ISBLANK(P92),ISBLANK(R92)),"",IF(P92&lt;0.3*S92,"F",IF(ISBLANK(R92),"",IF(ISTEXT(R92),R92,IF(R92&gt;=0.95*U92,"O",IF(R92&gt;=0.9*U92,"A+",IF(R92&gt;=0.85*U92,"A",IF(R92&gt;=0.8*U92,"B+",IF(R92&gt;=0.75*U92,"B",IF(R92&gt;=0.7*U92,"C+",IF(R92&gt;=0.65*U92,"C",IF(R92&gt;=0.6*U92,"D+",IF(R92&gt;=0.55*U92,"D",IF(R92&gt;=0.5*U92,"E+",IF(R92&gt;=0.45*U92,"E",IF(R92&gt;=0.4*U92,"P",IF(R92&lt;0.4*U92,"F",R92)))))))))))))))))))</f>
        <v>B+</v>
      </c>
      <c r="N92" s="8">
        <f t="shared" ca="1" si="6"/>
        <v>8.5</v>
      </c>
      <c r="O92">
        <f t="shared" si="7"/>
        <v>11</v>
      </c>
      <c r="P92" s="1">
        <f ca="1">IF(ISERROR(F77),"",IF(ISTEXT(VLOOKUP(B77,INDIRECT($F$8),6+(O92-1)*3)),(VLOOKUP(B77,INDIRECT($F$8),6+(O92-1)*3)),SUM(VLOOKUP(B77,INDIRECT($F$8),6+(O92-1)*3),IF(W96,W92,0))))</f>
        <v>24</v>
      </c>
      <c r="Q92" s="1">
        <f ca="1">IF(ISERROR(F77),"",VLOOKUP(B77,INDIRECT($F$8),7+(O92-1)*3))</f>
        <v>16</v>
      </c>
      <c r="R92" s="1">
        <f ca="1">IF(ISERROR(F77),"",SUM(P92:Q92))</f>
        <v>40</v>
      </c>
      <c r="S92" s="1">
        <f ca="1">IF(ISERROR(F77),"",VLOOKUP(A77,INDIRECT($F$8),6+(O92-1)*3))</f>
        <v>30</v>
      </c>
      <c r="T92" s="1">
        <f ca="1">IF(ISERROR(F77),"",VLOOKUP(A77,INDIRECT($F$8),7+(O92-1)*3))</f>
        <v>20</v>
      </c>
      <c r="U92" s="1">
        <f ca="1">IF(ISERROR(F77),"",VLOOKUP(A77,INDIRECT($F$8),8+(O92-1)*3))</f>
        <v>50</v>
      </c>
      <c r="V92" s="1" t="str">
        <f ca="1">IF(ISERROR(F77),"",IF(N92=0,A92,""))</f>
        <v/>
      </c>
      <c r="W92" s="1">
        <f ca="1">IF(ISERROR(F77),"",IF(ISTEXT(VLOOKUP(B77,INDIRECT($F$8),6+(O92-1)*3)),11,IF(VLOOKUP(B77,INDIRECT($F$8),6+(O92-1)*3)&lt;S92*0.3,IF(VLOOKUP(B77,INDIRECT($F$8),8+(O92-1)*3)&lt;U92*0.4,IF(AND(0.4*U92-VLOOKUP(B77,INDIRECT($F$8),8+(O92-1)*3)&lt;=5,0.3*S92-VLOOKUP(B77,INDIRECT($F$8),6+(O92-1)*3)&lt;=5),MAX(0.4*U92-VLOOKUP(B77,INDIRECT($F$8),8+(O92-1)*3),0.3*S92-VLOOKUP(B77,INDIRECT($F$8),6+(O92-1)*3)),11),IF(0.3*S92-VLOOKUP(B77,INDIRECT($F$8),6+(O92-1)*3)&lt;=5,0.3*S92-VLOOKUP(B77,INDIRECT($F$8),6+(O92-1)*3),11)),IF(VLOOKUP(B77,INDIRECT($F$8),8+(O92-1)*3)&lt;U92*0.4,IF(U92*0.4-VLOOKUP(B77,INDIRECT($F$8),8+(O92-1)*3)&lt;=5,U92*0.4-VLOOKUP(B77,INDIRECT($F$8),8+(O92-1)*3),11),0))))</f>
        <v>0</v>
      </c>
      <c r="X92" s="1" t="str">
        <f ca="1">IF(ISERROR(F77),"",IF(W92=0,"",_xlfn.TEXTJOIN("",FALSE," G+",W92," in ",A92)))</f>
        <v/>
      </c>
    </row>
    <row r="93" spans="1:24" ht="11.25" customHeight="1" x14ac:dyDescent="0.2">
      <c r="A93" s="7" t="str">
        <f ca="1">IF(ISERROR(F77),"",VLOOKUP(C77,INDIRECT($F$8),6+(O93-1)*3,0))</f>
        <v>CAP 003</v>
      </c>
      <c r="B93" s="41" t="str">
        <f ca="1">IF(ISERROR(F77),"",VLOOKUP(D77,INDIRECT($F$8),6+(O93-1)*3,0))</f>
        <v>Computer Organization Lab</v>
      </c>
      <c r="C93" s="41"/>
      <c r="D93" s="41"/>
      <c r="E93" s="41"/>
      <c r="F93" s="7">
        <f ca="1">IF(ISERROR(F77),"",VLOOKUP(E77,INDIRECT($F$8),6+(O93-1)*3,0))</f>
        <v>1</v>
      </c>
      <c r="G93" s="42" t="str">
        <f ca="1">IF(ISERROR(F77),"",_xlfn.TEXTJOIN("/",FALSE,P93,S93))</f>
        <v>25/30</v>
      </c>
      <c r="H93" s="42"/>
      <c r="I93" s="42" t="str">
        <f ca="1">IF(ISERROR(F77),"",_xlfn.TEXTJOIN("/",FALSE,Q93,T93))</f>
        <v>18/20</v>
      </c>
      <c r="J93" s="42"/>
      <c r="K93" s="42" t="str">
        <f ca="1">IF(ISERROR(F77),"",_xlfn.TEXTJOIN("/",FALSE,R93,U93))</f>
        <v>43/50</v>
      </c>
      <c r="L93" s="42"/>
      <c r="M93" s="7" t="str">
        <f ca="1">IF(ISERROR(F77),"",IF(ISTEXT(P93),IF(P93="A","Ab",IF(P93="D","Dt",IF(P93="UFM","UFM",IF(P93="NA","-")))),IF(AND(ISBLANK(P93),ISBLANK(R93)),"",IF(P93&lt;0.3*S93,"F",IF(ISBLANK(R93),"",IF(ISTEXT(R93),R93,IF(R93&gt;=0.95*U93,"O",IF(R93&gt;=0.9*U93,"A+",IF(R93&gt;=0.85*U93,"A",IF(R93&gt;=0.8*U93,"B+",IF(R93&gt;=0.75*U93,"B",IF(R93&gt;=0.7*U93,"C+",IF(R93&gt;=0.65*U93,"C",IF(R93&gt;=0.6*U93,"D+",IF(R93&gt;=0.55*U93,"D",IF(R93&gt;=0.5*U93,"E+",IF(R93&gt;=0.45*U93,"E",IF(R93&gt;=0.4*U93,"P",IF(R93&lt;0.4*U93,"F",R93)))))))))))))))))))</f>
        <v>A</v>
      </c>
      <c r="N93" s="8">
        <f t="shared" ca="1" si="6"/>
        <v>9</v>
      </c>
      <c r="O93">
        <f t="shared" si="7"/>
        <v>12</v>
      </c>
      <c r="P93" s="1">
        <f ca="1">IF(ISERROR(F77),"",IF(ISTEXT(VLOOKUP(B77,INDIRECT($F$8),6+(O93-1)*3)),(VLOOKUP(B77,INDIRECT($F$8),6+(O93-1)*3)),SUM(VLOOKUP(B77,INDIRECT($F$8),6+(O93-1)*3),IF(W96,W93,0))))</f>
        <v>25</v>
      </c>
      <c r="Q93" s="1">
        <f ca="1">IF(ISERROR(F77),"",VLOOKUP(B77,INDIRECT($F$8),7+(O93-1)*3))</f>
        <v>18</v>
      </c>
      <c r="R93" s="1">
        <f ca="1">IF(ISERROR(F77),"",SUM(P93:Q93))</f>
        <v>43</v>
      </c>
      <c r="S93" s="1">
        <f ca="1">IF(ISERROR(F77),"",VLOOKUP(A77,INDIRECT($F$8),6+(O93-1)*3))</f>
        <v>30</v>
      </c>
      <c r="T93" s="1">
        <f ca="1">IF(ISERROR(F77),"",VLOOKUP(A77,INDIRECT($F$8),7+(O93-1)*3))</f>
        <v>20</v>
      </c>
      <c r="U93" s="1">
        <f ca="1">IF(ISERROR(F77),"",VLOOKUP(A77,INDIRECT($F$8),8+(O93-1)*3))</f>
        <v>50</v>
      </c>
      <c r="V93" s="1" t="str">
        <f ca="1">IF(ISERROR(F77),"",IF(N93=0,A93,""))</f>
        <v/>
      </c>
      <c r="W93" s="1">
        <f ca="1">IF(ISERROR(F77),"",IF(ISTEXT(VLOOKUP(B77,INDIRECT($F$8),6+(O93-1)*3)),11,IF(VLOOKUP(B77,INDIRECT($F$8),6+(O93-1)*3)&lt;S93*0.3,IF(VLOOKUP(B77,INDIRECT($F$8),8+(O93-1)*3)&lt;U93*0.4,IF(AND(0.4*U93-VLOOKUP(B77,INDIRECT($F$8),8+(O93-1)*3)&lt;=5,0.3*S93-VLOOKUP(B77,INDIRECT($F$8),6+(O93-1)*3)&lt;=5),MAX(0.4*U93-VLOOKUP(B77,INDIRECT($F$8),8+(O93-1)*3),0.3*S93-VLOOKUP(B77,INDIRECT($F$8),6+(O93-1)*3)),11),IF(0.3*S93-VLOOKUP(B77,INDIRECT($F$8),6+(O93-1)*3)&lt;=5,0.3*S93-VLOOKUP(B77,INDIRECT($F$8),6+(O93-1)*3),11)),IF(VLOOKUP(B77,INDIRECT($F$8),8+(O93-1)*3)&lt;U93*0.4,IF(U93*0.4-VLOOKUP(B77,INDIRECT($F$8),8+(O93-1)*3)&lt;=5,U93*0.4-VLOOKUP(B77,INDIRECT($F$8),8+(O93-1)*3),11),0))))</f>
        <v>0</v>
      </c>
      <c r="X93" s="1" t="str">
        <f ca="1">IF(ISERROR(F77),"",IF(W93=0,"",_xlfn.TEXTJOIN("",FALSE," G+",W93," in ",A93)))</f>
        <v/>
      </c>
    </row>
    <row r="94" spans="1:24" ht="11.25" customHeight="1" x14ac:dyDescent="0.2">
      <c r="A94" s="7" t="str">
        <f ca="1">IF(ISERROR(F77),"",VLOOKUP(C77,INDIRECT($F$8),6+(O94-1)*3,0))</f>
        <v>AHP 303</v>
      </c>
      <c r="B94" s="41" t="str">
        <f ca="1">IF(ISERROR(F77),"",VLOOKUP(D77,INDIRECT($F$8),6+(O94-1)*3,0))</f>
        <v>Technical Communication Skills</v>
      </c>
      <c r="C94" s="41"/>
      <c r="D94" s="41"/>
      <c r="E94" s="41"/>
      <c r="F94" s="7">
        <f ca="1">IF(ISERROR(F77),"",VLOOKUP(E77,INDIRECT($F$8),6+(O94-1)*3,0))</f>
        <v>1</v>
      </c>
      <c r="G94" s="42" t="str">
        <f ca="1">IF(ISERROR(F77),"",_xlfn.TEXTJOIN("/",FALSE,P94,S94))</f>
        <v>25/30</v>
      </c>
      <c r="H94" s="42"/>
      <c r="I94" s="42" t="str">
        <f ca="1">IF(ISERROR(F77),"",_xlfn.TEXTJOIN("/",FALSE,Q94,T94))</f>
        <v>17/20</v>
      </c>
      <c r="J94" s="42"/>
      <c r="K94" s="42" t="str">
        <f ca="1">IF(ISERROR(F77),"",_xlfn.TEXTJOIN("/",FALSE,R94,U94))</f>
        <v>42/50</v>
      </c>
      <c r="L94" s="42"/>
      <c r="M94" s="7" t="str">
        <f ca="1">IF(ISERROR(F77),"",IF(ISTEXT(P94),IF(P94="A","Ab",IF(P94="D","Dt",IF(P94="UFM","UFM",IF(P94="NA","-")))),IF(AND(ISBLANK(P94),ISBLANK(R94)),"",IF(P94&lt;0.3*S94,"F",IF(ISBLANK(R94),"",IF(ISTEXT(R94),R94,IF(R94&gt;=0.95*U94,"O",IF(R94&gt;=0.9*U94,"A+",IF(R94&gt;=0.85*U94,"A",IF(R94&gt;=0.8*U94,"B+",IF(R94&gt;=0.75*U94,"B",IF(R94&gt;=0.7*U94,"C+",IF(R94&gt;=0.65*U94,"C",IF(R94&gt;=0.6*U94,"D+",IF(R94&gt;=0.55*U94,"D",IF(R94&gt;=0.5*U94,"E+",IF(R94&gt;=0.45*U94,"E",IF(R94&gt;=0.4*U94,"P",IF(R94&lt;0.4*U94,"F",R94)))))))))))))))))))</f>
        <v>B+</v>
      </c>
      <c r="N94" s="8">
        <f t="shared" ca="1" si="6"/>
        <v>8.5</v>
      </c>
      <c r="O94">
        <f t="shared" si="7"/>
        <v>13</v>
      </c>
      <c r="P94" s="1">
        <f ca="1">IF(ISERROR(F77),"",IF(ISTEXT(VLOOKUP(B77,INDIRECT($F$8),6+(O94-1)*3)),(VLOOKUP(B77,INDIRECT($F$8),6+(O94-1)*3)),SUM(VLOOKUP(B77,INDIRECT($F$8),6+(O94-1)*3),IF(W96,W94,0))))</f>
        <v>25</v>
      </c>
      <c r="Q94" s="1">
        <f ca="1">IF(ISERROR(F77),"",VLOOKUP(B77,INDIRECT($F$8),7+(O94-1)*3))</f>
        <v>17</v>
      </c>
      <c r="R94" s="1">
        <f ca="1">IF(ISERROR(F77),"",SUM(P94:Q94))</f>
        <v>42</v>
      </c>
      <c r="S94" s="1">
        <f ca="1">IF(ISERROR(F77),"",VLOOKUP(A77,INDIRECT($F$8),6+(O94-1)*3))</f>
        <v>30</v>
      </c>
      <c r="T94" s="1">
        <f ca="1">IF(ISERROR(F77),"",VLOOKUP(A77,INDIRECT($F$8),7+(O94-1)*3))</f>
        <v>20</v>
      </c>
      <c r="U94" s="1">
        <f ca="1">IF(ISERROR(F77),"",VLOOKUP(A77,INDIRECT($F$8),8+(O94-1)*3))</f>
        <v>50</v>
      </c>
      <c r="V94" s="1"/>
      <c r="W94" s="1">
        <f ca="1">IF(ISERROR(F77),"",IF(ISTEXT(VLOOKUP(B77,INDIRECT($F$8),6+(O94-1)*3)),11,IF(VLOOKUP(B77,INDIRECT($F$8),6+(O94-1)*3)&lt;S94*0.3,IF(VLOOKUP(B77,INDIRECT($F$8),8+(O94-1)*3)&lt;U94*0.4,IF(AND(0.4*U94-VLOOKUP(B77,INDIRECT($F$8),8+(O94-1)*3)&lt;=5,0.3*S94-VLOOKUP(B77,INDIRECT($F$8),6+(O94-1)*3)&lt;=5),MAX(0.4*U94-VLOOKUP(B77,INDIRECT($F$8),8+(O94-1)*3),0.3*S94-VLOOKUP(B77,INDIRECT($F$8),6+(O94-1)*3)),11),IF(0.3*S94-VLOOKUP(B77,INDIRECT($F$8),6+(O94-1)*3)&lt;=5,0.3*S94-VLOOKUP(B77,INDIRECT($F$8),6+(O94-1)*3),11)),IF(VLOOKUP(B77,INDIRECT($F$8),8+(O94-1)*3)&lt;U94*0.4,IF(U94*0.4-VLOOKUP(B77,INDIRECT($F$8),8+(O94-1)*3)&lt;=5,U94*0.4-VLOOKUP(B77,INDIRECT($F$8),8+(O94-1)*3),11),0))))</f>
        <v>0</v>
      </c>
      <c r="X94" s="1" t="str">
        <f ca="1">IF(ISERROR(F77),"",IF(W94=0,"",_xlfn.TEXTJOIN("",FALSE," G+",W94," in ",A94)))</f>
        <v/>
      </c>
    </row>
    <row r="95" spans="1:24" s="32" customFormat="1" ht="11.25" customHeight="1" x14ac:dyDescent="0.2">
      <c r="A95" s="31">
        <f ca="1">IF(ISERROR(F77),"",VLOOKUP(C77,INDIRECT($F$8),6+(O95-1)*3-Y95,0))</f>
        <v>0</v>
      </c>
      <c r="B95" s="49">
        <f ca="1">IF(ISERROR(F77),"",VLOOKUP(D77,INDIRECT($F$8),6+(O95-1)*3-Z95,0))</f>
        <v>0</v>
      </c>
      <c r="C95" s="49"/>
      <c r="D95" s="49"/>
      <c r="E95" s="49"/>
      <c r="F95" s="31">
        <f ca="1">IF(ISERROR(F77),"",VLOOKUP(E77,INDIRECT($F$8),6+(O95-1)*3-AA95,0))</f>
        <v>0</v>
      </c>
      <c r="G95" s="50" t="str">
        <f ca="1">IF(ISERROR(F77),"","-")</f>
        <v>-</v>
      </c>
      <c r="H95" s="50"/>
      <c r="I95" s="50" t="str">
        <f ca="1">IF(ISERROR(F77),"",_xlfn.TEXTJOIN("/",FALSE,Q95,T95))</f>
        <v>0/0</v>
      </c>
      <c r="J95" s="50"/>
      <c r="K95" s="50" t="str">
        <f ca="1">IF(ISERROR(F77),"",_xlfn.TEXTJOIN("/",FALSE,R95,U95))</f>
        <v>0/0</v>
      </c>
      <c r="L95" s="50"/>
      <c r="M95" s="50" t="str">
        <f ca="1">IF(ISBLANK(R95),"",IF(ISTEXT(R95),R95,IF(R95&gt;=0.8*U95,"Excellent",IF(R95&gt;=0.6*U95,"Very Good",IF(R95&gt;=0.4*U95,"Good",IF(R95&gt;=0.2*U95,"Satisfactory","Average"))))))</f>
        <v>Excellent</v>
      </c>
      <c r="N95" s="50"/>
      <c r="O95" s="32">
        <f t="shared" si="7"/>
        <v>14</v>
      </c>
      <c r="P95" s="33">
        <f ca="1">IF(ISERROR(F77),"",IF(ISTEXT(VLOOKUP(B\28,INDIRECT($F$8),6+(O95-1)*3)),(VLOOKUP(B77,INDIRECT($F$8),6+(O95-1)*3)),SUM(VLOOKUP(B77,INDIRECT($F$8),6+(O95-1)*3),IF(W96,W95,0))))</f>
        <v>0</v>
      </c>
      <c r="Q95" s="33">
        <f ca="1">IF(ISERROR(F77),"",VLOOKUP(B77,INDIRECT($F$8),7+(O95-1)*3))</f>
        <v>0</v>
      </c>
      <c r="R95" s="33">
        <f ca="1">IF(ISERROR(F77),"",SUM(P95:Q95))</f>
        <v>0</v>
      </c>
      <c r="S95" s="33">
        <f ca="1">IF(ISERROR(F77),"",VLOOKUP(A77,INDIRECT($F$8),6+(O95-1)*3))</f>
        <v>0</v>
      </c>
      <c r="T95" s="33">
        <f ca="1">IF(ISERROR(F77),"",VLOOKUP(A77,INDIRECT($F$8),7+(O95-1)*3))</f>
        <v>0</v>
      </c>
      <c r="U95" s="33">
        <f ca="1">IF(ISERROR(F77),"",VLOOKUP(A77,INDIRECT($F$8),8+(O95-1)*3))</f>
        <v>0</v>
      </c>
      <c r="V95" s="33"/>
      <c r="W95" s="33"/>
      <c r="X95" s="33" t="str">
        <f ca="1">IF(ISERROR(F77),"",IF(W95=0,"",_xlfn.TEXTJOIN("",FALSE," G+",W95," in ",A95)))</f>
        <v/>
      </c>
    </row>
    <row r="96" spans="1:24" ht="11.25" customHeight="1" x14ac:dyDescent="0.2">
      <c r="A96" s="43" t="str">
        <f ca="1">IF(ISERROR(F77),"",A73)</f>
        <v>Total Credits/ Marks/ Total Grade Points</v>
      </c>
      <c r="B96" s="43"/>
      <c r="C96" s="43"/>
      <c r="D96" s="43"/>
      <c r="E96" s="43"/>
      <c r="F96" s="10">
        <f ca="1">IF(ISERROR(F77),"",SUM(F82:F95))</f>
        <v>24</v>
      </c>
      <c r="G96" s="44" t="str">
        <f ca="1">IF(ISERROR(F77),"",_xlfn.TEXTJOIN("/",TRUE,SUMIF(F82:F95,"&gt;0",P82:P95),SUMIF(F82:F95,"&gt;0",S82:S95)))</f>
        <v>301/620</v>
      </c>
      <c r="H96" s="44"/>
      <c r="I96" s="44" t="str">
        <f ca="1">IF(ISERROR(F77),"",_xlfn.TEXTJOIN("/",TRUE,SUMIF(F82:F95,"&gt;0",Q82:Q95),SUMIF(F82:F95,"&gt;0",T82:T95)))</f>
        <v>239/330</v>
      </c>
      <c r="J96" s="44"/>
      <c r="K96" s="44" t="str">
        <f ca="1">IF(ISERROR(F77),"",_xlfn.TEXTJOIN("/",TRUE,SUMIF(F82:F95,"&gt;0",R82:R95),SUMIF(F82:F95,"&gt;0",U82:U95)))</f>
        <v>540/950</v>
      </c>
      <c r="L96" s="44"/>
      <c r="M96" s="43">
        <f ca="1">IF(ISERROR(F77),"",SUMPRODUCT(N82:N94,F82:F94))</f>
        <v>131.5</v>
      </c>
      <c r="N96" s="43"/>
      <c r="V96" s="1" t="str">
        <f ca="1">IF(ISERROR(F77),"",_xlfn.TEXTJOIN(", ",TRUE,V82:V95))</f>
        <v>AHT 303</v>
      </c>
      <c r="W96" t="b">
        <f ca="1">IF(ISERROR(F77),"",IF(SUM(W82:W95)&lt;=W81,TRUE,FALSE))</f>
        <v>0</v>
      </c>
      <c r="X96" s="1" t="str">
        <f ca="1">_xlfn.TEXTJOIN(",",TRUE,X82:X95)</f>
        <v xml:space="preserve"> G+11 in AHT 303, G+11 in CAT 001, G+11 in CAT 002, G+11 in CAT 003</v>
      </c>
    </row>
    <row r="97" spans="1:24" ht="11.25" customHeight="1" x14ac:dyDescent="0.2">
      <c r="A97" s="43" t="str">
        <f ca="1">IF(ISERROR(F77),"",A74)</f>
        <v>Result:</v>
      </c>
      <c r="B97" s="45" t="str">
        <f ca="1">IF(ISERROR(F77),"",IF(V96="","PASS","CARRY OVER"))</f>
        <v>CARRY OVER</v>
      </c>
      <c r="C97" s="45"/>
      <c r="D97" s="43" t="str">
        <f ca="1">IF(ISERROR(F77),"",D74)</f>
        <v>Remark:</v>
      </c>
      <c r="E97" s="45" t="str">
        <f ca="1">IF(ISERROR(F77),"",IF(W96,X96,IF(V96="","",_xlfn.TEXTJOIN("",TRUE,"BACK IN ",V96))))</f>
        <v>BACK IN AHT 303</v>
      </c>
      <c r="F97" s="45"/>
      <c r="G97" s="43" t="str">
        <f ca="1">IF(ISERROR(F77),"",G74)</f>
        <v>SGPA:</v>
      </c>
      <c r="H97" s="46">
        <f ca="1">IF(ISERROR(F77),"",M96/F96)</f>
        <v>5.479166666666667</v>
      </c>
      <c r="I97" s="43" t="str">
        <f ca="1">IF(ISERROR(F77),"",I74)</f>
        <v>CGPA:</v>
      </c>
      <c r="J97" s="46">
        <f ca="1">IF(ISERROR(F77),"",VLOOKUP(B77,INDIRECT($F$8),12+(O95-1)*3,0))</f>
        <v>5.479166666666667</v>
      </c>
      <c r="K97" s="45" t="str">
        <f ca="1">IF(ISERROR(F77),"",K74)</f>
        <v>Earned Credits:</v>
      </c>
      <c r="L97" s="43">
        <f ca="1">IF(ISERROR(F77),"",SUMIF(N82:N94,"&gt;0",F82:F94))</f>
        <v>20</v>
      </c>
      <c r="M97" s="45" t="str">
        <f ca="1">IF(ISERROR(F77),"",M74)</f>
        <v>Cuml. Earned Credits:</v>
      </c>
      <c r="N97" s="43">
        <f ca="1">IF(ISERROR(F77),"",VLOOKUP(B77,INDIRECT($F$8),10+(O95-1)*3,0))</f>
        <v>20</v>
      </c>
    </row>
    <row r="98" spans="1:24" ht="11.25" customHeight="1" x14ac:dyDescent="0.2">
      <c r="A98" s="43"/>
      <c r="B98" s="45"/>
      <c r="C98" s="45"/>
      <c r="D98" s="43"/>
      <c r="E98" s="45"/>
      <c r="F98" s="45"/>
      <c r="G98" s="43"/>
      <c r="H98" s="46"/>
      <c r="I98" s="43"/>
      <c r="J98" s="46"/>
      <c r="K98" s="45"/>
      <c r="L98" s="43"/>
      <c r="M98" s="45"/>
      <c r="N98" s="43"/>
    </row>
    <row r="99" spans="1:24" ht="15" x14ac:dyDescent="0.2">
      <c r="A99" s="43"/>
      <c r="B99" s="45"/>
      <c r="C99" s="45"/>
      <c r="D99" s="43"/>
      <c r="E99" s="45"/>
      <c r="F99" s="45"/>
      <c r="G99" s="43"/>
      <c r="H99" s="46"/>
      <c r="I99" s="43"/>
      <c r="J99" s="46"/>
      <c r="K99" s="45"/>
      <c r="L99" s="43"/>
      <c r="M99" s="45"/>
      <c r="N99" s="43"/>
    </row>
    <row r="100" spans="1:24" ht="11.25" customHeight="1" x14ac:dyDescent="0.2">
      <c r="A100" s="11" t="str">
        <f>A77</f>
        <v>MM</v>
      </c>
      <c r="B100" s="11">
        <f>B77+1</f>
        <v>5</v>
      </c>
      <c r="C100" s="11" t="str">
        <f>C77</f>
        <v>SC</v>
      </c>
      <c r="D100" s="11" t="str">
        <f>D77</f>
        <v>SN</v>
      </c>
      <c r="E100" s="11" t="str">
        <f>E77</f>
        <v>C</v>
      </c>
      <c r="F100" s="11" t="str">
        <f ca="1">VLOOKUP(B100,INDIRECT($F$8),4,0)</f>
        <v>DEEPAK BISHT</v>
      </c>
    </row>
    <row r="101" spans="1:24" ht="11.25" customHeight="1" x14ac:dyDescent="0.2">
      <c r="A101" s="47" t="str">
        <f ca="1">IF(ISERROR(F100),"",A78)</f>
        <v>Name:</v>
      </c>
      <c r="B101" s="47" t="str">
        <f ca="1">IFERROR(VLOOKUP(B100,INDIRECT($F$8),4,0),"")</f>
        <v>DEEPAK BISHT</v>
      </c>
      <c r="C101" s="47"/>
      <c r="D101" s="47" t="str">
        <f ca="1">IF(ISERROR(F100),"",D78)</f>
        <v>Father's Name:</v>
      </c>
      <c r="E101" s="47" t="str">
        <f ca="1">IFERROR(VLOOKUP(B100,INDIRECT($F$8),5,0),"")</f>
        <v>DIWAN SINGH BISHT</v>
      </c>
      <c r="F101" s="47"/>
      <c r="G101" s="47" t="str">
        <f ca="1">IF(ISERROR(F100),"",G78)</f>
        <v>University Roll No:</v>
      </c>
      <c r="H101" s="47"/>
      <c r="I101" s="48">
        <f ca="1">IFERROR(VLOOKUP(B100,INDIRECT($F$8),2,0),"")</f>
        <v>250090600005</v>
      </c>
      <c r="J101" s="48"/>
      <c r="K101" s="47" t="str">
        <f ca="1">IF(ISERROR(F100),"",K78)</f>
        <v>University Enrol. No:</v>
      </c>
      <c r="L101" s="47"/>
      <c r="M101" s="48" t="str">
        <f ca="1">IFERROR(VLOOKUP(B100,INDIRECT($F$8),3,0),"")</f>
        <v>UTU/2506100147</v>
      </c>
      <c r="N101" s="48"/>
    </row>
    <row r="102" spans="1:24" ht="15" x14ac:dyDescent="0.2">
      <c r="A102" s="47"/>
      <c r="B102" s="47"/>
      <c r="C102" s="47"/>
      <c r="D102" s="47"/>
      <c r="E102" s="47"/>
      <c r="F102" s="47"/>
      <c r="G102" s="47"/>
      <c r="H102" s="47"/>
      <c r="I102" s="48"/>
      <c r="J102" s="48"/>
      <c r="K102" s="47"/>
      <c r="L102" s="47"/>
      <c r="M102" s="48"/>
      <c r="N102" s="48"/>
    </row>
    <row r="103" spans="1:24" ht="11.25" customHeight="1" x14ac:dyDescent="0.2">
      <c r="A103" s="45" t="str">
        <f ca="1">IF(ISERROR(F100),"",A80)</f>
        <v>Subject Code</v>
      </c>
      <c r="B103" s="45" t="str">
        <f ca="1">IF(ISERROR(F100),"",B80)</f>
        <v>Subject Name</v>
      </c>
      <c r="C103" s="45"/>
      <c r="D103" s="45"/>
      <c r="E103" s="45"/>
      <c r="F103" s="45" t="str">
        <f ca="1">IF(ISERROR(F100),"",F80)</f>
        <v>Credits</v>
      </c>
      <c r="G103" s="45" t="str">
        <f ca="1">IF(ISERROR(F100),"",G80)</f>
        <v>External Marks</v>
      </c>
      <c r="H103" s="45"/>
      <c r="I103" s="45" t="str">
        <f ca="1">IF(ISERROR(F100),"",I80)</f>
        <v>Sessional Marks</v>
      </c>
      <c r="J103" s="45"/>
      <c r="K103" s="45" t="str">
        <f ca="1">IF(ISERROR(F100),"",K80)</f>
        <v>Total Marks</v>
      </c>
      <c r="L103" s="45"/>
      <c r="M103" s="45" t="str">
        <f ca="1">IF(ISERROR(F100),"",M80)</f>
        <v>Grade</v>
      </c>
      <c r="N103" s="45" t="str">
        <f ca="1">IF(ISERROR(F100),"",N80)</f>
        <v>Grade Points</v>
      </c>
    </row>
    <row r="104" spans="1:24" ht="15" x14ac:dyDescent="0.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W104">
        <f ca="1">IF(ISNUMBER(MATCH($F$8,{"I","III","V","VII"},0)),10,10-INDEX(INDIRECT(_xlfn.TEXTJOIN("",TRUE,"SEM_",$G$8,"!",ADDRESS(6,4+$I$8*3+4),":",ADDRESS(5+$H$8,4+$I$8*3+4))),MATCH(INDIRECT(_xlfn.TEXTJOIN("",TRUE,"TC_",$F$8,"!",ADDRESS(ROW(I101),COLUMN(I101)))),INDIRECT(_xlfn.TEXTJOIN("",TRUE,"SEM_",$G$8,"!",ADDRESS(6,2),":",ADDRESS(5+$H$8,2))))))</f>
        <v>10</v>
      </c>
    </row>
    <row r="105" spans="1:24" ht="11.25" customHeight="1" x14ac:dyDescent="0.2">
      <c r="A105" s="7" t="str">
        <f ca="1">IF(ISERROR(F100),"",VLOOKUP(C100,INDIRECT($F$8),6+(O105-1)*3,0))</f>
        <v>CAT 004</v>
      </c>
      <c r="B105" s="41" t="str">
        <f ca="1">IF(ISERROR(F100),"",VLOOKUP(D100,INDIRECT($F$8),6+(O105-1)*3,0))</f>
        <v>Discrete Structure</v>
      </c>
      <c r="C105" s="41"/>
      <c r="D105" s="41"/>
      <c r="E105" s="41"/>
      <c r="F105" s="7">
        <f ca="1">IF(ISERROR(F100),"",VLOOKUP(E100,INDIRECT($F$8),6+(O105-1)*3,0))</f>
        <v>4</v>
      </c>
      <c r="G105" s="42" t="str">
        <f ca="1">IF(ISERROR(F100),"",_xlfn.TEXTJOIN("/",FALSE,P105,S105))</f>
        <v>58/100</v>
      </c>
      <c r="H105" s="42"/>
      <c r="I105" s="42" t="str">
        <f ca="1">IF(ISERROR(F100),"",_xlfn.TEXTJOIN("/",FALSE,Q105,T105))</f>
        <v>38/50</v>
      </c>
      <c r="J105" s="42"/>
      <c r="K105" s="42" t="str">
        <f ca="1">IF(ISERROR(F100),"",_xlfn.TEXTJOIN("/",FALSE,R105,U105))</f>
        <v>96/150</v>
      </c>
      <c r="L105" s="42"/>
      <c r="M105" s="7" t="str">
        <f ca="1">IF(ISERROR(F100),"",IF(ISTEXT(P105),IF(P105="A","Ab",IF(P105="D","Dt",IF(P105="UFM","UFM",IF(P105="NA","-")))),IF(AND(ISBLANK(P105),ISBLANK(R105)),"",IF(P105&lt;0.3*S105,"F",IF(ISBLANK(R105),"",IF(ISTEXT(R105),R105,IF(R105&gt;=0.95*U105,"O",IF(R105&gt;=0.9*U105,"A+",IF(R105&gt;=0.85*U105,"A",IF(R105&gt;=0.8*U105,"B+",IF(R105&gt;=0.75*U105,"B",IF(R105&gt;=0.7*U105,"C+",IF(R105&gt;=0.65*U105,"C",IF(R105&gt;=0.6*U105,"D+",IF(R105&gt;=0.55*U105,"D",IF(R105&gt;=0.5*U105,"E+",IF(R105&gt;=0.45*U105,"E",IF(R105&gt;=0.4*U105,"P",IF(R105&lt;0.4*U105,"F",R105)))))))))))))))))))</f>
        <v>D+</v>
      </c>
      <c r="N105" s="8">
        <f ca="1">INDEX($Z$2:$Z$18,MATCH(M105,$Y$2:$Y$18,0))</f>
        <v>6.5</v>
      </c>
      <c r="O105">
        <v>1</v>
      </c>
      <c r="P105" s="1">
        <f ca="1">IF(ISERROR(F100),"",IF(ISTEXT(VLOOKUP(B100,INDIRECT($F$8),6+(O105-1)*3)),(VLOOKUP(B100,INDIRECT($F$8),6+(O105-1)*3)),SUM(VLOOKUP(B100,INDIRECT($F$8),6+(O105-1)*3),IF(W119,W105,0))))</f>
        <v>58</v>
      </c>
      <c r="Q105" s="1">
        <f ca="1">IF(ISERROR(F100),"",VLOOKUP(B100,INDIRECT($F$8),7+(O105-1)*3))</f>
        <v>38</v>
      </c>
      <c r="R105" s="1">
        <f ca="1">IF(ISERROR(F100),"",SUM(P105:Q105))</f>
        <v>96</v>
      </c>
      <c r="S105" s="1">
        <f ca="1">IF(ISERROR(F100),"",VLOOKUP(A100,INDIRECT($F$8),6+(O105-1)*3))</f>
        <v>100</v>
      </c>
      <c r="T105" s="1">
        <f ca="1">IF(ISERROR(F100),"",VLOOKUP(A100,INDIRECT($F$8),7+(O105-1)*3))</f>
        <v>50</v>
      </c>
      <c r="U105" s="1">
        <f ca="1">IF(ISERROR(F100),"",VLOOKUP(A100,INDIRECT($F$8),8+(O105-1)*3))</f>
        <v>150</v>
      </c>
      <c r="V105" s="1" t="str">
        <f ca="1">IF(ISERROR(F100),"",IF(N105=0,A105,""))</f>
        <v/>
      </c>
      <c r="W105" s="1">
        <f ca="1">IF(ISERROR(F100),"",IF(ISTEXT(VLOOKUP(B100,INDIRECT($F$8),6+(O105-1)*3)),11,IF(VLOOKUP(B100,INDIRECT($F$8),6+(O105-1)*3)&lt;S105*0.3,IF(VLOOKUP(B100,INDIRECT($F$8),8+(O105-1)*3)&lt;U105*0.4,IF(AND(0.4*U105-VLOOKUP(B100,INDIRECT($F$8),8+(O105-1)*3)&lt;=5,0.3*S105-VLOOKUP(B100,INDIRECT($F$8),6+(O105-1)*3)&lt;=5),MAX(0.4*U105-VLOOKUP(B100,INDIRECT($F$8),8+(O105-1)*3),0.3*S105-VLOOKUP(B100,INDIRECT($F$8),6+(O105-1)*3)),11),IF(0.3*S105-VLOOKUP(B100,INDIRECT($F$8),6+(O105-1)*3)&lt;=5,0.3*S105-VLOOKUP(B100,INDIRECT($F$8),6+(O105-1)*3),11)),IF(VLOOKUP(B100,INDIRECT($F$8),8+(O105-1)*3)&lt;U105*0.4,IF(U105*0.4-VLOOKUP(B100,INDIRECT($F$8),8+(O105-1)*3)&lt;=5,U105*0.4-VLOOKUP(B100,INDIRECT($F$8),8+(O105-1)*3),11),0))))</f>
        <v>0</v>
      </c>
      <c r="X105" s="1" t="str">
        <f ca="1">IF(ISERROR(F100),"",IF(W105=0,"",_xlfn.TEXTJOIN("",FALSE," G+",W105," in ",A105)))</f>
        <v/>
      </c>
    </row>
    <row r="106" spans="1:24" ht="11.25" customHeight="1" x14ac:dyDescent="0.2">
      <c r="A106" s="7" t="str">
        <f ca="1">IF(ISERROR(F100),"",VLOOKUP(C100,INDIRECT($F$8),6+(O106-1)*3,0))</f>
        <v>CAT 005</v>
      </c>
      <c r="B106" s="41" t="str">
        <f ca="1">IF(ISERROR(F100),"",VLOOKUP(D100,INDIRECT($F$8),6+(O106-1)*3,0))</f>
        <v>Database Management System</v>
      </c>
      <c r="C106" s="41"/>
      <c r="D106" s="41"/>
      <c r="E106" s="41"/>
      <c r="F106" s="7">
        <f ca="1">IF(ISERROR(F100),"",VLOOKUP(E100,INDIRECT($F$8),6+(O106-1)*3,0))</f>
        <v>4</v>
      </c>
      <c r="G106" s="42" t="str">
        <f ca="1">IF(ISERROR(F100),"",_xlfn.TEXTJOIN("/",FALSE,P106,S106))</f>
        <v>49/100</v>
      </c>
      <c r="H106" s="42"/>
      <c r="I106" s="42" t="str">
        <f ca="1">IF(ISERROR(F100),"",_xlfn.TEXTJOIN("/",FALSE,Q106,T106))</f>
        <v>37/50</v>
      </c>
      <c r="J106" s="42"/>
      <c r="K106" s="42" t="str">
        <f ca="1">IF(ISERROR(F100),"",_xlfn.TEXTJOIN("/",FALSE,R106,U106))</f>
        <v>86/150</v>
      </c>
      <c r="L106" s="42"/>
      <c r="M106" s="7" t="str">
        <f ca="1">IF(ISERROR(F100),"",IF(ISTEXT(P106),IF(P106="A","Ab",IF(P106="D","Dt",IF(P106="UFM","UFM",IF(P106="NA","-")))),IF(AND(ISBLANK(P106),ISBLANK(R106)),"",IF(P106&lt;0.3*S106,"F",IF(ISBLANK(R106),"",IF(ISTEXT(R106),R106,IF(R106&gt;=0.95*U106,"O",IF(R106&gt;=0.9*U106,"A+",IF(R106&gt;=0.85*U106,"A",IF(R106&gt;=0.8*U106,"B+",IF(R106&gt;=0.75*U106,"B",IF(R106&gt;=0.7*U106,"C+",IF(R106&gt;=0.65*U106,"C",IF(R106&gt;=0.6*U106,"D+",IF(R106&gt;=0.55*U106,"D",IF(R106&gt;=0.5*U106,"E+",IF(R106&gt;=0.45*U106,"E",IF(R106&gt;=0.4*U106,"P",IF(R106&lt;0.4*U106,"F",R106)))))))))))))))))))</f>
        <v>D</v>
      </c>
      <c r="N106" s="8">
        <f t="shared" ref="N106:N117" ca="1" si="8">INDEX($Z$2:$Z$18,MATCH(M106,$Y$2:$Y$18,0))</f>
        <v>6</v>
      </c>
      <c r="O106">
        <f>O105+1</f>
        <v>2</v>
      </c>
      <c r="P106" s="1">
        <f ca="1">IF(ISERROR(F100),"",IF(ISTEXT(VLOOKUP(B100,INDIRECT($F$8),6+(O106-1)*3)),(VLOOKUP(B100,INDIRECT($F$8),6+(O106-1)*3)),SUM(VLOOKUP(B100,INDIRECT($F$8),6+(O106-1)*3),IF(W119,W106,0))))</f>
        <v>49</v>
      </c>
      <c r="Q106" s="1">
        <f ca="1">IF(ISERROR(F100),"",VLOOKUP(B100,INDIRECT($F$8),7+(O106-1)*3))</f>
        <v>37</v>
      </c>
      <c r="R106" s="1">
        <f ca="1">IF(ISERROR(F100),"",SUM(P106:Q106))</f>
        <v>86</v>
      </c>
      <c r="S106" s="1">
        <f ca="1">IF(ISERROR(F100),"",VLOOKUP(A100,INDIRECT($F$8),6+(O106-1)*3))</f>
        <v>100</v>
      </c>
      <c r="T106" s="1">
        <f ca="1">IF(ISERROR(F100),"",VLOOKUP(A100,INDIRECT($F$8),7+(O106-1)*3))</f>
        <v>50</v>
      </c>
      <c r="U106" s="1">
        <f ca="1">IF(ISERROR(F100),"",VLOOKUP(A100,INDIRECT($F$8),8+(O106-1)*3))</f>
        <v>150</v>
      </c>
      <c r="V106" s="1" t="str">
        <f ca="1">IF(ISERROR(F100),"",IF(N106=0,A106,""))</f>
        <v/>
      </c>
      <c r="W106" s="1">
        <f ca="1">IF(ISERROR(F100),"",IF(ISTEXT(VLOOKUP(B100,INDIRECT($F$8),6+(O106-1)*3)),11,IF(VLOOKUP(B100,INDIRECT($F$8),6+(O106-1)*3)&lt;S106*0.3,IF(VLOOKUP(B100,INDIRECT($F$8),8+(O106-1)*3)&lt;U106*0.4,IF(AND(0.4*U106-VLOOKUP(B100,INDIRECT($F$8),8+(O106-1)*3)&lt;=5,0.3*S106-VLOOKUP(B100,INDIRECT($F$8),6+(O106-1)*3)&lt;=5),MAX(0.4*U106-VLOOKUP(B100,INDIRECT($F$8),8+(O106-1)*3),0.3*S106-VLOOKUP(B100,INDIRECT($F$8),6+(O106-1)*3)),11),IF(0.3*S106-VLOOKUP(B100,INDIRECT($F$8),6+(O106-1)*3)&lt;=5,0.3*S106-VLOOKUP(B100,INDIRECT($F$8),6+(O106-1)*3),11)),IF(VLOOKUP(B100,INDIRECT($F$8),8+(O106-1)*3)&lt;U106*0.4,IF(U106*0.4-VLOOKUP(B100,INDIRECT($F$8),8+(O106-1)*3)&lt;=5,U106*0.4-VLOOKUP(B100,INDIRECT($F$8),8+(O106-1)*3),11),0))))</f>
        <v>0</v>
      </c>
      <c r="X106" s="1" t="str">
        <f ca="1">IF(ISERROR(F100),"",IF(W106=0,"",_xlfn.TEXTJOIN("",FALSE," G+",W106," in ",A106)))</f>
        <v/>
      </c>
    </row>
    <row r="107" spans="1:24" ht="11.25" customHeight="1" x14ac:dyDescent="0.2">
      <c r="A107" s="7" t="str">
        <f ca="1">IF(ISERROR(F100),"",VLOOKUP(C100,INDIRECT($F$8),6+(O107-1)*3,0))</f>
        <v>CAT 006</v>
      </c>
      <c r="B107" s="41" t="str">
        <f ca="1">IF(ISERROR(F100),"",VLOOKUP(D100,INDIRECT($F$8),6+(O107-1)*3,0))</f>
        <v>Operating System</v>
      </c>
      <c r="C107" s="41"/>
      <c r="D107" s="41"/>
      <c r="E107" s="41"/>
      <c r="F107" s="7">
        <f ca="1">IF(ISERROR(F100),"",VLOOKUP(E100,INDIRECT($F$8),6+(O107-1)*3,0))</f>
        <v>4</v>
      </c>
      <c r="G107" s="42" t="str">
        <f ca="1">IF(ISERROR(F100),"",_xlfn.TEXTJOIN("/",FALSE,P107,S107))</f>
        <v>77/100</v>
      </c>
      <c r="H107" s="42"/>
      <c r="I107" s="42" t="str">
        <f ca="1">IF(ISERROR(F100),"",_xlfn.TEXTJOIN("/",FALSE,Q107,T107))</f>
        <v>44/50</v>
      </c>
      <c r="J107" s="42"/>
      <c r="K107" s="42" t="str">
        <f ca="1">IF(ISERROR(F100),"",_xlfn.TEXTJOIN("/",FALSE,R107,U107))</f>
        <v>121/150</v>
      </c>
      <c r="L107" s="42"/>
      <c r="M107" s="7" t="str">
        <f ca="1">IF(ISERROR(F100),"",IF(ISTEXT(P107),IF(P107="A","Ab",IF(P107="D","Dt",IF(P107="UFM","UFM",IF(P107="NA","-")))),IF(AND(ISBLANK(P107),ISBLANK(R107)),"",IF(P107&lt;0.3*S107,"F",IF(ISBLANK(R107),"",IF(ISTEXT(R107),R107,IF(R107&gt;=0.95*U107,"O",IF(R107&gt;=0.9*U107,"A+",IF(R107&gt;=0.85*U107,"A",IF(R107&gt;=0.8*U107,"B+",IF(R107&gt;=0.75*U107,"B",IF(R107&gt;=0.7*U107,"C+",IF(R107&gt;=0.65*U107,"C",IF(R107&gt;=0.6*U107,"D+",IF(R107&gt;=0.55*U107,"D",IF(R107&gt;=0.5*U107,"E+",IF(R107&gt;=0.45*U107,"E",IF(R107&gt;=0.4*U107,"P",IF(R107&lt;0.4*U107,"F",R107)))))))))))))))))))</f>
        <v>B+</v>
      </c>
      <c r="N107" s="8">
        <f t="shared" ca="1" si="8"/>
        <v>8.5</v>
      </c>
      <c r="O107">
        <f>O106+1</f>
        <v>3</v>
      </c>
      <c r="P107" s="1">
        <f ca="1">IF(ISERROR(F100),"",IF(ISTEXT(VLOOKUP(B100,INDIRECT($F$8),6+(O107-1)*3)),(VLOOKUP(B100,INDIRECT($F$8),6+(O107-1)*3)),SUM(VLOOKUP(B100,INDIRECT($F$8),6+(O107-1)*3),IF(W119,W107,0))))</f>
        <v>77</v>
      </c>
      <c r="Q107" s="1">
        <f ca="1">IF(ISERROR(F100),"",VLOOKUP(B100,INDIRECT($F$8),7+(O107-1)*3))</f>
        <v>44</v>
      </c>
      <c r="R107" s="1">
        <f ca="1">IF(ISERROR(F100),"",SUM(P107:Q107))</f>
        <v>121</v>
      </c>
      <c r="S107" s="1">
        <f ca="1">IF(ISERROR(F100),"",VLOOKUP(A100,INDIRECT($F$8),6+(O107-1)*3))</f>
        <v>100</v>
      </c>
      <c r="T107" s="1">
        <f ca="1">IF(ISERROR(F100),"",VLOOKUP(A100,INDIRECT($F$8),7+(O107-1)*3))</f>
        <v>50</v>
      </c>
      <c r="U107" s="1">
        <f ca="1">IF(ISERROR(F100),"",VLOOKUP(A100,INDIRECT($F$8),8+(O107-1)*3))</f>
        <v>150</v>
      </c>
      <c r="V107" s="1" t="str">
        <f ca="1">IF(ISERROR(F100),"",IF(N107=0,A107,""))</f>
        <v/>
      </c>
      <c r="W107" s="1">
        <f ca="1">IF(ISERROR(F100),"",IF(ISTEXT(VLOOKUP(B100,INDIRECT($F$8),6+(O107-1)*3)),11,IF(VLOOKUP(B100,INDIRECT($F$8),6+(O107-1)*3)&lt;S107*0.3,IF(VLOOKUP(B100,INDIRECT($F$8),8+(O107-1)*3)&lt;U107*0.4,IF(AND(0.4*U107-VLOOKUP(B100,INDIRECT($F$8),8+(O107-1)*3)&lt;=5,0.3*S107-VLOOKUP(B100,INDIRECT($F$8),6+(O107-1)*3)&lt;=5),MAX(0.4*U107-VLOOKUP(B100,INDIRECT($F$8),8+(O107-1)*3),0.3*S107-VLOOKUP(B100,INDIRECT($F$8),6+(O107-1)*3)),11),IF(0.3*S107-VLOOKUP(B100,INDIRECT($F$8),6+(O107-1)*3)&lt;=5,0.3*S107-VLOOKUP(B100,INDIRECT($F$8),6+(O107-1)*3),11)),IF(VLOOKUP(B100,INDIRECT($F$8),8+(O107-1)*3)&lt;U107*0.4,IF(U107*0.4-VLOOKUP(B100,INDIRECT($F$8),8+(O107-1)*3)&lt;=5,U107*0.4-VLOOKUP(B100,INDIRECT($F$8),8+(O107-1)*3),11),0))))</f>
        <v>0</v>
      </c>
      <c r="X107" s="1" t="str">
        <f ca="1">IF(ISERROR(F100),"",IF(W107=0,"",_xlfn.TEXTJOIN("",FALSE," G+",W107," in ",A107)))</f>
        <v/>
      </c>
    </row>
    <row r="108" spans="1:24" ht="11.25" customHeight="1" x14ac:dyDescent="0.2">
      <c r="A108" s="7" t="str">
        <f ca="1">IF(ISERROR(F100),"",VLOOKUP(C100,INDIRECT($F$8),6+(O108-1)*3,0))</f>
        <v>CAT 007</v>
      </c>
      <c r="B108" s="41" t="str">
        <f ca="1">IF(ISERROR(F100),"",VLOOKUP(D100,INDIRECT($F$8),6+(O108-1)*3,0))</f>
        <v>Computer Organization</v>
      </c>
      <c r="C108" s="41"/>
      <c r="D108" s="41"/>
      <c r="E108" s="41"/>
      <c r="F108" s="7">
        <f ca="1">IF(ISERROR(F100),"",VLOOKUP(E100,INDIRECT($F$8),6+(O108-1)*3,0))</f>
        <v>4</v>
      </c>
      <c r="G108" s="42" t="str">
        <f ca="1">IF(ISERROR(F100),"",_xlfn.TEXTJOIN("/",FALSE,P108,S108))</f>
        <v>40/100</v>
      </c>
      <c r="H108" s="42"/>
      <c r="I108" s="42" t="str">
        <f ca="1">IF(ISERROR(F100),"",_xlfn.TEXTJOIN("/",FALSE,Q108,T108))</f>
        <v>34/50</v>
      </c>
      <c r="J108" s="42"/>
      <c r="K108" s="42" t="str">
        <f ca="1">IF(ISERROR(F100),"",_xlfn.TEXTJOIN("/",FALSE,R108,U108))</f>
        <v>74/150</v>
      </c>
      <c r="L108" s="42"/>
      <c r="M108" s="7" t="str">
        <f ca="1">IF(ISERROR(F100),"",IF(ISTEXT(P108),IF(P108="A","Ab",IF(P108="D","Dt",IF(P108="UFM","UFM",IF(P108="NA","-")))),IF(AND(ISBLANK(P108),ISBLANK(R108)),"",IF(P108&lt;0.3*S108,"F",IF(ISBLANK(R108),"",IF(ISTEXT(R108),R108,IF(R108&gt;=0.95*U108,"O",IF(R108&gt;=0.9*U108,"A+",IF(R108&gt;=0.85*U108,"A",IF(R108&gt;=0.8*U108,"B+",IF(R108&gt;=0.75*U108,"B",IF(R108&gt;=0.7*U108,"C+",IF(R108&gt;=0.65*U108,"C",IF(R108&gt;=0.6*U108,"D+",IF(R108&gt;=0.55*U108,"D",IF(R108&gt;=0.5*U108,"E+",IF(R108&gt;=0.45*U108,"E",IF(R108&gt;=0.4*U108,"P",IF(R108&lt;0.4*U108,"F",R108)))))))))))))))))))</f>
        <v>E</v>
      </c>
      <c r="N108" s="8">
        <f t="shared" ca="1" si="8"/>
        <v>5</v>
      </c>
      <c r="O108">
        <f>O107+1</f>
        <v>4</v>
      </c>
      <c r="P108" s="1">
        <f ca="1">IF(ISERROR(F100),"",IF(ISTEXT(VLOOKUP(B100,INDIRECT($F$8),6+(O108-1)*3)),(VLOOKUP(B100,INDIRECT($F$8),6+(O108-1)*3)),SUM(VLOOKUP(B100,INDIRECT($F$8),6+(O108-1)*3),IF(W119,W108,0))))</f>
        <v>40</v>
      </c>
      <c r="Q108" s="1">
        <f ca="1">IF(ISERROR(F100),"",VLOOKUP(B100,INDIRECT($F$8),7+(O108-1)*3))</f>
        <v>34</v>
      </c>
      <c r="R108" s="1">
        <f ca="1">IF(ISERROR(F100),"",SUM(P108:Q108))</f>
        <v>74</v>
      </c>
      <c r="S108" s="1">
        <f ca="1">IF(ISERROR(F100),"",VLOOKUP(A100,INDIRECT($F$8),6+(O108-1)*3))</f>
        <v>100</v>
      </c>
      <c r="T108" s="1">
        <f ca="1">IF(ISERROR(F100),"",VLOOKUP(A100,INDIRECT($F$8),7+(O108-1)*3))</f>
        <v>50</v>
      </c>
      <c r="U108" s="1">
        <f ca="1">IF(ISERROR(F100),"",VLOOKUP(A100,INDIRECT($F$8),8+(O108-1)*3))</f>
        <v>150</v>
      </c>
      <c r="V108" s="1" t="str">
        <f ca="1">IF(ISERROR(F100),"",IF(N108=0,A108,""))</f>
        <v/>
      </c>
      <c r="W108" s="1">
        <f ca="1">IF(ISERROR(F100),"",IF(ISTEXT(VLOOKUP(B100,INDIRECT($F$8),6+(O108-1)*3)),11,IF(VLOOKUP(B100,INDIRECT($F$8),6+(O108-1)*3)&lt;S108*0.3,IF(VLOOKUP(B100,INDIRECT($F$8),8+(O108-1)*3)&lt;U108*0.4,IF(AND(0.4*U108-VLOOKUP(B100,INDIRECT($F$8),8+(O108-1)*3)&lt;=5,0.3*S108-VLOOKUP(B100,INDIRECT($F$8),6+(O108-1)*3)&lt;=5),MAX(0.4*U108-VLOOKUP(B100,INDIRECT($F$8),8+(O108-1)*3),0.3*S108-VLOOKUP(B100,INDIRECT($F$8),6+(O108-1)*3)),11),IF(0.3*S108-VLOOKUP(B100,INDIRECT($F$8),6+(O108-1)*3)&lt;=5,0.3*S108-VLOOKUP(B100,INDIRECT($F$8),6+(O108-1)*3),11)),IF(VLOOKUP(B100,INDIRECT($F$8),8+(O108-1)*3)&lt;U108*0.4,IF(U108*0.4-VLOOKUP(B100,INDIRECT($F$8),8+(O108-1)*3)&lt;=5,U108*0.4-VLOOKUP(B100,INDIRECT($F$8),8+(O108-1)*3),11),0))))</f>
        <v>0</v>
      </c>
      <c r="X108" s="1" t="str">
        <f ca="1">IF(ISERROR(F100),"",IF(W108=0,"",_xlfn.TEXTJOIN("",FALSE," G+",W108," in ",A108)))</f>
        <v/>
      </c>
    </row>
    <row r="109" spans="1:24" ht="11.25" customHeight="1" x14ac:dyDescent="0.2">
      <c r="A109" s="7" t="str">
        <f ca="1">IF(ISERROR(F100),"",VLOOKUP(C100,INDIRECT($F$8),6+(O109-1)*3,0))</f>
        <v>AHT 303</v>
      </c>
      <c r="B109" s="41" t="str">
        <f ca="1">IF(ISERROR(F100),"",VLOOKUP(D100,INDIRECT($F$8),6+(O109-1)*3,0))</f>
        <v>Technical Communication Skills</v>
      </c>
      <c r="C109" s="41"/>
      <c r="D109" s="41"/>
      <c r="E109" s="41"/>
      <c r="F109" s="7">
        <f ca="1">IF(ISERROR(F100),"",VLOOKUP(E100,INDIRECT($F$8),6+(O109-1)*3,0))</f>
        <v>4</v>
      </c>
      <c r="G109" s="42" t="str">
        <f ca="1">IF(ISERROR(F100),"",_xlfn.TEXTJOIN("/",FALSE,P109,S109))</f>
        <v>63/100</v>
      </c>
      <c r="H109" s="42"/>
      <c r="I109" s="42" t="str">
        <f ca="1">IF(ISERROR(F100),"",_xlfn.TEXTJOIN("/",FALSE,Q109,T109))</f>
        <v>32/50</v>
      </c>
      <c r="J109" s="42"/>
      <c r="K109" s="42" t="str">
        <f ca="1">IF(ISERROR(F100),"",_xlfn.TEXTJOIN("/",FALSE,R109,U109))</f>
        <v>95/150</v>
      </c>
      <c r="L109" s="42"/>
      <c r="M109" s="7" t="str">
        <f ca="1">IF(ISERROR(F100),"",IF(ISTEXT(P109),IF(P109="A","Ab",IF(P109="D","Dt",IF(P109="UFM","UFM",IF(P109="NA","-")))),IF(AND(ISBLANK(P109),ISBLANK(R109)),"",IF(P109&lt;0.3*S109,"F",IF(ISBLANK(R109),"",IF(ISTEXT(R109),R109,IF(R109&gt;=0.95*U109,"O",IF(R109&gt;=0.9*U109,"A+",IF(R109&gt;=0.85*U109,"A",IF(R109&gt;=0.8*U109,"B+",IF(R109&gt;=0.75*U109,"B",IF(R109&gt;=0.7*U109,"C+",IF(R109&gt;=0.65*U109,"C",IF(R109&gt;=0.6*U109,"D+",IF(R109&gt;=0.55*U109,"D",IF(R109&gt;=0.5*U109,"E+",IF(R109&gt;=0.45*U109,"E",IF(R109&gt;=0.4*U109,"P",IF(R109&lt;0.4*U109,"F",R109)))))))))))))))))))</f>
        <v>D+</v>
      </c>
      <c r="N109" s="8">
        <f t="shared" ca="1" si="8"/>
        <v>6.5</v>
      </c>
      <c r="O109">
        <f t="shared" ref="O109:O118" si="9">O108+1</f>
        <v>5</v>
      </c>
      <c r="P109" s="1">
        <f ca="1">IF(ISERROR(F100),"",IF(ISTEXT(VLOOKUP(B100,INDIRECT($F$8),6+(O109-1)*3)),(VLOOKUP(B100,INDIRECT($F$8),6+(O109-1)*3)),SUM(VLOOKUP(B100,INDIRECT($F$8),6+(O109-1)*3),IF(W119,W109,0))))</f>
        <v>63</v>
      </c>
      <c r="Q109" s="1">
        <f ca="1">IF(ISERROR(F100),"",VLOOKUP(B100,INDIRECT($F$8),7+(O109-1)*3))</f>
        <v>32</v>
      </c>
      <c r="R109" s="1">
        <f ca="1">IF(ISERROR(F100),"",SUM(P109:Q109))</f>
        <v>95</v>
      </c>
      <c r="S109" s="1">
        <f ca="1">IF(ISERROR(F100),"",VLOOKUP(A100,INDIRECT($F$8),6+(O109-1)*3))</f>
        <v>100</v>
      </c>
      <c r="T109" s="1">
        <f ca="1">IF(ISERROR(F100),"",VLOOKUP(A100,INDIRECT($F$8),7+(O109-1)*3))</f>
        <v>50</v>
      </c>
      <c r="U109" s="1">
        <f ca="1">IF(ISERROR(F100),"",VLOOKUP(A100,INDIRECT($F$8),8+(O109-1)*3))</f>
        <v>150</v>
      </c>
      <c r="V109" s="1" t="str">
        <f ca="1">IF(ISERROR(F100),"",IF(N109=0,A109,""))</f>
        <v/>
      </c>
      <c r="W109" s="1">
        <f ca="1">IF(ISERROR(F100),"",IF(ISTEXT(VLOOKUP(B100,INDIRECT($F$8),6+(O109-1)*3)),11,IF(VLOOKUP(B100,INDIRECT($F$8),6+(O109-1)*3)&lt;S109*0.3,IF(VLOOKUP(B100,INDIRECT($F$8),8+(O109-1)*3)&lt;U109*0.4,IF(AND(0.4*U109-VLOOKUP(B100,INDIRECT($F$8),8+(O109-1)*3)&lt;=5,0.3*S109-VLOOKUP(B100,INDIRECT($F$8),6+(O109-1)*3)&lt;=5),MAX(0.4*U109-VLOOKUP(B100,INDIRECT($F$8),8+(O109-1)*3),0.3*S109-VLOOKUP(B100,INDIRECT($F$8),6+(O109-1)*3)),11),IF(0.3*S109-VLOOKUP(B100,INDIRECT($F$8),6+(O109-1)*3)&lt;=5,0.3*S109-VLOOKUP(B100,INDIRECT($F$8),6+(O109-1)*3),11)),IF(VLOOKUP(B100,INDIRECT($F$8),8+(O109-1)*3)&lt;U109*0.4,IF(U109*0.4-VLOOKUP(B100,INDIRECT($F$8),8+(O109-1)*3)&lt;=5,U109*0.4-VLOOKUP(B100,INDIRECT($F$8),8+(O109-1)*3),11),0))))</f>
        <v>0</v>
      </c>
      <c r="X109" s="1" t="str">
        <f ca="1">IF(ISERROR(F100),"",IF(W109=0,"",_xlfn.TEXTJOIN("",FALSE," G+",W109," in ",A109)))</f>
        <v/>
      </c>
    </row>
    <row r="110" spans="1:24" ht="11.25" customHeight="1" x14ac:dyDescent="0.2">
      <c r="A110" s="7" t="str">
        <f ca="1">IF(ISERROR(F100),"",VLOOKUP(C100,INDIRECT($F$8),6+(O110-1)*3,0))</f>
        <v>CAT 008</v>
      </c>
      <c r="B110" s="41" t="str">
        <f ca="1">IF(ISERROR(F100),"",VLOOKUP(D100,INDIRECT($F$8),6+(O110-1)*3,0))</f>
        <v>Python Programming ($)</v>
      </c>
      <c r="C110" s="41"/>
      <c r="D110" s="41"/>
      <c r="E110" s="41"/>
      <c r="F110" s="7">
        <f ca="1">IF(ISERROR(F100),"",VLOOKUP(E100,INDIRECT($F$8),6+(O110-1)*3,0))</f>
        <v>0</v>
      </c>
      <c r="G110" s="42" t="str">
        <f ca="1">IF(ISERROR(F100),"",_xlfn.TEXTJOIN("/",FALSE,P110,S110))</f>
        <v>19/30</v>
      </c>
      <c r="H110" s="42"/>
      <c r="I110" s="42" t="str">
        <f ca="1">IF(ISERROR(F100),"",_xlfn.TEXTJOIN("/",FALSE,Q110,T110))</f>
        <v>15/20</v>
      </c>
      <c r="J110" s="42"/>
      <c r="K110" s="42" t="str">
        <f ca="1">IF(ISERROR(F100),"",_xlfn.TEXTJOIN("/",FALSE,R110,U110))</f>
        <v>34/50</v>
      </c>
      <c r="L110" s="42"/>
      <c r="M110" s="7" t="str">
        <f ca="1">IF(ISERROR(F100),"",IF(ISTEXT(P110),IF(P110="A","Ab",IF(P110="D","Dt",IF(P110="UFM","UFM",IF(P110="NA","-")))),IF(AND(ISBLANK(P110),ISBLANK(R110)),"",IF(P110&lt;0.3*S110,"F",IF(ISBLANK(R110),"",IF(ISTEXT(R110),R110,IF(R110&gt;=0.95*U110,"O",IF(R110&gt;=0.9*U110,"A+",IF(R110&gt;=0.85*U110,"A",IF(R110&gt;=0.8*U110,"B+",IF(R110&gt;=0.75*U110,"B",IF(R110&gt;=0.7*U110,"C+",IF(R110&gt;=0.65*U110,"C",IF(R110&gt;=0.6*U110,"D+",IF(R110&gt;=0.55*U110,"D",IF(R110&gt;=0.5*U110,"E+",IF(R110&gt;=0.45*U110,"E",IF(R110&gt;=0.4*U110,"P",IF(R110&lt;0.4*U110,"F",R110)))))))))))))))))))</f>
        <v>C</v>
      </c>
      <c r="N110" s="8">
        <f t="shared" ca="1" si="8"/>
        <v>7</v>
      </c>
      <c r="O110">
        <f t="shared" si="9"/>
        <v>6</v>
      </c>
      <c r="P110" s="1">
        <f ca="1">IF(ISERROR(F100),"",IF(ISTEXT(VLOOKUP(B100,INDIRECT($F$8),6+(O110-1)*3)),(VLOOKUP(B100,INDIRECT($F$8),6+(O110-1)*3)),SUM(VLOOKUP(B100,INDIRECT($F$8),6+(O110-1)*3),IF(W119,W110,0))))</f>
        <v>19</v>
      </c>
      <c r="Q110" s="1">
        <f ca="1">IF(ISERROR(F100),"",VLOOKUP(B100,INDIRECT($F$8),7+(O110-1)*3))</f>
        <v>15</v>
      </c>
      <c r="R110" s="1">
        <f ca="1">IF(ISERROR(F100),"",SUM(P110:Q110))</f>
        <v>34</v>
      </c>
      <c r="S110" s="1">
        <f ca="1">IF(ISERROR(F100),"",VLOOKUP(A100,INDIRECT($F$8),6+(O110-1)*3))</f>
        <v>30</v>
      </c>
      <c r="T110" s="1">
        <f ca="1">IF(ISERROR(F100),"",VLOOKUP(A100,INDIRECT($F$8),7+(O110-1)*3))</f>
        <v>20</v>
      </c>
      <c r="U110" s="1">
        <f ca="1">IF(ISERROR(F100),"",VLOOKUP(A100,INDIRECT($F$8),8+(O110-1)*3))</f>
        <v>50</v>
      </c>
      <c r="V110" s="1" t="str">
        <f ca="1">IF(ISERROR(F100),"",IF(N110=0,A110,""))</f>
        <v/>
      </c>
      <c r="W110" s="1">
        <f ca="1">IF(ISERROR(F100),"",IF(ISTEXT(VLOOKUP(B100,INDIRECT($F$8),6+(O110-1)*3)),11,IF(VLOOKUP(B100,INDIRECT($F$8),6+(O110-1)*3)&lt;S110*0.3,IF(VLOOKUP(B100,INDIRECT($F$8),8+(O110-1)*3)&lt;U110*0.4,IF(AND(0.4*U110-VLOOKUP(B100,INDIRECT($F$8),8+(O110-1)*3)&lt;=5,0.3*S110-VLOOKUP(B100,INDIRECT($F$8),6+(O110-1)*3)&lt;=5),MAX(0.4*U110-VLOOKUP(B100,INDIRECT($F$8),8+(O110-1)*3),0.3*S110-VLOOKUP(B100,INDIRECT($F$8),6+(O110-1)*3)),11),IF(0.3*S110-VLOOKUP(B100,INDIRECT($F$8),6+(O110-1)*3)&lt;=5,0.3*S110-VLOOKUP(B100,INDIRECT($F$8),6+(O110-1)*3),11)),IF(VLOOKUP(B100,INDIRECT($F$8),8+(O110-1)*3)&lt;U110*0.4,IF(U110*0.4-VLOOKUP(B100,INDIRECT($F$8),8+(O110-1)*3)&lt;=5,U110*0.4-VLOOKUP(B100,INDIRECT($F$8),8+(O110-1)*3),11),0))))</f>
        <v>0</v>
      </c>
      <c r="X110" s="1" t="str">
        <f ca="1">IF(ISERROR(F100),"",IF(W110=0,"",_xlfn.TEXTJOIN("",FALSE," G+",W110," in ",A110)))</f>
        <v/>
      </c>
    </row>
    <row r="111" spans="1:24" ht="11.25" customHeight="1" x14ac:dyDescent="0.2">
      <c r="A111" s="7" t="str">
        <f ca="1">IF(ISERROR(F100),"",VLOOKUP(C100,INDIRECT($F$8),6+(O111-1)*3,0))</f>
        <v>CAT 001</v>
      </c>
      <c r="B111" s="41" t="str">
        <f ca="1">IF(ISERROR(F100),"",VLOOKUP(D100,INDIRECT($F$8),6+(O111-1)*3,0))</f>
        <v>Introduction of Information Technology ($)</v>
      </c>
      <c r="C111" s="41"/>
      <c r="D111" s="41"/>
      <c r="E111" s="41"/>
      <c r="F111" s="7">
        <f ca="1">IF(ISERROR(F100),"",VLOOKUP(E100,INDIRECT($F$8),6+(O111-1)*3,0))</f>
        <v>0</v>
      </c>
      <c r="G111" s="42" t="str">
        <f ca="1">IF(ISERROR(F100),"",_xlfn.TEXTJOIN("/",FALSE,P111,S111))</f>
        <v>NA/30</v>
      </c>
      <c r="H111" s="42"/>
      <c r="I111" s="42" t="str">
        <f ca="1">IF(ISERROR(F100),"",_xlfn.TEXTJOIN("/",FALSE,Q111,T111))</f>
        <v>NA/20</v>
      </c>
      <c r="J111" s="42"/>
      <c r="K111" s="42" t="str">
        <f ca="1">IF(ISERROR(F100),"",_xlfn.TEXTJOIN("/",FALSE,R111,U111))</f>
        <v>0/50</v>
      </c>
      <c r="L111" s="42"/>
      <c r="M111" s="7" t="str">
        <f ca="1">IF(ISERROR(F100),"",IF(ISTEXT(P111),IF(P111="A","Ab",IF(P111="D","Dt",IF(P111="UFM","UFM",IF(P111="NA","-")))),IF(AND(ISBLANK(P111),ISBLANK(R111)),"",IF(P111&lt;0.3*S111,"F",IF(ISBLANK(R111),"",IF(ISTEXT(R111),R111,IF(R111&gt;=0.95*U111,"O",IF(R111&gt;=0.9*U111,"A+",IF(R111&gt;=0.85*U111,"A",IF(R111&gt;=0.8*U111,"B+",IF(R111&gt;=0.75*U111,"B",IF(R111&gt;=0.7*U111,"C+",IF(R111&gt;=0.65*U111,"C",IF(R111&gt;=0.6*U111,"D+",IF(R111&gt;=0.55*U111,"D",IF(R111&gt;=0.5*U111,"E+",IF(R111&gt;=0.45*U111,"E",IF(R111&gt;=0.4*U111,"P",IF(R111&lt;0.4*U111,"F",R111)))))))))))))))))))</f>
        <v>-</v>
      </c>
      <c r="N111" s="8" t="str">
        <f t="shared" ca="1" si="8"/>
        <v>-</v>
      </c>
      <c r="O111">
        <f t="shared" si="9"/>
        <v>7</v>
      </c>
      <c r="P111" s="1" t="str">
        <f ca="1">IF(ISERROR(F100),"",IF(ISTEXT(VLOOKUP(B100,INDIRECT($F$8),6+(O111-1)*3)),(VLOOKUP(B100,INDIRECT($F$8),6+(O111-1)*3)),SUM(VLOOKUP(B100,INDIRECT($F$8),6+(O111-1)*3),IF(W119,W111,0))))</f>
        <v>NA</v>
      </c>
      <c r="Q111" s="1" t="str">
        <f ca="1">IF(ISERROR(F100),"",VLOOKUP(B100,INDIRECT($F$8),7+(O111-1)*3))</f>
        <v>NA</v>
      </c>
      <c r="R111" s="1">
        <f ca="1">IF(ISERROR(F100),"",SUM(P111:Q111))</f>
        <v>0</v>
      </c>
      <c r="S111" s="1">
        <f ca="1">IF(ISERROR(F100),"",VLOOKUP(A100,INDIRECT($F$8),6+(O111-1)*3))</f>
        <v>30</v>
      </c>
      <c r="T111" s="1">
        <f ca="1">IF(ISERROR(F100),"",VLOOKUP(A100,INDIRECT($F$8),7+(O111-1)*3))</f>
        <v>20</v>
      </c>
      <c r="U111" s="1">
        <f ca="1">IF(ISERROR(F100),"",VLOOKUP(A100,INDIRECT($F$8),8+(O111-1)*3))</f>
        <v>50</v>
      </c>
      <c r="V111" s="1" t="str">
        <f ca="1">IF(ISERROR(F100),"",IF(N111=0,A111,""))</f>
        <v/>
      </c>
      <c r="W111" s="1">
        <f ca="1">IF(ISERROR(F100),"",IF(ISTEXT(VLOOKUP(B100,INDIRECT($F$8),6+(O111-1)*3)),11,IF(VLOOKUP(B100,INDIRECT($F$8),6+(O111-1)*3)&lt;S111*0.3,IF(VLOOKUP(B100,INDIRECT($F$8),8+(O111-1)*3)&lt;U111*0.4,IF(AND(0.4*U111-VLOOKUP(B100,INDIRECT($F$8),8+(O111-1)*3)&lt;=5,0.3*S111-VLOOKUP(B100,INDIRECT($F$8),6+(O111-1)*3)&lt;=5),MAX(0.4*U111-VLOOKUP(B100,INDIRECT($F$8),8+(O111-1)*3),0.3*S111-VLOOKUP(B100,INDIRECT($F$8),6+(O111-1)*3)),11),IF(0.3*S111-VLOOKUP(B100,INDIRECT($F$8),6+(O111-1)*3)&lt;=5,0.3*S111-VLOOKUP(B100,INDIRECT($F$8),6+(O111-1)*3),11)),IF(VLOOKUP(B100,INDIRECT($F$8),8+(O111-1)*3)&lt;U111*0.4,IF(U111*0.4-VLOOKUP(B100,INDIRECT($F$8),8+(O111-1)*3)&lt;=5,U111*0.4-VLOOKUP(B100,INDIRECT($F$8),8+(O111-1)*3),11),0))))</f>
        <v>11</v>
      </c>
      <c r="X111" s="1" t="str">
        <f ca="1">IF(ISERROR(F100),"",IF(W111=0,"",_xlfn.TEXTJOIN("",FALSE," G+",W111," in ",A111)))</f>
        <v xml:space="preserve"> G+11 in CAT 001</v>
      </c>
    </row>
    <row r="112" spans="1:24" ht="11.25" customHeight="1" x14ac:dyDescent="0.2">
      <c r="A112" s="7" t="str">
        <f ca="1">IF(ISERROR(F100),"",VLOOKUP(C100,INDIRECT($F$8),6+(O112-1)*3,0))</f>
        <v>CAT 002</v>
      </c>
      <c r="B112" s="41" t="str">
        <f ca="1">IF(ISERROR(F100),"",VLOOKUP(D100,INDIRECT($F$8),6+(O112-1)*3,0))</f>
        <v>Programming Fundamentals with "C" ($)</v>
      </c>
      <c r="C112" s="41"/>
      <c r="D112" s="41"/>
      <c r="E112" s="41"/>
      <c r="F112" s="7">
        <f ca="1">IF(ISERROR(F100),"",VLOOKUP(E100,INDIRECT($F$8),6+(O112-1)*3,0))</f>
        <v>0</v>
      </c>
      <c r="G112" s="42" t="str">
        <f ca="1">IF(ISERROR(F100),"",_xlfn.TEXTJOIN("/",FALSE,P112,S112))</f>
        <v>NA/30</v>
      </c>
      <c r="H112" s="42"/>
      <c r="I112" s="42" t="str">
        <f ca="1">IF(ISERROR(F100),"",_xlfn.TEXTJOIN("/",FALSE,Q112,T112))</f>
        <v>NA/20</v>
      </c>
      <c r="J112" s="42"/>
      <c r="K112" s="42" t="str">
        <f ca="1">IF(ISERROR(F100),"",_xlfn.TEXTJOIN("/",FALSE,R112,U112))</f>
        <v>0/50</v>
      </c>
      <c r="L112" s="42"/>
      <c r="M112" s="7" t="str">
        <f ca="1">IF(ISERROR(F100),"",IF(ISTEXT(P112),IF(P112="A","Ab",IF(P112="D","Dt",IF(P112="UFM","UFM",IF(P112="NA","-")))),IF(AND(ISBLANK(P112),ISBLANK(R112)),"",IF(P112&lt;0.3*S112,"F",IF(ISBLANK(R112),"",IF(ISTEXT(R112),R112,IF(R112&gt;=0.95*U112,"O",IF(R112&gt;=0.9*U112,"A+",IF(R112&gt;=0.85*U112,"A",IF(R112&gt;=0.8*U112,"B+",IF(R112&gt;=0.75*U112,"B",IF(R112&gt;=0.7*U112,"C+",IF(R112&gt;=0.65*U112,"C",IF(R112&gt;=0.6*U112,"D+",IF(R112&gt;=0.55*U112,"D",IF(R112&gt;=0.5*U112,"E+",IF(R112&gt;=0.45*U112,"E",IF(R112&gt;=0.4*U112,"P",IF(R112&lt;0.4*U112,"F",R112)))))))))))))))))))</f>
        <v>-</v>
      </c>
      <c r="N112" s="8" t="str">
        <f t="shared" ca="1" si="8"/>
        <v>-</v>
      </c>
      <c r="O112">
        <f t="shared" si="9"/>
        <v>8</v>
      </c>
      <c r="P112" s="1" t="str">
        <f ca="1">IF(ISERROR(F100),"",IF(ISTEXT(VLOOKUP(B100,INDIRECT($F$8),6+(O112-1)*3)),(VLOOKUP(B100,INDIRECT($F$8),6+(O112-1)*3)),SUM(VLOOKUP(B100,INDIRECT($F$8),6+(O112-1)*3),IF(W119,W112,0))))</f>
        <v>NA</v>
      </c>
      <c r="Q112" s="1" t="str">
        <f ca="1">IF(ISERROR(F100),"",VLOOKUP(B100,INDIRECT($F$8),7+(O112-1)*3))</f>
        <v>NA</v>
      </c>
      <c r="R112" s="1">
        <f ca="1">IF(ISERROR(F100),"",SUM(P112:Q112))</f>
        <v>0</v>
      </c>
      <c r="S112" s="1">
        <f ca="1">IF(ISERROR(F100),"",VLOOKUP(A100,INDIRECT($F$8),6+(O112-1)*3))</f>
        <v>30</v>
      </c>
      <c r="T112" s="1">
        <f ca="1">IF(ISERROR(F100),"",VLOOKUP(A100,INDIRECT($F$8),7+(O112-1)*3))</f>
        <v>20</v>
      </c>
      <c r="U112" s="1">
        <f ca="1">IF(ISERROR(F100),"",VLOOKUP(A100,INDIRECT($F$8),8+(O112-1)*3))</f>
        <v>50</v>
      </c>
      <c r="V112" s="1" t="str">
        <f ca="1">IF(ISERROR(F100),"",IF(N112=0,A112,""))</f>
        <v/>
      </c>
      <c r="W112" s="1">
        <f ca="1">IF(ISERROR(F100),"",IF(ISTEXT(VLOOKUP(B100,INDIRECT($F$8),6+(O112-1)*3)),11,IF(VLOOKUP(B100,INDIRECT($F$8),6+(O112-1)*3)&lt;S112*0.3,IF(VLOOKUP(B100,INDIRECT($F$8),8+(O112-1)*3)&lt;U112*0.4,IF(AND(0.4*U112-VLOOKUP(B100,INDIRECT($F$8),8+(O112-1)*3)&lt;=5,0.3*S112-VLOOKUP(B100,INDIRECT($F$8),6+(O112-1)*3)&lt;=5),MAX(0.4*U112-VLOOKUP(B100,INDIRECT($F$8),8+(O112-1)*3),0.3*S112-VLOOKUP(B100,INDIRECT($F$8),6+(O112-1)*3)),11),IF(0.3*S112-VLOOKUP(B100,INDIRECT($F$8),6+(O112-1)*3)&lt;=5,0.3*S112-VLOOKUP(B100,INDIRECT($F$8),6+(O112-1)*3),11)),IF(VLOOKUP(B100,INDIRECT($F$8),8+(O112-1)*3)&lt;U112*0.4,IF(U112*0.4-VLOOKUP(B100,INDIRECT($F$8),8+(O112-1)*3)&lt;=5,U112*0.4-VLOOKUP(B100,INDIRECT($F$8),8+(O112-1)*3),11),0))))</f>
        <v>11</v>
      </c>
      <c r="X112" s="1" t="str">
        <f ca="1">IF(ISERROR(F100),"",IF(W112=0,"",_xlfn.TEXTJOIN("",FALSE," G+",W112," in ",A112)))</f>
        <v xml:space="preserve"> G+11 in CAT 002</v>
      </c>
    </row>
    <row r="113" spans="1:24" ht="11.25" customHeight="1" x14ac:dyDescent="0.2">
      <c r="A113" s="7" t="str">
        <f ca="1">IF(ISERROR(F100),"",VLOOKUP(C100,INDIRECT($F$8),6+(O113-1)*3,0))</f>
        <v>CAT 003</v>
      </c>
      <c r="B113" s="41" t="str">
        <f ca="1">IF(ISERROR(F100),"",VLOOKUP(D100,INDIRECT($F$8),6+(O113-1)*3-Z113,0))</f>
        <v>Fundamental of Web Technology ($)</v>
      </c>
      <c r="C113" s="41"/>
      <c r="D113" s="41"/>
      <c r="E113" s="41"/>
      <c r="F113" s="7">
        <f ca="1">IF(ISERROR(F100),"",VLOOKUP(E100,INDIRECT($F$8),6+(O113-1)*3,0))</f>
        <v>0</v>
      </c>
      <c r="G113" s="42" t="str">
        <f ca="1">IF(ISERROR(F100),"",_xlfn.TEXTJOIN("/",FALSE,P113,S113))</f>
        <v>NA/30</v>
      </c>
      <c r="H113" s="42"/>
      <c r="I113" s="42" t="str">
        <f ca="1">IF(ISERROR(F100),"",_xlfn.TEXTJOIN("/",FALSE,Q113,T113))</f>
        <v>NA/20</v>
      </c>
      <c r="J113" s="42"/>
      <c r="K113" s="42" t="str">
        <f ca="1">IF(ISERROR(F100),"",_xlfn.TEXTJOIN("/",FALSE,R113,U113))</f>
        <v>0/50</v>
      </c>
      <c r="L113" s="42"/>
      <c r="M113" s="7" t="str">
        <f ca="1">IF(ISERROR(F100),"",IF(ISTEXT(P113),IF(P113="A","Ab",IF(P113="D","Dt",IF(P113="UFM","UFM",IF(P113="NA","-")))),IF(AND(ISBLANK(P113),ISBLANK(R113)),"",IF(P113&lt;0.3*S113,"F",IF(ISBLANK(R113),"",IF(ISTEXT(R113),R113,IF(R113&gt;=0.95*U113,"O",IF(R113&gt;=0.9*U113,"A+",IF(R113&gt;=0.85*U113,"A",IF(R113&gt;=0.8*U113,"B+",IF(R113&gt;=0.75*U113,"B",IF(R113&gt;=0.7*U113,"C+",IF(R113&gt;=0.65*U113,"C",IF(R113&gt;=0.6*U113,"D+",IF(R113&gt;=0.55*U113,"D",IF(R113&gt;=0.5*U113,"E+",IF(R113&gt;=0.45*U113,"E",IF(R113&gt;=0.4*U113,"P",IF(R113&lt;0.4*U113,"F",R113)))))))))))))))))))</f>
        <v>-</v>
      </c>
      <c r="N113" s="8" t="str">
        <f t="shared" ca="1" si="8"/>
        <v>-</v>
      </c>
      <c r="O113">
        <f t="shared" si="9"/>
        <v>9</v>
      </c>
      <c r="P113" s="1" t="str">
        <f ca="1">IF(ISERROR(F100),"",IF(ISTEXT(VLOOKUP(B100,INDIRECT($F$8),6+(O113-1)*3)),(VLOOKUP(B100,INDIRECT($F$8),6+(O113-1)*3)),SUM(VLOOKUP(B100,INDIRECT($F$8),6+(O113-1)*3),IF(W119,W113,0))))</f>
        <v>NA</v>
      </c>
      <c r="Q113" s="1" t="str">
        <f ca="1">IF(ISERROR(F100),"",VLOOKUP(B100,INDIRECT($F$8),7+(O113-1)*3))</f>
        <v>NA</v>
      </c>
      <c r="R113" s="1">
        <f ca="1">IF(ISERROR(F100),"",SUM(P113:Q113))</f>
        <v>0</v>
      </c>
      <c r="S113" s="1">
        <f ca="1">IF(ISERROR(F100),"",VLOOKUP(A100,INDIRECT($F$8),6+(O113-1)*3))</f>
        <v>30</v>
      </c>
      <c r="T113" s="1">
        <f ca="1">IF(ISERROR(F100),"",VLOOKUP(A100,INDIRECT($F$8),7+(O113-1)*3))</f>
        <v>20</v>
      </c>
      <c r="U113" s="1">
        <f ca="1">IF(ISERROR(F100),"",VLOOKUP(A100,INDIRECT($F$8),8+(O113-1)*3))</f>
        <v>50</v>
      </c>
      <c r="V113" s="1" t="str">
        <f ca="1">IF(ISERROR(F100),"",IF(N113=0,A113,""))</f>
        <v/>
      </c>
      <c r="W113" s="1">
        <f ca="1">IF(ISERROR(F100),"",IF(ISTEXT(VLOOKUP(B100,INDIRECT($F$8),6+(O113-1)*3)),11,IF(VLOOKUP(B100,INDIRECT($F$8),6+(O113-1)*3)&lt;S113*0.3,IF(VLOOKUP(B100,INDIRECT($F$8),8+(O113-1)*3)&lt;U113*0.4,IF(AND(0.4*U113-VLOOKUP(B100,INDIRECT($F$8),8+(O113-1)*3)&lt;=5,0.3*S113-VLOOKUP(B100,INDIRECT($F$8),6+(O113-1)*3)&lt;=5),MAX(0.4*U113-VLOOKUP(B100,INDIRECT($F$8),8+(O113-1)*3),0.3*S113-VLOOKUP(B100,INDIRECT($F$8),6+(O113-1)*3)),11),IF(0.3*S113-VLOOKUP(B100,INDIRECT($F$8),6+(O113-1)*3)&lt;=5,0.3*S113-VLOOKUP(B100,INDIRECT($F$8),6+(O113-1)*3),11)),IF(VLOOKUP(B100,INDIRECT($F$8),8+(O113-1)*3)&lt;U113*0.4,IF(U113*0.4-VLOOKUP(B100,INDIRECT($F$8),8+(O113-1)*3)&lt;=5,U113*0.4-VLOOKUP(B100,INDIRECT($F$8),8+(O113-1)*3),11),0))))</f>
        <v>11</v>
      </c>
      <c r="X113" s="1" t="str">
        <f ca="1">IF(ISERROR(F100),"",IF(W113=0,"",_xlfn.TEXTJOIN("",FALSE," G+",W113," in ",A113)))</f>
        <v xml:space="preserve"> G+11 in CAT 003</v>
      </c>
    </row>
    <row r="114" spans="1:24" ht="11.25" customHeight="1" x14ac:dyDescent="0.2">
      <c r="A114" s="7" t="str">
        <f ca="1">IF(ISERROR(F100),"",VLOOKUP(C100,INDIRECT($F$8),6+(O114-1)*3,0))</f>
        <v>CAP 001</v>
      </c>
      <c r="B114" s="41" t="str">
        <f ca="1">IF(ISERROR(F100),"",VLOOKUP(D100,INDIRECT($F$8),6+(O114-1)*3-Z114,0))</f>
        <v>Database Management System Lab</v>
      </c>
      <c r="C114" s="41"/>
      <c r="D114" s="41"/>
      <c r="E114" s="41"/>
      <c r="F114" s="7">
        <f ca="1">IF(ISERROR(F100),"",VLOOKUP(E100,INDIRECT($F$8),6+(O114-1)*3,0))</f>
        <v>1</v>
      </c>
      <c r="G114" s="42" t="str">
        <f ca="1">IF(ISERROR(F100),"",_xlfn.TEXTJOIN("/",FALSE,P114,S114))</f>
        <v>25/30</v>
      </c>
      <c r="H114" s="42"/>
      <c r="I114" s="42" t="str">
        <f ca="1">IF(ISERROR(F100),"",_xlfn.TEXTJOIN("/",FALSE,Q114,T114))</f>
        <v>15/20</v>
      </c>
      <c r="J114" s="42"/>
      <c r="K114" s="42" t="str">
        <f ca="1">IF(ISERROR(F100),"",_xlfn.TEXTJOIN("/",FALSE,R114,U114))</f>
        <v>40/50</v>
      </c>
      <c r="L114" s="42"/>
      <c r="M114" s="7" t="str">
        <f ca="1">IF(ISERROR(F100),"",IF(ISTEXT(P114),IF(P114="A","Ab",IF(P114="D","Dt",IF(P114="UFM","UFM",IF(P114="NA","-")))),IF(AND(ISBLANK(P114),ISBLANK(R114)),"",IF(P114&lt;0.3*S114,"F",IF(ISBLANK(R114),"",IF(ISTEXT(R114),R114,IF(R114&gt;=0.95*U114,"O",IF(R114&gt;=0.9*U114,"A+",IF(R114&gt;=0.85*U114,"A",IF(R114&gt;=0.8*U114,"B+",IF(R114&gt;=0.75*U114,"B",IF(R114&gt;=0.7*U114,"C+",IF(R114&gt;=0.65*U114,"C",IF(R114&gt;=0.6*U114,"D+",IF(R114&gt;=0.55*U114,"D",IF(R114&gt;=0.5*U114,"E+",IF(R114&gt;=0.45*U114,"E",IF(R114&gt;=0.4*U114,"P",IF(R114&lt;0.4*U114,"F",R114)))))))))))))))))))</f>
        <v>B+</v>
      </c>
      <c r="N114" s="8">
        <f t="shared" ca="1" si="8"/>
        <v>8.5</v>
      </c>
      <c r="O114">
        <f t="shared" si="9"/>
        <v>10</v>
      </c>
      <c r="P114" s="1">
        <f ca="1">IF(ISERROR(F100),"",IF(ISTEXT(VLOOKUP(B100,INDIRECT($F$8),6+(O114-1)*3)),(VLOOKUP(B100,INDIRECT($F$8),6+(O114-1)*3)),SUM(VLOOKUP(B100,INDIRECT($F$8),6+(O114-1)*3),IF(W119,W114,0))))</f>
        <v>25</v>
      </c>
      <c r="Q114" s="1">
        <f ca="1">IF(ISERROR(F100),"",VLOOKUP(B100,INDIRECT($F$8),7+(O114-1)*3))</f>
        <v>15</v>
      </c>
      <c r="R114" s="1">
        <f ca="1">IF(ISERROR(F100),"",SUM(P114:Q114))</f>
        <v>40</v>
      </c>
      <c r="S114" s="1">
        <f ca="1">IF(ISERROR(F100),"",VLOOKUP(A100,INDIRECT($F$8),6+(O114-1)*3))</f>
        <v>30</v>
      </c>
      <c r="T114" s="1">
        <f ca="1">IF(ISERROR(F100),"",VLOOKUP(A100,INDIRECT($F$8),7+(O114-1)*3))</f>
        <v>20</v>
      </c>
      <c r="U114" s="1">
        <f ca="1">IF(ISERROR(F100),"",VLOOKUP(A100,INDIRECT($F$8),8+(O114-1)*3))</f>
        <v>50</v>
      </c>
      <c r="V114" s="1" t="str">
        <f ca="1">IF(ISERROR(F100),"",IF(N114=0,A114,""))</f>
        <v/>
      </c>
      <c r="W114" s="1">
        <f ca="1">IF(ISERROR(F100),"",IF(ISTEXT(VLOOKUP(B100,INDIRECT($F$8),6+(O114-1)*3)),11,IF(VLOOKUP(B100,INDIRECT($F$8),6+(O114-1)*3)&lt;S114*0.3,IF(VLOOKUP(B100,INDIRECT($F$8),8+(O114-1)*3)&lt;U114*0.4,IF(AND(0.4*U114-VLOOKUP(B100,INDIRECT($F$8),8+(O114-1)*3)&lt;=5,0.3*S114-VLOOKUP(B100,INDIRECT($F$8),6+(O114-1)*3)&lt;=5),MAX(0.4*U114-VLOOKUP(B100,INDIRECT($F$8),8+(O114-1)*3),0.3*S114-VLOOKUP(B100,INDIRECT($F$8),6+(O114-1)*3)),11),IF(0.3*S114-VLOOKUP(B100,INDIRECT($F$8),6+(O114-1)*3)&lt;=5,0.3*S114-VLOOKUP(B100,INDIRECT($F$8),6+(O114-1)*3),11)),IF(VLOOKUP(B100,INDIRECT($F$8),8+(O114-1)*3)&lt;U114*0.4,IF(U114*0.4-VLOOKUP(B100,INDIRECT($F$8),8+(O114-1)*3)&lt;=5,U114*0.4-VLOOKUP(B100,INDIRECT($F$8),8+(O114-1)*3),11),0))))</f>
        <v>0</v>
      </c>
      <c r="X114" s="1" t="str">
        <f ca="1">IF(ISERROR(F100),"",IF(W114=0,"",_xlfn.TEXTJOIN("",FALSE," G+",W114," in ",A114)))</f>
        <v/>
      </c>
    </row>
    <row r="115" spans="1:24" ht="11.25" customHeight="1" x14ac:dyDescent="0.2">
      <c r="A115" s="7" t="str">
        <f ca="1">IF(ISERROR(F100),"",VLOOKUP(C100,INDIRECT($F$8),6+(O115-1)*3,0))</f>
        <v>CAP 002</v>
      </c>
      <c r="B115" s="41" t="str">
        <f ca="1">IF(ISERROR(F100),"",VLOOKUP(D100,INDIRECT($F$8),6+(O115-1)*3,0))</f>
        <v>Operating System Lab</v>
      </c>
      <c r="C115" s="41"/>
      <c r="D115" s="41"/>
      <c r="E115" s="41"/>
      <c r="F115" s="7">
        <f ca="1">IF(ISERROR(F100),"",VLOOKUP(E100,INDIRECT($F$8),6+(O115-1)*3,0))</f>
        <v>1</v>
      </c>
      <c r="G115" s="42" t="str">
        <f ca="1">IF(ISERROR(F100),"",_xlfn.TEXTJOIN("/",FALSE,P115,S115))</f>
        <v>27/30</v>
      </c>
      <c r="H115" s="42"/>
      <c r="I115" s="42" t="str">
        <f ca="1">IF(ISERROR(F100),"",_xlfn.TEXTJOIN("/",FALSE,Q115,T115))</f>
        <v>18/20</v>
      </c>
      <c r="J115" s="42"/>
      <c r="K115" s="42" t="str">
        <f ca="1">IF(ISERROR(F100),"",_xlfn.TEXTJOIN("/",FALSE,R115,U115))</f>
        <v>45/50</v>
      </c>
      <c r="L115" s="42"/>
      <c r="M115" s="7" t="str">
        <f ca="1">IF(ISERROR(F100),"",IF(ISTEXT(P115),IF(P115="A","Ab",IF(P115="D","Dt",IF(P115="UFM","UFM",IF(P115="NA","-")))),IF(AND(ISBLANK(P115),ISBLANK(R115)),"",IF(P115&lt;0.3*S115,"F",IF(ISBLANK(R115),"",IF(ISTEXT(R115),R115,IF(R115&gt;=0.95*U115,"O",IF(R115&gt;=0.9*U115,"A+",IF(R115&gt;=0.85*U115,"A",IF(R115&gt;=0.8*U115,"B+",IF(R115&gt;=0.75*U115,"B",IF(R115&gt;=0.7*U115,"C+",IF(R115&gt;=0.65*U115,"C",IF(R115&gt;=0.6*U115,"D+",IF(R115&gt;=0.55*U115,"D",IF(R115&gt;=0.5*U115,"E+",IF(R115&gt;=0.45*U115,"E",IF(R115&gt;=0.4*U115,"P",IF(R115&lt;0.4*U115,"F",R115)))))))))))))))))))</f>
        <v>A+</v>
      </c>
      <c r="N115" s="8">
        <f t="shared" ca="1" si="8"/>
        <v>9.5</v>
      </c>
      <c r="O115">
        <f t="shared" si="9"/>
        <v>11</v>
      </c>
      <c r="P115" s="1">
        <f ca="1">IF(ISERROR(F100),"",IF(ISTEXT(VLOOKUP(B100,INDIRECT($F$8),6+(O115-1)*3)),(VLOOKUP(B100,INDIRECT($F$8),6+(O115-1)*3)),SUM(VLOOKUP(B100,INDIRECT($F$8),6+(O115-1)*3),IF(W119,W115,0))))</f>
        <v>27</v>
      </c>
      <c r="Q115" s="1">
        <f ca="1">IF(ISERROR(F100),"",VLOOKUP(B100,INDIRECT($F$8),7+(O115-1)*3))</f>
        <v>18</v>
      </c>
      <c r="R115" s="1">
        <f ca="1">IF(ISERROR(F100),"",SUM(P115:Q115))</f>
        <v>45</v>
      </c>
      <c r="S115" s="1">
        <f ca="1">IF(ISERROR(F100),"",VLOOKUP(A100,INDIRECT($F$8),6+(O115-1)*3))</f>
        <v>30</v>
      </c>
      <c r="T115" s="1">
        <f ca="1">IF(ISERROR(F100),"",VLOOKUP(A100,INDIRECT($F$8),7+(O115-1)*3))</f>
        <v>20</v>
      </c>
      <c r="U115" s="1">
        <f ca="1">IF(ISERROR(F100),"",VLOOKUP(A100,INDIRECT($F$8),8+(O115-1)*3))</f>
        <v>50</v>
      </c>
      <c r="V115" s="1" t="str">
        <f ca="1">IF(ISERROR(F100),"",IF(N115=0,A115,""))</f>
        <v/>
      </c>
      <c r="W115" s="1">
        <f ca="1">IF(ISERROR(F100),"",IF(ISTEXT(VLOOKUP(B100,INDIRECT($F$8),6+(O115-1)*3)),11,IF(VLOOKUP(B100,INDIRECT($F$8),6+(O115-1)*3)&lt;S115*0.3,IF(VLOOKUP(B100,INDIRECT($F$8),8+(O115-1)*3)&lt;U115*0.4,IF(AND(0.4*U115-VLOOKUP(B100,INDIRECT($F$8),8+(O115-1)*3)&lt;=5,0.3*S115-VLOOKUP(B100,INDIRECT($F$8),6+(O115-1)*3)&lt;=5),MAX(0.4*U115-VLOOKUP(B100,INDIRECT($F$8),8+(O115-1)*3),0.3*S115-VLOOKUP(B100,INDIRECT($F$8),6+(O115-1)*3)),11),IF(0.3*S115-VLOOKUP(B100,INDIRECT($F$8),6+(O115-1)*3)&lt;=5,0.3*S115-VLOOKUP(B100,INDIRECT($F$8),6+(O115-1)*3),11)),IF(VLOOKUP(B100,INDIRECT($F$8),8+(O115-1)*3)&lt;U115*0.4,IF(U115*0.4-VLOOKUP(B100,INDIRECT($F$8),8+(O115-1)*3)&lt;=5,U115*0.4-VLOOKUP(B100,INDIRECT($F$8),8+(O115-1)*3),11),0))))</f>
        <v>0</v>
      </c>
      <c r="X115" s="1" t="str">
        <f ca="1">IF(ISERROR(F100),"",IF(W115=0,"",_xlfn.TEXTJOIN("",FALSE," G+",W115," in ",A115)))</f>
        <v/>
      </c>
    </row>
    <row r="116" spans="1:24" ht="11.25" customHeight="1" x14ac:dyDescent="0.2">
      <c r="A116" s="7" t="str">
        <f ca="1">IF(ISERROR(F100),"",VLOOKUP(C100,INDIRECT($F$8),6+(O116-1)*3,0))</f>
        <v>CAP 003</v>
      </c>
      <c r="B116" s="41" t="str">
        <f ca="1">IF(ISERROR(F100),"",VLOOKUP(D100,INDIRECT($F$8),6+(O116-1)*3,0))</f>
        <v>Computer Organization Lab</v>
      </c>
      <c r="C116" s="41"/>
      <c r="D116" s="41"/>
      <c r="E116" s="41"/>
      <c r="F116" s="7">
        <f ca="1">IF(ISERROR(F100),"",VLOOKUP(E100,INDIRECT($F$8),6+(O116-1)*3,0))</f>
        <v>1</v>
      </c>
      <c r="G116" s="42" t="str">
        <f ca="1">IF(ISERROR(F100),"",_xlfn.TEXTJOIN("/",FALSE,P116,S116))</f>
        <v>23/30</v>
      </c>
      <c r="H116" s="42"/>
      <c r="I116" s="42" t="str">
        <f ca="1">IF(ISERROR(F100),"",_xlfn.TEXTJOIN("/",FALSE,Q116,T116))</f>
        <v>17/20</v>
      </c>
      <c r="J116" s="42"/>
      <c r="K116" s="42" t="str">
        <f ca="1">IF(ISERROR(F100),"",_xlfn.TEXTJOIN("/",FALSE,R116,U116))</f>
        <v>40/50</v>
      </c>
      <c r="L116" s="42"/>
      <c r="M116" s="7" t="str">
        <f ca="1">IF(ISERROR(F100),"",IF(ISTEXT(P116),IF(P116="A","Ab",IF(P116="D","Dt",IF(P116="UFM","UFM",IF(P116="NA","-")))),IF(AND(ISBLANK(P116),ISBLANK(R116)),"",IF(P116&lt;0.3*S116,"F",IF(ISBLANK(R116),"",IF(ISTEXT(R116),R116,IF(R116&gt;=0.95*U116,"O",IF(R116&gt;=0.9*U116,"A+",IF(R116&gt;=0.85*U116,"A",IF(R116&gt;=0.8*U116,"B+",IF(R116&gt;=0.75*U116,"B",IF(R116&gt;=0.7*U116,"C+",IF(R116&gt;=0.65*U116,"C",IF(R116&gt;=0.6*U116,"D+",IF(R116&gt;=0.55*U116,"D",IF(R116&gt;=0.5*U116,"E+",IF(R116&gt;=0.45*U116,"E",IF(R116&gt;=0.4*U116,"P",IF(R116&lt;0.4*U116,"F",R116)))))))))))))))))))</f>
        <v>B+</v>
      </c>
      <c r="N116" s="8">
        <f t="shared" ca="1" si="8"/>
        <v>8.5</v>
      </c>
      <c r="O116">
        <f t="shared" si="9"/>
        <v>12</v>
      </c>
      <c r="P116" s="1">
        <f ca="1">IF(ISERROR(F100),"",IF(ISTEXT(VLOOKUP(B100,INDIRECT($F$8),6+(O116-1)*3)),(VLOOKUP(B100,INDIRECT($F$8),6+(O116-1)*3)),SUM(VLOOKUP(B100,INDIRECT($F$8),6+(O116-1)*3),IF(W119,W116,0))))</f>
        <v>23</v>
      </c>
      <c r="Q116" s="1">
        <f ca="1">IF(ISERROR(F100),"",VLOOKUP(B100,INDIRECT($F$8),7+(O116-1)*3))</f>
        <v>17</v>
      </c>
      <c r="R116" s="1">
        <f ca="1">IF(ISERROR(F100),"",SUM(P116:Q116))</f>
        <v>40</v>
      </c>
      <c r="S116" s="1">
        <f ca="1">IF(ISERROR(F100),"",VLOOKUP(A100,INDIRECT($F$8),6+(O116-1)*3))</f>
        <v>30</v>
      </c>
      <c r="T116" s="1">
        <f ca="1">IF(ISERROR(F100),"",VLOOKUP(A100,INDIRECT($F$8),7+(O116-1)*3))</f>
        <v>20</v>
      </c>
      <c r="U116" s="1">
        <f ca="1">IF(ISERROR(F100),"",VLOOKUP(A100,INDIRECT($F$8),8+(O116-1)*3))</f>
        <v>50</v>
      </c>
      <c r="V116" s="1" t="str">
        <f ca="1">IF(ISERROR(F100),"",IF(N116=0,A116,""))</f>
        <v/>
      </c>
      <c r="W116" s="1">
        <f ca="1">IF(ISERROR(F100),"",IF(ISTEXT(VLOOKUP(B100,INDIRECT($F$8),6+(O116-1)*3)),11,IF(VLOOKUP(B100,INDIRECT($F$8),6+(O116-1)*3)&lt;S116*0.3,IF(VLOOKUP(B100,INDIRECT($F$8),8+(O116-1)*3)&lt;U116*0.4,IF(AND(0.4*U116-VLOOKUP(B100,INDIRECT($F$8),8+(O116-1)*3)&lt;=5,0.3*S116-VLOOKUP(B100,INDIRECT($F$8),6+(O116-1)*3)&lt;=5),MAX(0.4*U116-VLOOKUP(B100,INDIRECT($F$8),8+(O116-1)*3),0.3*S116-VLOOKUP(B100,INDIRECT($F$8),6+(O116-1)*3)),11),IF(0.3*S116-VLOOKUP(B100,INDIRECT($F$8),6+(O116-1)*3)&lt;=5,0.3*S116-VLOOKUP(B100,INDIRECT($F$8),6+(O116-1)*3),11)),IF(VLOOKUP(B100,INDIRECT($F$8),8+(O116-1)*3)&lt;U116*0.4,IF(U116*0.4-VLOOKUP(B100,INDIRECT($F$8),8+(O116-1)*3)&lt;=5,U116*0.4-VLOOKUP(B100,INDIRECT($F$8),8+(O116-1)*3),11),0))))</f>
        <v>0</v>
      </c>
      <c r="X116" s="1" t="str">
        <f ca="1">IF(ISERROR(F100),"",IF(W116=0,"",_xlfn.TEXTJOIN("",FALSE," G+",W116," in ",A116)))</f>
        <v/>
      </c>
    </row>
    <row r="117" spans="1:24" ht="11.25" customHeight="1" x14ac:dyDescent="0.2">
      <c r="A117" s="7" t="str">
        <f ca="1">IF(ISERROR(F100),"",VLOOKUP(C100,INDIRECT($F$8),6+(O117-1)*3,0))</f>
        <v>AHP 303</v>
      </c>
      <c r="B117" s="41" t="str">
        <f ca="1">IF(ISERROR(F100),"",VLOOKUP(D100,INDIRECT($F$8),6+(O117-1)*3,0))</f>
        <v>Technical Communication Skills</v>
      </c>
      <c r="C117" s="41"/>
      <c r="D117" s="41"/>
      <c r="E117" s="41"/>
      <c r="F117" s="7">
        <f ca="1">IF(ISERROR(F100),"",VLOOKUP(E100,INDIRECT($F$8),6+(O117-1)*3,0))</f>
        <v>1</v>
      </c>
      <c r="G117" s="42" t="str">
        <f ca="1">IF(ISERROR(F100),"",_xlfn.TEXTJOIN("/",FALSE,P117,S117))</f>
        <v>24/30</v>
      </c>
      <c r="H117" s="42"/>
      <c r="I117" s="42" t="str">
        <f ca="1">IF(ISERROR(F100),"",_xlfn.TEXTJOIN("/",FALSE,Q117,T117))</f>
        <v>16/20</v>
      </c>
      <c r="J117" s="42"/>
      <c r="K117" s="42" t="str">
        <f ca="1">IF(ISERROR(F100),"",_xlfn.TEXTJOIN("/",FALSE,R117,U117))</f>
        <v>40/50</v>
      </c>
      <c r="L117" s="42"/>
      <c r="M117" s="7" t="str">
        <f ca="1">IF(ISERROR(F100),"",IF(ISTEXT(P117),IF(P117="A","Ab",IF(P117="D","Dt",IF(P117="UFM","UFM",IF(P117="NA","-")))),IF(AND(ISBLANK(P117),ISBLANK(R117)),"",IF(P117&lt;0.3*S117,"F",IF(ISBLANK(R117),"",IF(ISTEXT(R117),R117,IF(R117&gt;=0.95*U117,"O",IF(R117&gt;=0.9*U117,"A+",IF(R117&gt;=0.85*U117,"A",IF(R117&gt;=0.8*U117,"B+",IF(R117&gt;=0.75*U117,"B",IF(R117&gt;=0.7*U117,"C+",IF(R117&gt;=0.65*U117,"C",IF(R117&gt;=0.6*U117,"D+",IF(R117&gt;=0.55*U117,"D",IF(R117&gt;=0.5*U117,"E+",IF(R117&gt;=0.45*U117,"E",IF(R117&gt;=0.4*U117,"P",IF(R117&lt;0.4*U117,"F",R117)))))))))))))))))))</f>
        <v>B+</v>
      </c>
      <c r="N117" s="8">
        <f t="shared" ca="1" si="8"/>
        <v>8.5</v>
      </c>
      <c r="O117">
        <f t="shared" si="9"/>
        <v>13</v>
      </c>
      <c r="P117" s="1">
        <f ca="1">IF(ISERROR(F100),"",IF(ISTEXT(VLOOKUP(B100,INDIRECT($F$8),6+(O117-1)*3)),(VLOOKUP(B100,INDIRECT($F$8),6+(O117-1)*3)),SUM(VLOOKUP(B100,INDIRECT($F$8),6+(O117-1)*3),IF(W119,W117,0))))</f>
        <v>24</v>
      </c>
      <c r="Q117" s="1">
        <f ca="1">IF(ISERROR(F100),"",VLOOKUP(B100,INDIRECT($F$8),7+(O117-1)*3))</f>
        <v>16</v>
      </c>
      <c r="R117" s="1">
        <f ca="1">IF(ISERROR(F100),"",SUM(P117:Q117))</f>
        <v>40</v>
      </c>
      <c r="S117" s="1">
        <f ca="1">IF(ISERROR(F100),"",VLOOKUP(A100,INDIRECT($F$8),6+(O117-1)*3))</f>
        <v>30</v>
      </c>
      <c r="T117" s="1">
        <f ca="1">IF(ISERROR(F100),"",VLOOKUP(A100,INDIRECT($F$8),7+(O117-1)*3))</f>
        <v>20</v>
      </c>
      <c r="U117" s="1">
        <f ca="1">IF(ISERROR(F100),"",VLOOKUP(A100,INDIRECT($F$8),8+(O117-1)*3))</f>
        <v>50</v>
      </c>
      <c r="V117" s="1"/>
      <c r="W117" s="1">
        <f ca="1">IF(ISERROR(F100),"",IF(ISTEXT(VLOOKUP(B100,INDIRECT($F$8),6+(O117-1)*3)),11,IF(VLOOKUP(B100,INDIRECT($F$8),6+(O117-1)*3)&lt;S117*0.3,IF(VLOOKUP(B100,INDIRECT($F$8),8+(O117-1)*3)&lt;U117*0.4,IF(AND(0.4*U117-VLOOKUP(B100,INDIRECT($F$8),8+(O117-1)*3)&lt;=5,0.3*S117-VLOOKUP(B100,INDIRECT($F$8),6+(O117-1)*3)&lt;=5),MAX(0.4*U117-VLOOKUP(B100,INDIRECT($F$8),8+(O117-1)*3),0.3*S117-VLOOKUP(B100,INDIRECT($F$8),6+(O117-1)*3)),11),IF(0.3*S117-VLOOKUP(B100,INDIRECT($F$8),6+(O117-1)*3)&lt;=5,0.3*S117-VLOOKUP(B100,INDIRECT($F$8),6+(O117-1)*3),11)),IF(VLOOKUP(B100,INDIRECT($F$8),8+(O117-1)*3)&lt;U117*0.4,IF(U117*0.4-VLOOKUP(B100,INDIRECT($F$8),8+(O117-1)*3)&lt;=5,U117*0.4-VLOOKUP(B100,INDIRECT($F$8),8+(O117-1)*3),11),0))))</f>
        <v>0</v>
      </c>
      <c r="X117" s="1" t="str">
        <f ca="1">IF(ISERROR(F100),"",IF(W117=0,"",_xlfn.TEXTJOIN("",FALSE," G+",W117," in ",A117)))</f>
        <v/>
      </c>
    </row>
    <row r="118" spans="1:24" s="32" customFormat="1" ht="11.25" customHeight="1" x14ac:dyDescent="0.2">
      <c r="A118" s="31">
        <f ca="1">IF(ISERROR(F100),"",VLOOKUP(C100,INDIRECT($F$8),6+(O118-1)*3-Y118,0))</f>
        <v>0</v>
      </c>
      <c r="B118" s="49">
        <f ca="1">IF(ISERROR(F100),"",VLOOKUP(D100,INDIRECT($F$8),6+(O118-1)*3-Z118,0))</f>
        <v>0</v>
      </c>
      <c r="C118" s="49"/>
      <c r="D118" s="49"/>
      <c r="E118" s="49"/>
      <c r="F118" s="31">
        <f ca="1">IF(ISERROR(F100),"",VLOOKUP(E100,INDIRECT($F$8),6+(O118-1)*3-AA118,0))</f>
        <v>0</v>
      </c>
      <c r="G118" s="50" t="str">
        <f ca="1">IF(ISERROR(F100),"","-")</f>
        <v>-</v>
      </c>
      <c r="H118" s="50"/>
      <c r="I118" s="50" t="str">
        <f ca="1">IF(ISERROR(F100),"",_xlfn.TEXTJOIN("/",FALSE,Q118,T118))</f>
        <v>0/0</v>
      </c>
      <c r="J118" s="50"/>
      <c r="K118" s="50" t="str">
        <f ca="1">IF(ISERROR(F100),"",_xlfn.TEXTJOIN("/",FALSE,R118,U118))</f>
        <v>0/0</v>
      </c>
      <c r="L118" s="50"/>
      <c r="M118" s="50" t="str">
        <f ca="1">IF(ISBLANK(R118),"",IF(ISTEXT(R118),R118,IF(R118&gt;=0.8*U118,"Excellent",IF(R118&gt;=0.6*U118,"Very Good",IF(R118&gt;=0.4*U118,"Good",IF(R118&gt;=0.2*U118,"Satisfactory","Average"))))))</f>
        <v>Excellent</v>
      </c>
      <c r="N118" s="50"/>
      <c r="O118" s="32">
        <f t="shared" si="9"/>
        <v>14</v>
      </c>
      <c r="P118" s="33">
        <f ca="1">IF(ISERROR(F100),"",IF(ISTEXT(VLOOKUP(B\28,INDIRECT($F$8),6+(O118-1)*3)),(VLOOKUP(B100,INDIRECT($F$8),6+(O118-1)*3)),SUM(VLOOKUP(B100,INDIRECT($F$8),6+(O118-1)*3),IF(W119,W118,0))))</f>
        <v>0</v>
      </c>
      <c r="Q118" s="33">
        <f ca="1">IF(ISERROR(F100),"",VLOOKUP(B100,INDIRECT($F$8),7+(O118-1)*3))</f>
        <v>0</v>
      </c>
      <c r="R118" s="33">
        <f ca="1">IF(ISERROR(F100),"",SUM(P118:Q118))</f>
        <v>0</v>
      </c>
      <c r="S118" s="33">
        <f ca="1">IF(ISERROR(F100),"",VLOOKUP(A100,INDIRECT($F$8),6+(O118-1)*3))</f>
        <v>0</v>
      </c>
      <c r="T118" s="33">
        <f ca="1">IF(ISERROR(F100),"",VLOOKUP(A100,INDIRECT($F$8),7+(O118-1)*3))</f>
        <v>0</v>
      </c>
      <c r="U118" s="33">
        <f ca="1">IF(ISERROR(F100),"",VLOOKUP(A100,INDIRECT($F$8),8+(O118-1)*3))</f>
        <v>0</v>
      </c>
      <c r="V118" s="33"/>
      <c r="W118" s="33"/>
      <c r="X118" s="33" t="str">
        <f ca="1">IF(ISERROR(F100),"",IF(W118=0,"",_xlfn.TEXTJOIN("",FALSE," G+",W118," in ",A118)))</f>
        <v/>
      </c>
    </row>
    <row r="119" spans="1:24" ht="11.25" customHeight="1" x14ac:dyDescent="0.2">
      <c r="A119" s="43" t="str">
        <f ca="1">IF(ISERROR(F100),"",A96)</f>
        <v>Total Credits/ Marks/ Total Grade Points</v>
      </c>
      <c r="B119" s="43"/>
      <c r="C119" s="43"/>
      <c r="D119" s="43"/>
      <c r="E119" s="43"/>
      <c r="F119" s="10">
        <f ca="1">IF(ISERROR(F100),"",SUM(F105:F118))</f>
        <v>24</v>
      </c>
      <c r="G119" s="44" t="str">
        <f ca="1">IF(ISERROR(F100),"",_xlfn.TEXTJOIN("/",TRUE,SUMIF(F105:F118,"&gt;0",P105:P118),SUMIF(F105:F118,"&gt;0",S105:S118)))</f>
        <v>386/620</v>
      </c>
      <c r="H119" s="44"/>
      <c r="I119" s="44" t="str">
        <f ca="1">IF(ISERROR(F100),"",_xlfn.TEXTJOIN("/",TRUE,SUMIF(F105:F118,"&gt;0",Q105:Q118),SUMIF(F105:F118,"&gt;0",T105:T118)))</f>
        <v>251/330</v>
      </c>
      <c r="J119" s="44"/>
      <c r="K119" s="44" t="str">
        <f ca="1">IF(ISERROR(F100),"",_xlfn.TEXTJOIN("/",TRUE,SUMIF(F105:F118,"&gt;0",R105:R118),SUMIF(F105:F118,"&gt;0",U105:U118)))</f>
        <v>637/950</v>
      </c>
      <c r="L119" s="44"/>
      <c r="M119" s="43">
        <f ca="1">IF(ISERROR(F100),"",SUMPRODUCT(N105:N117,F105:F117))</f>
        <v>165</v>
      </c>
      <c r="N119" s="43"/>
      <c r="V119" s="1" t="str">
        <f ca="1">IF(ISERROR(F100),"",_xlfn.TEXTJOIN(", ",TRUE,V105:V118))</f>
        <v/>
      </c>
      <c r="W119" t="b">
        <f ca="1">IF(ISERROR(F100),"",IF(SUM(W105:W118)&lt;=W104,TRUE,FALSE))</f>
        <v>0</v>
      </c>
      <c r="X119" s="1" t="str">
        <f ca="1">_xlfn.TEXTJOIN(",",TRUE,X105:X118)</f>
        <v xml:space="preserve"> G+11 in CAT 001, G+11 in CAT 002, G+11 in CAT 003</v>
      </c>
    </row>
    <row r="120" spans="1:24" ht="11.25" customHeight="1" x14ac:dyDescent="0.2">
      <c r="A120" s="43" t="str">
        <f ca="1">IF(ISERROR(F100),"",A97)</f>
        <v>Result:</v>
      </c>
      <c r="B120" s="45" t="str">
        <f ca="1">IF(ISERROR(F100),"",IF(V119="","PASS","CARRY OVER"))</f>
        <v>PASS</v>
      </c>
      <c r="C120" s="45"/>
      <c r="D120" s="43" t="str">
        <f ca="1">IF(ISERROR(F100),"",D97)</f>
        <v>Remark:</v>
      </c>
      <c r="E120" s="45" t="str">
        <f ca="1">IF(ISERROR(F100),"",IF(W119,X119,IF(V119="","",_xlfn.TEXTJOIN("",TRUE,"BACK IN ",V119))))</f>
        <v/>
      </c>
      <c r="F120" s="45"/>
      <c r="G120" s="43" t="str">
        <f ca="1">IF(ISERROR(F100),"",G97)</f>
        <v>SGPA:</v>
      </c>
      <c r="H120" s="46">
        <f ca="1">IF(ISERROR(F100),"",M119/F119)</f>
        <v>6.875</v>
      </c>
      <c r="I120" s="43" t="str">
        <f ca="1">IF(ISERROR(F100),"",I97)</f>
        <v>CGPA:</v>
      </c>
      <c r="J120" s="46">
        <f ca="1">IF(ISERROR(F100),"",VLOOKUP(B100,INDIRECT($F$8),12+(O118-1)*3,0))</f>
        <v>6.875</v>
      </c>
      <c r="K120" s="45" t="str">
        <f ca="1">IF(ISERROR(F100),"",K97)</f>
        <v>Earned Credits:</v>
      </c>
      <c r="L120" s="43">
        <f ca="1">IF(ISERROR(F100),"",SUMIF(N105:N117,"&gt;0",F105:F117))</f>
        <v>24</v>
      </c>
      <c r="M120" s="45" t="str">
        <f ca="1">IF(ISERROR(F100),"",M97)</f>
        <v>Cuml. Earned Credits:</v>
      </c>
      <c r="N120" s="43">
        <f ca="1">IF(ISERROR(F100),"",VLOOKUP(B100,INDIRECT($F$8),10+(O118-1)*3,0))</f>
        <v>24</v>
      </c>
    </row>
    <row r="121" spans="1:24" ht="11.25" customHeight="1" x14ac:dyDescent="0.2">
      <c r="A121" s="43"/>
      <c r="B121" s="45"/>
      <c r="C121" s="45"/>
      <c r="D121" s="43"/>
      <c r="E121" s="45"/>
      <c r="F121" s="45"/>
      <c r="G121" s="43"/>
      <c r="H121" s="46"/>
      <c r="I121" s="43"/>
      <c r="J121" s="46"/>
      <c r="K121" s="45"/>
      <c r="L121" s="43"/>
      <c r="M121" s="45"/>
      <c r="N121" s="43"/>
    </row>
    <row r="122" spans="1:24" ht="15" x14ac:dyDescent="0.2">
      <c r="A122" s="43"/>
      <c r="B122" s="45"/>
      <c r="C122" s="45"/>
      <c r="D122" s="43"/>
      <c r="E122" s="45"/>
      <c r="F122" s="45"/>
      <c r="G122" s="43"/>
      <c r="H122" s="46"/>
      <c r="I122" s="43"/>
      <c r="J122" s="46"/>
      <c r="K122" s="45"/>
      <c r="L122" s="43"/>
      <c r="M122" s="45"/>
      <c r="N122" s="43"/>
    </row>
    <row r="123" spans="1:24" ht="11.25" customHeight="1" x14ac:dyDescent="0.2">
      <c r="A123" s="11" t="str">
        <f>A100</f>
        <v>MM</v>
      </c>
      <c r="B123" s="11">
        <f>B100+1</f>
        <v>6</v>
      </c>
      <c r="C123" s="11" t="str">
        <f>C100</f>
        <v>SC</v>
      </c>
      <c r="D123" s="11" t="str">
        <f>D100</f>
        <v>SN</v>
      </c>
      <c r="E123" s="11" t="str">
        <f>E100</f>
        <v>C</v>
      </c>
      <c r="F123" s="11" t="str">
        <f ca="1">VLOOKUP(B123,INDIRECT($F$8),4,0)</f>
        <v>DEVASHISH TIWARI</v>
      </c>
    </row>
    <row r="124" spans="1:24" ht="11.25" customHeight="1" x14ac:dyDescent="0.2">
      <c r="A124" s="47" t="str">
        <f ca="1">IF(ISERROR(F123),"",A101)</f>
        <v>Name:</v>
      </c>
      <c r="B124" s="47" t="str">
        <f ca="1">IFERROR(VLOOKUP(B123,INDIRECT($F$8),4,0),"")</f>
        <v>DEVASHISH TIWARI</v>
      </c>
      <c r="C124" s="47"/>
      <c r="D124" s="47" t="str">
        <f ca="1">IF(ISERROR(F123),"",D101)</f>
        <v>Father's Name:</v>
      </c>
      <c r="E124" s="47" t="str">
        <f ca="1">IFERROR(VLOOKUP(B123,INDIRECT($F$8),5,0),"")</f>
        <v>MAHESHWAR PRASAD TIWARI</v>
      </c>
      <c r="F124" s="47"/>
      <c r="G124" s="47" t="str">
        <f ca="1">IF(ISERROR(F123),"",G101)</f>
        <v>University Roll No:</v>
      </c>
      <c r="H124" s="47"/>
      <c r="I124" s="48">
        <f ca="1">IFERROR(VLOOKUP(B123,INDIRECT($F$8),2,0),"")</f>
        <v>250090600006</v>
      </c>
      <c r="J124" s="48"/>
      <c r="K124" s="47" t="str">
        <f ca="1">IF(ISERROR(F123),"",K101)</f>
        <v>University Enrol. No:</v>
      </c>
      <c r="L124" s="47"/>
      <c r="M124" s="48" t="str">
        <f ca="1">IFERROR(VLOOKUP(B123,INDIRECT($F$8),3,0),"")</f>
        <v>UTU/2506100117</v>
      </c>
      <c r="N124" s="48"/>
    </row>
    <row r="125" spans="1:24" ht="15" x14ac:dyDescent="0.2">
      <c r="A125" s="47"/>
      <c r="B125" s="47"/>
      <c r="C125" s="47"/>
      <c r="D125" s="47"/>
      <c r="E125" s="47"/>
      <c r="F125" s="47"/>
      <c r="G125" s="47"/>
      <c r="H125" s="47"/>
      <c r="I125" s="48"/>
      <c r="J125" s="48"/>
      <c r="K125" s="47"/>
      <c r="L125" s="47"/>
      <c r="M125" s="48"/>
      <c r="N125" s="48"/>
    </row>
    <row r="126" spans="1:24" ht="11.25" customHeight="1" x14ac:dyDescent="0.2">
      <c r="A126" s="45" t="str">
        <f ca="1">IF(ISERROR(F123),"",A103)</f>
        <v>Subject Code</v>
      </c>
      <c r="B126" s="45" t="str">
        <f ca="1">IF(ISERROR(F123),"",B103)</f>
        <v>Subject Name</v>
      </c>
      <c r="C126" s="45"/>
      <c r="D126" s="45"/>
      <c r="E126" s="45"/>
      <c r="F126" s="45" t="str">
        <f ca="1">IF(ISERROR(F123),"",F103)</f>
        <v>Credits</v>
      </c>
      <c r="G126" s="45" t="str">
        <f ca="1">IF(ISERROR(F123),"",G103)</f>
        <v>External Marks</v>
      </c>
      <c r="H126" s="45"/>
      <c r="I126" s="45" t="str">
        <f ca="1">IF(ISERROR(F123),"",I103)</f>
        <v>Sessional Marks</v>
      </c>
      <c r="J126" s="45"/>
      <c r="K126" s="45" t="str">
        <f ca="1">IF(ISERROR(F123),"",K103)</f>
        <v>Total Marks</v>
      </c>
      <c r="L126" s="45"/>
      <c r="M126" s="45" t="str">
        <f ca="1">IF(ISERROR(F123),"",M103)</f>
        <v>Grade</v>
      </c>
      <c r="N126" s="45" t="str">
        <f ca="1">IF(ISERROR(F123),"",N103)</f>
        <v>Grade Points</v>
      </c>
    </row>
    <row r="127" spans="1:24" ht="15" x14ac:dyDescent="0.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W127">
        <f ca="1">IF(ISNUMBER(MATCH($F$8,{"I","III","V","VII"},0)),10,10-INDEX(INDIRECT(_xlfn.TEXTJOIN("",TRUE,"SEM_",$G$8,"!",ADDRESS(6,4+$I$8*3+4),":",ADDRESS(5+$H$8,4+$I$8*3+4))),MATCH(INDIRECT(_xlfn.TEXTJOIN("",TRUE,"TC_",$F$8,"!",ADDRESS(ROW(I124),COLUMN(I124)))),INDIRECT(_xlfn.TEXTJOIN("",TRUE,"SEM_",$G$8,"!",ADDRESS(6,2),":",ADDRESS(5+$H$8,2))))))</f>
        <v>10</v>
      </c>
    </row>
    <row r="128" spans="1:24" ht="11.25" customHeight="1" x14ac:dyDescent="0.2">
      <c r="A128" s="7" t="str">
        <f ca="1">IF(ISERROR(F123),"",VLOOKUP(C123,INDIRECT($F$8),6+(O128-1)*3,0))</f>
        <v>CAT 004</v>
      </c>
      <c r="B128" s="41" t="str">
        <f ca="1">IF(ISERROR(F123),"",VLOOKUP(D123,INDIRECT($F$8),6+(O128-1)*3,0))</f>
        <v>Discrete Structure</v>
      </c>
      <c r="C128" s="41"/>
      <c r="D128" s="41"/>
      <c r="E128" s="41"/>
      <c r="F128" s="7">
        <f ca="1">IF(ISERROR(F123),"",VLOOKUP(E123,INDIRECT($F$8),6+(O128-1)*3,0))</f>
        <v>4</v>
      </c>
      <c r="G128" s="42" t="str">
        <f ca="1">IF(ISERROR(F123),"",_xlfn.TEXTJOIN("/",FALSE,P128,S128))</f>
        <v>47/100</v>
      </c>
      <c r="H128" s="42"/>
      <c r="I128" s="42" t="str">
        <f ca="1">IF(ISERROR(F123),"",_xlfn.TEXTJOIN("/",FALSE,Q128,T128))</f>
        <v>35/50</v>
      </c>
      <c r="J128" s="42"/>
      <c r="K128" s="42" t="str">
        <f ca="1">IF(ISERROR(F123),"",_xlfn.TEXTJOIN("/",FALSE,R128,U128))</f>
        <v>82/150</v>
      </c>
      <c r="L128" s="42"/>
      <c r="M128" s="7" t="str">
        <f ca="1">IF(ISERROR(F123),"",IF(ISTEXT(P128),IF(P128="A","Ab",IF(P128="D","Dt",IF(P128="UFM","UFM",IF(P128="NA","-")))),IF(AND(ISBLANK(P128),ISBLANK(R128)),"",IF(P128&lt;0.3*S128,"F",IF(ISBLANK(R128),"",IF(ISTEXT(R128),R128,IF(R128&gt;=0.95*U128,"O",IF(R128&gt;=0.9*U128,"A+",IF(R128&gt;=0.85*U128,"A",IF(R128&gt;=0.8*U128,"B+",IF(R128&gt;=0.75*U128,"B",IF(R128&gt;=0.7*U128,"C+",IF(R128&gt;=0.65*U128,"C",IF(R128&gt;=0.6*U128,"D+",IF(R128&gt;=0.55*U128,"D",IF(R128&gt;=0.5*U128,"E+",IF(R128&gt;=0.45*U128,"E",IF(R128&gt;=0.4*U128,"P",IF(R128&lt;0.4*U128,"F",R128)))))))))))))))))))</f>
        <v>E+</v>
      </c>
      <c r="N128" s="8">
        <f ca="1">INDEX($Z$2:$Z$18,MATCH(M128,$Y$2:$Y$18,0))</f>
        <v>5.5</v>
      </c>
      <c r="O128">
        <v>1</v>
      </c>
      <c r="P128" s="1">
        <f ca="1">IF(ISERROR(F123),"",IF(ISTEXT(VLOOKUP(B123,INDIRECT($F$8),6+(O128-1)*3)),(VLOOKUP(B123,INDIRECT($F$8),6+(O128-1)*3)),SUM(VLOOKUP(B123,INDIRECT($F$8),6+(O128-1)*3),IF(W142,W128,0))))</f>
        <v>47</v>
      </c>
      <c r="Q128" s="1">
        <f ca="1">IF(ISERROR(F123),"",VLOOKUP(B123,INDIRECT($F$8),7+(O128-1)*3))</f>
        <v>35</v>
      </c>
      <c r="R128" s="1">
        <f ca="1">IF(ISERROR(F123),"",SUM(P128:Q128))</f>
        <v>82</v>
      </c>
      <c r="S128" s="1">
        <f ca="1">IF(ISERROR(F123),"",VLOOKUP(A123,INDIRECT($F$8),6+(O128-1)*3))</f>
        <v>100</v>
      </c>
      <c r="T128" s="1">
        <f ca="1">IF(ISERROR(F123),"",VLOOKUP(A123,INDIRECT($F$8),7+(O128-1)*3))</f>
        <v>50</v>
      </c>
      <c r="U128" s="1">
        <f ca="1">IF(ISERROR(F123),"",VLOOKUP(A123,INDIRECT($F$8),8+(O128-1)*3))</f>
        <v>150</v>
      </c>
      <c r="V128" s="1" t="str">
        <f ca="1">IF(ISERROR(F123),"",IF(N128=0,A128,""))</f>
        <v/>
      </c>
      <c r="W128" s="1">
        <f ca="1">IF(ISERROR(F123),"",IF(ISTEXT(VLOOKUP(B123,INDIRECT($F$8),6+(O128-1)*3)),11,IF(VLOOKUP(B123,INDIRECT($F$8),6+(O128-1)*3)&lt;S128*0.3,IF(VLOOKUP(B123,INDIRECT($F$8),8+(O128-1)*3)&lt;U128*0.4,IF(AND(0.4*U128-VLOOKUP(B123,INDIRECT($F$8),8+(O128-1)*3)&lt;=5,0.3*S128-VLOOKUP(B123,INDIRECT($F$8),6+(O128-1)*3)&lt;=5),MAX(0.4*U128-VLOOKUP(B123,INDIRECT($F$8),8+(O128-1)*3),0.3*S128-VLOOKUP(B123,INDIRECT($F$8),6+(O128-1)*3)),11),IF(0.3*S128-VLOOKUP(B123,INDIRECT($F$8),6+(O128-1)*3)&lt;=5,0.3*S128-VLOOKUP(B123,INDIRECT($F$8),6+(O128-1)*3),11)),IF(VLOOKUP(B123,INDIRECT($F$8),8+(O128-1)*3)&lt;U128*0.4,IF(U128*0.4-VLOOKUP(B123,INDIRECT($F$8),8+(O128-1)*3)&lt;=5,U128*0.4-VLOOKUP(B123,INDIRECT($F$8),8+(O128-1)*3),11),0))))</f>
        <v>0</v>
      </c>
      <c r="X128" s="1" t="str">
        <f ca="1">IF(ISERROR(F123),"",IF(W128=0,"",_xlfn.TEXTJOIN("",FALSE," G+",W128," in ",A128)))</f>
        <v/>
      </c>
    </row>
    <row r="129" spans="1:24" ht="11.25" customHeight="1" x14ac:dyDescent="0.2">
      <c r="A129" s="7" t="str">
        <f ca="1">IF(ISERROR(F123),"",VLOOKUP(C123,INDIRECT($F$8),6+(O129-1)*3,0))</f>
        <v>CAT 005</v>
      </c>
      <c r="B129" s="41" t="str">
        <f ca="1">IF(ISERROR(F123),"",VLOOKUP(D123,INDIRECT($F$8),6+(O129-1)*3,0))</f>
        <v>Database Management System</v>
      </c>
      <c r="C129" s="41"/>
      <c r="D129" s="41"/>
      <c r="E129" s="41"/>
      <c r="F129" s="7">
        <f ca="1">IF(ISERROR(F123),"",VLOOKUP(E123,INDIRECT($F$8),6+(O129-1)*3,0))</f>
        <v>4</v>
      </c>
      <c r="G129" s="42" t="str">
        <f ca="1">IF(ISERROR(F123),"",_xlfn.TEXTJOIN("/",FALSE,P129,S129))</f>
        <v>64/100</v>
      </c>
      <c r="H129" s="42"/>
      <c r="I129" s="42" t="str">
        <f ca="1">IF(ISERROR(F123),"",_xlfn.TEXTJOIN("/",FALSE,Q129,T129))</f>
        <v>42/50</v>
      </c>
      <c r="J129" s="42"/>
      <c r="K129" s="42" t="str">
        <f ca="1">IF(ISERROR(F123),"",_xlfn.TEXTJOIN("/",FALSE,R129,U129))</f>
        <v>106/150</v>
      </c>
      <c r="L129" s="42"/>
      <c r="M129" s="7" t="str">
        <f ca="1">IF(ISERROR(F123),"",IF(ISTEXT(P129),IF(P129="A","Ab",IF(P129="D","Dt",IF(P129="UFM","UFM",IF(P129="NA","-")))),IF(AND(ISBLANK(P129),ISBLANK(R129)),"",IF(P129&lt;0.3*S129,"F",IF(ISBLANK(R129),"",IF(ISTEXT(R129),R129,IF(R129&gt;=0.95*U129,"O",IF(R129&gt;=0.9*U129,"A+",IF(R129&gt;=0.85*U129,"A",IF(R129&gt;=0.8*U129,"B+",IF(R129&gt;=0.75*U129,"B",IF(R129&gt;=0.7*U129,"C+",IF(R129&gt;=0.65*U129,"C",IF(R129&gt;=0.6*U129,"D+",IF(R129&gt;=0.55*U129,"D",IF(R129&gt;=0.5*U129,"E+",IF(R129&gt;=0.45*U129,"E",IF(R129&gt;=0.4*U129,"P",IF(R129&lt;0.4*U129,"F",R129)))))))))))))))))))</f>
        <v>C+</v>
      </c>
      <c r="N129" s="8">
        <f t="shared" ref="N129:N140" ca="1" si="10">INDEX($Z$2:$Z$18,MATCH(M129,$Y$2:$Y$18,0))</f>
        <v>7.5</v>
      </c>
      <c r="O129">
        <f>O128+1</f>
        <v>2</v>
      </c>
      <c r="P129" s="1">
        <f ca="1">IF(ISERROR(F123),"",IF(ISTEXT(VLOOKUP(B123,INDIRECT($F$8),6+(O129-1)*3)),(VLOOKUP(B123,INDIRECT($F$8),6+(O129-1)*3)),SUM(VLOOKUP(B123,INDIRECT($F$8),6+(O129-1)*3),IF(W142,W129,0))))</f>
        <v>64</v>
      </c>
      <c r="Q129" s="1">
        <f ca="1">IF(ISERROR(F123),"",VLOOKUP(B123,INDIRECT($F$8),7+(O129-1)*3))</f>
        <v>42</v>
      </c>
      <c r="R129" s="1">
        <f ca="1">IF(ISERROR(F123),"",SUM(P129:Q129))</f>
        <v>106</v>
      </c>
      <c r="S129" s="1">
        <f ca="1">IF(ISERROR(F123),"",VLOOKUP(A123,INDIRECT($F$8),6+(O129-1)*3))</f>
        <v>100</v>
      </c>
      <c r="T129" s="1">
        <f ca="1">IF(ISERROR(F123),"",VLOOKUP(A123,INDIRECT($F$8),7+(O129-1)*3))</f>
        <v>50</v>
      </c>
      <c r="U129" s="1">
        <f ca="1">IF(ISERROR(F123),"",VLOOKUP(A123,INDIRECT($F$8),8+(O129-1)*3))</f>
        <v>150</v>
      </c>
      <c r="V129" s="1" t="str">
        <f ca="1">IF(ISERROR(F123),"",IF(N129=0,A129,""))</f>
        <v/>
      </c>
      <c r="W129" s="1">
        <f ca="1">IF(ISERROR(F123),"",IF(ISTEXT(VLOOKUP(B123,INDIRECT($F$8),6+(O129-1)*3)),11,IF(VLOOKUP(B123,INDIRECT($F$8),6+(O129-1)*3)&lt;S129*0.3,IF(VLOOKUP(B123,INDIRECT($F$8),8+(O129-1)*3)&lt;U129*0.4,IF(AND(0.4*U129-VLOOKUP(B123,INDIRECT($F$8),8+(O129-1)*3)&lt;=5,0.3*S129-VLOOKUP(B123,INDIRECT($F$8),6+(O129-1)*3)&lt;=5),MAX(0.4*U129-VLOOKUP(B123,INDIRECT($F$8),8+(O129-1)*3),0.3*S129-VLOOKUP(B123,INDIRECT($F$8),6+(O129-1)*3)),11),IF(0.3*S129-VLOOKUP(B123,INDIRECT($F$8),6+(O129-1)*3)&lt;=5,0.3*S129-VLOOKUP(B123,INDIRECT($F$8),6+(O129-1)*3),11)),IF(VLOOKUP(B123,INDIRECT($F$8),8+(O129-1)*3)&lt;U129*0.4,IF(U129*0.4-VLOOKUP(B123,INDIRECT($F$8),8+(O129-1)*3)&lt;=5,U129*0.4-VLOOKUP(B123,INDIRECT($F$8),8+(O129-1)*3),11),0))))</f>
        <v>0</v>
      </c>
      <c r="X129" s="1" t="str">
        <f ca="1">IF(ISERROR(F123),"",IF(W129=0,"",_xlfn.TEXTJOIN("",FALSE," G+",W129," in ",A129)))</f>
        <v/>
      </c>
    </row>
    <row r="130" spans="1:24" ht="11.25" customHeight="1" x14ac:dyDescent="0.2">
      <c r="A130" s="7" t="str">
        <f ca="1">IF(ISERROR(F123),"",VLOOKUP(C123,INDIRECT($F$8),6+(O130-1)*3,0))</f>
        <v>CAT 006</v>
      </c>
      <c r="B130" s="41" t="str">
        <f ca="1">IF(ISERROR(F123),"",VLOOKUP(D123,INDIRECT($F$8),6+(O130-1)*3,0))</f>
        <v>Operating System</v>
      </c>
      <c r="C130" s="41"/>
      <c r="D130" s="41"/>
      <c r="E130" s="41"/>
      <c r="F130" s="7">
        <f ca="1">IF(ISERROR(F123),"",VLOOKUP(E123,INDIRECT($F$8),6+(O130-1)*3,0))</f>
        <v>4</v>
      </c>
      <c r="G130" s="42" t="str">
        <f ca="1">IF(ISERROR(F123),"",_xlfn.TEXTJOIN("/",FALSE,P130,S130))</f>
        <v>69/100</v>
      </c>
      <c r="H130" s="42"/>
      <c r="I130" s="42" t="str">
        <f ca="1">IF(ISERROR(F123),"",_xlfn.TEXTJOIN("/",FALSE,Q130,T130))</f>
        <v>43/50</v>
      </c>
      <c r="J130" s="42"/>
      <c r="K130" s="42" t="str">
        <f ca="1">IF(ISERROR(F123),"",_xlfn.TEXTJOIN("/",FALSE,R130,U130))</f>
        <v>112/150</v>
      </c>
      <c r="L130" s="42"/>
      <c r="M130" s="7" t="str">
        <f ca="1">IF(ISERROR(F123),"",IF(ISTEXT(P130),IF(P130="A","Ab",IF(P130="D","Dt",IF(P130="UFM","UFM",IF(P130="NA","-")))),IF(AND(ISBLANK(P130),ISBLANK(R130)),"",IF(P130&lt;0.3*S130,"F",IF(ISBLANK(R130),"",IF(ISTEXT(R130),R130,IF(R130&gt;=0.95*U130,"O",IF(R130&gt;=0.9*U130,"A+",IF(R130&gt;=0.85*U130,"A",IF(R130&gt;=0.8*U130,"B+",IF(R130&gt;=0.75*U130,"B",IF(R130&gt;=0.7*U130,"C+",IF(R130&gt;=0.65*U130,"C",IF(R130&gt;=0.6*U130,"D+",IF(R130&gt;=0.55*U130,"D",IF(R130&gt;=0.5*U130,"E+",IF(R130&gt;=0.45*U130,"E",IF(R130&gt;=0.4*U130,"P",IF(R130&lt;0.4*U130,"F",R130)))))))))))))))))))</f>
        <v>C+</v>
      </c>
      <c r="N130" s="8">
        <f t="shared" ca="1" si="10"/>
        <v>7.5</v>
      </c>
      <c r="O130">
        <f>O129+1</f>
        <v>3</v>
      </c>
      <c r="P130" s="1">
        <f ca="1">IF(ISERROR(F123),"",IF(ISTEXT(VLOOKUP(B123,INDIRECT($F$8),6+(O130-1)*3)),(VLOOKUP(B123,INDIRECT($F$8),6+(O130-1)*3)),SUM(VLOOKUP(B123,INDIRECT($F$8),6+(O130-1)*3),IF(W142,W130,0))))</f>
        <v>69</v>
      </c>
      <c r="Q130" s="1">
        <f ca="1">IF(ISERROR(F123),"",VLOOKUP(B123,INDIRECT($F$8),7+(O130-1)*3))</f>
        <v>43</v>
      </c>
      <c r="R130" s="1">
        <f ca="1">IF(ISERROR(F123),"",SUM(P130:Q130))</f>
        <v>112</v>
      </c>
      <c r="S130" s="1">
        <f ca="1">IF(ISERROR(F123),"",VLOOKUP(A123,INDIRECT($F$8),6+(O130-1)*3))</f>
        <v>100</v>
      </c>
      <c r="T130" s="1">
        <f ca="1">IF(ISERROR(F123),"",VLOOKUP(A123,INDIRECT($F$8),7+(O130-1)*3))</f>
        <v>50</v>
      </c>
      <c r="U130" s="1">
        <f ca="1">IF(ISERROR(F123),"",VLOOKUP(A123,INDIRECT($F$8),8+(O130-1)*3))</f>
        <v>150</v>
      </c>
      <c r="V130" s="1" t="str">
        <f ca="1">IF(ISERROR(F123),"",IF(N130=0,A130,""))</f>
        <v/>
      </c>
      <c r="W130" s="1">
        <f ca="1">IF(ISERROR(F123),"",IF(ISTEXT(VLOOKUP(B123,INDIRECT($F$8),6+(O130-1)*3)),11,IF(VLOOKUP(B123,INDIRECT($F$8),6+(O130-1)*3)&lt;S130*0.3,IF(VLOOKUP(B123,INDIRECT($F$8),8+(O130-1)*3)&lt;U130*0.4,IF(AND(0.4*U130-VLOOKUP(B123,INDIRECT($F$8),8+(O130-1)*3)&lt;=5,0.3*S130-VLOOKUP(B123,INDIRECT($F$8),6+(O130-1)*3)&lt;=5),MAX(0.4*U130-VLOOKUP(B123,INDIRECT($F$8),8+(O130-1)*3),0.3*S130-VLOOKUP(B123,INDIRECT($F$8),6+(O130-1)*3)),11),IF(0.3*S130-VLOOKUP(B123,INDIRECT($F$8),6+(O130-1)*3)&lt;=5,0.3*S130-VLOOKUP(B123,INDIRECT($F$8),6+(O130-1)*3),11)),IF(VLOOKUP(B123,INDIRECT($F$8),8+(O130-1)*3)&lt;U130*0.4,IF(U130*0.4-VLOOKUP(B123,INDIRECT($F$8),8+(O130-1)*3)&lt;=5,U130*0.4-VLOOKUP(B123,INDIRECT($F$8),8+(O130-1)*3),11),0))))</f>
        <v>0</v>
      </c>
      <c r="X130" s="1" t="str">
        <f ca="1">IF(ISERROR(F123),"",IF(W130=0,"",_xlfn.TEXTJOIN("",FALSE," G+",W130," in ",A130)))</f>
        <v/>
      </c>
    </row>
    <row r="131" spans="1:24" ht="11.25" customHeight="1" x14ac:dyDescent="0.2">
      <c r="A131" s="7" t="str">
        <f ca="1">IF(ISERROR(F123),"",VLOOKUP(C123,INDIRECT($F$8),6+(O131-1)*3,0))</f>
        <v>CAT 007</v>
      </c>
      <c r="B131" s="41" t="str">
        <f ca="1">IF(ISERROR(F123),"",VLOOKUP(D123,INDIRECT($F$8),6+(O131-1)*3,0))</f>
        <v>Computer Organization</v>
      </c>
      <c r="C131" s="41"/>
      <c r="D131" s="41"/>
      <c r="E131" s="41"/>
      <c r="F131" s="7">
        <f ca="1">IF(ISERROR(F123),"",VLOOKUP(E123,INDIRECT($F$8),6+(O131-1)*3,0))</f>
        <v>4</v>
      </c>
      <c r="G131" s="42" t="str">
        <f ca="1">IF(ISERROR(F123),"",_xlfn.TEXTJOIN("/",FALSE,P131,S131))</f>
        <v>46/100</v>
      </c>
      <c r="H131" s="42"/>
      <c r="I131" s="42" t="str">
        <f ca="1">IF(ISERROR(F123),"",_xlfn.TEXTJOIN("/",FALSE,Q131,T131))</f>
        <v>39/50</v>
      </c>
      <c r="J131" s="42"/>
      <c r="K131" s="42" t="str">
        <f ca="1">IF(ISERROR(F123),"",_xlfn.TEXTJOIN("/",FALSE,R131,U131))</f>
        <v>85/150</v>
      </c>
      <c r="L131" s="42"/>
      <c r="M131" s="7" t="str">
        <f ca="1">IF(ISERROR(F123),"",IF(ISTEXT(P131),IF(P131="A","Ab",IF(P131="D","Dt",IF(P131="UFM","UFM",IF(P131="NA","-")))),IF(AND(ISBLANK(P131),ISBLANK(R131)),"",IF(P131&lt;0.3*S131,"F",IF(ISBLANK(R131),"",IF(ISTEXT(R131),R131,IF(R131&gt;=0.95*U131,"O",IF(R131&gt;=0.9*U131,"A+",IF(R131&gt;=0.85*U131,"A",IF(R131&gt;=0.8*U131,"B+",IF(R131&gt;=0.75*U131,"B",IF(R131&gt;=0.7*U131,"C+",IF(R131&gt;=0.65*U131,"C",IF(R131&gt;=0.6*U131,"D+",IF(R131&gt;=0.55*U131,"D",IF(R131&gt;=0.5*U131,"E+",IF(R131&gt;=0.45*U131,"E",IF(R131&gt;=0.4*U131,"P",IF(R131&lt;0.4*U131,"F",R131)))))))))))))))))))</f>
        <v>D</v>
      </c>
      <c r="N131" s="8">
        <f t="shared" ca="1" si="10"/>
        <v>6</v>
      </c>
      <c r="O131">
        <f>O130+1</f>
        <v>4</v>
      </c>
      <c r="P131" s="1">
        <f ca="1">IF(ISERROR(F123),"",IF(ISTEXT(VLOOKUP(B123,INDIRECT($F$8),6+(O131-1)*3)),(VLOOKUP(B123,INDIRECT($F$8),6+(O131-1)*3)),SUM(VLOOKUP(B123,INDIRECT($F$8),6+(O131-1)*3),IF(W142,W131,0))))</f>
        <v>46</v>
      </c>
      <c r="Q131" s="1">
        <f ca="1">IF(ISERROR(F123),"",VLOOKUP(B123,INDIRECT($F$8),7+(O131-1)*3))</f>
        <v>39</v>
      </c>
      <c r="R131" s="1">
        <f ca="1">IF(ISERROR(F123),"",SUM(P131:Q131))</f>
        <v>85</v>
      </c>
      <c r="S131" s="1">
        <f ca="1">IF(ISERROR(F123),"",VLOOKUP(A123,INDIRECT($F$8),6+(O131-1)*3))</f>
        <v>100</v>
      </c>
      <c r="T131" s="1">
        <f ca="1">IF(ISERROR(F123),"",VLOOKUP(A123,INDIRECT($F$8),7+(O131-1)*3))</f>
        <v>50</v>
      </c>
      <c r="U131" s="1">
        <f ca="1">IF(ISERROR(F123),"",VLOOKUP(A123,INDIRECT($F$8),8+(O131-1)*3))</f>
        <v>150</v>
      </c>
      <c r="V131" s="1" t="str">
        <f ca="1">IF(ISERROR(F123),"",IF(N131=0,A131,""))</f>
        <v/>
      </c>
      <c r="W131" s="1">
        <f ca="1">IF(ISERROR(F123),"",IF(ISTEXT(VLOOKUP(B123,INDIRECT($F$8),6+(O131-1)*3)),11,IF(VLOOKUP(B123,INDIRECT($F$8),6+(O131-1)*3)&lt;S131*0.3,IF(VLOOKUP(B123,INDIRECT($F$8),8+(O131-1)*3)&lt;U131*0.4,IF(AND(0.4*U131-VLOOKUP(B123,INDIRECT($F$8),8+(O131-1)*3)&lt;=5,0.3*S131-VLOOKUP(B123,INDIRECT($F$8),6+(O131-1)*3)&lt;=5),MAX(0.4*U131-VLOOKUP(B123,INDIRECT($F$8),8+(O131-1)*3),0.3*S131-VLOOKUP(B123,INDIRECT($F$8),6+(O131-1)*3)),11),IF(0.3*S131-VLOOKUP(B123,INDIRECT($F$8),6+(O131-1)*3)&lt;=5,0.3*S131-VLOOKUP(B123,INDIRECT($F$8),6+(O131-1)*3),11)),IF(VLOOKUP(B123,INDIRECT($F$8),8+(O131-1)*3)&lt;U131*0.4,IF(U131*0.4-VLOOKUP(B123,INDIRECT($F$8),8+(O131-1)*3)&lt;=5,U131*0.4-VLOOKUP(B123,INDIRECT($F$8),8+(O131-1)*3),11),0))))</f>
        <v>0</v>
      </c>
      <c r="X131" s="1" t="str">
        <f ca="1">IF(ISERROR(F123),"",IF(W131=0,"",_xlfn.TEXTJOIN("",FALSE," G+",W131," in ",A131)))</f>
        <v/>
      </c>
    </row>
    <row r="132" spans="1:24" ht="11.25" customHeight="1" x14ac:dyDescent="0.2">
      <c r="A132" s="7" t="str">
        <f ca="1">IF(ISERROR(F123),"",VLOOKUP(C123,INDIRECT($F$8),6+(O132-1)*3,0))</f>
        <v>AHT 303</v>
      </c>
      <c r="B132" s="41" t="str">
        <f ca="1">IF(ISERROR(F123),"",VLOOKUP(D123,INDIRECT($F$8),6+(O132-1)*3,0))</f>
        <v>Technical Communication Skills</v>
      </c>
      <c r="C132" s="41"/>
      <c r="D132" s="41"/>
      <c r="E132" s="41"/>
      <c r="F132" s="7">
        <f ca="1">IF(ISERROR(F123),"",VLOOKUP(E123,INDIRECT($F$8),6+(O132-1)*3,0))</f>
        <v>4</v>
      </c>
      <c r="G132" s="42" t="str">
        <f ca="1">IF(ISERROR(F123),"",_xlfn.TEXTJOIN("/",FALSE,P132,S132))</f>
        <v>85/100</v>
      </c>
      <c r="H132" s="42"/>
      <c r="I132" s="42" t="str">
        <f ca="1">IF(ISERROR(F123),"",_xlfn.TEXTJOIN("/",FALSE,Q132,T132))</f>
        <v>35/50</v>
      </c>
      <c r="J132" s="42"/>
      <c r="K132" s="42" t="str">
        <f ca="1">IF(ISERROR(F123),"",_xlfn.TEXTJOIN("/",FALSE,R132,U132))</f>
        <v>120/150</v>
      </c>
      <c r="L132" s="42"/>
      <c r="M132" s="7" t="str">
        <f ca="1">IF(ISERROR(F123),"",IF(ISTEXT(P132),IF(P132="A","Ab",IF(P132="D","Dt",IF(P132="UFM","UFM",IF(P132="NA","-")))),IF(AND(ISBLANK(P132),ISBLANK(R132)),"",IF(P132&lt;0.3*S132,"F",IF(ISBLANK(R132),"",IF(ISTEXT(R132),R132,IF(R132&gt;=0.95*U132,"O",IF(R132&gt;=0.9*U132,"A+",IF(R132&gt;=0.85*U132,"A",IF(R132&gt;=0.8*U132,"B+",IF(R132&gt;=0.75*U132,"B",IF(R132&gt;=0.7*U132,"C+",IF(R132&gt;=0.65*U132,"C",IF(R132&gt;=0.6*U132,"D+",IF(R132&gt;=0.55*U132,"D",IF(R132&gt;=0.5*U132,"E+",IF(R132&gt;=0.45*U132,"E",IF(R132&gt;=0.4*U132,"P",IF(R132&lt;0.4*U132,"F",R132)))))))))))))))))))</f>
        <v>B+</v>
      </c>
      <c r="N132" s="8">
        <f t="shared" ca="1" si="10"/>
        <v>8.5</v>
      </c>
      <c r="O132">
        <f t="shared" ref="O132:O141" si="11">O131+1</f>
        <v>5</v>
      </c>
      <c r="P132" s="1">
        <f ca="1">IF(ISERROR(F123),"",IF(ISTEXT(VLOOKUP(B123,INDIRECT($F$8),6+(O132-1)*3)),(VLOOKUP(B123,INDIRECT($F$8),6+(O132-1)*3)),SUM(VLOOKUP(B123,INDIRECT($F$8),6+(O132-1)*3),IF(W142,W132,0))))</f>
        <v>85</v>
      </c>
      <c r="Q132" s="1">
        <f ca="1">IF(ISERROR(F123),"",VLOOKUP(B123,INDIRECT($F$8),7+(O132-1)*3))</f>
        <v>35</v>
      </c>
      <c r="R132" s="1">
        <f ca="1">IF(ISERROR(F123),"",SUM(P132:Q132))</f>
        <v>120</v>
      </c>
      <c r="S132" s="1">
        <f ca="1">IF(ISERROR(F123),"",VLOOKUP(A123,INDIRECT($F$8),6+(O132-1)*3))</f>
        <v>100</v>
      </c>
      <c r="T132" s="1">
        <f ca="1">IF(ISERROR(F123),"",VLOOKUP(A123,INDIRECT($F$8),7+(O132-1)*3))</f>
        <v>50</v>
      </c>
      <c r="U132" s="1">
        <f ca="1">IF(ISERROR(F123),"",VLOOKUP(A123,INDIRECT($F$8),8+(O132-1)*3))</f>
        <v>150</v>
      </c>
      <c r="V132" s="1" t="str">
        <f ca="1">IF(ISERROR(F123),"",IF(N132=0,A132,""))</f>
        <v/>
      </c>
      <c r="W132" s="1">
        <f ca="1">IF(ISERROR(F123),"",IF(ISTEXT(VLOOKUP(B123,INDIRECT($F$8),6+(O132-1)*3)),11,IF(VLOOKUP(B123,INDIRECT($F$8),6+(O132-1)*3)&lt;S132*0.3,IF(VLOOKUP(B123,INDIRECT($F$8),8+(O132-1)*3)&lt;U132*0.4,IF(AND(0.4*U132-VLOOKUP(B123,INDIRECT($F$8),8+(O132-1)*3)&lt;=5,0.3*S132-VLOOKUP(B123,INDIRECT($F$8),6+(O132-1)*3)&lt;=5),MAX(0.4*U132-VLOOKUP(B123,INDIRECT($F$8),8+(O132-1)*3),0.3*S132-VLOOKUP(B123,INDIRECT($F$8),6+(O132-1)*3)),11),IF(0.3*S132-VLOOKUP(B123,INDIRECT($F$8),6+(O132-1)*3)&lt;=5,0.3*S132-VLOOKUP(B123,INDIRECT($F$8),6+(O132-1)*3),11)),IF(VLOOKUP(B123,INDIRECT($F$8),8+(O132-1)*3)&lt;U132*0.4,IF(U132*0.4-VLOOKUP(B123,INDIRECT($F$8),8+(O132-1)*3)&lt;=5,U132*0.4-VLOOKUP(B123,INDIRECT($F$8),8+(O132-1)*3),11),0))))</f>
        <v>0</v>
      </c>
      <c r="X132" s="1" t="str">
        <f ca="1">IF(ISERROR(F123),"",IF(W132=0,"",_xlfn.TEXTJOIN("",FALSE," G+",W132," in ",A132)))</f>
        <v/>
      </c>
    </row>
    <row r="133" spans="1:24" ht="11.25" customHeight="1" x14ac:dyDescent="0.2">
      <c r="A133" s="7" t="str">
        <f ca="1">IF(ISERROR(F123),"",VLOOKUP(C123,INDIRECT($F$8),6+(O133-1)*3,0))</f>
        <v>CAT 008</v>
      </c>
      <c r="B133" s="41" t="str">
        <f ca="1">IF(ISERROR(F123),"",VLOOKUP(D123,INDIRECT($F$8),6+(O133-1)*3,0))</f>
        <v>Python Programming ($)</v>
      </c>
      <c r="C133" s="41"/>
      <c r="D133" s="41"/>
      <c r="E133" s="41"/>
      <c r="F133" s="7">
        <f ca="1">IF(ISERROR(F123),"",VLOOKUP(E123,INDIRECT($F$8),6+(O133-1)*3,0))</f>
        <v>0</v>
      </c>
      <c r="G133" s="42" t="str">
        <f ca="1">IF(ISERROR(F123),"",_xlfn.TEXTJOIN("/",FALSE,P133,S133))</f>
        <v>23/30</v>
      </c>
      <c r="H133" s="42"/>
      <c r="I133" s="42" t="str">
        <f ca="1">IF(ISERROR(F123),"",_xlfn.TEXTJOIN("/",FALSE,Q133,T133))</f>
        <v>11/20</v>
      </c>
      <c r="J133" s="42"/>
      <c r="K133" s="42" t="str">
        <f ca="1">IF(ISERROR(F123),"",_xlfn.TEXTJOIN("/",FALSE,R133,U133))</f>
        <v>34/50</v>
      </c>
      <c r="L133" s="42"/>
      <c r="M133" s="7" t="str">
        <f ca="1">IF(ISERROR(F123),"",IF(ISTEXT(P133),IF(P133="A","Ab",IF(P133="D","Dt",IF(P133="UFM","UFM",IF(P133="NA","-")))),IF(AND(ISBLANK(P133),ISBLANK(R133)),"",IF(P133&lt;0.3*S133,"F",IF(ISBLANK(R133),"",IF(ISTEXT(R133),R133,IF(R133&gt;=0.95*U133,"O",IF(R133&gt;=0.9*U133,"A+",IF(R133&gt;=0.85*U133,"A",IF(R133&gt;=0.8*U133,"B+",IF(R133&gt;=0.75*U133,"B",IF(R133&gt;=0.7*U133,"C+",IF(R133&gt;=0.65*U133,"C",IF(R133&gt;=0.6*U133,"D+",IF(R133&gt;=0.55*U133,"D",IF(R133&gt;=0.5*U133,"E+",IF(R133&gt;=0.45*U133,"E",IF(R133&gt;=0.4*U133,"P",IF(R133&lt;0.4*U133,"F",R133)))))))))))))))))))</f>
        <v>C</v>
      </c>
      <c r="N133" s="8">
        <f t="shared" ca="1" si="10"/>
        <v>7</v>
      </c>
      <c r="O133">
        <f t="shared" si="11"/>
        <v>6</v>
      </c>
      <c r="P133" s="1">
        <f ca="1">IF(ISERROR(F123),"",IF(ISTEXT(VLOOKUP(B123,INDIRECT($F$8),6+(O133-1)*3)),(VLOOKUP(B123,INDIRECT($F$8),6+(O133-1)*3)),SUM(VLOOKUP(B123,INDIRECT($F$8),6+(O133-1)*3),IF(W142,W133,0))))</f>
        <v>23</v>
      </c>
      <c r="Q133" s="1">
        <f ca="1">IF(ISERROR(F123),"",VLOOKUP(B123,INDIRECT($F$8),7+(O133-1)*3))</f>
        <v>11</v>
      </c>
      <c r="R133" s="1">
        <f ca="1">IF(ISERROR(F123),"",SUM(P133:Q133))</f>
        <v>34</v>
      </c>
      <c r="S133" s="1">
        <f ca="1">IF(ISERROR(F123),"",VLOOKUP(A123,INDIRECT($F$8),6+(O133-1)*3))</f>
        <v>30</v>
      </c>
      <c r="T133" s="1">
        <f ca="1">IF(ISERROR(F123),"",VLOOKUP(A123,INDIRECT($F$8),7+(O133-1)*3))</f>
        <v>20</v>
      </c>
      <c r="U133" s="1">
        <f ca="1">IF(ISERROR(F123),"",VLOOKUP(A123,INDIRECT($F$8),8+(O133-1)*3))</f>
        <v>50</v>
      </c>
      <c r="V133" s="1" t="str">
        <f ca="1">IF(ISERROR(F123),"",IF(N133=0,A133,""))</f>
        <v/>
      </c>
      <c r="W133" s="1">
        <f ca="1">IF(ISERROR(F123),"",IF(ISTEXT(VLOOKUP(B123,INDIRECT($F$8),6+(O133-1)*3)),11,IF(VLOOKUP(B123,INDIRECT($F$8),6+(O133-1)*3)&lt;S133*0.3,IF(VLOOKUP(B123,INDIRECT($F$8),8+(O133-1)*3)&lt;U133*0.4,IF(AND(0.4*U133-VLOOKUP(B123,INDIRECT($F$8),8+(O133-1)*3)&lt;=5,0.3*S133-VLOOKUP(B123,INDIRECT($F$8),6+(O133-1)*3)&lt;=5),MAX(0.4*U133-VLOOKUP(B123,INDIRECT($F$8),8+(O133-1)*3),0.3*S133-VLOOKUP(B123,INDIRECT($F$8),6+(O133-1)*3)),11),IF(0.3*S133-VLOOKUP(B123,INDIRECT($F$8),6+(O133-1)*3)&lt;=5,0.3*S133-VLOOKUP(B123,INDIRECT($F$8),6+(O133-1)*3),11)),IF(VLOOKUP(B123,INDIRECT($F$8),8+(O133-1)*3)&lt;U133*0.4,IF(U133*0.4-VLOOKUP(B123,INDIRECT($F$8),8+(O133-1)*3)&lt;=5,U133*0.4-VLOOKUP(B123,INDIRECT($F$8),8+(O133-1)*3),11),0))))</f>
        <v>0</v>
      </c>
      <c r="X133" s="1" t="str">
        <f ca="1">IF(ISERROR(F123),"",IF(W133=0,"",_xlfn.TEXTJOIN("",FALSE," G+",W133," in ",A133)))</f>
        <v/>
      </c>
    </row>
    <row r="134" spans="1:24" ht="11.25" customHeight="1" x14ac:dyDescent="0.2">
      <c r="A134" s="7" t="str">
        <f ca="1">IF(ISERROR(F123),"",VLOOKUP(C123,INDIRECT($F$8),6+(O134-1)*3,0))</f>
        <v>CAT 001</v>
      </c>
      <c r="B134" s="41" t="str">
        <f ca="1">IF(ISERROR(F123),"",VLOOKUP(D123,INDIRECT($F$8),6+(O134-1)*3,0))</f>
        <v>Introduction of Information Technology ($)</v>
      </c>
      <c r="C134" s="41"/>
      <c r="D134" s="41"/>
      <c r="E134" s="41"/>
      <c r="F134" s="7">
        <f ca="1">IF(ISERROR(F123),"",VLOOKUP(E123,INDIRECT($F$8),6+(O134-1)*3,0))</f>
        <v>0</v>
      </c>
      <c r="G134" s="42" t="str">
        <f ca="1">IF(ISERROR(F123),"",_xlfn.TEXTJOIN("/",FALSE,P134,S134))</f>
        <v>NA/30</v>
      </c>
      <c r="H134" s="42"/>
      <c r="I134" s="42" t="str">
        <f ca="1">IF(ISERROR(F123),"",_xlfn.TEXTJOIN("/",FALSE,Q134,T134))</f>
        <v>NA/20</v>
      </c>
      <c r="J134" s="42"/>
      <c r="K134" s="42" t="str">
        <f ca="1">IF(ISERROR(F123),"",_xlfn.TEXTJOIN("/",FALSE,R134,U134))</f>
        <v>0/50</v>
      </c>
      <c r="L134" s="42"/>
      <c r="M134" s="7" t="str">
        <f ca="1">IF(ISERROR(F123),"",IF(ISTEXT(P134),IF(P134="A","Ab",IF(P134="D","Dt",IF(P134="UFM","UFM",IF(P134="NA","-")))),IF(AND(ISBLANK(P134),ISBLANK(R134)),"",IF(P134&lt;0.3*S134,"F",IF(ISBLANK(R134),"",IF(ISTEXT(R134),R134,IF(R134&gt;=0.95*U134,"O",IF(R134&gt;=0.9*U134,"A+",IF(R134&gt;=0.85*U134,"A",IF(R134&gt;=0.8*U134,"B+",IF(R134&gt;=0.75*U134,"B",IF(R134&gt;=0.7*U134,"C+",IF(R134&gt;=0.65*U134,"C",IF(R134&gt;=0.6*U134,"D+",IF(R134&gt;=0.55*U134,"D",IF(R134&gt;=0.5*U134,"E+",IF(R134&gt;=0.45*U134,"E",IF(R134&gt;=0.4*U134,"P",IF(R134&lt;0.4*U134,"F",R134)))))))))))))))))))</f>
        <v>-</v>
      </c>
      <c r="N134" s="8" t="str">
        <f t="shared" ca="1" si="10"/>
        <v>-</v>
      </c>
      <c r="O134">
        <f t="shared" si="11"/>
        <v>7</v>
      </c>
      <c r="P134" s="1" t="str">
        <f ca="1">IF(ISERROR(F123),"",IF(ISTEXT(VLOOKUP(B123,INDIRECT($F$8),6+(O134-1)*3)),(VLOOKUP(B123,INDIRECT($F$8),6+(O134-1)*3)),SUM(VLOOKUP(B123,INDIRECT($F$8),6+(O134-1)*3),IF(W142,W134,0))))</f>
        <v>NA</v>
      </c>
      <c r="Q134" s="1" t="str">
        <f ca="1">IF(ISERROR(F123),"",VLOOKUP(B123,INDIRECT($F$8),7+(O134-1)*3))</f>
        <v>NA</v>
      </c>
      <c r="R134" s="1">
        <f ca="1">IF(ISERROR(F123),"",SUM(P134:Q134))</f>
        <v>0</v>
      </c>
      <c r="S134" s="1">
        <f ca="1">IF(ISERROR(F123),"",VLOOKUP(A123,INDIRECT($F$8),6+(O134-1)*3))</f>
        <v>30</v>
      </c>
      <c r="T134" s="1">
        <f ca="1">IF(ISERROR(F123),"",VLOOKUP(A123,INDIRECT($F$8),7+(O134-1)*3))</f>
        <v>20</v>
      </c>
      <c r="U134" s="1">
        <f ca="1">IF(ISERROR(F123),"",VLOOKUP(A123,INDIRECT($F$8),8+(O134-1)*3))</f>
        <v>50</v>
      </c>
      <c r="V134" s="1" t="str">
        <f ca="1">IF(ISERROR(F123),"",IF(N134=0,A134,""))</f>
        <v/>
      </c>
      <c r="W134" s="1">
        <f ca="1">IF(ISERROR(F123),"",IF(ISTEXT(VLOOKUP(B123,INDIRECT($F$8),6+(O134-1)*3)),11,IF(VLOOKUP(B123,INDIRECT($F$8),6+(O134-1)*3)&lt;S134*0.3,IF(VLOOKUP(B123,INDIRECT($F$8),8+(O134-1)*3)&lt;U134*0.4,IF(AND(0.4*U134-VLOOKUP(B123,INDIRECT($F$8),8+(O134-1)*3)&lt;=5,0.3*S134-VLOOKUP(B123,INDIRECT($F$8),6+(O134-1)*3)&lt;=5),MAX(0.4*U134-VLOOKUP(B123,INDIRECT($F$8),8+(O134-1)*3),0.3*S134-VLOOKUP(B123,INDIRECT($F$8),6+(O134-1)*3)),11),IF(0.3*S134-VLOOKUP(B123,INDIRECT($F$8),6+(O134-1)*3)&lt;=5,0.3*S134-VLOOKUP(B123,INDIRECT($F$8),6+(O134-1)*3),11)),IF(VLOOKUP(B123,INDIRECT($F$8),8+(O134-1)*3)&lt;U134*0.4,IF(U134*0.4-VLOOKUP(B123,INDIRECT($F$8),8+(O134-1)*3)&lt;=5,U134*0.4-VLOOKUP(B123,INDIRECT($F$8),8+(O134-1)*3),11),0))))</f>
        <v>11</v>
      </c>
      <c r="X134" s="1" t="str">
        <f ca="1">IF(ISERROR(F123),"",IF(W134=0,"",_xlfn.TEXTJOIN("",FALSE," G+",W134," in ",A134)))</f>
        <v xml:space="preserve"> G+11 in CAT 001</v>
      </c>
    </row>
    <row r="135" spans="1:24" ht="11.25" customHeight="1" x14ac:dyDescent="0.2">
      <c r="A135" s="7" t="str">
        <f ca="1">IF(ISERROR(F123),"",VLOOKUP(C123,INDIRECT($F$8),6+(O135-1)*3,0))</f>
        <v>CAT 002</v>
      </c>
      <c r="B135" s="41" t="str">
        <f ca="1">IF(ISERROR(F123),"",VLOOKUP(D123,INDIRECT($F$8),6+(O135-1)*3,0))</f>
        <v>Programming Fundamentals with "C" ($)</v>
      </c>
      <c r="C135" s="41"/>
      <c r="D135" s="41"/>
      <c r="E135" s="41"/>
      <c r="F135" s="7">
        <f ca="1">IF(ISERROR(F123),"",VLOOKUP(E123,INDIRECT($F$8),6+(O135-1)*3,0))</f>
        <v>0</v>
      </c>
      <c r="G135" s="42" t="str">
        <f ca="1">IF(ISERROR(F123),"",_xlfn.TEXTJOIN("/",FALSE,P135,S135))</f>
        <v>NA/30</v>
      </c>
      <c r="H135" s="42"/>
      <c r="I135" s="42" t="str">
        <f ca="1">IF(ISERROR(F123),"",_xlfn.TEXTJOIN("/",FALSE,Q135,T135))</f>
        <v>NA/20</v>
      </c>
      <c r="J135" s="42"/>
      <c r="K135" s="42" t="str">
        <f ca="1">IF(ISERROR(F123),"",_xlfn.TEXTJOIN("/",FALSE,R135,U135))</f>
        <v>0/50</v>
      </c>
      <c r="L135" s="42"/>
      <c r="M135" s="7" t="str">
        <f ca="1">IF(ISERROR(F123),"",IF(ISTEXT(P135),IF(P135="A","Ab",IF(P135="D","Dt",IF(P135="UFM","UFM",IF(P135="NA","-")))),IF(AND(ISBLANK(P135),ISBLANK(R135)),"",IF(P135&lt;0.3*S135,"F",IF(ISBLANK(R135),"",IF(ISTEXT(R135),R135,IF(R135&gt;=0.95*U135,"O",IF(R135&gt;=0.9*U135,"A+",IF(R135&gt;=0.85*U135,"A",IF(R135&gt;=0.8*U135,"B+",IF(R135&gt;=0.75*U135,"B",IF(R135&gt;=0.7*U135,"C+",IF(R135&gt;=0.65*U135,"C",IF(R135&gt;=0.6*U135,"D+",IF(R135&gt;=0.55*U135,"D",IF(R135&gt;=0.5*U135,"E+",IF(R135&gt;=0.45*U135,"E",IF(R135&gt;=0.4*U135,"P",IF(R135&lt;0.4*U135,"F",R135)))))))))))))))))))</f>
        <v>-</v>
      </c>
      <c r="N135" s="8" t="str">
        <f t="shared" ca="1" si="10"/>
        <v>-</v>
      </c>
      <c r="O135">
        <f t="shared" si="11"/>
        <v>8</v>
      </c>
      <c r="P135" s="1" t="str">
        <f ca="1">IF(ISERROR(F123),"",IF(ISTEXT(VLOOKUP(B123,INDIRECT($F$8),6+(O135-1)*3)),(VLOOKUP(B123,INDIRECT($F$8),6+(O135-1)*3)),SUM(VLOOKUP(B123,INDIRECT($F$8),6+(O135-1)*3),IF(W142,W135,0))))</f>
        <v>NA</v>
      </c>
      <c r="Q135" s="1" t="str">
        <f ca="1">IF(ISERROR(F123),"",VLOOKUP(B123,INDIRECT($F$8),7+(O135-1)*3))</f>
        <v>NA</v>
      </c>
      <c r="R135" s="1">
        <f ca="1">IF(ISERROR(F123),"",SUM(P135:Q135))</f>
        <v>0</v>
      </c>
      <c r="S135" s="1">
        <f ca="1">IF(ISERROR(F123),"",VLOOKUP(A123,INDIRECT($F$8),6+(O135-1)*3))</f>
        <v>30</v>
      </c>
      <c r="T135" s="1">
        <f ca="1">IF(ISERROR(F123),"",VLOOKUP(A123,INDIRECT($F$8),7+(O135-1)*3))</f>
        <v>20</v>
      </c>
      <c r="U135" s="1">
        <f ca="1">IF(ISERROR(F123),"",VLOOKUP(A123,INDIRECT($F$8),8+(O135-1)*3))</f>
        <v>50</v>
      </c>
      <c r="V135" s="1" t="str">
        <f ca="1">IF(ISERROR(F123),"",IF(N135=0,A135,""))</f>
        <v/>
      </c>
      <c r="W135" s="1">
        <f ca="1">IF(ISERROR(F123),"",IF(ISTEXT(VLOOKUP(B123,INDIRECT($F$8),6+(O135-1)*3)),11,IF(VLOOKUP(B123,INDIRECT($F$8),6+(O135-1)*3)&lt;S135*0.3,IF(VLOOKUP(B123,INDIRECT($F$8),8+(O135-1)*3)&lt;U135*0.4,IF(AND(0.4*U135-VLOOKUP(B123,INDIRECT($F$8),8+(O135-1)*3)&lt;=5,0.3*S135-VLOOKUP(B123,INDIRECT($F$8),6+(O135-1)*3)&lt;=5),MAX(0.4*U135-VLOOKUP(B123,INDIRECT($F$8),8+(O135-1)*3),0.3*S135-VLOOKUP(B123,INDIRECT($F$8),6+(O135-1)*3)),11),IF(0.3*S135-VLOOKUP(B123,INDIRECT($F$8),6+(O135-1)*3)&lt;=5,0.3*S135-VLOOKUP(B123,INDIRECT($F$8),6+(O135-1)*3),11)),IF(VLOOKUP(B123,INDIRECT($F$8),8+(O135-1)*3)&lt;U135*0.4,IF(U135*0.4-VLOOKUP(B123,INDIRECT($F$8),8+(O135-1)*3)&lt;=5,U135*0.4-VLOOKUP(B123,INDIRECT($F$8),8+(O135-1)*3),11),0))))</f>
        <v>11</v>
      </c>
      <c r="X135" s="1" t="str">
        <f ca="1">IF(ISERROR(F123),"",IF(W135=0,"",_xlfn.TEXTJOIN("",FALSE," G+",W135," in ",A135)))</f>
        <v xml:space="preserve"> G+11 in CAT 002</v>
      </c>
    </row>
    <row r="136" spans="1:24" ht="11.25" customHeight="1" x14ac:dyDescent="0.2">
      <c r="A136" s="7" t="str">
        <f ca="1">IF(ISERROR(F123),"",VLOOKUP(C123,INDIRECT($F$8),6+(O136-1)*3,0))</f>
        <v>CAT 003</v>
      </c>
      <c r="B136" s="41" t="str">
        <f ca="1">IF(ISERROR(F123),"",VLOOKUP(D123,INDIRECT($F$8),6+(O136-1)*3-Z136,0))</f>
        <v>Fundamental of Web Technology ($)</v>
      </c>
      <c r="C136" s="41"/>
      <c r="D136" s="41"/>
      <c r="E136" s="41"/>
      <c r="F136" s="7">
        <f ca="1">IF(ISERROR(F123),"",VLOOKUP(E123,INDIRECT($F$8),6+(O136-1)*3,0))</f>
        <v>0</v>
      </c>
      <c r="G136" s="42" t="str">
        <f ca="1">IF(ISERROR(F123),"",_xlfn.TEXTJOIN("/",FALSE,P136,S136))</f>
        <v>NA/30</v>
      </c>
      <c r="H136" s="42"/>
      <c r="I136" s="42" t="str">
        <f ca="1">IF(ISERROR(F123),"",_xlfn.TEXTJOIN("/",FALSE,Q136,T136))</f>
        <v>NA/20</v>
      </c>
      <c r="J136" s="42"/>
      <c r="K136" s="42" t="str">
        <f ca="1">IF(ISERROR(F123),"",_xlfn.TEXTJOIN("/",FALSE,R136,U136))</f>
        <v>0/50</v>
      </c>
      <c r="L136" s="42"/>
      <c r="M136" s="7" t="str">
        <f ca="1">IF(ISERROR(F123),"",IF(ISTEXT(P136),IF(P136="A","Ab",IF(P136="D","Dt",IF(P136="UFM","UFM",IF(P136="NA","-")))),IF(AND(ISBLANK(P136),ISBLANK(R136)),"",IF(P136&lt;0.3*S136,"F",IF(ISBLANK(R136),"",IF(ISTEXT(R136),R136,IF(R136&gt;=0.95*U136,"O",IF(R136&gt;=0.9*U136,"A+",IF(R136&gt;=0.85*U136,"A",IF(R136&gt;=0.8*U136,"B+",IF(R136&gt;=0.75*U136,"B",IF(R136&gt;=0.7*U136,"C+",IF(R136&gt;=0.65*U136,"C",IF(R136&gt;=0.6*U136,"D+",IF(R136&gt;=0.55*U136,"D",IF(R136&gt;=0.5*U136,"E+",IF(R136&gt;=0.45*U136,"E",IF(R136&gt;=0.4*U136,"P",IF(R136&lt;0.4*U136,"F",R136)))))))))))))))))))</f>
        <v>-</v>
      </c>
      <c r="N136" s="8" t="str">
        <f t="shared" ca="1" si="10"/>
        <v>-</v>
      </c>
      <c r="O136">
        <f t="shared" si="11"/>
        <v>9</v>
      </c>
      <c r="P136" s="1" t="str">
        <f ca="1">IF(ISERROR(F123),"",IF(ISTEXT(VLOOKUP(B123,INDIRECT($F$8),6+(O136-1)*3)),(VLOOKUP(B123,INDIRECT($F$8),6+(O136-1)*3)),SUM(VLOOKUP(B123,INDIRECT($F$8),6+(O136-1)*3),IF(W142,W136,0))))</f>
        <v>NA</v>
      </c>
      <c r="Q136" s="1" t="str">
        <f ca="1">IF(ISERROR(F123),"",VLOOKUP(B123,INDIRECT($F$8),7+(O136-1)*3))</f>
        <v>NA</v>
      </c>
      <c r="R136" s="1">
        <f ca="1">IF(ISERROR(F123),"",SUM(P136:Q136))</f>
        <v>0</v>
      </c>
      <c r="S136" s="1">
        <f ca="1">IF(ISERROR(F123),"",VLOOKUP(A123,INDIRECT($F$8),6+(O136-1)*3))</f>
        <v>30</v>
      </c>
      <c r="T136" s="1">
        <f ca="1">IF(ISERROR(F123),"",VLOOKUP(A123,INDIRECT($F$8),7+(O136-1)*3))</f>
        <v>20</v>
      </c>
      <c r="U136" s="1">
        <f ca="1">IF(ISERROR(F123),"",VLOOKUP(A123,INDIRECT($F$8),8+(O136-1)*3))</f>
        <v>50</v>
      </c>
      <c r="V136" s="1" t="str">
        <f ca="1">IF(ISERROR(F123),"",IF(N136=0,A136,""))</f>
        <v/>
      </c>
      <c r="W136" s="1">
        <f ca="1">IF(ISERROR(F123),"",IF(ISTEXT(VLOOKUP(B123,INDIRECT($F$8),6+(O136-1)*3)),11,IF(VLOOKUP(B123,INDIRECT($F$8),6+(O136-1)*3)&lt;S136*0.3,IF(VLOOKUP(B123,INDIRECT($F$8),8+(O136-1)*3)&lt;U136*0.4,IF(AND(0.4*U136-VLOOKUP(B123,INDIRECT($F$8),8+(O136-1)*3)&lt;=5,0.3*S136-VLOOKUP(B123,INDIRECT($F$8),6+(O136-1)*3)&lt;=5),MAX(0.4*U136-VLOOKUP(B123,INDIRECT($F$8),8+(O136-1)*3),0.3*S136-VLOOKUP(B123,INDIRECT($F$8),6+(O136-1)*3)),11),IF(0.3*S136-VLOOKUP(B123,INDIRECT($F$8),6+(O136-1)*3)&lt;=5,0.3*S136-VLOOKUP(B123,INDIRECT($F$8),6+(O136-1)*3),11)),IF(VLOOKUP(B123,INDIRECT($F$8),8+(O136-1)*3)&lt;U136*0.4,IF(U136*0.4-VLOOKUP(B123,INDIRECT($F$8),8+(O136-1)*3)&lt;=5,U136*0.4-VLOOKUP(B123,INDIRECT($F$8),8+(O136-1)*3),11),0))))</f>
        <v>11</v>
      </c>
      <c r="X136" s="1" t="str">
        <f ca="1">IF(ISERROR(F123),"",IF(W136=0,"",_xlfn.TEXTJOIN("",FALSE," G+",W136," in ",A136)))</f>
        <v xml:space="preserve"> G+11 in CAT 003</v>
      </c>
    </row>
    <row r="137" spans="1:24" ht="11.25" customHeight="1" x14ac:dyDescent="0.2">
      <c r="A137" s="7" t="str">
        <f ca="1">IF(ISERROR(F123),"",VLOOKUP(C123,INDIRECT($F$8),6+(O137-1)*3,0))</f>
        <v>CAP 001</v>
      </c>
      <c r="B137" s="41" t="str">
        <f ca="1">IF(ISERROR(F123),"",VLOOKUP(D123,INDIRECT($F$8),6+(O137-1)*3-Z137,0))</f>
        <v>Database Management System Lab</v>
      </c>
      <c r="C137" s="41"/>
      <c r="D137" s="41"/>
      <c r="E137" s="41"/>
      <c r="F137" s="7">
        <f ca="1">IF(ISERROR(F123),"",VLOOKUP(E123,INDIRECT($F$8),6+(O137-1)*3,0))</f>
        <v>1</v>
      </c>
      <c r="G137" s="42" t="str">
        <f ca="1">IF(ISERROR(F123),"",_xlfn.TEXTJOIN("/",FALSE,P137,S137))</f>
        <v>27/30</v>
      </c>
      <c r="H137" s="42"/>
      <c r="I137" s="42" t="str">
        <f ca="1">IF(ISERROR(F123),"",_xlfn.TEXTJOIN("/",FALSE,Q137,T137))</f>
        <v>17/20</v>
      </c>
      <c r="J137" s="42"/>
      <c r="K137" s="42" t="str">
        <f ca="1">IF(ISERROR(F123),"",_xlfn.TEXTJOIN("/",FALSE,R137,U137))</f>
        <v>44/50</v>
      </c>
      <c r="L137" s="42"/>
      <c r="M137" s="7" t="str">
        <f ca="1">IF(ISERROR(F123),"",IF(ISTEXT(P137),IF(P137="A","Ab",IF(P137="D","Dt",IF(P137="UFM","UFM",IF(P137="NA","-")))),IF(AND(ISBLANK(P137),ISBLANK(R137)),"",IF(P137&lt;0.3*S137,"F",IF(ISBLANK(R137),"",IF(ISTEXT(R137),R137,IF(R137&gt;=0.95*U137,"O",IF(R137&gt;=0.9*U137,"A+",IF(R137&gt;=0.85*U137,"A",IF(R137&gt;=0.8*U137,"B+",IF(R137&gt;=0.75*U137,"B",IF(R137&gt;=0.7*U137,"C+",IF(R137&gt;=0.65*U137,"C",IF(R137&gt;=0.6*U137,"D+",IF(R137&gt;=0.55*U137,"D",IF(R137&gt;=0.5*U137,"E+",IF(R137&gt;=0.45*U137,"E",IF(R137&gt;=0.4*U137,"P",IF(R137&lt;0.4*U137,"F",R137)))))))))))))))))))</f>
        <v>A</v>
      </c>
      <c r="N137" s="8">
        <f t="shared" ca="1" si="10"/>
        <v>9</v>
      </c>
      <c r="O137">
        <f t="shared" si="11"/>
        <v>10</v>
      </c>
      <c r="P137" s="1">
        <f ca="1">IF(ISERROR(F123),"",IF(ISTEXT(VLOOKUP(B123,INDIRECT($F$8),6+(O137-1)*3)),(VLOOKUP(B123,INDIRECT($F$8),6+(O137-1)*3)),SUM(VLOOKUP(B123,INDIRECT($F$8),6+(O137-1)*3),IF(W142,W137,0))))</f>
        <v>27</v>
      </c>
      <c r="Q137" s="1">
        <f ca="1">IF(ISERROR(F123),"",VLOOKUP(B123,INDIRECT($F$8),7+(O137-1)*3))</f>
        <v>17</v>
      </c>
      <c r="R137" s="1">
        <f ca="1">IF(ISERROR(F123),"",SUM(P137:Q137))</f>
        <v>44</v>
      </c>
      <c r="S137" s="1">
        <f ca="1">IF(ISERROR(F123),"",VLOOKUP(A123,INDIRECT($F$8),6+(O137-1)*3))</f>
        <v>30</v>
      </c>
      <c r="T137" s="1">
        <f ca="1">IF(ISERROR(F123),"",VLOOKUP(A123,INDIRECT($F$8),7+(O137-1)*3))</f>
        <v>20</v>
      </c>
      <c r="U137" s="1">
        <f ca="1">IF(ISERROR(F123),"",VLOOKUP(A123,INDIRECT($F$8),8+(O137-1)*3))</f>
        <v>50</v>
      </c>
      <c r="V137" s="1" t="str">
        <f ca="1">IF(ISERROR(F123),"",IF(N137=0,A137,""))</f>
        <v/>
      </c>
      <c r="W137" s="1">
        <f ca="1">IF(ISERROR(F123),"",IF(ISTEXT(VLOOKUP(B123,INDIRECT($F$8),6+(O137-1)*3)),11,IF(VLOOKUP(B123,INDIRECT($F$8),6+(O137-1)*3)&lt;S137*0.3,IF(VLOOKUP(B123,INDIRECT($F$8),8+(O137-1)*3)&lt;U137*0.4,IF(AND(0.4*U137-VLOOKUP(B123,INDIRECT($F$8),8+(O137-1)*3)&lt;=5,0.3*S137-VLOOKUP(B123,INDIRECT($F$8),6+(O137-1)*3)&lt;=5),MAX(0.4*U137-VLOOKUP(B123,INDIRECT($F$8),8+(O137-1)*3),0.3*S137-VLOOKUP(B123,INDIRECT($F$8),6+(O137-1)*3)),11),IF(0.3*S137-VLOOKUP(B123,INDIRECT($F$8),6+(O137-1)*3)&lt;=5,0.3*S137-VLOOKUP(B123,INDIRECT($F$8),6+(O137-1)*3),11)),IF(VLOOKUP(B123,INDIRECT($F$8),8+(O137-1)*3)&lt;U137*0.4,IF(U137*0.4-VLOOKUP(B123,INDIRECT($F$8),8+(O137-1)*3)&lt;=5,U137*0.4-VLOOKUP(B123,INDIRECT($F$8),8+(O137-1)*3),11),0))))</f>
        <v>0</v>
      </c>
      <c r="X137" s="1" t="str">
        <f ca="1">IF(ISERROR(F123),"",IF(W137=0,"",_xlfn.TEXTJOIN("",FALSE," G+",W137," in ",A137)))</f>
        <v/>
      </c>
    </row>
    <row r="138" spans="1:24" ht="11.25" customHeight="1" x14ac:dyDescent="0.2">
      <c r="A138" s="7" t="str">
        <f ca="1">IF(ISERROR(F123),"",VLOOKUP(C123,INDIRECT($F$8),6+(O138-1)*3,0))</f>
        <v>CAP 002</v>
      </c>
      <c r="B138" s="41" t="str">
        <f ca="1">IF(ISERROR(F123),"",VLOOKUP(D123,INDIRECT($F$8),6+(O138-1)*3,0))</f>
        <v>Operating System Lab</v>
      </c>
      <c r="C138" s="41"/>
      <c r="D138" s="41"/>
      <c r="E138" s="41"/>
      <c r="F138" s="7">
        <f ca="1">IF(ISERROR(F123),"",VLOOKUP(E123,INDIRECT($F$8),6+(O138-1)*3,0))</f>
        <v>1</v>
      </c>
      <c r="G138" s="42" t="str">
        <f ca="1">IF(ISERROR(F123),"",_xlfn.TEXTJOIN("/",FALSE,P138,S138))</f>
        <v>27/30</v>
      </c>
      <c r="H138" s="42"/>
      <c r="I138" s="42" t="str">
        <f ca="1">IF(ISERROR(F123),"",_xlfn.TEXTJOIN("/",FALSE,Q138,T138))</f>
        <v>18/20</v>
      </c>
      <c r="J138" s="42"/>
      <c r="K138" s="42" t="str">
        <f ca="1">IF(ISERROR(F123),"",_xlfn.TEXTJOIN("/",FALSE,R138,U138))</f>
        <v>45/50</v>
      </c>
      <c r="L138" s="42"/>
      <c r="M138" s="7" t="str">
        <f ca="1">IF(ISERROR(F123),"",IF(ISTEXT(P138),IF(P138="A","Ab",IF(P138="D","Dt",IF(P138="UFM","UFM",IF(P138="NA","-")))),IF(AND(ISBLANK(P138),ISBLANK(R138)),"",IF(P138&lt;0.3*S138,"F",IF(ISBLANK(R138),"",IF(ISTEXT(R138),R138,IF(R138&gt;=0.95*U138,"O",IF(R138&gt;=0.9*U138,"A+",IF(R138&gt;=0.85*U138,"A",IF(R138&gt;=0.8*U138,"B+",IF(R138&gt;=0.75*U138,"B",IF(R138&gt;=0.7*U138,"C+",IF(R138&gt;=0.65*U138,"C",IF(R138&gt;=0.6*U138,"D+",IF(R138&gt;=0.55*U138,"D",IF(R138&gt;=0.5*U138,"E+",IF(R138&gt;=0.45*U138,"E",IF(R138&gt;=0.4*U138,"P",IF(R138&lt;0.4*U138,"F",R138)))))))))))))))))))</f>
        <v>A+</v>
      </c>
      <c r="N138" s="8">
        <f t="shared" ca="1" si="10"/>
        <v>9.5</v>
      </c>
      <c r="O138">
        <f t="shared" si="11"/>
        <v>11</v>
      </c>
      <c r="P138" s="1">
        <f ca="1">IF(ISERROR(F123),"",IF(ISTEXT(VLOOKUP(B123,INDIRECT($F$8),6+(O138-1)*3)),(VLOOKUP(B123,INDIRECT($F$8),6+(O138-1)*3)),SUM(VLOOKUP(B123,INDIRECT($F$8),6+(O138-1)*3),IF(W142,W138,0))))</f>
        <v>27</v>
      </c>
      <c r="Q138" s="1">
        <f ca="1">IF(ISERROR(F123),"",VLOOKUP(B123,INDIRECT($F$8),7+(O138-1)*3))</f>
        <v>18</v>
      </c>
      <c r="R138" s="1">
        <f ca="1">IF(ISERROR(F123),"",SUM(P138:Q138))</f>
        <v>45</v>
      </c>
      <c r="S138" s="1">
        <f ca="1">IF(ISERROR(F123),"",VLOOKUP(A123,INDIRECT($F$8),6+(O138-1)*3))</f>
        <v>30</v>
      </c>
      <c r="T138" s="1">
        <f ca="1">IF(ISERROR(F123),"",VLOOKUP(A123,INDIRECT($F$8),7+(O138-1)*3))</f>
        <v>20</v>
      </c>
      <c r="U138" s="1">
        <f ca="1">IF(ISERROR(F123),"",VLOOKUP(A123,INDIRECT($F$8),8+(O138-1)*3))</f>
        <v>50</v>
      </c>
      <c r="V138" s="1" t="str">
        <f ca="1">IF(ISERROR(F123),"",IF(N138=0,A138,""))</f>
        <v/>
      </c>
      <c r="W138" s="1">
        <f ca="1">IF(ISERROR(F123),"",IF(ISTEXT(VLOOKUP(B123,INDIRECT($F$8),6+(O138-1)*3)),11,IF(VLOOKUP(B123,INDIRECT($F$8),6+(O138-1)*3)&lt;S138*0.3,IF(VLOOKUP(B123,INDIRECT($F$8),8+(O138-1)*3)&lt;U138*0.4,IF(AND(0.4*U138-VLOOKUP(B123,INDIRECT($F$8),8+(O138-1)*3)&lt;=5,0.3*S138-VLOOKUP(B123,INDIRECT($F$8),6+(O138-1)*3)&lt;=5),MAX(0.4*U138-VLOOKUP(B123,INDIRECT($F$8),8+(O138-1)*3),0.3*S138-VLOOKUP(B123,INDIRECT($F$8),6+(O138-1)*3)),11),IF(0.3*S138-VLOOKUP(B123,INDIRECT($F$8),6+(O138-1)*3)&lt;=5,0.3*S138-VLOOKUP(B123,INDIRECT($F$8),6+(O138-1)*3),11)),IF(VLOOKUP(B123,INDIRECT($F$8),8+(O138-1)*3)&lt;U138*0.4,IF(U138*0.4-VLOOKUP(B123,INDIRECT($F$8),8+(O138-1)*3)&lt;=5,U138*0.4-VLOOKUP(B123,INDIRECT($F$8),8+(O138-1)*3),11),0))))</f>
        <v>0</v>
      </c>
      <c r="X138" s="1" t="str">
        <f ca="1">IF(ISERROR(F123),"",IF(W138=0,"",_xlfn.TEXTJOIN("",FALSE," G+",W138," in ",A138)))</f>
        <v/>
      </c>
    </row>
    <row r="139" spans="1:24" ht="11.25" customHeight="1" x14ac:dyDescent="0.2">
      <c r="A139" s="7" t="str">
        <f ca="1">IF(ISERROR(F123),"",VLOOKUP(C123,INDIRECT($F$8),6+(O139-1)*3,0))</f>
        <v>CAP 003</v>
      </c>
      <c r="B139" s="41" t="str">
        <f ca="1">IF(ISERROR(F123),"",VLOOKUP(D123,INDIRECT($F$8),6+(O139-1)*3,0))</f>
        <v>Computer Organization Lab</v>
      </c>
      <c r="C139" s="41"/>
      <c r="D139" s="41"/>
      <c r="E139" s="41"/>
      <c r="F139" s="7">
        <f ca="1">IF(ISERROR(F123),"",VLOOKUP(E123,INDIRECT($F$8),6+(O139-1)*3,0))</f>
        <v>1</v>
      </c>
      <c r="G139" s="42" t="str">
        <f ca="1">IF(ISERROR(F123),"",_xlfn.TEXTJOIN("/",FALSE,P139,S139))</f>
        <v>25/30</v>
      </c>
      <c r="H139" s="42"/>
      <c r="I139" s="42" t="str">
        <f ca="1">IF(ISERROR(F123),"",_xlfn.TEXTJOIN("/",FALSE,Q139,T139))</f>
        <v>18/20</v>
      </c>
      <c r="J139" s="42"/>
      <c r="K139" s="42" t="str">
        <f ca="1">IF(ISERROR(F123),"",_xlfn.TEXTJOIN("/",FALSE,R139,U139))</f>
        <v>43/50</v>
      </c>
      <c r="L139" s="42"/>
      <c r="M139" s="7" t="str">
        <f ca="1">IF(ISERROR(F123),"",IF(ISTEXT(P139),IF(P139="A","Ab",IF(P139="D","Dt",IF(P139="UFM","UFM",IF(P139="NA","-")))),IF(AND(ISBLANK(P139),ISBLANK(R139)),"",IF(P139&lt;0.3*S139,"F",IF(ISBLANK(R139),"",IF(ISTEXT(R139),R139,IF(R139&gt;=0.95*U139,"O",IF(R139&gt;=0.9*U139,"A+",IF(R139&gt;=0.85*U139,"A",IF(R139&gt;=0.8*U139,"B+",IF(R139&gt;=0.75*U139,"B",IF(R139&gt;=0.7*U139,"C+",IF(R139&gt;=0.65*U139,"C",IF(R139&gt;=0.6*U139,"D+",IF(R139&gt;=0.55*U139,"D",IF(R139&gt;=0.5*U139,"E+",IF(R139&gt;=0.45*U139,"E",IF(R139&gt;=0.4*U139,"P",IF(R139&lt;0.4*U139,"F",R139)))))))))))))))))))</f>
        <v>A</v>
      </c>
      <c r="N139" s="8">
        <f t="shared" ca="1" si="10"/>
        <v>9</v>
      </c>
      <c r="O139">
        <f t="shared" si="11"/>
        <v>12</v>
      </c>
      <c r="P139" s="1">
        <f ca="1">IF(ISERROR(F123),"",IF(ISTEXT(VLOOKUP(B123,INDIRECT($F$8),6+(O139-1)*3)),(VLOOKUP(B123,INDIRECT($F$8),6+(O139-1)*3)),SUM(VLOOKUP(B123,INDIRECT($F$8),6+(O139-1)*3),IF(W142,W139,0))))</f>
        <v>25</v>
      </c>
      <c r="Q139" s="1">
        <f ca="1">IF(ISERROR(F123),"",VLOOKUP(B123,INDIRECT($F$8),7+(O139-1)*3))</f>
        <v>18</v>
      </c>
      <c r="R139" s="1">
        <f ca="1">IF(ISERROR(F123),"",SUM(P139:Q139))</f>
        <v>43</v>
      </c>
      <c r="S139" s="1">
        <f ca="1">IF(ISERROR(F123),"",VLOOKUP(A123,INDIRECT($F$8),6+(O139-1)*3))</f>
        <v>30</v>
      </c>
      <c r="T139" s="1">
        <f ca="1">IF(ISERROR(F123),"",VLOOKUP(A123,INDIRECT($F$8),7+(O139-1)*3))</f>
        <v>20</v>
      </c>
      <c r="U139" s="1">
        <f ca="1">IF(ISERROR(F123),"",VLOOKUP(A123,INDIRECT($F$8),8+(O139-1)*3))</f>
        <v>50</v>
      </c>
      <c r="V139" s="1" t="str">
        <f ca="1">IF(ISERROR(F123),"",IF(N139=0,A139,""))</f>
        <v/>
      </c>
      <c r="W139" s="1">
        <f ca="1">IF(ISERROR(F123),"",IF(ISTEXT(VLOOKUP(B123,INDIRECT($F$8),6+(O139-1)*3)),11,IF(VLOOKUP(B123,INDIRECT($F$8),6+(O139-1)*3)&lt;S139*0.3,IF(VLOOKUP(B123,INDIRECT($F$8),8+(O139-1)*3)&lt;U139*0.4,IF(AND(0.4*U139-VLOOKUP(B123,INDIRECT($F$8),8+(O139-1)*3)&lt;=5,0.3*S139-VLOOKUP(B123,INDIRECT($F$8),6+(O139-1)*3)&lt;=5),MAX(0.4*U139-VLOOKUP(B123,INDIRECT($F$8),8+(O139-1)*3),0.3*S139-VLOOKUP(B123,INDIRECT($F$8),6+(O139-1)*3)),11),IF(0.3*S139-VLOOKUP(B123,INDIRECT($F$8),6+(O139-1)*3)&lt;=5,0.3*S139-VLOOKUP(B123,INDIRECT($F$8),6+(O139-1)*3),11)),IF(VLOOKUP(B123,INDIRECT($F$8),8+(O139-1)*3)&lt;U139*0.4,IF(U139*0.4-VLOOKUP(B123,INDIRECT($F$8),8+(O139-1)*3)&lt;=5,U139*0.4-VLOOKUP(B123,INDIRECT($F$8),8+(O139-1)*3),11),0))))</f>
        <v>0</v>
      </c>
      <c r="X139" s="1" t="str">
        <f ca="1">IF(ISERROR(F123),"",IF(W139=0,"",_xlfn.TEXTJOIN("",FALSE," G+",W139," in ",A139)))</f>
        <v/>
      </c>
    </row>
    <row r="140" spans="1:24" ht="11.25" customHeight="1" x14ac:dyDescent="0.2">
      <c r="A140" s="7" t="str">
        <f ca="1">IF(ISERROR(F123),"",VLOOKUP(C123,INDIRECT($F$8),6+(O140-1)*3,0))</f>
        <v>AHP 303</v>
      </c>
      <c r="B140" s="41" t="str">
        <f ca="1">IF(ISERROR(F123),"",VLOOKUP(D123,INDIRECT($F$8),6+(O140-1)*3,0))</f>
        <v>Technical Communication Skills</v>
      </c>
      <c r="C140" s="41"/>
      <c r="D140" s="41"/>
      <c r="E140" s="41"/>
      <c r="F140" s="7">
        <f ca="1">IF(ISERROR(F123),"",VLOOKUP(E123,INDIRECT($F$8),6+(O140-1)*3,0))</f>
        <v>1</v>
      </c>
      <c r="G140" s="42" t="str">
        <f ca="1">IF(ISERROR(F123),"",_xlfn.TEXTJOIN("/",FALSE,P140,S140))</f>
        <v>26/30</v>
      </c>
      <c r="H140" s="42"/>
      <c r="I140" s="42" t="str">
        <f ca="1">IF(ISERROR(F123),"",_xlfn.TEXTJOIN("/",FALSE,Q140,T140))</f>
        <v>18/20</v>
      </c>
      <c r="J140" s="42"/>
      <c r="K140" s="42" t="str">
        <f ca="1">IF(ISERROR(F123),"",_xlfn.TEXTJOIN("/",FALSE,R140,U140))</f>
        <v>44/50</v>
      </c>
      <c r="L140" s="42"/>
      <c r="M140" s="7" t="str">
        <f ca="1">IF(ISERROR(F123),"",IF(ISTEXT(P140),IF(P140="A","Ab",IF(P140="D","Dt",IF(P140="UFM","UFM",IF(P140="NA","-")))),IF(AND(ISBLANK(P140),ISBLANK(R140)),"",IF(P140&lt;0.3*S140,"F",IF(ISBLANK(R140),"",IF(ISTEXT(R140),R140,IF(R140&gt;=0.95*U140,"O",IF(R140&gt;=0.9*U140,"A+",IF(R140&gt;=0.85*U140,"A",IF(R140&gt;=0.8*U140,"B+",IF(R140&gt;=0.75*U140,"B",IF(R140&gt;=0.7*U140,"C+",IF(R140&gt;=0.65*U140,"C",IF(R140&gt;=0.6*U140,"D+",IF(R140&gt;=0.55*U140,"D",IF(R140&gt;=0.5*U140,"E+",IF(R140&gt;=0.45*U140,"E",IF(R140&gt;=0.4*U140,"P",IF(R140&lt;0.4*U140,"F",R140)))))))))))))))))))</f>
        <v>A</v>
      </c>
      <c r="N140" s="8">
        <f t="shared" ca="1" si="10"/>
        <v>9</v>
      </c>
      <c r="O140">
        <f t="shared" si="11"/>
        <v>13</v>
      </c>
      <c r="P140" s="1">
        <f ca="1">IF(ISERROR(F123),"",IF(ISTEXT(VLOOKUP(B123,INDIRECT($F$8),6+(O140-1)*3)),(VLOOKUP(B123,INDIRECT($F$8),6+(O140-1)*3)),SUM(VLOOKUP(B123,INDIRECT($F$8),6+(O140-1)*3),IF(W142,W140,0))))</f>
        <v>26</v>
      </c>
      <c r="Q140" s="1">
        <f ca="1">IF(ISERROR(F123),"",VLOOKUP(B123,INDIRECT($F$8),7+(O140-1)*3))</f>
        <v>18</v>
      </c>
      <c r="R140" s="1">
        <f ca="1">IF(ISERROR(F123),"",SUM(P140:Q140))</f>
        <v>44</v>
      </c>
      <c r="S140" s="1">
        <f ca="1">IF(ISERROR(F123),"",VLOOKUP(A123,INDIRECT($F$8),6+(O140-1)*3))</f>
        <v>30</v>
      </c>
      <c r="T140" s="1">
        <f ca="1">IF(ISERROR(F123),"",VLOOKUP(A123,INDIRECT($F$8),7+(O140-1)*3))</f>
        <v>20</v>
      </c>
      <c r="U140" s="1">
        <f ca="1">IF(ISERROR(F123),"",VLOOKUP(A123,INDIRECT($F$8),8+(O140-1)*3))</f>
        <v>50</v>
      </c>
      <c r="V140" s="1"/>
      <c r="W140" s="1">
        <f ca="1">IF(ISERROR(F123),"",IF(ISTEXT(VLOOKUP(B123,INDIRECT($F$8),6+(O140-1)*3)),11,IF(VLOOKUP(B123,INDIRECT($F$8),6+(O140-1)*3)&lt;S140*0.3,IF(VLOOKUP(B123,INDIRECT($F$8),8+(O140-1)*3)&lt;U140*0.4,IF(AND(0.4*U140-VLOOKUP(B123,INDIRECT($F$8),8+(O140-1)*3)&lt;=5,0.3*S140-VLOOKUP(B123,INDIRECT($F$8),6+(O140-1)*3)&lt;=5),MAX(0.4*U140-VLOOKUP(B123,INDIRECT($F$8),8+(O140-1)*3),0.3*S140-VLOOKUP(B123,INDIRECT($F$8),6+(O140-1)*3)),11),IF(0.3*S140-VLOOKUP(B123,INDIRECT($F$8),6+(O140-1)*3)&lt;=5,0.3*S140-VLOOKUP(B123,INDIRECT($F$8),6+(O140-1)*3),11)),IF(VLOOKUP(B123,INDIRECT($F$8),8+(O140-1)*3)&lt;U140*0.4,IF(U140*0.4-VLOOKUP(B123,INDIRECT($F$8),8+(O140-1)*3)&lt;=5,U140*0.4-VLOOKUP(B123,INDIRECT($F$8),8+(O140-1)*3),11),0))))</f>
        <v>0</v>
      </c>
      <c r="X140" s="1" t="str">
        <f ca="1">IF(ISERROR(F123),"",IF(W140=0,"",_xlfn.TEXTJOIN("",FALSE," G+",W140," in ",A140)))</f>
        <v/>
      </c>
    </row>
    <row r="141" spans="1:24" s="32" customFormat="1" ht="11.25" customHeight="1" x14ac:dyDescent="0.2">
      <c r="A141" s="31">
        <f ca="1">IF(ISERROR(F123),"",VLOOKUP(C123,INDIRECT($F$8),6+(O141-1)*3-Y141,0))</f>
        <v>0</v>
      </c>
      <c r="B141" s="49">
        <f ca="1">IF(ISERROR(F123),"",VLOOKUP(D123,INDIRECT($F$8),6+(O141-1)*3-Z141,0))</f>
        <v>0</v>
      </c>
      <c r="C141" s="49"/>
      <c r="D141" s="49"/>
      <c r="E141" s="49"/>
      <c r="F141" s="31">
        <f ca="1">IF(ISERROR(F123),"",VLOOKUP(E123,INDIRECT($F$8),6+(O141-1)*3-AA141,0))</f>
        <v>0</v>
      </c>
      <c r="G141" s="50" t="str">
        <f ca="1">IF(ISERROR(F123),"","-")</f>
        <v>-</v>
      </c>
      <c r="H141" s="50"/>
      <c r="I141" s="50" t="str">
        <f ca="1">IF(ISERROR(F123),"",_xlfn.TEXTJOIN("/",FALSE,Q141,T141))</f>
        <v>0/0</v>
      </c>
      <c r="J141" s="50"/>
      <c r="K141" s="50" t="str">
        <f ca="1">IF(ISERROR(F123),"",_xlfn.TEXTJOIN("/",FALSE,R141,U141))</f>
        <v>0/0</v>
      </c>
      <c r="L141" s="50"/>
      <c r="M141" s="50" t="str">
        <f ca="1">IF(ISBLANK(R141),"",IF(ISTEXT(R141),R141,IF(R141&gt;=0.8*U141,"Excellent",IF(R141&gt;=0.6*U141,"Very Good",IF(R141&gt;=0.4*U141,"Good",IF(R141&gt;=0.2*U141,"Satisfactory","Average"))))))</f>
        <v>Excellent</v>
      </c>
      <c r="N141" s="50"/>
      <c r="O141" s="32">
        <f t="shared" si="11"/>
        <v>14</v>
      </c>
      <c r="P141" s="33">
        <f ca="1">IF(ISERROR(F123),"",IF(ISTEXT(VLOOKUP(B\28,INDIRECT($F$8),6+(O141-1)*3)),(VLOOKUP(B123,INDIRECT($F$8),6+(O141-1)*3)),SUM(VLOOKUP(B123,INDIRECT($F$8),6+(O141-1)*3),IF(W142,W141,0))))</f>
        <v>0</v>
      </c>
      <c r="Q141" s="33">
        <f ca="1">IF(ISERROR(F123),"",VLOOKUP(B123,INDIRECT($F$8),7+(O141-1)*3))</f>
        <v>0</v>
      </c>
      <c r="R141" s="33">
        <f ca="1">IF(ISERROR(F123),"",SUM(P141:Q141))</f>
        <v>0</v>
      </c>
      <c r="S141" s="33">
        <f ca="1">IF(ISERROR(F123),"",VLOOKUP(A123,INDIRECT($F$8),6+(O141-1)*3))</f>
        <v>0</v>
      </c>
      <c r="T141" s="33">
        <f ca="1">IF(ISERROR(F123),"",VLOOKUP(A123,INDIRECT($F$8),7+(O141-1)*3))</f>
        <v>0</v>
      </c>
      <c r="U141" s="33">
        <f ca="1">IF(ISERROR(F123),"",VLOOKUP(A123,INDIRECT($F$8),8+(O141-1)*3))</f>
        <v>0</v>
      </c>
      <c r="V141" s="33"/>
      <c r="W141" s="33"/>
      <c r="X141" s="33" t="str">
        <f ca="1">IF(ISERROR(F123),"",IF(W141=0,"",_xlfn.TEXTJOIN("",FALSE," G+",W141," in ",A141)))</f>
        <v/>
      </c>
    </row>
    <row r="142" spans="1:24" ht="11.25" customHeight="1" x14ac:dyDescent="0.2">
      <c r="A142" s="43" t="str">
        <f ca="1">IF(ISERROR(F123),"",A119)</f>
        <v>Total Credits/ Marks/ Total Grade Points</v>
      </c>
      <c r="B142" s="43"/>
      <c r="C142" s="43"/>
      <c r="D142" s="43"/>
      <c r="E142" s="43"/>
      <c r="F142" s="10">
        <f ca="1">IF(ISERROR(F123),"",SUM(F128:F141))</f>
        <v>24</v>
      </c>
      <c r="G142" s="44" t="str">
        <f ca="1">IF(ISERROR(F123),"",_xlfn.TEXTJOIN("/",TRUE,SUMIF(F128:F141,"&gt;0",P128:P141),SUMIF(F128:F141,"&gt;0",S128:S141)))</f>
        <v>416/620</v>
      </c>
      <c r="H142" s="44"/>
      <c r="I142" s="44" t="str">
        <f ca="1">IF(ISERROR(F123),"",_xlfn.TEXTJOIN("/",TRUE,SUMIF(F128:F141,"&gt;0",Q128:Q141),SUMIF(F128:F141,"&gt;0",T128:T141)))</f>
        <v>265/330</v>
      </c>
      <c r="J142" s="44"/>
      <c r="K142" s="44" t="str">
        <f ca="1">IF(ISERROR(F123),"",_xlfn.TEXTJOIN("/",TRUE,SUMIF(F128:F141,"&gt;0",R128:R141),SUMIF(F128:F141,"&gt;0",U128:U141)))</f>
        <v>681/950</v>
      </c>
      <c r="L142" s="44"/>
      <c r="M142" s="43">
        <f ca="1">IF(ISERROR(F123),"",SUMPRODUCT(N128:N140,F128:F140))</f>
        <v>176.5</v>
      </c>
      <c r="N142" s="43"/>
      <c r="V142" s="1" t="str">
        <f ca="1">IF(ISERROR(F123),"",_xlfn.TEXTJOIN(", ",TRUE,V128:V141))</f>
        <v/>
      </c>
      <c r="W142" t="b">
        <f ca="1">IF(ISERROR(F123),"",IF(SUM(W128:W141)&lt;=W127,TRUE,FALSE))</f>
        <v>0</v>
      </c>
      <c r="X142" s="1" t="str">
        <f ca="1">_xlfn.TEXTJOIN(",",TRUE,X128:X141)</f>
        <v xml:space="preserve"> G+11 in CAT 001, G+11 in CAT 002, G+11 in CAT 003</v>
      </c>
    </row>
    <row r="143" spans="1:24" ht="11.25" customHeight="1" x14ac:dyDescent="0.2">
      <c r="A143" s="43" t="str">
        <f ca="1">IF(ISERROR(F123),"",A120)</f>
        <v>Result:</v>
      </c>
      <c r="B143" s="45" t="str">
        <f ca="1">IF(ISERROR(F123),"",IF(V142="","PASS","CARRY OVER"))</f>
        <v>PASS</v>
      </c>
      <c r="C143" s="45"/>
      <c r="D143" s="43" t="str">
        <f ca="1">IF(ISERROR(F123),"",D120)</f>
        <v>Remark:</v>
      </c>
      <c r="E143" s="45" t="str">
        <f ca="1">IF(ISERROR(F123),"",IF(W142,X142,IF(V142="","",_xlfn.TEXTJOIN("",TRUE,"BACK IN ",V142))))</f>
        <v/>
      </c>
      <c r="F143" s="45"/>
      <c r="G143" s="43" t="str">
        <f ca="1">IF(ISERROR(F123),"",G120)</f>
        <v>SGPA:</v>
      </c>
      <c r="H143" s="46">
        <f ca="1">IF(ISERROR(F123),"",M142/F142)</f>
        <v>7.354166666666667</v>
      </c>
      <c r="I143" s="43" t="str">
        <f ca="1">IF(ISERROR(F123),"",I120)</f>
        <v>CGPA:</v>
      </c>
      <c r="J143" s="46">
        <f ca="1">IF(ISERROR(F123),"",VLOOKUP(B123,INDIRECT($F$8),12+(O141-1)*3,0))</f>
        <v>7.354166666666667</v>
      </c>
      <c r="K143" s="45" t="str">
        <f ca="1">IF(ISERROR(F123),"",K120)</f>
        <v>Earned Credits:</v>
      </c>
      <c r="L143" s="43">
        <f ca="1">IF(ISERROR(F123),"",SUMIF(N128:N140,"&gt;0",F128:F140))</f>
        <v>24</v>
      </c>
      <c r="M143" s="45" t="str">
        <f ca="1">IF(ISERROR(F123),"",M120)</f>
        <v>Cuml. Earned Credits:</v>
      </c>
      <c r="N143" s="43">
        <f ca="1">IF(ISERROR(F123),"",VLOOKUP(B123,INDIRECT($F$8),10+(O141-1)*3,0))</f>
        <v>24</v>
      </c>
    </row>
    <row r="144" spans="1:24" ht="11.25" customHeight="1" x14ac:dyDescent="0.2">
      <c r="A144" s="43"/>
      <c r="B144" s="45"/>
      <c r="C144" s="45"/>
      <c r="D144" s="43"/>
      <c r="E144" s="45"/>
      <c r="F144" s="45"/>
      <c r="G144" s="43"/>
      <c r="H144" s="46"/>
      <c r="I144" s="43"/>
      <c r="J144" s="46"/>
      <c r="K144" s="45"/>
      <c r="L144" s="43"/>
      <c r="M144" s="45"/>
      <c r="N144" s="43"/>
    </row>
    <row r="145" spans="1:24" ht="15" x14ac:dyDescent="0.2">
      <c r="A145" s="43"/>
      <c r="B145" s="45"/>
      <c r="C145" s="45"/>
      <c r="D145" s="43"/>
      <c r="E145" s="45"/>
      <c r="F145" s="45"/>
      <c r="G145" s="43"/>
      <c r="H145" s="46"/>
      <c r="I145" s="43"/>
      <c r="J145" s="46"/>
      <c r="K145" s="45"/>
      <c r="L145" s="43"/>
      <c r="M145" s="45"/>
      <c r="N145" s="43"/>
    </row>
    <row r="146" spans="1:24" ht="11.25" customHeight="1" x14ac:dyDescent="0.2">
      <c r="A146" s="11" t="str">
        <f>A123</f>
        <v>MM</v>
      </c>
      <c r="B146" s="11">
        <f>B123+1</f>
        <v>7</v>
      </c>
      <c r="C146" s="11" t="str">
        <f>C123</f>
        <v>SC</v>
      </c>
      <c r="D146" s="11" t="str">
        <f>D123</f>
        <v>SN</v>
      </c>
      <c r="E146" s="11" t="str">
        <f>E123</f>
        <v>C</v>
      </c>
      <c r="F146" s="11" t="str">
        <f ca="1">VLOOKUP(B146,INDIRECT($F$8),4,0)</f>
        <v>DIVESH PANT</v>
      </c>
    </row>
    <row r="147" spans="1:24" ht="11.25" customHeight="1" x14ac:dyDescent="0.2">
      <c r="A147" s="47" t="str">
        <f ca="1">IF(ISERROR(F146),"",A124)</f>
        <v>Name:</v>
      </c>
      <c r="B147" s="47" t="str">
        <f ca="1">IFERROR(VLOOKUP(B146,INDIRECT($F$8),4,0),"")</f>
        <v>DIVESH PANT</v>
      </c>
      <c r="C147" s="47"/>
      <c r="D147" s="47" t="str">
        <f ca="1">IF(ISERROR(F146),"",D124)</f>
        <v>Father's Name:</v>
      </c>
      <c r="E147" s="47" t="str">
        <f ca="1">IFERROR(VLOOKUP(B146,INDIRECT($F$8),5,0),"")</f>
        <v>DINESH CHANDRA PANT</v>
      </c>
      <c r="F147" s="47"/>
      <c r="G147" s="47" t="str">
        <f ca="1">IF(ISERROR(F146),"",G124)</f>
        <v>University Roll No:</v>
      </c>
      <c r="H147" s="47"/>
      <c r="I147" s="48">
        <f ca="1">IFERROR(VLOOKUP(B146,INDIRECT($F$8),2,0),"")</f>
        <v>250090600007</v>
      </c>
      <c r="J147" s="48"/>
      <c r="K147" s="47" t="str">
        <f ca="1">IF(ISERROR(F146),"",K124)</f>
        <v>University Enrol. No:</v>
      </c>
      <c r="L147" s="47"/>
      <c r="M147" s="48" t="str">
        <f ca="1">IFERROR(VLOOKUP(B146,INDIRECT($F$8),3,0),"")</f>
        <v>UTU/2506100121</v>
      </c>
      <c r="N147" s="48"/>
    </row>
    <row r="148" spans="1:24" ht="15" x14ac:dyDescent="0.2">
      <c r="A148" s="47"/>
      <c r="B148" s="47"/>
      <c r="C148" s="47"/>
      <c r="D148" s="47"/>
      <c r="E148" s="47"/>
      <c r="F148" s="47"/>
      <c r="G148" s="47"/>
      <c r="H148" s="47"/>
      <c r="I148" s="48"/>
      <c r="J148" s="48"/>
      <c r="K148" s="47"/>
      <c r="L148" s="47"/>
      <c r="M148" s="48"/>
      <c r="N148" s="48"/>
    </row>
    <row r="149" spans="1:24" ht="11.25" customHeight="1" x14ac:dyDescent="0.2">
      <c r="A149" s="45" t="str">
        <f ca="1">IF(ISERROR(F146),"",A126)</f>
        <v>Subject Code</v>
      </c>
      <c r="B149" s="45" t="str">
        <f ca="1">IF(ISERROR(F146),"",B126)</f>
        <v>Subject Name</v>
      </c>
      <c r="C149" s="45"/>
      <c r="D149" s="45"/>
      <c r="E149" s="45"/>
      <c r="F149" s="45" t="str">
        <f ca="1">IF(ISERROR(F146),"",F126)</f>
        <v>Credits</v>
      </c>
      <c r="G149" s="45" t="str">
        <f ca="1">IF(ISERROR(F146),"",G126)</f>
        <v>External Marks</v>
      </c>
      <c r="H149" s="45"/>
      <c r="I149" s="45" t="str">
        <f ca="1">IF(ISERROR(F146),"",I126)</f>
        <v>Sessional Marks</v>
      </c>
      <c r="J149" s="45"/>
      <c r="K149" s="45" t="str">
        <f ca="1">IF(ISERROR(F146),"",K126)</f>
        <v>Total Marks</v>
      </c>
      <c r="L149" s="45"/>
      <c r="M149" s="45" t="str">
        <f ca="1">IF(ISERROR(F146),"",M126)</f>
        <v>Grade</v>
      </c>
      <c r="N149" s="45" t="str">
        <f ca="1">IF(ISERROR(F146),"",N126)</f>
        <v>Grade Points</v>
      </c>
    </row>
    <row r="150" spans="1:24" ht="15" x14ac:dyDescent="0.2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W150">
        <f ca="1">IF(ISNUMBER(MATCH($F$8,{"I","III","V","VII"},0)),10,10-INDEX(INDIRECT(_xlfn.TEXTJOIN("",TRUE,"SEM_",$G$8,"!",ADDRESS(6,4+$I$8*3+4),":",ADDRESS(5+$H$8,4+$I$8*3+4))),MATCH(INDIRECT(_xlfn.TEXTJOIN("",TRUE,"TC_",$F$8,"!",ADDRESS(ROW(I147),COLUMN(I147)))),INDIRECT(_xlfn.TEXTJOIN("",TRUE,"SEM_",$G$8,"!",ADDRESS(6,2),":",ADDRESS(5+$H$8,2))))))</f>
        <v>10</v>
      </c>
    </row>
    <row r="151" spans="1:24" ht="11.25" customHeight="1" x14ac:dyDescent="0.2">
      <c r="A151" s="7" t="str">
        <f ca="1">IF(ISERROR(F146),"",VLOOKUP(C146,INDIRECT($F$8),6+(O151-1)*3,0))</f>
        <v>CAT 004</v>
      </c>
      <c r="B151" s="41" t="str">
        <f ca="1">IF(ISERROR(F146),"",VLOOKUP(D146,INDIRECT($F$8),6+(O151-1)*3,0))</f>
        <v>Discrete Structure</v>
      </c>
      <c r="C151" s="41"/>
      <c r="D151" s="41"/>
      <c r="E151" s="41"/>
      <c r="F151" s="7">
        <f ca="1">IF(ISERROR(F146),"",VLOOKUP(E146,INDIRECT($F$8),6+(O151-1)*3,0))</f>
        <v>4</v>
      </c>
      <c r="G151" s="42" t="str">
        <f ca="1">IF(ISERROR(F146),"",_xlfn.TEXTJOIN("/",FALSE,P151,S151))</f>
        <v>40/100</v>
      </c>
      <c r="H151" s="42"/>
      <c r="I151" s="42" t="str">
        <f ca="1">IF(ISERROR(F146),"",_xlfn.TEXTJOIN("/",FALSE,Q151,T151))</f>
        <v>44/50</v>
      </c>
      <c r="J151" s="42"/>
      <c r="K151" s="42" t="str">
        <f ca="1">IF(ISERROR(F146),"",_xlfn.TEXTJOIN("/",FALSE,R151,U151))</f>
        <v>84/150</v>
      </c>
      <c r="L151" s="42"/>
      <c r="M151" s="7" t="str">
        <f ca="1">IF(ISERROR(F146),"",IF(ISTEXT(P151),IF(P151="A","Ab",IF(P151="D","Dt",IF(P151="UFM","UFM",IF(P151="NA","-")))),IF(AND(ISBLANK(P151),ISBLANK(R151)),"",IF(P151&lt;0.3*S151,"F",IF(ISBLANK(R151),"",IF(ISTEXT(R151),R151,IF(R151&gt;=0.95*U151,"O",IF(R151&gt;=0.9*U151,"A+",IF(R151&gt;=0.85*U151,"A",IF(R151&gt;=0.8*U151,"B+",IF(R151&gt;=0.75*U151,"B",IF(R151&gt;=0.7*U151,"C+",IF(R151&gt;=0.65*U151,"C",IF(R151&gt;=0.6*U151,"D+",IF(R151&gt;=0.55*U151,"D",IF(R151&gt;=0.5*U151,"E+",IF(R151&gt;=0.45*U151,"E",IF(R151&gt;=0.4*U151,"P",IF(R151&lt;0.4*U151,"F",R151)))))))))))))))))))</f>
        <v>D</v>
      </c>
      <c r="N151" s="8">
        <f ca="1">INDEX($Z$2:$Z$18,MATCH(M151,$Y$2:$Y$18,0))</f>
        <v>6</v>
      </c>
      <c r="O151">
        <v>1</v>
      </c>
      <c r="P151" s="1">
        <f ca="1">IF(ISERROR(F146),"",IF(ISTEXT(VLOOKUP(B146,INDIRECT($F$8),6+(O151-1)*3)),(VLOOKUP(B146,INDIRECT($F$8),6+(O151-1)*3)),SUM(VLOOKUP(B146,INDIRECT($F$8),6+(O151-1)*3),IF(W165,W151,0))))</f>
        <v>40</v>
      </c>
      <c r="Q151" s="1">
        <f ca="1">IF(ISERROR(F146),"",VLOOKUP(B146,INDIRECT($F$8),7+(O151-1)*3))</f>
        <v>44</v>
      </c>
      <c r="R151" s="1">
        <f ca="1">IF(ISERROR(F146),"",SUM(P151:Q151))</f>
        <v>84</v>
      </c>
      <c r="S151" s="1">
        <f ca="1">IF(ISERROR(F146),"",VLOOKUP(A146,INDIRECT($F$8),6+(O151-1)*3))</f>
        <v>100</v>
      </c>
      <c r="T151" s="1">
        <f ca="1">IF(ISERROR(F146),"",VLOOKUP(A146,INDIRECT($F$8),7+(O151-1)*3))</f>
        <v>50</v>
      </c>
      <c r="U151" s="1">
        <f ca="1">IF(ISERROR(F146),"",VLOOKUP(A146,INDIRECT($F$8),8+(O151-1)*3))</f>
        <v>150</v>
      </c>
      <c r="V151" s="1" t="str">
        <f ca="1">IF(ISERROR(F146),"",IF(N151=0,A151,""))</f>
        <v/>
      </c>
      <c r="W151" s="1">
        <f ca="1">IF(ISERROR(F146),"",IF(ISTEXT(VLOOKUP(B146,INDIRECT($F$8),6+(O151-1)*3)),11,IF(VLOOKUP(B146,INDIRECT($F$8),6+(O151-1)*3)&lt;S151*0.3,IF(VLOOKUP(B146,INDIRECT($F$8),8+(O151-1)*3)&lt;U151*0.4,IF(AND(0.4*U151-VLOOKUP(B146,INDIRECT($F$8),8+(O151-1)*3)&lt;=5,0.3*S151-VLOOKUP(B146,INDIRECT($F$8),6+(O151-1)*3)&lt;=5),MAX(0.4*U151-VLOOKUP(B146,INDIRECT($F$8),8+(O151-1)*3),0.3*S151-VLOOKUP(B146,INDIRECT($F$8),6+(O151-1)*3)),11),IF(0.3*S151-VLOOKUP(B146,INDIRECT($F$8),6+(O151-1)*3)&lt;=5,0.3*S151-VLOOKUP(B146,INDIRECT($F$8),6+(O151-1)*3),11)),IF(VLOOKUP(B146,INDIRECT($F$8),8+(O151-1)*3)&lt;U151*0.4,IF(U151*0.4-VLOOKUP(B146,INDIRECT($F$8),8+(O151-1)*3)&lt;=5,U151*0.4-VLOOKUP(B146,INDIRECT($F$8),8+(O151-1)*3),11),0))))</f>
        <v>0</v>
      </c>
      <c r="X151" s="1" t="str">
        <f ca="1">IF(ISERROR(F146),"",IF(W151=0,"",_xlfn.TEXTJOIN("",FALSE," G+",W151," in ",A151)))</f>
        <v/>
      </c>
    </row>
    <row r="152" spans="1:24" ht="11.25" customHeight="1" x14ac:dyDescent="0.2">
      <c r="A152" s="7" t="str">
        <f ca="1">IF(ISERROR(F146),"",VLOOKUP(C146,INDIRECT($F$8),6+(O152-1)*3,0))</f>
        <v>CAT 005</v>
      </c>
      <c r="B152" s="41" t="str">
        <f ca="1">IF(ISERROR(F146),"",VLOOKUP(D146,INDIRECT($F$8),6+(O152-1)*3,0))</f>
        <v>Database Management System</v>
      </c>
      <c r="C152" s="41"/>
      <c r="D152" s="41"/>
      <c r="E152" s="41"/>
      <c r="F152" s="7">
        <f ca="1">IF(ISERROR(F146),"",VLOOKUP(E146,INDIRECT($F$8),6+(O152-1)*3,0))</f>
        <v>4</v>
      </c>
      <c r="G152" s="42" t="str">
        <f ca="1">IF(ISERROR(F146),"",_xlfn.TEXTJOIN("/",FALSE,P152,S152))</f>
        <v>37/100</v>
      </c>
      <c r="H152" s="42"/>
      <c r="I152" s="42" t="str">
        <f ca="1">IF(ISERROR(F146),"",_xlfn.TEXTJOIN("/",FALSE,Q152,T152))</f>
        <v>37/50</v>
      </c>
      <c r="J152" s="42"/>
      <c r="K152" s="42" t="str">
        <f ca="1">IF(ISERROR(F146),"",_xlfn.TEXTJOIN("/",FALSE,R152,U152))</f>
        <v>74/150</v>
      </c>
      <c r="L152" s="42"/>
      <c r="M152" s="7" t="str">
        <f ca="1">IF(ISERROR(F146),"",IF(ISTEXT(P152),IF(P152="A","Ab",IF(P152="D","Dt",IF(P152="UFM","UFM",IF(P152="NA","-")))),IF(AND(ISBLANK(P152),ISBLANK(R152)),"",IF(P152&lt;0.3*S152,"F",IF(ISBLANK(R152),"",IF(ISTEXT(R152),R152,IF(R152&gt;=0.95*U152,"O",IF(R152&gt;=0.9*U152,"A+",IF(R152&gt;=0.85*U152,"A",IF(R152&gt;=0.8*U152,"B+",IF(R152&gt;=0.75*U152,"B",IF(R152&gt;=0.7*U152,"C+",IF(R152&gt;=0.65*U152,"C",IF(R152&gt;=0.6*U152,"D+",IF(R152&gt;=0.55*U152,"D",IF(R152&gt;=0.5*U152,"E+",IF(R152&gt;=0.45*U152,"E",IF(R152&gt;=0.4*U152,"P",IF(R152&lt;0.4*U152,"F",R152)))))))))))))))))))</f>
        <v>E</v>
      </c>
      <c r="N152" s="8">
        <f t="shared" ref="N152:N163" ca="1" si="12">INDEX($Z$2:$Z$18,MATCH(M152,$Y$2:$Y$18,0))</f>
        <v>5</v>
      </c>
      <c r="O152">
        <f>O151+1</f>
        <v>2</v>
      </c>
      <c r="P152" s="1">
        <f ca="1">IF(ISERROR(F146),"",IF(ISTEXT(VLOOKUP(B146,INDIRECT($F$8),6+(O152-1)*3)),(VLOOKUP(B146,INDIRECT($F$8),6+(O152-1)*3)),SUM(VLOOKUP(B146,INDIRECT($F$8),6+(O152-1)*3),IF(W165,W152,0))))</f>
        <v>37</v>
      </c>
      <c r="Q152" s="1">
        <f ca="1">IF(ISERROR(F146),"",VLOOKUP(B146,INDIRECT($F$8),7+(O152-1)*3))</f>
        <v>37</v>
      </c>
      <c r="R152" s="1">
        <f ca="1">IF(ISERROR(F146),"",SUM(P152:Q152))</f>
        <v>74</v>
      </c>
      <c r="S152" s="1">
        <f ca="1">IF(ISERROR(F146),"",VLOOKUP(A146,INDIRECT($F$8),6+(O152-1)*3))</f>
        <v>100</v>
      </c>
      <c r="T152" s="1">
        <f ca="1">IF(ISERROR(F146),"",VLOOKUP(A146,INDIRECT($F$8),7+(O152-1)*3))</f>
        <v>50</v>
      </c>
      <c r="U152" s="1">
        <f ca="1">IF(ISERROR(F146),"",VLOOKUP(A146,INDIRECT($F$8),8+(O152-1)*3))</f>
        <v>150</v>
      </c>
      <c r="V152" s="1" t="str">
        <f ca="1">IF(ISERROR(F146),"",IF(N152=0,A152,""))</f>
        <v/>
      </c>
      <c r="W152" s="1">
        <f ca="1">IF(ISERROR(F146),"",IF(ISTEXT(VLOOKUP(B146,INDIRECT($F$8),6+(O152-1)*3)),11,IF(VLOOKUP(B146,INDIRECT($F$8),6+(O152-1)*3)&lt;S152*0.3,IF(VLOOKUP(B146,INDIRECT($F$8),8+(O152-1)*3)&lt;U152*0.4,IF(AND(0.4*U152-VLOOKUP(B146,INDIRECT($F$8),8+(O152-1)*3)&lt;=5,0.3*S152-VLOOKUP(B146,INDIRECT($F$8),6+(O152-1)*3)&lt;=5),MAX(0.4*U152-VLOOKUP(B146,INDIRECT($F$8),8+(O152-1)*3),0.3*S152-VLOOKUP(B146,INDIRECT($F$8),6+(O152-1)*3)),11),IF(0.3*S152-VLOOKUP(B146,INDIRECT($F$8),6+(O152-1)*3)&lt;=5,0.3*S152-VLOOKUP(B146,INDIRECT($F$8),6+(O152-1)*3),11)),IF(VLOOKUP(B146,INDIRECT($F$8),8+(O152-1)*3)&lt;U152*0.4,IF(U152*0.4-VLOOKUP(B146,INDIRECT($F$8),8+(O152-1)*3)&lt;=5,U152*0.4-VLOOKUP(B146,INDIRECT($F$8),8+(O152-1)*3),11),0))))</f>
        <v>0</v>
      </c>
      <c r="X152" s="1" t="str">
        <f ca="1">IF(ISERROR(F146),"",IF(W152=0,"",_xlfn.TEXTJOIN("",FALSE," G+",W152," in ",A152)))</f>
        <v/>
      </c>
    </row>
    <row r="153" spans="1:24" ht="11.25" customHeight="1" x14ac:dyDescent="0.2">
      <c r="A153" s="7" t="str">
        <f ca="1">IF(ISERROR(F146),"",VLOOKUP(C146,INDIRECT($F$8),6+(O153-1)*3,0))</f>
        <v>CAT 006</v>
      </c>
      <c r="B153" s="41" t="str">
        <f ca="1">IF(ISERROR(F146),"",VLOOKUP(D146,INDIRECT($F$8),6+(O153-1)*3,0))</f>
        <v>Operating System</v>
      </c>
      <c r="C153" s="41"/>
      <c r="D153" s="41"/>
      <c r="E153" s="41"/>
      <c r="F153" s="7">
        <f ca="1">IF(ISERROR(F146),"",VLOOKUP(E146,INDIRECT($F$8),6+(O153-1)*3,0))</f>
        <v>4</v>
      </c>
      <c r="G153" s="42" t="str">
        <f ca="1">IF(ISERROR(F146),"",_xlfn.TEXTJOIN("/",FALSE,P153,S153))</f>
        <v>52/100</v>
      </c>
      <c r="H153" s="42"/>
      <c r="I153" s="42" t="str">
        <f ca="1">IF(ISERROR(F146),"",_xlfn.TEXTJOIN("/",FALSE,Q153,T153))</f>
        <v>36/50</v>
      </c>
      <c r="J153" s="42"/>
      <c r="K153" s="42" t="str">
        <f ca="1">IF(ISERROR(F146),"",_xlfn.TEXTJOIN("/",FALSE,R153,U153))</f>
        <v>88/150</v>
      </c>
      <c r="L153" s="42"/>
      <c r="M153" s="7" t="str">
        <f ca="1">IF(ISERROR(F146),"",IF(ISTEXT(P153),IF(P153="A","Ab",IF(P153="D","Dt",IF(P153="UFM","UFM",IF(P153="NA","-")))),IF(AND(ISBLANK(P153),ISBLANK(R153)),"",IF(P153&lt;0.3*S153,"F",IF(ISBLANK(R153),"",IF(ISTEXT(R153),R153,IF(R153&gt;=0.95*U153,"O",IF(R153&gt;=0.9*U153,"A+",IF(R153&gt;=0.85*U153,"A",IF(R153&gt;=0.8*U153,"B+",IF(R153&gt;=0.75*U153,"B",IF(R153&gt;=0.7*U153,"C+",IF(R153&gt;=0.65*U153,"C",IF(R153&gt;=0.6*U153,"D+",IF(R153&gt;=0.55*U153,"D",IF(R153&gt;=0.5*U153,"E+",IF(R153&gt;=0.45*U153,"E",IF(R153&gt;=0.4*U153,"P",IF(R153&lt;0.4*U153,"F",R153)))))))))))))))))))</f>
        <v>D</v>
      </c>
      <c r="N153" s="8">
        <f t="shared" ca="1" si="12"/>
        <v>6</v>
      </c>
      <c r="O153">
        <f>O152+1</f>
        <v>3</v>
      </c>
      <c r="P153" s="1">
        <f ca="1">IF(ISERROR(F146),"",IF(ISTEXT(VLOOKUP(B146,INDIRECT($F$8),6+(O153-1)*3)),(VLOOKUP(B146,INDIRECT($F$8),6+(O153-1)*3)),SUM(VLOOKUP(B146,INDIRECT($F$8),6+(O153-1)*3),IF(W165,W153,0))))</f>
        <v>52</v>
      </c>
      <c r="Q153" s="1">
        <f ca="1">IF(ISERROR(F146),"",VLOOKUP(B146,INDIRECT($F$8),7+(O153-1)*3))</f>
        <v>36</v>
      </c>
      <c r="R153" s="1">
        <f ca="1">IF(ISERROR(F146),"",SUM(P153:Q153))</f>
        <v>88</v>
      </c>
      <c r="S153" s="1">
        <f ca="1">IF(ISERROR(F146),"",VLOOKUP(A146,INDIRECT($F$8),6+(O153-1)*3))</f>
        <v>100</v>
      </c>
      <c r="T153" s="1">
        <f ca="1">IF(ISERROR(F146),"",VLOOKUP(A146,INDIRECT($F$8),7+(O153-1)*3))</f>
        <v>50</v>
      </c>
      <c r="U153" s="1">
        <f ca="1">IF(ISERROR(F146),"",VLOOKUP(A146,INDIRECT($F$8),8+(O153-1)*3))</f>
        <v>150</v>
      </c>
      <c r="V153" s="1" t="str">
        <f ca="1">IF(ISERROR(F146),"",IF(N153=0,A153,""))</f>
        <v/>
      </c>
      <c r="W153" s="1">
        <f ca="1">IF(ISERROR(F146),"",IF(ISTEXT(VLOOKUP(B146,INDIRECT($F$8),6+(O153-1)*3)),11,IF(VLOOKUP(B146,INDIRECT($F$8),6+(O153-1)*3)&lt;S153*0.3,IF(VLOOKUP(B146,INDIRECT($F$8),8+(O153-1)*3)&lt;U153*0.4,IF(AND(0.4*U153-VLOOKUP(B146,INDIRECT($F$8),8+(O153-1)*3)&lt;=5,0.3*S153-VLOOKUP(B146,INDIRECT($F$8),6+(O153-1)*3)&lt;=5),MAX(0.4*U153-VLOOKUP(B146,INDIRECT($F$8),8+(O153-1)*3),0.3*S153-VLOOKUP(B146,INDIRECT($F$8),6+(O153-1)*3)),11),IF(0.3*S153-VLOOKUP(B146,INDIRECT($F$8),6+(O153-1)*3)&lt;=5,0.3*S153-VLOOKUP(B146,INDIRECT($F$8),6+(O153-1)*3),11)),IF(VLOOKUP(B146,INDIRECT($F$8),8+(O153-1)*3)&lt;U153*0.4,IF(U153*0.4-VLOOKUP(B146,INDIRECT($F$8),8+(O153-1)*3)&lt;=5,U153*0.4-VLOOKUP(B146,INDIRECT($F$8),8+(O153-1)*3),11),0))))</f>
        <v>0</v>
      </c>
      <c r="X153" s="1" t="str">
        <f ca="1">IF(ISERROR(F146),"",IF(W153=0,"",_xlfn.TEXTJOIN("",FALSE," G+",W153," in ",A153)))</f>
        <v/>
      </c>
    </row>
    <row r="154" spans="1:24" ht="11.25" customHeight="1" x14ac:dyDescent="0.2">
      <c r="A154" s="7" t="str">
        <f ca="1">IF(ISERROR(F146),"",VLOOKUP(C146,INDIRECT($F$8),6+(O154-1)*3,0))</f>
        <v>CAT 007</v>
      </c>
      <c r="B154" s="41" t="str">
        <f ca="1">IF(ISERROR(F146),"",VLOOKUP(D146,INDIRECT($F$8),6+(O154-1)*3,0))</f>
        <v>Computer Organization</v>
      </c>
      <c r="C154" s="41"/>
      <c r="D154" s="41"/>
      <c r="E154" s="41"/>
      <c r="F154" s="7">
        <f ca="1">IF(ISERROR(F146),"",VLOOKUP(E146,INDIRECT($F$8),6+(O154-1)*3,0))</f>
        <v>4</v>
      </c>
      <c r="G154" s="42" t="str">
        <f ca="1">IF(ISERROR(F146),"",_xlfn.TEXTJOIN("/",FALSE,P154,S154))</f>
        <v>42/100</v>
      </c>
      <c r="H154" s="42"/>
      <c r="I154" s="42" t="str">
        <f ca="1">IF(ISERROR(F146),"",_xlfn.TEXTJOIN("/",FALSE,Q154,T154))</f>
        <v>43/50</v>
      </c>
      <c r="J154" s="42"/>
      <c r="K154" s="42" t="str">
        <f ca="1">IF(ISERROR(F146),"",_xlfn.TEXTJOIN("/",FALSE,R154,U154))</f>
        <v>85/150</v>
      </c>
      <c r="L154" s="42"/>
      <c r="M154" s="7" t="str">
        <f ca="1">IF(ISERROR(F146),"",IF(ISTEXT(P154),IF(P154="A","Ab",IF(P154="D","Dt",IF(P154="UFM","UFM",IF(P154="NA","-")))),IF(AND(ISBLANK(P154),ISBLANK(R154)),"",IF(P154&lt;0.3*S154,"F",IF(ISBLANK(R154),"",IF(ISTEXT(R154),R154,IF(R154&gt;=0.95*U154,"O",IF(R154&gt;=0.9*U154,"A+",IF(R154&gt;=0.85*U154,"A",IF(R154&gt;=0.8*U154,"B+",IF(R154&gt;=0.75*U154,"B",IF(R154&gt;=0.7*U154,"C+",IF(R154&gt;=0.65*U154,"C",IF(R154&gt;=0.6*U154,"D+",IF(R154&gt;=0.55*U154,"D",IF(R154&gt;=0.5*U154,"E+",IF(R154&gt;=0.45*U154,"E",IF(R154&gt;=0.4*U154,"P",IF(R154&lt;0.4*U154,"F",R154)))))))))))))))))))</f>
        <v>D</v>
      </c>
      <c r="N154" s="8">
        <f t="shared" ca="1" si="12"/>
        <v>6</v>
      </c>
      <c r="O154">
        <f>O153+1</f>
        <v>4</v>
      </c>
      <c r="P154" s="1">
        <f ca="1">IF(ISERROR(F146),"",IF(ISTEXT(VLOOKUP(B146,INDIRECT($F$8),6+(O154-1)*3)),(VLOOKUP(B146,INDIRECT($F$8),6+(O154-1)*3)),SUM(VLOOKUP(B146,INDIRECT($F$8),6+(O154-1)*3),IF(W165,W154,0))))</f>
        <v>42</v>
      </c>
      <c r="Q154" s="1">
        <f ca="1">IF(ISERROR(F146),"",VLOOKUP(B146,INDIRECT($F$8),7+(O154-1)*3))</f>
        <v>43</v>
      </c>
      <c r="R154" s="1">
        <f ca="1">IF(ISERROR(F146),"",SUM(P154:Q154))</f>
        <v>85</v>
      </c>
      <c r="S154" s="1">
        <f ca="1">IF(ISERROR(F146),"",VLOOKUP(A146,INDIRECT($F$8),6+(O154-1)*3))</f>
        <v>100</v>
      </c>
      <c r="T154" s="1">
        <f ca="1">IF(ISERROR(F146),"",VLOOKUP(A146,INDIRECT($F$8),7+(O154-1)*3))</f>
        <v>50</v>
      </c>
      <c r="U154" s="1">
        <f ca="1">IF(ISERROR(F146),"",VLOOKUP(A146,INDIRECT($F$8),8+(O154-1)*3))</f>
        <v>150</v>
      </c>
      <c r="V154" s="1" t="str">
        <f ca="1">IF(ISERROR(F146),"",IF(N154=0,A154,""))</f>
        <v/>
      </c>
      <c r="W154" s="1">
        <f ca="1">IF(ISERROR(F146),"",IF(ISTEXT(VLOOKUP(B146,INDIRECT($F$8),6+(O154-1)*3)),11,IF(VLOOKUP(B146,INDIRECT($F$8),6+(O154-1)*3)&lt;S154*0.3,IF(VLOOKUP(B146,INDIRECT($F$8),8+(O154-1)*3)&lt;U154*0.4,IF(AND(0.4*U154-VLOOKUP(B146,INDIRECT($F$8),8+(O154-1)*3)&lt;=5,0.3*S154-VLOOKUP(B146,INDIRECT($F$8),6+(O154-1)*3)&lt;=5),MAX(0.4*U154-VLOOKUP(B146,INDIRECT($F$8),8+(O154-1)*3),0.3*S154-VLOOKUP(B146,INDIRECT($F$8),6+(O154-1)*3)),11),IF(0.3*S154-VLOOKUP(B146,INDIRECT($F$8),6+(O154-1)*3)&lt;=5,0.3*S154-VLOOKUP(B146,INDIRECT($F$8),6+(O154-1)*3),11)),IF(VLOOKUP(B146,INDIRECT($F$8),8+(O154-1)*3)&lt;U154*0.4,IF(U154*0.4-VLOOKUP(B146,INDIRECT($F$8),8+(O154-1)*3)&lt;=5,U154*0.4-VLOOKUP(B146,INDIRECT($F$8),8+(O154-1)*3),11),0))))</f>
        <v>0</v>
      </c>
      <c r="X154" s="1" t="str">
        <f ca="1">IF(ISERROR(F146),"",IF(W154=0,"",_xlfn.TEXTJOIN("",FALSE," G+",W154," in ",A154)))</f>
        <v/>
      </c>
    </row>
    <row r="155" spans="1:24" ht="11.25" customHeight="1" x14ac:dyDescent="0.2">
      <c r="A155" s="7" t="str">
        <f ca="1">IF(ISERROR(F146),"",VLOOKUP(C146,INDIRECT($F$8),6+(O155-1)*3,0))</f>
        <v>AHT 303</v>
      </c>
      <c r="B155" s="41" t="str">
        <f ca="1">IF(ISERROR(F146),"",VLOOKUP(D146,INDIRECT($F$8),6+(O155-1)*3,0))</f>
        <v>Technical Communication Skills</v>
      </c>
      <c r="C155" s="41"/>
      <c r="D155" s="41"/>
      <c r="E155" s="41"/>
      <c r="F155" s="7">
        <f ca="1">IF(ISERROR(F146),"",VLOOKUP(E146,INDIRECT($F$8),6+(O155-1)*3,0))</f>
        <v>4</v>
      </c>
      <c r="G155" s="42" t="str">
        <f ca="1">IF(ISERROR(F146),"",_xlfn.TEXTJOIN("/",FALSE,P155,S155))</f>
        <v>62/100</v>
      </c>
      <c r="H155" s="42"/>
      <c r="I155" s="42" t="str">
        <f ca="1">IF(ISERROR(F146),"",_xlfn.TEXTJOIN("/",FALSE,Q155,T155))</f>
        <v>36/50</v>
      </c>
      <c r="J155" s="42"/>
      <c r="K155" s="42" t="str">
        <f ca="1">IF(ISERROR(F146),"",_xlfn.TEXTJOIN("/",FALSE,R155,U155))</f>
        <v>98/150</v>
      </c>
      <c r="L155" s="42"/>
      <c r="M155" s="7" t="str">
        <f ca="1">IF(ISERROR(F146),"",IF(ISTEXT(P155),IF(P155="A","Ab",IF(P155="D","Dt",IF(P155="UFM","UFM",IF(P155="NA","-")))),IF(AND(ISBLANK(P155),ISBLANK(R155)),"",IF(P155&lt;0.3*S155,"F",IF(ISBLANK(R155),"",IF(ISTEXT(R155),R155,IF(R155&gt;=0.95*U155,"O",IF(R155&gt;=0.9*U155,"A+",IF(R155&gt;=0.85*U155,"A",IF(R155&gt;=0.8*U155,"B+",IF(R155&gt;=0.75*U155,"B",IF(R155&gt;=0.7*U155,"C+",IF(R155&gt;=0.65*U155,"C",IF(R155&gt;=0.6*U155,"D+",IF(R155&gt;=0.55*U155,"D",IF(R155&gt;=0.5*U155,"E+",IF(R155&gt;=0.45*U155,"E",IF(R155&gt;=0.4*U155,"P",IF(R155&lt;0.4*U155,"F",R155)))))))))))))))))))</f>
        <v>C</v>
      </c>
      <c r="N155" s="8">
        <f t="shared" ca="1" si="12"/>
        <v>7</v>
      </c>
      <c r="O155">
        <f t="shared" ref="O155:O164" si="13">O154+1</f>
        <v>5</v>
      </c>
      <c r="P155" s="1">
        <f ca="1">IF(ISERROR(F146),"",IF(ISTEXT(VLOOKUP(B146,INDIRECT($F$8),6+(O155-1)*3)),(VLOOKUP(B146,INDIRECT($F$8),6+(O155-1)*3)),SUM(VLOOKUP(B146,INDIRECT($F$8),6+(O155-1)*3),IF(W165,W155,0))))</f>
        <v>62</v>
      </c>
      <c r="Q155" s="1">
        <f ca="1">IF(ISERROR(F146),"",VLOOKUP(B146,INDIRECT($F$8),7+(O155-1)*3))</f>
        <v>36</v>
      </c>
      <c r="R155" s="1">
        <f ca="1">IF(ISERROR(F146),"",SUM(P155:Q155))</f>
        <v>98</v>
      </c>
      <c r="S155" s="1">
        <f ca="1">IF(ISERROR(F146),"",VLOOKUP(A146,INDIRECT($F$8),6+(O155-1)*3))</f>
        <v>100</v>
      </c>
      <c r="T155" s="1">
        <f ca="1">IF(ISERROR(F146),"",VLOOKUP(A146,INDIRECT($F$8),7+(O155-1)*3))</f>
        <v>50</v>
      </c>
      <c r="U155" s="1">
        <f ca="1">IF(ISERROR(F146),"",VLOOKUP(A146,INDIRECT($F$8),8+(O155-1)*3))</f>
        <v>150</v>
      </c>
      <c r="V155" s="1" t="str">
        <f ca="1">IF(ISERROR(F146),"",IF(N155=0,A155,""))</f>
        <v/>
      </c>
      <c r="W155" s="1">
        <f ca="1">IF(ISERROR(F146),"",IF(ISTEXT(VLOOKUP(B146,INDIRECT($F$8),6+(O155-1)*3)),11,IF(VLOOKUP(B146,INDIRECT($F$8),6+(O155-1)*3)&lt;S155*0.3,IF(VLOOKUP(B146,INDIRECT($F$8),8+(O155-1)*3)&lt;U155*0.4,IF(AND(0.4*U155-VLOOKUP(B146,INDIRECT($F$8),8+(O155-1)*3)&lt;=5,0.3*S155-VLOOKUP(B146,INDIRECT($F$8),6+(O155-1)*3)&lt;=5),MAX(0.4*U155-VLOOKUP(B146,INDIRECT($F$8),8+(O155-1)*3),0.3*S155-VLOOKUP(B146,INDIRECT($F$8),6+(O155-1)*3)),11),IF(0.3*S155-VLOOKUP(B146,INDIRECT($F$8),6+(O155-1)*3)&lt;=5,0.3*S155-VLOOKUP(B146,INDIRECT($F$8),6+(O155-1)*3),11)),IF(VLOOKUP(B146,INDIRECT($F$8),8+(O155-1)*3)&lt;U155*0.4,IF(U155*0.4-VLOOKUP(B146,INDIRECT($F$8),8+(O155-1)*3)&lt;=5,U155*0.4-VLOOKUP(B146,INDIRECT($F$8),8+(O155-1)*3),11),0))))</f>
        <v>0</v>
      </c>
      <c r="X155" s="1" t="str">
        <f ca="1">IF(ISERROR(F146),"",IF(W155=0,"",_xlfn.TEXTJOIN("",FALSE," G+",W155," in ",A155)))</f>
        <v/>
      </c>
    </row>
    <row r="156" spans="1:24" ht="11.25" customHeight="1" x14ac:dyDescent="0.2">
      <c r="A156" s="7" t="str">
        <f ca="1">IF(ISERROR(F146),"",VLOOKUP(C146,INDIRECT($F$8),6+(O156-1)*3,0))</f>
        <v>CAT 008</v>
      </c>
      <c r="B156" s="41" t="str">
        <f ca="1">IF(ISERROR(F146),"",VLOOKUP(D146,INDIRECT($F$8),6+(O156-1)*3,0))</f>
        <v>Python Programming ($)</v>
      </c>
      <c r="C156" s="41"/>
      <c r="D156" s="41"/>
      <c r="E156" s="41"/>
      <c r="F156" s="7">
        <f ca="1">IF(ISERROR(F146),"",VLOOKUP(E146,INDIRECT($F$8),6+(O156-1)*3,0))</f>
        <v>0</v>
      </c>
      <c r="G156" s="42" t="str">
        <f ca="1">IF(ISERROR(F146),"",_xlfn.TEXTJOIN("/",FALSE,P156,S156))</f>
        <v>14/30</v>
      </c>
      <c r="H156" s="42"/>
      <c r="I156" s="42" t="str">
        <f ca="1">IF(ISERROR(F146),"",_xlfn.TEXTJOIN("/",FALSE,Q156,T156))</f>
        <v>12/20</v>
      </c>
      <c r="J156" s="42"/>
      <c r="K156" s="42" t="str">
        <f ca="1">IF(ISERROR(F146),"",_xlfn.TEXTJOIN("/",FALSE,R156,U156))</f>
        <v>26/50</v>
      </c>
      <c r="L156" s="42"/>
      <c r="M156" s="7" t="str">
        <f ca="1">IF(ISERROR(F146),"",IF(ISTEXT(P156),IF(P156="A","Ab",IF(P156="D","Dt",IF(P156="UFM","UFM",IF(P156="NA","-")))),IF(AND(ISBLANK(P156),ISBLANK(R156)),"",IF(P156&lt;0.3*S156,"F",IF(ISBLANK(R156),"",IF(ISTEXT(R156),R156,IF(R156&gt;=0.95*U156,"O",IF(R156&gt;=0.9*U156,"A+",IF(R156&gt;=0.85*U156,"A",IF(R156&gt;=0.8*U156,"B+",IF(R156&gt;=0.75*U156,"B",IF(R156&gt;=0.7*U156,"C+",IF(R156&gt;=0.65*U156,"C",IF(R156&gt;=0.6*U156,"D+",IF(R156&gt;=0.55*U156,"D",IF(R156&gt;=0.5*U156,"E+",IF(R156&gt;=0.45*U156,"E",IF(R156&gt;=0.4*U156,"P",IF(R156&lt;0.4*U156,"F",R156)))))))))))))))))))</f>
        <v>E+</v>
      </c>
      <c r="N156" s="8">
        <f t="shared" ca="1" si="12"/>
        <v>5.5</v>
      </c>
      <c r="O156">
        <f t="shared" si="13"/>
        <v>6</v>
      </c>
      <c r="P156" s="1">
        <f ca="1">IF(ISERROR(F146),"",IF(ISTEXT(VLOOKUP(B146,INDIRECT($F$8),6+(O156-1)*3)),(VLOOKUP(B146,INDIRECT($F$8),6+(O156-1)*3)),SUM(VLOOKUP(B146,INDIRECT($F$8),6+(O156-1)*3),IF(W165,W156,0))))</f>
        <v>14</v>
      </c>
      <c r="Q156" s="1">
        <f ca="1">IF(ISERROR(F146),"",VLOOKUP(B146,INDIRECT($F$8),7+(O156-1)*3))</f>
        <v>12</v>
      </c>
      <c r="R156" s="1">
        <f ca="1">IF(ISERROR(F146),"",SUM(P156:Q156))</f>
        <v>26</v>
      </c>
      <c r="S156" s="1">
        <f ca="1">IF(ISERROR(F146),"",VLOOKUP(A146,INDIRECT($F$8),6+(O156-1)*3))</f>
        <v>30</v>
      </c>
      <c r="T156" s="1">
        <f ca="1">IF(ISERROR(F146),"",VLOOKUP(A146,INDIRECT($F$8),7+(O156-1)*3))</f>
        <v>20</v>
      </c>
      <c r="U156" s="1">
        <f ca="1">IF(ISERROR(F146),"",VLOOKUP(A146,INDIRECT($F$8),8+(O156-1)*3))</f>
        <v>50</v>
      </c>
      <c r="V156" s="1" t="str">
        <f ca="1">IF(ISERROR(F146),"",IF(N156=0,A156,""))</f>
        <v/>
      </c>
      <c r="W156" s="1">
        <f ca="1">IF(ISERROR(F146),"",IF(ISTEXT(VLOOKUP(B146,INDIRECT($F$8),6+(O156-1)*3)),11,IF(VLOOKUP(B146,INDIRECT($F$8),6+(O156-1)*3)&lt;S156*0.3,IF(VLOOKUP(B146,INDIRECT($F$8),8+(O156-1)*3)&lt;U156*0.4,IF(AND(0.4*U156-VLOOKUP(B146,INDIRECT($F$8),8+(O156-1)*3)&lt;=5,0.3*S156-VLOOKUP(B146,INDIRECT($F$8),6+(O156-1)*3)&lt;=5),MAX(0.4*U156-VLOOKUP(B146,INDIRECT($F$8),8+(O156-1)*3),0.3*S156-VLOOKUP(B146,INDIRECT($F$8),6+(O156-1)*3)),11),IF(0.3*S156-VLOOKUP(B146,INDIRECT($F$8),6+(O156-1)*3)&lt;=5,0.3*S156-VLOOKUP(B146,INDIRECT($F$8),6+(O156-1)*3),11)),IF(VLOOKUP(B146,INDIRECT($F$8),8+(O156-1)*3)&lt;U156*0.4,IF(U156*0.4-VLOOKUP(B146,INDIRECT($F$8),8+(O156-1)*3)&lt;=5,U156*0.4-VLOOKUP(B146,INDIRECT($F$8),8+(O156-1)*3),11),0))))</f>
        <v>0</v>
      </c>
      <c r="X156" s="1" t="str">
        <f ca="1">IF(ISERROR(F146),"",IF(W156=0,"",_xlfn.TEXTJOIN("",FALSE," G+",W156," in ",A156)))</f>
        <v/>
      </c>
    </row>
    <row r="157" spans="1:24" ht="11.25" customHeight="1" x14ac:dyDescent="0.2">
      <c r="A157" s="7" t="str">
        <f ca="1">IF(ISERROR(F146),"",VLOOKUP(C146,INDIRECT($F$8),6+(O157-1)*3,0))</f>
        <v>CAT 001</v>
      </c>
      <c r="B157" s="41" t="str">
        <f ca="1">IF(ISERROR(F146),"",VLOOKUP(D146,INDIRECT($F$8),6+(O157-1)*3,0))</f>
        <v>Introduction of Information Technology ($)</v>
      </c>
      <c r="C157" s="41"/>
      <c r="D157" s="41"/>
      <c r="E157" s="41"/>
      <c r="F157" s="7">
        <f ca="1">IF(ISERROR(F146),"",VLOOKUP(E146,INDIRECT($F$8),6+(O157-1)*3,0))</f>
        <v>0</v>
      </c>
      <c r="G157" s="42" t="str">
        <f ca="1">IF(ISERROR(F146),"",_xlfn.TEXTJOIN("/",FALSE,P157,S157))</f>
        <v>NA/30</v>
      </c>
      <c r="H157" s="42"/>
      <c r="I157" s="42" t="str">
        <f ca="1">IF(ISERROR(F146),"",_xlfn.TEXTJOIN("/",FALSE,Q157,T157))</f>
        <v>NA/20</v>
      </c>
      <c r="J157" s="42"/>
      <c r="K157" s="42" t="str">
        <f ca="1">IF(ISERROR(F146),"",_xlfn.TEXTJOIN("/",FALSE,R157,U157))</f>
        <v>0/50</v>
      </c>
      <c r="L157" s="42"/>
      <c r="M157" s="7" t="str">
        <f ca="1">IF(ISERROR(F146),"",IF(ISTEXT(P157),IF(P157="A","Ab",IF(P157="D","Dt",IF(P157="UFM","UFM",IF(P157="NA","-")))),IF(AND(ISBLANK(P157),ISBLANK(R157)),"",IF(P157&lt;0.3*S157,"F",IF(ISBLANK(R157),"",IF(ISTEXT(R157),R157,IF(R157&gt;=0.95*U157,"O",IF(R157&gt;=0.9*U157,"A+",IF(R157&gt;=0.85*U157,"A",IF(R157&gt;=0.8*U157,"B+",IF(R157&gt;=0.75*U157,"B",IF(R157&gt;=0.7*U157,"C+",IF(R157&gt;=0.65*U157,"C",IF(R157&gt;=0.6*U157,"D+",IF(R157&gt;=0.55*U157,"D",IF(R157&gt;=0.5*U157,"E+",IF(R157&gt;=0.45*U157,"E",IF(R157&gt;=0.4*U157,"P",IF(R157&lt;0.4*U157,"F",R157)))))))))))))))))))</f>
        <v>-</v>
      </c>
      <c r="N157" s="8" t="str">
        <f t="shared" ca="1" si="12"/>
        <v>-</v>
      </c>
      <c r="O157">
        <f t="shared" si="13"/>
        <v>7</v>
      </c>
      <c r="P157" s="1" t="str">
        <f ca="1">IF(ISERROR(F146),"",IF(ISTEXT(VLOOKUP(B146,INDIRECT($F$8),6+(O157-1)*3)),(VLOOKUP(B146,INDIRECT($F$8),6+(O157-1)*3)),SUM(VLOOKUP(B146,INDIRECT($F$8),6+(O157-1)*3),IF(W165,W157,0))))</f>
        <v>NA</v>
      </c>
      <c r="Q157" s="1" t="str">
        <f ca="1">IF(ISERROR(F146),"",VLOOKUP(B146,INDIRECT($F$8),7+(O157-1)*3))</f>
        <v>NA</v>
      </c>
      <c r="R157" s="1">
        <f ca="1">IF(ISERROR(F146),"",SUM(P157:Q157))</f>
        <v>0</v>
      </c>
      <c r="S157" s="1">
        <f ca="1">IF(ISERROR(F146),"",VLOOKUP(A146,INDIRECT($F$8),6+(O157-1)*3))</f>
        <v>30</v>
      </c>
      <c r="T157" s="1">
        <f ca="1">IF(ISERROR(F146),"",VLOOKUP(A146,INDIRECT($F$8),7+(O157-1)*3))</f>
        <v>20</v>
      </c>
      <c r="U157" s="1">
        <f ca="1">IF(ISERROR(F146),"",VLOOKUP(A146,INDIRECT($F$8),8+(O157-1)*3))</f>
        <v>50</v>
      </c>
      <c r="V157" s="1" t="str">
        <f ca="1">IF(ISERROR(F146),"",IF(N157=0,A157,""))</f>
        <v/>
      </c>
      <c r="W157" s="1">
        <f ca="1">IF(ISERROR(F146),"",IF(ISTEXT(VLOOKUP(B146,INDIRECT($F$8),6+(O157-1)*3)),11,IF(VLOOKUP(B146,INDIRECT($F$8),6+(O157-1)*3)&lt;S157*0.3,IF(VLOOKUP(B146,INDIRECT($F$8),8+(O157-1)*3)&lt;U157*0.4,IF(AND(0.4*U157-VLOOKUP(B146,INDIRECT($F$8),8+(O157-1)*3)&lt;=5,0.3*S157-VLOOKUP(B146,INDIRECT($F$8),6+(O157-1)*3)&lt;=5),MAX(0.4*U157-VLOOKUP(B146,INDIRECT($F$8),8+(O157-1)*3),0.3*S157-VLOOKUP(B146,INDIRECT($F$8),6+(O157-1)*3)),11),IF(0.3*S157-VLOOKUP(B146,INDIRECT($F$8),6+(O157-1)*3)&lt;=5,0.3*S157-VLOOKUP(B146,INDIRECT($F$8),6+(O157-1)*3),11)),IF(VLOOKUP(B146,INDIRECT($F$8),8+(O157-1)*3)&lt;U157*0.4,IF(U157*0.4-VLOOKUP(B146,INDIRECT($F$8),8+(O157-1)*3)&lt;=5,U157*0.4-VLOOKUP(B146,INDIRECT($F$8),8+(O157-1)*3),11),0))))</f>
        <v>11</v>
      </c>
      <c r="X157" s="1" t="str">
        <f ca="1">IF(ISERROR(F146),"",IF(W157=0,"",_xlfn.TEXTJOIN("",FALSE," G+",W157," in ",A157)))</f>
        <v xml:space="preserve"> G+11 in CAT 001</v>
      </c>
    </row>
    <row r="158" spans="1:24" ht="11.25" customHeight="1" x14ac:dyDescent="0.2">
      <c r="A158" s="7" t="str">
        <f ca="1">IF(ISERROR(F146),"",VLOOKUP(C146,INDIRECT($F$8),6+(O158-1)*3,0))</f>
        <v>CAT 002</v>
      </c>
      <c r="B158" s="41" t="str">
        <f ca="1">IF(ISERROR(F146),"",VLOOKUP(D146,INDIRECT($F$8),6+(O158-1)*3,0))</f>
        <v>Programming Fundamentals with "C" ($)</v>
      </c>
      <c r="C158" s="41"/>
      <c r="D158" s="41"/>
      <c r="E158" s="41"/>
      <c r="F158" s="7">
        <f ca="1">IF(ISERROR(F146),"",VLOOKUP(E146,INDIRECT($F$8),6+(O158-1)*3,0))</f>
        <v>0</v>
      </c>
      <c r="G158" s="42" t="str">
        <f ca="1">IF(ISERROR(F146),"",_xlfn.TEXTJOIN("/",FALSE,P158,S158))</f>
        <v>NA/30</v>
      </c>
      <c r="H158" s="42"/>
      <c r="I158" s="42" t="str">
        <f ca="1">IF(ISERROR(F146),"",_xlfn.TEXTJOIN("/",FALSE,Q158,T158))</f>
        <v>NA/20</v>
      </c>
      <c r="J158" s="42"/>
      <c r="K158" s="42" t="str">
        <f ca="1">IF(ISERROR(F146),"",_xlfn.TEXTJOIN("/",FALSE,R158,U158))</f>
        <v>0/50</v>
      </c>
      <c r="L158" s="42"/>
      <c r="M158" s="7" t="str">
        <f ca="1">IF(ISERROR(F146),"",IF(ISTEXT(P158),IF(P158="A","Ab",IF(P158="D","Dt",IF(P158="UFM","UFM",IF(P158="NA","-")))),IF(AND(ISBLANK(P158),ISBLANK(R158)),"",IF(P158&lt;0.3*S158,"F",IF(ISBLANK(R158),"",IF(ISTEXT(R158),R158,IF(R158&gt;=0.95*U158,"O",IF(R158&gt;=0.9*U158,"A+",IF(R158&gt;=0.85*U158,"A",IF(R158&gt;=0.8*U158,"B+",IF(R158&gt;=0.75*U158,"B",IF(R158&gt;=0.7*U158,"C+",IF(R158&gt;=0.65*U158,"C",IF(R158&gt;=0.6*U158,"D+",IF(R158&gt;=0.55*U158,"D",IF(R158&gt;=0.5*U158,"E+",IF(R158&gt;=0.45*U158,"E",IF(R158&gt;=0.4*U158,"P",IF(R158&lt;0.4*U158,"F",R158)))))))))))))))))))</f>
        <v>-</v>
      </c>
      <c r="N158" s="8" t="str">
        <f t="shared" ca="1" si="12"/>
        <v>-</v>
      </c>
      <c r="O158">
        <f t="shared" si="13"/>
        <v>8</v>
      </c>
      <c r="P158" s="1" t="str">
        <f ca="1">IF(ISERROR(F146),"",IF(ISTEXT(VLOOKUP(B146,INDIRECT($F$8),6+(O158-1)*3)),(VLOOKUP(B146,INDIRECT($F$8),6+(O158-1)*3)),SUM(VLOOKUP(B146,INDIRECT($F$8),6+(O158-1)*3),IF(W165,W158,0))))</f>
        <v>NA</v>
      </c>
      <c r="Q158" s="1" t="str">
        <f ca="1">IF(ISERROR(F146),"",VLOOKUP(B146,INDIRECT($F$8),7+(O158-1)*3))</f>
        <v>NA</v>
      </c>
      <c r="R158" s="1">
        <f ca="1">IF(ISERROR(F146),"",SUM(P158:Q158))</f>
        <v>0</v>
      </c>
      <c r="S158" s="1">
        <f ca="1">IF(ISERROR(F146),"",VLOOKUP(A146,INDIRECT($F$8),6+(O158-1)*3))</f>
        <v>30</v>
      </c>
      <c r="T158" s="1">
        <f ca="1">IF(ISERROR(F146),"",VLOOKUP(A146,INDIRECT($F$8),7+(O158-1)*3))</f>
        <v>20</v>
      </c>
      <c r="U158" s="1">
        <f ca="1">IF(ISERROR(F146),"",VLOOKUP(A146,INDIRECT($F$8),8+(O158-1)*3))</f>
        <v>50</v>
      </c>
      <c r="V158" s="1" t="str">
        <f ca="1">IF(ISERROR(F146),"",IF(N158=0,A158,""))</f>
        <v/>
      </c>
      <c r="W158" s="1">
        <f ca="1">IF(ISERROR(F146),"",IF(ISTEXT(VLOOKUP(B146,INDIRECT($F$8),6+(O158-1)*3)),11,IF(VLOOKUP(B146,INDIRECT($F$8),6+(O158-1)*3)&lt;S158*0.3,IF(VLOOKUP(B146,INDIRECT($F$8),8+(O158-1)*3)&lt;U158*0.4,IF(AND(0.4*U158-VLOOKUP(B146,INDIRECT($F$8),8+(O158-1)*3)&lt;=5,0.3*S158-VLOOKUP(B146,INDIRECT($F$8),6+(O158-1)*3)&lt;=5),MAX(0.4*U158-VLOOKUP(B146,INDIRECT($F$8),8+(O158-1)*3),0.3*S158-VLOOKUP(B146,INDIRECT($F$8),6+(O158-1)*3)),11),IF(0.3*S158-VLOOKUP(B146,INDIRECT($F$8),6+(O158-1)*3)&lt;=5,0.3*S158-VLOOKUP(B146,INDIRECT($F$8),6+(O158-1)*3),11)),IF(VLOOKUP(B146,INDIRECT($F$8),8+(O158-1)*3)&lt;U158*0.4,IF(U158*0.4-VLOOKUP(B146,INDIRECT($F$8),8+(O158-1)*3)&lt;=5,U158*0.4-VLOOKUP(B146,INDIRECT($F$8),8+(O158-1)*3),11),0))))</f>
        <v>11</v>
      </c>
      <c r="X158" s="1" t="str">
        <f ca="1">IF(ISERROR(F146),"",IF(W158=0,"",_xlfn.TEXTJOIN("",FALSE," G+",W158," in ",A158)))</f>
        <v xml:space="preserve"> G+11 in CAT 002</v>
      </c>
    </row>
    <row r="159" spans="1:24" ht="11.25" customHeight="1" x14ac:dyDescent="0.2">
      <c r="A159" s="7" t="str">
        <f ca="1">IF(ISERROR(F146),"",VLOOKUP(C146,INDIRECT($F$8),6+(O159-1)*3,0))</f>
        <v>CAT 003</v>
      </c>
      <c r="B159" s="41" t="str">
        <f ca="1">IF(ISERROR(F146),"",VLOOKUP(D146,INDIRECT($F$8),6+(O159-1)*3-Z159,0))</f>
        <v>Fundamental of Web Technology ($)</v>
      </c>
      <c r="C159" s="41"/>
      <c r="D159" s="41"/>
      <c r="E159" s="41"/>
      <c r="F159" s="7">
        <f ca="1">IF(ISERROR(F146),"",VLOOKUP(E146,INDIRECT($F$8),6+(O159-1)*3,0))</f>
        <v>0</v>
      </c>
      <c r="G159" s="42" t="str">
        <f ca="1">IF(ISERROR(F146),"",_xlfn.TEXTJOIN("/",FALSE,P159,S159))</f>
        <v>NA/30</v>
      </c>
      <c r="H159" s="42"/>
      <c r="I159" s="42" t="str">
        <f ca="1">IF(ISERROR(F146),"",_xlfn.TEXTJOIN("/",FALSE,Q159,T159))</f>
        <v>NA/20</v>
      </c>
      <c r="J159" s="42"/>
      <c r="K159" s="42" t="str">
        <f ca="1">IF(ISERROR(F146),"",_xlfn.TEXTJOIN("/",FALSE,R159,U159))</f>
        <v>0/50</v>
      </c>
      <c r="L159" s="42"/>
      <c r="M159" s="7" t="str">
        <f ca="1">IF(ISERROR(F146),"",IF(ISTEXT(P159),IF(P159="A","Ab",IF(P159="D","Dt",IF(P159="UFM","UFM",IF(P159="NA","-")))),IF(AND(ISBLANK(P159),ISBLANK(R159)),"",IF(P159&lt;0.3*S159,"F",IF(ISBLANK(R159),"",IF(ISTEXT(R159),R159,IF(R159&gt;=0.95*U159,"O",IF(R159&gt;=0.9*U159,"A+",IF(R159&gt;=0.85*U159,"A",IF(R159&gt;=0.8*U159,"B+",IF(R159&gt;=0.75*U159,"B",IF(R159&gt;=0.7*U159,"C+",IF(R159&gt;=0.65*U159,"C",IF(R159&gt;=0.6*U159,"D+",IF(R159&gt;=0.55*U159,"D",IF(R159&gt;=0.5*U159,"E+",IF(R159&gt;=0.45*U159,"E",IF(R159&gt;=0.4*U159,"P",IF(R159&lt;0.4*U159,"F",R159)))))))))))))))))))</f>
        <v>-</v>
      </c>
      <c r="N159" s="8" t="str">
        <f t="shared" ca="1" si="12"/>
        <v>-</v>
      </c>
      <c r="O159">
        <f t="shared" si="13"/>
        <v>9</v>
      </c>
      <c r="P159" s="1" t="str">
        <f ca="1">IF(ISERROR(F146),"",IF(ISTEXT(VLOOKUP(B146,INDIRECT($F$8),6+(O159-1)*3)),(VLOOKUP(B146,INDIRECT($F$8),6+(O159-1)*3)),SUM(VLOOKUP(B146,INDIRECT($F$8),6+(O159-1)*3),IF(W165,W159,0))))</f>
        <v>NA</v>
      </c>
      <c r="Q159" s="1" t="str">
        <f ca="1">IF(ISERROR(F146),"",VLOOKUP(B146,INDIRECT($F$8),7+(O159-1)*3))</f>
        <v>NA</v>
      </c>
      <c r="R159" s="1">
        <f ca="1">IF(ISERROR(F146),"",SUM(P159:Q159))</f>
        <v>0</v>
      </c>
      <c r="S159" s="1">
        <f ca="1">IF(ISERROR(F146),"",VLOOKUP(A146,INDIRECT($F$8),6+(O159-1)*3))</f>
        <v>30</v>
      </c>
      <c r="T159" s="1">
        <f ca="1">IF(ISERROR(F146),"",VLOOKUP(A146,INDIRECT($F$8),7+(O159-1)*3))</f>
        <v>20</v>
      </c>
      <c r="U159" s="1">
        <f ca="1">IF(ISERROR(F146),"",VLOOKUP(A146,INDIRECT($F$8),8+(O159-1)*3))</f>
        <v>50</v>
      </c>
      <c r="V159" s="1" t="str">
        <f ca="1">IF(ISERROR(F146),"",IF(N159=0,A159,""))</f>
        <v/>
      </c>
      <c r="W159" s="1">
        <f ca="1">IF(ISERROR(F146),"",IF(ISTEXT(VLOOKUP(B146,INDIRECT($F$8),6+(O159-1)*3)),11,IF(VLOOKUP(B146,INDIRECT($F$8),6+(O159-1)*3)&lt;S159*0.3,IF(VLOOKUP(B146,INDIRECT($F$8),8+(O159-1)*3)&lt;U159*0.4,IF(AND(0.4*U159-VLOOKUP(B146,INDIRECT($F$8),8+(O159-1)*3)&lt;=5,0.3*S159-VLOOKUP(B146,INDIRECT($F$8),6+(O159-1)*3)&lt;=5),MAX(0.4*U159-VLOOKUP(B146,INDIRECT($F$8),8+(O159-1)*3),0.3*S159-VLOOKUP(B146,INDIRECT($F$8),6+(O159-1)*3)),11),IF(0.3*S159-VLOOKUP(B146,INDIRECT($F$8),6+(O159-1)*3)&lt;=5,0.3*S159-VLOOKUP(B146,INDIRECT($F$8),6+(O159-1)*3),11)),IF(VLOOKUP(B146,INDIRECT($F$8),8+(O159-1)*3)&lt;U159*0.4,IF(U159*0.4-VLOOKUP(B146,INDIRECT($F$8),8+(O159-1)*3)&lt;=5,U159*0.4-VLOOKUP(B146,INDIRECT($F$8),8+(O159-1)*3),11),0))))</f>
        <v>11</v>
      </c>
      <c r="X159" s="1" t="str">
        <f ca="1">IF(ISERROR(F146),"",IF(W159=0,"",_xlfn.TEXTJOIN("",FALSE," G+",W159," in ",A159)))</f>
        <v xml:space="preserve"> G+11 in CAT 003</v>
      </c>
    </row>
    <row r="160" spans="1:24" ht="11.25" customHeight="1" x14ac:dyDescent="0.2">
      <c r="A160" s="7" t="str">
        <f ca="1">IF(ISERROR(F146),"",VLOOKUP(C146,INDIRECT($F$8),6+(O160-1)*3,0))</f>
        <v>CAP 001</v>
      </c>
      <c r="B160" s="41" t="str">
        <f ca="1">IF(ISERROR(F146),"",VLOOKUP(D146,INDIRECT($F$8),6+(O160-1)*3-Z160,0))</f>
        <v>Database Management System Lab</v>
      </c>
      <c r="C160" s="41"/>
      <c r="D160" s="41"/>
      <c r="E160" s="41"/>
      <c r="F160" s="7">
        <f ca="1">IF(ISERROR(F146),"",VLOOKUP(E146,INDIRECT($F$8),6+(O160-1)*3,0))</f>
        <v>1</v>
      </c>
      <c r="G160" s="42" t="str">
        <f ca="1">IF(ISERROR(F146),"",_xlfn.TEXTJOIN("/",FALSE,P160,S160))</f>
        <v>25/30</v>
      </c>
      <c r="H160" s="42"/>
      <c r="I160" s="42" t="str">
        <f ca="1">IF(ISERROR(F146),"",_xlfn.TEXTJOIN("/",FALSE,Q160,T160))</f>
        <v>15/20</v>
      </c>
      <c r="J160" s="42"/>
      <c r="K160" s="42" t="str">
        <f ca="1">IF(ISERROR(F146),"",_xlfn.TEXTJOIN("/",FALSE,R160,U160))</f>
        <v>40/50</v>
      </c>
      <c r="L160" s="42"/>
      <c r="M160" s="7" t="str">
        <f ca="1">IF(ISERROR(F146),"",IF(ISTEXT(P160),IF(P160="A","Ab",IF(P160="D","Dt",IF(P160="UFM","UFM",IF(P160="NA","-")))),IF(AND(ISBLANK(P160),ISBLANK(R160)),"",IF(P160&lt;0.3*S160,"F",IF(ISBLANK(R160),"",IF(ISTEXT(R160),R160,IF(R160&gt;=0.95*U160,"O",IF(R160&gt;=0.9*U160,"A+",IF(R160&gt;=0.85*U160,"A",IF(R160&gt;=0.8*U160,"B+",IF(R160&gt;=0.75*U160,"B",IF(R160&gt;=0.7*U160,"C+",IF(R160&gt;=0.65*U160,"C",IF(R160&gt;=0.6*U160,"D+",IF(R160&gt;=0.55*U160,"D",IF(R160&gt;=0.5*U160,"E+",IF(R160&gt;=0.45*U160,"E",IF(R160&gt;=0.4*U160,"P",IF(R160&lt;0.4*U160,"F",R160)))))))))))))))))))</f>
        <v>B+</v>
      </c>
      <c r="N160" s="8">
        <f t="shared" ca="1" si="12"/>
        <v>8.5</v>
      </c>
      <c r="O160">
        <f t="shared" si="13"/>
        <v>10</v>
      </c>
      <c r="P160" s="1">
        <f ca="1">IF(ISERROR(F146),"",IF(ISTEXT(VLOOKUP(B146,INDIRECT($F$8),6+(O160-1)*3)),(VLOOKUP(B146,INDIRECT($F$8),6+(O160-1)*3)),SUM(VLOOKUP(B146,INDIRECT($F$8),6+(O160-1)*3),IF(W165,W160,0))))</f>
        <v>25</v>
      </c>
      <c r="Q160" s="1">
        <f ca="1">IF(ISERROR(F146),"",VLOOKUP(B146,INDIRECT($F$8),7+(O160-1)*3))</f>
        <v>15</v>
      </c>
      <c r="R160" s="1">
        <f ca="1">IF(ISERROR(F146),"",SUM(P160:Q160))</f>
        <v>40</v>
      </c>
      <c r="S160" s="1">
        <f ca="1">IF(ISERROR(F146),"",VLOOKUP(A146,INDIRECT($F$8),6+(O160-1)*3))</f>
        <v>30</v>
      </c>
      <c r="T160" s="1">
        <f ca="1">IF(ISERROR(F146),"",VLOOKUP(A146,INDIRECT($F$8),7+(O160-1)*3))</f>
        <v>20</v>
      </c>
      <c r="U160" s="1">
        <f ca="1">IF(ISERROR(F146),"",VLOOKUP(A146,INDIRECT($F$8),8+(O160-1)*3))</f>
        <v>50</v>
      </c>
      <c r="V160" s="1" t="str">
        <f ca="1">IF(ISERROR(F146),"",IF(N160=0,A160,""))</f>
        <v/>
      </c>
      <c r="W160" s="1">
        <f ca="1">IF(ISERROR(F146),"",IF(ISTEXT(VLOOKUP(B146,INDIRECT($F$8),6+(O160-1)*3)),11,IF(VLOOKUP(B146,INDIRECT($F$8),6+(O160-1)*3)&lt;S160*0.3,IF(VLOOKUP(B146,INDIRECT($F$8),8+(O160-1)*3)&lt;U160*0.4,IF(AND(0.4*U160-VLOOKUP(B146,INDIRECT($F$8),8+(O160-1)*3)&lt;=5,0.3*S160-VLOOKUP(B146,INDIRECT($F$8),6+(O160-1)*3)&lt;=5),MAX(0.4*U160-VLOOKUP(B146,INDIRECT($F$8),8+(O160-1)*3),0.3*S160-VLOOKUP(B146,INDIRECT($F$8),6+(O160-1)*3)),11),IF(0.3*S160-VLOOKUP(B146,INDIRECT($F$8),6+(O160-1)*3)&lt;=5,0.3*S160-VLOOKUP(B146,INDIRECT($F$8),6+(O160-1)*3),11)),IF(VLOOKUP(B146,INDIRECT($F$8),8+(O160-1)*3)&lt;U160*0.4,IF(U160*0.4-VLOOKUP(B146,INDIRECT($F$8),8+(O160-1)*3)&lt;=5,U160*0.4-VLOOKUP(B146,INDIRECT($F$8),8+(O160-1)*3),11),0))))</f>
        <v>0</v>
      </c>
      <c r="X160" s="1" t="str">
        <f ca="1">IF(ISERROR(F146),"",IF(W160=0,"",_xlfn.TEXTJOIN("",FALSE," G+",W160," in ",A160)))</f>
        <v/>
      </c>
    </row>
    <row r="161" spans="1:24" ht="11.25" customHeight="1" x14ac:dyDescent="0.2">
      <c r="A161" s="7" t="str">
        <f ca="1">IF(ISERROR(F146),"",VLOOKUP(C146,INDIRECT($F$8),6+(O161-1)*3,0))</f>
        <v>CAP 002</v>
      </c>
      <c r="B161" s="41" t="str">
        <f ca="1">IF(ISERROR(F146),"",VLOOKUP(D146,INDIRECT($F$8),6+(O161-1)*3,0))</f>
        <v>Operating System Lab</v>
      </c>
      <c r="C161" s="41"/>
      <c r="D161" s="41"/>
      <c r="E161" s="41"/>
      <c r="F161" s="7">
        <f ca="1">IF(ISERROR(F146),"",VLOOKUP(E146,INDIRECT($F$8),6+(O161-1)*3,0))</f>
        <v>1</v>
      </c>
      <c r="G161" s="42" t="str">
        <f ca="1">IF(ISERROR(F146),"",_xlfn.TEXTJOIN("/",FALSE,P161,S161))</f>
        <v>24/30</v>
      </c>
      <c r="H161" s="42"/>
      <c r="I161" s="42" t="str">
        <f ca="1">IF(ISERROR(F146),"",_xlfn.TEXTJOIN("/",FALSE,Q161,T161))</f>
        <v>16/20</v>
      </c>
      <c r="J161" s="42"/>
      <c r="K161" s="42" t="str">
        <f ca="1">IF(ISERROR(F146),"",_xlfn.TEXTJOIN("/",FALSE,R161,U161))</f>
        <v>40/50</v>
      </c>
      <c r="L161" s="42"/>
      <c r="M161" s="7" t="str">
        <f ca="1">IF(ISERROR(F146),"",IF(ISTEXT(P161),IF(P161="A","Ab",IF(P161="D","Dt",IF(P161="UFM","UFM",IF(P161="NA","-")))),IF(AND(ISBLANK(P161),ISBLANK(R161)),"",IF(P161&lt;0.3*S161,"F",IF(ISBLANK(R161),"",IF(ISTEXT(R161),R161,IF(R161&gt;=0.95*U161,"O",IF(R161&gt;=0.9*U161,"A+",IF(R161&gt;=0.85*U161,"A",IF(R161&gt;=0.8*U161,"B+",IF(R161&gt;=0.75*U161,"B",IF(R161&gt;=0.7*U161,"C+",IF(R161&gt;=0.65*U161,"C",IF(R161&gt;=0.6*U161,"D+",IF(R161&gt;=0.55*U161,"D",IF(R161&gt;=0.5*U161,"E+",IF(R161&gt;=0.45*U161,"E",IF(R161&gt;=0.4*U161,"P",IF(R161&lt;0.4*U161,"F",R161)))))))))))))))))))</f>
        <v>B+</v>
      </c>
      <c r="N161" s="8">
        <f t="shared" ca="1" si="12"/>
        <v>8.5</v>
      </c>
      <c r="O161">
        <f t="shared" si="13"/>
        <v>11</v>
      </c>
      <c r="P161" s="1">
        <f ca="1">IF(ISERROR(F146),"",IF(ISTEXT(VLOOKUP(B146,INDIRECT($F$8),6+(O161-1)*3)),(VLOOKUP(B146,INDIRECT($F$8),6+(O161-1)*3)),SUM(VLOOKUP(B146,INDIRECT($F$8),6+(O161-1)*3),IF(W165,W161,0))))</f>
        <v>24</v>
      </c>
      <c r="Q161" s="1">
        <f ca="1">IF(ISERROR(F146),"",VLOOKUP(B146,INDIRECT($F$8),7+(O161-1)*3))</f>
        <v>16</v>
      </c>
      <c r="R161" s="1">
        <f ca="1">IF(ISERROR(F146),"",SUM(P161:Q161))</f>
        <v>40</v>
      </c>
      <c r="S161" s="1">
        <f ca="1">IF(ISERROR(F146),"",VLOOKUP(A146,INDIRECT($F$8),6+(O161-1)*3))</f>
        <v>30</v>
      </c>
      <c r="T161" s="1">
        <f ca="1">IF(ISERROR(F146),"",VLOOKUP(A146,INDIRECT($F$8),7+(O161-1)*3))</f>
        <v>20</v>
      </c>
      <c r="U161" s="1">
        <f ca="1">IF(ISERROR(F146),"",VLOOKUP(A146,INDIRECT($F$8),8+(O161-1)*3))</f>
        <v>50</v>
      </c>
      <c r="V161" s="1" t="str">
        <f ca="1">IF(ISERROR(F146),"",IF(N161=0,A161,""))</f>
        <v/>
      </c>
      <c r="W161" s="1">
        <f ca="1">IF(ISERROR(F146),"",IF(ISTEXT(VLOOKUP(B146,INDIRECT($F$8),6+(O161-1)*3)),11,IF(VLOOKUP(B146,INDIRECT($F$8),6+(O161-1)*3)&lt;S161*0.3,IF(VLOOKUP(B146,INDIRECT($F$8),8+(O161-1)*3)&lt;U161*0.4,IF(AND(0.4*U161-VLOOKUP(B146,INDIRECT($F$8),8+(O161-1)*3)&lt;=5,0.3*S161-VLOOKUP(B146,INDIRECT($F$8),6+(O161-1)*3)&lt;=5),MAX(0.4*U161-VLOOKUP(B146,INDIRECT($F$8),8+(O161-1)*3),0.3*S161-VLOOKUP(B146,INDIRECT($F$8),6+(O161-1)*3)),11),IF(0.3*S161-VLOOKUP(B146,INDIRECT($F$8),6+(O161-1)*3)&lt;=5,0.3*S161-VLOOKUP(B146,INDIRECT($F$8),6+(O161-1)*3),11)),IF(VLOOKUP(B146,INDIRECT($F$8),8+(O161-1)*3)&lt;U161*0.4,IF(U161*0.4-VLOOKUP(B146,INDIRECT($F$8),8+(O161-1)*3)&lt;=5,U161*0.4-VLOOKUP(B146,INDIRECT($F$8),8+(O161-1)*3),11),0))))</f>
        <v>0</v>
      </c>
      <c r="X161" s="1" t="str">
        <f ca="1">IF(ISERROR(F146),"",IF(W161=0,"",_xlfn.TEXTJOIN("",FALSE," G+",W161," in ",A161)))</f>
        <v/>
      </c>
    </row>
    <row r="162" spans="1:24" ht="11.25" customHeight="1" x14ac:dyDescent="0.2">
      <c r="A162" s="7" t="str">
        <f ca="1">IF(ISERROR(F146),"",VLOOKUP(C146,INDIRECT($F$8),6+(O162-1)*3,0))</f>
        <v>CAP 003</v>
      </c>
      <c r="B162" s="41" t="str">
        <f ca="1">IF(ISERROR(F146),"",VLOOKUP(D146,INDIRECT($F$8),6+(O162-1)*3,0))</f>
        <v>Computer Organization Lab</v>
      </c>
      <c r="C162" s="41"/>
      <c r="D162" s="41"/>
      <c r="E162" s="41"/>
      <c r="F162" s="7">
        <f ca="1">IF(ISERROR(F146),"",VLOOKUP(E146,INDIRECT($F$8),6+(O162-1)*3,0))</f>
        <v>1</v>
      </c>
      <c r="G162" s="42" t="str">
        <f ca="1">IF(ISERROR(F146),"",_xlfn.TEXTJOIN("/",FALSE,P162,S162))</f>
        <v>27/30</v>
      </c>
      <c r="H162" s="42"/>
      <c r="I162" s="42" t="str">
        <f ca="1">IF(ISERROR(F146),"",_xlfn.TEXTJOIN("/",FALSE,Q162,T162))</f>
        <v>18/20</v>
      </c>
      <c r="J162" s="42"/>
      <c r="K162" s="42" t="str">
        <f ca="1">IF(ISERROR(F146),"",_xlfn.TEXTJOIN("/",FALSE,R162,U162))</f>
        <v>45/50</v>
      </c>
      <c r="L162" s="42"/>
      <c r="M162" s="7" t="str">
        <f ca="1">IF(ISERROR(F146),"",IF(ISTEXT(P162),IF(P162="A","Ab",IF(P162="D","Dt",IF(P162="UFM","UFM",IF(P162="NA","-")))),IF(AND(ISBLANK(P162),ISBLANK(R162)),"",IF(P162&lt;0.3*S162,"F",IF(ISBLANK(R162),"",IF(ISTEXT(R162),R162,IF(R162&gt;=0.95*U162,"O",IF(R162&gt;=0.9*U162,"A+",IF(R162&gt;=0.85*U162,"A",IF(R162&gt;=0.8*U162,"B+",IF(R162&gt;=0.75*U162,"B",IF(R162&gt;=0.7*U162,"C+",IF(R162&gt;=0.65*U162,"C",IF(R162&gt;=0.6*U162,"D+",IF(R162&gt;=0.55*U162,"D",IF(R162&gt;=0.5*U162,"E+",IF(R162&gt;=0.45*U162,"E",IF(R162&gt;=0.4*U162,"P",IF(R162&lt;0.4*U162,"F",R162)))))))))))))))))))</f>
        <v>A+</v>
      </c>
      <c r="N162" s="8">
        <f t="shared" ca="1" si="12"/>
        <v>9.5</v>
      </c>
      <c r="O162">
        <f t="shared" si="13"/>
        <v>12</v>
      </c>
      <c r="P162" s="1">
        <f ca="1">IF(ISERROR(F146),"",IF(ISTEXT(VLOOKUP(B146,INDIRECT($F$8),6+(O162-1)*3)),(VLOOKUP(B146,INDIRECT($F$8),6+(O162-1)*3)),SUM(VLOOKUP(B146,INDIRECT($F$8),6+(O162-1)*3),IF(W165,W162,0))))</f>
        <v>27</v>
      </c>
      <c r="Q162" s="1">
        <f ca="1">IF(ISERROR(F146),"",VLOOKUP(B146,INDIRECT($F$8),7+(O162-1)*3))</f>
        <v>18</v>
      </c>
      <c r="R162" s="1">
        <f ca="1">IF(ISERROR(F146),"",SUM(P162:Q162))</f>
        <v>45</v>
      </c>
      <c r="S162" s="1">
        <f ca="1">IF(ISERROR(F146),"",VLOOKUP(A146,INDIRECT($F$8),6+(O162-1)*3))</f>
        <v>30</v>
      </c>
      <c r="T162" s="1">
        <f ca="1">IF(ISERROR(F146),"",VLOOKUP(A146,INDIRECT($F$8),7+(O162-1)*3))</f>
        <v>20</v>
      </c>
      <c r="U162" s="1">
        <f ca="1">IF(ISERROR(F146),"",VLOOKUP(A146,INDIRECT($F$8),8+(O162-1)*3))</f>
        <v>50</v>
      </c>
      <c r="V162" s="1" t="str">
        <f ca="1">IF(ISERROR(F146),"",IF(N162=0,A162,""))</f>
        <v/>
      </c>
      <c r="W162" s="1">
        <f ca="1">IF(ISERROR(F146),"",IF(ISTEXT(VLOOKUP(B146,INDIRECT($F$8),6+(O162-1)*3)),11,IF(VLOOKUP(B146,INDIRECT($F$8),6+(O162-1)*3)&lt;S162*0.3,IF(VLOOKUP(B146,INDIRECT($F$8),8+(O162-1)*3)&lt;U162*0.4,IF(AND(0.4*U162-VLOOKUP(B146,INDIRECT($F$8),8+(O162-1)*3)&lt;=5,0.3*S162-VLOOKUP(B146,INDIRECT($F$8),6+(O162-1)*3)&lt;=5),MAX(0.4*U162-VLOOKUP(B146,INDIRECT($F$8),8+(O162-1)*3),0.3*S162-VLOOKUP(B146,INDIRECT($F$8),6+(O162-1)*3)),11),IF(0.3*S162-VLOOKUP(B146,INDIRECT($F$8),6+(O162-1)*3)&lt;=5,0.3*S162-VLOOKUP(B146,INDIRECT($F$8),6+(O162-1)*3),11)),IF(VLOOKUP(B146,INDIRECT($F$8),8+(O162-1)*3)&lt;U162*0.4,IF(U162*0.4-VLOOKUP(B146,INDIRECT($F$8),8+(O162-1)*3)&lt;=5,U162*0.4-VLOOKUP(B146,INDIRECT($F$8),8+(O162-1)*3),11),0))))</f>
        <v>0</v>
      </c>
      <c r="X162" s="1" t="str">
        <f ca="1">IF(ISERROR(F146),"",IF(W162=0,"",_xlfn.TEXTJOIN("",FALSE," G+",W162," in ",A162)))</f>
        <v/>
      </c>
    </row>
    <row r="163" spans="1:24" ht="11.25" customHeight="1" x14ac:dyDescent="0.2">
      <c r="A163" s="7" t="str">
        <f ca="1">IF(ISERROR(F146),"",VLOOKUP(C146,INDIRECT($F$8),6+(O163-1)*3,0))</f>
        <v>AHP 303</v>
      </c>
      <c r="B163" s="41" t="str">
        <f ca="1">IF(ISERROR(F146),"",VLOOKUP(D146,INDIRECT($F$8),6+(O163-1)*3,0))</f>
        <v>Technical Communication Skills</v>
      </c>
      <c r="C163" s="41"/>
      <c r="D163" s="41"/>
      <c r="E163" s="41"/>
      <c r="F163" s="7">
        <f ca="1">IF(ISERROR(F146),"",VLOOKUP(E146,INDIRECT($F$8),6+(O163-1)*3,0))</f>
        <v>1</v>
      </c>
      <c r="G163" s="42" t="str">
        <f ca="1">IF(ISERROR(F146),"",_xlfn.TEXTJOIN("/",FALSE,P163,S163))</f>
        <v>25/30</v>
      </c>
      <c r="H163" s="42"/>
      <c r="I163" s="42" t="str">
        <f ca="1">IF(ISERROR(F146),"",_xlfn.TEXTJOIN("/",FALSE,Q163,T163))</f>
        <v>16/20</v>
      </c>
      <c r="J163" s="42"/>
      <c r="K163" s="42" t="str">
        <f ca="1">IF(ISERROR(F146),"",_xlfn.TEXTJOIN("/",FALSE,R163,U163))</f>
        <v>41/50</v>
      </c>
      <c r="L163" s="42"/>
      <c r="M163" s="7" t="str">
        <f ca="1">IF(ISERROR(F146),"",IF(ISTEXT(P163),IF(P163="A","Ab",IF(P163="D","Dt",IF(P163="UFM","UFM",IF(P163="NA","-")))),IF(AND(ISBLANK(P163),ISBLANK(R163)),"",IF(P163&lt;0.3*S163,"F",IF(ISBLANK(R163),"",IF(ISTEXT(R163),R163,IF(R163&gt;=0.95*U163,"O",IF(R163&gt;=0.9*U163,"A+",IF(R163&gt;=0.85*U163,"A",IF(R163&gt;=0.8*U163,"B+",IF(R163&gt;=0.75*U163,"B",IF(R163&gt;=0.7*U163,"C+",IF(R163&gt;=0.65*U163,"C",IF(R163&gt;=0.6*U163,"D+",IF(R163&gt;=0.55*U163,"D",IF(R163&gt;=0.5*U163,"E+",IF(R163&gt;=0.45*U163,"E",IF(R163&gt;=0.4*U163,"P",IF(R163&lt;0.4*U163,"F",R163)))))))))))))))))))</f>
        <v>B+</v>
      </c>
      <c r="N163" s="8">
        <f t="shared" ca="1" si="12"/>
        <v>8.5</v>
      </c>
      <c r="O163">
        <f t="shared" si="13"/>
        <v>13</v>
      </c>
      <c r="P163" s="1">
        <f ca="1">IF(ISERROR(F146),"",IF(ISTEXT(VLOOKUP(B146,INDIRECT($F$8),6+(O163-1)*3)),(VLOOKUP(B146,INDIRECT($F$8),6+(O163-1)*3)),SUM(VLOOKUP(B146,INDIRECT($F$8),6+(O163-1)*3),IF(W165,W163,0))))</f>
        <v>25</v>
      </c>
      <c r="Q163" s="1">
        <f ca="1">IF(ISERROR(F146),"",VLOOKUP(B146,INDIRECT($F$8),7+(O163-1)*3))</f>
        <v>16</v>
      </c>
      <c r="R163" s="1">
        <f ca="1">IF(ISERROR(F146),"",SUM(P163:Q163))</f>
        <v>41</v>
      </c>
      <c r="S163" s="1">
        <f ca="1">IF(ISERROR(F146),"",VLOOKUP(A146,INDIRECT($F$8),6+(O163-1)*3))</f>
        <v>30</v>
      </c>
      <c r="T163" s="1">
        <f ca="1">IF(ISERROR(F146),"",VLOOKUP(A146,INDIRECT($F$8),7+(O163-1)*3))</f>
        <v>20</v>
      </c>
      <c r="U163" s="1">
        <f ca="1">IF(ISERROR(F146),"",VLOOKUP(A146,INDIRECT($F$8),8+(O163-1)*3))</f>
        <v>50</v>
      </c>
      <c r="V163" s="1"/>
      <c r="W163" s="1">
        <f ca="1">IF(ISERROR(F146),"",IF(ISTEXT(VLOOKUP(B146,INDIRECT($F$8),6+(O163-1)*3)),11,IF(VLOOKUP(B146,INDIRECT($F$8),6+(O163-1)*3)&lt;S163*0.3,IF(VLOOKUP(B146,INDIRECT($F$8),8+(O163-1)*3)&lt;U163*0.4,IF(AND(0.4*U163-VLOOKUP(B146,INDIRECT($F$8),8+(O163-1)*3)&lt;=5,0.3*S163-VLOOKUP(B146,INDIRECT($F$8),6+(O163-1)*3)&lt;=5),MAX(0.4*U163-VLOOKUP(B146,INDIRECT($F$8),8+(O163-1)*3),0.3*S163-VLOOKUP(B146,INDIRECT($F$8),6+(O163-1)*3)),11),IF(0.3*S163-VLOOKUP(B146,INDIRECT($F$8),6+(O163-1)*3)&lt;=5,0.3*S163-VLOOKUP(B146,INDIRECT($F$8),6+(O163-1)*3),11)),IF(VLOOKUP(B146,INDIRECT($F$8),8+(O163-1)*3)&lt;U163*0.4,IF(U163*0.4-VLOOKUP(B146,INDIRECT($F$8),8+(O163-1)*3)&lt;=5,U163*0.4-VLOOKUP(B146,INDIRECT($F$8),8+(O163-1)*3),11),0))))</f>
        <v>0</v>
      </c>
      <c r="X163" s="1" t="str">
        <f ca="1">IF(ISERROR(F146),"",IF(W163=0,"",_xlfn.TEXTJOIN("",FALSE," G+",W163," in ",A163)))</f>
        <v/>
      </c>
    </row>
    <row r="164" spans="1:24" s="32" customFormat="1" ht="11.25" customHeight="1" x14ac:dyDescent="0.2">
      <c r="A164" s="31">
        <f ca="1">IF(ISERROR(F146),"",VLOOKUP(C146,INDIRECT($F$8),6+(O164-1)*3-Y164,0))</f>
        <v>0</v>
      </c>
      <c r="B164" s="49">
        <f ca="1">IF(ISERROR(F146),"",VLOOKUP(D146,INDIRECT($F$8),6+(O164-1)*3-Z164,0))</f>
        <v>0</v>
      </c>
      <c r="C164" s="49"/>
      <c r="D164" s="49"/>
      <c r="E164" s="49"/>
      <c r="F164" s="31">
        <f ca="1">IF(ISERROR(F146),"",VLOOKUP(E146,INDIRECT($F$8),6+(O164-1)*3-AA164,0))</f>
        <v>0</v>
      </c>
      <c r="G164" s="50" t="str">
        <f ca="1">IF(ISERROR(F146),"","-")</f>
        <v>-</v>
      </c>
      <c r="H164" s="50"/>
      <c r="I164" s="50" t="str">
        <f ca="1">IF(ISERROR(F146),"",_xlfn.TEXTJOIN("/",FALSE,Q164,T164))</f>
        <v>0/0</v>
      </c>
      <c r="J164" s="50"/>
      <c r="K164" s="50" t="str">
        <f ca="1">IF(ISERROR(F146),"",_xlfn.TEXTJOIN("/",FALSE,R164,U164))</f>
        <v>0/0</v>
      </c>
      <c r="L164" s="50"/>
      <c r="M164" s="50" t="str">
        <f ca="1">IF(ISBLANK(R164),"",IF(ISTEXT(R164),R164,IF(R164&gt;=0.8*U164,"Excellent",IF(R164&gt;=0.6*U164,"Very Good",IF(R164&gt;=0.4*U164,"Good",IF(R164&gt;=0.2*U164,"Satisfactory","Average"))))))</f>
        <v>Excellent</v>
      </c>
      <c r="N164" s="50"/>
      <c r="O164" s="32">
        <f t="shared" si="13"/>
        <v>14</v>
      </c>
      <c r="P164" s="33">
        <f ca="1">IF(ISERROR(F146),"",IF(ISTEXT(VLOOKUP(B\28,INDIRECT($F$8),6+(O164-1)*3)),(VLOOKUP(B146,INDIRECT($F$8),6+(O164-1)*3)),SUM(VLOOKUP(B146,INDIRECT($F$8),6+(O164-1)*3),IF(W165,W164,0))))</f>
        <v>0</v>
      </c>
      <c r="Q164" s="33">
        <f ca="1">IF(ISERROR(F146),"",VLOOKUP(B146,INDIRECT($F$8),7+(O164-1)*3))</f>
        <v>0</v>
      </c>
      <c r="R164" s="33">
        <f ca="1">IF(ISERROR(F146),"",SUM(P164:Q164))</f>
        <v>0</v>
      </c>
      <c r="S164" s="33">
        <f ca="1">IF(ISERROR(F146),"",VLOOKUP(A146,INDIRECT($F$8),6+(O164-1)*3))</f>
        <v>0</v>
      </c>
      <c r="T164" s="33">
        <f ca="1">IF(ISERROR(F146),"",VLOOKUP(A146,INDIRECT($F$8),7+(O164-1)*3))</f>
        <v>0</v>
      </c>
      <c r="U164" s="33">
        <f ca="1">IF(ISERROR(F146),"",VLOOKUP(A146,INDIRECT($F$8),8+(O164-1)*3))</f>
        <v>0</v>
      </c>
      <c r="V164" s="33"/>
      <c r="W164" s="33"/>
      <c r="X164" s="33" t="str">
        <f ca="1">IF(ISERROR(F146),"",IF(W164=0,"",_xlfn.TEXTJOIN("",FALSE," G+",W164," in ",A164)))</f>
        <v/>
      </c>
    </row>
    <row r="165" spans="1:24" ht="11.25" customHeight="1" x14ac:dyDescent="0.2">
      <c r="A165" s="43" t="str">
        <f ca="1">IF(ISERROR(F146),"",A142)</f>
        <v>Total Credits/ Marks/ Total Grade Points</v>
      </c>
      <c r="B165" s="43"/>
      <c r="C165" s="43"/>
      <c r="D165" s="43"/>
      <c r="E165" s="43"/>
      <c r="F165" s="10">
        <f ca="1">IF(ISERROR(F146),"",SUM(F151:F164))</f>
        <v>24</v>
      </c>
      <c r="G165" s="44" t="str">
        <f ca="1">IF(ISERROR(F146),"",_xlfn.TEXTJOIN("/",TRUE,SUMIF(F151:F164,"&gt;0",P151:P164),SUMIF(F151:F164,"&gt;0",S151:S164)))</f>
        <v>334/620</v>
      </c>
      <c r="H165" s="44"/>
      <c r="I165" s="44" t="str">
        <f ca="1">IF(ISERROR(F146),"",_xlfn.TEXTJOIN("/",TRUE,SUMIF(F151:F164,"&gt;0",Q151:Q164),SUMIF(F151:F164,"&gt;0",T151:T164)))</f>
        <v>261/330</v>
      </c>
      <c r="J165" s="44"/>
      <c r="K165" s="44" t="str">
        <f ca="1">IF(ISERROR(F146),"",_xlfn.TEXTJOIN("/",TRUE,SUMIF(F151:F164,"&gt;0",R151:R164),SUMIF(F151:F164,"&gt;0",U151:U164)))</f>
        <v>595/950</v>
      </c>
      <c r="L165" s="44"/>
      <c r="M165" s="43">
        <f ca="1">IF(ISERROR(F146),"",SUMPRODUCT(N151:N163,F151:F163))</f>
        <v>155</v>
      </c>
      <c r="N165" s="43"/>
      <c r="V165" s="1" t="str">
        <f ca="1">IF(ISERROR(F146),"",_xlfn.TEXTJOIN(", ",TRUE,V151:V164))</f>
        <v/>
      </c>
      <c r="W165" t="b">
        <f ca="1">IF(ISERROR(F146),"",IF(SUM(W151:W164)&lt;=W150,TRUE,FALSE))</f>
        <v>0</v>
      </c>
      <c r="X165" s="1" t="str">
        <f ca="1">_xlfn.TEXTJOIN(",",TRUE,X151:X164)</f>
        <v xml:space="preserve"> G+11 in CAT 001, G+11 in CAT 002, G+11 in CAT 003</v>
      </c>
    </row>
    <row r="166" spans="1:24" ht="11.25" customHeight="1" x14ac:dyDescent="0.2">
      <c r="A166" s="43" t="str">
        <f ca="1">IF(ISERROR(F146),"",A143)</f>
        <v>Result:</v>
      </c>
      <c r="B166" s="45" t="str">
        <f ca="1">IF(ISERROR(F146),"",IF(V165="","PASS","CARRY OVER"))</f>
        <v>PASS</v>
      </c>
      <c r="C166" s="45"/>
      <c r="D166" s="43" t="str">
        <f ca="1">IF(ISERROR(F146),"",D143)</f>
        <v>Remark:</v>
      </c>
      <c r="E166" s="45" t="str">
        <f ca="1">IF(ISERROR(F146),"",IF(W165,X165,IF(V165="","",_xlfn.TEXTJOIN("",TRUE,"BACK IN ",V165))))</f>
        <v/>
      </c>
      <c r="F166" s="45"/>
      <c r="G166" s="43" t="str">
        <f ca="1">IF(ISERROR(F146),"",G143)</f>
        <v>SGPA:</v>
      </c>
      <c r="H166" s="46">
        <f ca="1">IF(ISERROR(F146),"",M165/F165)</f>
        <v>6.458333333333333</v>
      </c>
      <c r="I166" s="43" t="str">
        <f ca="1">IF(ISERROR(F146),"",I143)</f>
        <v>CGPA:</v>
      </c>
      <c r="J166" s="46">
        <f ca="1">IF(ISERROR(F146),"",VLOOKUP(B146,INDIRECT($F$8),12+(O164-1)*3,0))</f>
        <v>6.458333333333333</v>
      </c>
      <c r="K166" s="45" t="str">
        <f ca="1">IF(ISERROR(F146),"",K143)</f>
        <v>Earned Credits:</v>
      </c>
      <c r="L166" s="43">
        <f ca="1">IF(ISERROR(F146),"",SUMIF(N151:N163,"&gt;0",F151:F163))</f>
        <v>24</v>
      </c>
      <c r="M166" s="45" t="str">
        <f ca="1">IF(ISERROR(F146),"",M143)</f>
        <v>Cuml. Earned Credits:</v>
      </c>
      <c r="N166" s="43">
        <f ca="1">IF(ISERROR(F146),"",VLOOKUP(B146,INDIRECT($F$8),10+(O164-1)*3,0))</f>
        <v>24</v>
      </c>
    </row>
    <row r="167" spans="1:24" ht="11.25" customHeight="1" x14ac:dyDescent="0.2">
      <c r="A167" s="43"/>
      <c r="B167" s="45"/>
      <c r="C167" s="45"/>
      <c r="D167" s="43"/>
      <c r="E167" s="45"/>
      <c r="F167" s="45"/>
      <c r="G167" s="43"/>
      <c r="H167" s="46"/>
      <c r="I167" s="43"/>
      <c r="J167" s="46"/>
      <c r="K167" s="45"/>
      <c r="L167" s="43"/>
      <c r="M167" s="45"/>
      <c r="N167" s="43"/>
    </row>
    <row r="168" spans="1:24" ht="15" x14ac:dyDescent="0.2">
      <c r="A168" s="43"/>
      <c r="B168" s="45"/>
      <c r="C168" s="45"/>
      <c r="D168" s="43"/>
      <c r="E168" s="45"/>
      <c r="F168" s="45"/>
      <c r="G168" s="43"/>
      <c r="H168" s="46"/>
      <c r="I168" s="43"/>
      <c r="J168" s="46"/>
      <c r="K168" s="45"/>
      <c r="L168" s="43"/>
      <c r="M168" s="45"/>
      <c r="N168" s="43"/>
    </row>
    <row r="169" spans="1:24" ht="11.25" customHeight="1" x14ac:dyDescent="0.2">
      <c r="A169" s="11" t="str">
        <f>A146</f>
        <v>MM</v>
      </c>
      <c r="B169" s="11">
        <f>B146+1</f>
        <v>8</v>
      </c>
      <c r="C169" s="11" t="str">
        <f>C146</f>
        <v>SC</v>
      </c>
      <c r="D169" s="11" t="str">
        <f>D146</f>
        <v>SN</v>
      </c>
      <c r="E169" s="11" t="str">
        <f>E146</f>
        <v>C</v>
      </c>
      <c r="F169" s="11" t="str">
        <f ca="1">VLOOKUP(B169,INDIRECT($F$8),4,0)</f>
        <v>KHUSHI DWIVEDI</v>
      </c>
    </row>
    <row r="170" spans="1:24" ht="11.25" customHeight="1" x14ac:dyDescent="0.2">
      <c r="A170" s="47" t="str">
        <f ca="1">IF(ISERROR(F169),"",A147)</f>
        <v>Name:</v>
      </c>
      <c r="B170" s="47" t="str">
        <f ca="1">IFERROR(VLOOKUP(B169,INDIRECT($F$8),4,0),"")</f>
        <v>KHUSHI DWIVEDI</v>
      </c>
      <c r="C170" s="47"/>
      <c r="D170" s="47" t="str">
        <f ca="1">IF(ISERROR(F169),"",D147)</f>
        <v>Father's Name:</v>
      </c>
      <c r="E170" s="47" t="str">
        <f ca="1">IFERROR(VLOOKUP(B169,INDIRECT($F$8),5,0),"")</f>
        <v>CHANDI PRASAD DWIVEDI</v>
      </c>
      <c r="F170" s="47"/>
      <c r="G170" s="47" t="str">
        <f ca="1">IF(ISERROR(F169),"",G147)</f>
        <v>University Roll No:</v>
      </c>
      <c r="H170" s="47"/>
      <c r="I170" s="48">
        <f ca="1">IFERROR(VLOOKUP(B169,INDIRECT($F$8),2,0),"")</f>
        <v>250090600008</v>
      </c>
      <c r="J170" s="48"/>
      <c r="K170" s="47" t="str">
        <f ca="1">IF(ISERROR(F169),"",K147)</f>
        <v>University Enrol. No:</v>
      </c>
      <c r="L170" s="47"/>
      <c r="M170" s="48" t="str">
        <f ca="1">IFERROR(VLOOKUP(B169,INDIRECT($F$8),3,0),"")</f>
        <v>PUTU/2506100145</v>
      </c>
      <c r="N170" s="48"/>
    </row>
    <row r="171" spans="1:24" ht="15" x14ac:dyDescent="0.2">
      <c r="A171" s="47"/>
      <c r="B171" s="47"/>
      <c r="C171" s="47"/>
      <c r="D171" s="47"/>
      <c r="E171" s="47"/>
      <c r="F171" s="47"/>
      <c r="G171" s="47"/>
      <c r="H171" s="47"/>
      <c r="I171" s="48"/>
      <c r="J171" s="48"/>
      <c r="K171" s="47"/>
      <c r="L171" s="47"/>
      <c r="M171" s="48"/>
      <c r="N171" s="48"/>
    </row>
    <row r="172" spans="1:24" ht="11.25" customHeight="1" x14ac:dyDescent="0.2">
      <c r="A172" s="45" t="str">
        <f ca="1">IF(ISERROR(F169),"",A149)</f>
        <v>Subject Code</v>
      </c>
      <c r="B172" s="45" t="str">
        <f ca="1">IF(ISERROR(F169),"",B149)</f>
        <v>Subject Name</v>
      </c>
      <c r="C172" s="45"/>
      <c r="D172" s="45"/>
      <c r="E172" s="45"/>
      <c r="F172" s="45" t="str">
        <f ca="1">IF(ISERROR(F169),"",F149)</f>
        <v>Credits</v>
      </c>
      <c r="G172" s="45" t="str">
        <f ca="1">IF(ISERROR(F169),"",G149)</f>
        <v>External Marks</v>
      </c>
      <c r="H172" s="45"/>
      <c r="I172" s="45" t="str">
        <f ca="1">IF(ISERROR(F169),"",I149)</f>
        <v>Sessional Marks</v>
      </c>
      <c r="J172" s="45"/>
      <c r="K172" s="45" t="str">
        <f ca="1">IF(ISERROR(F169),"",K149)</f>
        <v>Total Marks</v>
      </c>
      <c r="L172" s="45"/>
      <c r="M172" s="45" t="str">
        <f ca="1">IF(ISERROR(F169),"",M149)</f>
        <v>Grade</v>
      </c>
      <c r="N172" s="45" t="str">
        <f ca="1">IF(ISERROR(F169),"",N149)</f>
        <v>Grade Points</v>
      </c>
    </row>
    <row r="173" spans="1:24" ht="15" x14ac:dyDescent="0.2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W173">
        <f ca="1">IF(ISNUMBER(MATCH($F$8,{"I","III","V","VII"},0)),10,10-INDEX(INDIRECT(_xlfn.TEXTJOIN("",TRUE,"SEM_",$G$8,"!",ADDRESS(6,4+$I$8*3+4),":",ADDRESS(5+$H$8,4+$I$8*3+4))),MATCH(INDIRECT(_xlfn.TEXTJOIN("",TRUE,"TC_",$F$8,"!",ADDRESS(ROW(I170),COLUMN(I170)))),INDIRECT(_xlfn.TEXTJOIN("",TRUE,"SEM_",$G$8,"!",ADDRESS(6,2),":",ADDRESS(5+$H$8,2))))))</f>
        <v>10</v>
      </c>
    </row>
    <row r="174" spans="1:24" ht="11.25" customHeight="1" x14ac:dyDescent="0.2">
      <c r="A174" s="7" t="str">
        <f ca="1">IF(ISERROR(F169),"",VLOOKUP(C169,INDIRECT($F$8),6+(O174-1)*3,0))</f>
        <v>CAT 004</v>
      </c>
      <c r="B174" s="41" t="str">
        <f ca="1">IF(ISERROR(F169),"",VLOOKUP(D169,INDIRECT($F$8),6+(O174-1)*3,0))</f>
        <v>Discrete Structure</v>
      </c>
      <c r="C174" s="41"/>
      <c r="D174" s="41"/>
      <c r="E174" s="41"/>
      <c r="F174" s="7">
        <f ca="1">IF(ISERROR(F169),"",VLOOKUP(E169,INDIRECT($F$8),6+(O174-1)*3,0))</f>
        <v>4</v>
      </c>
      <c r="G174" s="42" t="str">
        <f ca="1">IF(ISERROR(F169),"",_xlfn.TEXTJOIN("/",FALSE,P174,S174))</f>
        <v>81/100</v>
      </c>
      <c r="H174" s="42"/>
      <c r="I174" s="42" t="str">
        <f ca="1">IF(ISERROR(F169),"",_xlfn.TEXTJOIN("/",FALSE,Q174,T174))</f>
        <v>49/50</v>
      </c>
      <c r="J174" s="42"/>
      <c r="K174" s="42" t="str">
        <f ca="1">IF(ISERROR(F169),"",_xlfn.TEXTJOIN("/",FALSE,R174,U174))</f>
        <v>130/150</v>
      </c>
      <c r="L174" s="42"/>
      <c r="M174" s="7" t="str">
        <f ca="1">IF(ISERROR(F169),"",IF(ISTEXT(P174),IF(P174="A","Ab",IF(P174="D","Dt",IF(P174="UFM","UFM",IF(P174="NA","-")))),IF(AND(ISBLANK(P174),ISBLANK(R174)),"",IF(P174&lt;0.3*S174,"F",IF(ISBLANK(R174),"",IF(ISTEXT(R174),R174,IF(R174&gt;=0.95*U174,"O",IF(R174&gt;=0.9*U174,"A+",IF(R174&gt;=0.85*U174,"A",IF(R174&gt;=0.8*U174,"B+",IF(R174&gt;=0.75*U174,"B",IF(R174&gt;=0.7*U174,"C+",IF(R174&gt;=0.65*U174,"C",IF(R174&gt;=0.6*U174,"D+",IF(R174&gt;=0.55*U174,"D",IF(R174&gt;=0.5*U174,"E+",IF(R174&gt;=0.45*U174,"E",IF(R174&gt;=0.4*U174,"P",IF(R174&lt;0.4*U174,"F",R174)))))))))))))))))))</f>
        <v>A</v>
      </c>
      <c r="N174" s="8">
        <f ca="1">INDEX($Z$2:$Z$18,MATCH(M174,$Y$2:$Y$18,0))</f>
        <v>9</v>
      </c>
      <c r="O174">
        <v>1</v>
      </c>
      <c r="P174" s="1">
        <f ca="1">IF(ISERROR(F169),"",IF(ISTEXT(VLOOKUP(B169,INDIRECT($F$8),6+(O174-1)*3)),(VLOOKUP(B169,INDIRECT($F$8),6+(O174-1)*3)),SUM(VLOOKUP(B169,INDIRECT($F$8),6+(O174-1)*3),IF(W188,W174,0))))</f>
        <v>81</v>
      </c>
      <c r="Q174" s="1">
        <f ca="1">IF(ISERROR(F169),"",VLOOKUP(B169,INDIRECT($F$8),7+(O174-1)*3))</f>
        <v>49</v>
      </c>
      <c r="R174" s="1">
        <f ca="1">IF(ISERROR(F169),"",SUM(P174:Q174))</f>
        <v>130</v>
      </c>
      <c r="S174" s="1">
        <f ca="1">IF(ISERROR(F169),"",VLOOKUP(A169,INDIRECT($F$8),6+(O174-1)*3))</f>
        <v>100</v>
      </c>
      <c r="T174" s="1">
        <f ca="1">IF(ISERROR(F169),"",VLOOKUP(A169,INDIRECT($F$8),7+(O174-1)*3))</f>
        <v>50</v>
      </c>
      <c r="U174" s="1">
        <f ca="1">IF(ISERROR(F169),"",VLOOKUP(A169,INDIRECT($F$8),8+(O174-1)*3))</f>
        <v>150</v>
      </c>
      <c r="V174" s="1" t="str">
        <f ca="1">IF(ISERROR(F169),"",IF(N174=0,A174,""))</f>
        <v/>
      </c>
      <c r="W174" s="1">
        <f ca="1">IF(ISERROR(F169),"",IF(ISTEXT(VLOOKUP(B169,INDIRECT($F$8),6+(O174-1)*3)),11,IF(VLOOKUP(B169,INDIRECT($F$8),6+(O174-1)*3)&lt;S174*0.3,IF(VLOOKUP(B169,INDIRECT($F$8),8+(O174-1)*3)&lt;U174*0.4,IF(AND(0.4*U174-VLOOKUP(B169,INDIRECT($F$8),8+(O174-1)*3)&lt;=5,0.3*S174-VLOOKUP(B169,INDIRECT($F$8),6+(O174-1)*3)&lt;=5),MAX(0.4*U174-VLOOKUP(B169,INDIRECT($F$8),8+(O174-1)*3),0.3*S174-VLOOKUP(B169,INDIRECT($F$8),6+(O174-1)*3)),11),IF(0.3*S174-VLOOKUP(B169,INDIRECT($F$8),6+(O174-1)*3)&lt;=5,0.3*S174-VLOOKUP(B169,INDIRECT($F$8),6+(O174-1)*3),11)),IF(VLOOKUP(B169,INDIRECT($F$8),8+(O174-1)*3)&lt;U174*0.4,IF(U174*0.4-VLOOKUP(B169,INDIRECT($F$8),8+(O174-1)*3)&lt;=5,U174*0.4-VLOOKUP(B169,INDIRECT($F$8),8+(O174-1)*3),11),0))))</f>
        <v>0</v>
      </c>
      <c r="X174" s="1" t="str">
        <f ca="1">IF(ISERROR(F169),"",IF(W174=0,"",_xlfn.TEXTJOIN("",FALSE," G+",W174," in ",A174)))</f>
        <v/>
      </c>
    </row>
    <row r="175" spans="1:24" ht="11.25" customHeight="1" x14ac:dyDescent="0.2">
      <c r="A175" s="7" t="str">
        <f ca="1">IF(ISERROR(F169),"",VLOOKUP(C169,INDIRECT($F$8),6+(O175-1)*3,0))</f>
        <v>CAT 005</v>
      </c>
      <c r="B175" s="41" t="str">
        <f ca="1">IF(ISERROR(F169),"",VLOOKUP(D169,INDIRECT($F$8),6+(O175-1)*3,0))</f>
        <v>Database Management System</v>
      </c>
      <c r="C175" s="41"/>
      <c r="D175" s="41"/>
      <c r="E175" s="41"/>
      <c r="F175" s="7">
        <f ca="1">IF(ISERROR(F169),"",VLOOKUP(E169,INDIRECT($F$8),6+(O175-1)*3,0))</f>
        <v>4</v>
      </c>
      <c r="G175" s="42" t="str">
        <f ca="1">IF(ISERROR(F169),"",_xlfn.TEXTJOIN("/",FALSE,P175,S175))</f>
        <v>88/100</v>
      </c>
      <c r="H175" s="42"/>
      <c r="I175" s="42" t="str">
        <f ca="1">IF(ISERROR(F169),"",_xlfn.TEXTJOIN("/",FALSE,Q175,T175))</f>
        <v>48/50</v>
      </c>
      <c r="J175" s="42"/>
      <c r="K175" s="42" t="str">
        <f ca="1">IF(ISERROR(F169),"",_xlfn.TEXTJOIN("/",FALSE,R175,U175))</f>
        <v>136/150</v>
      </c>
      <c r="L175" s="42"/>
      <c r="M175" s="7" t="str">
        <f ca="1">IF(ISERROR(F169),"",IF(ISTEXT(P175),IF(P175="A","Ab",IF(P175="D","Dt",IF(P175="UFM","UFM",IF(P175="NA","-")))),IF(AND(ISBLANK(P175),ISBLANK(R175)),"",IF(P175&lt;0.3*S175,"F",IF(ISBLANK(R175),"",IF(ISTEXT(R175),R175,IF(R175&gt;=0.95*U175,"O",IF(R175&gt;=0.9*U175,"A+",IF(R175&gt;=0.85*U175,"A",IF(R175&gt;=0.8*U175,"B+",IF(R175&gt;=0.75*U175,"B",IF(R175&gt;=0.7*U175,"C+",IF(R175&gt;=0.65*U175,"C",IF(R175&gt;=0.6*U175,"D+",IF(R175&gt;=0.55*U175,"D",IF(R175&gt;=0.5*U175,"E+",IF(R175&gt;=0.45*U175,"E",IF(R175&gt;=0.4*U175,"P",IF(R175&lt;0.4*U175,"F",R175)))))))))))))))))))</f>
        <v>A+</v>
      </c>
      <c r="N175" s="8">
        <f t="shared" ref="N175:N186" ca="1" si="14">INDEX($Z$2:$Z$18,MATCH(M175,$Y$2:$Y$18,0))</f>
        <v>9.5</v>
      </c>
      <c r="O175">
        <f>O174+1</f>
        <v>2</v>
      </c>
      <c r="P175" s="1">
        <f ca="1">IF(ISERROR(F169),"",IF(ISTEXT(VLOOKUP(B169,INDIRECT($F$8),6+(O175-1)*3)),(VLOOKUP(B169,INDIRECT($F$8),6+(O175-1)*3)),SUM(VLOOKUP(B169,INDIRECT($F$8),6+(O175-1)*3),IF(W188,W175,0))))</f>
        <v>88</v>
      </c>
      <c r="Q175" s="1">
        <f ca="1">IF(ISERROR(F169),"",VLOOKUP(B169,INDIRECT($F$8),7+(O175-1)*3))</f>
        <v>48</v>
      </c>
      <c r="R175" s="1">
        <f ca="1">IF(ISERROR(F169),"",SUM(P175:Q175))</f>
        <v>136</v>
      </c>
      <c r="S175" s="1">
        <f ca="1">IF(ISERROR(F169),"",VLOOKUP(A169,INDIRECT($F$8),6+(O175-1)*3))</f>
        <v>100</v>
      </c>
      <c r="T175" s="1">
        <f ca="1">IF(ISERROR(F169),"",VLOOKUP(A169,INDIRECT($F$8),7+(O175-1)*3))</f>
        <v>50</v>
      </c>
      <c r="U175" s="1">
        <f ca="1">IF(ISERROR(F169),"",VLOOKUP(A169,INDIRECT($F$8),8+(O175-1)*3))</f>
        <v>150</v>
      </c>
      <c r="V175" s="1" t="str">
        <f ca="1">IF(ISERROR(F169),"",IF(N175=0,A175,""))</f>
        <v/>
      </c>
      <c r="W175" s="1">
        <f ca="1">IF(ISERROR(F169),"",IF(ISTEXT(VLOOKUP(B169,INDIRECT($F$8),6+(O175-1)*3)),11,IF(VLOOKUP(B169,INDIRECT($F$8),6+(O175-1)*3)&lt;S175*0.3,IF(VLOOKUP(B169,INDIRECT($F$8),8+(O175-1)*3)&lt;U175*0.4,IF(AND(0.4*U175-VLOOKUP(B169,INDIRECT($F$8),8+(O175-1)*3)&lt;=5,0.3*S175-VLOOKUP(B169,INDIRECT($F$8),6+(O175-1)*3)&lt;=5),MAX(0.4*U175-VLOOKUP(B169,INDIRECT($F$8),8+(O175-1)*3),0.3*S175-VLOOKUP(B169,INDIRECT($F$8),6+(O175-1)*3)),11),IF(0.3*S175-VLOOKUP(B169,INDIRECT($F$8),6+(O175-1)*3)&lt;=5,0.3*S175-VLOOKUP(B169,INDIRECT($F$8),6+(O175-1)*3),11)),IF(VLOOKUP(B169,INDIRECT($F$8),8+(O175-1)*3)&lt;U175*0.4,IF(U175*0.4-VLOOKUP(B169,INDIRECT($F$8),8+(O175-1)*3)&lt;=5,U175*0.4-VLOOKUP(B169,INDIRECT($F$8),8+(O175-1)*3),11),0))))</f>
        <v>0</v>
      </c>
      <c r="X175" s="1" t="str">
        <f ca="1">IF(ISERROR(F169),"",IF(W175=0,"",_xlfn.TEXTJOIN("",FALSE," G+",W175," in ",A175)))</f>
        <v/>
      </c>
    </row>
    <row r="176" spans="1:24" ht="11.25" customHeight="1" x14ac:dyDescent="0.2">
      <c r="A176" s="7" t="str">
        <f ca="1">IF(ISERROR(F169),"",VLOOKUP(C169,INDIRECT($F$8),6+(O176-1)*3,0))</f>
        <v>CAT 006</v>
      </c>
      <c r="B176" s="41" t="str">
        <f ca="1">IF(ISERROR(F169),"",VLOOKUP(D169,INDIRECT($F$8),6+(O176-1)*3,0))</f>
        <v>Operating System</v>
      </c>
      <c r="C176" s="41"/>
      <c r="D176" s="41"/>
      <c r="E176" s="41"/>
      <c r="F176" s="7">
        <f ca="1">IF(ISERROR(F169),"",VLOOKUP(E169,INDIRECT($F$8),6+(O176-1)*3,0))</f>
        <v>4</v>
      </c>
      <c r="G176" s="42" t="str">
        <f ca="1">IF(ISERROR(F169),"",_xlfn.TEXTJOIN("/",FALSE,P176,S176))</f>
        <v>98/100</v>
      </c>
      <c r="H176" s="42"/>
      <c r="I176" s="42" t="str">
        <f ca="1">IF(ISERROR(F169),"",_xlfn.TEXTJOIN("/",FALSE,Q176,T176))</f>
        <v>50/50</v>
      </c>
      <c r="J176" s="42"/>
      <c r="K176" s="42" t="str">
        <f ca="1">IF(ISERROR(F169),"",_xlfn.TEXTJOIN("/",FALSE,R176,U176))</f>
        <v>148/150</v>
      </c>
      <c r="L176" s="42"/>
      <c r="M176" s="7" t="str">
        <f ca="1">IF(ISERROR(F169),"",IF(ISTEXT(P176),IF(P176="A","Ab",IF(P176="D","Dt",IF(P176="UFM","UFM",IF(P176="NA","-")))),IF(AND(ISBLANK(P176),ISBLANK(R176)),"",IF(P176&lt;0.3*S176,"F",IF(ISBLANK(R176),"",IF(ISTEXT(R176),R176,IF(R176&gt;=0.95*U176,"O",IF(R176&gt;=0.9*U176,"A+",IF(R176&gt;=0.85*U176,"A",IF(R176&gt;=0.8*U176,"B+",IF(R176&gt;=0.75*U176,"B",IF(R176&gt;=0.7*U176,"C+",IF(R176&gt;=0.65*U176,"C",IF(R176&gt;=0.6*U176,"D+",IF(R176&gt;=0.55*U176,"D",IF(R176&gt;=0.5*U176,"E+",IF(R176&gt;=0.45*U176,"E",IF(R176&gt;=0.4*U176,"P",IF(R176&lt;0.4*U176,"F",R176)))))))))))))))))))</f>
        <v>O</v>
      </c>
      <c r="N176" s="8">
        <f t="shared" ca="1" si="14"/>
        <v>10</v>
      </c>
      <c r="O176">
        <f>O175+1</f>
        <v>3</v>
      </c>
      <c r="P176" s="1">
        <f ca="1">IF(ISERROR(F169),"",IF(ISTEXT(VLOOKUP(B169,INDIRECT($F$8),6+(O176-1)*3)),(VLOOKUP(B169,INDIRECT($F$8),6+(O176-1)*3)),SUM(VLOOKUP(B169,INDIRECT($F$8),6+(O176-1)*3),IF(W188,W176,0))))</f>
        <v>98</v>
      </c>
      <c r="Q176" s="1">
        <f ca="1">IF(ISERROR(F169),"",VLOOKUP(B169,INDIRECT($F$8),7+(O176-1)*3))</f>
        <v>50</v>
      </c>
      <c r="R176" s="1">
        <f ca="1">IF(ISERROR(F169),"",SUM(P176:Q176))</f>
        <v>148</v>
      </c>
      <c r="S176" s="1">
        <f ca="1">IF(ISERROR(F169),"",VLOOKUP(A169,INDIRECT($F$8),6+(O176-1)*3))</f>
        <v>100</v>
      </c>
      <c r="T176" s="1">
        <f ca="1">IF(ISERROR(F169),"",VLOOKUP(A169,INDIRECT($F$8),7+(O176-1)*3))</f>
        <v>50</v>
      </c>
      <c r="U176" s="1">
        <f ca="1">IF(ISERROR(F169),"",VLOOKUP(A169,INDIRECT($F$8),8+(O176-1)*3))</f>
        <v>150</v>
      </c>
      <c r="V176" s="1" t="str">
        <f ca="1">IF(ISERROR(F169),"",IF(N176=0,A176,""))</f>
        <v/>
      </c>
      <c r="W176" s="1">
        <f ca="1">IF(ISERROR(F169),"",IF(ISTEXT(VLOOKUP(B169,INDIRECT($F$8),6+(O176-1)*3)),11,IF(VLOOKUP(B169,INDIRECT($F$8),6+(O176-1)*3)&lt;S176*0.3,IF(VLOOKUP(B169,INDIRECT($F$8),8+(O176-1)*3)&lt;U176*0.4,IF(AND(0.4*U176-VLOOKUP(B169,INDIRECT($F$8),8+(O176-1)*3)&lt;=5,0.3*S176-VLOOKUP(B169,INDIRECT($F$8),6+(O176-1)*3)&lt;=5),MAX(0.4*U176-VLOOKUP(B169,INDIRECT($F$8),8+(O176-1)*3),0.3*S176-VLOOKUP(B169,INDIRECT($F$8),6+(O176-1)*3)),11),IF(0.3*S176-VLOOKUP(B169,INDIRECT($F$8),6+(O176-1)*3)&lt;=5,0.3*S176-VLOOKUP(B169,INDIRECT($F$8),6+(O176-1)*3),11)),IF(VLOOKUP(B169,INDIRECT($F$8),8+(O176-1)*3)&lt;U176*0.4,IF(U176*0.4-VLOOKUP(B169,INDIRECT($F$8),8+(O176-1)*3)&lt;=5,U176*0.4-VLOOKUP(B169,INDIRECT($F$8),8+(O176-1)*3),11),0))))</f>
        <v>0</v>
      </c>
      <c r="X176" s="1" t="str">
        <f ca="1">IF(ISERROR(F169),"",IF(W176=0,"",_xlfn.TEXTJOIN("",FALSE," G+",W176," in ",A176)))</f>
        <v/>
      </c>
    </row>
    <row r="177" spans="1:24" ht="11.25" customHeight="1" x14ac:dyDescent="0.2">
      <c r="A177" s="7" t="str">
        <f ca="1">IF(ISERROR(F169),"",VLOOKUP(C169,INDIRECT($F$8),6+(O177-1)*3,0))</f>
        <v>CAT 007</v>
      </c>
      <c r="B177" s="41" t="str">
        <f ca="1">IF(ISERROR(F169),"",VLOOKUP(D169,INDIRECT($F$8),6+(O177-1)*3,0))</f>
        <v>Computer Organization</v>
      </c>
      <c r="C177" s="41"/>
      <c r="D177" s="41"/>
      <c r="E177" s="41"/>
      <c r="F177" s="7">
        <f ca="1">IF(ISERROR(F169),"",VLOOKUP(E169,INDIRECT($F$8),6+(O177-1)*3,0))</f>
        <v>4</v>
      </c>
      <c r="G177" s="42" t="str">
        <f ca="1">IF(ISERROR(F169),"",_xlfn.TEXTJOIN("/",FALSE,P177,S177))</f>
        <v>89/100</v>
      </c>
      <c r="H177" s="42"/>
      <c r="I177" s="42" t="str">
        <f ca="1">IF(ISERROR(F169),"",_xlfn.TEXTJOIN("/",FALSE,Q177,T177))</f>
        <v>50/50</v>
      </c>
      <c r="J177" s="42"/>
      <c r="K177" s="42" t="str">
        <f ca="1">IF(ISERROR(F169),"",_xlfn.TEXTJOIN("/",FALSE,R177,U177))</f>
        <v>139/150</v>
      </c>
      <c r="L177" s="42"/>
      <c r="M177" s="7" t="str">
        <f ca="1">IF(ISERROR(F169),"",IF(ISTEXT(P177),IF(P177="A","Ab",IF(P177="D","Dt",IF(P177="UFM","UFM",IF(P177="NA","-")))),IF(AND(ISBLANK(P177),ISBLANK(R177)),"",IF(P177&lt;0.3*S177,"F",IF(ISBLANK(R177),"",IF(ISTEXT(R177),R177,IF(R177&gt;=0.95*U177,"O",IF(R177&gt;=0.9*U177,"A+",IF(R177&gt;=0.85*U177,"A",IF(R177&gt;=0.8*U177,"B+",IF(R177&gt;=0.75*U177,"B",IF(R177&gt;=0.7*U177,"C+",IF(R177&gt;=0.65*U177,"C",IF(R177&gt;=0.6*U177,"D+",IF(R177&gt;=0.55*U177,"D",IF(R177&gt;=0.5*U177,"E+",IF(R177&gt;=0.45*U177,"E",IF(R177&gt;=0.4*U177,"P",IF(R177&lt;0.4*U177,"F",R177)))))))))))))))))))</f>
        <v>A+</v>
      </c>
      <c r="N177" s="8">
        <f t="shared" ca="1" si="14"/>
        <v>9.5</v>
      </c>
      <c r="O177">
        <f>O176+1</f>
        <v>4</v>
      </c>
      <c r="P177" s="1">
        <f ca="1">IF(ISERROR(F169),"",IF(ISTEXT(VLOOKUP(B169,INDIRECT($F$8),6+(O177-1)*3)),(VLOOKUP(B169,INDIRECT($F$8),6+(O177-1)*3)),SUM(VLOOKUP(B169,INDIRECT($F$8),6+(O177-1)*3),IF(W188,W177,0))))</f>
        <v>89</v>
      </c>
      <c r="Q177" s="1">
        <f ca="1">IF(ISERROR(F169),"",VLOOKUP(B169,INDIRECT($F$8),7+(O177-1)*3))</f>
        <v>50</v>
      </c>
      <c r="R177" s="1">
        <f ca="1">IF(ISERROR(F169),"",SUM(P177:Q177))</f>
        <v>139</v>
      </c>
      <c r="S177" s="1">
        <f ca="1">IF(ISERROR(F169),"",VLOOKUP(A169,INDIRECT($F$8),6+(O177-1)*3))</f>
        <v>100</v>
      </c>
      <c r="T177" s="1">
        <f ca="1">IF(ISERROR(F169),"",VLOOKUP(A169,INDIRECT($F$8),7+(O177-1)*3))</f>
        <v>50</v>
      </c>
      <c r="U177" s="1">
        <f ca="1">IF(ISERROR(F169),"",VLOOKUP(A169,INDIRECT($F$8),8+(O177-1)*3))</f>
        <v>150</v>
      </c>
      <c r="V177" s="1" t="str">
        <f ca="1">IF(ISERROR(F169),"",IF(N177=0,A177,""))</f>
        <v/>
      </c>
      <c r="W177" s="1">
        <f ca="1">IF(ISERROR(F169),"",IF(ISTEXT(VLOOKUP(B169,INDIRECT($F$8),6+(O177-1)*3)),11,IF(VLOOKUP(B169,INDIRECT($F$8),6+(O177-1)*3)&lt;S177*0.3,IF(VLOOKUP(B169,INDIRECT($F$8),8+(O177-1)*3)&lt;U177*0.4,IF(AND(0.4*U177-VLOOKUP(B169,INDIRECT($F$8),8+(O177-1)*3)&lt;=5,0.3*S177-VLOOKUP(B169,INDIRECT($F$8),6+(O177-1)*3)&lt;=5),MAX(0.4*U177-VLOOKUP(B169,INDIRECT($F$8),8+(O177-1)*3),0.3*S177-VLOOKUP(B169,INDIRECT($F$8),6+(O177-1)*3)),11),IF(0.3*S177-VLOOKUP(B169,INDIRECT($F$8),6+(O177-1)*3)&lt;=5,0.3*S177-VLOOKUP(B169,INDIRECT($F$8),6+(O177-1)*3),11)),IF(VLOOKUP(B169,INDIRECT($F$8),8+(O177-1)*3)&lt;U177*0.4,IF(U177*0.4-VLOOKUP(B169,INDIRECT($F$8),8+(O177-1)*3)&lt;=5,U177*0.4-VLOOKUP(B169,INDIRECT($F$8),8+(O177-1)*3),11),0))))</f>
        <v>0</v>
      </c>
      <c r="X177" s="1" t="str">
        <f ca="1">IF(ISERROR(F169),"",IF(W177=0,"",_xlfn.TEXTJOIN("",FALSE," G+",W177," in ",A177)))</f>
        <v/>
      </c>
    </row>
    <row r="178" spans="1:24" ht="11.25" customHeight="1" x14ac:dyDescent="0.2">
      <c r="A178" s="7" t="str">
        <f ca="1">IF(ISERROR(F169),"",VLOOKUP(C169,INDIRECT($F$8),6+(O178-1)*3,0))</f>
        <v>AHT 303</v>
      </c>
      <c r="B178" s="41" t="str">
        <f ca="1">IF(ISERROR(F169),"",VLOOKUP(D169,INDIRECT($F$8),6+(O178-1)*3,0))</f>
        <v>Technical Communication Skills</v>
      </c>
      <c r="C178" s="41"/>
      <c r="D178" s="41"/>
      <c r="E178" s="41"/>
      <c r="F178" s="7">
        <f ca="1">IF(ISERROR(F169),"",VLOOKUP(E169,INDIRECT($F$8),6+(O178-1)*3,0))</f>
        <v>4</v>
      </c>
      <c r="G178" s="42" t="str">
        <f ca="1">IF(ISERROR(F169),"",_xlfn.TEXTJOIN("/",FALSE,P178,S178))</f>
        <v>95/100</v>
      </c>
      <c r="H178" s="42"/>
      <c r="I178" s="42" t="str">
        <f ca="1">IF(ISERROR(F169),"",_xlfn.TEXTJOIN("/",FALSE,Q178,T178))</f>
        <v>35/50</v>
      </c>
      <c r="J178" s="42"/>
      <c r="K178" s="42" t="str">
        <f ca="1">IF(ISERROR(F169),"",_xlfn.TEXTJOIN("/",FALSE,R178,U178))</f>
        <v>130/150</v>
      </c>
      <c r="L178" s="42"/>
      <c r="M178" s="7" t="str">
        <f ca="1">IF(ISERROR(F169),"",IF(ISTEXT(P178),IF(P178="A","Ab",IF(P178="D","Dt",IF(P178="UFM","UFM",IF(P178="NA","-")))),IF(AND(ISBLANK(P178),ISBLANK(R178)),"",IF(P178&lt;0.3*S178,"F",IF(ISBLANK(R178),"",IF(ISTEXT(R178),R178,IF(R178&gt;=0.95*U178,"O",IF(R178&gt;=0.9*U178,"A+",IF(R178&gt;=0.85*U178,"A",IF(R178&gt;=0.8*U178,"B+",IF(R178&gt;=0.75*U178,"B",IF(R178&gt;=0.7*U178,"C+",IF(R178&gt;=0.65*U178,"C",IF(R178&gt;=0.6*U178,"D+",IF(R178&gt;=0.55*U178,"D",IF(R178&gt;=0.5*U178,"E+",IF(R178&gt;=0.45*U178,"E",IF(R178&gt;=0.4*U178,"P",IF(R178&lt;0.4*U178,"F",R178)))))))))))))))))))</f>
        <v>A</v>
      </c>
      <c r="N178" s="8">
        <f t="shared" ca="1" si="14"/>
        <v>9</v>
      </c>
      <c r="O178">
        <f t="shared" ref="O178:O187" si="15">O177+1</f>
        <v>5</v>
      </c>
      <c r="P178" s="1">
        <f ca="1">IF(ISERROR(F169),"",IF(ISTEXT(VLOOKUP(B169,INDIRECT($F$8),6+(O178-1)*3)),(VLOOKUP(B169,INDIRECT($F$8),6+(O178-1)*3)),SUM(VLOOKUP(B169,INDIRECT($F$8),6+(O178-1)*3),IF(W188,W178,0))))</f>
        <v>95</v>
      </c>
      <c r="Q178" s="1">
        <f ca="1">IF(ISERROR(F169),"",VLOOKUP(B169,INDIRECT($F$8),7+(O178-1)*3))</f>
        <v>35</v>
      </c>
      <c r="R178" s="1">
        <f ca="1">IF(ISERROR(F169),"",SUM(P178:Q178))</f>
        <v>130</v>
      </c>
      <c r="S178" s="1">
        <f ca="1">IF(ISERROR(F169),"",VLOOKUP(A169,INDIRECT($F$8),6+(O178-1)*3))</f>
        <v>100</v>
      </c>
      <c r="T178" s="1">
        <f ca="1">IF(ISERROR(F169),"",VLOOKUP(A169,INDIRECT($F$8),7+(O178-1)*3))</f>
        <v>50</v>
      </c>
      <c r="U178" s="1">
        <f ca="1">IF(ISERROR(F169),"",VLOOKUP(A169,INDIRECT($F$8),8+(O178-1)*3))</f>
        <v>150</v>
      </c>
      <c r="V178" s="1" t="str">
        <f ca="1">IF(ISERROR(F169),"",IF(N178=0,A178,""))</f>
        <v/>
      </c>
      <c r="W178" s="1">
        <f ca="1">IF(ISERROR(F169),"",IF(ISTEXT(VLOOKUP(B169,INDIRECT($F$8),6+(O178-1)*3)),11,IF(VLOOKUP(B169,INDIRECT($F$8),6+(O178-1)*3)&lt;S178*0.3,IF(VLOOKUP(B169,INDIRECT($F$8),8+(O178-1)*3)&lt;U178*0.4,IF(AND(0.4*U178-VLOOKUP(B169,INDIRECT($F$8),8+(O178-1)*3)&lt;=5,0.3*S178-VLOOKUP(B169,INDIRECT($F$8),6+(O178-1)*3)&lt;=5),MAX(0.4*U178-VLOOKUP(B169,INDIRECT($F$8),8+(O178-1)*3),0.3*S178-VLOOKUP(B169,INDIRECT($F$8),6+(O178-1)*3)),11),IF(0.3*S178-VLOOKUP(B169,INDIRECT($F$8),6+(O178-1)*3)&lt;=5,0.3*S178-VLOOKUP(B169,INDIRECT($F$8),6+(O178-1)*3),11)),IF(VLOOKUP(B169,INDIRECT($F$8),8+(O178-1)*3)&lt;U178*0.4,IF(U178*0.4-VLOOKUP(B169,INDIRECT($F$8),8+(O178-1)*3)&lt;=5,U178*0.4-VLOOKUP(B169,INDIRECT($F$8),8+(O178-1)*3),11),0))))</f>
        <v>0</v>
      </c>
      <c r="X178" s="1" t="str">
        <f ca="1">IF(ISERROR(F169),"",IF(W178=0,"",_xlfn.TEXTJOIN("",FALSE," G+",W178," in ",A178)))</f>
        <v/>
      </c>
    </row>
    <row r="179" spans="1:24" ht="11.25" customHeight="1" x14ac:dyDescent="0.2">
      <c r="A179" s="7" t="str">
        <f ca="1">IF(ISERROR(F169),"",VLOOKUP(C169,INDIRECT($F$8),6+(O179-1)*3,0))</f>
        <v>CAT 008</v>
      </c>
      <c r="B179" s="41" t="str">
        <f ca="1">IF(ISERROR(F169),"",VLOOKUP(D169,INDIRECT($F$8),6+(O179-1)*3,0))</f>
        <v>Python Programming ($)</v>
      </c>
      <c r="C179" s="41"/>
      <c r="D179" s="41"/>
      <c r="E179" s="41"/>
      <c r="F179" s="7">
        <f ca="1">IF(ISERROR(F169),"",VLOOKUP(E169,INDIRECT($F$8),6+(O179-1)*3,0))</f>
        <v>0</v>
      </c>
      <c r="G179" s="42" t="str">
        <f ca="1">IF(ISERROR(F169),"",_xlfn.TEXTJOIN("/",FALSE,P179,S179))</f>
        <v>24/30</v>
      </c>
      <c r="H179" s="42"/>
      <c r="I179" s="42" t="str">
        <f ca="1">IF(ISERROR(F169),"",_xlfn.TEXTJOIN("/",FALSE,Q179,T179))</f>
        <v>19/20</v>
      </c>
      <c r="J179" s="42"/>
      <c r="K179" s="42" t="str">
        <f ca="1">IF(ISERROR(F169),"",_xlfn.TEXTJOIN("/",FALSE,R179,U179))</f>
        <v>43/50</v>
      </c>
      <c r="L179" s="42"/>
      <c r="M179" s="7" t="str">
        <f ca="1">IF(ISERROR(F169),"",IF(ISTEXT(P179),IF(P179="A","Ab",IF(P179="D","Dt",IF(P179="UFM","UFM",IF(P179="NA","-")))),IF(AND(ISBLANK(P179),ISBLANK(R179)),"",IF(P179&lt;0.3*S179,"F",IF(ISBLANK(R179),"",IF(ISTEXT(R179),R179,IF(R179&gt;=0.95*U179,"O",IF(R179&gt;=0.9*U179,"A+",IF(R179&gt;=0.85*U179,"A",IF(R179&gt;=0.8*U179,"B+",IF(R179&gt;=0.75*U179,"B",IF(R179&gt;=0.7*U179,"C+",IF(R179&gt;=0.65*U179,"C",IF(R179&gt;=0.6*U179,"D+",IF(R179&gt;=0.55*U179,"D",IF(R179&gt;=0.5*U179,"E+",IF(R179&gt;=0.45*U179,"E",IF(R179&gt;=0.4*U179,"P",IF(R179&lt;0.4*U179,"F",R179)))))))))))))))))))</f>
        <v>A</v>
      </c>
      <c r="N179" s="8">
        <f t="shared" ca="1" si="14"/>
        <v>9</v>
      </c>
      <c r="O179">
        <f t="shared" si="15"/>
        <v>6</v>
      </c>
      <c r="P179" s="1">
        <f ca="1">IF(ISERROR(F169),"",IF(ISTEXT(VLOOKUP(B169,INDIRECT($F$8),6+(O179-1)*3)),(VLOOKUP(B169,INDIRECT($F$8),6+(O179-1)*3)),SUM(VLOOKUP(B169,INDIRECT($F$8),6+(O179-1)*3),IF(W188,W179,0))))</f>
        <v>24</v>
      </c>
      <c r="Q179" s="1">
        <f ca="1">IF(ISERROR(F169),"",VLOOKUP(B169,INDIRECT($F$8),7+(O179-1)*3))</f>
        <v>19</v>
      </c>
      <c r="R179" s="1">
        <f ca="1">IF(ISERROR(F169),"",SUM(P179:Q179))</f>
        <v>43</v>
      </c>
      <c r="S179" s="1">
        <f ca="1">IF(ISERROR(F169),"",VLOOKUP(A169,INDIRECT($F$8),6+(O179-1)*3))</f>
        <v>30</v>
      </c>
      <c r="T179" s="1">
        <f ca="1">IF(ISERROR(F169),"",VLOOKUP(A169,INDIRECT($F$8),7+(O179-1)*3))</f>
        <v>20</v>
      </c>
      <c r="U179" s="1">
        <f ca="1">IF(ISERROR(F169),"",VLOOKUP(A169,INDIRECT($F$8),8+(O179-1)*3))</f>
        <v>50</v>
      </c>
      <c r="V179" s="1" t="str">
        <f ca="1">IF(ISERROR(F169),"",IF(N179=0,A179,""))</f>
        <v/>
      </c>
      <c r="W179" s="1">
        <f ca="1">IF(ISERROR(F169),"",IF(ISTEXT(VLOOKUP(B169,INDIRECT($F$8),6+(O179-1)*3)),11,IF(VLOOKUP(B169,INDIRECT($F$8),6+(O179-1)*3)&lt;S179*0.3,IF(VLOOKUP(B169,INDIRECT($F$8),8+(O179-1)*3)&lt;U179*0.4,IF(AND(0.4*U179-VLOOKUP(B169,INDIRECT($F$8),8+(O179-1)*3)&lt;=5,0.3*S179-VLOOKUP(B169,INDIRECT($F$8),6+(O179-1)*3)&lt;=5),MAX(0.4*U179-VLOOKUP(B169,INDIRECT($F$8),8+(O179-1)*3),0.3*S179-VLOOKUP(B169,INDIRECT($F$8),6+(O179-1)*3)),11),IF(0.3*S179-VLOOKUP(B169,INDIRECT($F$8),6+(O179-1)*3)&lt;=5,0.3*S179-VLOOKUP(B169,INDIRECT($F$8),6+(O179-1)*3),11)),IF(VLOOKUP(B169,INDIRECT($F$8),8+(O179-1)*3)&lt;U179*0.4,IF(U179*0.4-VLOOKUP(B169,INDIRECT($F$8),8+(O179-1)*3)&lt;=5,U179*0.4-VLOOKUP(B169,INDIRECT($F$8),8+(O179-1)*3),11),0))))</f>
        <v>0</v>
      </c>
      <c r="X179" s="1" t="str">
        <f ca="1">IF(ISERROR(F169),"",IF(W179=0,"",_xlfn.TEXTJOIN("",FALSE," G+",W179," in ",A179)))</f>
        <v/>
      </c>
    </row>
    <row r="180" spans="1:24" ht="11.25" customHeight="1" x14ac:dyDescent="0.2">
      <c r="A180" s="7" t="str">
        <f ca="1">IF(ISERROR(F169),"",VLOOKUP(C169,INDIRECT($F$8),6+(O180-1)*3,0))</f>
        <v>CAT 001</v>
      </c>
      <c r="B180" s="41" t="str">
        <f ca="1">IF(ISERROR(F169),"",VLOOKUP(D169,INDIRECT($F$8),6+(O180-1)*3,0))</f>
        <v>Introduction of Information Technology ($)</v>
      </c>
      <c r="C180" s="41"/>
      <c r="D180" s="41"/>
      <c r="E180" s="41"/>
      <c r="F180" s="7">
        <f ca="1">IF(ISERROR(F169),"",VLOOKUP(E169,INDIRECT($F$8),6+(O180-1)*3,0))</f>
        <v>0</v>
      </c>
      <c r="G180" s="42" t="str">
        <f ca="1">IF(ISERROR(F169),"",_xlfn.TEXTJOIN("/",FALSE,P180,S180))</f>
        <v>NA/30</v>
      </c>
      <c r="H180" s="42"/>
      <c r="I180" s="42" t="str">
        <f ca="1">IF(ISERROR(F169),"",_xlfn.TEXTJOIN("/",FALSE,Q180,T180))</f>
        <v>NA/20</v>
      </c>
      <c r="J180" s="42"/>
      <c r="K180" s="42" t="str">
        <f ca="1">IF(ISERROR(F169),"",_xlfn.TEXTJOIN("/",FALSE,R180,U180))</f>
        <v>0/50</v>
      </c>
      <c r="L180" s="42"/>
      <c r="M180" s="7" t="str">
        <f ca="1">IF(ISERROR(F169),"",IF(ISTEXT(P180),IF(P180="A","Ab",IF(P180="D","Dt",IF(P180="UFM","UFM",IF(P180="NA","-")))),IF(AND(ISBLANK(P180),ISBLANK(R180)),"",IF(P180&lt;0.3*S180,"F",IF(ISBLANK(R180),"",IF(ISTEXT(R180),R180,IF(R180&gt;=0.95*U180,"O",IF(R180&gt;=0.9*U180,"A+",IF(R180&gt;=0.85*U180,"A",IF(R180&gt;=0.8*U180,"B+",IF(R180&gt;=0.75*U180,"B",IF(R180&gt;=0.7*U180,"C+",IF(R180&gt;=0.65*U180,"C",IF(R180&gt;=0.6*U180,"D+",IF(R180&gt;=0.55*U180,"D",IF(R180&gt;=0.5*U180,"E+",IF(R180&gt;=0.45*U180,"E",IF(R180&gt;=0.4*U180,"P",IF(R180&lt;0.4*U180,"F",R180)))))))))))))))))))</f>
        <v>-</v>
      </c>
      <c r="N180" s="8" t="str">
        <f t="shared" ca="1" si="14"/>
        <v>-</v>
      </c>
      <c r="O180">
        <f t="shared" si="15"/>
        <v>7</v>
      </c>
      <c r="P180" s="1" t="str">
        <f ca="1">IF(ISERROR(F169),"",IF(ISTEXT(VLOOKUP(B169,INDIRECT($F$8),6+(O180-1)*3)),(VLOOKUP(B169,INDIRECT($F$8),6+(O180-1)*3)),SUM(VLOOKUP(B169,INDIRECT($F$8),6+(O180-1)*3),IF(W188,W180,0))))</f>
        <v>NA</v>
      </c>
      <c r="Q180" s="1" t="str">
        <f ca="1">IF(ISERROR(F169),"",VLOOKUP(B169,INDIRECT($F$8),7+(O180-1)*3))</f>
        <v>NA</v>
      </c>
      <c r="R180" s="1">
        <f ca="1">IF(ISERROR(F169),"",SUM(P180:Q180))</f>
        <v>0</v>
      </c>
      <c r="S180" s="1">
        <f ca="1">IF(ISERROR(F169),"",VLOOKUP(A169,INDIRECT($F$8),6+(O180-1)*3))</f>
        <v>30</v>
      </c>
      <c r="T180" s="1">
        <f ca="1">IF(ISERROR(F169),"",VLOOKUP(A169,INDIRECT($F$8),7+(O180-1)*3))</f>
        <v>20</v>
      </c>
      <c r="U180" s="1">
        <f ca="1">IF(ISERROR(F169),"",VLOOKUP(A169,INDIRECT($F$8),8+(O180-1)*3))</f>
        <v>50</v>
      </c>
      <c r="V180" s="1" t="str">
        <f ca="1">IF(ISERROR(F169),"",IF(N180=0,A180,""))</f>
        <v/>
      </c>
      <c r="W180" s="1">
        <f ca="1">IF(ISERROR(F169),"",IF(ISTEXT(VLOOKUP(B169,INDIRECT($F$8),6+(O180-1)*3)),11,IF(VLOOKUP(B169,INDIRECT($F$8),6+(O180-1)*3)&lt;S180*0.3,IF(VLOOKUP(B169,INDIRECT($F$8),8+(O180-1)*3)&lt;U180*0.4,IF(AND(0.4*U180-VLOOKUP(B169,INDIRECT($F$8),8+(O180-1)*3)&lt;=5,0.3*S180-VLOOKUP(B169,INDIRECT($F$8),6+(O180-1)*3)&lt;=5),MAX(0.4*U180-VLOOKUP(B169,INDIRECT($F$8),8+(O180-1)*3),0.3*S180-VLOOKUP(B169,INDIRECT($F$8),6+(O180-1)*3)),11),IF(0.3*S180-VLOOKUP(B169,INDIRECT($F$8),6+(O180-1)*3)&lt;=5,0.3*S180-VLOOKUP(B169,INDIRECT($F$8),6+(O180-1)*3),11)),IF(VLOOKUP(B169,INDIRECT($F$8),8+(O180-1)*3)&lt;U180*0.4,IF(U180*0.4-VLOOKUP(B169,INDIRECT($F$8),8+(O180-1)*3)&lt;=5,U180*0.4-VLOOKUP(B169,INDIRECT($F$8),8+(O180-1)*3),11),0))))</f>
        <v>11</v>
      </c>
      <c r="X180" s="1" t="str">
        <f ca="1">IF(ISERROR(F169),"",IF(W180=0,"",_xlfn.TEXTJOIN("",FALSE," G+",W180," in ",A180)))</f>
        <v xml:space="preserve"> G+11 in CAT 001</v>
      </c>
    </row>
    <row r="181" spans="1:24" ht="11.25" customHeight="1" x14ac:dyDescent="0.2">
      <c r="A181" s="7" t="str">
        <f ca="1">IF(ISERROR(F169),"",VLOOKUP(C169,INDIRECT($F$8),6+(O181-1)*3,0))</f>
        <v>CAT 002</v>
      </c>
      <c r="B181" s="41" t="str">
        <f ca="1">IF(ISERROR(F169),"",VLOOKUP(D169,INDIRECT($F$8),6+(O181-1)*3,0))</f>
        <v>Programming Fundamentals with "C" ($)</v>
      </c>
      <c r="C181" s="41"/>
      <c r="D181" s="41"/>
      <c r="E181" s="41"/>
      <c r="F181" s="7">
        <f ca="1">IF(ISERROR(F169),"",VLOOKUP(E169,INDIRECT($F$8),6+(O181-1)*3,0))</f>
        <v>0</v>
      </c>
      <c r="G181" s="42" t="str">
        <f ca="1">IF(ISERROR(F169),"",_xlfn.TEXTJOIN("/",FALSE,P181,S181))</f>
        <v>NA/30</v>
      </c>
      <c r="H181" s="42"/>
      <c r="I181" s="42" t="str">
        <f ca="1">IF(ISERROR(F169),"",_xlfn.TEXTJOIN("/",FALSE,Q181,T181))</f>
        <v>NA/20</v>
      </c>
      <c r="J181" s="42"/>
      <c r="K181" s="42" t="str">
        <f ca="1">IF(ISERROR(F169),"",_xlfn.TEXTJOIN("/",FALSE,R181,U181))</f>
        <v>0/50</v>
      </c>
      <c r="L181" s="42"/>
      <c r="M181" s="7" t="str">
        <f ca="1">IF(ISERROR(F169),"",IF(ISTEXT(P181),IF(P181="A","Ab",IF(P181="D","Dt",IF(P181="UFM","UFM",IF(P181="NA","-")))),IF(AND(ISBLANK(P181),ISBLANK(R181)),"",IF(P181&lt;0.3*S181,"F",IF(ISBLANK(R181),"",IF(ISTEXT(R181),R181,IF(R181&gt;=0.95*U181,"O",IF(R181&gt;=0.9*U181,"A+",IF(R181&gt;=0.85*U181,"A",IF(R181&gt;=0.8*U181,"B+",IF(R181&gt;=0.75*U181,"B",IF(R181&gt;=0.7*U181,"C+",IF(R181&gt;=0.65*U181,"C",IF(R181&gt;=0.6*U181,"D+",IF(R181&gt;=0.55*U181,"D",IF(R181&gt;=0.5*U181,"E+",IF(R181&gt;=0.45*U181,"E",IF(R181&gt;=0.4*U181,"P",IF(R181&lt;0.4*U181,"F",R181)))))))))))))))))))</f>
        <v>-</v>
      </c>
      <c r="N181" s="8" t="str">
        <f t="shared" ca="1" si="14"/>
        <v>-</v>
      </c>
      <c r="O181">
        <f t="shared" si="15"/>
        <v>8</v>
      </c>
      <c r="P181" s="1" t="str">
        <f ca="1">IF(ISERROR(F169),"",IF(ISTEXT(VLOOKUP(B169,INDIRECT($F$8),6+(O181-1)*3)),(VLOOKUP(B169,INDIRECT($F$8),6+(O181-1)*3)),SUM(VLOOKUP(B169,INDIRECT($F$8),6+(O181-1)*3),IF(W188,W181,0))))</f>
        <v>NA</v>
      </c>
      <c r="Q181" s="1" t="str">
        <f ca="1">IF(ISERROR(F169),"",VLOOKUP(B169,INDIRECT($F$8),7+(O181-1)*3))</f>
        <v>NA</v>
      </c>
      <c r="R181" s="1">
        <f ca="1">IF(ISERROR(F169),"",SUM(P181:Q181))</f>
        <v>0</v>
      </c>
      <c r="S181" s="1">
        <f ca="1">IF(ISERROR(F169),"",VLOOKUP(A169,INDIRECT($F$8),6+(O181-1)*3))</f>
        <v>30</v>
      </c>
      <c r="T181" s="1">
        <f ca="1">IF(ISERROR(F169),"",VLOOKUP(A169,INDIRECT($F$8),7+(O181-1)*3))</f>
        <v>20</v>
      </c>
      <c r="U181" s="1">
        <f ca="1">IF(ISERROR(F169),"",VLOOKUP(A169,INDIRECT($F$8),8+(O181-1)*3))</f>
        <v>50</v>
      </c>
      <c r="V181" s="1" t="str">
        <f ca="1">IF(ISERROR(F169),"",IF(N181=0,A181,""))</f>
        <v/>
      </c>
      <c r="W181" s="1">
        <f ca="1">IF(ISERROR(F169),"",IF(ISTEXT(VLOOKUP(B169,INDIRECT($F$8),6+(O181-1)*3)),11,IF(VLOOKUP(B169,INDIRECT($F$8),6+(O181-1)*3)&lt;S181*0.3,IF(VLOOKUP(B169,INDIRECT($F$8),8+(O181-1)*3)&lt;U181*0.4,IF(AND(0.4*U181-VLOOKUP(B169,INDIRECT($F$8),8+(O181-1)*3)&lt;=5,0.3*S181-VLOOKUP(B169,INDIRECT($F$8),6+(O181-1)*3)&lt;=5),MAX(0.4*U181-VLOOKUP(B169,INDIRECT($F$8),8+(O181-1)*3),0.3*S181-VLOOKUP(B169,INDIRECT($F$8),6+(O181-1)*3)),11),IF(0.3*S181-VLOOKUP(B169,INDIRECT($F$8),6+(O181-1)*3)&lt;=5,0.3*S181-VLOOKUP(B169,INDIRECT($F$8),6+(O181-1)*3),11)),IF(VLOOKUP(B169,INDIRECT($F$8),8+(O181-1)*3)&lt;U181*0.4,IF(U181*0.4-VLOOKUP(B169,INDIRECT($F$8),8+(O181-1)*3)&lt;=5,U181*0.4-VLOOKUP(B169,INDIRECT($F$8),8+(O181-1)*3),11),0))))</f>
        <v>11</v>
      </c>
      <c r="X181" s="1" t="str">
        <f ca="1">IF(ISERROR(F169),"",IF(W181=0,"",_xlfn.TEXTJOIN("",FALSE," G+",W181," in ",A181)))</f>
        <v xml:space="preserve"> G+11 in CAT 002</v>
      </c>
    </row>
    <row r="182" spans="1:24" ht="11.25" customHeight="1" x14ac:dyDescent="0.2">
      <c r="A182" s="7" t="str">
        <f ca="1">IF(ISERROR(F169),"",VLOOKUP(C169,INDIRECT($F$8),6+(O182-1)*3,0))</f>
        <v>CAT 003</v>
      </c>
      <c r="B182" s="41" t="str">
        <f ca="1">IF(ISERROR(F169),"",VLOOKUP(D169,INDIRECT($F$8),6+(O182-1)*3-Z182,0))</f>
        <v>Fundamental of Web Technology ($)</v>
      </c>
      <c r="C182" s="41"/>
      <c r="D182" s="41"/>
      <c r="E182" s="41"/>
      <c r="F182" s="7">
        <f ca="1">IF(ISERROR(F169),"",VLOOKUP(E169,INDIRECT($F$8),6+(O182-1)*3,0))</f>
        <v>0</v>
      </c>
      <c r="G182" s="42" t="str">
        <f ca="1">IF(ISERROR(F169),"",_xlfn.TEXTJOIN("/",FALSE,P182,S182))</f>
        <v>NA/30</v>
      </c>
      <c r="H182" s="42"/>
      <c r="I182" s="42" t="str">
        <f ca="1">IF(ISERROR(F169),"",_xlfn.TEXTJOIN("/",FALSE,Q182,T182))</f>
        <v>NA/20</v>
      </c>
      <c r="J182" s="42"/>
      <c r="K182" s="42" t="str">
        <f ca="1">IF(ISERROR(F169),"",_xlfn.TEXTJOIN("/",FALSE,R182,U182))</f>
        <v>0/50</v>
      </c>
      <c r="L182" s="42"/>
      <c r="M182" s="7" t="str">
        <f ca="1">IF(ISERROR(F169),"",IF(ISTEXT(P182),IF(P182="A","Ab",IF(P182="D","Dt",IF(P182="UFM","UFM",IF(P182="NA","-")))),IF(AND(ISBLANK(P182),ISBLANK(R182)),"",IF(P182&lt;0.3*S182,"F",IF(ISBLANK(R182),"",IF(ISTEXT(R182),R182,IF(R182&gt;=0.95*U182,"O",IF(R182&gt;=0.9*U182,"A+",IF(R182&gt;=0.85*U182,"A",IF(R182&gt;=0.8*U182,"B+",IF(R182&gt;=0.75*U182,"B",IF(R182&gt;=0.7*U182,"C+",IF(R182&gt;=0.65*U182,"C",IF(R182&gt;=0.6*U182,"D+",IF(R182&gt;=0.55*U182,"D",IF(R182&gt;=0.5*U182,"E+",IF(R182&gt;=0.45*U182,"E",IF(R182&gt;=0.4*U182,"P",IF(R182&lt;0.4*U182,"F",R182)))))))))))))))))))</f>
        <v>-</v>
      </c>
      <c r="N182" s="8" t="str">
        <f t="shared" ca="1" si="14"/>
        <v>-</v>
      </c>
      <c r="O182">
        <f t="shared" si="15"/>
        <v>9</v>
      </c>
      <c r="P182" s="1" t="str">
        <f ca="1">IF(ISERROR(F169),"",IF(ISTEXT(VLOOKUP(B169,INDIRECT($F$8),6+(O182-1)*3)),(VLOOKUP(B169,INDIRECT($F$8),6+(O182-1)*3)),SUM(VLOOKUP(B169,INDIRECT($F$8),6+(O182-1)*3),IF(W188,W182,0))))</f>
        <v>NA</v>
      </c>
      <c r="Q182" s="1" t="str">
        <f ca="1">IF(ISERROR(F169),"",VLOOKUP(B169,INDIRECT($F$8),7+(O182-1)*3))</f>
        <v>NA</v>
      </c>
      <c r="R182" s="1">
        <f ca="1">IF(ISERROR(F169),"",SUM(P182:Q182))</f>
        <v>0</v>
      </c>
      <c r="S182" s="1">
        <f ca="1">IF(ISERROR(F169),"",VLOOKUP(A169,INDIRECT($F$8),6+(O182-1)*3))</f>
        <v>30</v>
      </c>
      <c r="T182" s="1">
        <f ca="1">IF(ISERROR(F169),"",VLOOKUP(A169,INDIRECT($F$8),7+(O182-1)*3))</f>
        <v>20</v>
      </c>
      <c r="U182" s="1">
        <f ca="1">IF(ISERROR(F169),"",VLOOKUP(A169,INDIRECT($F$8),8+(O182-1)*3))</f>
        <v>50</v>
      </c>
      <c r="V182" s="1" t="str">
        <f ca="1">IF(ISERROR(F169),"",IF(N182=0,A182,""))</f>
        <v/>
      </c>
      <c r="W182" s="1">
        <f ca="1">IF(ISERROR(F169),"",IF(ISTEXT(VLOOKUP(B169,INDIRECT($F$8),6+(O182-1)*3)),11,IF(VLOOKUP(B169,INDIRECT($F$8),6+(O182-1)*3)&lt;S182*0.3,IF(VLOOKUP(B169,INDIRECT($F$8),8+(O182-1)*3)&lt;U182*0.4,IF(AND(0.4*U182-VLOOKUP(B169,INDIRECT($F$8),8+(O182-1)*3)&lt;=5,0.3*S182-VLOOKUP(B169,INDIRECT($F$8),6+(O182-1)*3)&lt;=5),MAX(0.4*U182-VLOOKUP(B169,INDIRECT($F$8),8+(O182-1)*3),0.3*S182-VLOOKUP(B169,INDIRECT($F$8),6+(O182-1)*3)),11),IF(0.3*S182-VLOOKUP(B169,INDIRECT($F$8),6+(O182-1)*3)&lt;=5,0.3*S182-VLOOKUP(B169,INDIRECT($F$8),6+(O182-1)*3),11)),IF(VLOOKUP(B169,INDIRECT($F$8),8+(O182-1)*3)&lt;U182*0.4,IF(U182*0.4-VLOOKUP(B169,INDIRECT($F$8),8+(O182-1)*3)&lt;=5,U182*0.4-VLOOKUP(B169,INDIRECT($F$8),8+(O182-1)*3),11),0))))</f>
        <v>11</v>
      </c>
      <c r="X182" s="1" t="str">
        <f ca="1">IF(ISERROR(F169),"",IF(W182=0,"",_xlfn.TEXTJOIN("",FALSE," G+",W182," in ",A182)))</f>
        <v xml:space="preserve"> G+11 in CAT 003</v>
      </c>
    </row>
    <row r="183" spans="1:24" ht="11.25" customHeight="1" x14ac:dyDescent="0.2">
      <c r="A183" s="7" t="str">
        <f ca="1">IF(ISERROR(F169),"",VLOOKUP(C169,INDIRECT($F$8),6+(O183-1)*3,0))</f>
        <v>CAP 001</v>
      </c>
      <c r="B183" s="41" t="str">
        <f ca="1">IF(ISERROR(F169),"",VLOOKUP(D169,INDIRECT($F$8),6+(O183-1)*3-Z183,0))</f>
        <v>Database Management System Lab</v>
      </c>
      <c r="C183" s="41"/>
      <c r="D183" s="41"/>
      <c r="E183" s="41"/>
      <c r="F183" s="7">
        <f ca="1">IF(ISERROR(F169),"",VLOOKUP(E169,INDIRECT($F$8),6+(O183-1)*3,0))</f>
        <v>1</v>
      </c>
      <c r="G183" s="42" t="str">
        <f ca="1">IF(ISERROR(F169),"",_xlfn.TEXTJOIN("/",FALSE,P183,S183))</f>
        <v>29/30</v>
      </c>
      <c r="H183" s="42"/>
      <c r="I183" s="42" t="str">
        <f ca="1">IF(ISERROR(F169),"",_xlfn.TEXTJOIN("/",FALSE,Q183,T183))</f>
        <v>19/20</v>
      </c>
      <c r="J183" s="42"/>
      <c r="K183" s="42" t="str">
        <f ca="1">IF(ISERROR(F169),"",_xlfn.TEXTJOIN("/",FALSE,R183,U183))</f>
        <v>48/50</v>
      </c>
      <c r="L183" s="42"/>
      <c r="M183" s="7" t="str">
        <f ca="1">IF(ISERROR(F169),"",IF(ISTEXT(P183),IF(P183="A","Ab",IF(P183="D","Dt",IF(P183="UFM","UFM",IF(P183="NA","-")))),IF(AND(ISBLANK(P183),ISBLANK(R183)),"",IF(P183&lt;0.3*S183,"F",IF(ISBLANK(R183),"",IF(ISTEXT(R183),R183,IF(R183&gt;=0.95*U183,"O",IF(R183&gt;=0.9*U183,"A+",IF(R183&gt;=0.85*U183,"A",IF(R183&gt;=0.8*U183,"B+",IF(R183&gt;=0.75*U183,"B",IF(R183&gt;=0.7*U183,"C+",IF(R183&gt;=0.65*U183,"C",IF(R183&gt;=0.6*U183,"D+",IF(R183&gt;=0.55*U183,"D",IF(R183&gt;=0.5*U183,"E+",IF(R183&gt;=0.45*U183,"E",IF(R183&gt;=0.4*U183,"P",IF(R183&lt;0.4*U183,"F",R183)))))))))))))))))))</f>
        <v>O</v>
      </c>
      <c r="N183" s="8">
        <f t="shared" ca="1" si="14"/>
        <v>10</v>
      </c>
      <c r="O183">
        <f t="shared" si="15"/>
        <v>10</v>
      </c>
      <c r="P183" s="1">
        <f ca="1">IF(ISERROR(F169),"",IF(ISTEXT(VLOOKUP(B169,INDIRECT($F$8),6+(O183-1)*3)),(VLOOKUP(B169,INDIRECT($F$8),6+(O183-1)*3)),SUM(VLOOKUP(B169,INDIRECT($F$8),6+(O183-1)*3),IF(W188,W183,0))))</f>
        <v>29</v>
      </c>
      <c r="Q183" s="1">
        <f ca="1">IF(ISERROR(F169),"",VLOOKUP(B169,INDIRECT($F$8),7+(O183-1)*3))</f>
        <v>19</v>
      </c>
      <c r="R183" s="1">
        <f ca="1">IF(ISERROR(F169),"",SUM(P183:Q183))</f>
        <v>48</v>
      </c>
      <c r="S183" s="1">
        <f ca="1">IF(ISERROR(F169),"",VLOOKUP(A169,INDIRECT($F$8),6+(O183-1)*3))</f>
        <v>30</v>
      </c>
      <c r="T183" s="1">
        <f ca="1">IF(ISERROR(F169),"",VLOOKUP(A169,INDIRECT($F$8),7+(O183-1)*3))</f>
        <v>20</v>
      </c>
      <c r="U183" s="1">
        <f ca="1">IF(ISERROR(F169),"",VLOOKUP(A169,INDIRECT($F$8),8+(O183-1)*3))</f>
        <v>50</v>
      </c>
      <c r="V183" s="1" t="str">
        <f ca="1">IF(ISERROR(F169),"",IF(N183=0,A183,""))</f>
        <v/>
      </c>
      <c r="W183" s="1">
        <f ca="1">IF(ISERROR(F169),"",IF(ISTEXT(VLOOKUP(B169,INDIRECT($F$8),6+(O183-1)*3)),11,IF(VLOOKUP(B169,INDIRECT($F$8),6+(O183-1)*3)&lt;S183*0.3,IF(VLOOKUP(B169,INDIRECT($F$8),8+(O183-1)*3)&lt;U183*0.4,IF(AND(0.4*U183-VLOOKUP(B169,INDIRECT($F$8),8+(O183-1)*3)&lt;=5,0.3*S183-VLOOKUP(B169,INDIRECT($F$8),6+(O183-1)*3)&lt;=5),MAX(0.4*U183-VLOOKUP(B169,INDIRECT($F$8),8+(O183-1)*3),0.3*S183-VLOOKUP(B169,INDIRECT($F$8),6+(O183-1)*3)),11),IF(0.3*S183-VLOOKUP(B169,INDIRECT($F$8),6+(O183-1)*3)&lt;=5,0.3*S183-VLOOKUP(B169,INDIRECT($F$8),6+(O183-1)*3),11)),IF(VLOOKUP(B169,INDIRECT($F$8),8+(O183-1)*3)&lt;U183*0.4,IF(U183*0.4-VLOOKUP(B169,INDIRECT($F$8),8+(O183-1)*3)&lt;=5,U183*0.4-VLOOKUP(B169,INDIRECT($F$8),8+(O183-1)*3),11),0))))</f>
        <v>0</v>
      </c>
      <c r="X183" s="1" t="str">
        <f ca="1">IF(ISERROR(F169),"",IF(W183=0,"",_xlfn.TEXTJOIN("",FALSE," G+",W183," in ",A183)))</f>
        <v/>
      </c>
    </row>
    <row r="184" spans="1:24" ht="11.25" customHeight="1" x14ac:dyDescent="0.2">
      <c r="A184" s="7" t="str">
        <f ca="1">IF(ISERROR(F169),"",VLOOKUP(C169,INDIRECT($F$8),6+(O184-1)*3,0))</f>
        <v>CAP 002</v>
      </c>
      <c r="B184" s="41" t="str">
        <f ca="1">IF(ISERROR(F169),"",VLOOKUP(D169,INDIRECT($F$8),6+(O184-1)*3,0))</f>
        <v>Operating System Lab</v>
      </c>
      <c r="C184" s="41"/>
      <c r="D184" s="41"/>
      <c r="E184" s="41"/>
      <c r="F184" s="7">
        <f ca="1">IF(ISERROR(F169),"",VLOOKUP(E169,INDIRECT($F$8),6+(O184-1)*3,0))</f>
        <v>1</v>
      </c>
      <c r="G184" s="42" t="str">
        <f ca="1">IF(ISERROR(F169),"",_xlfn.TEXTJOIN("/",FALSE,P184,S184))</f>
        <v>30/30</v>
      </c>
      <c r="H184" s="42"/>
      <c r="I184" s="42" t="str">
        <f ca="1">IF(ISERROR(F169),"",_xlfn.TEXTJOIN("/",FALSE,Q184,T184))</f>
        <v>20/20</v>
      </c>
      <c r="J184" s="42"/>
      <c r="K184" s="42" t="str">
        <f ca="1">IF(ISERROR(F169),"",_xlfn.TEXTJOIN("/",FALSE,R184,U184))</f>
        <v>50/50</v>
      </c>
      <c r="L184" s="42"/>
      <c r="M184" s="7" t="str">
        <f ca="1">IF(ISERROR(F169),"",IF(ISTEXT(P184),IF(P184="A","Ab",IF(P184="D","Dt",IF(P184="UFM","UFM",IF(P184="NA","-")))),IF(AND(ISBLANK(P184),ISBLANK(R184)),"",IF(P184&lt;0.3*S184,"F",IF(ISBLANK(R184),"",IF(ISTEXT(R184),R184,IF(R184&gt;=0.95*U184,"O",IF(R184&gt;=0.9*U184,"A+",IF(R184&gt;=0.85*U184,"A",IF(R184&gt;=0.8*U184,"B+",IF(R184&gt;=0.75*U184,"B",IF(R184&gt;=0.7*U184,"C+",IF(R184&gt;=0.65*U184,"C",IF(R184&gt;=0.6*U184,"D+",IF(R184&gt;=0.55*U184,"D",IF(R184&gt;=0.5*U184,"E+",IF(R184&gt;=0.45*U184,"E",IF(R184&gt;=0.4*U184,"P",IF(R184&lt;0.4*U184,"F",R184)))))))))))))))))))</f>
        <v>O</v>
      </c>
      <c r="N184" s="8">
        <f t="shared" ca="1" si="14"/>
        <v>10</v>
      </c>
      <c r="O184">
        <f t="shared" si="15"/>
        <v>11</v>
      </c>
      <c r="P184" s="1">
        <f ca="1">IF(ISERROR(F169),"",IF(ISTEXT(VLOOKUP(B169,INDIRECT($F$8),6+(O184-1)*3)),(VLOOKUP(B169,INDIRECT($F$8),6+(O184-1)*3)),SUM(VLOOKUP(B169,INDIRECT($F$8),6+(O184-1)*3),IF(W188,W184,0))))</f>
        <v>30</v>
      </c>
      <c r="Q184" s="1">
        <f ca="1">IF(ISERROR(F169),"",VLOOKUP(B169,INDIRECT($F$8),7+(O184-1)*3))</f>
        <v>20</v>
      </c>
      <c r="R184" s="1">
        <f ca="1">IF(ISERROR(F169),"",SUM(P184:Q184))</f>
        <v>50</v>
      </c>
      <c r="S184" s="1">
        <f ca="1">IF(ISERROR(F169),"",VLOOKUP(A169,INDIRECT($F$8),6+(O184-1)*3))</f>
        <v>30</v>
      </c>
      <c r="T184" s="1">
        <f ca="1">IF(ISERROR(F169),"",VLOOKUP(A169,INDIRECT($F$8),7+(O184-1)*3))</f>
        <v>20</v>
      </c>
      <c r="U184" s="1">
        <f ca="1">IF(ISERROR(F169),"",VLOOKUP(A169,INDIRECT($F$8),8+(O184-1)*3))</f>
        <v>50</v>
      </c>
      <c r="V184" s="1" t="str">
        <f ca="1">IF(ISERROR(F169),"",IF(N184=0,A184,""))</f>
        <v/>
      </c>
      <c r="W184" s="1">
        <f ca="1">IF(ISERROR(F169),"",IF(ISTEXT(VLOOKUP(B169,INDIRECT($F$8),6+(O184-1)*3)),11,IF(VLOOKUP(B169,INDIRECT($F$8),6+(O184-1)*3)&lt;S184*0.3,IF(VLOOKUP(B169,INDIRECT($F$8),8+(O184-1)*3)&lt;U184*0.4,IF(AND(0.4*U184-VLOOKUP(B169,INDIRECT($F$8),8+(O184-1)*3)&lt;=5,0.3*S184-VLOOKUP(B169,INDIRECT($F$8),6+(O184-1)*3)&lt;=5),MAX(0.4*U184-VLOOKUP(B169,INDIRECT($F$8),8+(O184-1)*3),0.3*S184-VLOOKUP(B169,INDIRECT($F$8),6+(O184-1)*3)),11),IF(0.3*S184-VLOOKUP(B169,INDIRECT($F$8),6+(O184-1)*3)&lt;=5,0.3*S184-VLOOKUP(B169,INDIRECT($F$8),6+(O184-1)*3),11)),IF(VLOOKUP(B169,INDIRECT($F$8),8+(O184-1)*3)&lt;U184*0.4,IF(U184*0.4-VLOOKUP(B169,INDIRECT($F$8),8+(O184-1)*3)&lt;=5,U184*0.4-VLOOKUP(B169,INDIRECT($F$8),8+(O184-1)*3),11),0))))</f>
        <v>0</v>
      </c>
      <c r="X184" s="1" t="str">
        <f ca="1">IF(ISERROR(F169),"",IF(W184=0,"",_xlfn.TEXTJOIN("",FALSE," G+",W184," in ",A184)))</f>
        <v/>
      </c>
    </row>
    <row r="185" spans="1:24" ht="11.25" customHeight="1" x14ac:dyDescent="0.2">
      <c r="A185" s="7" t="str">
        <f ca="1">IF(ISERROR(F169),"",VLOOKUP(C169,INDIRECT($F$8),6+(O185-1)*3,0))</f>
        <v>CAP 003</v>
      </c>
      <c r="B185" s="41" t="str">
        <f ca="1">IF(ISERROR(F169),"",VLOOKUP(D169,INDIRECT($F$8),6+(O185-1)*3,0))</f>
        <v>Computer Organization Lab</v>
      </c>
      <c r="C185" s="41"/>
      <c r="D185" s="41"/>
      <c r="E185" s="41"/>
      <c r="F185" s="7">
        <f ca="1">IF(ISERROR(F169),"",VLOOKUP(E169,INDIRECT($F$8),6+(O185-1)*3,0))</f>
        <v>1</v>
      </c>
      <c r="G185" s="42" t="str">
        <f ca="1">IF(ISERROR(F169),"",_xlfn.TEXTJOIN("/",FALSE,P185,S185))</f>
        <v>30/30</v>
      </c>
      <c r="H185" s="42"/>
      <c r="I185" s="42" t="str">
        <f ca="1">IF(ISERROR(F169),"",_xlfn.TEXTJOIN("/",FALSE,Q185,T185))</f>
        <v>20/20</v>
      </c>
      <c r="J185" s="42"/>
      <c r="K185" s="42" t="str">
        <f ca="1">IF(ISERROR(F169),"",_xlfn.TEXTJOIN("/",FALSE,R185,U185))</f>
        <v>50/50</v>
      </c>
      <c r="L185" s="42"/>
      <c r="M185" s="7" t="str">
        <f ca="1">IF(ISERROR(F169),"",IF(ISTEXT(P185),IF(P185="A","Ab",IF(P185="D","Dt",IF(P185="UFM","UFM",IF(P185="NA","-")))),IF(AND(ISBLANK(P185),ISBLANK(R185)),"",IF(P185&lt;0.3*S185,"F",IF(ISBLANK(R185),"",IF(ISTEXT(R185),R185,IF(R185&gt;=0.95*U185,"O",IF(R185&gt;=0.9*U185,"A+",IF(R185&gt;=0.85*U185,"A",IF(R185&gt;=0.8*U185,"B+",IF(R185&gt;=0.75*U185,"B",IF(R185&gt;=0.7*U185,"C+",IF(R185&gt;=0.65*U185,"C",IF(R185&gt;=0.6*U185,"D+",IF(R185&gt;=0.55*U185,"D",IF(R185&gt;=0.5*U185,"E+",IF(R185&gt;=0.45*U185,"E",IF(R185&gt;=0.4*U185,"P",IF(R185&lt;0.4*U185,"F",R185)))))))))))))))))))</f>
        <v>O</v>
      </c>
      <c r="N185" s="8">
        <f t="shared" ca="1" si="14"/>
        <v>10</v>
      </c>
      <c r="O185">
        <f t="shared" si="15"/>
        <v>12</v>
      </c>
      <c r="P185" s="1">
        <f ca="1">IF(ISERROR(F169),"",IF(ISTEXT(VLOOKUP(B169,INDIRECT($F$8),6+(O185-1)*3)),(VLOOKUP(B169,INDIRECT($F$8),6+(O185-1)*3)),SUM(VLOOKUP(B169,INDIRECT($F$8),6+(O185-1)*3),IF(W188,W185,0))))</f>
        <v>30</v>
      </c>
      <c r="Q185" s="1">
        <f ca="1">IF(ISERROR(F169),"",VLOOKUP(B169,INDIRECT($F$8),7+(O185-1)*3))</f>
        <v>20</v>
      </c>
      <c r="R185" s="1">
        <f ca="1">IF(ISERROR(F169),"",SUM(P185:Q185))</f>
        <v>50</v>
      </c>
      <c r="S185" s="1">
        <f ca="1">IF(ISERROR(F169),"",VLOOKUP(A169,INDIRECT($F$8),6+(O185-1)*3))</f>
        <v>30</v>
      </c>
      <c r="T185" s="1">
        <f ca="1">IF(ISERROR(F169),"",VLOOKUP(A169,INDIRECT($F$8),7+(O185-1)*3))</f>
        <v>20</v>
      </c>
      <c r="U185" s="1">
        <f ca="1">IF(ISERROR(F169),"",VLOOKUP(A169,INDIRECT($F$8),8+(O185-1)*3))</f>
        <v>50</v>
      </c>
      <c r="V185" s="1" t="str">
        <f ca="1">IF(ISERROR(F169),"",IF(N185=0,A185,""))</f>
        <v/>
      </c>
      <c r="W185" s="1">
        <f ca="1">IF(ISERROR(F169),"",IF(ISTEXT(VLOOKUP(B169,INDIRECT($F$8),6+(O185-1)*3)),11,IF(VLOOKUP(B169,INDIRECT($F$8),6+(O185-1)*3)&lt;S185*0.3,IF(VLOOKUP(B169,INDIRECT($F$8),8+(O185-1)*3)&lt;U185*0.4,IF(AND(0.4*U185-VLOOKUP(B169,INDIRECT($F$8),8+(O185-1)*3)&lt;=5,0.3*S185-VLOOKUP(B169,INDIRECT($F$8),6+(O185-1)*3)&lt;=5),MAX(0.4*U185-VLOOKUP(B169,INDIRECT($F$8),8+(O185-1)*3),0.3*S185-VLOOKUP(B169,INDIRECT($F$8),6+(O185-1)*3)),11),IF(0.3*S185-VLOOKUP(B169,INDIRECT($F$8),6+(O185-1)*3)&lt;=5,0.3*S185-VLOOKUP(B169,INDIRECT($F$8),6+(O185-1)*3),11)),IF(VLOOKUP(B169,INDIRECT($F$8),8+(O185-1)*3)&lt;U185*0.4,IF(U185*0.4-VLOOKUP(B169,INDIRECT($F$8),8+(O185-1)*3)&lt;=5,U185*0.4-VLOOKUP(B169,INDIRECT($F$8),8+(O185-1)*3),11),0))))</f>
        <v>0</v>
      </c>
      <c r="X185" s="1" t="str">
        <f ca="1">IF(ISERROR(F169),"",IF(W185=0,"",_xlfn.TEXTJOIN("",FALSE," G+",W185," in ",A185)))</f>
        <v/>
      </c>
    </row>
    <row r="186" spans="1:24" ht="11.25" customHeight="1" x14ac:dyDescent="0.2">
      <c r="A186" s="7" t="str">
        <f ca="1">IF(ISERROR(F169),"",VLOOKUP(C169,INDIRECT($F$8),6+(O186-1)*3,0))</f>
        <v>AHP 303</v>
      </c>
      <c r="B186" s="41" t="str">
        <f ca="1">IF(ISERROR(F169),"",VLOOKUP(D169,INDIRECT($F$8),6+(O186-1)*3,0))</f>
        <v>Technical Communication Skills</v>
      </c>
      <c r="C186" s="41"/>
      <c r="D186" s="41"/>
      <c r="E186" s="41"/>
      <c r="F186" s="7">
        <f ca="1">IF(ISERROR(F169),"",VLOOKUP(E169,INDIRECT($F$8),6+(O186-1)*3,0))</f>
        <v>1</v>
      </c>
      <c r="G186" s="42" t="str">
        <f ca="1">IF(ISERROR(F169),"",_xlfn.TEXTJOIN("/",FALSE,P186,S186))</f>
        <v>23/30</v>
      </c>
      <c r="H186" s="42"/>
      <c r="I186" s="42" t="str">
        <f ca="1">IF(ISERROR(F169),"",_xlfn.TEXTJOIN("/",FALSE,Q186,T186))</f>
        <v>17/20</v>
      </c>
      <c r="J186" s="42"/>
      <c r="K186" s="42" t="str">
        <f ca="1">IF(ISERROR(F169),"",_xlfn.TEXTJOIN("/",FALSE,R186,U186))</f>
        <v>40/50</v>
      </c>
      <c r="L186" s="42"/>
      <c r="M186" s="7" t="str">
        <f ca="1">IF(ISERROR(F169),"",IF(ISTEXT(P186),IF(P186="A","Ab",IF(P186="D","Dt",IF(P186="UFM","UFM",IF(P186="NA","-")))),IF(AND(ISBLANK(P186),ISBLANK(R186)),"",IF(P186&lt;0.3*S186,"F",IF(ISBLANK(R186),"",IF(ISTEXT(R186),R186,IF(R186&gt;=0.95*U186,"O",IF(R186&gt;=0.9*U186,"A+",IF(R186&gt;=0.85*U186,"A",IF(R186&gt;=0.8*U186,"B+",IF(R186&gt;=0.75*U186,"B",IF(R186&gt;=0.7*U186,"C+",IF(R186&gt;=0.65*U186,"C",IF(R186&gt;=0.6*U186,"D+",IF(R186&gt;=0.55*U186,"D",IF(R186&gt;=0.5*U186,"E+",IF(R186&gt;=0.45*U186,"E",IF(R186&gt;=0.4*U186,"P",IF(R186&lt;0.4*U186,"F",R186)))))))))))))))))))</f>
        <v>B+</v>
      </c>
      <c r="N186" s="8">
        <f t="shared" ca="1" si="14"/>
        <v>8.5</v>
      </c>
      <c r="O186">
        <f t="shared" si="15"/>
        <v>13</v>
      </c>
      <c r="P186" s="1">
        <f ca="1">IF(ISERROR(F169),"",IF(ISTEXT(VLOOKUP(B169,INDIRECT($F$8),6+(O186-1)*3)),(VLOOKUP(B169,INDIRECT($F$8),6+(O186-1)*3)),SUM(VLOOKUP(B169,INDIRECT($F$8),6+(O186-1)*3),IF(W188,W186,0))))</f>
        <v>23</v>
      </c>
      <c r="Q186" s="1">
        <f ca="1">IF(ISERROR(F169),"",VLOOKUP(B169,INDIRECT($F$8),7+(O186-1)*3))</f>
        <v>17</v>
      </c>
      <c r="R186" s="1">
        <f ca="1">IF(ISERROR(F169),"",SUM(P186:Q186))</f>
        <v>40</v>
      </c>
      <c r="S186" s="1">
        <f ca="1">IF(ISERROR(F169),"",VLOOKUP(A169,INDIRECT($F$8),6+(O186-1)*3))</f>
        <v>30</v>
      </c>
      <c r="T186" s="1">
        <f ca="1">IF(ISERROR(F169),"",VLOOKUP(A169,INDIRECT($F$8),7+(O186-1)*3))</f>
        <v>20</v>
      </c>
      <c r="U186" s="1">
        <f ca="1">IF(ISERROR(F169),"",VLOOKUP(A169,INDIRECT($F$8),8+(O186-1)*3))</f>
        <v>50</v>
      </c>
      <c r="V186" s="1"/>
      <c r="W186" s="1">
        <f ca="1">IF(ISERROR(F169),"",IF(ISTEXT(VLOOKUP(B169,INDIRECT($F$8),6+(O186-1)*3)),11,IF(VLOOKUP(B169,INDIRECT($F$8),6+(O186-1)*3)&lt;S186*0.3,IF(VLOOKUP(B169,INDIRECT($F$8),8+(O186-1)*3)&lt;U186*0.4,IF(AND(0.4*U186-VLOOKUP(B169,INDIRECT($F$8),8+(O186-1)*3)&lt;=5,0.3*S186-VLOOKUP(B169,INDIRECT($F$8),6+(O186-1)*3)&lt;=5),MAX(0.4*U186-VLOOKUP(B169,INDIRECT($F$8),8+(O186-1)*3),0.3*S186-VLOOKUP(B169,INDIRECT($F$8),6+(O186-1)*3)),11),IF(0.3*S186-VLOOKUP(B169,INDIRECT($F$8),6+(O186-1)*3)&lt;=5,0.3*S186-VLOOKUP(B169,INDIRECT($F$8),6+(O186-1)*3),11)),IF(VLOOKUP(B169,INDIRECT($F$8),8+(O186-1)*3)&lt;U186*0.4,IF(U186*0.4-VLOOKUP(B169,INDIRECT($F$8),8+(O186-1)*3)&lt;=5,U186*0.4-VLOOKUP(B169,INDIRECT($F$8),8+(O186-1)*3),11),0))))</f>
        <v>0</v>
      </c>
      <c r="X186" s="1" t="str">
        <f ca="1">IF(ISERROR(F169),"",IF(W186=0,"",_xlfn.TEXTJOIN("",FALSE," G+",W186," in ",A186)))</f>
        <v/>
      </c>
    </row>
    <row r="187" spans="1:24" s="32" customFormat="1" ht="11.25" customHeight="1" x14ac:dyDescent="0.2">
      <c r="A187" s="31">
        <f ca="1">IF(ISERROR(F169),"",VLOOKUP(C169,INDIRECT($F$8),6+(O187-1)*3-Y187,0))</f>
        <v>0</v>
      </c>
      <c r="B187" s="49">
        <f ca="1">IF(ISERROR(F169),"",VLOOKUP(D169,INDIRECT($F$8),6+(O187-1)*3-Z187,0))</f>
        <v>0</v>
      </c>
      <c r="C187" s="49"/>
      <c r="D187" s="49"/>
      <c r="E187" s="49"/>
      <c r="F187" s="31">
        <f ca="1">IF(ISERROR(F169),"",VLOOKUP(E169,INDIRECT($F$8),6+(O187-1)*3-AA187,0))</f>
        <v>0</v>
      </c>
      <c r="G187" s="50" t="str">
        <f ca="1">IF(ISERROR(F169),"","-")</f>
        <v>-</v>
      </c>
      <c r="H187" s="50"/>
      <c r="I187" s="50" t="str">
        <f ca="1">IF(ISERROR(F169),"",_xlfn.TEXTJOIN("/",FALSE,Q187,T187))</f>
        <v>0/0</v>
      </c>
      <c r="J187" s="50"/>
      <c r="K187" s="50" t="str">
        <f ca="1">IF(ISERROR(F169),"",_xlfn.TEXTJOIN("/",FALSE,R187,U187))</f>
        <v>0/0</v>
      </c>
      <c r="L187" s="50"/>
      <c r="M187" s="50" t="str">
        <f ca="1">IF(ISBLANK(R187),"",IF(ISTEXT(R187),R187,IF(R187&gt;=0.8*U187,"Excellent",IF(R187&gt;=0.6*U187,"Very Good",IF(R187&gt;=0.4*U187,"Good",IF(R187&gt;=0.2*U187,"Satisfactory","Average"))))))</f>
        <v>Excellent</v>
      </c>
      <c r="N187" s="50"/>
      <c r="O187" s="32">
        <f t="shared" si="15"/>
        <v>14</v>
      </c>
      <c r="P187" s="33">
        <f ca="1">IF(ISERROR(F169),"",IF(ISTEXT(VLOOKUP(B\28,INDIRECT($F$8),6+(O187-1)*3)),(VLOOKUP(B169,INDIRECT($F$8),6+(O187-1)*3)),SUM(VLOOKUP(B169,INDIRECT($F$8),6+(O187-1)*3),IF(W188,W187,0))))</f>
        <v>0</v>
      </c>
      <c r="Q187" s="33">
        <f ca="1">IF(ISERROR(F169),"",VLOOKUP(B169,INDIRECT($F$8),7+(O187-1)*3))</f>
        <v>0</v>
      </c>
      <c r="R187" s="33">
        <f ca="1">IF(ISERROR(F169),"",SUM(P187:Q187))</f>
        <v>0</v>
      </c>
      <c r="S187" s="33">
        <f ca="1">IF(ISERROR(F169),"",VLOOKUP(A169,INDIRECT($F$8),6+(O187-1)*3))</f>
        <v>0</v>
      </c>
      <c r="T187" s="33">
        <f ca="1">IF(ISERROR(F169),"",VLOOKUP(A169,INDIRECT($F$8),7+(O187-1)*3))</f>
        <v>0</v>
      </c>
      <c r="U187" s="33">
        <f ca="1">IF(ISERROR(F169),"",VLOOKUP(A169,INDIRECT($F$8),8+(O187-1)*3))</f>
        <v>0</v>
      </c>
      <c r="V187" s="33"/>
      <c r="W187" s="33"/>
      <c r="X187" s="33" t="str">
        <f ca="1">IF(ISERROR(F169),"",IF(W187=0,"",_xlfn.TEXTJOIN("",FALSE," G+",W187," in ",A187)))</f>
        <v/>
      </c>
    </row>
    <row r="188" spans="1:24" ht="11.25" customHeight="1" x14ac:dyDescent="0.2">
      <c r="A188" s="43" t="str">
        <f ca="1">IF(ISERROR(F169),"",A165)</f>
        <v>Total Credits/ Marks/ Total Grade Points</v>
      </c>
      <c r="B188" s="43"/>
      <c r="C188" s="43"/>
      <c r="D188" s="43"/>
      <c r="E188" s="43"/>
      <c r="F188" s="10">
        <f ca="1">IF(ISERROR(F169),"",SUM(F174:F187))</f>
        <v>24</v>
      </c>
      <c r="G188" s="44" t="str">
        <f ca="1">IF(ISERROR(F169),"",_xlfn.TEXTJOIN("/",TRUE,SUMIF(F174:F187,"&gt;0",P174:P187),SUMIF(F174:F187,"&gt;0",S174:S187)))</f>
        <v>563/620</v>
      </c>
      <c r="H188" s="44"/>
      <c r="I188" s="44" t="str">
        <f ca="1">IF(ISERROR(F169),"",_xlfn.TEXTJOIN("/",TRUE,SUMIF(F174:F187,"&gt;0",Q174:Q187),SUMIF(F174:F187,"&gt;0",T174:T187)))</f>
        <v>308/330</v>
      </c>
      <c r="J188" s="44"/>
      <c r="K188" s="44" t="str">
        <f ca="1">IF(ISERROR(F169),"",_xlfn.TEXTJOIN("/",TRUE,SUMIF(F174:F187,"&gt;0",R174:R187),SUMIF(F174:F187,"&gt;0",U174:U187)))</f>
        <v>871/950</v>
      </c>
      <c r="L188" s="44"/>
      <c r="M188" s="43">
        <f ca="1">IF(ISERROR(F169),"",SUMPRODUCT(N174:N186,F174:F186))</f>
        <v>226.5</v>
      </c>
      <c r="N188" s="43"/>
      <c r="V188" s="1" t="str">
        <f ca="1">IF(ISERROR(F169),"",_xlfn.TEXTJOIN(", ",TRUE,V174:V187))</f>
        <v/>
      </c>
      <c r="W188" t="b">
        <f ca="1">IF(ISERROR(F169),"",IF(SUM(W174:W187)&lt;=W173,TRUE,FALSE))</f>
        <v>0</v>
      </c>
      <c r="X188" s="1" t="str">
        <f ca="1">_xlfn.TEXTJOIN(",",TRUE,X174:X187)</f>
        <v xml:space="preserve"> G+11 in CAT 001, G+11 in CAT 002, G+11 in CAT 003</v>
      </c>
    </row>
    <row r="189" spans="1:24" ht="11.25" customHeight="1" x14ac:dyDescent="0.2">
      <c r="A189" s="43" t="str">
        <f ca="1">IF(ISERROR(F169),"",A166)</f>
        <v>Result:</v>
      </c>
      <c r="B189" s="45" t="str">
        <f ca="1">IF(ISERROR(F169),"",IF(V188="","PASS","CARRY OVER"))</f>
        <v>PASS</v>
      </c>
      <c r="C189" s="45"/>
      <c r="D189" s="43" t="str">
        <f ca="1">IF(ISERROR(F169),"",D166)</f>
        <v>Remark:</v>
      </c>
      <c r="E189" s="45" t="str">
        <f ca="1">IF(ISERROR(F169),"",IF(W188,X188,IF(V188="","",_xlfn.TEXTJOIN("",TRUE,"BACK IN ",V188))))</f>
        <v/>
      </c>
      <c r="F189" s="45"/>
      <c r="G189" s="43" t="str">
        <f ca="1">IF(ISERROR(F169),"",G166)</f>
        <v>SGPA:</v>
      </c>
      <c r="H189" s="46">
        <f ca="1">IF(ISERROR(F169),"",M188/F188)</f>
        <v>9.4375</v>
      </c>
      <c r="I189" s="43" t="str">
        <f ca="1">IF(ISERROR(F169),"",I166)</f>
        <v>CGPA:</v>
      </c>
      <c r="J189" s="46">
        <f ca="1">IF(ISERROR(F169),"",VLOOKUP(B169,INDIRECT($F$8),12+(O187-1)*3,0))</f>
        <v>9.4375</v>
      </c>
      <c r="K189" s="45" t="str">
        <f ca="1">IF(ISERROR(F169),"",K166)</f>
        <v>Earned Credits:</v>
      </c>
      <c r="L189" s="43">
        <f ca="1">IF(ISERROR(F169),"",SUMIF(N174:N186,"&gt;0",F174:F186))</f>
        <v>24</v>
      </c>
      <c r="M189" s="45" t="str">
        <f ca="1">IF(ISERROR(F169),"",M166)</f>
        <v>Cuml. Earned Credits:</v>
      </c>
      <c r="N189" s="43">
        <f ca="1">IF(ISERROR(F169),"",VLOOKUP(B169,INDIRECT($F$8),10+(O187-1)*3,0))</f>
        <v>24</v>
      </c>
    </row>
    <row r="190" spans="1:24" ht="11.25" customHeight="1" x14ac:dyDescent="0.2">
      <c r="A190" s="43"/>
      <c r="B190" s="45"/>
      <c r="C190" s="45"/>
      <c r="D190" s="43"/>
      <c r="E190" s="45"/>
      <c r="F190" s="45"/>
      <c r="G190" s="43"/>
      <c r="H190" s="46"/>
      <c r="I190" s="43"/>
      <c r="J190" s="46"/>
      <c r="K190" s="45"/>
      <c r="L190" s="43"/>
      <c r="M190" s="45"/>
      <c r="N190" s="43"/>
    </row>
    <row r="191" spans="1:24" ht="15" x14ac:dyDescent="0.2">
      <c r="A191" s="43"/>
      <c r="B191" s="45"/>
      <c r="C191" s="45"/>
      <c r="D191" s="43"/>
      <c r="E191" s="45"/>
      <c r="F191" s="45"/>
      <c r="G191" s="43"/>
      <c r="H191" s="46"/>
      <c r="I191" s="43"/>
      <c r="J191" s="46"/>
      <c r="K191" s="45"/>
      <c r="L191" s="43"/>
      <c r="M191" s="45"/>
      <c r="N191" s="43"/>
    </row>
    <row r="192" spans="1:24" ht="11.25" customHeight="1" x14ac:dyDescent="0.2">
      <c r="A192" s="11" t="str">
        <f>A169</f>
        <v>MM</v>
      </c>
      <c r="B192" s="11">
        <f>B169+1</f>
        <v>9</v>
      </c>
      <c r="C192" s="11" t="str">
        <f>C169</f>
        <v>SC</v>
      </c>
      <c r="D192" s="11" t="str">
        <f>D169</f>
        <v>SN</v>
      </c>
      <c r="E192" s="11" t="str">
        <f>E169</f>
        <v>C</v>
      </c>
      <c r="F192" s="11" t="str">
        <f ca="1">VLOOKUP(B192,INDIRECT($F$8),4,0)</f>
        <v>KIRAN SAHANI</v>
      </c>
    </row>
    <row r="193" spans="1:24" ht="11.25" customHeight="1" x14ac:dyDescent="0.2">
      <c r="A193" s="47" t="str">
        <f ca="1">IF(ISERROR(F192),"",A170)</f>
        <v>Name:</v>
      </c>
      <c r="B193" s="47" t="str">
        <f ca="1">IFERROR(VLOOKUP(B192,INDIRECT($F$8),4,0),"")</f>
        <v>KIRAN SAHANI</v>
      </c>
      <c r="C193" s="47"/>
      <c r="D193" s="47" t="str">
        <f ca="1">IF(ISERROR(F192),"",D170)</f>
        <v>Father's Name:</v>
      </c>
      <c r="E193" s="47" t="str">
        <f ca="1">IFERROR(VLOOKUP(B192,INDIRECT($F$8),5,0),"")</f>
        <v>VINOD SAHANI</v>
      </c>
      <c r="F193" s="47"/>
      <c r="G193" s="47" t="str">
        <f ca="1">IF(ISERROR(F192),"",G170)</f>
        <v>University Roll No:</v>
      </c>
      <c r="H193" s="47"/>
      <c r="I193" s="48">
        <f ca="1">IFERROR(VLOOKUP(B192,INDIRECT($F$8),2,0),"")</f>
        <v>250090600009</v>
      </c>
      <c r="J193" s="48"/>
      <c r="K193" s="47" t="str">
        <f ca="1">IF(ISERROR(F192),"",K170)</f>
        <v>University Enrol. No:</v>
      </c>
      <c r="L193" s="47"/>
      <c r="M193" s="48" t="str">
        <f ca="1">IFERROR(VLOOKUP(B192,INDIRECT($F$8),3,0),"")</f>
        <v>UTU/2506100160</v>
      </c>
      <c r="N193" s="48"/>
    </row>
    <row r="194" spans="1:24" ht="15" x14ac:dyDescent="0.2">
      <c r="A194" s="47"/>
      <c r="B194" s="47"/>
      <c r="C194" s="47"/>
      <c r="D194" s="47"/>
      <c r="E194" s="47"/>
      <c r="F194" s="47"/>
      <c r="G194" s="47"/>
      <c r="H194" s="47"/>
      <c r="I194" s="48"/>
      <c r="J194" s="48"/>
      <c r="K194" s="47"/>
      <c r="L194" s="47"/>
      <c r="M194" s="48"/>
      <c r="N194" s="48"/>
    </row>
    <row r="195" spans="1:24" ht="11.25" customHeight="1" x14ac:dyDescent="0.2">
      <c r="A195" s="45" t="str">
        <f ca="1">IF(ISERROR(F192),"",A172)</f>
        <v>Subject Code</v>
      </c>
      <c r="B195" s="45" t="str">
        <f ca="1">IF(ISERROR(F192),"",B172)</f>
        <v>Subject Name</v>
      </c>
      <c r="C195" s="45"/>
      <c r="D195" s="45"/>
      <c r="E195" s="45"/>
      <c r="F195" s="45" t="str">
        <f ca="1">IF(ISERROR(F192),"",F172)</f>
        <v>Credits</v>
      </c>
      <c r="G195" s="45" t="str">
        <f ca="1">IF(ISERROR(F192),"",G172)</f>
        <v>External Marks</v>
      </c>
      <c r="H195" s="45"/>
      <c r="I195" s="45" t="str">
        <f ca="1">IF(ISERROR(F192),"",I172)</f>
        <v>Sessional Marks</v>
      </c>
      <c r="J195" s="45"/>
      <c r="K195" s="45" t="str">
        <f ca="1">IF(ISERROR(F192),"",K172)</f>
        <v>Total Marks</v>
      </c>
      <c r="L195" s="45"/>
      <c r="M195" s="45" t="str">
        <f ca="1">IF(ISERROR(F192),"",M172)</f>
        <v>Grade</v>
      </c>
      <c r="N195" s="45" t="str">
        <f ca="1">IF(ISERROR(F192),"",N172)</f>
        <v>Grade Points</v>
      </c>
    </row>
    <row r="196" spans="1:24" ht="15" x14ac:dyDescent="0.2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W196">
        <f ca="1">IF(ISNUMBER(MATCH($F$8,{"I","III","V","VII"},0)),10,10-INDEX(INDIRECT(_xlfn.TEXTJOIN("",TRUE,"SEM_",$G$8,"!",ADDRESS(6,4+$I$8*3+4),":",ADDRESS(5+$H$8,4+$I$8*3+4))),MATCH(INDIRECT(_xlfn.TEXTJOIN("",TRUE,"TC_",$F$8,"!",ADDRESS(ROW(I193),COLUMN(I193)))),INDIRECT(_xlfn.TEXTJOIN("",TRUE,"SEM_",$G$8,"!",ADDRESS(6,2),":",ADDRESS(5+$H$8,2))))))</f>
        <v>10</v>
      </c>
    </row>
    <row r="197" spans="1:24" ht="11.25" customHeight="1" x14ac:dyDescent="0.2">
      <c r="A197" s="7" t="str">
        <f ca="1">IF(ISERROR(F192),"",VLOOKUP(C192,INDIRECT($F$8),6+(O197-1)*3,0))</f>
        <v>CAT 004</v>
      </c>
      <c r="B197" s="41" t="str">
        <f ca="1">IF(ISERROR(F192),"",VLOOKUP(D192,INDIRECT($F$8),6+(O197-1)*3,0))</f>
        <v>Discrete Structure</v>
      </c>
      <c r="C197" s="41"/>
      <c r="D197" s="41"/>
      <c r="E197" s="41"/>
      <c r="F197" s="7">
        <f ca="1">IF(ISERROR(F192),"",VLOOKUP(E192,INDIRECT($F$8),6+(O197-1)*3,0))</f>
        <v>4</v>
      </c>
      <c r="G197" s="42" t="str">
        <f ca="1">IF(ISERROR(F192),"",_xlfn.TEXTJOIN("/",FALSE,P197,S197))</f>
        <v>65/100</v>
      </c>
      <c r="H197" s="42"/>
      <c r="I197" s="42" t="str">
        <f ca="1">IF(ISERROR(F192),"",_xlfn.TEXTJOIN("/",FALSE,Q197,T197))</f>
        <v>43/50</v>
      </c>
      <c r="J197" s="42"/>
      <c r="K197" s="42" t="str">
        <f ca="1">IF(ISERROR(F192),"",_xlfn.TEXTJOIN("/",FALSE,R197,U197))</f>
        <v>108/150</v>
      </c>
      <c r="L197" s="42"/>
      <c r="M197" s="7" t="str">
        <f ca="1">IF(ISERROR(F192),"",IF(ISTEXT(P197),IF(P197="A","Ab",IF(P197="D","Dt",IF(P197="UFM","UFM",IF(P197="NA","-")))),IF(AND(ISBLANK(P197),ISBLANK(R197)),"",IF(P197&lt;0.3*S197,"F",IF(ISBLANK(R197),"",IF(ISTEXT(R197),R197,IF(R197&gt;=0.95*U197,"O",IF(R197&gt;=0.9*U197,"A+",IF(R197&gt;=0.85*U197,"A",IF(R197&gt;=0.8*U197,"B+",IF(R197&gt;=0.75*U197,"B",IF(R197&gt;=0.7*U197,"C+",IF(R197&gt;=0.65*U197,"C",IF(R197&gt;=0.6*U197,"D+",IF(R197&gt;=0.55*U197,"D",IF(R197&gt;=0.5*U197,"E+",IF(R197&gt;=0.45*U197,"E",IF(R197&gt;=0.4*U197,"P",IF(R197&lt;0.4*U197,"F",R197)))))))))))))))))))</f>
        <v>C+</v>
      </c>
      <c r="N197" s="8">
        <f ca="1">INDEX($Z$2:$Z$18,MATCH(M197,$Y$2:$Y$18,0))</f>
        <v>7.5</v>
      </c>
      <c r="O197">
        <v>1</v>
      </c>
      <c r="P197" s="1">
        <f ca="1">IF(ISERROR(F192),"",IF(ISTEXT(VLOOKUP(B192,INDIRECT($F$8),6+(O197-1)*3)),(VLOOKUP(B192,INDIRECT($F$8),6+(O197-1)*3)),SUM(VLOOKUP(B192,INDIRECT($F$8),6+(O197-1)*3),IF(W211,W197,0))))</f>
        <v>65</v>
      </c>
      <c r="Q197" s="1">
        <f ca="1">IF(ISERROR(F192),"",VLOOKUP(B192,INDIRECT($F$8),7+(O197-1)*3))</f>
        <v>43</v>
      </c>
      <c r="R197" s="1">
        <f ca="1">IF(ISERROR(F192),"",SUM(P197:Q197))</f>
        <v>108</v>
      </c>
      <c r="S197" s="1">
        <f ca="1">IF(ISERROR(F192),"",VLOOKUP(A192,INDIRECT($F$8),6+(O197-1)*3))</f>
        <v>100</v>
      </c>
      <c r="T197" s="1">
        <f ca="1">IF(ISERROR(F192),"",VLOOKUP(A192,INDIRECT($F$8),7+(O197-1)*3))</f>
        <v>50</v>
      </c>
      <c r="U197" s="1">
        <f ca="1">IF(ISERROR(F192),"",VLOOKUP(A192,INDIRECT($F$8),8+(O197-1)*3))</f>
        <v>150</v>
      </c>
      <c r="V197" s="1" t="str">
        <f ca="1">IF(ISERROR(F192),"",IF(N197=0,A197,""))</f>
        <v/>
      </c>
      <c r="W197" s="1">
        <f ca="1">IF(ISERROR(F192),"",IF(ISTEXT(VLOOKUP(B192,INDIRECT($F$8),6+(O197-1)*3)),11,IF(VLOOKUP(B192,INDIRECT($F$8),6+(O197-1)*3)&lt;S197*0.3,IF(VLOOKUP(B192,INDIRECT($F$8),8+(O197-1)*3)&lt;U197*0.4,IF(AND(0.4*U197-VLOOKUP(B192,INDIRECT($F$8),8+(O197-1)*3)&lt;=5,0.3*S197-VLOOKUP(B192,INDIRECT($F$8),6+(O197-1)*3)&lt;=5),MAX(0.4*U197-VLOOKUP(B192,INDIRECT($F$8),8+(O197-1)*3),0.3*S197-VLOOKUP(B192,INDIRECT($F$8),6+(O197-1)*3)),11),IF(0.3*S197-VLOOKUP(B192,INDIRECT($F$8),6+(O197-1)*3)&lt;=5,0.3*S197-VLOOKUP(B192,INDIRECT($F$8),6+(O197-1)*3),11)),IF(VLOOKUP(B192,INDIRECT($F$8),8+(O197-1)*3)&lt;U197*0.4,IF(U197*0.4-VLOOKUP(B192,INDIRECT($F$8),8+(O197-1)*3)&lt;=5,U197*0.4-VLOOKUP(B192,INDIRECT($F$8),8+(O197-1)*3),11),0))))</f>
        <v>0</v>
      </c>
      <c r="X197" s="1" t="str">
        <f ca="1">IF(ISERROR(F192),"",IF(W197=0,"",_xlfn.TEXTJOIN("",FALSE," G+",W197," in ",A197)))</f>
        <v/>
      </c>
    </row>
    <row r="198" spans="1:24" ht="11.25" customHeight="1" x14ac:dyDescent="0.2">
      <c r="A198" s="7" t="str">
        <f ca="1">IF(ISERROR(F192),"",VLOOKUP(C192,INDIRECT($F$8),6+(O198-1)*3,0))</f>
        <v>CAT 005</v>
      </c>
      <c r="B198" s="41" t="str">
        <f ca="1">IF(ISERROR(F192),"",VLOOKUP(D192,INDIRECT($F$8),6+(O198-1)*3,0))</f>
        <v>Database Management System</v>
      </c>
      <c r="C198" s="41"/>
      <c r="D198" s="41"/>
      <c r="E198" s="41"/>
      <c r="F198" s="7">
        <f ca="1">IF(ISERROR(F192),"",VLOOKUP(E192,INDIRECT($F$8),6+(O198-1)*3,0))</f>
        <v>4</v>
      </c>
      <c r="G198" s="42" t="str">
        <f ca="1">IF(ISERROR(F192),"",_xlfn.TEXTJOIN("/",FALSE,P198,S198))</f>
        <v>59/100</v>
      </c>
      <c r="H198" s="42"/>
      <c r="I198" s="42" t="str">
        <f ca="1">IF(ISERROR(F192),"",_xlfn.TEXTJOIN("/",FALSE,Q198,T198))</f>
        <v>36/50</v>
      </c>
      <c r="J198" s="42"/>
      <c r="K198" s="42" t="str">
        <f ca="1">IF(ISERROR(F192),"",_xlfn.TEXTJOIN("/",FALSE,R198,U198))</f>
        <v>95/150</v>
      </c>
      <c r="L198" s="42"/>
      <c r="M198" s="7" t="str">
        <f ca="1">IF(ISERROR(F192),"",IF(ISTEXT(P198),IF(P198="A","Ab",IF(P198="D","Dt",IF(P198="UFM","UFM",IF(P198="NA","-")))),IF(AND(ISBLANK(P198),ISBLANK(R198)),"",IF(P198&lt;0.3*S198,"F",IF(ISBLANK(R198),"",IF(ISTEXT(R198),R198,IF(R198&gt;=0.95*U198,"O",IF(R198&gt;=0.9*U198,"A+",IF(R198&gt;=0.85*U198,"A",IF(R198&gt;=0.8*U198,"B+",IF(R198&gt;=0.75*U198,"B",IF(R198&gt;=0.7*U198,"C+",IF(R198&gt;=0.65*U198,"C",IF(R198&gt;=0.6*U198,"D+",IF(R198&gt;=0.55*U198,"D",IF(R198&gt;=0.5*U198,"E+",IF(R198&gt;=0.45*U198,"E",IF(R198&gt;=0.4*U198,"P",IF(R198&lt;0.4*U198,"F",R198)))))))))))))))))))</f>
        <v>D+</v>
      </c>
      <c r="N198" s="8">
        <f t="shared" ref="N198:N209" ca="1" si="16">INDEX($Z$2:$Z$18,MATCH(M198,$Y$2:$Y$18,0))</f>
        <v>6.5</v>
      </c>
      <c r="O198">
        <f>O197+1</f>
        <v>2</v>
      </c>
      <c r="P198" s="1">
        <f ca="1">IF(ISERROR(F192),"",IF(ISTEXT(VLOOKUP(B192,INDIRECT($F$8),6+(O198-1)*3)),(VLOOKUP(B192,INDIRECT($F$8),6+(O198-1)*3)),SUM(VLOOKUP(B192,INDIRECT($F$8),6+(O198-1)*3),IF(W211,W198,0))))</f>
        <v>59</v>
      </c>
      <c r="Q198" s="1">
        <f ca="1">IF(ISERROR(F192),"",VLOOKUP(B192,INDIRECT($F$8),7+(O198-1)*3))</f>
        <v>36</v>
      </c>
      <c r="R198" s="1">
        <f ca="1">IF(ISERROR(F192),"",SUM(P198:Q198))</f>
        <v>95</v>
      </c>
      <c r="S198" s="1">
        <f ca="1">IF(ISERROR(F192),"",VLOOKUP(A192,INDIRECT($F$8),6+(O198-1)*3))</f>
        <v>100</v>
      </c>
      <c r="T198" s="1">
        <f ca="1">IF(ISERROR(F192),"",VLOOKUP(A192,INDIRECT($F$8),7+(O198-1)*3))</f>
        <v>50</v>
      </c>
      <c r="U198" s="1">
        <f ca="1">IF(ISERROR(F192),"",VLOOKUP(A192,INDIRECT($F$8),8+(O198-1)*3))</f>
        <v>150</v>
      </c>
      <c r="V198" s="1" t="str">
        <f ca="1">IF(ISERROR(F192),"",IF(N198=0,A198,""))</f>
        <v/>
      </c>
      <c r="W198" s="1">
        <f ca="1">IF(ISERROR(F192),"",IF(ISTEXT(VLOOKUP(B192,INDIRECT($F$8),6+(O198-1)*3)),11,IF(VLOOKUP(B192,INDIRECT($F$8),6+(O198-1)*3)&lt;S198*0.3,IF(VLOOKUP(B192,INDIRECT($F$8),8+(O198-1)*3)&lt;U198*0.4,IF(AND(0.4*U198-VLOOKUP(B192,INDIRECT($F$8),8+(O198-1)*3)&lt;=5,0.3*S198-VLOOKUP(B192,INDIRECT($F$8),6+(O198-1)*3)&lt;=5),MAX(0.4*U198-VLOOKUP(B192,INDIRECT($F$8),8+(O198-1)*3),0.3*S198-VLOOKUP(B192,INDIRECT($F$8),6+(O198-1)*3)),11),IF(0.3*S198-VLOOKUP(B192,INDIRECT($F$8),6+(O198-1)*3)&lt;=5,0.3*S198-VLOOKUP(B192,INDIRECT($F$8),6+(O198-1)*3),11)),IF(VLOOKUP(B192,INDIRECT($F$8),8+(O198-1)*3)&lt;U198*0.4,IF(U198*0.4-VLOOKUP(B192,INDIRECT($F$8),8+(O198-1)*3)&lt;=5,U198*0.4-VLOOKUP(B192,INDIRECT($F$8),8+(O198-1)*3),11),0))))</f>
        <v>0</v>
      </c>
      <c r="X198" s="1" t="str">
        <f ca="1">IF(ISERROR(F192),"",IF(W198=0,"",_xlfn.TEXTJOIN("",FALSE," G+",W198," in ",A198)))</f>
        <v/>
      </c>
    </row>
    <row r="199" spans="1:24" ht="11.25" customHeight="1" x14ac:dyDescent="0.2">
      <c r="A199" s="7" t="str">
        <f ca="1">IF(ISERROR(F192),"",VLOOKUP(C192,INDIRECT($F$8),6+(O199-1)*3,0))</f>
        <v>CAT 006</v>
      </c>
      <c r="B199" s="41" t="str">
        <f ca="1">IF(ISERROR(F192),"",VLOOKUP(D192,INDIRECT($F$8),6+(O199-1)*3,0))</f>
        <v>Operating System</v>
      </c>
      <c r="C199" s="41"/>
      <c r="D199" s="41"/>
      <c r="E199" s="41"/>
      <c r="F199" s="7">
        <f ca="1">IF(ISERROR(F192),"",VLOOKUP(E192,INDIRECT($F$8),6+(O199-1)*3,0))</f>
        <v>4</v>
      </c>
      <c r="G199" s="42" t="str">
        <f ca="1">IF(ISERROR(F192),"",_xlfn.TEXTJOIN("/",FALSE,P199,S199))</f>
        <v>71/100</v>
      </c>
      <c r="H199" s="42"/>
      <c r="I199" s="42" t="str">
        <f ca="1">IF(ISERROR(F192),"",_xlfn.TEXTJOIN("/",FALSE,Q199,T199))</f>
        <v>40/50</v>
      </c>
      <c r="J199" s="42"/>
      <c r="K199" s="42" t="str">
        <f ca="1">IF(ISERROR(F192),"",_xlfn.TEXTJOIN("/",FALSE,R199,U199))</f>
        <v>111/150</v>
      </c>
      <c r="L199" s="42"/>
      <c r="M199" s="7" t="str">
        <f ca="1">IF(ISERROR(F192),"",IF(ISTEXT(P199),IF(P199="A","Ab",IF(P199="D","Dt",IF(P199="UFM","UFM",IF(P199="NA","-")))),IF(AND(ISBLANK(P199),ISBLANK(R199)),"",IF(P199&lt;0.3*S199,"F",IF(ISBLANK(R199),"",IF(ISTEXT(R199),R199,IF(R199&gt;=0.95*U199,"O",IF(R199&gt;=0.9*U199,"A+",IF(R199&gt;=0.85*U199,"A",IF(R199&gt;=0.8*U199,"B+",IF(R199&gt;=0.75*U199,"B",IF(R199&gt;=0.7*U199,"C+",IF(R199&gt;=0.65*U199,"C",IF(R199&gt;=0.6*U199,"D+",IF(R199&gt;=0.55*U199,"D",IF(R199&gt;=0.5*U199,"E+",IF(R199&gt;=0.45*U199,"E",IF(R199&gt;=0.4*U199,"P",IF(R199&lt;0.4*U199,"F",R199)))))))))))))))))))</f>
        <v>C+</v>
      </c>
      <c r="N199" s="8">
        <f t="shared" ca="1" si="16"/>
        <v>7.5</v>
      </c>
      <c r="O199">
        <f>O198+1</f>
        <v>3</v>
      </c>
      <c r="P199" s="1">
        <f ca="1">IF(ISERROR(F192),"",IF(ISTEXT(VLOOKUP(B192,INDIRECT($F$8),6+(O199-1)*3)),(VLOOKUP(B192,INDIRECT($F$8),6+(O199-1)*3)),SUM(VLOOKUP(B192,INDIRECT($F$8),6+(O199-1)*3),IF(W211,W199,0))))</f>
        <v>71</v>
      </c>
      <c r="Q199" s="1">
        <f ca="1">IF(ISERROR(F192),"",VLOOKUP(B192,INDIRECT($F$8),7+(O199-1)*3))</f>
        <v>40</v>
      </c>
      <c r="R199" s="1">
        <f ca="1">IF(ISERROR(F192),"",SUM(P199:Q199))</f>
        <v>111</v>
      </c>
      <c r="S199" s="1">
        <f ca="1">IF(ISERROR(F192),"",VLOOKUP(A192,INDIRECT($F$8),6+(O199-1)*3))</f>
        <v>100</v>
      </c>
      <c r="T199" s="1">
        <f ca="1">IF(ISERROR(F192),"",VLOOKUP(A192,INDIRECT($F$8),7+(O199-1)*3))</f>
        <v>50</v>
      </c>
      <c r="U199" s="1">
        <f ca="1">IF(ISERROR(F192),"",VLOOKUP(A192,INDIRECT($F$8),8+(O199-1)*3))</f>
        <v>150</v>
      </c>
      <c r="V199" s="1" t="str">
        <f ca="1">IF(ISERROR(F192),"",IF(N199=0,A199,""))</f>
        <v/>
      </c>
      <c r="W199" s="1">
        <f ca="1">IF(ISERROR(F192),"",IF(ISTEXT(VLOOKUP(B192,INDIRECT($F$8),6+(O199-1)*3)),11,IF(VLOOKUP(B192,INDIRECT($F$8),6+(O199-1)*3)&lt;S199*0.3,IF(VLOOKUP(B192,INDIRECT($F$8),8+(O199-1)*3)&lt;U199*0.4,IF(AND(0.4*U199-VLOOKUP(B192,INDIRECT($F$8),8+(O199-1)*3)&lt;=5,0.3*S199-VLOOKUP(B192,INDIRECT($F$8),6+(O199-1)*3)&lt;=5),MAX(0.4*U199-VLOOKUP(B192,INDIRECT($F$8),8+(O199-1)*3),0.3*S199-VLOOKUP(B192,INDIRECT($F$8),6+(O199-1)*3)),11),IF(0.3*S199-VLOOKUP(B192,INDIRECT($F$8),6+(O199-1)*3)&lt;=5,0.3*S199-VLOOKUP(B192,INDIRECT($F$8),6+(O199-1)*3),11)),IF(VLOOKUP(B192,INDIRECT($F$8),8+(O199-1)*3)&lt;U199*0.4,IF(U199*0.4-VLOOKUP(B192,INDIRECT($F$8),8+(O199-1)*3)&lt;=5,U199*0.4-VLOOKUP(B192,INDIRECT($F$8),8+(O199-1)*3),11),0))))</f>
        <v>0</v>
      </c>
      <c r="X199" s="1" t="str">
        <f ca="1">IF(ISERROR(F192),"",IF(W199=0,"",_xlfn.TEXTJOIN("",FALSE," G+",W199," in ",A199)))</f>
        <v/>
      </c>
    </row>
    <row r="200" spans="1:24" ht="11.25" customHeight="1" x14ac:dyDescent="0.2">
      <c r="A200" s="7" t="str">
        <f ca="1">IF(ISERROR(F192),"",VLOOKUP(C192,INDIRECT($F$8),6+(O200-1)*3,0))</f>
        <v>CAT 007</v>
      </c>
      <c r="B200" s="41" t="str">
        <f ca="1">IF(ISERROR(F192),"",VLOOKUP(D192,INDIRECT($F$8),6+(O200-1)*3,0))</f>
        <v>Computer Organization</v>
      </c>
      <c r="C200" s="41"/>
      <c r="D200" s="41"/>
      <c r="E200" s="41"/>
      <c r="F200" s="7">
        <f ca="1">IF(ISERROR(F192),"",VLOOKUP(E192,INDIRECT($F$8),6+(O200-1)*3,0))</f>
        <v>4</v>
      </c>
      <c r="G200" s="42" t="str">
        <f ca="1">IF(ISERROR(F192),"",_xlfn.TEXTJOIN("/",FALSE,P200,S200))</f>
        <v>46/100</v>
      </c>
      <c r="H200" s="42"/>
      <c r="I200" s="42" t="str">
        <f ca="1">IF(ISERROR(F192),"",_xlfn.TEXTJOIN("/",FALSE,Q200,T200))</f>
        <v>46/50</v>
      </c>
      <c r="J200" s="42"/>
      <c r="K200" s="42" t="str">
        <f ca="1">IF(ISERROR(F192),"",_xlfn.TEXTJOIN("/",FALSE,R200,U200))</f>
        <v>92/150</v>
      </c>
      <c r="L200" s="42"/>
      <c r="M200" s="7" t="str">
        <f ca="1">IF(ISERROR(F192),"",IF(ISTEXT(P200),IF(P200="A","Ab",IF(P200="D","Dt",IF(P200="UFM","UFM",IF(P200="NA","-")))),IF(AND(ISBLANK(P200),ISBLANK(R200)),"",IF(P200&lt;0.3*S200,"F",IF(ISBLANK(R200),"",IF(ISTEXT(R200),R200,IF(R200&gt;=0.95*U200,"O",IF(R200&gt;=0.9*U200,"A+",IF(R200&gt;=0.85*U200,"A",IF(R200&gt;=0.8*U200,"B+",IF(R200&gt;=0.75*U200,"B",IF(R200&gt;=0.7*U200,"C+",IF(R200&gt;=0.65*U200,"C",IF(R200&gt;=0.6*U200,"D+",IF(R200&gt;=0.55*U200,"D",IF(R200&gt;=0.5*U200,"E+",IF(R200&gt;=0.45*U200,"E",IF(R200&gt;=0.4*U200,"P",IF(R200&lt;0.4*U200,"F",R200)))))))))))))))))))</f>
        <v>D+</v>
      </c>
      <c r="N200" s="8">
        <f t="shared" ca="1" si="16"/>
        <v>6.5</v>
      </c>
      <c r="O200">
        <f>O199+1</f>
        <v>4</v>
      </c>
      <c r="P200" s="1">
        <f ca="1">IF(ISERROR(F192),"",IF(ISTEXT(VLOOKUP(B192,INDIRECT($F$8),6+(O200-1)*3)),(VLOOKUP(B192,INDIRECT($F$8),6+(O200-1)*3)),SUM(VLOOKUP(B192,INDIRECT($F$8),6+(O200-1)*3),IF(W211,W200,0))))</f>
        <v>46</v>
      </c>
      <c r="Q200" s="1">
        <f ca="1">IF(ISERROR(F192),"",VLOOKUP(B192,INDIRECT($F$8),7+(O200-1)*3))</f>
        <v>46</v>
      </c>
      <c r="R200" s="1">
        <f ca="1">IF(ISERROR(F192),"",SUM(P200:Q200))</f>
        <v>92</v>
      </c>
      <c r="S200" s="1">
        <f ca="1">IF(ISERROR(F192),"",VLOOKUP(A192,INDIRECT($F$8),6+(O200-1)*3))</f>
        <v>100</v>
      </c>
      <c r="T200" s="1">
        <f ca="1">IF(ISERROR(F192),"",VLOOKUP(A192,INDIRECT($F$8),7+(O200-1)*3))</f>
        <v>50</v>
      </c>
      <c r="U200" s="1">
        <f ca="1">IF(ISERROR(F192),"",VLOOKUP(A192,INDIRECT($F$8),8+(O200-1)*3))</f>
        <v>150</v>
      </c>
      <c r="V200" s="1" t="str">
        <f ca="1">IF(ISERROR(F192),"",IF(N200=0,A200,""))</f>
        <v/>
      </c>
      <c r="W200" s="1">
        <f ca="1">IF(ISERROR(F192),"",IF(ISTEXT(VLOOKUP(B192,INDIRECT($F$8),6+(O200-1)*3)),11,IF(VLOOKUP(B192,INDIRECT($F$8),6+(O200-1)*3)&lt;S200*0.3,IF(VLOOKUP(B192,INDIRECT($F$8),8+(O200-1)*3)&lt;U200*0.4,IF(AND(0.4*U200-VLOOKUP(B192,INDIRECT($F$8),8+(O200-1)*3)&lt;=5,0.3*S200-VLOOKUP(B192,INDIRECT($F$8),6+(O200-1)*3)&lt;=5),MAX(0.4*U200-VLOOKUP(B192,INDIRECT($F$8),8+(O200-1)*3),0.3*S200-VLOOKUP(B192,INDIRECT($F$8),6+(O200-1)*3)),11),IF(0.3*S200-VLOOKUP(B192,INDIRECT($F$8),6+(O200-1)*3)&lt;=5,0.3*S200-VLOOKUP(B192,INDIRECT($F$8),6+(O200-1)*3),11)),IF(VLOOKUP(B192,INDIRECT($F$8),8+(O200-1)*3)&lt;U200*0.4,IF(U200*0.4-VLOOKUP(B192,INDIRECT($F$8),8+(O200-1)*3)&lt;=5,U200*0.4-VLOOKUP(B192,INDIRECT($F$8),8+(O200-1)*3),11),0))))</f>
        <v>0</v>
      </c>
      <c r="X200" s="1" t="str">
        <f ca="1">IF(ISERROR(F192),"",IF(W200=0,"",_xlfn.TEXTJOIN("",FALSE," G+",W200," in ",A200)))</f>
        <v/>
      </c>
    </row>
    <row r="201" spans="1:24" ht="11.25" customHeight="1" x14ac:dyDescent="0.2">
      <c r="A201" s="7" t="str">
        <f ca="1">IF(ISERROR(F192),"",VLOOKUP(C192,INDIRECT($F$8),6+(O201-1)*3,0))</f>
        <v>AHT 303</v>
      </c>
      <c r="B201" s="41" t="str">
        <f ca="1">IF(ISERROR(F192),"",VLOOKUP(D192,INDIRECT($F$8),6+(O201-1)*3,0))</f>
        <v>Technical Communication Skills</v>
      </c>
      <c r="C201" s="41"/>
      <c r="D201" s="41"/>
      <c r="E201" s="41"/>
      <c r="F201" s="7">
        <f ca="1">IF(ISERROR(F192),"",VLOOKUP(E192,INDIRECT($F$8),6+(O201-1)*3,0))</f>
        <v>4</v>
      </c>
      <c r="G201" s="42" t="str">
        <f ca="1">IF(ISERROR(F192),"",_xlfn.TEXTJOIN("/",FALSE,P201,S201))</f>
        <v>63/100</v>
      </c>
      <c r="H201" s="42"/>
      <c r="I201" s="42" t="str">
        <f ca="1">IF(ISERROR(F192),"",_xlfn.TEXTJOIN("/",FALSE,Q201,T201))</f>
        <v>33/50</v>
      </c>
      <c r="J201" s="42"/>
      <c r="K201" s="42" t="str">
        <f ca="1">IF(ISERROR(F192),"",_xlfn.TEXTJOIN("/",FALSE,R201,U201))</f>
        <v>96/150</v>
      </c>
      <c r="L201" s="42"/>
      <c r="M201" s="7" t="str">
        <f ca="1">IF(ISERROR(F192),"",IF(ISTEXT(P201),IF(P201="A","Ab",IF(P201="D","Dt",IF(P201="UFM","UFM",IF(P201="NA","-")))),IF(AND(ISBLANK(P201),ISBLANK(R201)),"",IF(P201&lt;0.3*S201,"F",IF(ISBLANK(R201),"",IF(ISTEXT(R201),R201,IF(R201&gt;=0.95*U201,"O",IF(R201&gt;=0.9*U201,"A+",IF(R201&gt;=0.85*U201,"A",IF(R201&gt;=0.8*U201,"B+",IF(R201&gt;=0.75*U201,"B",IF(R201&gt;=0.7*U201,"C+",IF(R201&gt;=0.65*U201,"C",IF(R201&gt;=0.6*U201,"D+",IF(R201&gt;=0.55*U201,"D",IF(R201&gt;=0.5*U201,"E+",IF(R201&gt;=0.45*U201,"E",IF(R201&gt;=0.4*U201,"P",IF(R201&lt;0.4*U201,"F",R201)))))))))))))))))))</f>
        <v>D+</v>
      </c>
      <c r="N201" s="8">
        <f t="shared" ca="1" si="16"/>
        <v>6.5</v>
      </c>
      <c r="O201">
        <f t="shared" ref="O201:O210" si="17">O200+1</f>
        <v>5</v>
      </c>
      <c r="P201" s="1">
        <f ca="1">IF(ISERROR(F192),"",IF(ISTEXT(VLOOKUP(B192,INDIRECT($F$8),6+(O201-1)*3)),(VLOOKUP(B192,INDIRECT($F$8),6+(O201-1)*3)),SUM(VLOOKUP(B192,INDIRECT($F$8),6+(O201-1)*3),IF(W211,W201,0))))</f>
        <v>63</v>
      </c>
      <c r="Q201" s="1">
        <f ca="1">IF(ISERROR(F192),"",VLOOKUP(B192,INDIRECT($F$8),7+(O201-1)*3))</f>
        <v>33</v>
      </c>
      <c r="R201" s="1">
        <f ca="1">IF(ISERROR(F192),"",SUM(P201:Q201))</f>
        <v>96</v>
      </c>
      <c r="S201" s="1">
        <f ca="1">IF(ISERROR(F192),"",VLOOKUP(A192,INDIRECT($F$8),6+(O201-1)*3))</f>
        <v>100</v>
      </c>
      <c r="T201" s="1">
        <f ca="1">IF(ISERROR(F192),"",VLOOKUP(A192,INDIRECT($F$8),7+(O201-1)*3))</f>
        <v>50</v>
      </c>
      <c r="U201" s="1">
        <f ca="1">IF(ISERROR(F192),"",VLOOKUP(A192,INDIRECT($F$8),8+(O201-1)*3))</f>
        <v>150</v>
      </c>
      <c r="V201" s="1" t="str">
        <f ca="1">IF(ISERROR(F192),"",IF(N201=0,A201,""))</f>
        <v/>
      </c>
      <c r="W201" s="1">
        <f ca="1">IF(ISERROR(F192),"",IF(ISTEXT(VLOOKUP(B192,INDIRECT($F$8),6+(O201-1)*3)),11,IF(VLOOKUP(B192,INDIRECT($F$8),6+(O201-1)*3)&lt;S201*0.3,IF(VLOOKUP(B192,INDIRECT($F$8),8+(O201-1)*3)&lt;U201*0.4,IF(AND(0.4*U201-VLOOKUP(B192,INDIRECT($F$8),8+(O201-1)*3)&lt;=5,0.3*S201-VLOOKUP(B192,INDIRECT($F$8),6+(O201-1)*3)&lt;=5),MAX(0.4*U201-VLOOKUP(B192,INDIRECT($F$8),8+(O201-1)*3),0.3*S201-VLOOKUP(B192,INDIRECT($F$8),6+(O201-1)*3)),11),IF(0.3*S201-VLOOKUP(B192,INDIRECT($F$8),6+(O201-1)*3)&lt;=5,0.3*S201-VLOOKUP(B192,INDIRECT($F$8),6+(O201-1)*3),11)),IF(VLOOKUP(B192,INDIRECT($F$8),8+(O201-1)*3)&lt;U201*0.4,IF(U201*0.4-VLOOKUP(B192,INDIRECT($F$8),8+(O201-1)*3)&lt;=5,U201*0.4-VLOOKUP(B192,INDIRECT($F$8),8+(O201-1)*3),11),0))))</f>
        <v>0</v>
      </c>
      <c r="X201" s="1" t="str">
        <f ca="1">IF(ISERROR(F192),"",IF(W201=0,"",_xlfn.TEXTJOIN("",FALSE," G+",W201," in ",A201)))</f>
        <v/>
      </c>
    </row>
    <row r="202" spans="1:24" ht="11.25" customHeight="1" x14ac:dyDescent="0.2">
      <c r="A202" s="7" t="str">
        <f ca="1">IF(ISERROR(F192),"",VLOOKUP(C192,INDIRECT($F$8),6+(O202-1)*3,0))</f>
        <v>CAT 008</v>
      </c>
      <c r="B202" s="41" t="str">
        <f ca="1">IF(ISERROR(F192),"",VLOOKUP(D192,INDIRECT($F$8),6+(O202-1)*3,0))</f>
        <v>Python Programming ($)</v>
      </c>
      <c r="C202" s="41"/>
      <c r="D202" s="41"/>
      <c r="E202" s="41"/>
      <c r="F202" s="7">
        <f ca="1">IF(ISERROR(F192),"",VLOOKUP(E192,INDIRECT($F$8),6+(O202-1)*3,0))</f>
        <v>0</v>
      </c>
      <c r="G202" s="42" t="str">
        <f ca="1">IF(ISERROR(F192),"",_xlfn.TEXTJOIN("/",FALSE,P202,S202))</f>
        <v>15/30</v>
      </c>
      <c r="H202" s="42"/>
      <c r="I202" s="42" t="str">
        <f ca="1">IF(ISERROR(F192),"",_xlfn.TEXTJOIN("/",FALSE,Q202,T202))</f>
        <v>12/20</v>
      </c>
      <c r="J202" s="42"/>
      <c r="K202" s="42" t="str">
        <f ca="1">IF(ISERROR(F192),"",_xlfn.TEXTJOIN("/",FALSE,R202,U202))</f>
        <v>27/50</v>
      </c>
      <c r="L202" s="42"/>
      <c r="M202" s="7" t="str">
        <f ca="1">IF(ISERROR(F192),"",IF(ISTEXT(P202),IF(P202="A","Ab",IF(P202="D","Dt",IF(P202="UFM","UFM",IF(P202="NA","-")))),IF(AND(ISBLANK(P202),ISBLANK(R202)),"",IF(P202&lt;0.3*S202,"F",IF(ISBLANK(R202),"",IF(ISTEXT(R202),R202,IF(R202&gt;=0.95*U202,"O",IF(R202&gt;=0.9*U202,"A+",IF(R202&gt;=0.85*U202,"A",IF(R202&gt;=0.8*U202,"B+",IF(R202&gt;=0.75*U202,"B",IF(R202&gt;=0.7*U202,"C+",IF(R202&gt;=0.65*U202,"C",IF(R202&gt;=0.6*U202,"D+",IF(R202&gt;=0.55*U202,"D",IF(R202&gt;=0.5*U202,"E+",IF(R202&gt;=0.45*U202,"E",IF(R202&gt;=0.4*U202,"P",IF(R202&lt;0.4*U202,"F",R202)))))))))))))))))))</f>
        <v>E+</v>
      </c>
      <c r="N202" s="8">
        <f t="shared" ca="1" si="16"/>
        <v>5.5</v>
      </c>
      <c r="O202">
        <f t="shared" si="17"/>
        <v>6</v>
      </c>
      <c r="P202" s="1">
        <f ca="1">IF(ISERROR(F192),"",IF(ISTEXT(VLOOKUP(B192,INDIRECT($F$8),6+(O202-1)*3)),(VLOOKUP(B192,INDIRECT($F$8),6+(O202-1)*3)),SUM(VLOOKUP(B192,INDIRECT($F$8),6+(O202-1)*3),IF(W211,W202,0))))</f>
        <v>15</v>
      </c>
      <c r="Q202" s="1">
        <f ca="1">IF(ISERROR(F192),"",VLOOKUP(B192,INDIRECT($F$8),7+(O202-1)*3))</f>
        <v>12</v>
      </c>
      <c r="R202" s="1">
        <f ca="1">IF(ISERROR(F192),"",SUM(P202:Q202))</f>
        <v>27</v>
      </c>
      <c r="S202" s="1">
        <f ca="1">IF(ISERROR(F192),"",VLOOKUP(A192,INDIRECT($F$8),6+(O202-1)*3))</f>
        <v>30</v>
      </c>
      <c r="T202" s="1">
        <f ca="1">IF(ISERROR(F192),"",VLOOKUP(A192,INDIRECT($F$8),7+(O202-1)*3))</f>
        <v>20</v>
      </c>
      <c r="U202" s="1">
        <f ca="1">IF(ISERROR(F192),"",VLOOKUP(A192,INDIRECT($F$8),8+(O202-1)*3))</f>
        <v>50</v>
      </c>
      <c r="V202" s="1" t="str">
        <f ca="1">IF(ISERROR(F192),"",IF(N202=0,A202,""))</f>
        <v/>
      </c>
      <c r="W202" s="1">
        <f ca="1">IF(ISERROR(F192),"",IF(ISTEXT(VLOOKUP(B192,INDIRECT($F$8),6+(O202-1)*3)),11,IF(VLOOKUP(B192,INDIRECT($F$8),6+(O202-1)*3)&lt;S202*0.3,IF(VLOOKUP(B192,INDIRECT($F$8),8+(O202-1)*3)&lt;U202*0.4,IF(AND(0.4*U202-VLOOKUP(B192,INDIRECT($F$8),8+(O202-1)*3)&lt;=5,0.3*S202-VLOOKUP(B192,INDIRECT($F$8),6+(O202-1)*3)&lt;=5),MAX(0.4*U202-VLOOKUP(B192,INDIRECT($F$8),8+(O202-1)*3),0.3*S202-VLOOKUP(B192,INDIRECT($F$8),6+(O202-1)*3)),11),IF(0.3*S202-VLOOKUP(B192,INDIRECT($F$8),6+(O202-1)*3)&lt;=5,0.3*S202-VLOOKUP(B192,INDIRECT($F$8),6+(O202-1)*3),11)),IF(VLOOKUP(B192,INDIRECT($F$8),8+(O202-1)*3)&lt;U202*0.4,IF(U202*0.4-VLOOKUP(B192,INDIRECT($F$8),8+(O202-1)*3)&lt;=5,U202*0.4-VLOOKUP(B192,INDIRECT($F$8),8+(O202-1)*3),11),0))))</f>
        <v>0</v>
      </c>
      <c r="X202" s="1" t="str">
        <f ca="1">IF(ISERROR(F192),"",IF(W202=0,"",_xlfn.TEXTJOIN("",FALSE," G+",W202," in ",A202)))</f>
        <v/>
      </c>
    </row>
    <row r="203" spans="1:24" ht="11.25" customHeight="1" x14ac:dyDescent="0.2">
      <c r="A203" s="7" t="str">
        <f ca="1">IF(ISERROR(F192),"",VLOOKUP(C192,INDIRECT($F$8),6+(O203-1)*3,0))</f>
        <v>CAT 001</v>
      </c>
      <c r="B203" s="41" t="str">
        <f ca="1">IF(ISERROR(F192),"",VLOOKUP(D192,INDIRECT($F$8),6+(O203-1)*3,0))</f>
        <v>Introduction of Information Technology ($)</v>
      </c>
      <c r="C203" s="41"/>
      <c r="D203" s="41"/>
      <c r="E203" s="41"/>
      <c r="F203" s="7">
        <f ca="1">IF(ISERROR(F192),"",VLOOKUP(E192,INDIRECT($F$8),6+(O203-1)*3,0))</f>
        <v>0</v>
      </c>
      <c r="G203" s="42" t="str">
        <f ca="1">IF(ISERROR(F192),"",_xlfn.TEXTJOIN("/",FALSE,P203,S203))</f>
        <v>23/30</v>
      </c>
      <c r="H203" s="42"/>
      <c r="I203" s="42" t="str">
        <f ca="1">IF(ISERROR(F192),"",_xlfn.TEXTJOIN("/",FALSE,Q203,T203))</f>
        <v>15/20</v>
      </c>
      <c r="J203" s="42"/>
      <c r="K203" s="42" t="str">
        <f ca="1">IF(ISERROR(F192),"",_xlfn.TEXTJOIN("/",FALSE,R203,U203))</f>
        <v>38/50</v>
      </c>
      <c r="L203" s="42"/>
      <c r="M203" s="7" t="str">
        <f ca="1">IF(ISERROR(F192),"",IF(ISTEXT(P203),IF(P203="A","Ab",IF(P203="D","Dt",IF(P203="UFM","UFM",IF(P203="NA","-")))),IF(AND(ISBLANK(P203),ISBLANK(R203)),"",IF(P203&lt;0.3*S203,"F",IF(ISBLANK(R203),"",IF(ISTEXT(R203),R203,IF(R203&gt;=0.95*U203,"O",IF(R203&gt;=0.9*U203,"A+",IF(R203&gt;=0.85*U203,"A",IF(R203&gt;=0.8*U203,"B+",IF(R203&gt;=0.75*U203,"B",IF(R203&gt;=0.7*U203,"C+",IF(R203&gt;=0.65*U203,"C",IF(R203&gt;=0.6*U203,"D+",IF(R203&gt;=0.55*U203,"D",IF(R203&gt;=0.5*U203,"E+",IF(R203&gt;=0.45*U203,"E",IF(R203&gt;=0.4*U203,"P",IF(R203&lt;0.4*U203,"F",R203)))))))))))))))))))</f>
        <v>B</v>
      </c>
      <c r="N203" s="8">
        <f t="shared" ca="1" si="16"/>
        <v>8</v>
      </c>
      <c r="O203">
        <f t="shared" si="17"/>
        <v>7</v>
      </c>
      <c r="P203" s="1">
        <f ca="1">IF(ISERROR(F192),"",IF(ISTEXT(VLOOKUP(B192,INDIRECT($F$8),6+(O203-1)*3)),(VLOOKUP(B192,INDIRECT($F$8),6+(O203-1)*3)),SUM(VLOOKUP(B192,INDIRECT($F$8),6+(O203-1)*3),IF(W211,W203,0))))</f>
        <v>23</v>
      </c>
      <c r="Q203" s="1">
        <f ca="1">IF(ISERROR(F192),"",VLOOKUP(B192,INDIRECT($F$8),7+(O203-1)*3))</f>
        <v>15</v>
      </c>
      <c r="R203" s="1">
        <f ca="1">IF(ISERROR(F192),"",SUM(P203:Q203))</f>
        <v>38</v>
      </c>
      <c r="S203" s="1">
        <f ca="1">IF(ISERROR(F192),"",VLOOKUP(A192,INDIRECT($F$8),6+(O203-1)*3))</f>
        <v>30</v>
      </c>
      <c r="T203" s="1">
        <f ca="1">IF(ISERROR(F192),"",VLOOKUP(A192,INDIRECT($F$8),7+(O203-1)*3))</f>
        <v>20</v>
      </c>
      <c r="U203" s="1">
        <f ca="1">IF(ISERROR(F192),"",VLOOKUP(A192,INDIRECT($F$8),8+(O203-1)*3))</f>
        <v>50</v>
      </c>
      <c r="V203" s="1" t="str">
        <f ca="1">IF(ISERROR(F192),"",IF(N203=0,A203,""))</f>
        <v/>
      </c>
      <c r="W203" s="1">
        <f ca="1">IF(ISERROR(F192),"",IF(ISTEXT(VLOOKUP(B192,INDIRECT($F$8),6+(O203-1)*3)),11,IF(VLOOKUP(B192,INDIRECT($F$8),6+(O203-1)*3)&lt;S203*0.3,IF(VLOOKUP(B192,INDIRECT($F$8),8+(O203-1)*3)&lt;U203*0.4,IF(AND(0.4*U203-VLOOKUP(B192,INDIRECT($F$8),8+(O203-1)*3)&lt;=5,0.3*S203-VLOOKUP(B192,INDIRECT($F$8),6+(O203-1)*3)&lt;=5),MAX(0.4*U203-VLOOKUP(B192,INDIRECT($F$8),8+(O203-1)*3),0.3*S203-VLOOKUP(B192,INDIRECT($F$8),6+(O203-1)*3)),11),IF(0.3*S203-VLOOKUP(B192,INDIRECT($F$8),6+(O203-1)*3)&lt;=5,0.3*S203-VLOOKUP(B192,INDIRECT($F$8),6+(O203-1)*3),11)),IF(VLOOKUP(B192,INDIRECT($F$8),8+(O203-1)*3)&lt;U203*0.4,IF(U203*0.4-VLOOKUP(B192,INDIRECT($F$8),8+(O203-1)*3)&lt;=5,U203*0.4-VLOOKUP(B192,INDIRECT($F$8),8+(O203-1)*3),11),0))))</f>
        <v>0</v>
      </c>
      <c r="X203" s="1" t="str">
        <f ca="1">IF(ISERROR(F192),"",IF(W203=0,"",_xlfn.TEXTJOIN("",FALSE," G+",W203," in ",A203)))</f>
        <v/>
      </c>
    </row>
    <row r="204" spans="1:24" ht="11.25" customHeight="1" x14ac:dyDescent="0.2">
      <c r="A204" s="7" t="str">
        <f ca="1">IF(ISERROR(F192),"",VLOOKUP(C192,INDIRECT($F$8),6+(O204-1)*3,0))</f>
        <v>CAT 002</v>
      </c>
      <c r="B204" s="41" t="str">
        <f ca="1">IF(ISERROR(F192),"",VLOOKUP(D192,INDIRECT($F$8),6+(O204-1)*3,0))</f>
        <v>Programming Fundamentals with "C" ($)</v>
      </c>
      <c r="C204" s="41"/>
      <c r="D204" s="41"/>
      <c r="E204" s="41"/>
      <c r="F204" s="7">
        <f ca="1">IF(ISERROR(F192),"",VLOOKUP(E192,INDIRECT($F$8),6+(O204-1)*3,0))</f>
        <v>0</v>
      </c>
      <c r="G204" s="42" t="str">
        <f ca="1">IF(ISERROR(F192),"",_xlfn.TEXTJOIN("/",FALSE,P204,S204))</f>
        <v>18/30</v>
      </c>
      <c r="H204" s="42"/>
      <c r="I204" s="42" t="str">
        <f ca="1">IF(ISERROR(F192),"",_xlfn.TEXTJOIN("/",FALSE,Q204,T204))</f>
        <v>17/20</v>
      </c>
      <c r="J204" s="42"/>
      <c r="K204" s="42" t="str">
        <f ca="1">IF(ISERROR(F192),"",_xlfn.TEXTJOIN("/",FALSE,R204,U204))</f>
        <v>35/50</v>
      </c>
      <c r="L204" s="42"/>
      <c r="M204" s="7" t="str">
        <f ca="1">IF(ISERROR(F192),"",IF(ISTEXT(P204),IF(P204="A","Ab",IF(P204="D","Dt",IF(P204="UFM","UFM",IF(P204="NA","-")))),IF(AND(ISBLANK(P204),ISBLANK(R204)),"",IF(P204&lt;0.3*S204,"F",IF(ISBLANK(R204),"",IF(ISTEXT(R204),R204,IF(R204&gt;=0.95*U204,"O",IF(R204&gt;=0.9*U204,"A+",IF(R204&gt;=0.85*U204,"A",IF(R204&gt;=0.8*U204,"B+",IF(R204&gt;=0.75*U204,"B",IF(R204&gt;=0.7*U204,"C+",IF(R204&gt;=0.65*U204,"C",IF(R204&gt;=0.6*U204,"D+",IF(R204&gt;=0.55*U204,"D",IF(R204&gt;=0.5*U204,"E+",IF(R204&gt;=0.45*U204,"E",IF(R204&gt;=0.4*U204,"P",IF(R204&lt;0.4*U204,"F",R204)))))))))))))))))))</f>
        <v>C+</v>
      </c>
      <c r="N204" s="8">
        <f t="shared" ca="1" si="16"/>
        <v>7.5</v>
      </c>
      <c r="O204">
        <f t="shared" si="17"/>
        <v>8</v>
      </c>
      <c r="P204" s="1">
        <f ca="1">IF(ISERROR(F192),"",IF(ISTEXT(VLOOKUP(B192,INDIRECT($F$8),6+(O204-1)*3)),(VLOOKUP(B192,INDIRECT($F$8),6+(O204-1)*3)),SUM(VLOOKUP(B192,INDIRECT($F$8),6+(O204-1)*3),IF(W211,W204,0))))</f>
        <v>18</v>
      </c>
      <c r="Q204" s="1">
        <f ca="1">IF(ISERROR(F192),"",VLOOKUP(B192,INDIRECT($F$8),7+(O204-1)*3))</f>
        <v>17</v>
      </c>
      <c r="R204" s="1">
        <f ca="1">IF(ISERROR(F192),"",SUM(P204:Q204))</f>
        <v>35</v>
      </c>
      <c r="S204" s="1">
        <f ca="1">IF(ISERROR(F192),"",VLOOKUP(A192,INDIRECT($F$8),6+(O204-1)*3))</f>
        <v>30</v>
      </c>
      <c r="T204" s="1">
        <f ca="1">IF(ISERROR(F192),"",VLOOKUP(A192,INDIRECT($F$8),7+(O204-1)*3))</f>
        <v>20</v>
      </c>
      <c r="U204" s="1">
        <f ca="1">IF(ISERROR(F192),"",VLOOKUP(A192,INDIRECT($F$8),8+(O204-1)*3))</f>
        <v>50</v>
      </c>
      <c r="V204" s="1" t="str">
        <f ca="1">IF(ISERROR(F192),"",IF(N204=0,A204,""))</f>
        <v/>
      </c>
      <c r="W204" s="1">
        <f ca="1">IF(ISERROR(F192),"",IF(ISTEXT(VLOOKUP(B192,INDIRECT($F$8),6+(O204-1)*3)),11,IF(VLOOKUP(B192,INDIRECT($F$8),6+(O204-1)*3)&lt;S204*0.3,IF(VLOOKUP(B192,INDIRECT($F$8),8+(O204-1)*3)&lt;U204*0.4,IF(AND(0.4*U204-VLOOKUP(B192,INDIRECT($F$8),8+(O204-1)*3)&lt;=5,0.3*S204-VLOOKUP(B192,INDIRECT($F$8),6+(O204-1)*3)&lt;=5),MAX(0.4*U204-VLOOKUP(B192,INDIRECT($F$8),8+(O204-1)*3),0.3*S204-VLOOKUP(B192,INDIRECT($F$8),6+(O204-1)*3)),11),IF(0.3*S204-VLOOKUP(B192,INDIRECT($F$8),6+(O204-1)*3)&lt;=5,0.3*S204-VLOOKUP(B192,INDIRECT($F$8),6+(O204-1)*3),11)),IF(VLOOKUP(B192,INDIRECT($F$8),8+(O204-1)*3)&lt;U204*0.4,IF(U204*0.4-VLOOKUP(B192,INDIRECT($F$8),8+(O204-1)*3)&lt;=5,U204*0.4-VLOOKUP(B192,INDIRECT($F$8),8+(O204-1)*3),11),0))))</f>
        <v>0</v>
      </c>
      <c r="X204" s="1" t="str">
        <f ca="1">IF(ISERROR(F192),"",IF(W204=0,"",_xlfn.TEXTJOIN("",FALSE," G+",W204," in ",A204)))</f>
        <v/>
      </c>
    </row>
    <row r="205" spans="1:24" ht="11.25" customHeight="1" x14ac:dyDescent="0.2">
      <c r="A205" s="7" t="str">
        <f ca="1">IF(ISERROR(F192),"",VLOOKUP(C192,INDIRECT($F$8),6+(O205-1)*3,0))</f>
        <v>CAT 003</v>
      </c>
      <c r="B205" s="41" t="str">
        <f ca="1">IF(ISERROR(F192),"",VLOOKUP(D192,INDIRECT($F$8),6+(O205-1)*3-Z205,0))</f>
        <v>Fundamental of Web Technology ($)</v>
      </c>
      <c r="C205" s="41"/>
      <c r="D205" s="41"/>
      <c r="E205" s="41"/>
      <c r="F205" s="7">
        <f ca="1">IF(ISERROR(F192),"",VLOOKUP(E192,INDIRECT($F$8),6+(O205-1)*3,0))</f>
        <v>0</v>
      </c>
      <c r="G205" s="42" t="str">
        <f ca="1">IF(ISERROR(F192),"",_xlfn.TEXTJOIN("/",FALSE,P205,S205))</f>
        <v>24/30</v>
      </c>
      <c r="H205" s="42"/>
      <c r="I205" s="42" t="str">
        <f ca="1">IF(ISERROR(F192),"",_xlfn.TEXTJOIN("/",FALSE,Q205,T205))</f>
        <v>16/20</v>
      </c>
      <c r="J205" s="42"/>
      <c r="K205" s="42" t="str">
        <f ca="1">IF(ISERROR(F192),"",_xlfn.TEXTJOIN("/",FALSE,R205,U205))</f>
        <v>40/50</v>
      </c>
      <c r="L205" s="42"/>
      <c r="M205" s="7" t="str">
        <f ca="1">IF(ISERROR(F192),"",IF(ISTEXT(P205),IF(P205="A","Ab",IF(P205="D","Dt",IF(P205="UFM","UFM",IF(P205="NA","-")))),IF(AND(ISBLANK(P205),ISBLANK(R205)),"",IF(P205&lt;0.3*S205,"F",IF(ISBLANK(R205),"",IF(ISTEXT(R205),R205,IF(R205&gt;=0.95*U205,"O",IF(R205&gt;=0.9*U205,"A+",IF(R205&gt;=0.85*U205,"A",IF(R205&gt;=0.8*U205,"B+",IF(R205&gt;=0.75*U205,"B",IF(R205&gt;=0.7*U205,"C+",IF(R205&gt;=0.65*U205,"C",IF(R205&gt;=0.6*U205,"D+",IF(R205&gt;=0.55*U205,"D",IF(R205&gt;=0.5*U205,"E+",IF(R205&gt;=0.45*U205,"E",IF(R205&gt;=0.4*U205,"P",IF(R205&lt;0.4*U205,"F",R205)))))))))))))))))))</f>
        <v>B+</v>
      </c>
      <c r="N205" s="8">
        <f t="shared" ca="1" si="16"/>
        <v>8.5</v>
      </c>
      <c r="O205">
        <f t="shared" si="17"/>
        <v>9</v>
      </c>
      <c r="P205" s="1">
        <f ca="1">IF(ISERROR(F192),"",IF(ISTEXT(VLOOKUP(B192,INDIRECT($F$8),6+(O205-1)*3)),(VLOOKUP(B192,INDIRECT($F$8),6+(O205-1)*3)),SUM(VLOOKUP(B192,INDIRECT($F$8),6+(O205-1)*3),IF(W211,W205,0))))</f>
        <v>24</v>
      </c>
      <c r="Q205" s="1">
        <f ca="1">IF(ISERROR(F192),"",VLOOKUP(B192,INDIRECT($F$8),7+(O205-1)*3))</f>
        <v>16</v>
      </c>
      <c r="R205" s="1">
        <f ca="1">IF(ISERROR(F192),"",SUM(P205:Q205))</f>
        <v>40</v>
      </c>
      <c r="S205" s="1">
        <f ca="1">IF(ISERROR(F192),"",VLOOKUP(A192,INDIRECT($F$8),6+(O205-1)*3))</f>
        <v>30</v>
      </c>
      <c r="T205" s="1">
        <f ca="1">IF(ISERROR(F192),"",VLOOKUP(A192,INDIRECT($F$8),7+(O205-1)*3))</f>
        <v>20</v>
      </c>
      <c r="U205" s="1">
        <f ca="1">IF(ISERROR(F192),"",VLOOKUP(A192,INDIRECT($F$8),8+(O205-1)*3))</f>
        <v>50</v>
      </c>
      <c r="V205" s="1" t="str">
        <f ca="1">IF(ISERROR(F192),"",IF(N205=0,A205,""))</f>
        <v/>
      </c>
      <c r="W205" s="1">
        <f ca="1">IF(ISERROR(F192),"",IF(ISTEXT(VLOOKUP(B192,INDIRECT($F$8),6+(O205-1)*3)),11,IF(VLOOKUP(B192,INDIRECT($F$8),6+(O205-1)*3)&lt;S205*0.3,IF(VLOOKUP(B192,INDIRECT($F$8),8+(O205-1)*3)&lt;U205*0.4,IF(AND(0.4*U205-VLOOKUP(B192,INDIRECT($F$8),8+(O205-1)*3)&lt;=5,0.3*S205-VLOOKUP(B192,INDIRECT($F$8),6+(O205-1)*3)&lt;=5),MAX(0.4*U205-VLOOKUP(B192,INDIRECT($F$8),8+(O205-1)*3),0.3*S205-VLOOKUP(B192,INDIRECT($F$8),6+(O205-1)*3)),11),IF(0.3*S205-VLOOKUP(B192,INDIRECT($F$8),6+(O205-1)*3)&lt;=5,0.3*S205-VLOOKUP(B192,INDIRECT($F$8),6+(O205-1)*3),11)),IF(VLOOKUP(B192,INDIRECT($F$8),8+(O205-1)*3)&lt;U205*0.4,IF(U205*0.4-VLOOKUP(B192,INDIRECT($F$8),8+(O205-1)*3)&lt;=5,U205*0.4-VLOOKUP(B192,INDIRECT($F$8),8+(O205-1)*3),11),0))))</f>
        <v>0</v>
      </c>
      <c r="X205" s="1" t="str">
        <f ca="1">IF(ISERROR(F192),"",IF(W205=0,"",_xlfn.TEXTJOIN("",FALSE," G+",W205," in ",A205)))</f>
        <v/>
      </c>
    </row>
    <row r="206" spans="1:24" ht="11.25" customHeight="1" x14ac:dyDescent="0.2">
      <c r="A206" s="7" t="str">
        <f ca="1">IF(ISERROR(F192),"",VLOOKUP(C192,INDIRECT($F$8),6+(O206-1)*3,0))</f>
        <v>CAP 001</v>
      </c>
      <c r="B206" s="41" t="str">
        <f ca="1">IF(ISERROR(F192),"",VLOOKUP(D192,INDIRECT($F$8),6+(O206-1)*3-Z206,0))</f>
        <v>Database Management System Lab</v>
      </c>
      <c r="C206" s="41"/>
      <c r="D206" s="41"/>
      <c r="E206" s="41"/>
      <c r="F206" s="7">
        <f ca="1">IF(ISERROR(F192),"",VLOOKUP(E192,INDIRECT($F$8),6+(O206-1)*3,0))</f>
        <v>1</v>
      </c>
      <c r="G206" s="42" t="str">
        <f ca="1">IF(ISERROR(F192),"",_xlfn.TEXTJOIN("/",FALSE,P206,S206))</f>
        <v>25/30</v>
      </c>
      <c r="H206" s="42"/>
      <c r="I206" s="42" t="str">
        <f ca="1">IF(ISERROR(F192),"",_xlfn.TEXTJOIN("/",FALSE,Q206,T206))</f>
        <v>15/20</v>
      </c>
      <c r="J206" s="42"/>
      <c r="K206" s="42" t="str">
        <f ca="1">IF(ISERROR(F192),"",_xlfn.TEXTJOIN("/",FALSE,R206,U206))</f>
        <v>40/50</v>
      </c>
      <c r="L206" s="42"/>
      <c r="M206" s="7" t="str">
        <f ca="1">IF(ISERROR(F192),"",IF(ISTEXT(P206),IF(P206="A","Ab",IF(P206="D","Dt",IF(P206="UFM","UFM",IF(P206="NA","-")))),IF(AND(ISBLANK(P206),ISBLANK(R206)),"",IF(P206&lt;0.3*S206,"F",IF(ISBLANK(R206),"",IF(ISTEXT(R206),R206,IF(R206&gt;=0.95*U206,"O",IF(R206&gt;=0.9*U206,"A+",IF(R206&gt;=0.85*U206,"A",IF(R206&gt;=0.8*U206,"B+",IF(R206&gt;=0.75*U206,"B",IF(R206&gt;=0.7*U206,"C+",IF(R206&gt;=0.65*U206,"C",IF(R206&gt;=0.6*U206,"D+",IF(R206&gt;=0.55*U206,"D",IF(R206&gt;=0.5*U206,"E+",IF(R206&gt;=0.45*U206,"E",IF(R206&gt;=0.4*U206,"P",IF(R206&lt;0.4*U206,"F",R206)))))))))))))))))))</f>
        <v>B+</v>
      </c>
      <c r="N206" s="8">
        <f t="shared" ca="1" si="16"/>
        <v>8.5</v>
      </c>
      <c r="O206">
        <f t="shared" si="17"/>
        <v>10</v>
      </c>
      <c r="P206" s="1">
        <f ca="1">IF(ISERROR(F192),"",IF(ISTEXT(VLOOKUP(B192,INDIRECT($F$8),6+(O206-1)*3)),(VLOOKUP(B192,INDIRECT($F$8),6+(O206-1)*3)),SUM(VLOOKUP(B192,INDIRECT($F$8),6+(O206-1)*3),IF(W211,W206,0))))</f>
        <v>25</v>
      </c>
      <c r="Q206" s="1">
        <f ca="1">IF(ISERROR(F192),"",VLOOKUP(B192,INDIRECT($F$8),7+(O206-1)*3))</f>
        <v>15</v>
      </c>
      <c r="R206" s="1">
        <f ca="1">IF(ISERROR(F192),"",SUM(P206:Q206))</f>
        <v>40</v>
      </c>
      <c r="S206" s="1">
        <f ca="1">IF(ISERROR(F192),"",VLOOKUP(A192,INDIRECT($F$8),6+(O206-1)*3))</f>
        <v>30</v>
      </c>
      <c r="T206" s="1">
        <f ca="1">IF(ISERROR(F192),"",VLOOKUP(A192,INDIRECT($F$8),7+(O206-1)*3))</f>
        <v>20</v>
      </c>
      <c r="U206" s="1">
        <f ca="1">IF(ISERROR(F192),"",VLOOKUP(A192,INDIRECT($F$8),8+(O206-1)*3))</f>
        <v>50</v>
      </c>
      <c r="V206" s="1" t="str">
        <f ca="1">IF(ISERROR(F192),"",IF(N206=0,A206,""))</f>
        <v/>
      </c>
      <c r="W206" s="1">
        <f ca="1">IF(ISERROR(F192),"",IF(ISTEXT(VLOOKUP(B192,INDIRECT($F$8),6+(O206-1)*3)),11,IF(VLOOKUP(B192,INDIRECT($F$8),6+(O206-1)*3)&lt;S206*0.3,IF(VLOOKUP(B192,INDIRECT($F$8),8+(O206-1)*3)&lt;U206*0.4,IF(AND(0.4*U206-VLOOKUP(B192,INDIRECT($F$8),8+(O206-1)*3)&lt;=5,0.3*S206-VLOOKUP(B192,INDIRECT($F$8),6+(O206-1)*3)&lt;=5),MAX(0.4*U206-VLOOKUP(B192,INDIRECT($F$8),8+(O206-1)*3),0.3*S206-VLOOKUP(B192,INDIRECT($F$8),6+(O206-1)*3)),11),IF(0.3*S206-VLOOKUP(B192,INDIRECT($F$8),6+(O206-1)*3)&lt;=5,0.3*S206-VLOOKUP(B192,INDIRECT($F$8),6+(O206-1)*3),11)),IF(VLOOKUP(B192,INDIRECT($F$8),8+(O206-1)*3)&lt;U206*0.4,IF(U206*0.4-VLOOKUP(B192,INDIRECT($F$8),8+(O206-1)*3)&lt;=5,U206*0.4-VLOOKUP(B192,INDIRECT($F$8),8+(O206-1)*3),11),0))))</f>
        <v>0</v>
      </c>
      <c r="X206" s="1" t="str">
        <f ca="1">IF(ISERROR(F192),"",IF(W206=0,"",_xlfn.TEXTJOIN("",FALSE," G+",W206," in ",A206)))</f>
        <v/>
      </c>
    </row>
    <row r="207" spans="1:24" ht="11.25" customHeight="1" x14ac:dyDescent="0.2">
      <c r="A207" s="7" t="str">
        <f ca="1">IF(ISERROR(F192),"",VLOOKUP(C192,INDIRECT($F$8),6+(O207-1)*3,0))</f>
        <v>CAP 002</v>
      </c>
      <c r="B207" s="41" t="str">
        <f ca="1">IF(ISERROR(F192),"",VLOOKUP(D192,INDIRECT($F$8),6+(O207-1)*3,0))</f>
        <v>Operating System Lab</v>
      </c>
      <c r="C207" s="41"/>
      <c r="D207" s="41"/>
      <c r="E207" s="41"/>
      <c r="F207" s="7">
        <f ca="1">IF(ISERROR(F192),"",VLOOKUP(E192,INDIRECT($F$8),6+(O207-1)*3,0))</f>
        <v>1</v>
      </c>
      <c r="G207" s="42" t="str">
        <f ca="1">IF(ISERROR(F192),"",_xlfn.TEXTJOIN("/",FALSE,P207,S207))</f>
        <v>24/30</v>
      </c>
      <c r="H207" s="42"/>
      <c r="I207" s="42" t="str">
        <f ca="1">IF(ISERROR(F192),"",_xlfn.TEXTJOIN("/",FALSE,Q207,T207))</f>
        <v>16/20</v>
      </c>
      <c r="J207" s="42"/>
      <c r="K207" s="42" t="str">
        <f ca="1">IF(ISERROR(F192),"",_xlfn.TEXTJOIN("/",FALSE,R207,U207))</f>
        <v>40/50</v>
      </c>
      <c r="L207" s="42"/>
      <c r="M207" s="7" t="str">
        <f ca="1">IF(ISERROR(F192),"",IF(ISTEXT(P207),IF(P207="A","Ab",IF(P207="D","Dt",IF(P207="UFM","UFM",IF(P207="NA","-")))),IF(AND(ISBLANK(P207),ISBLANK(R207)),"",IF(P207&lt;0.3*S207,"F",IF(ISBLANK(R207),"",IF(ISTEXT(R207),R207,IF(R207&gt;=0.95*U207,"O",IF(R207&gt;=0.9*U207,"A+",IF(R207&gt;=0.85*U207,"A",IF(R207&gt;=0.8*U207,"B+",IF(R207&gt;=0.75*U207,"B",IF(R207&gt;=0.7*U207,"C+",IF(R207&gt;=0.65*U207,"C",IF(R207&gt;=0.6*U207,"D+",IF(R207&gt;=0.55*U207,"D",IF(R207&gt;=0.5*U207,"E+",IF(R207&gt;=0.45*U207,"E",IF(R207&gt;=0.4*U207,"P",IF(R207&lt;0.4*U207,"F",R207)))))))))))))))))))</f>
        <v>B+</v>
      </c>
      <c r="N207" s="8">
        <f t="shared" ca="1" si="16"/>
        <v>8.5</v>
      </c>
      <c r="O207">
        <f t="shared" si="17"/>
        <v>11</v>
      </c>
      <c r="P207" s="1">
        <f ca="1">IF(ISERROR(F192),"",IF(ISTEXT(VLOOKUP(B192,INDIRECT($F$8),6+(O207-1)*3)),(VLOOKUP(B192,INDIRECT($F$8),6+(O207-1)*3)),SUM(VLOOKUP(B192,INDIRECT($F$8),6+(O207-1)*3),IF(W211,W207,0))))</f>
        <v>24</v>
      </c>
      <c r="Q207" s="1">
        <f ca="1">IF(ISERROR(F192),"",VLOOKUP(B192,INDIRECT($F$8),7+(O207-1)*3))</f>
        <v>16</v>
      </c>
      <c r="R207" s="1">
        <f ca="1">IF(ISERROR(F192),"",SUM(P207:Q207))</f>
        <v>40</v>
      </c>
      <c r="S207" s="1">
        <f ca="1">IF(ISERROR(F192),"",VLOOKUP(A192,INDIRECT($F$8),6+(O207-1)*3))</f>
        <v>30</v>
      </c>
      <c r="T207" s="1">
        <f ca="1">IF(ISERROR(F192),"",VLOOKUP(A192,INDIRECT($F$8),7+(O207-1)*3))</f>
        <v>20</v>
      </c>
      <c r="U207" s="1">
        <f ca="1">IF(ISERROR(F192),"",VLOOKUP(A192,INDIRECT($F$8),8+(O207-1)*3))</f>
        <v>50</v>
      </c>
      <c r="V207" s="1" t="str">
        <f ca="1">IF(ISERROR(F192),"",IF(N207=0,A207,""))</f>
        <v/>
      </c>
      <c r="W207" s="1">
        <f ca="1">IF(ISERROR(F192),"",IF(ISTEXT(VLOOKUP(B192,INDIRECT($F$8),6+(O207-1)*3)),11,IF(VLOOKUP(B192,INDIRECT($F$8),6+(O207-1)*3)&lt;S207*0.3,IF(VLOOKUP(B192,INDIRECT($F$8),8+(O207-1)*3)&lt;U207*0.4,IF(AND(0.4*U207-VLOOKUP(B192,INDIRECT($F$8),8+(O207-1)*3)&lt;=5,0.3*S207-VLOOKUP(B192,INDIRECT($F$8),6+(O207-1)*3)&lt;=5),MAX(0.4*U207-VLOOKUP(B192,INDIRECT($F$8),8+(O207-1)*3),0.3*S207-VLOOKUP(B192,INDIRECT($F$8),6+(O207-1)*3)),11),IF(0.3*S207-VLOOKUP(B192,INDIRECT($F$8),6+(O207-1)*3)&lt;=5,0.3*S207-VLOOKUP(B192,INDIRECT($F$8),6+(O207-1)*3),11)),IF(VLOOKUP(B192,INDIRECT($F$8),8+(O207-1)*3)&lt;U207*0.4,IF(U207*0.4-VLOOKUP(B192,INDIRECT($F$8),8+(O207-1)*3)&lt;=5,U207*0.4-VLOOKUP(B192,INDIRECT($F$8),8+(O207-1)*3),11),0))))</f>
        <v>0</v>
      </c>
      <c r="X207" s="1" t="str">
        <f ca="1">IF(ISERROR(F192),"",IF(W207=0,"",_xlfn.TEXTJOIN("",FALSE," G+",W207," in ",A207)))</f>
        <v/>
      </c>
    </row>
    <row r="208" spans="1:24" ht="11.25" customHeight="1" x14ac:dyDescent="0.2">
      <c r="A208" s="7" t="str">
        <f ca="1">IF(ISERROR(F192),"",VLOOKUP(C192,INDIRECT($F$8),6+(O208-1)*3,0))</f>
        <v>CAP 003</v>
      </c>
      <c r="B208" s="41" t="str">
        <f ca="1">IF(ISERROR(F192),"",VLOOKUP(D192,INDIRECT($F$8),6+(O208-1)*3,0))</f>
        <v>Computer Organization Lab</v>
      </c>
      <c r="C208" s="41"/>
      <c r="D208" s="41"/>
      <c r="E208" s="41"/>
      <c r="F208" s="7">
        <f ca="1">IF(ISERROR(F192),"",VLOOKUP(E192,INDIRECT($F$8),6+(O208-1)*3,0))</f>
        <v>1</v>
      </c>
      <c r="G208" s="42" t="str">
        <f ca="1">IF(ISERROR(F192),"",_xlfn.TEXTJOIN("/",FALSE,P208,S208))</f>
        <v>27/30</v>
      </c>
      <c r="H208" s="42"/>
      <c r="I208" s="42" t="str">
        <f ca="1">IF(ISERROR(F192),"",_xlfn.TEXTJOIN("/",FALSE,Q208,T208))</f>
        <v>19/20</v>
      </c>
      <c r="J208" s="42"/>
      <c r="K208" s="42" t="str">
        <f ca="1">IF(ISERROR(F192),"",_xlfn.TEXTJOIN("/",FALSE,R208,U208))</f>
        <v>46/50</v>
      </c>
      <c r="L208" s="42"/>
      <c r="M208" s="7" t="str">
        <f ca="1">IF(ISERROR(F192),"",IF(ISTEXT(P208),IF(P208="A","Ab",IF(P208="D","Dt",IF(P208="UFM","UFM",IF(P208="NA","-")))),IF(AND(ISBLANK(P208),ISBLANK(R208)),"",IF(P208&lt;0.3*S208,"F",IF(ISBLANK(R208),"",IF(ISTEXT(R208),R208,IF(R208&gt;=0.95*U208,"O",IF(R208&gt;=0.9*U208,"A+",IF(R208&gt;=0.85*U208,"A",IF(R208&gt;=0.8*U208,"B+",IF(R208&gt;=0.75*U208,"B",IF(R208&gt;=0.7*U208,"C+",IF(R208&gt;=0.65*U208,"C",IF(R208&gt;=0.6*U208,"D+",IF(R208&gt;=0.55*U208,"D",IF(R208&gt;=0.5*U208,"E+",IF(R208&gt;=0.45*U208,"E",IF(R208&gt;=0.4*U208,"P",IF(R208&lt;0.4*U208,"F",R208)))))))))))))))))))</f>
        <v>A+</v>
      </c>
      <c r="N208" s="8">
        <f t="shared" ca="1" si="16"/>
        <v>9.5</v>
      </c>
      <c r="O208">
        <f t="shared" si="17"/>
        <v>12</v>
      </c>
      <c r="P208" s="1">
        <f ca="1">IF(ISERROR(F192),"",IF(ISTEXT(VLOOKUP(B192,INDIRECT($F$8),6+(O208-1)*3)),(VLOOKUP(B192,INDIRECT($F$8),6+(O208-1)*3)),SUM(VLOOKUP(B192,INDIRECT($F$8),6+(O208-1)*3),IF(W211,W208,0))))</f>
        <v>27</v>
      </c>
      <c r="Q208" s="1">
        <f ca="1">IF(ISERROR(F192),"",VLOOKUP(B192,INDIRECT($F$8),7+(O208-1)*3))</f>
        <v>19</v>
      </c>
      <c r="R208" s="1">
        <f ca="1">IF(ISERROR(F192),"",SUM(P208:Q208))</f>
        <v>46</v>
      </c>
      <c r="S208" s="1">
        <f ca="1">IF(ISERROR(F192),"",VLOOKUP(A192,INDIRECT($F$8),6+(O208-1)*3))</f>
        <v>30</v>
      </c>
      <c r="T208" s="1">
        <f ca="1">IF(ISERROR(F192),"",VLOOKUP(A192,INDIRECT($F$8),7+(O208-1)*3))</f>
        <v>20</v>
      </c>
      <c r="U208" s="1">
        <f ca="1">IF(ISERROR(F192),"",VLOOKUP(A192,INDIRECT($F$8),8+(O208-1)*3))</f>
        <v>50</v>
      </c>
      <c r="V208" s="1" t="str">
        <f ca="1">IF(ISERROR(F192),"",IF(N208=0,A208,""))</f>
        <v/>
      </c>
      <c r="W208" s="1">
        <f ca="1">IF(ISERROR(F192),"",IF(ISTEXT(VLOOKUP(B192,INDIRECT($F$8),6+(O208-1)*3)),11,IF(VLOOKUP(B192,INDIRECT($F$8),6+(O208-1)*3)&lt;S208*0.3,IF(VLOOKUP(B192,INDIRECT($F$8),8+(O208-1)*3)&lt;U208*0.4,IF(AND(0.4*U208-VLOOKUP(B192,INDIRECT($F$8),8+(O208-1)*3)&lt;=5,0.3*S208-VLOOKUP(B192,INDIRECT($F$8),6+(O208-1)*3)&lt;=5),MAX(0.4*U208-VLOOKUP(B192,INDIRECT($F$8),8+(O208-1)*3),0.3*S208-VLOOKUP(B192,INDIRECT($F$8),6+(O208-1)*3)),11),IF(0.3*S208-VLOOKUP(B192,INDIRECT($F$8),6+(O208-1)*3)&lt;=5,0.3*S208-VLOOKUP(B192,INDIRECT($F$8),6+(O208-1)*3),11)),IF(VLOOKUP(B192,INDIRECT($F$8),8+(O208-1)*3)&lt;U208*0.4,IF(U208*0.4-VLOOKUP(B192,INDIRECT($F$8),8+(O208-1)*3)&lt;=5,U208*0.4-VLOOKUP(B192,INDIRECT($F$8),8+(O208-1)*3),11),0))))</f>
        <v>0</v>
      </c>
      <c r="X208" s="1" t="str">
        <f ca="1">IF(ISERROR(F192),"",IF(W208=0,"",_xlfn.TEXTJOIN("",FALSE," G+",W208," in ",A208)))</f>
        <v/>
      </c>
    </row>
    <row r="209" spans="1:24" ht="11.25" customHeight="1" x14ac:dyDescent="0.2">
      <c r="A209" s="7" t="str">
        <f ca="1">IF(ISERROR(F192),"",VLOOKUP(C192,INDIRECT($F$8),6+(O209-1)*3,0))</f>
        <v>AHP 303</v>
      </c>
      <c r="B209" s="41" t="str">
        <f ca="1">IF(ISERROR(F192),"",VLOOKUP(D192,INDIRECT($F$8),6+(O209-1)*3,0))</f>
        <v>Technical Communication Skills</v>
      </c>
      <c r="C209" s="41"/>
      <c r="D209" s="41"/>
      <c r="E209" s="41"/>
      <c r="F209" s="7">
        <f ca="1">IF(ISERROR(F192),"",VLOOKUP(E192,INDIRECT($F$8),6+(O209-1)*3,0))</f>
        <v>1</v>
      </c>
      <c r="G209" s="42" t="str">
        <f ca="1">IF(ISERROR(F192),"",_xlfn.TEXTJOIN("/",FALSE,P209,S209))</f>
        <v>22/30</v>
      </c>
      <c r="H209" s="42"/>
      <c r="I209" s="42" t="str">
        <f ca="1">IF(ISERROR(F192),"",_xlfn.TEXTJOIN("/",FALSE,Q209,T209))</f>
        <v>16/20</v>
      </c>
      <c r="J209" s="42"/>
      <c r="K209" s="42" t="str">
        <f ca="1">IF(ISERROR(F192),"",_xlfn.TEXTJOIN("/",FALSE,R209,U209))</f>
        <v>38/50</v>
      </c>
      <c r="L209" s="42"/>
      <c r="M209" s="7" t="str">
        <f ca="1">IF(ISERROR(F192),"",IF(ISTEXT(P209),IF(P209="A","Ab",IF(P209="D","Dt",IF(P209="UFM","UFM",IF(P209="NA","-")))),IF(AND(ISBLANK(P209),ISBLANK(R209)),"",IF(P209&lt;0.3*S209,"F",IF(ISBLANK(R209),"",IF(ISTEXT(R209),R209,IF(R209&gt;=0.95*U209,"O",IF(R209&gt;=0.9*U209,"A+",IF(R209&gt;=0.85*U209,"A",IF(R209&gt;=0.8*U209,"B+",IF(R209&gt;=0.75*U209,"B",IF(R209&gt;=0.7*U209,"C+",IF(R209&gt;=0.65*U209,"C",IF(R209&gt;=0.6*U209,"D+",IF(R209&gt;=0.55*U209,"D",IF(R209&gt;=0.5*U209,"E+",IF(R209&gt;=0.45*U209,"E",IF(R209&gt;=0.4*U209,"P",IF(R209&lt;0.4*U209,"F",R209)))))))))))))))))))</f>
        <v>B</v>
      </c>
      <c r="N209" s="8">
        <f t="shared" ca="1" si="16"/>
        <v>8</v>
      </c>
      <c r="O209">
        <f t="shared" si="17"/>
        <v>13</v>
      </c>
      <c r="P209" s="1">
        <f ca="1">IF(ISERROR(F192),"",IF(ISTEXT(VLOOKUP(B192,INDIRECT($F$8),6+(O209-1)*3)),(VLOOKUP(B192,INDIRECT($F$8),6+(O209-1)*3)),SUM(VLOOKUP(B192,INDIRECT($F$8),6+(O209-1)*3),IF(W211,W209,0))))</f>
        <v>22</v>
      </c>
      <c r="Q209" s="1">
        <f ca="1">IF(ISERROR(F192),"",VLOOKUP(B192,INDIRECT($F$8),7+(O209-1)*3))</f>
        <v>16</v>
      </c>
      <c r="R209" s="1">
        <f ca="1">IF(ISERROR(F192),"",SUM(P209:Q209))</f>
        <v>38</v>
      </c>
      <c r="S209" s="1">
        <f ca="1">IF(ISERROR(F192),"",VLOOKUP(A192,INDIRECT($F$8),6+(O209-1)*3))</f>
        <v>30</v>
      </c>
      <c r="T209" s="1">
        <f ca="1">IF(ISERROR(F192),"",VLOOKUP(A192,INDIRECT($F$8),7+(O209-1)*3))</f>
        <v>20</v>
      </c>
      <c r="U209" s="1">
        <f ca="1">IF(ISERROR(F192),"",VLOOKUP(A192,INDIRECT($F$8),8+(O209-1)*3))</f>
        <v>50</v>
      </c>
      <c r="V209" s="1"/>
      <c r="W209" s="1">
        <f ca="1">IF(ISERROR(F192),"",IF(ISTEXT(VLOOKUP(B192,INDIRECT($F$8),6+(O209-1)*3)),11,IF(VLOOKUP(B192,INDIRECT($F$8),6+(O209-1)*3)&lt;S209*0.3,IF(VLOOKUP(B192,INDIRECT($F$8),8+(O209-1)*3)&lt;U209*0.4,IF(AND(0.4*U209-VLOOKUP(B192,INDIRECT($F$8),8+(O209-1)*3)&lt;=5,0.3*S209-VLOOKUP(B192,INDIRECT($F$8),6+(O209-1)*3)&lt;=5),MAX(0.4*U209-VLOOKUP(B192,INDIRECT($F$8),8+(O209-1)*3),0.3*S209-VLOOKUP(B192,INDIRECT($F$8),6+(O209-1)*3)),11),IF(0.3*S209-VLOOKUP(B192,INDIRECT($F$8),6+(O209-1)*3)&lt;=5,0.3*S209-VLOOKUP(B192,INDIRECT($F$8),6+(O209-1)*3),11)),IF(VLOOKUP(B192,INDIRECT($F$8),8+(O209-1)*3)&lt;U209*0.4,IF(U209*0.4-VLOOKUP(B192,INDIRECT($F$8),8+(O209-1)*3)&lt;=5,U209*0.4-VLOOKUP(B192,INDIRECT($F$8),8+(O209-1)*3),11),0))))</f>
        <v>0</v>
      </c>
      <c r="X209" s="1" t="str">
        <f ca="1">IF(ISERROR(F192),"",IF(W209=0,"",_xlfn.TEXTJOIN("",FALSE," G+",W209," in ",A209)))</f>
        <v/>
      </c>
    </row>
    <row r="210" spans="1:24" s="32" customFormat="1" ht="11.25" customHeight="1" x14ac:dyDescent="0.2">
      <c r="A210" s="31">
        <f ca="1">IF(ISERROR(F192),"",VLOOKUP(C192,INDIRECT($F$8),6+(O210-1)*3-Y210,0))</f>
        <v>0</v>
      </c>
      <c r="B210" s="49">
        <f ca="1">IF(ISERROR(F192),"",VLOOKUP(D192,INDIRECT($F$8),6+(O210-1)*3-Z210,0))</f>
        <v>0</v>
      </c>
      <c r="C210" s="49"/>
      <c r="D210" s="49"/>
      <c r="E210" s="49"/>
      <c r="F210" s="31">
        <f ca="1">IF(ISERROR(F192),"",VLOOKUP(E192,INDIRECT($F$8),6+(O210-1)*3-AA210,0))</f>
        <v>0</v>
      </c>
      <c r="G210" s="50" t="str">
        <f ca="1">IF(ISERROR(F192),"","-")</f>
        <v>-</v>
      </c>
      <c r="H210" s="50"/>
      <c r="I210" s="50" t="str">
        <f ca="1">IF(ISERROR(F192),"",_xlfn.TEXTJOIN("/",FALSE,Q210,T210))</f>
        <v>0/0</v>
      </c>
      <c r="J210" s="50"/>
      <c r="K210" s="50" t="str">
        <f ca="1">IF(ISERROR(F192),"",_xlfn.TEXTJOIN("/",FALSE,R210,U210))</f>
        <v>0/0</v>
      </c>
      <c r="L210" s="50"/>
      <c r="M210" s="50" t="str">
        <f ca="1">IF(ISBLANK(R210),"",IF(ISTEXT(R210),R210,IF(R210&gt;=0.8*U210,"Excellent",IF(R210&gt;=0.6*U210,"Very Good",IF(R210&gt;=0.4*U210,"Good",IF(R210&gt;=0.2*U210,"Satisfactory","Average"))))))</f>
        <v>Excellent</v>
      </c>
      <c r="N210" s="50"/>
      <c r="O210" s="32">
        <f t="shared" si="17"/>
        <v>14</v>
      </c>
      <c r="P210" s="33">
        <f ca="1">IF(ISERROR(F192),"",IF(ISTEXT(VLOOKUP(B\28,INDIRECT($F$8),6+(O210-1)*3)),(VLOOKUP(B192,INDIRECT($F$8),6+(O210-1)*3)),SUM(VLOOKUP(B192,INDIRECT($F$8),6+(O210-1)*3),IF(W211,W210,0))))</f>
        <v>0</v>
      </c>
      <c r="Q210" s="33">
        <f ca="1">IF(ISERROR(F192),"",VLOOKUP(B192,INDIRECT($F$8),7+(O210-1)*3))</f>
        <v>0</v>
      </c>
      <c r="R210" s="33">
        <f ca="1">IF(ISERROR(F192),"",SUM(P210:Q210))</f>
        <v>0</v>
      </c>
      <c r="S210" s="33">
        <f ca="1">IF(ISERROR(F192),"",VLOOKUP(A192,INDIRECT($F$8),6+(O210-1)*3))</f>
        <v>0</v>
      </c>
      <c r="T210" s="33">
        <f ca="1">IF(ISERROR(F192),"",VLOOKUP(A192,INDIRECT($F$8),7+(O210-1)*3))</f>
        <v>0</v>
      </c>
      <c r="U210" s="33">
        <f ca="1">IF(ISERROR(F192),"",VLOOKUP(A192,INDIRECT($F$8),8+(O210-1)*3))</f>
        <v>0</v>
      </c>
      <c r="V210" s="33"/>
      <c r="W210" s="33"/>
      <c r="X210" s="33" t="str">
        <f ca="1">IF(ISERROR(F192),"",IF(W210=0,"",_xlfn.TEXTJOIN("",FALSE," G+",W210," in ",A210)))</f>
        <v/>
      </c>
    </row>
    <row r="211" spans="1:24" ht="11.25" customHeight="1" x14ac:dyDescent="0.2">
      <c r="A211" s="43" t="str">
        <f ca="1">IF(ISERROR(F192),"",A188)</f>
        <v>Total Credits/ Marks/ Total Grade Points</v>
      </c>
      <c r="B211" s="43"/>
      <c r="C211" s="43"/>
      <c r="D211" s="43"/>
      <c r="E211" s="43"/>
      <c r="F211" s="10">
        <f ca="1">IF(ISERROR(F192),"",SUM(F197:F210))</f>
        <v>24</v>
      </c>
      <c r="G211" s="44" t="str">
        <f ca="1">IF(ISERROR(F192),"",_xlfn.TEXTJOIN("/",TRUE,SUMIF(F197:F210,"&gt;0",P197:P210),SUMIF(F197:F210,"&gt;0",S197:S210)))</f>
        <v>402/620</v>
      </c>
      <c r="H211" s="44"/>
      <c r="I211" s="44" t="str">
        <f ca="1">IF(ISERROR(F192),"",_xlfn.TEXTJOIN("/",TRUE,SUMIF(F197:F210,"&gt;0",Q197:Q210),SUMIF(F197:F210,"&gt;0",T197:T210)))</f>
        <v>264/330</v>
      </c>
      <c r="J211" s="44"/>
      <c r="K211" s="44" t="str">
        <f ca="1">IF(ISERROR(F192),"",_xlfn.TEXTJOIN("/",TRUE,SUMIF(F197:F210,"&gt;0",R197:R210),SUMIF(F197:F210,"&gt;0",U197:U210)))</f>
        <v>666/950</v>
      </c>
      <c r="L211" s="44"/>
      <c r="M211" s="43">
        <f ca="1">IF(ISERROR(F192),"",SUMPRODUCT(N197:N209,F197:F209))</f>
        <v>172.5</v>
      </c>
      <c r="N211" s="43"/>
      <c r="V211" s="1" t="str">
        <f ca="1">IF(ISERROR(F192),"",_xlfn.TEXTJOIN(", ",TRUE,V197:V210))</f>
        <v/>
      </c>
      <c r="W211" t="b">
        <f ca="1">IF(ISERROR(F192),"",IF(SUM(W197:W210)&lt;=W196,TRUE,FALSE))</f>
        <v>1</v>
      </c>
      <c r="X211" s="1" t="str">
        <f ca="1">_xlfn.TEXTJOIN(",",TRUE,X197:X210)</f>
        <v/>
      </c>
    </row>
    <row r="212" spans="1:24" ht="11.25" customHeight="1" x14ac:dyDescent="0.2">
      <c r="A212" s="43" t="str">
        <f ca="1">IF(ISERROR(F192),"",A189)</f>
        <v>Result:</v>
      </c>
      <c r="B212" s="45" t="str">
        <f ca="1">IF(ISERROR(F192),"",IF(V211="","PASS","CARRY OVER"))</f>
        <v>PASS</v>
      </c>
      <c r="C212" s="45"/>
      <c r="D212" s="43" t="str">
        <f ca="1">IF(ISERROR(F192),"",D189)</f>
        <v>Remark:</v>
      </c>
      <c r="E212" s="45" t="str">
        <f ca="1">IF(ISERROR(F192),"",IF(W211,X211,IF(V211="","",_xlfn.TEXTJOIN("",TRUE,"BACK IN ",V211))))</f>
        <v/>
      </c>
      <c r="F212" s="45"/>
      <c r="G212" s="43" t="str">
        <f ca="1">IF(ISERROR(F192),"",G189)</f>
        <v>SGPA:</v>
      </c>
      <c r="H212" s="46">
        <f ca="1">IF(ISERROR(F192),"",M211/F211)</f>
        <v>7.1875</v>
      </c>
      <c r="I212" s="43" t="str">
        <f ca="1">IF(ISERROR(F192),"",I189)</f>
        <v>CGPA:</v>
      </c>
      <c r="J212" s="46">
        <f ca="1">IF(ISERROR(F192),"",VLOOKUP(B192,INDIRECT($F$8),12+(O210-1)*3,0))</f>
        <v>7.1875</v>
      </c>
      <c r="K212" s="45" t="str">
        <f ca="1">IF(ISERROR(F192),"",K189)</f>
        <v>Earned Credits:</v>
      </c>
      <c r="L212" s="43">
        <f ca="1">IF(ISERROR(F192),"",SUMIF(N197:N209,"&gt;0",F197:F209))</f>
        <v>24</v>
      </c>
      <c r="M212" s="45" t="str">
        <f ca="1">IF(ISERROR(F192),"",M189)</f>
        <v>Cuml. Earned Credits:</v>
      </c>
      <c r="N212" s="43">
        <f ca="1">IF(ISERROR(F192),"",VLOOKUP(B192,INDIRECT($F$8),10+(O210-1)*3,0))</f>
        <v>24</v>
      </c>
    </row>
    <row r="213" spans="1:24" ht="11.25" customHeight="1" x14ac:dyDescent="0.2">
      <c r="A213" s="43"/>
      <c r="B213" s="45"/>
      <c r="C213" s="45"/>
      <c r="D213" s="43"/>
      <c r="E213" s="45"/>
      <c r="F213" s="45"/>
      <c r="G213" s="43"/>
      <c r="H213" s="46"/>
      <c r="I213" s="43"/>
      <c r="J213" s="46"/>
      <c r="K213" s="45"/>
      <c r="L213" s="43"/>
      <c r="M213" s="45"/>
      <c r="N213" s="43"/>
    </row>
    <row r="214" spans="1:24" ht="15" x14ac:dyDescent="0.2">
      <c r="A214" s="43"/>
      <c r="B214" s="45"/>
      <c r="C214" s="45"/>
      <c r="D214" s="43"/>
      <c r="E214" s="45"/>
      <c r="F214" s="45"/>
      <c r="G214" s="43"/>
      <c r="H214" s="46"/>
      <c r="I214" s="43"/>
      <c r="J214" s="46"/>
      <c r="K214" s="45"/>
      <c r="L214" s="43"/>
      <c r="M214" s="45"/>
      <c r="N214" s="43"/>
    </row>
    <row r="215" spans="1:24" ht="11.25" customHeight="1" x14ac:dyDescent="0.2">
      <c r="A215" s="11" t="str">
        <f>A192</f>
        <v>MM</v>
      </c>
      <c r="B215" s="11">
        <f>B192+1</f>
        <v>10</v>
      </c>
      <c r="C215" s="11" t="str">
        <f>C192</f>
        <v>SC</v>
      </c>
      <c r="D215" s="11" t="str">
        <f>D192</f>
        <v>SN</v>
      </c>
      <c r="E215" s="11" t="str">
        <f>E192</f>
        <v>C</v>
      </c>
      <c r="F215" s="11" t="str">
        <f ca="1">VLOOKUP(B215,INDIRECT($F$8),4,0)</f>
        <v>NIKITA BALODHI</v>
      </c>
    </row>
    <row r="216" spans="1:24" ht="11.25" customHeight="1" x14ac:dyDescent="0.2">
      <c r="A216" s="47" t="str">
        <f ca="1">IF(ISERROR(F215),"",A193)</f>
        <v>Name:</v>
      </c>
      <c r="B216" s="47" t="str">
        <f ca="1">IFERROR(VLOOKUP(B215,INDIRECT($F$8),4,0),"")</f>
        <v>NIKITA BALODHI</v>
      </c>
      <c r="C216" s="47"/>
      <c r="D216" s="47" t="str">
        <f ca="1">IF(ISERROR(F215),"",D193)</f>
        <v>Father's Name:</v>
      </c>
      <c r="E216" s="47" t="str">
        <f ca="1">IFERROR(VLOOKUP(B215,INDIRECT($F$8),5,0),"")</f>
        <v>MR DHANJAY PRASAD BALODHI</v>
      </c>
      <c r="F216" s="47"/>
      <c r="G216" s="47" t="str">
        <f ca="1">IF(ISERROR(F215),"",G193)</f>
        <v>University Roll No:</v>
      </c>
      <c r="H216" s="47"/>
      <c r="I216" s="48">
        <f ca="1">IFERROR(VLOOKUP(B215,INDIRECT($F$8),2,0),"")</f>
        <v>250090600010</v>
      </c>
      <c r="J216" s="48"/>
      <c r="K216" s="47" t="str">
        <f ca="1">IF(ISERROR(F215),"",K193)</f>
        <v>University Enrol. No:</v>
      </c>
      <c r="L216" s="47"/>
      <c r="M216" s="48" t="str">
        <f ca="1">IFERROR(VLOOKUP(B215,INDIRECT($F$8),3,0),"")</f>
        <v>UTU/2506100154</v>
      </c>
      <c r="N216" s="48"/>
    </row>
    <row r="217" spans="1:24" ht="15" x14ac:dyDescent="0.2">
      <c r="A217" s="47"/>
      <c r="B217" s="47"/>
      <c r="C217" s="47"/>
      <c r="D217" s="47"/>
      <c r="E217" s="47"/>
      <c r="F217" s="47"/>
      <c r="G217" s="47"/>
      <c r="H217" s="47"/>
      <c r="I217" s="48"/>
      <c r="J217" s="48"/>
      <c r="K217" s="47"/>
      <c r="L217" s="47"/>
      <c r="M217" s="48"/>
      <c r="N217" s="48"/>
    </row>
    <row r="218" spans="1:24" ht="11.25" customHeight="1" x14ac:dyDescent="0.2">
      <c r="A218" s="45" t="str">
        <f ca="1">IF(ISERROR(F215),"",A195)</f>
        <v>Subject Code</v>
      </c>
      <c r="B218" s="45" t="str">
        <f ca="1">IF(ISERROR(F215),"",B195)</f>
        <v>Subject Name</v>
      </c>
      <c r="C218" s="45"/>
      <c r="D218" s="45"/>
      <c r="E218" s="45"/>
      <c r="F218" s="45" t="str">
        <f ca="1">IF(ISERROR(F215),"",F195)</f>
        <v>Credits</v>
      </c>
      <c r="G218" s="45" t="str">
        <f ca="1">IF(ISERROR(F215),"",G195)</f>
        <v>External Marks</v>
      </c>
      <c r="H218" s="45"/>
      <c r="I218" s="45" t="str">
        <f ca="1">IF(ISERROR(F215),"",I195)</f>
        <v>Sessional Marks</v>
      </c>
      <c r="J218" s="45"/>
      <c r="K218" s="45" t="str">
        <f ca="1">IF(ISERROR(F215),"",K195)</f>
        <v>Total Marks</v>
      </c>
      <c r="L218" s="45"/>
      <c r="M218" s="45" t="str">
        <f ca="1">IF(ISERROR(F215),"",M195)</f>
        <v>Grade</v>
      </c>
      <c r="N218" s="45" t="str">
        <f ca="1">IF(ISERROR(F215),"",N195)</f>
        <v>Grade Points</v>
      </c>
    </row>
    <row r="219" spans="1:24" ht="15" x14ac:dyDescent="0.2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W219">
        <f ca="1">IF(ISNUMBER(MATCH($F$8,{"I","III","V","VII"},0)),10,10-INDEX(INDIRECT(_xlfn.TEXTJOIN("",TRUE,"SEM_",$G$8,"!",ADDRESS(6,4+$I$8*3+4),":",ADDRESS(5+$H$8,4+$I$8*3+4))),MATCH(INDIRECT(_xlfn.TEXTJOIN("",TRUE,"TC_",$F$8,"!",ADDRESS(ROW(I216),COLUMN(I216)))),INDIRECT(_xlfn.TEXTJOIN("",TRUE,"SEM_",$G$8,"!",ADDRESS(6,2),":",ADDRESS(5+$H$8,2))))))</f>
        <v>10</v>
      </c>
    </row>
    <row r="220" spans="1:24" ht="11.25" customHeight="1" x14ac:dyDescent="0.2">
      <c r="A220" s="7" t="str">
        <f ca="1">IF(ISERROR(F215),"",VLOOKUP(C215,INDIRECT($F$8),6+(O220-1)*3,0))</f>
        <v>CAT 004</v>
      </c>
      <c r="B220" s="41" t="str">
        <f ca="1">IF(ISERROR(F215),"",VLOOKUP(D215,INDIRECT($F$8),6+(O220-1)*3,0))</f>
        <v>Discrete Structure</v>
      </c>
      <c r="C220" s="41"/>
      <c r="D220" s="41"/>
      <c r="E220" s="41"/>
      <c r="F220" s="7">
        <f ca="1">IF(ISERROR(F215),"",VLOOKUP(E215,INDIRECT($F$8),6+(O220-1)*3,0))</f>
        <v>4</v>
      </c>
      <c r="G220" s="42" t="str">
        <f ca="1">IF(ISERROR(F215),"",_xlfn.TEXTJOIN("/",FALSE,P220,S220))</f>
        <v>53/100</v>
      </c>
      <c r="H220" s="42"/>
      <c r="I220" s="42" t="str">
        <f ca="1">IF(ISERROR(F215),"",_xlfn.TEXTJOIN("/",FALSE,Q220,T220))</f>
        <v>37/50</v>
      </c>
      <c r="J220" s="42"/>
      <c r="K220" s="42" t="str">
        <f ca="1">IF(ISERROR(F215),"",_xlfn.TEXTJOIN("/",FALSE,R220,U220))</f>
        <v>90/150</v>
      </c>
      <c r="L220" s="42"/>
      <c r="M220" s="7" t="str">
        <f ca="1">IF(ISERROR(F215),"",IF(ISTEXT(P220),IF(P220="A","Ab",IF(P220="D","Dt",IF(P220="UFM","UFM",IF(P220="NA","-")))),IF(AND(ISBLANK(P220),ISBLANK(R220)),"",IF(P220&lt;0.3*S220,"F",IF(ISBLANK(R220),"",IF(ISTEXT(R220),R220,IF(R220&gt;=0.95*U220,"O",IF(R220&gt;=0.9*U220,"A+",IF(R220&gt;=0.85*U220,"A",IF(R220&gt;=0.8*U220,"B+",IF(R220&gt;=0.75*U220,"B",IF(R220&gt;=0.7*U220,"C+",IF(R220&gt;=0.65*U220,"C",IF(R220&gt;=0.6*U220,"D+",IF(R220&gt;=0.55*U220,"D",IF(R220&gt;=0.5*U220,"E+",IF(R220&gt;=0.45*U220,"E",IF(R220&gt;=0.4*U220,"P",IF(R220&lt;0.4*U220,"F",R220)))))))))))))))))))</f>
        <v>D+</v>
      </c>
      <c r="N220" s="8">
        <f ca="1">INDEX($Z$2:$Z$18,MATCH(M220,$Y$2:$Y$18,0))</f>
        <v>6.5</v>
      </c>
      <c r="O220">
        <v>1</v>
      </c>
      <c r="P220" s="1">
        <f ca="1">IF(ISERROR(F215),"",IF(ISTEXT(VLOOKUP(B215,INDIRECT($F$8),6+(O220-1)*3)),(VLOOKUP(B215,INDIRECT($F$8),6+(O220-1)*3)),SUM(VLOOKUP(B215,INDIRECT($F$8),6+(O220-1)*3),IF(W234,W220,0))))</f>
        <v>53</v>
      </c>
      <c r="Q220" s="1">
        <f ca="1">IF(ISERROR(F215),"",VLOOKUP(B215,INDIRECT($F$8),7+(O220-1)*3))</f>
        <v>37</v>
      </c>
      <c r="R220" s="1">
        <f ca="1">IF(ISERROR(F215),"",SUM(P220:Q220))</f>
        <v>90</v>
      </c>
      <c r="S220" s="1">
        <f ca="1">IF(ISERROR(F215),"",VLOOKUP(A215,INDIRECT($F$8),6+(O220-1)*3))</f>
        <v>100</v>
      </c>
      <c r="T220" s="1">
        <f ca="1">IF(ISERROR(F215),"",VLOOKUP(A215,INDIRECT($F$8),7+(O220-1)*3))</f>
        <v>50</v>
      </c>
      <c r="U220" s="1">
        <f ca="1">IF(ISERROR(F215),"",VLOOKUP(A215,INDIRECT($F$8),8+(O220-1)*3))</f>
        <v>150</v>
      </c>
      <c r="V220" s="1" t="str">
        <f ca="1">IF(ISERROR(F215),"",IF(N220=0,A220,""))</f>
        <v/>
      </c>
      <c r="W220" s="1">
        <f ca="1">IF(ISERROR(F215),"",IF(ISTEXT(VLOOKUP(B215,INDIRECT($F$8),6+(O220-1)*3)),11,IF(VLOOKUP(B215,INDIRECT($F$8),6+(O220-1)*3)&lt;S220*0.3,IF(VLOOKUP(B215,INDIRECT($F$8),8+(O220-1)*3)&lt;U220*0.4,IF(AND(0.4*U220-VLOOKUP(B215,INDIRECT($F$8),8+(O220-1)*3)&lt;=5,0.3*S220-VLOOKUP(B215,INDIRECT($F$8),6+(O220-1)*3)&lt;=5),MAX(0.4*U220-VLOOKUP(B215,INDIRECT($F$8),8+(O220-1)*3),0.3*S220-VLOOKUP(B215,INDIRECT($F$8),6+(O220-1)*3)),11),IF(0.3*S220-VLOOKUP(B215,INDIRECT($F$8),6+(O220-1)*3)&lt;=5,0.3*S220-VLOOKUP(B215,INDIRECT($F$8),6+(O220-1)*3),11)),IF(VLOOKUP(B215,INDIRECT($F$8),8+(O220-1)*3)&lt;U220*0.4,IF(U220*0.4-VLOOKUP(B215,INDIRECT($F$8),8+(O220-1)*3)&lt;=5,U220*0.4-VLOOKUP(B215,INDIRECT($F$8),8+(O220-1)*3),11),0))))</f>
        <v>0</v>
      </c>
      <c r="X220" s="1" t="str">
        <f ca="1">IF(ISERROR(F215),"",IF(W220=0,"",_xlfn.TEXTJOIN("",FALSE," G+",W220," in ",A220)))</f>
        <v/>
      </c>
    </row>
    <row r="221" spans="1:24" ht="11.25" customHeight="1" x14ac:dyDescent="0.2">
      <c r="A221" s="7" t="str">
        <f ca="1">IF(ISERROR(F215),"",VLOOKUP(C215,INDIRECT($F$8),6+(O221-1)*3,0))</f>
        <v>CAT 005</v>
      </c>
      <c r="B221" s="41" t="str">
        <f ca="1">IF(ISERROR(F215),"",VLOOKUP(D215,INDIRECT($F$8),6+(O221-1)*3,0))</f>
        <v>Database Management System</v>
      </c>
      <c r="C221" s="41"/>
      <c r="D221" s="41"/>
      <c r="E221" s="41"/>
      <c r="F221" s="7">
        <f ca="1">IF(ISERROR(F215),"",VLOOKUP(E215,INDIRECT($F$8),6+(O221-1)*3,0))</f>
        <v>4</v>
      </c>
      <c r="G221" s="42" t="str">
        <f ca="1">IF(ISERROR(F215),"",_xlfn.TEXTJOIN("/",FALSE,P221,S221))</f>
        <v>64/100</v>
      </c>
      <c r="H221" s="42"/>
      <c r="I221" s="42" t="str">
        <f ca="1">IF(ISERROR(F215),"",_xlfn.TEXTJOIN("/",FALSE,Q221,T221))</f>
        <v>38/50</v>
      </c>
      <c r="J221" s="42"/>
      <c r="K221" s="42" t="str">
        <f ca="1">IF(ISERROR(F215),"",_xlfn.TEXTJOIN("/",FALSE,R221,U221))</f>
        <v>102/150</v>
      </c>
      <c r="L221" s="42"/>
      <c r="M221" s="7" t="str">
        <f ca="1">IF(ISERROR(F215),"",IF(ISTEXT(P221),IF(P221="A","Ab",IF(P221="D","Dt",IF(P221="UFM","UFM",IF(P221="NA","-")))),IF(AND(ISBLANK(P221),ISBLANK(R221)),"",IF(P221&lt;0.3*S221,"F",IF(ISBLANK(R221),"",IF(ISTEXT(R221),R221,IF(R221&gt;=0.95*U221,"O",IF(R221&gt;=0.9*U221,"A+",IF(R221&gt;=0.85*U221,"A",IF(R221&gt;=0.8*U221,"B+",IF(R221&gt;=0.75*U221,"B",IF(R221&gt;=0.7*U221,"C+",IF(R221&gt;=0.65*U221,"C",IF(R221&gt;=0.6*U221,"D+",IF(R221&gt;=0.55*U221,"D",IF(R221&gt;=0.5*U221,"E+",IF(R221&gt;=0.45*U221,"E",IF(R221&gt;=0.4*U221,"P",IF(R221&lt;0.4*U221,"F",R221)))))))))))))))))))</f>
        <v>C</v>
      </c>
      <c r="N221" s="8">
        <f t="shared" ref="N221:N232" ca="1" si="18">INDEX($Z$2:$Z$18,MATCH(M221,$Y$2:$Y$18,0))</f>
        <v>7</v>
      </c>
      <c r="O221">
        <f>O220+1</f>
        <v>2</v>
      </c>
      <c r="P221" s="1">
        <f ca="1">IF(ISERROR(F215),"",IF(ISTEXT(VLOOKUP(B215,INDIRECT($F$8),6+(O221-1)*3)),(VLOOKUP(B215,INDIRECT($F$8),6+(O221-1)*3)),SUM(VLOOKUP(B215,INDIRECT($F$8),6+(O221-1)*3),IF(W234,W221,0))))</f>
        <v>64</v>
      </c>
      <c r="Q221" s="1">
        <f ca="1">IF(ISERROR(F215),"",VLOOKUP(B215,INDIRECT($F$8),7+(O221-1)*3))</f>
        <v>38</v>
      </c>
      <c r="R221" s="1">
        <f ca="1">IF(ISERROR(F215),"",SUM(P221:Q221))</f>
        <v>102</v>
      </c>
      <c r="S221" s="1">
        <f ca="1">IF(ISERROR(F215),"",VLOOKUP(A215,INDIRECT($F$8),6+(O221-1)*3))</f>
        <v>100</v>
      </c>
      <c r="T221" s="1">
        <f ca="1">IF(ISERROR(F215),"",VLOOKUP(A215,INDIRECT($F$8),7+(O221-1)*3))</f>
        <v>50</v>
      </c>
      <c r="U221" s="1">
        <f ca="1">IF(ISERROR(F215),"",VLOOKUP(A215,INDIRECT($F$8),8+(O221-1)*3))</f>
        <v>150</v>
      </c>
      <c r="V221" s="1" t="str">
        <f ca="1">IF(ISERROR(F215),"",IF(N221=0,A221,""))</f>
        <v/>
      </c>
      <c r="W221" s="1">
        <f ca="1">IF(ISERROR(F215),"",IF(ISTEXT(VLOOKUP(B215,INDIRECT($F$8),6+(O221-1)*3)),11,IF(VLOOKUP(B215,INDIRECT($F$8),6+(O221-1)*3)&lt;S221*0.3,IF(VLOOKUP(B215,INDIRECT($F$8),8+(O221-1)*3)&lt;U221*0.4,IF(AND(0.4*U221-VLOOKUP(B215,INDIRECT($F$8),8+(O221-1)*3)&lt;=5,0.3*S221-VLOOKUP(B215,INDIRECT($F$8),6+(O221-1)*3)&lt;=5),MAX(0.4*U221-VLOOKUP(B215,INDIRECT($F$8),8+(O221-1)*3),0.3*S221-VLOOKUP(B215,INDIRECT($F$8),6+(O221-1)*3)),11),IF(0.3*S221-VLOOKUP(B215,INDIRECT($F$8),6+(O221-1)*3)&lt;=5,0.3*S221-VLOOKUP(B215,INDIRECT($F$8),6+(O221-1)*3),11)),IF(VLOOKUP(B215,INDIRECT($F$8),8+(O221-1)*3)&lt;U221*0.4,IF(U221*0.4-VLOOKUP(B215,INDIRECT($F$8),8+(O221-1)*3)&lt;=5,U221*0.4-VLOOKUP(B215,INDIRECT($F$8),8+(O221-1)*3),11),0))))</f>
        <v>0</v>
      </c>
      <c r="X221" s="1" t="str">
        <f ca="1">IF(ISERROR(F215),"",IF(W221=0,"",_xlfn.TEXTJOIN("",FALSE," G+",W221," in ",A221)))</f>
        <v/>
      </c>
    </row>
    <row r="222" spans="1:24" ht="11.25" customHeight="1" x14ac:dyDescent="0.2">
      <c r="A222" s="7" t="str">
        <f ca="1">IF(ISERROR(F215),"",VLOOKUP(C215,INDIRECT($F$8),6+(O222-1)*3,0))</f>
        <v>CAT 006</v>
      </c>
      <c r="B222" s="41" t="str">
        <f ca="1">IF(ISERROR(F215),"",VLOOKUP(D215,INDIRECT($F$8),6+(O222-1)*3,0))</f>
        <v>Operating System</v>
      </c>
      <c r="C222" s="41"/>
      <c r="D222" s="41"/>
      <c r="E222" s="41"/>
      <c r="F222" s="7">
        <f ca="1">IF(ISERROR(F215),"",VLOOKUP(E215,INDIRECT($F$8),6+(O222-1)*3,0))</f>
        <v>4</v>
      </c>
      <c r="G222" s="42" t="str">
        <f ca="1">IF(ISERROR(F215),"",_xlfn.TEXTJOIN("/",FALSE,P222,S222))</f>
        <v>76/100</v>
      </c>
      <c r="H222" s="42"/>
      <c r="I222" s="42" t="str">
        <f ca="1">IF(ISERROR(F215),"",_xlfn.TEXTJOIN("/",FALSE,Q222,T222))</f>
        <v>42/50</v>
      </c>
      <c r="J222" s="42"/>
      <c r="K222" s="42" t="str">
        <f ca="1">IF(ISERROR(F215),"",_xlfn.TEXTJOIN("/",FALSE,R222,U222))</f>
        <v>118/150</v>
      </c>
      <c r="L222" s="42"/>
      <c r="M222" s="7" t="str">
        <f ca="1">IF(ISERROR(F215),"",IF(ISTEXT(P222),IF(P222="A","Ab",IF(P222="D","Dt",IF(P222="UFM","UFM",IF(P222="NA","-")))),IF(AND(ISBLANK(P222),ISBLANK(R222)),"",IF(P222&lt;0.3*S222,"F",IF(ISBLANK(R222),"",IF(ISTEXT(R222),R222,IF(R222&gt;=0.95*U222,"O",IF(R222&gt;=0.9*U222,"A+",IF(R222&gt;=0.85*U222,"A",IF(R222&gt;=0.8*U222,"B+",IF(R222&gt;=0.75*U222,"B",IF(R222&gt;=0.7*U222,"C+",IF(R222&gt;=0.65*U222,"C",IF(R222&gt;=0.6*U222,"D+",IF(R222&gt;=0.55*U222,"D",IF(R222&gt;=0.5*U222,"E+",IF(R222&gt;=0.45*U222,"E",IF(R222&gt;=0.4*U222,"P",IF(R222&lt;0.4*U222,"F",R222)))))))))))))))))))</f>
        <v>B</v>
      </c>
      <c r="N222" s="8">
        <f t="shared" ca="1" si="18"/>
        <v>8</v>
      </c>
      <c r="O222">
        <f>O221+1</f>
        <v>3</v>
      </c>
      <c r="P222" s="1">
        <f ca="1">IF(ISERROR(F215),"",IF(ISTEXT(VLOOKUP(B215,INDIRECT($F$8),6+(O222-1)*3)),(VLOOKUP(B215,INDIRECT($F$8),6+(O222-1)*3)),SUM(VLOOKUP(B215,INDIRECT($F$8),6+(O222-1)*3),IF(W234,W222,0))))</f>
        <v>76</v>
      </c>
      <c r="Q222" s="1">
        <f ca="1">IF(ISERROR(F215),"",VLOOKUP(B215,INDIRECT($F$8),7+(O222-1)*3))</f>
        <v>42</v>
      </c>
      <c r="R222" s="1">
        <f ca="1">IF(ISERROR(F215),"",SUM(P222:Q222))</f>
        <v>118</v>
      </c>
      <c r="S222" s="1">
        <f ca="1">IF(ISERROR(F215),"",VLOOKUP(A215,INDIRECT($F$8),6+(O222-1)*3))</f>
        <v>100</v>
      </c>
      <c r="T222" s="1">
        <f ca="1">IF(ISERROR(F215),"",VLOOKUP(A215,INDIRECT($F$8),7+(O222-1)*3))</f>
        <v>50</v>
      </c>
      <c r="U222" s="1">
        <f ca="1">IF(ISERROR(F215),"",VLOOKUP(A215,INDIRECT($F$8),8+(O222-1)*3))</f>
        <v>150</v>
      </c>
      <c r="V222" s="1" t="str">
        <f ca="1">IF(ISERROR(F215),"",IF(N222=0,A222,""))</f>
        <v/>
      </c>
      <c r="W222" s="1">
        <f ca="1">IF(ISERROR(F215),"",IF(ISTEXT(VLOOKUP(B215,INDIRECT($F$8),6+(O222-1)*3)),11,IF(VLOOKUP(B215,INDIRECT($F$8),6+(O222-1)*3)&lt;S222*0.3,IF(VLOOKUP(B215,INDIRECT($F$8),8+(O222-1)*3)&lt;U222*0.4,IF(AND(0.4*U222-VLOOKUP(B215,INDIRECT($F$8),8+(O222-1)*3)&lt;=5,0.3*S222-VLOOKUP(B215,INDIRECT($F$8),6+(O222-1)*3)&lt;=5),MAX(0.4*U222-VLOOKUP(B215,INDIRECT($F$8),8+(O222-1)*3),0.3*S222-VLOOKUP(B215,INDIRECT($F$8),6+(O222-1)*3)),11),IF(0.3*S222-VLOOKUP(B215,INDIRECT($F$8),6+(O222-1)*3)&lt;=5,0.3*S222-VLOOKUP(B215,INDIRECT($F$8),6+(O222-1)*3),11)),IF(VLOOKUP(B215,INDIRECT($F$8),8+(O222-1)*3)&lt;U222*0.4,IF(U222*0.4-VLOOKUP(B215,INDIRECT($F$8),8+(O222-1)*3)&lt;=5,U222*0.4-VLOOKUP(B215,INDIRECT($F$8),8+(O222-1)*3),11),0))))</f>
        <v>0</v>
      </c>
      <c r="X222" s="1" t="str">
        <f ca="1">IF(ISERROR(F215),"",IF(W222=0,"",_xlfn.TEXTJOIN("",FALSE," G+",W222," in ",A222)))</f>
        <v/>
      </c>
    </row>
    <row r="223" spans="1:24" ht="11.25" customHeight="1" x14ac:dyDescent="0.2">
      <c r="A223" s="7" t="str">
        <f ca="1">IF(ISERROR(F215),"",VLOOKUP(C215,INDIRECT($F$8),6+(O223-1)*3,0))</f>
        <v>CAT 007</v>
      </c>
      <c r="B223" s="41" t="str">
        <f ca="1">IF(ISERROR(F215),"",VLOOKUP(D215,INDIRECT($F$8),6+(O223-1)*3,0))</f>
        <v>Computer Organization</v>
      </c>
      <c r="C223" s="41"/>
      <c r="D223" s="41"/>
      <c r="E223" s="41"/>
      <c r="F223" s="7">
        <f ca="1">IF(ISERROR(F215),"",VLOOKUP(E215,INDIRECT($F$8),6+(O223-1)*3,0))</f>
        <v>4</v>
      </c>
      <c r="G223" s="42" t="str">
        <f ca="1">IF(ISERROR(F215),"",_xlfn.TEXTJOIN("/",FALSE,P223,S223))</f>
        <v>52/100</v>
      </c>
      <c r="H223" s="42"/>
      <c r="I223" s="42" t="str">
        <f ca="1">IF(ISERROR(F215),"",_xlfn.TEXTJOIN("/",FALSE,Q223,T223))</f>
        <v>44/50</v>
      </c>
      <c r="J223" s="42"/>
      <c r="K223" s="42" t="str">
        <f ca="1">IF(ISERROR(F215),"",_xlfn.TEXTJOIN("/",FALSE,R223,U223))</f>
        <v>96/150</v>
      </c>
      <c r="L223" s="42"/>
      <c r="M223" s="7" t="str">
        <f ca="1">IF(ISERROR(F215),"",IF(ISTEXT(P223),IF(P223="A","Ab",IF(P223="D","Dt",IF(P223="UFM","UFM",IF(P223="NA","-")))),IF(AND(ISBLANK(P223),ISBLANK(R223)),"",IF(P223&lt;0.3*S223,"F",IF(ISBLANK(R223),"",IF(ISTEXT(R223),R223,IF(R223&gt;=0.95*U223,"O",IF(R223&gt;=0.9*U223,"A+",IF(R223&gt;=0.85*U223,"A",IF(R223&gt;=0.8*U223,"B+",IF(R223&gt;=0.75*U223,"B",IF(R223&gt;=0.7*U223,"C+",IF(R223&gt;=0.65*U223,"C",IF(R223&gt;=0.6*U223,"D+",IF(R223&gt;=0.55*U223,"D",IF(R223&gt;=0.5*U223,"E+",IF(R223&gt;=0.45*U223,"E",IF(R223&gt;=0.4*U223,"P",IF(R223&lt;0.4*U223,"F",R223)))))))))))))))))))</f>
        <v>D+</v>
      </c>
      <c r="N223" s="8">
        <f t="shared" ca="1" si="18"/>
        <v>6.5</v>
      </c>
      <c r="O223">
        <f>O222+1</f>
        <v>4</v>
      </c>
      <c r="P223" s="1">
        <f ca="1">IF(ISERROR(F215),"",IF(ISTEXT(VLOOKUP(B215,INDIRECT($F$8),6+(O223-1)*3)),(VLOOKUP(B215,INDIRECT($F$8),6+(O223-1)*3)),SUM(VLOOKUP(B215,INDIRECT($F$8),6+(O223-1)*3),IF(W234,W223,0))))</f>
        <v>52</v>
      </c>
      <c r="Q223" s="1">
        <f ca="1">IF(ISERROR(F215),"",VLOOKUP(B215,INDIRECT($F$8),7+(O223-1)*3))</f>
        <v>44</v>
      </c>
      <c r="R223" s="1">
        <f ca="1">IF(ISERROR(F215),"",SUM(P223:Q223))</f>
        <v>96</v>
      </c>
      <c r="S223" s="1">
        <f ca="1">IF(ISERROR(F215),"",VLOOKUP(A215,INDIRECT($F$8),6+(O223-1)*3))</f>
        <v>100</v>
      </c>
      <c r="T223" s="1">
        <f ca="1">IF(ISERROR(F215),"",VLOOKUP(A215,INDIRECT($F$8),7+(O223-1)*3))</f>
        <v>50</v>
      </c>
      <c r="U223" s="1">
        <f ca="1">IF(ISERROR(F215),"",VLOOKUP(A215,INDIRECT($F$8),8+(O223-1)*3))</f>
        <v>150</v>
      </c>
      <c r="V223" s="1" t="str">
        <f ca="1">IF(ISERROR(F215),"",IF(N223=0,A223,""))</f>
        <v/>
      </c>
      <c r="W223" s="1">
        <f ca="1">IF(ISERROR(F215),"",IF(ISTEXT(VLOOKUP(B215,INDIRECT($F$8),6+(O223-1)*3)),11,IF(VLOOKUP(B215,INDIRECT($F$8),6+(O223-1)*3)&lt;S223*0.3,IF(VLOOKUP(B215,INDIRECT($F$8),8+(O223-1)*3)&lt;U223*0.4,IF(AND(0.4*U223-VLOOKUP(B215,INDIRECT($F$8),8+(O223-1)*3)&lt;=5,0.3*S223-VLOOKUP(B215,INDIRECT($F$8),6+(O223-1)*3)&lt;=5),MAX(0.4*U223-VLOOKUP(B215,INDIRECT($F$8),8+(O223-1)*3),0.3*S223-VLOOKUP(B215,INDIRECT($F$8),6+(O223-1)*3)),11),IF(0.3*S223-VLOOKUP(B215,INDIRECT($F$8),6+(O223-1)*3)&lt;=5,0.3*S223-VLOOKUP(B215,INDIRECT($F$8),6+(O223-1)*3),11)),IF(VLOOKUP(B215,INDIRECT($F$8),8+(O223-1)*3)&lt;U223*0.4,IF(U223*0.4-VLOOKUP(B215,INDIRECT($F$8),8+(O223-1)*3)&lt;=5,U223*0.4-VLOOKUP(B215,INDIRECT($F$8),8+(O223-1)*3),11),0))))</f>
        <v>0</v>
      </c>
      <c r="X223" s="1" t="str">
        <f ca="1">IF(ISERROR(F215),"",IF(W223=0,"",_xlfn.TEXTJOIN("",FALSE," G+",W223," in ",A223)))</f>
        <v/>
      </c>
    </row>
    <row r="224" spans="1:24" ht="11.25" customHeight="1" x14ac:dyDescent="0.2">
      <c r="A224" s="7" t="str">
        <f ca="1">IF(ISERROR(F215),"",VLOOKUP(C215,INDIRECT($F$8),6+(O224-1)*3,0))</f>
        <v>AHT 303</v>
      </c>
      <c r="B224" s="41" t="str">
        <f ca="1">IF(ISERROR(F215),"",VLOOKUP(D215,INDIRECT($F$8),6+(O224-1)*3,0))</f>
        <v>Technical Communication Skills</v>
      </c>
      <c r="C224" s="41"/>
      <c r="D224" s="41"/>
      <c r="E224" s="41"/>
      <c r="F224" s="7">
        <f ca="1">IF(ISERROR(F215),"",VLOOKUP(E215,INDIRECT($F$8),6+(O224-1)*3,0))</f>
        <v>4</v>
      </c>
      <c r="G224" s="42" t="str">
        <f ca="1">IF(ISERROR(F215),"",_xlfn.TEXTJOIN("/",FALSE,P224,S224))</f>
        <v>84/100</v>
      </c>
      <c r="H224" s="42"/>
      <c r="I224" s="42" t="str">
        <f ca="1">IF(ISERROR(F215),"",_xlfn.TEXTJOIN("/",FALSE,Q224,T224))</f>
        <v>37/50</v>
      </c>
      <c r="J224" s="42"/>
      <c r="K224" s="42" t="str">
        <f ca="1">IF(ISERROR(F215),"",_xlfn.TEXTJOIN("/",FALSE,R224,U224))</f>
        <v>121/150</v>
      </c>
      <c r="L224" s="42"/>
      <c r="M224" s="7" t="str">
        <f ca="1">IF(ISERROR(F215),"",IF(ISTEXT(P224),IF(P224="A","Ab",IF(P224="D","Dt",IF(P224="UFM","UFM",IF(P224="NA","-")))),IF(AND(ISBLANK(P224),ISBLANK(R224)),"",IF(P224&lt;0.3*S224,"F",IF(ISBLANK(R224),"",IF(ISTEXT(R224),R224,IF(R224&gt;=0.95*U224,"O",IF(R224&gt;=0.9*U224,"A+",IF(R224&gt;=0.85*U224,"A",IF(R224&gt;=0.8*U224,"B+",IF(R224&gt;=0.75*U224,"B",IF(R224&gt;=0.7*U224,"C+",IF(R224&gt;=0.65*U224,"C",IF(R224&gt;=0.6*U224,"D+",IF(R224&gt;=0.55*U224,"D",IF(R224&gt;=0.5*U224,"E+",IF(R224&gt;=0.45*U224,"E",IF(R224&gt;=0.4*U224,"P",IF(R224&lt;0.4*U224,"F",R224)))))))))))))))))))</f>
        <v>B+</v>
      </c>
      <c r="N224" s="8">
        <f t="shared" ca="1" si="18"/>
        <v>8.5</v>
      </c>
      <c r="O224">
        <f t="shared" ref="O224:O233" si="19">O223+1</f>
        <v>5</v>
      </c>
      <c r="P224" s="1">
        <f ca="1">IF(ISERROR(F215),"",IF(ISTEXT(VLOOKUP(B215,INDIRECT($F$8),6+(O224-1)*3)),(VLOOKUP(B215,INDIRECT($F$8),6+(O224-1)*3)),SUM(VLOOKUP(B215,INDIRECT($F$8),6+(O224-1)*3),IF(W234,W224,0))))</f>
        <v>84</v>
      </c>
      <c r="Q224" s="1">
        <f ca="1">IF(ISERROR(F215),"",VLOOKUP(B215,INDIRECT($F$8),7+(O224-1)*3))</f>
        <v>37</v>
      </c>
      <c r="R224" s="1">
        <f ca="1">IF(ISERROR(F215),"",SUM(P224:Q224))</f>
        <v>121</v>
      </c>
      <c r="S224" s="1">
        <f ca="1">IF(ISERROR(F215),"",VLOOKUP(A215,INDIRECT($F$8),6+(O224-1)*3))</f>
        <v>100</v>
      </c>
      <c r="T224" s="1">
        <f ca="1">IF(ISERROR(F215),"",VLOOKUP(A215,INDIRECT($F$8),7+(O224-1)*3))</f>
        <v>50</v>
      </c>
      <c r="U224" s="1">
        <f ca="1">IF(ISERROR(F215),"",VLOOKUP(A215,INDIRECT($F$8),8+(O224-1)*3))</f>
        <v>150</v>
      </c>
      <c r="V224" s="1" t="str">
        <f ca="1">IF(ISERROR(F215),"",IF(N224=0,A224,""))</f>
        <v/>
      </c>
      <c r="W224" s="1">
        <f ca="1">IF(ISERROR(F215),"",IF(ISTEXT(VLOOKUP(B215,INDIRECT($F$8),6+(O224-1)*3)),11,IF(VLOOKUP(B215,INDIRECT($F$8),6+(O224-1)*3)&lt;S224*0.3,IF(VLOOKUP(B215,INDIRECT($F$8),8+(O224-1)*3)&lt;U224*0.4,IF(AND(0.4*U224-VLOOKUP(B215,INDIRECT($F$8),8+(O224-1)*3)&lt;=5,0.3*S224-VLOOKUP(B215,INDIRECT($F$8),6+(O224-1)*3)&lt;=5),MAX(0.4*U224-VLOOKUP(B215,INDIRECT($F$8),8+(O224-1)*3),0.3*S224-VLOOKUP(B215,INDIRECT($F$8),6+(O224-1)*3)),11),IF(0.3*S224-VLOOKUP(B215,INDIRECT($F$8),6+(O224-1)*3)&lt;=5,0.3*S224-VLOOKUP(B215,INDIRECT($F$8),6+(O224-1)*3),11)),IF(VLOOKUP(B215,INDIRECT($F$8),8+(O224-1)*3)&lt;U224*0.4,IF(U224*0.4-VLOOKUP(B215,INDIRECT($F$8),8+(O224-1)*3)&lt;=5,U224*0.4-VLOOKUP(B215,INDIRECT($F$8),8+(O224-1)*3),11),0))))</f>
        <v>0</v>
      </c>
      <c r="X224" s="1" t="str">
        <f ca="1">IF(ISERROR(F215),"",IF(W224=0,"",_xlfn.TEXTJOIN("",FALSE," G+",W224," in ",A224)))</f>
        <v/>
      </c>
    </row>
    <row r="225" spans="1:24" ht="11.25" customHeight="1" x14ac:dyDescent="0.2">
      <c r="A225" s="7" t="str">
        <f ca="1">IF(ISERROR(F215),"",VLOOKUP(C215,INDIRECT($F$8),6+(O225-1)*3,0))</f>
        <v>CAT 008</v>
      </c>
      <c r="B225" s="41" t="str">
        <f ca="1">IF(ISERROR(F215),"",VLOOKUP(D215,INDIRECT($F$8),6+(O225-1)*3,0))</f>
        <v>Python Programming ($)</v>
      </c>
      <c r="C225" s="41"/>
      <c r="D225" s="41"/>
      <c r="E225" s="41"/>
      <c r="F225" s="7">
        <f ca="1">IF(ISERROR(F215),"",VLOOKUP(E215,INDIRECT($F$8),6+(O225-1)*3,0))</f>
        <v>0</v>
      </c>
      <c r="G225" s="42" t="str">
        <f ca="1">IF(ISERROR(F215),"",_xlfn.TEXTJOIN("/",FALSE,P225,S225))</f>
        <v>13/30</v>
      </c>
      <c r="H225" s="42"/>
      <c r="I225" s="42" t="str">
        <f ca="1">IF(ISERROR(F215),"",_xlfn.TEXTJOIN("/",FALSE,Q225,T225))</f>
        <v>14/20</v>
      </c>
      <c r="J225" s="42"/>
      <c r="K225" s="42" t="str">
        <f ca="1">IF(ISERROR(F215),"",_xlfn.TEXTJOIN("/",FALSE,R225,U225))</f>
        <v>27/50</v>
      </c>
      <c r="L225" s="42"/>
      <c r="M225" s="7" t="str">
        <f ca="1">IF(ISERROR(F215),"",IF(ISTEXT(P225),IF(P225="A","Ab",IF(P225="D","Dt",IF(P225="UFM","UFM",IF(P225="NA","-")))),IF(AND(ISBLANK(P225),ISBLANK(R225)),"",IF(P225&lt;0.3*S225,"F",IF(ISBLANK(R225),"",IF(ISTEXT(R225),R225,IF(R225&gt;=0.95*U225,"O",IF(R225&gt;=0.9*U225,"A+",IF(R225&gt;=0.85*U225,"A",IF(R225&gt;=0.8*U225,"B+",IF(R225&gt;=0.75*U225,"B",IF(R225&gt;=0.7*U225,"C+",IF(R225&gt;=0.65*U225,"C",IF(R225&gt;=0.6*U225,"D+",IF(R225&gt;=0.55*U225,"D",IF(R225&gt;=0.5*U225,"E+",IF(R225&gt;=0.45*U225,"E",IF(R225&gt;=0.4*U225,"P",IF(R225&lt;0.4*U225,"F",R225)))))))))))))))))))</f>
        <v>E+</v>
      </c>
      <c r="N225" s="8">
        <f t="shared" ca="1" si="18"/>
        <v>5.5</v>
      </c>
      <c r="O225">
        <f t="shared" si="19"/>
        <v>6</v>
      </c>
      <c r="P225" s="1">
        <f ca="1">IF(ISERROR(F215),"",IF(ISTEXT(VLOOKUP(B215,INDIRECT($F$8),6+(O225-1)*3)),(VLOOKUP(B215,INDIRECT($F$8),6+(O225-1)*3)),SUM(VLOOKUP(B215,INDIRECT($F$8),6+(O225-1)*3),IF(W234,W225,0))))</f>
        <v>13</v>
      </c>
      <c r="Q225" s="1">
        <f ca="1">IF(ISERROR(F215),"",VLOOKUP(B215,INDIRECT($F$8),7+(O225-1)*3))</f>
        <v>14</v>
      </c>
      <c r="R225" s="1">
        <f ca="1">IF(ISERROR(F215),"",SUM(P225:Q225))</f>
        <v>27</v>
      </c>
      <c r="S225" s="1">
        <f ca="1">IF(ISERROR(F215),"",VLOOKUP(A215,INDIRECT($F$8),6+(O225-1)*3))</f>
        <v>30</v>
      </c>
      <c r="T225" s="1">
        <f ca="1">IF(ISERROR(F215),"",VLOOKUP(A215,INDIRECT($F$8),7+(O225-1)*3))</f>
        <v>20</v>
      </c>
      <c r="U225" s="1">
        <f ca="1">IF(ISERROR(F215),"",VLOOKUP(A215,INDIRECT($F$8),8+(O225-1)*3))</f>
        <v>50</v>
      </c>
      <c r="V225" s="1" t="str">
        <f ca="1">IF(ISERROR(F215),"",IF(N225=0,A225,""))</f>
        <v/>
      </c>
      <c r="W225" s="1">
        <f ca="1">IF(ISERROR(F215),"",IF(ISTEXT(VLOOKUP(B215,INDIRECT($F$8),6+(O225-1)*3)),11,IF(VLOOKUP(B215,INDIRECT($F$8),6+(O225-1)*3)&lt;S225*0.3,IF(VLOOKUP(B215,INDIRECT($F$8),8+(O225-1)*3)&lt;U225*0.4,IF(AND(0.4*U225-VLOOKUP(B215,INDIRECT($F$8),8+(O225-1)*3)&lt;=5,0.3*S225-VLOOKUP(B215,INDIRECT($F$8),6+(O225-1)*3)&lt;=5),MAX(0.4*U225-VLOOKUP(B215,INDIRECT($F$8),8+(O225-1)*3),0.3*S225-VLOOKUP(B215,INDIRECT($F$8),6+(O225-1)*3)),11),IF(0.3*S225-VLOOKUP(B215,INDIRECT($F$8),6+(O225-1)*3)&lt;=5,0.3*S225-VLOOKUP(B215,INDIRECT($F$8),6+(O225-1)*3),11)),IF(VLOOKUP(B215,INDIRECT($F$8),8+(O225-1)*3)&lt;U225*0.4,IF(U225*0.4-VLOOKUP(B215,INDIRECT($F$8),8+(O225-1)*3)&lt;=5,U225*0.4-VLOOKUP(B215,INDIRECT($F$8),8+(O225-1)*3),11),0))))</f>
        <v>0</v>
      </c>
      <c r="X225" s="1" t="str">
        <f ca="1">IF(ISERROR(F215),"",IF(W225=0,"",_xlfn.TEXTJOIN("",FALSE," G+",W225," in ",A225)))</f>
        <v/>
      </c>
    </row>
    <row r="226" spans="1:24" ht="11.25" customHeight="1" x14ac:dyDescent="0.2">
      <c r="A226" s="7" t="str">
        <f ca="1">IF(ISERROR(F215),"",VLOOKUP(C215,INDIRECT($F$8),6+(O226-1)*3,0))</f>
        <v>CAT 001</v>
      </c>
      <c r="B226" s="41" t="str">
        <f ca="1">IF(ISERROR(F215),"",VLOOKUP(D215,INDIRECT($F$8),6+(O226-1)*3,0))</f>
        <v>Introduction of Information Technology ($)</v>
      </c>
      <c r="C226" s="41"/>
      <c r="D226" s="41"/>
      <c r="E226" s="41"/>
      <c r="F226" s="7">
        <f ca="1">IF(ISERROR(F215),"",VLOOKUP(E215,INDIRECT($F$8),6+(O226-1)*3,0))</f>
        <v>0</v>
      </c>
      <c r="G226" s="42" t="str">
        <f ca="1">IF(ISERROR(F215),"",_xlfn.TEXTJOIN("/",FALSE,P226,S226))</f>
        <v>NA/30</v>
      </c>
      <c r="H226" s="42"/>
      <c r="I226" s="42" t="str">
        <f ca="1">IF(ISERROR(F215),"",_xlfn.TEXTJOIN("/",FALSE,Q226,T226))</f>
        <v>NA/20</v>
      </c>
      <c r="J226" s="42"/>
      <c r="K226" s="42" t="str">
        <f ca="1">IF(ISERROR(F215),"",_xlfn.TEXTJOIN("/",FALSE,R226,U226))</f>
        <v>0/50</v>
      </c>
      <c r="L226" s="42"/>
      <c r="M226" s="7" t="str">
        <f ca="1">IF(ISERROR(F215),"",IF(ISTEXT(P226),IF(P226="A","Ab",IF(P226="D","Dt",IF(P226="UFM","UFM",IF(P226="NA","-")))),IF(AND(ISBLANK(P226),ISBLANK(R226)),"",IF(P226&lt;0.3*S226,"F",IF(ISBLANK(R226),"",IF(ISTEXT(R226),R226,IF(R226&gt;=0.95*U226,"O",IF(R226&gt;=0.9*U226,"A+",IF(R226&gt;=0.85*U226,"A",IF(R226&gt;=0.8*U226,"B+",IF(R226&gt;=0.75*U226,"B",IF(R226&gt;=0.7*U226,"C+",IF(R226&gt;=0.65*U226,"C",IF(R226&gt;=0.6*U226,"D+",IF(R226&gt;=0.55*U226,"D",IF(R226&gt;=0.5*U226,"E+",IF(R226&gt;=0.45*U226,"E",IF(R226&gt;=0.4*U226,"P",IF(R226&lt;0.4*U226,"F",R226)))))))))))))))))))</f>
        <v>-</v>
      </c>
      <c r="N226" s="8" t="str">
        <f t="shared" ca="1" si="18"/>
        <v>-</v>
      </c>
      <c r="O226">
        <f t="shared" si="19"/>
        <v>7</v>
      </c>
      <c r="P226" s="1" t="str">
        <f ca="1">IF(ISERROR(F215),"",IF(ISTEXT(VLOOKUP(B215,INDIRECT($F$8),6+(O226-1)*3)),(VLOOKUP(B215,INDIRECT($F$8),6+(O226-1)*3)),SUM(VLOOKUP(B215,INDIRECT($F$8),6+(O226-1)*3),IF(W234,W226,0))))</f>
        <v>NA</v>
      </c>
      <c r="Q226" s="1" t="str">
        <f ca="1">IF(ISERROR(F215),"",VLOOKUP(B215,INDIRECT($F$8),7+(O226-1)*3))</f>
        <v>NA</v>
      </c>
      <c r="R226" s="1">
        <f ca="1">IF(ISERROR(F215),"",SUM(P226:Q226))</f>
        <v>0</v>
      </c>
      <c r="S226" s="1">
        <f ca="1">IF(ISERROR(F215),"",VLOOKUP(A215,INDIRECT($F$8),6+(O226-1)*3))</f>
        <v>30</v>
      </c>
      <c r="T226" s="1">
        <f ca="1">IF(ISERROR(F215),"",VLOOKUP(A215,INDIRECT($F$8),7+(O226-1)*3))</f>
        <v>20</v>
      </c>
      <c r="U226" s="1">
        <f ca="1">IF(ISERROR(F215),"",VLOOKUP(A215,INDIRECT($F$8),8+(O226-1)*3))</f>
        <v>50</v>
      </c>
      <c r="V226" s="1" t="str">
        <f ca="1">IF(ISERROR(F215),"",IF(N226=0,A226,""))</f>
        <v/>
      </c>
      <c r="W226" s="1">
        <f ca="1">IF(ISERROR(F215),"",IF(ISTEXT(VLOOKUP(B215,INDIRECT($F$8),6+(O226-1)*3)),11,IF(VLOOKUP(B215,INDIRECT($F$8),6+(O226-1)*3)&lt;S226*0.3,IF(VLOOKUP(B215,INDIRECT($F$8),8+(O226-1)*3)&lt;U226*0.4,IF(AND(0.4*U226-VLOOKUP(B215,INDIRECT($F$8),8+(O226-1)*3)&lt;=5,0.3*S226-VLOOKUP(B215,INDIRECT($F$8),6+(O226-1)*3)&lt;=5),MAX(0.4*U226-VLOOKUP(B215,INDIRECT($F$8),8+(O226-1)*3),0.3*S226-VLOOKUP(B215,INDIRECT($F$8),6+(O226-1)*3)),11),IF(0.3*S226-VLOOKUP(B215,INDIRECT($F$8),6+(O226-1)*3)&lt;=5,0.3*S226-VLOOKUP(B215,INDIRECT($F$8),6+(O226-1)*3),11)),IF(VLOOKUP(B215,INDIRECT($F$8),8+(O226-1)*3)&lt;U226*0.4,IF(U226*0.4-VLOOKUP(B215,INDIRECT($F$8),8+(O226-1)*3)&lt;=5,U226*0.4-VLOOKUP(B215,INDIRECT($F$8),8+(O226-1)*3),11),0))))</f>
        <v>11</v>
      </c>
      <c r="X226" s="1" t="str">
        <f ca="1">IF(ISERROR(F215),"",IF(W226=0,"",_xlfn.TEXTJOIN("",FALSE," G+",W226," in ",A226)))</f>
        <v xml:space="preserve"> G+11 in CAT 001</v>
      </c>
    </row>
    <row r="227" spans="1:24" ht="11.25" customHeight="1" x14ac:dyDescent="0.2">
      <c r="A227" s="7" t="str">
        <f ca="1">IF(ISERROR(F215),"",VLOOKUP(C215,INDIRECT($F$8),6+(O227-1)*3,0))</f>
        <v>CAT 002</v>
      </c>
      <c r="B227" s="41" t="str">
        <f ca="1">IF(ISERROR(F215),"",VLOOKUP(D215,INDIRECT($F$8),6+(O227-1)*3,0))</f>
        <v>Programming Fundamentals with "C" ($)</v>
      </c>
      <c r="C227" s="41"/>
      <c r="D227" s="41"/>
      <c r="E227" s="41"/>
      <c r="F227" s="7">
        <f ca="1">IF(ISERROR(F215),"",VLOOKUP(E215,INDIRECT($F$8),6+(O227-1)*3,0))</f>
        <v>0</v>
      </c>
      <c r="G227" s="42" t="str">
        <f ca="1">IF(ISERROR(F215),"",_xlfn.TEXTJOIN("/",FALSE,P227,S227))</f>
        <v>NA/30</v>
      </c>
      <c r="H227" s="42"/>
      <c r="I227" s="42" t="str">
        <f ca="1">IF(ISERROR(F215),"",_xlfn.TEXTJOIN("/",FALSE,Q227,T227))</f>
        <v>NA/20</v>
      </c>
      <c r="J227" s="42"/>
      <c r="K227" s="42" t="str">
        <f ca="1">IF(ISERROR(F215),"",_xlfn.TEXTJOIN("/",FALSE,R227,U227))</f>
        <v>0/50</v>
      </c>
      <c r="L227" s="42"/>
      <c r="M227" s="7" t="str">
        <f ca="1">IF(ISERROR(F215),"",IF(ISTEXT(P227),IF(P227="A","Ab",IF(P227="D","Dt",IF(P227="UFM","UFM",IF(P227="NA","-")))),IF(AND(ISBLANK(P227),ISBLANK(R227)),"",IF(P227&lt;0.3*S227,"F",IF(ISBLANK(R227),"",IF(ISTEXT(R227),R227,IF(R227&gt;=0.95*U227,"O",IF(R227&gt;=0.9*U227,"A+",IF(R227&gt;=0.85*U227,"A",IF(R227&gt;=0.8*U227,"B+",IF(R227&gt;=0.75*U227,"B",IF(R227&gt;=0.7*U227,"C+",IF(R227&gt;=0.65*U227,"C",IF(R227&gt;=0.6*U227,"D+",IF(R227&gt;=0.55*U227,"D",IF(R227&gt;=0.5*U227,"E+",IF(R227&gt;=0.45*U227,"E",IF(R227&gt;=0.4*U227,"P",IF(R227&lt;0.4*U227,"F",R227)))))))))))))))))))</f>
        <v>-</v>
      </c>
      <c r="N227" s="8" t="str">
        <f t="shared" ca="1" si="18"/>
        <v>-</v>
      </c>
      <c r="O227">
        <f t="shared" si="19"/>
        <v>8</v>
      </c>
      <c r="P227" s="1" t="str">
        <f ca="1">IF(ISERROR(F215),"",IF(ISTEXT(VLOOKUP(B215,INDIRECT($F$8),6+(O227-1)*3)),(VLOOKUP(B215,INDIRECT($F$8),6+(O227-1)*3)),SUM(VLOOKUP(B215,INDIRECT($F$8),6+(O227-1)*3),IF(W234,W227,0))))</f>
        <v>NA</v>
      </c>
      <c r="Q227" s="1" t="str">
        <f ca="1">IF(ISERROR(F215),"",VLOOKUP(B215,INDIRECT($F$8),7+(O227-1)*3))</f>
        <v>NA</v>
      </c>
      <c r="R227" s="1">
        <f ca="1">IF(ISERROR(F215),"",SUM(P227:Q227))</f>
        <v>0</v>
      </c>
      <c r="S227" s="1">
        <f ca="1">IF(ISERROR(F215),"",VLOOKUP(A215,INDIRECT($F$8),6+(O227-1)*3))</f>
        <v>30</v>
      </c>
      <c r="T227" s="1">
        <f ca="1">IF(ISERROR(F215),"",VLOOKUP(A215,INDIRECT($F$8),7+(O227-1)*3))</f>
        <v>20</v>
      </c>
      <c r="U227" s="1">
        <f ca="1">IF(ISERROR(F215),"",VLOOKUP(A215,INDIRECT($F$8),8+(O227-1)*3))</f>
        <v>50</v>
      </c>
      <c r="V227" s="1" t="str">
        <f ca="1">IF(ISERROR(F215),"",IF(N227=0,A227,""))</f>
        <v/>
      </c>
      <c r="W227" s="1">
        <f ca="1">IF(ISERROR(F215),"",IF(ISTEXT(VLOOKUP(B215,INDIRECT($F$8),6+(O227-1)*3)),11,IF(VLOOKUP(B215,INDIRECT($F$8),6+(O227-1)*3)&lt;S227*0.3,IF(VLOOKUP(B215,INDIRECT($F$8),8+(O227-1)*3)&lt;U227*0.4,IF(AND(0.4*U227-VLOOKUP(B215,INDIRECT($F$8),8+(O227-1)*3)&lt;=5,0.3*S227-VLOOKUP(B215,INDIRECT($F$8),6+(O227-1)*3)&lt;=5),MAX(0.4*U227-VLOOKUP(B215,INDIRECT($F$8),8+(O227-1)*3),0.3*S227-VLOOKUP(B215,INDIRECT($F$8),6+(O227-1)*3)),11),IF(0.3*S227-VLOOKUP(B215,INDIRECT($F$8),6+(O227-1)*3)&lt;=5,0.3*S227-VLOOKUP(B215,INDIRECT($F$8),6+(O227-1)*3),11)),IF(VLOOKUP(B215,INDIRECT($F$8),8+(O227-1)*3)&lt;U227*0.4,IF(U227*0.4-VLOOKUP(B215,INDIRECT($F$8),8+(O227-1)*3)&lt;=5,U227*0.4-VLOOKUP(B215,INDIRECT($F$8),8+(O227-1)*3),11),0))))</f>
        <v>11</v>
      </c>
      <c r="X227" s="1" t="str">
        <f ca="1">IF(ISERROR(F215),"",IF(W227=0,"",_xlfn.TEXTJOIN("",FALSE," G+",W227," in ",A227)))</f>
        <v xml:space="preserve"> G+11 in CAT 002</v>
      </c>
    </row>
    <row r="228" spans="1:24" ht="11.25" customHeight="1" x14ac:dyDescent="0.2">
      <c r="A228" s="7" t="str">
        <f ca="1">IF(ISERROR(F215),"",VLOOKUP(C215,INDIRECT($F$8),6+(O228-1)*3,0))</f>
        <v>CAT 003</v>
      </c>
      <c r="B228" s="41" t="str">
        <f ca="1">IF(ISERROR(F215),"",VLOOKUP(D215,INDIRECT($F$8),6+(O228-1)*3-Z228,0))</f>
        <v>Fundamental of Web Technology ($)</v>
      </c>
      <c r="C228" s="41"/>
      <c r="D228" s="41"/>
      <c r="E228" s="41"/>
      <c r="F228" s="7">
        <f ca="1">IF(ISERROR(F215),"",VLOOKUP(E215,INDIRECT($F$8),6+(O228-1)*3,0))</f>
        <v>0</v>
      </c>
      <c r="G228" s="42" t="str">
        <f ca="1">IF(ISERROR(F215),"",_xlfn.TEXTJOIN("/",FALSE,P228,S228))</f>
        <v>NA/30</v>
      </c>
      <c r="H228" s="42"/>
      <c r="I228" s="42" t="str">
        <f ca="1">IF(ISERROR(F215),"",_xlfn.TEXTJOIN("/",FALSE,Q228,T228))</f>
        <v>NA/20</v>
      </c>
      <c r="J228" s="42"/>
      <c r="K228" s="42" t="str">
        <f ca="1">IF(ISERROR(F215),"",_xlfn.TEXTJOIN("/",FALSE,R228,U228))</f>
        <v>0/50</v>
      </c>
      <c r="L228" s="42"/>
      <c r="M228" s="7" t="str">
        <f ca="1">IF(ISERROR(F215),"",IF(ISTEXT(P228),IF(P228="A","Ab",IF(P228="D","Dt",IF(P228="UFM","UFM",IF(P228="NA","-")))),IF(AND(ISBLANK(P228),ISBLANK(R228)),"",IF(P228&lt;0.3*S228,"F",IF(ISBLANK(R228),"",IF(ISTEXT(R228),R228,IF(R228&gt;=0.95*U228,"O",IF(R228&gt;=0.9*U228,"A+",IF(R228&gt;=0.85*U228,"A",IF(R228&gt;=0.8*U228,"B+",IF(R228&gt;=0.75*U228,"B",IF(R228&gt;=0.7*U228,"C+",IF(R228&gt;=0.65*U228,"C",IF(R228&gt;=0.6*U228,"D+",IF(R228&gt;=0.55*U228,"D",IF(R228&gt;=0.5*U228,"E+",IF(R228&gt;=0.45*U228,"E",IF(R228&gt;=0.4*U228,"P",IF(R228&lt;0.4*U228,"F",R228)))))))))))))))))))</f>
        <v>-</v>
      </c>
      <c r="N228" s="8" t="str">
        <f t="shared" ca="1" si="18"/>
        <v>-</v>
      </c>
      <c r="O228">
        <f t="shared" si="19"/>
        <v>9</v>
      </c>
      <c r="P228" s="1" t="str">
        <f ca="1">IF(ISERROR(F215),"",IF(ISTEXT(VLOOKUP(B215,INDIRECT($F$8),6+(O228-1)*3)),(VLOOKUP(B215,INDIRECT($F$8),6+(O228-1)*3)),SUM(VLOOKUP(B215,INDIRECT($F$8),6+(O228-1)*3),IF(W234,W228,0))))</f>
        <v>NA</v>
      </c>
      <c r="Q228" s="1" t="str">
        <f ca="1">IF(ISERROR(F215),"",VLOOKUP(B215,INDIRECT($F$8),7+(O228-1)*3))</f>
        <v>NA</v>
      </c>
      <c r="R228" s="1">
        <f ca="1">IF(ISERROR(F215),"",SUM(P228:Q228))</f>
        <v>0</v>
      </c>
      <c r="S228" s="1">
        <f ca="1">IF(ISERROR(F215),"",VLOOKUP(A215,INDIRECT($F$8),6+(O228-1)*3))</f>
        <v>30</v>
      </c>
      <c r="T228" s="1">
        <f ca="1">IF(ISERROR(F215),"",VLOOKUP(A215,INDIRECT($F$8),7+(O228-1)*3))</f>
        <v>20</v>
      </c>
      <c r="U228" s="1">
        <f ca="1">IF(ISERROR(F215),"",VLOOKUP(A215,INDIRECT($F$8),8+(O228-1)*3))</f>
        <v>50</v>
      </c>
      <c r="V228" s="1" t="str">
        <f ca="1">IF(ISERROR(F215),"",IF(N228=0,A228,""))</f>
        <v/>
      </c>
      <c r="W228" s="1">
        <f ca="1">IF(ISERROR(F215),"",IF(ISTEXT(VLOOKUP(B215,INDIRECT($F$8),6+(O228-1)*3)),11,IF(VLOOKUP(B215,INDIRECT($F$8),6+(O228-1)*3)&lt;S228*0.3,IF(VLOOKUP(B215,INDIRECT($F$8),8+(O228-1)*3)&lt;U228*0.4,IF(AND(0.4*U228-VLOOKUP(B215,INDIRECT($F$8),8+(O228-1)*3)&lt;=5,0.3*S228-VLOOKUP(B215,INDIRECT($F$8),6+(O228-1)*3)&lt;=5),MAX(0.4*U228-VLOOKUP(B215,INDIRECT($F$8),8+(O228-1)*3),0.3*S228-VLOOKUP(B215,INDIRECT($F$8),6+(O228-1)*3)),11),IF(0.3*S228-VLOOKUP(B215,INDIRECT($F$8),6+(O228-1)*3)&lt;=5,0.3*S228-VLOOKUP(B215,INDIRECT($F$8),6+(O228-1)*3),11)),IF(VLOOKUP(B215,INDIRECT($F$8),8+(O228-1)*3)&lt;U228*0.4,IF(U228*0.4-VLOOKUP(B215,INDIRECT($F$8),8+(O228-1)*3)&lt;=5,U228*0.4-VLOOKUP(B215,INDIRECT($F$8),8+(O228-1)*3),11),0))))</f>
        <v>11</v>
      </c>
      <c r="X228" s="1" t="str">
        <f ca="1">IF(ISERROR(F215),"",IF(W228=0,"",_xlfn.TEXTJOIN("",FALSE," G+",W228," in ",A228)))</f>
        <v xml:space="preserve"> G+11 in CAT 003</v>
      </c>
    </row>
    <row r="229" spans="1:24" ht="11.25" customHeight="1" x14ac:dyDescent="0.2">
      <c r="A229" s="7" t="str">
        <f ca="1">IF(ISERROR(F215),"",VLOOKUP(C215,INDIRECT($F$8),6+(O229-1)*3,0))</f>
        <v>CAP 001</v>
      </c>
      <c r="B229" s="41" t="str">
        <f ca="1">IF(ISERROR(F215),"",VLOOKUP(D215,INDIRECT($F$8),6+(O229-1)*3-Z229,0))</f>
        <v>Database Management System Lab</v>
      </c>
      <c r="C229" s="41"/>
      <c r="D229" s="41"/>
      <c r="E229" s="41"/>
      <c r="F229" s="7">
        <f ca="1">IF(ISERROR(F215),"",VLOOKUP(E215,INDIRECT($F$8),6+(O229-1)*3,0))</f>
        <v>1</v>
      </c>
      <c r="G229" s="42" t="str">
        <f ca="1">IF(ISERROR(F215),"",_xlfn.TEXTJOIN("/",FALSE,P229,S229))</f>
        <v>24/30</v>
      </c>
      <c r="H229" s="42"/>
      <c r="I229" s="42" t="str">
        <f ca="1">IF(ISERROR(F215),"",_xlfn.TEXTJOIN("/",FALSE,Q229,T229))</f>
        <v>15/20</v>
      </c>
      <c r="J229" s="42"/>
      <c r="K229" s="42" t="str">
        <f ca="1">IF(ISERROR(F215),"",_xlfn.TEXTJOIN("/",FALSE,R229,U229))</f>
        <v>39/50</v>
      </c>
      <c r="L229" s="42"/>
      <c r="M229" s="7" t="str">
        <f ca="1">IF(ISERROR(F215),"",IF(ISTEXT(P229),IF(P229="A","Ab",IF(P229="D","Dt",IF(P229="UFM","UFM",IF(P229="NA","-")))),IF(AND(ISBLANK(P229),ISBLANK(R229)),"",IF(P229&lt;0.3*S229,"F",IF(ISBLANK(R229),"",IF(ISTEXT(R229),R229,IF(R229&gt;=0.95*U229,"O",IF(R229&gt;=0.9*U229,"A+",IF(R229&gt;=0.85*U229,"A",IF(R229&gt;=0.8*U229,"B+",IF(R229&gt;=0.75*U229,"B",IF(R229&gt;=0.7*U229,"C+",IF(R229&gt;=0.65*U229,"C",IF(R229&gt;=0.6*U229,"D+",IF(R229&gt;=0.55*U229,"D",IF(R229&gt;=0.5*U229,"E+",IF(R229&gt;=0.45*U229,"E",IF(R229&gt;=0.4*U229,"P",IF(R229&lt;0.4*U229,"F",R229)))))))))))))))))))</f>
        <v>B</v>
      </c>
      <c r="N229" s="8">
        <f t="shared" ca="1" si="18"/>
        <v>8</v>
      </c>
      <c r="O229">
        <f t="shared" si="19"/>
        <v>10</v>
      </c>
      <c r="P229" s="1">
        <f ca="1">IF(ISERROR(F215),"",IF(ISTEXT(VLOOKUP(B215,INDIRECT($F$8),6+(O229-1)*3)),(VLOOKUP(B215,INDIRECT($F$8),6+(O229-1)*3)),SUM(VLOOKUP(B215,INDIRECT($F$8),6+(O229-1)*3),IF(W234,W229,0))))</f>
        <v>24</v>
      </c>
      <c r="Q229" s="1">
        <f ca="1">IF(ISERROR(F215),"",VLOOKUP(B215,INDIRECT($F$8),7+(O229-1)*3))</f>
        <v>15</v>
      </c>
      <c r="R229" s="1">
        <f ca="1">IF(ISERROR(F215),"",SUM(P229:Q229))</f>
        <v>39</v>
      </c>
      <c r="S229" s="1">
        <f ca="1">IF(ISERROR(F215),"",VLOOKUP(A215,INDIRECT($F$8),6+(O229-1)*3))</f>
        <v>30</v>
      </c>
      <c r="T229" s="1">
        <f ca="1">IF(ISERROR(F215),"",VLOOKUP(A215,INDIRECT($F$8),7+(O229-1)*3))</f>
        <v>20</v>
      </c>
      <c r="U229" s="1">
        <f ca="1">IF(ISERROR(F215),"",VLOOKUP(A215,INDIRECT($F$8),8+(O229-1)*3))</f>
        <v>50</v>
      </c>
      <c r="V229" s="1" t="str">
        <f ca="1">IF(ISERROR(F215),"",IF(N229=0,A229,""))</f>
        <v/>
      </c>
      <c r="W229" s="1">
        <f ca="1">IF(ISERROR(F215),"",IF(ISTEXT(VLOOKUP(B215,INDIRECT($F$8),6+(O229-1)*3)),11,IF(VLOOKUP(B215,INDIRECT($F$8),6+(O229-1)*3)&lt;S229*0.3,IF(VLOOKUP(B215,INDIRECT($F$8),8+(O229-1)*3)&lt;U229*0.4,IF(AND(0.4*U229-VLOOKUP(B215,INDIRECT($F$8),8+(O229-1)*3)&lt;=5,0.3*S229-VLOOKUP(B215,INDIRECT($F$8),6+(O229-1)*3)&lt;=5),MAX(0.4*U229-VLOOKUP(B215,INDIRECT($F$8),8+(O229-1)*3),0.3*S229-VLOOKUP(B215,INDIRECT($F$8),6+(O229-1)*3)),11),IF(0.3*S229-VLOOKUP(B215,INDIRECT($F$8),6+(O229-1)*3)&lt;=5,0.3*S229-VLOOKUP(B215,INDIRECT($F$8),6+(O229-1)*3),11)),IF(VLOOKUP(B215,INDIRECT($F$8),8+(O229-1)*3)&lt;U229*0.4,IF(U229*0.4-VLOOKUP(B215,INDIRECT($F$8),8+(O229-1)*3)&lt;=5,U229*0.4-VLOOKUP(B215,INDIRECT($F$8),8+(O229-1)*3),11),0))))</f>
        <v>0</v>
      </c>
      <c r="X229" s="1" t="str">
        <f ca="1">IF(ISERROR(F215),"",IF(W229=0,"",_xlfn.TEXTJOIN("",FALSE," G+",W229," in ",A229)))</f>
        <v/>
      </c>
    </row>
    <row r="230" spans="1:24" ht="11.25" customHeight="1" x14ac:dyDescent="0.2">
      <c r="A230" s="7" t="str">
        <f ca="1">IF(ISERROR(F215),"",VLOOKUP(C215,INDIRECT($F$8),6+(O230-1)*3,0))</f>
        <v>CAP 002</v>
      </c>
      <c r="B230" s="41" t="str">
        <f ca="1">IF(ISERROR(F215),"",VLOOKUP(D215,INDIRECT($F$8),6+(O230-1)*3,0))</f>
        <v>Operating System Lab</v>
      </c>
      <c r="C230" s="41"/>
      <c r="D230" s="41"/>
      <c r="E230" s="41"/>
      <c r="F230" s="7">
        <f ca="1">IF(ISERROR(F215),"",VLOOKUP(E215,INDIRECT($F$8),6+(O230-1)*3,0))</f>
        <v>1</v>
      </c>
      <c r="G230" s="42" t="str">
        <f ca="1">IF(ISERROR(F215),"",_xlfn.TEXTJOIN("/",FALSE,P230,S230))</f>
        <v>26/30</v>
      </c>
      <c r="H230" s="42"/>
      <c r="I230" s="42" t="str">
        <f ca="1">IF(ISERROR(F215),"",_xlfn.TEXTJOIN("/",FALSE,Q230,T230))</f>
        <v>17/20</v>
      </c>
      <c r="J230" s="42"/>
      <c r="K230" s="42" t="str">
        <f ca="1">IF(ISERROR(F215),"",_xlfn.TEXTJOIN("/",FALSE,R230,U230))</f>
        <v>43/50</v>
      </c>
      <c r="L230" s="42"/>
      <c r="M230" s="7" t="str">
        <f ca="1">IF(ISERROR(F215),"",IF(ISTEXT(P230),IF(P230="A","Ab",IF(P230="D","Dt",IF(P230="UFM","UFM",IF(P230="NA","-")))),IF(AND(ISBLANK(P230),ISBLANK(R230)),"",IF(P230&lt;0.3*S230,"F",IF(ISBLANK(R230),"",IF(ISTEXT(R230),R230,IF(R230&gt;=0.95*U230,"O",IF(R230&gt;=0.9*U230,"A+",IF(R230&gt;=0.85*U230,"A",IF(R230&gt;=0.8*U230,"B+",IF(R230&gt;=0.75*U230,"B",IF(R230&gt;=0.7*U230,"C+",IF(R230&gt;=0.65*U230,"C",IF(R230&gt;=0.6*U230,"D+",IF(R230&gt;=0.55*U230,"D",IF(R230&gt;=0.5*U230,"E+",IF(R230&gt;=0.45*U230,"E",IF(R230&gt;=0.4*U230,"P",IF(R230&lt;0.4*U230,"F",R230)))))))))))))))))))</f>
        <v>A</v>
      </c>
      <c r="N230" s="8">
        <f t="shared" ca="1" si="18"/>
        <v>9</v>
      </c>
      <c r="O230">
        <f t="shared" si="19"/>
        <v>11</v>
      </c>
      <c r="P230" s="1">
        <f ca="1">IF(ISERROR(F215),"",IF(ISTEXT(VLOOKUP(B215,INDIRECT($F$8),6+(O230-1)*3)),(VLOOKUP(B215,INDIRECT($F$8),6+(O230-1)*3)),SUM(VLOOKUP(B215,INDIRECT($F$8),6+(O230-1)*3),IF(W234,W230,0))))</f>
        <v>26</v>
      </c>
      <c r="Q230" s="1">
        <f ca="1">IF(ISERROR(F215),"",VLOOKUP(B215,INDIRECT($F$8),7+(O230-1)*3))</f>
        <v>17</v>
      </c>
      <c r="R230" s="1">
        <f ca="1">IF(ISERROR(F215),"",SUM(P230:Q230))</f>
        <v>43</v>
      </c>
      <c r="S230" s="1">
        <f ca="1">IF(ISERROR(F215),"",VLOOKUP(A215,INDIRECT($F$8),6+(O230-1)*3))</f>
        <v>30</v>
      </c>
      <c r="T230" s="1">
        <f ca="1">IF(ISERROR(F215),"",VLOOKUP(A215,INDIRECT($F$8),7+(O230-1)*3))</f>
        <v>20</v>
      </c>
      <c r="U230" s="1">
        <f ca="1">IF(ISERROR(F215),"",VLOOKUP(A215,INDIRECT($F$8),8+(O230-1)*3))</f>
        <v>50</v>
      </c>
      <c r="V230" s="1" t="str">
        <f ca="1">IF(ISERROR(F215),"",IF(N230=0,A230,""))</f>
        <v/>
      </c>
      <c r="W230" s="1">
        <f ca="1">IF(ISERROR(F215),"",IF(ISTEXT(VLOOKUP(B215,INDIRECT($F$8),6+(O230-1)*3)),11,IF(VLOOKUP(B215,INDIRECT($F$8),6+(O230-1)*3)&lt;S230*0.3,IF(VLOOKUP(B215,INDIRECT($F$8),8+(O230-1)*3)&lt;U230*0.4,IF(AND(0.4*U230-VLOOKUP(B215,INDIRECT($F$8),8+(O230-1)*3)&lt;=5,0.3*S230-VLOOKUP(B215,INDIRECT($F$8),6+(O230-1)*3)&lt;=5),MAX(0.4*U230-VLOOKUP(B215,INDIRECT($F$8),8+(O230-1)*3),0.3*S230-VLOOKUP(B215,INDIRECT($F$8),6+(O230-1)*3)),11),IF(0.3*S230-VLOOKUP(B215,INDIRECT($F$8),6+(O230-1)*3)&lt;=5,0.3*S230-VLOOKUP(B215,INDIRECT($F$8),6+(O230-1)*3),11)),IF(VLOOKUP(B215,INDIRECT($F$8),8+(O230-1)*3)&lt;U230*0.4,IF(U230*0.4-VLOOKUP(B215,INDIRECT($F$8),8+(O230-1)*3)&lt;=5,U230*0.4-VLOOKUP(B215,INDIRECT($F$8),8+(O230-1)*3),11),0))))</f>
        <v>0</v>
      </c>
      <c r="X230" s="1" t="str">
        <f ca="1">IF(ISERROR(F215),"",IF(W230=0,"",_xlfn.TEXTJOIN("",FALSE," G+",W230," in ",A230)))</f>
        <v/>
      </c>
    </row>
    <row r="231" spans="1:24" ht="11.25" customHeight="1" x14ac:dyDescent="0.2">
      <c r="A231" s="7" t="str">
        <f ca="1">IF(ISERROR(F215),"",VLOOKUP(C215,INDIRECT($F$8),6+(O231-1)*3,0))</f>
        <v>CAP 003</v>
      </c>
      <c r="B231" s="41" t="str">
        <f ca="1">IF(ISERROR(F215),"",VLOOKUP(D215,INDIRECT($F$8),6+(O231-1)*3,0))</f>
        <v>Computer Organization Lab</v>
      </c>
      <c r="C231" s="41"/>
      <c r="D231" s="41"/>
      <c r="E231" s="41"/>
      <c r="F231" s="7">
        <f ca="1">IF(ISERROR(F215),"",VLOOKUP(E215,INDIRECT($F$8),6+(O231-1)*3,0))</f>
        <v>1</v>
      </c>
      <c r="G231" s="42" t="str">
        <f ca="1">IF(ISERROR(F215),"",_xlfn.TEXTJOIN("/",FALSE,P231,S231))</f>
        <v>25/30</v>
      </c>
      <c r="H231" s="42"/>
      <c r="I231" s="42" t="str">
        <f ca="1">IF(ISERROR(F215),"",_xlfn.TEXTJOIN("/",FALSE,Q231,T231))</f>
        <v>19/20</v>
      </c>
      <c r="J231" s="42"/>
      <c r="K231" s="42" t="str">
        <f ca="1">IF(ISERROR(F215),"",_xlfn.TEXTJOIN("/",FALSE,R231,U231))</f>
        <v>44/50</v>
      </c>
      <c r="L231" s="42"/>
      <c r="M231" s="7" t="str">
        <f ca="1">IF(ISERROR(F215),"",IF(ISTEXT(P231),IF(P231="A","Ab",IF(P231="D","Dt",IF(P231="UFM","UFM",IF(P231="NA","-")))),IF(AND(ISBLANK(P231),ISBLANK(R231)),"",IF(P231&lt;0.3*S231,"F",IF(ISBLANK(R231),"",IF(ISTEXT(R231),R231,IF(R231&gt;=0.95*U231,"O",IF(R231&gt;=0.9*U231,"A+",IF(R231&gt;=0.85*U231,"A",IF(R231&gt;=0.8*U231,"B+",IF(R231&gt;=0.75*U231,"B",IF(R231&gt;=0.7*U231,"C+",IF(R231&gt;=0.65*U231,"C",IF(R231&gt;=0.6*U231,"D+",IF(R231&gt;=0.55*U231,"D",IF(R231&gt;=0.5*U231,"E+",IF(R231&gt;=0.45*U231,"E",IF(R231&gt;=0.4*U231,"P",IF(R231&lt;0.4*U231,"F",R231)))))))))))))))))))</f>
        <v>A</v>
      </c>
      <c r="N231" s="8">
        <f t="shared" ca="1" si="18"/>
        <v>9</v>
      </c>
      <c r="O231">
        <f t="shared" si="19"/>
        <v>12</v>
      </c>
      <c r="P231" s="1">
        <f ca="1">IF(ISERROR(F215),"",IF(ISTEXT(VLOOKUP(B215,INDIRECT($F$8),6+(O231-1)*3)),(VLOOKUP(B215,INDIRECT($F$8),6+(O231-1)*3)),SUM(VLOOKUP(B215,INDIRECT($F$8),6+(O231-1)*3),IF(W234,W231,0))))</f>
        <v>25</v>
      </c>
      <c r="Q231" s="1">
        <f ca="1">IF(ISERROR(F215),"",VLOOKUP(B215,INDIRECT($F$8),7+(O231-1)*3))</f>
        <v>19</v>
      </c>
      <c r="R231" s="1">
        <f ca="1">IF(ISERROR(F215),"",SUM(P231:Q231))</f>
        <v>44</v>
      </c>
      <c r="S231" s="1">
        <f ca="1">IF(ISERROR(F215),"",VLOOKUP(A215,INDIRECT($F$8),6+(O231-1)*3))</f>
        <v>30</v>
      </c>
      <c r="T231" s="1">
        <f ca="1">IF(ISERROR(F215),"",VLOOKUP(A215,INDIRECT($F$8),7+(O231-1)*3))</f>
        <v>20</v>
      </c>
      <c r="U231" s="1">
        <f ca="1">IF(ISERROR(F215),"",VLOOKUP(A215,INDIRECT($F$8),8+(O231-1)*3))</f>
        <v>50</v>
      </c>
      <c r="V231" s="1" t="str">
        <f ca="1">IF(ISERROR(F215),"",IF(N231=0,A231,""))</f>
        <v/>
      </c>
      <c r="W231" s="1">
        <f ca="1">IF(ISERROR(F215),"",IF(ISTEXT(VLOOKUP(B215,INDIRECT($F$8),6+(O231-1)*3)),11,IF(VLOOKUP(B215,INDIRECT($F$8),6+(O231-1)*3)&lt;S231*0.3,IF(VLOOKUP(B215,INDIRECT($F$8),8+(O231-1)*3)&lt;U231*0.4,IF(AND(0.4*U231-VLOOKUP(B215,INDIRECT($F$8),8+(O231-1)*3)&lt;=5,0.3*S231-VLOOKUP(B215,INDIRECT($F$8),6+(O231-1)*3)&lt;=5),MAX(0.4*U231-VLOOKUP(B215,INDIRECT($F$8),8+(O231-1)*3),0.3*S231-VLOOKUP(B215,INDIRECT($F$8),6+(O231-1)*3)),11),IF(0.3*S231-VLOOKUP(B215,INDIRECT($F$8),6+(O231-1)*3)&lt;=5,0.3*S231-VLOOKUP(B215,INDIRECT($F$8),6+(O231-1)*3),11)),IF(VLOOKUP(B215,INDIRECT($F$8),8+(O231-1)*3)&lt;U231*0.4,IF(U231*0.4-VLOOKUP(B215,INDIRECT($F$8),8+(O231-1)*3)&lt;=5,U231*0.4-VLOOKUP(B215,INDIRECT($F$8),8+(O231-1)*3),11),0))))</f>
        <v>0</v>
      </c>
      <c r="X231" s="1" t="str">
        <f ca="1">IF(ISERROR(F215),"",IF(W231=0,"",_xlfn.TEXTJOIN("",FALSE," G+",W231," in ",A231)))</f>
        <v/>
      </c>
    </row>
    <row r="232" spans="1:24" ht="11.25" customHeight="1" x14ac:dyDescent="0.2">
      <c r="A232" s="7" t="str">
        <f ca="1">IF(ISERROR(F215),"",VLOOKUP(C215,INDIRECT($F$8),6+(O232-1)*3,0))</f>
        <v>AHP 303</v>
      </c>
      <c r="B232" s="41" t="str">
        <f ca="1">IF(ISERROR(F215),"",VLOOKUP(D215,INDIRECT($F$8),6+(O232-1)*3,0))</f>
        <v>Technical Communication Skills</v>
      </c>
      <c r="C232" s="41"/>
      <c r="D232" s="41"/>
      <c r="E232" s="41"/>
      <c r="F232" s="7">
        <f ca="1">IF(ISERROR(F215),"",VLOOKUP(E215,INDIRECT($F$8),6+(O232-1)*3,0))</f>
        <v>1</v>
      </c>
      <c r="G232" s="42" t="str">
        <f ca="1">IF(ISERROR(F215),"",_xlfn.TEXTJOIN("/",FALSE,P232,S232))</f>
        <v>24/30</v>
      </c>
      <c r="H232" s="42"/>
      <c r="I232" s="42" t="str">
        <f ca="1">IF(ISERROR(F215),"",_xlfn.TEXTJOIN("/",FALSE,Q232,T232))</f>
        <v>18/20</v>
      </c>
      <c r="J232" s="42"/>
      <c r="K232" s="42" t="str">
        <f ca="1">IF(ISERROR(F215),"",_xlfn.TEXTJOIN("/",FALSE,R232,U232))</f>
        <v>42/50</v>
      </c>
      <c r="L232" s="42"/>
      <c r="M232" s="7" t="str">
        <f ca="1">IF(ISERROR(F215),"",IF(ISTEXT(P232),IF(P232="A","Ab",IF(P232="D","Dt",IF(P232="UFM","UFM",IF(P232="NA","-")))),IF(AND(ISBLANK(P232),ISBLANK(R232)),"",IF(P232&lt;0.3*S232,"F",IF(ISBLANK(R232),"",IF(ISTEXT(R232),R232,IF(R232&gt;=0.95*U232,"O",IF(R232&gt;=0.9*U232,"A+",IF(R232&gt;=0.85*U232,"A",IF(R232&gt;=0.8*U232,"B+",IF(R232&gt;=0.75*U232,"B",IF(R232&gt;=0.7*U232,"C+",IF(R232&gt;=0.65*U232,"C",IF(R232&gt;=0.6*U232,"D+",IF(R232&gt;=0.55*U232,"D",IF(R232&gt;=0.5*U232,"E+",IF(R232&gt;=0.45*U232,"E",IF(R232&gt;=0.4*U232,"P",IF(R232&lt;0.4*U232,"F",R232)))))))))))))))))))</f>
        <v>B+</v>
      </c>
      <c r="N232" s="8">
        <f t="shared" ca="1" si="18"/>
        <v>8.5</v>
      </c>
      <c r="O232">
        <f t="shared" si="19"/>
        <v>13</v>
      </c>
      <c r="P232" s="1">
        <f ca="1">IF(ISERROR(F215),"",IF(ISTEXT(VLOOKUP(B215,INDIRECT($F$8),6+(O232-1)*3)),(VLOOKUP(B215,INDIRECT($F$8),6+(O232-1)*3)),SUM(VLOOKUP(B215,INDIRECT($F$8),6+(O232-1)*3),IF(W234,W232,0))))</f>
        <v>24</v>
      </c>
      <c r="Q232" s="1">
        <f ca="1">IF(ISERROR(F215),"",VLOOKUP(B215,INDIRECT($F$8),7+(O232-1)*3))</f>
        <v>18</v>
      </c>
      <c r="R232" s="1">
        <f ca="1">IF(ISERROR(F215),"",SUM(P232:Q232))</f>
        <v>42</v>
      </c>
      <c r="S232" s="1">
        <f ca="1">IF(ISERROR(F215),"",VLOOKUP(A215,INDIRECT($F$8),6+(O232-1)*3))</f>
        <v>30</v>
      </c>
      <c r="T232" s="1">
        <f ca="1">IF(ISERROR(F215),"",VLOOKUP(A215,INDIRECT($F$8),7+(O232-1)*3))</f>
        <v>20</v>
      </c>
      <c r="U232" s="1">
        <f ca="1">IF(ISERROR(F215),"",VLOOKUP(A215,INDIRECT($F$8),8+(O232-1)*3))</f>
        <v>50</v>
      </c>
      <c r="V232" s="1"/>
      <c r="W232" s="1">
        <f ca="1">IF(ISERROR(F215),"",IF(ISTEXT(VLOOKUP(B215,INDIRECT($F$8),6+(O232-1)*3)),11,IF(VLOOKUP(B215,INDIRECT($F$8),6+(O232-1)*3)&lt;S232*0.3,IF(VLOOKUP(B215,INDIRECT($F$8),8+(O232-1)*3)&lt;U232*0.4,IF(AND(0.4*U232-VLOOKUP(B215,INDIRECT($F$8),8+(O232-1)*3)&lt;=5,0.3*S232-VLOOKUP(B215,INDIRECT($F$8),6+(O232-1)*3)&lt;=5),MAX(0.4*U232-VLOOKUP(B215,INDIRECT($F$8),8+(O232-1)*3),0.3*S232-VLOOKUP(B215,INDIRECT($F$8),6+(O232-1)*3)),11),IF(0.3*S232-VLOOKUP(B215,INDIRECT($F$8),6+(O232-1)*3)&lt;=5,0.3*S232-VLOOKUP(B215,INDIRECT($F$8),6+(O232-1)*3),11)),IF(VLOOKUP(B215,INDIRECT($F$8),8+(O232-1)*3)&lt;U232*0.4,IF(U232*0.4-VLOOKUP(B215,INDIRECT($F$8),8+(O232-1)*3)&lt;=5,U232*0.4-VLOOKUP(B215,INDIRECT($F$8),8+(O232-1)*3),11),0))))</f>
        <v>0</v>
      </c>
      <c r="X232" s="1" t="str">
        <f ca="1">IF(ISERROR(F215),"",IF(W232=0,"",_xlfn.TEXTJOIN("",FALSE," G+",W232," in ",A232)))</f>
        <v/>
      </c>
    </row>
    <row r="233" spans="1:24" s="32" customFormat="1" ht="11.25" customHeight="1" x14ac:dyDescent="0.2">
      <c r="A233" s="31">
        <f ca="1">IF(ISERROR(F215),"",VLOOKUP(C215,INDIRECT($F$8),6+(O233-1)*3-Y233,0))</f>
        <v>0</v>
      </c>
      <c r="B233" s="49">
        <f ca="1">IF(ISERROR(F215),"",VLOOKUP(D215,INDIRECT($F$8),6+(O233-1)*3-Z233,0))</f>
        <v>0</v>
      </c>
      <c r="C233" s="49"/>
      <c r="D233" s="49"/>
      <c r="E233" s="49"/>
      <c r="F233" s="31">
        <f ca="1">IF(ISERROR(F215),"",VLOOKUP(E215,INDIRECT($F$8),6+(O233-1)*3-AA233,0))</f>
        <v>0</v>
      </c>
      <c r="G233" s="50" t="str">
        <f ca="1">IF(ISERROR(F215),"","-")</f>
        <v>-</v>
      </c>
      <c r="H233" s="50"/>
      <c r="I233" s="50" t="str">
        <f ca="1">IF(ISERROR(F215),"",_xlfn.TEXTJOIN("/",FALSE,Q233,T233))</f>
        <v>0/0</v>
      </c>
      <c r="J233" s="50"/>
      <c r="K233" s="50" t="str">
        <f ca="1">IF(ISERROR(F215),"",_xlfn.TEXTJOIN("/",FALSE,R233,U233))</f>
        <v>0/0</v>
      </c>
      <c r="L233" s="50"/>
      <c r="M233" s="50" t="str">
        <f ca="1">IF(ISBLANK(R233),"",IF(ISTEXT(R233),R233,IF(R233&gt;=0.8*U233,"Excellent",IF(R233&gt;=0.6*U233,"Very Good",IF(R233&gt;=0.4*U233,"Good",IF(R233&gt;=0.2*U233,"Satisfactory","Average"))))))</f>
        <v>Excellent</v>
      </c>
      <c r="N233" s="50"/>
      <c r="O233" s="32">
        <f t="shared" si="19"/>
        <v>14</v>
      </c>
      <c r="P233" s="33">
        <f ca="1">IF(ISERROR(F215),"",IF(ISTEXT(VLOOKUP(B\28,INDIRECT($F$8),6+(O233-1)*3)),(VLOOKUP(B215,INDIRECT($F$8),6+(O233-1)*3)),SUM(VLOOKUP(B215,INDIRECT($F$8),6+(O233-1)*3),IF(W234,W233,0))))</f>
        <v>0</v>
      </c>
      <c r="Q233" s="33">
        <f ca="1">IF(ISERROR(F215),"",VLOOKUP(B215,INDIRECT($F$8),7+(O233-1)*3))</f>
        <v>0</v>
      </c>
      <c r="R233" s="33">
        <f ca="1">IF(ISERROR(F215),"",SUM(P233:Q233))</f>
        <v>0</v>
      </c>
      <c r="S233" s="33">
        <f ca="1">IF(ISERROR(F215),"",VLOOKUP(A215,INDIRECT($F$8),6+(O233-1)*3))</f>
        <v>0</v>
      </c>
      <c r="T233" s="33">
        <f ca="1">IF(ISERROR(F215),"",VLOOKUP(A215,INDIRECT($F$8),7+(O233-1)*3))</f>
        <v>0</v>
      </c>
      <c r="U233" s="33">
        <f ca="1">IF(ISERROR(F215),"",VLOOKUP(A215,INDIRECT($F$8),8+(O233-1)*3))</f>
        <v>0</v>
      </c>
      <c r="V233" s="33"/>
      <c r="W233" s="33"/>
      <c r="X233" s="33" t="str">
        <f ca="1">IF(ISERROR(F215),"",IF(W233=0,"",_xlfn.TEXTJOIN("",FALSE," G+",W233," in ",A233)))</f>
        <v/>
      </c>
    </row>
    <row r="234" spans="1:24" ht="11.25" customHeight="1" x14ac:dyDescent="0.2">
      <c r="A234" s="43" t="str">
        <f ca="1">IF(ISERROR(F215),"",A211)</f>
        <v>Total Credits/ Marks/ Total Grade Points</v>
      </c>
      <c r="B234" s="43"/>
      <c r="C234" s="43"/>
      <c r="D234" s="43"/>
      <c r="E234" s="43"/>
      <c r="F234" s="10">
        <f ca="1">IF(ISERROR(F215),"",SUM(F220:F233))</f>
        <v>24</v>
      </c>
      <c r="G234" s="44" t="str">
        <f ca="1">IF(ISERROR(F215),"",_xlfn.TEXTJOIN("/",TRUE,SUMIF(F220:F233,"&gt;0",P220:P233),SUMIF(F220:F233,"&gt;0",S220:S233)))</f>
        <v>428/620</v>
      </c>
      <c r="H234" s="44"/>
      <c r="I234" s="44" t="str">
        <f ca="1">IF(ISERROR(F215),"",_xlfn.TEXTJOIN("/",TRUE,SUMIF(F220:F233,"&gt;0",Q220:Q233),SUMIF(F220:F233,"&gt;0",T220:T233)))</f>
        <v>267/330</v>
      </c>
      <c r="J234" s="44"/>
      <c r="K234" s="44" t="str">
        <f ca="1">IF(ISERROR(F215),"",_xlfn.TEXTJOIN("/",TRUE,SUMIF(F220:F233,"&gt;0",R220:R233),SUMIF(F220:F233,"&gt;0",U220:U233)))</f>
        <v>695/950</v>
      </c>
      <c r="L234" s="44"/>
      <c r="M234" s="43">
        <f ca="1">IF(ISERROR(F215),"",SUMPRODUCT(N220:N232,F220:F232))</f>
        <v>180.5</v>
      </c>
      <c r="N234" s="43"/>
      <c r="V234" s="1" t="str">
        <f ca="1">IF(ISERROR(F215),"",_xlfn.TEXTJOIN(", ",TRUE,V220:V233))</f>
        <v/>
      </c>
      <c r="W234" t="b">
        <f ca="1">IF(ISERROR(F215),"",IF(SUM(W220:W233)&lt;=W219,TRUE,FALSE))</f>
        <v>0</v>
      </c>
      <c r="X234" s="1" t="str">
        <f ca="1">_xlfn.TEXTJOIN(",",TRUE,X220:X233)</f>
        <v xml:space="preserve"> G+11 in CAT 001, G+11 in CAT 002, G+11 in CAT 003</v>
      </c>
    </row>
    <row r="235" spans="1:24" ht="11.25" customHeight="1" x14ac:dyDescent="0.2">
      <c r="A235" s="43" t="str">
        <f ca="1">IF(ISERROR(F215),"",A212)</f>
        <v>Result:</v>
      </c>
      <c r="B235" s="45" t="str">
        <f ca="1">IF(ISERROR(F215),"",IF(V234="","PASS","CARRY OVER"))</f>
        <v>PASS</v>
      </c>
      <c r="C235" s="45"/>
      <c r="D235" s="43" t="str">
        <f ca="1">IF(ISERROR(F215),"",D212)</f>
        <v>Remark:</v>
      </c>
      <c r="E235" s="45" t="str">
        <f ca="1">IF(ISERROR(F215),"",IF(W234,X234,IF(V234="","",_xlfn.TEXTJOIN("",TRUE,"BACK IN ",V234))))</f>
        <v/>
      </c>
      <c r="F235" s="45"/>
      <c r="G235" s="43" t="str">
        <f ca="1">IF(ISERROR(F215),"",G212)</f>
        <v>SGPA:</v>
      </c>
      <c r="H235" s="46">
        <f ca="1">IF(ISERROR(F215),"",M234/F234)</f>
        <v>7.520833333333333</v>
      </c>
      <c r="I235" s="43" t="str">
        <f ca="1">IF(ISERROR(F215),"",I212)</f>
        <v>CGPA:</v>
      </c>
      <c r="J235" s="46">
        <f ca="1">IF(ISERROR(F215),"",VLOOKUP(B215,INDIRECT($F$8),12+(O233-1)*3,0))</f>
        <v>7.520833333333333</v>
      </c>
      <c r="K235" s="45" t="str">
        <f ca="1">IF(ISERROR(F215),"",K212)</f>
        <v>Earned Credits:</v>
      </c>
      <c r="L235" s="43">
        <f ca="1">IF(ISERROR(F215),"",SUMIF(N220:N232,"&gt;0",F220:F232))</f>
        <v>24</v>
      </c>
      <c r="M235" s="45" t="str">
        <f ca="1">IF(ISERROR(F215),"",M212)</f>
        <v>Cuml. Earned Credits:</v>
      </c>
      <c r="N235" s="43">
        <f ca="1">IF(ISERROR(F215),"",VLOOKUP(B215,INDIRECT($F$8),10+(O233-1)*3,0))</f>
        <v>24</v>
      </c>
    </row>
    <row r="236" spans="1:24" ht="11.25" customHeight="1" x14ac:dyDescent="0.2">
      <c r="A236" s="43"/>
      <c r="B236" s="45"/>
      <c r="C236" s="45"/>
      <c r="D236" s="43"/>
      <c r="E236" s="45"/>
      <c r="F236" s="45"/>
      <c r="G236" s="43"/>
      <c r="H236" s="46"/>
      <c r="I236" s="43"/>
      <c r="J236" s="46"/>
      <c r="K236" s="45"/>
      <c r="L236" s="43"/>
      <c r="M236" s="45"/>
      <c r="N236" s="43"/>
    </row>
    <row r="237" spans="1:24" ht="15" x14ac:dyDescent="0.2">
      <c r="A237" s="43"/>
      <c r="B237" s="45"/>
      <c r="C237" s="45"/>
      <c r="D237" s="43"/>
      <c r="E237" s="45"/>
      <c r="F237" s="45"/>
      <c r="G237" s="43"/>
      <c r="H237" s="46"/>
      <c r="I237" s="43"/>
      <c r="J237" s="46"/>
      <c r="K237" s="45"/>
      <c r="L237" s="43"/>
      <c r="M237" s="45"/>
      <c r="N237" s="43"/>
    </row>
    <row r="238" spans="1:24" ht="11.25" customHeight="1" x14ac:dyDescent="0.2">
      <c r="A238" s="11" t="str">
        <f>A215</f>
        <v>MM</v>
      </c>
      <c r="B238" s="11">
        <f>B215+1</f>
        <v>11</v>
      </c>
      <c r="C238" s="11" t="str">
        <f>C215</f>
        <v>SC</v>
      </c>
      <c r="D238" s="11" t="str">
        <f>D215</f>
        <v>SN</v>
      </c>
      <c r="E238" s="11" t="str">
        <f>E215</f>
        <v>C</v>
      </c>
      <c r="F238" s="11" t="str">
        <f ca="1">VLOOKUP(B238,INDIRECT($F$8),4,0)</f>
        <v>NISHTHA ARORA</v>
      </c>
    </row>
    <row r="239" spans="1:24" ht="11.25" customHeight="1" x14ac:dyDescent="0.2">
      <c r="A239" s="47" t="str">
        <f ca="1">IF(ISERROR(F238),"",A216)</f>
        <v>Name:</v>
      </c>
      <c r="B239" s="47" t="str">
        <f ca="1">IFERROR(VLOOKUP(B238,INDIRECT($F$8),4,0),"")</f>
        <v>NISHTHA ARORA</v>
      </c>
      <c r="C239" s="47"/>
      <c r="D239" s="47" t="str">
        <f ca="1">IF(ISERROR(F238),"",D216)</f>
        <v>Father's Name:</v>
      </c>
      <c r="E239" s="47" t="str">
        <f ca="1">IFERROR(VLOOKUP(B238,INDIRECT($F$8),5,0),"")</f>
        <v>SUNIL ARORA</v>
      </c>
      <c r="F239" s="47"/>
      <c r="G239" s="47" t="str">
        <f ca="1">IF(ISERROR(F238),"",G216)</f>
        <v>University Roll No:</v>
      </c>
      <c r="H239" s="47"/>
      <c r="I239" s="48">
        <f ca="1">IFERROR(VLOOKUP(B238,INDIRECT($F$8),2,0),"")</f>
        <v>250090600011</v>
      </c>
      <c r="J239" s="48"/>
      <c r="K239" s="47" t="str">
        <f ca="1">IF(ISERROR(F238),"",K216)</f>
        <v>University Enrol. No:</v>
      </c>
      <c r="L239" s="47"/>
      <c r="M239" s="48" t="str">
        <f ca="1">IFERROR(VLOOKUP(B238,INDIRECT($F$8),3,0),"")</f>
        <v>UTU/2506100161</v>
      </c>
      <c r="N239" s="48"/>
    </row>
    <row r="240" spans="1:24" ht="15" x14ac:dyDescent="0.2">
      <c r="A240" s="47"/>
      <c r="B240" s="47"/>
      <c r="C240" s="47"/>
      <c r="D240" s="47"/>
      <c r="E240" s="47"/>
      <c r="F240" s="47"/>
      <c r="G240" s="47"/>
      <c r="H240" s="47"/>
      <c r="I240" s="48"/>
      <c r="J240" s="48"/>
      <c r="K240" s="47"/>
      <c r="L240" s="47"/>
      <c r="M240" s="48"/>
      <c r="N240" s="48"/>
    </row>
    <row r="241" spans="1:24" ht="11.25" customHeight="1" x14ac:dyDescent="0.2">
      <c r="A241" s="45" t="str">
        <f ca="1">IF(ISERROR(F238),"",A218)</f>
        <v>Subject Code</v>
      </c>
      <c r="B241" s="45" t="str">
        <f ca="1">IF(ISERROR(F238),"",B218)</f>
        <v>Subject Name</v>
      </c>
      <c r="C241" s="45"/>
      <c r="D241" s="45"/>
      <c r="E241" s="45"/>
      <c r="F241" s="45" t="str">
        <f ca="1">IF(ISERROR(F238),"",F218)</f>
        <v>Credits</v>
      </c>
      <c r="G241" s="45" t="str">
        <f ca="1">IF(ISERROR(F238),"",G218)</f>
        <v>External Marks</v>
      </c>
      <c r="H241" s="45"/>
      <c r="I241" s="45" t="str">
        <f ca="1">IF(ISERROR(F238),"",I218)</f>
        <v>Sessional Marks</v>
      </c>
      <c r="J241" s="45"/>
      <c r="K241" s="45" t="str">
        <f ca="1">IF(ISERROR(F238),"",K218)</f>
        <v>Total Marks</v>
      </c>
      <c r="L241" s="45"/>
      <c r="M241" s="45" t="str">
        <f ca="1">IF(ISERROR(F238),"",M218)</f>
        <v>Grade</v>
      </c>
      <c r="N241" s="45" t="str">
        <f ca="1">IF(ISERROR(F238),"",N218)</f>
        <v>Grade Points</v>
      </c>
    </row>
    <row r="242" spans="1:24" ht="15" x14ac:dyDescent="0.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W242">
        <f ca="1">IF(ISNUMBER(MATCH($F$8,{"I","III","V","VII"},0)),10,10-INDEX(INDIRECT(_xlfn.TEXTJOIN("",TRUE,"SEM_",$G$8,"!",ADDRESS(6,4+$I$8*3+4),":",ADDRESS(5+$H$8,4+$I$8*3+4))),MATCH(INDIRECT(_xlfn.TEXTJOIN("",TRUE,"TC_",$F$8,"!",ADDRESS(ROW(I239),COLUMN(I239)))),INDIRECT(_xlfn.TEXTJOIN("",TRUE,"SEM_",$G$8,"!",ADDRESS(6,2),":",ADDRESS(5+$H$8,2))))))</f>
        <v>10</v>
      </c>
    </row>
    <row r="243" spans="1:24" ht="11.25" customHeight="1" x14ac:dyDescent="0.2">
      <c r="A243" s="7" t="str">
        <f ca="1">IF(ISERROR(F238),"",VLOOKUP(C238,INDIRECT($F$8),6+(O243-1)*3,0))</f>
        <v>CAT 004</v>
      </c>
      <c r="B243" s="41" t="str">
        <f ca="1">IF(ISERROR(F238),"",VLOOKUP(D238,INDIRECT($F$8),6+(O243-1)*3,0))</f>
        <v>Discrete Structure</v>
      </c>
      <c r="C243" s="41"/>
      <c r="D243" s="41"/>
      <c r="E243" s="41"/>
      <c r="F243" s="7">
        <f ca="1">IF(ISERROR(F238),"",VLOOKUP(E238,INDIRECT($F$8),6+(O243-1)*3,0))</f>
        <v>4</v>
      </c>
      <c r="G243" s="42" t="str">
        <f ca="1">IF(ISERROR(F238),"",_xlfn.TEXTJOIN("/",FALSE,P243,S243))</f>
        <v>53/100</v>
      </c>
      <c r="H243" s="42"/>
      <c r="I243" s="42" t="str">
        <f ca="1">IF(ISERROR(F238),"",_xlfn.TEXTJOIN("/",FALSE,Q243,T243))</f>
        <v>38/50</v>
      </c>
      <c r="J243" s="42"/>
      <c r="K243" s="42" t="str">
        <f ca="1">IF(ISERROR(F238),"",_xlfn.TEXTJOIN("/",FALSE,R243,U243))</f>
        <v>91/150</v>
      </c>
      <c r="L243" s="42"/>
      <c r="M243" s="7" t="str">
        <f ca="1">IF(ISERROR(F238),"",IF(ISTEXT(P243),IF(P243="A","Ab",IF(P243="D","Dt",IF(P243="UFM","UFM",IF(P243="NA","-")))),IF(AND(ISBLANK(P243),ISBLANK(R243)),"",IF(P243&lt;0.3*S243,"F",IF(ISBLANK(R243),"",IF(ISTEXT(R243),R243,IF(R243&gt;=0.95*U243,"O",IF(R243&gt;=0.9*U243,"A+",IF(R243&gt;=0.85*U243,"A",IF(R243&gt;=0.8*U243,"B+",IF(R243&gt;=0.75*U243,"B",IF(R243&gt;=0.7*U243,"C+",IF(R243&gt;=0.65*U243,"C",IF(R243&gt;=0.6*U243,"D+",IF(R243&gt;=0.55*U243,"D",IF(R243&gt;=0.5*U243,"E+",IF(R243&gt;=0.45*U243,"E",IF(R243&gt;=0.4*U243,"P",IF(R243&lt;0.4*U243,"F",R243)))))))))))))))))))</f>
        <v>D+</v>
      </c>
      <c r="N243" s="8">
        <f ca="1">INDEX($Z$2:$Z$18,MATCH(M243,$Y$2:$Y$18,0))</f>
        <v>6.5</v>
      </c>
      <c r="O243">
        <v>1</v>
      </c>
      <c r="P243" s="1">
        <f ca="1">IF(ISERROR(F238),"",IF(ISTEXT(VLOOKUP(B238,INDIRECT($F$8),6+(O243-1)*3)),(VLOOKUP(B238,INDIRECT($F$8),6+(O243-1)*3)),SUM(VLOOKUP(B238,INDIRECT($F$8),6+(O243-1)*3),IF(W257,W243,0))))</f>
        <v>53</v>
      </c>
      <c r="Q243" s="1">
        <f ca="1">IF(ISERROR(F238),"",VLOOKUP(B238,INDIRECT($F$8),7+(O243-1)*3))</f>
        <v>38</v>
      </c>
      <c r="R243" s="1">
        <f ca="1">IF(ISERROR(F238),"",SUM(P243:Q243))</f>
        <v>91</v>
      </c>
      <c r="S243" s="1">
        <f ca="1">IF(ISERROR(F238),"",VLOOKUP(A238,INDIRECT($F$8),6+(O243-1)*3))</f>
        <v>100</v>
      </c>
      <c r="T243" s="1">
        <f ca="1">IF(ISERROR(F238),"",VLOOKUP(A238,INDIRECT($F$8),7+(O243-1)*3))</f>
        <v>50</v>
      </c>
      <c r="U243" s="1">
        <f ca="1">IF(ISERROR(F238),"",VLOOKUP(A238,INDIRECT($F$8),8+(O243-1)*3))</f>
        <v>150</v>
      </c>
      <c r="V243" s="1" t="str">
        <f ca="1">IF(ISERROR(F238),"",IF(N243=0,A243,""))</f>
        <v/>
      </c>
      <c r="W243" s="1">
        <f ca="1">IF(ISERROR(F238),"",IF(ISTEXT(VLOOKUP(B238,INDIRECT($F$8),6+(O243-1)*3)),11,IF(VLOOKUP(B238,INDIRECT($F$8),6+(O243-1)*3)&lt;S243*0.3,IF(VLOOKUP(B238,INDIRECT($F$8),8+(O243-1)*3)&lt;U243*0.4,IF(AND(0.4*U243-VLOOKUP(B238,INDIRECT($F$8),8+(O243-1)*3)&lt;=5,0.3*S243-VLOOKUP(B238,INDIRECT($F$8),6+(O243-1)*3)&lt;=5),MAX(0.4*U243-VLOOKUP(B238,INDIRECT($F$8),8+(O243-1)*3),0.3*S243-VLOOKUP(B238,INDIRECT($F$8),6+(O243-1)*3)),11),IF(0.3*S243-VLOOKUP(B238,INDIRECT($F$8),6+(O243-1)*3)&lt;=5,0.3*S243-VLOOKUP(B238,INDIRECT($F$8),6+(O243-1)*3),11)),IF(VLOOKUP(B238,INDIRECT($F$8),8+(O243-1)*3)&lt;U243*0.4,IF(U243*0.4-VLOOKUP(B238,INDIRECT($F$8),8+(O243-1)*3)&lt;=5,U243*0.4-VLOOKUP(B238,INDIRECT($F$8),8+(O243-1)*3),11),0))))</f>
        <v>0</v>
      </c>
      <c r="X243" s="1" t="str">
        <f ca="1">IF(ISERROR(F238),"",IF(W243=0,"",_xlfn.TEXTJOIN("",FALSE," G+",W243," in ",A243)))</f>
        <v/>
      </c>
    </row>
    <row r="244" spans="1:24" ht="11.25" customHeight="1" x14ac:dyDescent="0.2">
      <c r="A244" s="7" t="str">
        <f ca="1">IF(ISERROR(F238),"",VLOOKUP(C238,INDIRECT($F$8),6+(O244-1)*3,0))</f>
        <v>CAT 005</v>
      </c>
      <c r="B244" s="41" t="str">
        <f ca="1">IF(ISERROR(F238),"",VLOOKUP(D238,INDIRECT($F$8),6+(O244-1)*3,0))</f>
        <v>Database Management System</v>
      </c>
      <c r="C244" s="41"/>
      <c r="D244" s="41"/>
      <c r="E244" s="41"/>
      <c r="F244" s="7">
        <f ca="1">IF(ISERROR(F238),"",VLOOKUP(E238,INDIRECT($F$8),6+(O244-1)*3,0))</f>
        <v>4</v>
      </c>
      <c r="G244" s="42" t="str">
        <f ca="1">IF(ISERROR(F238),"",_xlfn.TEXTJOIN("/",FALSE,P244,S244))</f>
        <v>66/100</v>
      </c>
      <c r="H244" s="42"/>
      <c r="I244" s="42" t="str">
        <f ca="1">IF(ISERROR(F238),"",_xlfn.TEXTJOIN("/",FALSE,Q244,T244))</f>
        <v>38/50</v>
      </c>
      <c r="J244" s="42"/>
      <c r="K244" s="42" t="str">
        <f ca="1">IF(ISERROR(F238),"",_xlfn.TEXTJOIN("/",FALSE,R244,U244))</f>
        <v>104/150</v>
      </c>
      <c r="L244" s="42"/>
      <c r="M244" s="7" t="str">
        <f ca="1">IF(ISERROR(F238),"",IF(ISTEXT(P244),IF(P244="A","Ab",IF(P244="D","Dt",IF(P244="UFM","UFM",IF(P244="NA","-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C</v>
      </c>
      <c r="N244" s="8">
        <f t="shared" ref="N244:N255" ca="1" si="20">INDEX($Z$2:$Z$18,MATCH(M244,$Y$2:$Y$18,0))</f>
        <v>7</v>
      </c>
      <c r="O244">
        <f>O243+1</f>
        <v>2</v>
      </c>
      <c r="P244" s="1">
        <f ca="1">IF(ISERROR(F238),"",IF(ISTEXT(VLOOKUP(B238,INDIRECT($F$8),6+(O244-1)*3)),(VLOOKUP(B238,INDIRECT($F$8),6+(O244-1)*3)),SUM(VLOOKUP(B238,INDIRECT($F$8),6+(O244-1)*3),IF(W257,W244,0))))</f>
        <v>66</v>
      </c>
      <c r="Q244" s="1">
        <f ca="1">IF(ISERROR(F238),"",VLOOKUP(B238,INDIRECT($F$8),7+(O244-1)*3))</f>
        <v>38</v>
      </c>
      <c r="R244" s="1">
        <f ca="1">IF(ISERROR(F238),"",SUM(P244:Q244))</f>
        <v>104</v>
      </c>
      <c r="S244" s="1">
        <f ca="1">IF(ISERROR(F238),"",VLOOKUP(A238,INDIRECT($F$8),6+(O244-1)*3))</f>
        <v>100</v>
      </c>
      <c r="T244" s="1">
        <f ca="1">IF(ISERROR(F238),"",VLOOKUP(A238,INDIRECT($F$8),7+(O244-1)*3))</f>
        <v>50</v>
      </c>
      <c r="U244" s="1">
        <f ca="1">IF(ISERROR(F238),"",VLOOKUP(A238,INDIRECT($F$8),8+(O244-1)*3))</f>
        <v>150</v>
      </c>
      <c r="V244" s="1" t="str">
        <f ca="1">IF(ISERROR(F238),"",IF(N244=0,A244,""))</f>
        <v/>
      </c>
      <c r="W244" s="1">
        <f ca="1">IF(ISERROR(F238),"",IF(ISTEXT(VLOOKUP(B238,INDIRECT($F$8),6+(O244-1)*3)),11,IF(VLOOKUP(B238,INDIRECT($F$8),6+(O244-1)*3)&lt;S244*0.3,IF(VLOOKUP(B238,INDIRECT($F$8),8+(O244-1)*3)&lt;U244*0.4,IF(AND(0.4*U244-VLOOKUP(B238,INDIRECT($F$8),8+(O244-1)*3)&lt;=5,0.3*S244-VLOOKUP(B238,INDIRECT($F$8),6+(O244-1)*3)&lt;=5),MAX(0.4*U244-VLOOKUP(B238,INDIRECT($F$8),8+(O244-1)*3),0.3*S244-VLOOKUP(B238,INDIRECT($F$8),6+(O244-1)*3)),11),IF(0.3*S244-VLOOKUP(B238,INDIRECT($F$8),6+(O244-1)*3)&lt;=5,0.3*S244-VLOOKUP(B238,INDIRECT($F$8),6+(O244-1)*3),11)),IF(VLOOKUP(B238,INDIRECT($F$8),8+(O244-1)*3)&lt;U244*0.4,IF(U244*0.4-VLOOKUP(B238,INDIRECT($F$8),8+(O244-1)*3)&lt;=5,U244*0.4-VLOOKUP(B238,INDIRECT($F$8),8+(O244-1)*3),11),0))))</f>
        <v>0</v>
      </c>
      <c r="X244" s="1" t="str">
        <f ca="1">IF(ISERROR(F238),"",IF(W244=0,"",_xlfn.TEXTJOIN("",FALSE," G+",W244," in ",A244)))</f>
        <v/>
      </c>
    </row>
    <row r="245" spans="1:24" ht="11.25" customHeight="1" x14ac:dyDescent="0.2">
      <c r="A245" s="7" t="str">
        <f ca="1">IF(ISERROR(F238),"",VLOOKUP(C238,INDIRECT($F$8),6+(O245-1)*3,0))</f>
        <v>CAT 006</v>
      </c>
      <c r="B245" s="41" t="str">
        <f ca="1">IF(ISERROR(F238),"",VLOOKUP(D238,INDIRECT($F$8),6+(O245-1)*3,0))</f>
        <v>Operating System</v>
      </c>
      <c r="C245" s="41"/>
      <c r="D245" s="41"/>
      <c r="E245" s="41"/>
      <c r="F245" s="7">
        <f ca="1">IF(ISERROR(F238),"",VLOOKUP(E238,INDIRECT($F$8),6+(O245-1)*3,0))</f>
        <v>4</v>
      </c>
      <c r="G245" s="42" t="str">
        <f ca="1">IF(ISERROR(F238),"",_xlfn.TEXTJOIN("/",FALSE,P245,S245))</f>
        <v>67/100</v>
      </c>
      <c r="H245" s="42"/>
      <c r="I245" s="42" t="str">
        <f ca="1">IF(ISERROR(F238),"",_xlfn.TEXTJOIN("/",FALSE,Q245,T245))</f>
        <v>50/50</v>
      </c>
      <c r="J245" s="42"/>
      <c r="K245" s="42" t="str">
        <f ca="1">IF(ISERROR(F238),"",_xlfn.TEXTJOIN("/",FALSE,R245,U245))</f>
        <v>117/150</v>
      </c>
      <c r="L245" s="42"/>
      <c r="M245" s="7" t="str">
        <f ca="1">IF(ISERROR(F238),"",IF(ISTEXT(P245),IF(P245="A","Ab",IF(P245="D","Dt",IF(P245="UFM","UFM",IF(P245="NA","-")))),IF(AND(ISBLANK(P245),ISBLANK(R245)),"",IF(P245&lt;0.3*S245,"F",IF(ISBLANK(R245),"",IF(ISTEXT(R245),R245,IF(R245&gt;=0.95*U245,"O",IF(R245&gt;=0.9*U245,"A+",IF(R245&gt;=0.85*U245,"A",IF(R245&gt;=0.8*U245,"B+",IF(R245&gt;=0.75*U245,"B",IF(R245&gt;=0.7*U245,"C+",IF(R245&gt;=0.65*U245,"C",IF(R245&gt;=0.6*U245,"D+",IF(R245&gt;=0.55*U245,"D",IF(R245&gt;=0.5*U245,"E+",IF(R245&gt;=0.45*U245,"E",IF(R245&gt;=0.4*U245,"P",IF(R245&lt;0.4*U245,"F",R245)))))))))))))))))))</f>
        <v>B</v>
      </c>
      <c r="N245" s="8">
        <f t="shared" ca="1" si="20"/>
        <v>8</v>
      </c>
      <c r="O245">
        <f>O244+1</f>
        <v>3</v>
      </c>
      <c r="P245" s="1">
        <f ca="1">IF(ISERROR(F238),"",IF(ISTEXT(VLOOKUP(B238,INDIRECT($F$8),6+(O245-1)*3)),(VLOOKUP(B238,INDIRECT($F$8),6+(O245-1)*3)),SUM(VLOOKUP(B238,INDIRECT($F$8),6+(O245-1)*3),IF(W257,W245,0))))</f>
        <v>67</v>
      </c>
      <c r="Q245" s="1">
        <f ca="1">IF(ISERROR(F238),"",VLOOKUP(B238,INDIRECT($F$8),7+(O245-1)*3))</f>
        <v>50</v>
      </c>
      <c r="R245" s="1">
        <f ca="1">IF(ISERROR(F238),"",SUM(P245:Q245))</f>
        <v>117</v>
      </c>
      <c r="S245" s="1">
        <f ca="1">IF(ISERROR(F238),"",VLOOKUP(A238,INDIRECT($F$8),6+(O245-1)*3))</f>
        <v>100</v>
      </c>
      <c r="T245" s="1">
        <f ca="1">IF(ISERROR(F238),"",VLOOKUP(A238,INDIRECT($F$8),7+(O245-1)*3))</f>
        <v>50</v>
      </c>
      <c r="U245" s="1">
        <f ca="1">IF(ISERROR(F238),"",VLOOKUP(A238,INDIRECT($F$8),8+(O245-1)*3))</f>
        <v>150</v>
      </c>
      <c r="V245" s="1" t="str">
        <f ca="1">IF(ISERROR(F238),"",IF(N245=0,A245,""))</f>
        <v/>
      </c>
      <c r="W245" s="1">
        <f ca="1">IF(ISERROR(F238),"",IF(ISTEXT(VLOOKUP(B238,INDIRECT($F$8),6+(O245-1)*3)),11,IF(VLOOKUP(B238,INDIRECT($F$8),6+(O245-1)*3)&lt;S245*0.3,IF(VLOOKUP(B238,INDIRECT($F$8),8+(O245-1)*3)&lt;U245*0.4,IF(AND(0.4*U245-VLOOKUP(B238,INDIRECT($F$8),8+(O245-1)*3)&lt;=5,0.3*S245-VLOOKUP(B238,INDIRECT($F$8),6+(O245-1)*3)&lt;=5),MAX(0.4*U245-VLOOKUP(B238,INDIRECT($F$8),8+(O245-1)*3),0.3*S245-VLOOKUP(B238,INDIRECT($F$8),6+(O245-1)*3)),11),IF(0.3*S245-VLOOKUP(B238,INDIRECT($F$8),6+(O245-1)*3)&lt;=5,0.3*S245-VLOOKUP(B238,INDIRECT($F$8),6+(O245-1)*3),11)),IF(VLOOKUP(B238,INDIRECT($F$8),8+(O245-1)*3)&lt;U245*0.4,IF(U245*0.4-VLOOKUP(B238,INDIRECT($F$8),8+(O245-1)*3)&lt;=5,U245*0.4-VLOOKUP(B238,INDIRECT($F$8),8+(O245-1)*3),11),0))))</f>
        <v>0</v>
      </c>
      <c r="X245" s="1" t="str">
        <f ca="1">IF(ISERROR(F238),"",IF(W245=0,"",_xlfn.TEXTJOIN("",FALSE," G+",W245," in ",A245)))</f>
        <v/>
      </c>
    </row>
    <row r="246" spans="1:24" ht="11.25" customHeight="1" x14ac:dyDescent="0.2">
      <c r="A246" s="7" t="str">
        <f ca="1">IF(ISERROR(F238),"",VLOOKUP(C238,INDIRECT($F$8),6+(O246-1)*3,0))</f>
        <v>CAT 007</v>
      </c>
      <c r="B246" s="41" t="str">
        <f ca="1">IF(ISERROR(F238),"",VLOOKUP(D238,INDIRECT($F$8),6+(O246-1)*3,0))</f>
        <v>Computer Organization</v>
      </c>
      <c r="C246" s="41"/>
      <c r="D246" s="41"/>
      <c r="E246" s="41"/>
      <c r="F246" s="7">
        <f ca="1">IF(ISERROR(F238),"",VLOOKUP(E238,INDIRECT($F$8),6+(O246-1)*3,0))</f>
        <v>4</v>
      </c>
      <c r="G246" s="42" t="str">
        <f ca="1">IF(ISERROR(F238),"",_xlfn.TEXTJOIN("/",FALSE,P246,S246))</f>
        <v>55/100</v>
      </c>
      <c r="H246" s="42"/>
      <c r="I246" s="42" t="str">
        <f ca="1">IF(ISERROR(F238),"",_xlfn.TEXTJOIN("/",FALSE,Q246,T246))</f>
        <v>41/50</v>
      </c>
      <c r="J246" s="42"/>
      <c r="K246" s="42" t="str">
        <f ca="1">IF(ISERROR(F238),"",_xlfn.TEXTJOIN("/",FALSE,R246,U246))</f>
        <v>96/150</v>
      </c>
      <c r="L246" s="42"/>
      <c r="M246" s="7" t="str">
        <f ca="1">IF(ISERROR(F238),"",IF(ISTEXT(P246),IF(P246="A","Ab",IF(P246="D","Dt",IF(P246="UFM","UFM",IF(P246="NA","-")))),IF(AND(ISBLANK(P246),ISBLANK(R246)),"",IF(P246&lt;0.3*S246,"F",IF(ISBLANK(R246),"",IF(ISTEXT(R246),R246,IF(R246&gt;=0.95*U246,"O",IF(R246&gt;=0.9*U246,"A+",IF(R246&gt;=0.85*U246,"A",IF(R246&gt;=0.8*U246,"B+",IF(R246&gt;=0.75*U246,"B",IF(R246&gt;=0.7*U246,"C+",IF(R246&gt;=0.65*U246,"C",IF(R246&gt;=0.6*U246,"D+",IF(R246&gt;=0.55*U246,"D",IF(R246&gt;=0.5*U246,"E+",IF(R246&gt;=0.45*U246,"E",IF(R246&gt;=0.4*U246,"P",IF(R246&lt;0.4*U246,"F",R246)))))))))))))))))))</f>
        <v>D+</v>
      </c>
      <c r="N246" s="8">
        <f t="shared" ca="1" si="20"/>
        <v>6.5</v>
      </c>
      <c r="O246">
        <f>O245+1</f>
        <v>4</v>
      </c>
      <c r="P246" s="1">
        <f ca="1">IF(ISERROR(F238),"",IF(ISTEXT(VLOOKUP(B238,INDIRECT($F$8),6+(O246-1)*3)),(VLOOKUP(B238,INDIRECT($F$8),6+(O246-1)*3)),SUM(VLOOKUP(B238,INDIRECT($F$8),6+(O246-1)*3),IF(W257,W246,0))))</f>
        <v>55</v>
      </c>
      <c r="Q246" s="1">
        <f ca="1">IF(ISERROR(F238),"",VLOOKUP(B238,INDIRECT($F$8),7+(O246-1)*3))</f>
        <v>41</v>
      </c>
      <c r="R246" s="1">
        <f ca="1">IF(ISERROR(F238),"",SUM(P246:Q246))</f>
        <v>96</v>
      </c>
      <c r="S246" s="1">
        <f ca="1">IF(ISERROR(F238),"",VLOOKUP(A238,INDIRECT($F$8),6+(O246-1)*3))</f>
        <v>100</v>
      </c>
      <c r="T246" s="1">
        <f ca="1">IF(ISERROR(F238),"",VLOOKUP(A238,INDIRECT($F$8),7+(O246-1)*3))</f>
        <v>50</v>
      </c>
      <c r="U246" s="1">
        <f ca="1">IF(ISERROR(F238),"",VLOOKUP(A238,INDIRECT($F$8),8+(O246-1)*3))</f>
        <v>150</v>
      </c>
      <c r="V246" s="1" t="str">
        <f ca="1">IF(ISERROR(F238),"",IF(N246=0,A246,""))</f>
        <v/>
      </c>
      <c r="W246" s="1">
        <f ca="1">IF(ISERROR(F238),"",IF(ISTEXT(VLOOKUP(B238,INDIRECT($F$8),6+(O246-1)*3)),11,IF(VLOOKUP(B238,INDIRECT($F$8),6+(O246-1)*3)&lt;S246*0.3,IF(VLOOKUP(B238,INDIRECT($F$8),8+(O246-1)*3)&lt;U246*0.4,IF(AND(0.4*U246-VLOOKUP(B238,INDIRECT($F$8),8+(O246-1)*3)&lt;=5,0.3*S246-VLOOKUP(B238,INDIRECT($F$8),6+(O246-1)*3)&lt;=5),MAX(0.4*U246-VLOOKUP(B238,INDIRECT($F$8),8+(O246-1)*3),0.3*S246-VLOOKUP(B238,INDIRECT($F$8),6+(O246-1)*3)),11),IF(0.3*S246-VLOOKUP(B238,INDIRECT($F$8),6+(O246-1)*3)&lt;=5,0.3*S246-VLOOKUP(B238,INDIRECT($F$8),6+(O246-1)*3),11)),IF(VLOOKUP(B238,INDIRECT($F$8),8+(O246-1)*3)&lt;U246*0.4,IF(U246*0.4-VLOOKUP(B238,INDIRECT($F$8),8+(O246-1)*3)&lt;=5,U246*0.4-VLOOKUP(B238,INDIRECT($F$8),8+(O246-1)*3),11),0))))</f>
        <v>0</v>
      </c>
      <c r="X246" s="1" t="str">
        <f ca="1">IF(ISERROR(F238),"",IF(W246=0,"",_xlfn.TEXTJOIN("",FALSE," G+",W246," in ",A246)))</f>
        <v/>
      </c>
    </row>
    <row r="247" spans="1:24" ht="11.25" customHeight="1" x14ac:dyDescent="0.2">
      <c r="A247" s="7" t="str">
        <f ca="1">IF(ISERROR(F238),"",VLOOKUP(C238,INDIRECT($F$8),6+(O247-1)*3,0))</f>
        <v>AHT 303</v>
      </c>
      <c r="B247" s="41" t="str">
        <f ca="1">IF(ISERROR(F238),"",VLOOKUP(D238,INDIRECT($F$8),6+(O247-1)*3,0))</f>
        <v>Technical Communication Skills</v>
      </c>
      <c r="C247" s="41"/>
      <c r="D247" s="41"/>
      <c r="E247" s="41"/>
      <c r="F247" s="7">
        <f ca="1">IF(ISERROR(F238),"",VLOOKUP(E238,INDIRECT($F$8),6+(O247-1)*3,0))</f>
        <v>4</v>
      </c>
      <c r="G247" s="42" t="str">
        <f ca="1">IF(ISERROR(F238),"",_xlfn.TEXTJOIN("/",FALSE,P247,S247))</f>
        <v>85/100</v>
      </c>
      <c r="H247" s="42"/>
      <c r="I247" s="42" t="str">
        <f ca="1">IF(ISERROR(F238),"",_xlfn.TEXTJOIN("/",FALSE,Q247,T247))</f>
        <v>34/50</v>
      </c>
      <c r="J247" s="42"/>
      <c r="K247" s="42" t="str">
        <f ca="1">IF(ISERROR(F238),"",_xlfn.TEXTJOIN("/",FALSE,R247,U247))</f>
        <v>119/150</v>
      </c>
      <c r="L247" s="42"/>
      <c r="M247" s="7" t="str">
        <f ca="1">IF(ISERROR(F238),"",IF(ISTEXT(P247),IF(P247="A","Ab",IF(P247="D","Dt",IF(P247="UFM","UFM",IF(P247="NA","-")))),IF(AND(ISBLANK(P247),ISBLANK(R247)),"",IF(P247&lt;0.3*S247,"F",IF(ISBLANK(R247),"",IF(ISTEXT(R247),R247,IF(R247&gt;=0.95*U247,"O",IF(R247&gt;=0.9*U247,"A+",IF(R247&gt;=0.85*U247,"A",IF(R247&gt;=0.8*U247,"B+",IF(R247&gt;=0.75*U247,"B",IF(R247&gt;=0.7*U247,"C+",IF(R247&gt;=0.65*U247,"C",IF(R247&gt;=0.6*U247,"D+",IF(R247&gt;=0.55*U247,"D",IF(R247&gt;=0.5*U247,"E+",IF(R247&gt;=0.45*U247,"E",IF(R247&gt;=0.4*U247,"P",IF(R247&lt;0.4*U247,"F",R247)))))))))))))))))))</f>
        <v>B</v>
      </c>
      <c r="N247" s="8">
        <f t="shared" ca="1" si="20"/>
        <v>8</v>
      </c>
      <c r="O247">
        <f t="shared" ref="O247:O256" si="21">O246+1</f>
        <v>5</v>
      </c>
      <c r="P247" s="1">
        <f ca="1">IF(ISERROR(F238),"",IF(ISTEXT(VLOOKUP(B238,INDIRECT($F$8),6+(O247-1)*3)),(VLOOKUP(B238,INDIRECT($F$8),6+(O247-1)*3)),SUM(VLOOKUP(B238,INDIRECT($F$8),6+(O247-1)*3),IF(W257,W247,0))))</f>
        <v>85</v>
      </c>
      <c r="Q247" s="1">
        <f ca="1">IF(ISERROR(F238),"",VLOOKUP(B238,INDIRECT($F$8),7+(O247-1)*3))</f>
        <v>34</v>
      </c>
      <c r="R247" s="1">
        <f ca="1">IF(ISERROR(F238),"",SUM(P247:Q247))</f>
        <v>119</v>
      </c>
      <c r="S247" s="1">
        <f ca="1">IF(ISERROR(F238),"",VLOOKUP(A238,INDIRECT($F$8),6+(O247-1)*3))</f>
        <v>100</v>
      </c>
      <c r="T247" s="1">
        <f ca="1">IF(ISERROR(F238),"",VLOOKUP(A238,INDIRECT($F$8),7+(O247-1)*3))</f>
        <v>50</v>
      </c>
      <c r="U247" s="1">
        <f ca="1">IF(ISERROR(F238),"",VLOOKUP(A238,INDIRECT($F$8),8+(O247-1)*3))</f>
        <v>150</v>
      </c>
      <c r="V247" s="1" t="str">
        <f ca="1">IF(ISERROR(F238),"",IF(N247=0,A247,""))</f>
        <v/>
      </c>
      <c r="W247" s="1">
        <f ca="1">IF(ISERROR(F238),"",IF(ISTEXT(VLOOKUP(B238,INDIRECT($F$8),6+(O247-1)*3)),11,IF(VLOOKUP(B238,INDIRECT($F$8),6+(O247-1)*3)&lt;S247*0.3,IF(VLOOKUP(B238,INDIRECT($F$8),8+(O247-1)*3)&lt;U247*0.4,IF(AND(0.4*U247-VLOOKUP(B238,INDIRECT($F$8),8+(O247-1)*3)&lt;=5,0.3*S247-VLOOKUP(B238,INDIRECT($F$8),6+(O247-1)*3)&lt;=5),MAX(0.4*U247-VLOOKUP(B238,INDIRECT($F$8),8+(O247-1)*3),0.3*S247-VLOOKUP(B238,INDIRECT($F$8),6+(O247-1)*3)),11),IF(0.3*S247-VLOOKUP(B238,INDIRECT($F$8),6+(O247-1)*3)&lt;=5,0.3*S247-VLOOKUP(B238,INDIRECT($F$8),6+(O247-1)*3),11)),IF(VLOOKUP(B238,INDIRECT($F$8),8+(O247-1)*3)&lt;U247*0.4,IF(U247*0.4-VLOOKUP(B238,INDIRECT($F$8),8+(O247-1)*3)&lt;=5,U247*0.4-VLOOKUP(B238,INDIRECT($F$8),8+(O247-1)*3),11),0))))</f>
        <v>0</v>
      </c>
      <c r="X247" s="1" t="str">
        <f ca="1">IF(ISERROR(F238),"",IF(W247=0,"",_xlfn.TEXTJOIN("",FALSE," G+",W247," in ",A247)))</f>
        <v/>
      </c>
    </row>
    <row r="248" spans="1:24" ht="11.25" customHeight="1" x14ac:dyDescent="0.2">
      <c r="A248" s="7" t="str">
        <f ca="1">IF(ISERROR(F238),"",VLOOKUP(C238,INDIRECT($F$8),6+(O248-1)*3,0))</f>
        <v>CAT 008</v>
      </c>
      <c r="B248" s="41" t="str">
        <f ca="1">IF(ISERROR(F238),"",VLOOKUP(D238,INDIRECT($F$8),6+(O248-1)*3,0))</f>
        <v>Python Programming ($)</v>
      </c>
      <c r="C248" s="41"/>
      <c r="D248" s="41"/>
      <c r="E248" s="41"/>
      <c r="F248" s="7">
        <f ca="1">IF(ISERROR(F238),"",VLOOKUP(E238,INDIRECT($F$8),6+(O248-1)*3,0))</f>
        <v>0</v>
      </c>
      <c r="G248" s="42" t="str">
        <f ca="1">IF(ISERROR(F238),"",_xlfn.TEXTJOIN("/",FALSE,P248,S248))</f>
        <v>16/30</v>
      </c>
      <c r="H248" s="42"/>
      <c r="I248" s="42" t="str">
        <f ca="1">IF(ISERROR(F238),"",_xlfn.TEXTJOIN("/",FALSE,Q248,T248))</f>
        <v>14/20</v>
      </c>
      <c r="J248" s="42"/>
      <c r="K248" s="42" t="str">
        <f ca="1">IF(ISERROR(F238),"",_xlfn.TEXTJOIN("/",FALSE,R248,U248))</f>
        <v>30/50</v>
      </c>
      <c r="L248" s="42"/>
      <c r="M248" s="7" t="str">
        <f ca="1">IF(ISERROR(F238),"",IF(ISTEXT(P248),IF(P248="A","Ab",IF(P248="D","Dt",IF(P248="UFM","UFM",IF(P248="NA","-")))),IF(AND(ISBLANK(P248),ISBLANK(R248)),"",IF(P248&lt;0.3*S248,"F",IF(ISBLANK(R248),"",IF(ISTEXT(R248),R248,IF(R248&gt;=0.95*U248,"O",IF(R248&gt;=0.9*U248,"A+",IF(R248&gt;=0.85*U248,"A",IF(R248&gt;=0.8*U248,"B+",IF(R248&gt;=0.75*U248,"B",IF(R248&gt;=0.7*U248,"C+",IF(R248&gt;=0.65*U248,"C",IF(R248&gt;=0.6*U248,"D+",IF(R248&gt;=0.55*U248,"D",IF(R248&gt;=0.5*U248,"E+",IF(R248&gt;=0.45*U248,"E",IF(R248&gt;=0.4*U248,"P",IF(R248&lt;0.4*U248,"F",R248)))))))))))))))))))</f>
        <v>D+</v>
      </c>
      <c r="N248" s="8">
        <f t="shared" ca="1" si="20"/>
        <v>6.5</v>
      </c>
      <c r="O248">
        <f t="shared" si="21"/>
        <v>6</v>
      </c>
      <c r="P248" s="1">
        <f ca="1">IF(ISERROR(F238),"",IF(ISTEXT(VLOOKUP(B238,INDIRECT($F$8),6+(O248-1)*3)),(VLOOKUP(B238,INDIRECT($F$8),6+(O248-1)*3)),SUM(VLOOKUP(B238,INDIRECT($F$8),6+(O248-1)*3),IF(W257,W248,0))))</f>
        <v>16</v>
      </c>
      <c r="Q248" s="1">
        <f ca="1">IF(ISERROR(F238),"",VLOOKUP(B238,INDIRECT($F$8),7+(O248-1)*3))</f>
        <v>14</v>
      </c>
      <c r="R248" s="1">
        <f ca="1">IF(ISERROR(F238),"",SUM(P248:Q248))</f>
        <v>30</v>
      </c>
      <c r="S248" s="1">
        <f ca="1">IF(ISERROR(F238),"",VLOOKUP(A238,INDIRECT($F$8),6+(O248-1)*3))</f>
        <v>30</v>
      </c>
      <c r="T248" s="1">
        <f ca="1">IF(ISERROR(F238),"",VLOOKUP(A238,INDIRECT($F$8),7+(O248-1)*3))</f>
        <v>20</v>
      </c>
      <c r="U248" s="1">
        <f ca="1">IF(ISERROR(F238),"",VLOOKUP(A238,INDIRECT($F$8),8+(O248-1)*3))</f>
        <v>50</v>
      </c>
      <c r="V248" s="1" t="str">
        <f ca="1">IF(ISERROR(F238),"",IF(N248=0,A248,""))</f>
        <v/>
      </c>
      <c r="W248" s="1">
        <f ca="1">IF(ISERROR(F238),"",IF(ISTEXT(VLOOKUP(B238,INDIRECT($F$8),6+(O248-1)*3)),11,IF(VLOOKUP(B238,INDIRECT($F$8),6+(O248-1)*3)&lt;S248*0.3,IF(VLOOKUP(B238,INDIRECT($F$8),8+(O248-1)*3)&lt;U248*0.4,IF(AND(0.4*U248-VLOOKUP(B238,INDIRECT($F$8),8+(O248-1)*3)&lt;=5,0.3*S248-VLOOKUP(B238,INDIRECT($F$8),6+(O248-1)*3)&lt;=5),MAX(0.4*U248-VLOOKUP(B238,INDIRECT($F$8),8+(O248-1)*3),0.3*S248-VLOOKUP(B238,INDIRECT($F$8),6+(O248-1)*3)),11),IF(0.3*S248-VLOOKUP(B238,INDIRECT($F$8),6+(O248-1)*3)&lt;=5,0.3*S248-VLOOKUP(B238,INDIRECT($F$8),6+(O248-1)*3),11)),IF(VLOOKUP(B238,INDIRECT($F$8),8+(O248-1)*3)&lt;U248*0.4,IF(U248*0.4-VLOOKUP(B238,INDIRECT($F$8),8+(O248-1)*3)&lt;=5,U248*0.4-VLOOKUP(B238,INDIRECT($F$8),8+(O248-1)*3),11),0))))</f>
        <v>0</v>
      </c>
      <c r="X248" s="1" t="str">
        <f ca="1">IF(ISERROR(F238),"",IF(W248=0,"",_xlfn.TEXTJOIN("",FALSE," G+",W248," in ",A248)))</f>
        <v/>
      </c>
    </row>
    <row r="249" spans="1:24" ht="11.25" customHeight="1" x14ac:dyDescent="0.2">
      <c r="A249" s="7" t="str">
        <f ca="1">IF(ISERROR(F238),"",VLOOKUP(C238,INDIRECT($F$8),6+(O249-1)*3,0))</f>
        <v>CAT 001</v>
      </c>
      <c r="B249" s="41" t="str">
        <f ca="1">IF(ISERROR(F238),"",VLOOKUP(D238,INDIRECT($F$8),6+(O249-1)*3,0))</f>
        <v>Introduction of Information Technology ($)</v>
      </c>
      <c r="C249" s="41"/>
      <c r="D249" s="41"/>
      <c r="E249" s="41"/>
      <c r="F249" s="7">
        <f ca="1">IF(ISERROR(F238),"",VLOOKUP(E238,INDIRECT($F$8),6+(O249-1)*3,0))</f>
        <v>0</v>
      </c>
      <c r="G249" s="42" t="str">
        <f ca="1">IF(ISERROR(F238),"",_xlfn.TEXTJOIN("/",FALSE,P249,S249))</f>
        <v>NA/30</v>
      </c>
      <c r="H249" s="42"/>
      <c r="I249" s="42" t="str">
        <f ca="1">IF(ISERROR(F238),"",_xlfn.TEXTJOIN("/",FALSE,Q249,T249))</f>
        <v>NA/20</v>
      </c>
      <c r="J249" s="42"/>
      <c r="K249" s="42" t="str">
        <f ca="1">IF(ISERROR(F238),"",_xlfn.TEXTJOIN("/",FALSE,R249,U249))</f>
        <v>0/50</v>
      </c>
      <c r="L249" s="42"/>
      <c r="M249" s="7" t="str">
        <f ca="1">IF(ISERROR(F238),"",IF(ISTEXT(P249),IF(P249="A","Ab",IF(P249="D","Dt",IF(P249="UFM","UFM",IF(P249="NA","-")))),IF(AND(ISBLANK(P249),ISBLANK(R249)),"",IF(P249&lt;0.3*S249,"F",IF(ISBLANK(R249),"",IF(ISTEXT(R249),R249,IF(R249&gt;=0.95*U249,"O",IF(R249&gt;=0.9*U249,"A+",IF(R249&gt;=0.85*U249,"A",IF(R249&gt;=0.8*U249,"B+",IF(R249&gt;=0.75*U249,"B",IF(R249&gt;=0.7*U249,"C+",IF(R249&gt;=0.65*U249,"C",IF(R249&gt;=0.6*U249,"D+",IF(R249&gt;=0.55*U249,"D",IF(R249&gt;=0.5*U249,"E+",IF(R249&gt;=0.45*U249,"E",IF(R249&gt;=0.4*U249,"P",IF(R249&lt;0.4*U249,"F",R249)))))))))))))))))))</f>
        <v>-</v>
      </c>
      <c r="N249" s="8" t="str">
        <f t="shared" ca="1" si="20"/>
        <v>-</v>
      </c>
      <c r="O249">
        <f t="shared" si="21"/>
        <v>7</v>
      </c>
      <c r="P249" s="1" t="str">
        <f ca="1">IF(ISERROR(F238),"",IF(ISTEXT(VLOOKUP(B238,INDIRECT($F$8),6+(O249-1)*3)),(VLOOKUP(B238,INDIRECT($F$8),6+(O249-1)*3)),SUM(VLOOKUP(B238,INDIRECT($F$8),6+(O249-1)*3),IF(W257,W249,0))))</f>
        <v>NA</v>
      </c>
      <c r="Q249" s="1" t="str">
        <f ca="1">IF(ISERROR(F238),"",VLOOKUP(B238,INDIRECT($F$8),7+(O249-1)*3))</f>
        <v>NA</v>
      </c>
      <c r="R249" s="1">
        <f ca="1">IF(ISERROR(F238),"",SUM(P249:Q249))</f>
        <v>0</v>
      </c>
      <c r="S249" s="1">
        <f ca="1">IF(ISERROR(F238),"",VLOOKUP(A238,INDIRECT($F$8),6+(O249-1)*3))</f>
        <v>30</v>
      </c>
      <c r="T249" s="1">
        <f ca="1">IF(ISERROR(F238),"",VLOOKUP(A238,INDIRECT($F$8),7+(O249-1)*3))</f>
        <v>20</v>
      </c>
      <c r="U249" s="1">
        <f ca="1">IF(ISERROR(F238),"",VLOOKUP(A238,INDIRECT($F$8),8+(O249-1)*3))</f>
        <v>50</v>
      </c>
      <c r="V249" s="1" t="str">
        <f ca="1">IF(ISERROR(F238),"",IF(N249=0,A249,""))</f>
        <v/>
      </c>
      <c r="W249" s="1">
        <f ca="1">IF(ISERROR(F238),"",IF(ISTEXT(VLOOKUP(B238,INDIRECT($F$8),6+(O249-1)*3)),11,IF(VLOOKUP(B238,INDIRECT($F$8),6+(O249-1)*3)&lt;S249*0.3,IF(VLOOKUP(B238,INDIRECT($F$8),8+(O249-1)*3)&lt;U249*0.4,IF(AND(0.4*U249-VLOOKUP(B238,INDIRECT($F$8),8+(O249-1)*3)&lt;=5,0.3*S249-VLOOKUP(B238,INDIRECT($F$8),6+(O249-1)*3)&lt;=5),MAX(0.4*U249-VLOOKUP(B238,INDIRECT($F$8),8+(O249-1)*3),0.3*S249-VLOOKUP(B238,INDIRECT($F$8),6+(O249-1)*3)),11),IF(0.3*S249-VLOOKUP(B238,INDIRECT($F$8),6+(O249-1)*3)&lt;=5,0.3*S249-VLOOKUP(B238,INDIRECT($F$8),6+(O249-1)*3),11)),IF(VLOOKUP(B238,INDIRECT($F$8),8+(O249-1)*3)&lt;U249*0.4,IF(U249*0.4-VLOOKUP(B238,INDIRECT($F$8),8+(O249-1)*3)&lt;=5,U249*0.4-VLOOKUP(B238,INDIRECT($F$8),8+(O249-1)*3),11),0))))</f>
        <v>11</v>
      </c>
      <c r="X249" s="1" t="str">
        <f ca="1">IF(ISERROR(F238),"",IF(W249=0,"",_xlfn.TEXTJOIN("",FALSE," G+",W249," in ",A249)))</f>
        <v xml:space="preserve"> G+11 in CAT 001</v>
      </c>
    </row>
    <row r="250" spans="1:24" ht="11.25" customHeight="1" x14ac:dyDescent="0.2">
      <c r="A250" s="7" t="str">
        <f ca="1">IF(ISERROR(F238),"",VLOOKUP(C238,INDIRECT($F$8),6+(O250-1)*3,0))</f>
        <v>CAT 002</v>
      </c>
      <c r="B250" s="41" t="str">
        <f ca="1">IF(ISERROR(F238),"",VLOOKUP(D238,INDIRECT($F$8),6+(O250-1)*3,0))</f>
        <v>Programming Fundamentals with "C" ($)</v>
      </c>
      <c r="C250" s="41"/>
      <c r="D250" s="41"/>
      <c r="E250" s="41"/>
      <c r="F250" s="7">
        <f ca="1">IF(ISERROR(F238),"",VLOOKUP(E238,INDIRECT($F$8),6+(O250-1)*3,0))</f>
        <v>0</v>
      </c>
      <c r="G250" s="42" t="str">
        <f ca="1">IF(ISERROR(F238),"",_xlfn.TEXTJOIN("/",FALSE,P250,S250))</f>
        <v>NA/30</v>
      </c>
      <c r="H250" s="42"/>
      <c r="I250" s="42" t="str">
        <f ca="1">IF(ISERROR(F238),"",_xlfn.TEXTJOIN("/",FALSE,Q250,T250))</f>
        <v>NA/20</v>
      </c>
      <c r="J250" s="42"/>
      <c r="K250" s="42" t="str">
        <f ca="1">IF(ISERROR(F238),"",_xlfn.TEXTJOIN("/",FALSE,R250,U250))</f>
        <v>0/50</v>
      </c>
      <c r="L250" s="42"/>
      <c r="M250" s="7" t="str">
        <f ca="1">IF(ISERROR(F238),"",IF(ISTEXT(P250),IF(P250="A","Ab",IF(P250="D","Dt",IF(P250="UFM","UFM",IF(P250="NA","-")))),IF(AND(ISBLANK(P250),ISBLANK(R250)),"",IF(P250&lt;0.3*S250,"F",IF(ISBLANK(R250),"",IF(ISTEXT(R250),R250,IF(R250&gt;=0.95*U250,"O",IF(R250&gt;=0.9*U250,"A+",IF(R250&gt;=0.85*U250,"A",IF(R250&gt;=0.8*U250,"B+",IF(R250&gt;=0.75*U250,"B",IF(R250&gt;=0.7*U250,"C+",IF(R250&gt;=0.65*U250,"C",IF(R250&gt;=0.6*U250,"D+",IF(R250&gt;=0.55*U250,"D",IF(R250&gt;=0.5*U250,"E+",IF(R250&gt;=0.45*U250,"E",IF(R250&gt;=0.4*U250,"P",IF(R250&lt;0.4*U250,"F",R250)))))))))))))))))))</f>
        <v>-</v>
      </c>
      <c r="N250" s="8" t="str">
        <f t="shared" ca="1" si="20"/>
        <v>-</v>
      </c>
      <c r="O250">
        <f t="shared" si="21"/>
        <v>8</v>
      </c>
      <c r="P250" s="1" t="str">
        <f ca="1">IF(ISERROR(F238),"",IF(ISTEXT(VLOOKUP(B238,INDIRECT($F$8),6+(O250-1)*3)),(VLOOKUP(B238,INDIRECT($F$8),6+(O250-1)*3)),SUM(VLOOKUP(B238,INDIRECT($F$8),6+(O250-1)*3),IF(W257,W250,0))))</f>
        <v>NA</v>
      </c>
      <c r="Q250" s="1" t="str">
        <f ca="1">IF(ISERROR(F238),"",VLOOKUP(B238,INDIRECT($F$8),7+(O250-1)*3))</f>
        <v>NA</v>
      </c>
      <c r="R250" s="1">
        <f ca="1">IF(ISERROR(F238),"",SUM(P250:Q250))</f>
        <v>0</v>
      </c>
      <c r="S250" s="1">
        <f ca="1">IF(ISERROR(F238),"",VLOOKUP(A238,INDIRECT($F$8),6+(O250-1)*3))</f>
        <v>30</v>
      </c>
      <c r="T250" s="1">
        <f ca="1">IF(ISERROR(F238),"",VLOOKUP(A238,INDIRECT($F$8),7+(O250-1)*3))</f>
        <v>20</v>
      </c>
      <c r="U250" s="1">
        <f ca="1">IF(ISERROR(F238),"",VLOOKUP(A238,INDIRECT($F$8),8+(O250-1)*3))</f>
        <v>50</v>
      </c>
      <c r="V250" s="1" t="str">
        <f ca="1">IF(ISERROR(F238),"",IF(N250=0,A250,""))</f>
        <v/>
      </c>
      <c r="W250" s="1">
        <f ca="1">IF(ISERROR(F238),"",IF(ISTEXT(VLOOKUP(B238,INDIRECT($F$8),6+(O250-1)*3)),11,IF(VLOOKUP(B238,INDIRECT($F$8),6+(O250-1)*3)&lt;S250*0.3,IF(VLOOKUP(B238,INDIRECT($F$8),8+(O250-1)*3)&lt;U250*0.4,IF(AND(0.4*U250-VLOOKUP(B238,INDIRECT($F$8),8+(O250-1)*3)&lt;=5,0.3*S250-VLOOKUP(B238,INDIRECT($F$8),6+(O250-1)*3)&lt;=5),MAX(0.4*U250-VLOOKUP(B238,INDIRECT($F$8),8+(O250-1)*3),0.3*S250-VLOOKUP(B238,INDIRECT($F$8),6+(O250-1)*3)),11),IF(0.3*S250-VLOOKUP(B238,INDIRECT($F$8),6+(O250-1)*3)&lt;=5,0.3*S250-VLOOKUP(B238,INDIRECT($F$8),6+(O250-1)*3),11)),IF(VLOOKUP(B238,INDIRECT($F$8),8+(O250-1)*3)&lt;U250*0.4,IF(U250*0.4-VLOOKUP(B238,INDIRECT($F$8),8+(O250-1)*3)&lt;=5,U250*0.4-VLOOKUP(B238,INDIRECT($F$8),8+(O250-1)*3),11),0))))</f>
        <v>11</v>
      </c>
      <c r="X250" s="1" t="str">
        <f ca="1">IF(ISERROR(F238),"",IF(W250=0,"",_xlfn.TEXTJOIN("",FALSE," G+",W250," in ",A250)))</f>
        <v xml:space="preserve"> G+11 in CAT 002</v>
      </c>
    </row>
    <row r="251" spans="1:24" ht="11.25" customHeight="1" x14ac:dyDescent="0.2">
      <c r="A251" s="7" t="str">
        <f ca="1">IF(ISERROR(F238),"",VLOOKUP(C238,INDIRECT($F$8),6+(O251-1)*3,0))</f>
        <v>CAT 003</v>
      </c>
      <c r="B251" s="41" t="str">
        <f ca="1">IF(ISERROR(F238),"",VLOOKUP(D238,INDIRECT($F$8),6+(O251-1)*3-Z251,0))</f>
        <v>Fundamental of Web Technology ($)</v>
      </c>
      <c r="C251" s="41"/>
      <c r="D251" s="41"/>
      <c r="E251" s="41"/>
      <c r="F251" s="7">
        <f ca="1">IF(ISERROR(F238),"",VLOOKUP(E238,INDIRECT($F$8),6+(O251-1)*3,0))</f>
        <v>0</v>
      </c>
      <c r="G251" s="42" t="str">
        <f ca="1">IF(ISERROR(F238),"",_xlfn.TEXTJOIN("/",FALSE,P251,S251))</f>
        <v>NA/30</v>
      </c>
      <c r="H251" s="42"/>
      <c r="I251" s="42" t="str">
        <f ca="1">IF(ISERROR(F238),"",_xlfn.TEXTJOIN("/",FALSE,Q251,T251))</f>
        <v>NA/20</v>
      </c>
      <c r="J251" s="42"/>
      <c r="K251" s="42" t="str">
        <f ca="1">IF(ISERROR(F238),"",_xlfn.TEXTJOIN("/",FALSE,R251,U251))</f>
        <v>0/50</v>
      </c>
      <c r="L251" s="42"/>
      <c r="M251" s="7" t="str">
        <f ca="1">IF(ISERROR(F238),"",IF(ISTEXT(P251),IF(P251="A","Ab",IF(P251="D","Dt",IF(P251="UFM","UFM",IF(P251="NA","-")))),IF(AND(ISBLANK(P251),ISBLANK(R251)),"",IF(P251&lt;0.3*S251,"F",IF(ISBLANK(R251),"",IF(ISTEXT(R251),R251,IF(R251&gt;=0.95*U251,"O",IF(R251&gt;=0.9*U251,"A+",IF(R251&gt;=0.85*U251,"A",IF(R251&gt;=0.8*U251,"B+",IF(R251&gt;=0.75*U251,"B",IF(R251&gt;=0.7*U251,"C+",IF(R251&gt;=0.65*U251,"C",IF(R251&gt;=0.6*U251,"D+",IF(R251&gt;=0.55*U251,"D",IF(R251&gt;=0.5*U251,"E+",IF(R251&gt;=0.45*U251,"E",IF(R251&gt;=0.4*U251,"P",IF(R251&lt;0.4*U251,"F",R251)))))))))))))))))))</f>
        <v>-</v>
      </c>
      <c r="N251" s="8" t="str">
        <f t="shared" ca="1" si="20"/>
        <v>-</v>
      </c>
      <c r="O251">
        <f t="shared" si="21"/>
        <v>9</v>
      </c>
      <c r="P251" s="1" t="str">
        <f ca="1">IF(ISERROR(F238),"",IF(ISTEXT(VLOOKUP(B238,INDIRECT($F$8),6+(O251-1)*3)),(VLOOKUP(B238,INDIRECT($F$8),6+(O251-1)*3)),SUM(VLOOKUP(B238,INDIRECT($F$8),6+(O251-1)*3),IF(W257,W251,0))))</f>
        <v>NA</v>
      </c>
      <c r="Q251" s="1" t="str">
        <f ca="1">IF(ISERROR(F238),"",VLOOKUP(B238,INDIRECT($F$8),7+(O251-1)*3))</f>
        <v>NA</v>
      </c>
      <c r="R251" s="1">
        <f ca="1">IF(ISERROR(F238),"",SUM(P251:Q251))</f>
        <v>0</v>
      </c>
      <c r="S251" s="1">
        <f ca="1">IF(ISERROR(F238),"",VLOOKUP(A238,INDIRECT($F$8),6+(O251-1)*3))</f>
        <v>30</v>
      </c>
      <c r="T251" s="1">
        <f ca="1">IF(ISERROR(F238),"",VLOOKUP(A238,INDIRECT($F$8),7+(O251-1)*3))</f>
        <v>20</v>
      </c>
      <c r="U251" s="1">
        <f ca="1">IF(ISERROR(F238),"",VLOOKUP(A238,INDIRECT($F$8),8+(O251-1)*3))</f>
        <v>50</v>
      </c>
      <c r="V251" s="1" t="str">
        <f ca="1">IF(ISERROR(F238),"",IF(N251=0,A251,""))</f>
        <v/>
      </c>
      <c r="W251" s="1">
        <f ca="1">IF(ISERROR(F238),"",IF(ISTEXT(VLOOKUP(B238,INDIRECT($F$8),6+(O251-1)*3)),11,IF(VLOOKUP(B238,INDIRECT($F$8),6+(O251-1)*3)&lt;S251*0.3,IF(VLOOKUP(B238,INDIRECT($F$8),8+(O251-1)*3)&lt;U251*0.4,IF(AND(0.4*U251-VLOOKUP(B238,INDIRECT($F$8),8+(O251-1)*3)&lt;=5,0.3*S251-VLOOKUP(B238,INDIRECT($F$8),6+(O251-1)*3)&lt;=5),MAX(0.4*U251-VLOOKUP(B238,INDIRECT($F$8),8+(O251-1)*3),0.3*S251-VLOOKUP(B238,INDIRECT($F$8),6+(O251-1)*3)),11),IF(0.3*S251-VLOOKUP(B238,INDIRECT($F$8),6+(O251-1)*3)&lt;=5,0.3*S251-VLOOKUP(B238,INDIRECT($F$8),6+(O251-1)*3),11)),IF(VLOOKUP(B238,INDIRECT($F$8),8+(O251-1)*3)&lt;U251*0.4,IF(U251*0.4-VLOOKUP(B238,INDIRECT($F$8),8+(O251-1)*3)&lt;=5,U251*0.4-VLOOKUP(B238,INDIRECT($F$8),8+(O251-1)*3),11),0))))</f>
        <v>11</v>
      </c>
      <c r="X251" s="1" t="str">
        <f ca="1">IF(ISERROR(F238),"",IF(W251=0,"",_xlfn.TEXTJOIN("",FALSE," G+",W251," in ",A251)))</f>
        <v xml:space="preserve"> G+11 in CAT 003</v>
      </c>
    </row>
    <row r="252" spans="1:24" ht="11.25" customHeight="1" x14ac:dyDescent="0.2">
      <c r="A252" s="7" t="str">
        <f ca="1">IF(ISERROR(F238),"",VLOOKUP(C238,INDIRECT($F$8),6+(O252-1)*3,0))</f>
        <v>CAP 001</v>
      </c>
      <c r="B252" s="41" t="str">
        <f ca="1">IF(ISERROR(F238),"",VLOOKUP(D238,INDIRECT($F$8),6+(O252-1)*3-Z252,0))</f>
        <v>Database Management System Lab</v>
      </c>
      <c r="C252" s="41"/>
      <c r="D252" s="41"/>
      <c r="E252" s="41"/>
      <c r="F252" s="7">
        <f ca="1">IF(ISERROR(F238),"",VLOOKUP(E238,INDIRECT($F$8),6+(O252-1)*3,0))</f>
        <v>1</v>
      </c>
      <c r="G252" s="42" t="str">
        <f ca="1">IF(ISERROR(F238),"",_xlfn.TEXTJOIN("/",FALSE,P252,S252))</f>
        <v>25/30</v>
      </c>
      <c r="H252" s="42"/>
      <c r="I252" s="42" t="str">
        <f ca="1">IF(ISERROR(F238),"",_xlfn.TEXTJOIN("/",FALSE,Q252,T252))</f>
        <v>15/20</v>
      </c>
      <c r="J252" s="42"/>
      <c r="K252" s="42" t="str">
        <f ca="1">IF(ISERROR(F238),"",_xlfn.TEXTJOIN("/",FALSE,R252,U252))</f>
        <v>40/50</v>
      </c>
      <c r="L252" s="42"/>
      <c r="M252" s="7" t="str">
        <f ca="1">IF(ISERROR(F238),"",IF(ISTEXT(P252),IF(P252="A","Ab",IF(P252="D","Dt",IF(P252="UFM","UFM",IF(P252="NA","-")))),IF(AND(ISBLANK(P252),ISBLANK(R252)),"",IF(P252&lt;0.3*S252,"F",IF(ISBLANK(R252),"",IF(ISTEXT(R252),R252,IF(R252&gt;=0.95*U252,"O",IF(R252&gt;=0.9*U252,"A+",IF(R252&gt;=0.85*U252,"A",IF(R252&gt;=0.8*U252,"B+",IF(R252&gt;=0.75*U252,"B",IF(R252&gt;=0.7*U252,"C+",IF(R252&gt;=0.65*U252,"C",IF(R252&gt;=0.6*U252,"D+",IF(R252&gt;=0.55*U252,"D",IF(R252&gt;=0.5*U252,"E+",IF(R252&gt;=0.45*U252,"E",IF(R252&gt;=0.4*U252,"P",IF(R252&lt;0.4*U252,"F",R252)))))))))))))))))))</f>
        <v>B+</v>
      </c>
      <c r="N252" s="8">
        <f t="shared" ca="1" si="20"/>
        <v>8.5</v>
      </c>
      <c r="O252">
        <f t="shared" si="21"/>
        <v>10</v>
      </c>
      <c r="P252" s="1">
        <f ca="1">IF(ISERROR(F238),"",IF(ISTEXT(VLOOKUP(B238,INDIRECT($F$8),6+(O252-1)*3)),(VLOOKUP(B238,INDIRECT($F$8),6+(O252-1)*3)),SUM(VLOOKUP(B238,INDIRECT($F$8),6+(O252-1)*3),IF(W257,W252,0))))</f>
        <v>25</v>
      </c>
      <c r="Q252" s="1">
        <f ca="1">IF(ISERROR(F238),"",VLOOKUP(B238,INDIRECT($F$8),7+(O252-1)*3))</f>
        <v>15</v>
      </c>
      <c r="R252" s="1">
        <f ca="1">IF(ISERROR(F238),"",SUM(P252:Q252))</f>
        <v>40</v>
      </c>
      <c r="S252" s="1">
        <f ca="1">IF(ISERROR(F238),"",VLOOKUP(A238,INDIRECT($F$8),6+(O252-1)*3))</f>
        <v>30</v>
      </c>
      <c r="T252" s="1">
        <f ca="1">IF(ISERROR(F238),"",VLOOKUP(A238,INDIRECT($F$8),7+(O252-1)*3))</f>
        <v>20</v>
      </c>
      <c r="U252" s="1">
        <f ca="1">IF(ISERROR(F238),"",VLOOKUP(A238,INDIRECT($F$8),8+(O252-1)*3))</f>
        <v>50</v>
      </c>
      <c r="V252" s="1" t="str">
        <f ca="1">IF(ISERROR(F238),"",IF(N252=0,A252,""))</f>
        <v/>
      </c>
      <c r="W252" s="1">
        <f ca="1">IF(ISERROR(F238),"",IF(ISTEXT(VLOOKUP(B238,INDIRECT($F$8),6+(O252-1)*3)),11,IF(VLOOKUP(B238,INDIRECT($F$8),6+(O252-1)*3)&lt;S252*0.3,IF(VLOOKUP(B238,INDIRECT($F$8),8+(O252-1)*3)&lt;U252*0.4,IF(AND(0.4*U252-VLOOKUP(B238,INDIRECT($F$8),8+(O252-1)*3)&lt;=5,0.3*S252-VLOOKUP(B238,INDIRECT($F$8),6+(O252-1)*3)&lt;=5),MAX(0.4*U252-VLOOKUP(B238,INDIRECT($F$8),8+(O252-1)*3),0.3*S252-VLOOKUP(B238,INDIRECT($F$8),6+(O252-1)*3)),11),IF(0.3*S252-VLOOKUP(B238,INDIRECT($F$8),6+(O252-1)*3)&lt;=5,0.3*S252-VLOOKUP(B238,INDIRECT($F$8),6+(O252-1)*3),11)),IF(VLOOKUP(B238,INDIRECT($F$8),8+(O252-1)*3)&lt;U252*0.4,IF(U252*0.4-VLOOKUP(B238,INDIRECT($F$8),8+(O252-1)*3)&lt;=5,U252*0.4-VLOOKUP(B238,INDIRECT($F$8),8+(O252-1)*3),11),0))))</f>
        <v>0</v>
      </c>
      <c r="X252" s="1" t="str">
        <f ca="1">IF(ISERROR(F238),"",IF(W252=0,"",_xlfn.TEXTJOIN("",FALSE," G+",W252," in ",A252)))</f>
        <v/>
      </c>
    </row>
    <row r="253" spans="1:24" ht="11.25" customHeight="1" x14ac:dyDescent="0.2">
      <c r="A253" s="7" t="str">
        <f ca="1">IF(ISERROR(F238),"",VLOOKUP(C238,INDIRECT($F$8),6+(O253-1)*3,0))</f>
        <v>CAP 002</v>
      </c>
      <c r="B253" s="41" t="str">
        <f ca="1">IF(ISERROR(F238),"",VLOOKUP(D238,INDIRECT($F$8),6+(O253-1)*3,0))</f>
        <v>Operating System Lab</v>
      </c>
      <c r="C253" s="41"/>
      <c r="D253" s="41"/>
      <c r="E253" s="41"/>
      <c r="F253" s="7">
        <f ca="1">IF(ISERROR(F238),"",VLOOKUP(E238,INDIRECT($F$8),6+(O253-1)*3,0))</f>
        <v>1</v>
      </c>
      <c r="G253" s="42" t="str">
        <f ca="1">IF(ISERROR(F238),"",_xlfn.TEXTJOIN("/",FALSE,P253,S253))</f>
        <v>30/30</v>
      </c>
      <c r="H253" s="42"/>
      <c r="I253" s="42" t="str">
        <f ca="1">IF(ISERROR(F238),"",_xlfn.TEXTJOIN("/",FALSE,Q253,T253))</f>
        <v>20/20</v>
      </c>
      <c r="J253" s="42"/>
      <c r="K253" s="42" t="str">
        <f ca="1">IF(ISERROR(F238),"",_xlfn.TEXTJOIN("/",FALSE,R253,U253))</f>
        <v>50/50</v>
      </c>
      <c r="L253" s="42"/>
      <c r="M253" s="7" t="str">
        <f ca="1">IF(ISERROR(F238),"",IF(ISTEXT(P253),IF(P253="A","Ab",IF(P253="D","Dt",IF(P253="UFM","UFM",IF(P253="NA","-")))),IF(AND(ISBLANK(P253),ISBLANK(R253)),"",IF(P253&lt;0.3*S253,"F",IF(ISBLANK(R253),"",IF(ISTEXT(R253),R253,IF(R253&gt;=0.95*U253,"O",IF(R253&gt;=0.9*U253,"A+",IF(R253&gt;=0.85*U253,"A",IF(R253&gt;=0.8*U253,"B+",IF(R253&gt;=0.75*U253,"B",IF(R253&gt;=0.7*U253,"C+",IF(R253&gt;=0.65*U253,"C",IF(R253&gt;=0.6*U253,"D+",IF(R253&gt;=0.55*U253,"D",IF(R253&gt;=0.5*U253,"E+",IF(R253&gt;=0.45*U253,"E",IF(R253&gt;=0.4*U253,"P",IF(R253&lt;0.4*U253,"F",R253)))))))))))))))))))</f>
        <v>O</v>
      </c>
      <c r="N253" s="8">
        <f t="shared" ca="1" si="20"/>
        <v>10</v>
      </c>
      <c r="O253">
        <f t="shared" si="21"/>
        <v>11</v>
      </c>
      <c r="P253" s="1">
        <f ca="1">IF(ISERROR(F238),"",IF(ISTEXT(VLOOKUP(B238,INDIRECT($F$8),6+(O253-1)*3)),(VLOOKUP(B238,INDIRECT($F$8),6+(O253-1)*3)),SUM(VLOOKUP(B238,INDIRECT($F$8),6+(O253-1)*3),IF(W257,W253,0))))</f>
        <v>30</v>
      </c>
      <c r="Q253" s="1">
        <f ca="1">IF(ISERROR(F238),"",VLOOKUP(B238,INDIRECT($F$8),7+(O253-1)*3))</f>
        <v>20</v>
      </c>
      <c r="R253" s="1">
        <f ca="1">IF(ISERROR(F238),"",SUM(P253:Q253))</f>
        <v>50</v>
      </c>
      <c r="S253" s="1">
        <f ca="1">IF(ISERROR(F238),"",VLOOKUP(A238,INDIRECT($F$8),6+(O253-1)*3))</f>
        <v>30</v>
      </c>
      <c r="T253" s="1">
        <f ca="1">IF(ISERROR(F238),"",VLOOKUP(A238,INDIRECT($F$8),7+(O253-1)*3))</f>
        <v>20</v>
      </c>
      <c r="U253" s="1">
        <f ca="1">IF(ISERROR(F238),"",VLOOKUP(A238,INDIRECT($F$8),8+(O253-1)*3))</f>
        <v>50</v>
      </c>
      <c r="V253" s="1" t="str">
        <f ca="1">IF(ISERROR(F238),"",IF(N253=0,A253,""))</f>
        <v/>
      </c>
      <c r="W253" s="1">
        <f ca="1">IF(ISERROR(F238),"",IF(ISTEXT(VLOOKUP(B238,INDIRECT($F$8),6+(O253-1)*3)),11,IF(VLOOKUP(B238,INDIRECT($F$8),6+(O253-1)*3)&lt;S253*0.3,IF(VLOOKUP(B238,INDIRECT($F$8),8+(O253-1)*3)&lt;U253*0.4,IF(AND(0.4*U253-VLOOKUP(B238,INDIRECT($F$8),8+(O253-1)*3)&lt;=5,0.3*S253-VLOOKUP(B238,INDIRECT($F$8),6+(O253-1)*3)&lt;=5),MAX(0.4*U253-VLOOKUP(B238,INDIRECT($F$8),8+(O253-1)*3),0.3*S253-VLOOKUP(B238,INDIRECT($F$8),6+(O253-1)*3)),11),IF(0.3*S253-VLOOKUP(B238,INDIRECT($F$8),6+(O253-1)*3)&lt;=5,0.3*S253-VLOOKUP(B238,INDIRECT($F$8),6+(O253-1)*3),11)),IF(VLOOKUP(B238,INDIRECT($F$8),8+(O253-1)*3)&lt;U253*0.4,IF(U253*0.4-VLOOKUP(B238,INDIRECT($F$8),8+(O253-1)*3)&lt;=5,U253*0.4-VLOOKUP(B238,INDIRECT($F$8),8+(O253-1)*3),11),0))))</f>
        <v>0</v>
      </c>
      <c r="X253" s="1" t="str">
        <f ca="1">IF(ISERROR(F238),"",IF(W253=0,"",_xlfn.TEXTJOIN("",FALSE," G+",W253," in ",A253)))</f>
        <v/>
      </c>
    </row>
    <row r="254" spans="1:24" ht="11.25" customHeight="1" x14ac:dyDescent="0.2">
      <c r="A254" s="7" t="str">
        <f ca="1">IF(ISERROR(F238),"",VLOOKUP(C238,INDIRECT($F$8),6+(O254-1)*3,0))</f>
        <v>CAP 003</v>
      </c>
      <c r="B254" s="41" t="str">
        <f ca="1">IF(ISERROR(F238),"",VLOOKUP(D238,INDIRECT($F$8),6+(O254-1)*3,0))</f>
        <v>Computer Organization Lab</v>
      </c>
      <c r="C254" s="41"/>
      <c r="D254" s="41"/>
      <c r="E254" s="41"/>
      <c r="F254" s="7">
        <f ca="1">IF(ISERROR(F238),"",VLOOKUP(E238,INDIRECT($F$8),6+(O254-1)*3,0))</f>
        <v>1</v>
      </c>
      <c r="G254" s="42" t="str">
        <f ca="1">IF(ISERROR(F238),"",_xlfn.TEXTJOIN("/",FALSE,P254,S254))</f>
        <v>25/30</v>
      </c>
      <c r="H254" s="42"/>
      <c r="I254" s="42" t="str">
        <f ca="1">IF(ISERROR(F238),"",_xlfn.TEXTJOIN("/",FALSE,Q254,T254))</f>
        <v>19/20</v>
      </c>
      <c r="J254" s="42"/>
      <c r="K254" s="42" t="str">
        <f ca="1">IF(ISERROR(F238),"",_xlfn.TEXTJOIN("/",FALSE,R254,U254))</f>
        <v>44/50</v>
      </c>
      <c r="L254" s="42"/>
      <c r="M254" s="7" t="str">
        <f ca="1">IF(ISERROR(F238),"",IF(ISTEXT(P254),IF(P254="A","Ab",IF(P254="D","Dt",IF(P254="UFM","UFM",IF(P254="NA","-")))),IF(AND(ISBLANK(P254),ISBLANK(R254)),"",IF(P254&lt;0.3*S254,"F",IF(ISBLANK(R254),"",IF(ISTEXT(R254),R254,IF(R254&gt;=0.95*U254,"O",IF(R254&gt;=0.9*U254,"A+",IF(R254&gt;=0.85*U254,"A",IF(R254&gt;=0.8*U254,"B+",IF(R254&gt;=0.75*U254,"B",IF(R254&gt;=0.7*U254,"C+",IF(R254&gt;=0.65*U254,"C",IF(R254&gt;=0.6*U254,"D+",IF(R254&gt;=0.55*U254,"D",IF(R254&gt;=0.5*U254,"E+",IF(R254&gt;=0.45*U254,"E",IF(R254&gt;=0.4*U254,"P",IF(R254&lt;0.4*U254,"F",R254)))))))))))))))))))</f>
        <v>A</v>
      </c>
      <c r="N254" s="8">
        <f t="shared" ca="1" si="20"/>
        <v>9</v>
      </c>
      <c r="O254">
        <f t="shared" si="21"/>
        <v>12</v>
      </c>
      <c r="P254" s="1">
        <f ca="1">IF(ISERROR(F238),"",IF(ISTEXT(VLOOKUP(B238,INDIRECT($F$8),6+(O254-1)*3)),(VLOOKUP(B238,INDIRECT($F$8),6+(O254-1)*3)),SUM(VLOOKUP(B238,INDIRECT($F$8),6+(O254-1)*3),IF(W257,W254,0))))</f>
        <v>25</v>
      </c>
      <c r="Q254" s="1">
        <f ca="1">IF(ISERROR(F238),"",VLOOKUP(B238,INDIRECT($F$8),7+(O254-1)*3))</f>
        <v>19</v>
      </c>
      <c r="R254" s="1">
        <f ca="1">IF(ISERROR(F238),"",SUM(P254:Q254))</f>
        <v>44</v>
      </c>
      <c r="S254" s="1">
        <f ca="1">IF(ISERROR(F238),"",VLOOKUP(A238,INDIRECT($F$8),6+(O254-1)*3))</f>
        <v>30</v>
      </c>
      <c r="T254" s="1">
        <f ca="1">IF(ISERROR(F238),"",VLOOKUP(A238,INDIRECT($F$8),7+(O254-1)*3))</f>
        <v>20</v>
      </c>
      <c r="U254" s="1">
        <f ca="1">IF(ISERROR(F238),"",VLOOKUP(A238,INDIRECT($F$8),8+(O254-1)*3))</f>
        <v>50</v>
      </c>
      <c r="V254" s="1" t="str">
        <f ca="1">IF(ISERROR(F238),"",IF(N254=0,A254,""))</f>
        <v/>
      </c>
      <c r="W254" s="1">
        <f ca="1">IF(ISERROR(F238),"",IF(ISTEXT(VLOOKUP(B238,INDIRECT($F$8),6+(O254-1)*3)),11,IF(VLOOKUP(B238,INDIRECT($F$8),6+(O254-1)*3)&lt;S254*0.3,IF(VLOOKUP(B238,INDIRECT($F$8),8+(O254-1)*3)&lt;U254*0.4,IF(AND(0.4*U254-VLOOKUP(B238,INDIRECT($F$8),8+(O254-1)*3)&lt;=5,0.3*S254-VLOOKUP(B238,INDIRECT($F$8),6+(O254-1)*3)&lt;=5),MAX(0.4*U254-VLOOKUP(B238,INDIRECT($F$8),8+(O254-1)*3),0.3*S254-VLOOKUP(B238,INDIRECT($F$8),6+(O254-1)*3)),11),IF(0.3*S254-VLOOKUP(B238,INDIRECT($F$8),6+(O254-1)*3)&lt;=5,0.3*S254-VLOOKUP(B238,INDIRECT($F$8),6+(O254-1)*3),11)),IF(VLOOKUP(B238,INDIRECT($F$8),8+(O254-1)*3)&lt;U254*0.4,IF(U254*0.4-VLOOKUP(B238,INDIRECT($F$8),8+(O254-1)*3)&lt;=5,U254*0.4-VLOOKUP(B238,INDIRECT($F$8),8+(O254-1)*3),11),0))))</f>
        <v>0</v>
      </c>
      <c r="X254" s="1" t="str">
        <f ca="1">IF(ISERROR(F238),"",IF(W254=0,"",_xlfn.TEXTJOIN("",FALSE," G+",W254," in ",A254)))</f>
        <v/>
      </c>
    </row>
    <row r="255" spans="1:24" ht="11.25" customHeight="1" x14ac:dyDescent="0.2">
      <c r="A255" s="7" t="str">
        <f ca="1">IF(ISERROR(F238),"",VLOOKUP(C238,INDIRECT($F$8),6+(O255-1)*3,0))</f>
        <v>AHP 303</v>
      </c>
      <c r="B255" s="41" t="str">
        <f ca="1">IF(ISERROR(F238),"",VLOOKUP(D238,INDIRECT($F$8),6+(O255-1)*3,0))</f>
        <v>Technical Communication Skills</v>
      </c>
      <c r="C255" s="41"/>
      <c r="D255" s="41"/>
      <c r="E255" s="41"/>
      <c r="F255" s="7">
        <f ca="1">IF(ISERROR(F238),"",VLOOKUP(E238,INDIRECT($F$8),6+(O255-1)*3,0))</f>
        <v>1</v>
      </c>
      <c r="G255" s="42" t="str">
        <f ca="1">IF(ISERROR(F238),"",_xlfn.TEXTJOIN("/",FALSE,P255,S255))</f>
        <v>25/30</v>
      </c>
      <c r="H255" s="42"/>
      <c r="I255" s="42" t="str">
        <f ca="1">IF(ISERROR(F238),"",_xlfn.TEXTJOIN("/",FALSE,Q255,T255))</f>
        <v>17/20</v>
      </c>
      <c r="J255" s="42"/>
      <c r="K255" s="42" t="str">
        <f ca="1">IF(ISERROR(F238),"",_xlfn.TEXTJOIN("/",FALSE,R255,U255))</f>
        <v>42/50</v>
      </c>
      <c r="L255" s="42"/>
      <c r="M255" s="7" t="str">
        <f ca="1">IF(ISERROR(F238),"",IF(ISTEXT(P255),IF(P255="A","Ab",IF(P255="D","Dt",IF(P255="UFM","UFM",IF(P255="NA","-")))),IF(AND(ISBLANK(P255),ISBLANK(R255)),"",IF(P255&lt;0.3*S255,"F",IF(ISBLANK(R255),"",IF(ISTEXT(R255),R255,IF(R255&gt;=0.95*U255,"O",IF(R255&gt;=0.9*U255,"A+",IF(R255&gt;=0.85*U255,"A",IF(R255&gt;=0.8*U255,"B+",IF(R255&gt;=0.75*U255,"B",IF(R255&gt;=0.7*U255,"C+",IF(R255&gt;=0.65*U255,"C",IF(R255&gt;=0.6*U255,"D+",IF(R255&gt;=0.55*U255,"D",IF(R255&gt;=0.5*U255,"E+",IF(R255&gt;=0.45*U255,"E",IF(R255&gt;=0.4*U255,"P",IF(R255&lt;0.4*U255,"F",R255)))))))))))))))))))</f>
        <v>B+</v>
      </c>
      <c r="N255" s="8">
        <f t="shared" ca="1" si="20"/>
        <v>8.5</v>
      </c>
      <c r="O255">
        <f t="shared" si="21"/>
        <v>13</v>
      </c>
      <c r="P255" s="1">
        <f ca="1">IF(ISERROR(F238),"",IF(ISTEXT(VLOOKUP(B238,INDIRECT($F$8),6+(O255-1)*3)),(VLOOKUP(B238,INDIRECT($F$8),6+(O255-1)*3)),SUM(VLOOKUP(B238,INDIRECT($F$8),6+(O255-1)*3),IF(W257,W255,0))))</f>
        <v>25</v>
      </c>
      <c r="Q255" s="1">
        <f ca="1">IF(ISERROR(F238),"",VLOOKUP(B238,INDIRECT($F$8),7+(O255-1)*3))</f>
        <v>17</v>
      </c>
      <c r="R255" s="1">
        <f ca="1">IF(ISERROR(F238),"",SUM(P255:Q255))</f>
        <v>42</v>
      </c>
      <c r="S255" s="1">
        <f ca="1">IF(ISERROR(F238),"",VLOOKUP(A238,INDIRECT($F$8),6+(O255-1)*3))</f>
        <v>30</v>
      </c>
      <c r="T255" s="1">
        <f ca="1">IF(ISERROR(F238),"",VLOOKUP(A238,INDIRECT($F$8),7+(O255-1)*3))</f>
        <v>20</v>
      </c>
      <c r="U255" s="1">
        <f ca="1">IF(ISERROR(F238),"",VLOOKUP(A238,INDIRECT($F$8),8+(O255-1)*3))</f>
        <v>50</v>
      </c>
      <c r="V255" s="1"/>
      <c r="W255" s="1">
        <f ca="1">IF(ISERROR(F238),"",IF(ISTEXT(VLOOKUP(B238,INDIRECT($F$8),6+(O255-1)*3)),11,IF(VLOOKUP(B238,INDIRECT($F$8),6+(O255-1)*3)&lt;S255*0.3,IF(VLOOKUP(B238,INDIRECT($F$8),8+(O255-1)*3)&lt;U255*0.4,IF(AND(0.4*U255-VLOOKUP(B238,INDIRECT($F$8),8+(O255-1)*3)&lt;=5,0.3*S255-VLOOKUP(B238,INDIRECT($F$8),6+(O255-1)*3)&lt;=5),MAX(0.4*U255-VLOOKUP(B238,INDIRECT($F$8),8+(O255-1)*3),0.3*S255-VLOOKUP(B238,INDIRECT($F$8),6+(O255-1)*3)),11),IF(0.3*S255-VLOOKUP(B238,INDIRECT($F$8),6+(O255-1)*3)&lt;=5,0.3*S255-VLOOKUP(B238,INDIRECT($F$8),6+(O255-1)*3),11)),IF(VLOOKUP(B238,INDIRECT($F$8),8+(O255-1)*3)&lt;U255*0.4,IF(U255*0.4-VLOOKUP(B238,INDIRECT($F$8),8+(O255-1)*3)&lt;=5,U255*0.4-VLOOKUP(B238,INDIRECT($F$8),8+(O255-1)*3),11),0))))</f>
        <v>0</v>
      </c>
      <c r="X255" s="1" t="str">
        <f ca="1">IF(ISERROR(F238),"",IF(W255=0,"",_xlfn.TEXTJOIN("",FALSE," G+",W255," in ",A255)))</f>
        <v/>
      </c>
    </row>
    <row r="256" spans="1:24" s="32" customFormat="1" ht="11.25" customHeight="1" x14ac:dyDescent="0.2">
      <c r="A256" s="31">
        <f ca="1">IF(ISERROR(F238),"",VLOOKUP(C238,INDIRECT($F$8),6+(O256-1)*3-Y256,0))</f>
        <v>0</v>
      </c>
      <c r="B256" s="49">
        <f ca="1">IF(ISERROR(F238),"",VLOOKUP(D238,INDIRECT($F$8),6+(O256-1)*3-Z256,0))</f>
        <v>0</v>
      </c>
      <c r="C256" s="49"/>
      <c r="D256" s="49"/>
      <c r="E256" s="49"/>
      <c r="F256" s="31">
        <f ca="1">IF(ISERROR(F238),"",VLOOKUP(E238,INDIRECT($F$8),6+(O256-1)*3-AA256,0))</f>
        <v>0</v>
      </c>
      <c r="G256" s="50" t="str">
        <f ca="1">IF(ISERROR(F238),"","-")</f>
        <v>-</v>
      </c>
      <c r="H256" s="50"/>
      <c r="I256" s="50" t="str">
        <f ca="1">IF(ISERROR(F238),"",_xlfn.TEXTJOIN("/",FALSE,Q256,T256))</f>
        <v>0/0</v>
      </c>
      <c r="J256" s="50"/>
      <c r="K256" s="50" t="str">
        <f ca="1">IF(ISERROR(F238),"",_xlfn.TEXTJOIN("/",FALSE,R256,U256))</f>
        <v>0/0</v>
      </c>
      <c r="L256" s="50"/>
      <c r="M256" s="50" t="str">
        <f ca="1">IF(ISBLANK(R256),"",IF(ISTEXT(R256),R256,IF(R256&gt;=0.8*U256,"Excellent",IF(R256&gt;=0.6*U256,"Very Good",IF(R256&gt;=0.4*U256,"Good",IF(R256&gt;=0.2*U256,"Satisfactory","Average"))))))</f>
        <v>Excellent</v>
      </c>
      <c r="N256" s="50"/>
      <c r="O256" s="32">
        <f t="shared" si="21"/>
        <v>14</v>
      </c>
      <c r="P256" s="33">
        <f ca="1">IF(ISERROR(F238),"",IF(ISTEXT(VLOOKUP(B\28,INDIRECT($F$8),6+(O256-1)*3)),(VLOOKUP(B238,INDIRECT($F$8),6+(O256-1)*3)),SUM(VLOOKUP(B238,INDIRECT($F$8),6+(O256-1)*3),IF(W257,W256,0))))</f>
        <v>0</v>
      </c>
      <c r="Q256" s="33">
        <f ca="1">IF(ISERROR(F238),"",VLOOKUP(B238,INDIRECT($F$8),7+(O256-1)*3))</f>
        <v>0</v>
      </c>
      <c r="R256" s="33">
        <f ca="1">IF(ISERROR(F238),"",SUM(P256:Q256))</f>
        <v>0</v>
      </c>
      <c r="S256" s="33">
        <f ca="1">IF(ISERROR(F238),"",VLOOKUP(A238,INDIRECT($F$8),6+(O256-1)*3))</f>
        <v>0</v>
      </c>
      <c r="T256" s="33">
        <f ca="1">IF(ISERROR(F238),"",VLOOKUP(A238,INDIRECT($F$8),7+(O256-1)*3))</f>
        <v>0</v>
      </c>
      <c r="U256" s="33">
        <f ca="1">IF(ISERROR(F238),"",VLOOKUP(A238,INDIRECT($F$8),8+(O256-1)*3))</f>
        <v>0</v>
      </c>
      <c r="V256" s="33"/>
      <c r="W256" s="33"/>
      <c r="X256" s="33" t="str">
        <f ca="1">IF(ISERROR(F238),"",IF(W256=0,"",_xlfn.TEXTJOIN("",FALSE," G+",W256," in ",A256)))</f>
        <v/>
      </c>
    </row>
    <row r="257" spans="1:24" ht="11.25" customHeight="1" x14ac:dyDescent="0.2">
      <c r="A257" s="43" t="str">
        <f ca="1">IF(ISERROR(F238),"",A234)</f>
        <v>Total Credits/ Marks/ Total Grade Points</v>
      </c>
      <c r="B257" s="43"/>
      <c r="C257" s="43"/>
      <c r="D257" s="43"/>
      <c r="E257" s="43"/>
      <c r="F257" s="10">
        <f ca="1">IF(ISERROR(F238),"",SUM(F243:F256))</f>
        <v>24</v>
      </c>
      <c r="G257" s="44" t="str">
        <f ca="1">IF(ISERROR(F238),"",_xlfn.TEXTJOIN("/",TRUE,SUMIF(F243:F256,"&gt;0",P243:P256),SUMIF(F243:F256,"&gt;0",S243:S256)))</f>
        <v>431/620</v>
      </c>
      <c r="H257" s="44"/>
      <c r="I257" s="44" t="str">
        <f ca="1">IF(ISERROR(F238),"",_xlfn.TEXTJOIN("/",TRUE,SUMIF(F243:F256,"&gt;0",Q243:Q256),SUMIF(F243:F256,"&gt;0",T243:T256)))</f>
        <v>272/330</v>
      </c>
      <c r="J257" s="44"/>
      <c r="K257" s="44" t="str">
        <f ca="1">IF(ISERROR(F238),"",_xlfn.TEXTJOIN("/",TRUE,SUMIF(F243:F256,"&gt;0",R243:R256),SUMIF(F243:F256,"&gt;0",U243:U256)))</f>
        <v>703/950</v>
      </c>
      <c r="L257" s="44"/>
      <c r="M257" s="43">
        <f ca="1">IF(ISERROR(F238),"",SUMPRODUCT(N243:N255,F243:F255))</f>
        <v>180</v>
      </c>
      <c r="N257" s="43"/>
      <c r="V257" s="1" t="str">
        <f ca="1">IF(ISERROR(F238),"",_xlfn.TEXTJOIN(", ",TRUE,V243:V256))</f>
        <v/>
      </c>
      <c r="W257" t="b">
        <f ca="1">IF(ISERROR(F238),"",IF(SUM(W243:W256)&lt;=W242,TRUE,FALSE))</f>
        <v>0</v>
      </c>
      <c r="X257" s="1" t="str">
        <f ca="1">_xlfn.TEXTJOIN(",",TRUE,X243:X256)</f>
        <v xml:space="preserve"> G+11 in CAT 001, G+11 in CAT 002, G+11 in CAT 003</v>
      </c>
    </row>
    <row r="258" spans="1:24" ht="11.25" customHeight="1" x14ac:dyDescent="0.2">
      <c r="A258" s="43" t="str">
        <f ca="1">IF(ISERROR(F238),"",A235)</f>
        <v>Result:</v>
      </c>
      <c r="B258" s="45" t="str">
        <f ca="1">IF(ISERROR(F238),"",IF(V257="","PASS","CARRY OVER"))</f>
        <v>PASS</v>
      </c>
      <c r="C258" s="45"/>
      <c r="D258" s="43" t="str">
        <f ca="1">IF(ISERROR(F238),"",D235)</f>
        <v>Remark:</v>
      </c>
      <c r="E258" s="45" t="str">
        <f ca="1">IF(ISERROR(F238),"",IF(W257,X257,IF(V257="","",_xlfn.TEXTJOIN("",TRUE,"BACK IN ",V257))))</f>
        <v/>
      </c>
      <c r="F258" s="45"/>
      <c r="G258" s="43" t="str">
        <f ca="1">IF(ISERROR(F238),"",G235)</f>
        <v>SGPA:</v>
      </c>
      <c r="H258" s="46">
        <f ca="1">IF(ISERROR(F238),"",M257/F257)</f>
        <v>7.5</v>
      </c>
      <c r="I258" s="43" t="str">
        <f ca="1">IF(ISERROR(F238),"",I235)</f>
        <v>CGPA:</v>
      </c>
      <c r="J258" s="46">
        <f ca="1">IF(ISERROR(F238),"",VLOOKUP(B238,INDIRECT($F$8),12+(O256-1)*3,0))</f>
        <v>7.5</v>
      </c>
      <c r="K258" s="45" t="str">
        <f ca="1">IF(ISERROR(F238),"",K235)</f>
        <v>Earned Credits:</v>
      </c>
      <c r="L258" s="43">
        <f ca="1">IF(ISERROR(F238),"",SUMIF(N243:N255,"&gt;0",F243:F255))</f>
        <v>24</v>
      </c>
      <c r="M258" s="45" t="str">
        <f ca="1">IF(ISERROR(F238),"",M235)</f>
        <v>Cuml. Earned Credits:</v>
      </c>
      <c r="N258" s="43">
        <f ca="1">IF(ISERROR(F238),"",VLOOKUP(B238,INDIRECT($F$8),10+(O256-1)*3,0))</f>
        <v>24</v>
      </c>
    </row>
    <row r="259" spans="1:24" ht="11.25" customHeight="1" x14ac:dyDescent="0.2">
      <c r="A259" s="43"/>
      <c r="B259" s="45"/>
      <c r="C259" s="45"/>
      <c r="D259" s="43"/>
      <c r="E259" s="45"/>
      <c r="F259" s="45"/>
      <c r="G259" s="43"/>
      <c r="H259" s="46"/>
      <c r="I259" s="43"/>
      <c r="J259" s="46"/>
      <c r="K259" s="45"/>
      <c r="L259" s="43"/>
      <c r="M259" s="45"/>
      <c r="N259" s="43"/>
    </row>
    <row r="260" spans="1:24" ht="15" x14ac:dyDescent="0.2">
      <c r="A260" s="43"/>
      <c r="B260" s="45"/>
      <c r="C260" s="45"/>
      <c r="D260" s="43"/>
      <c r="E260" s="45"/>
      <c r="F260" s="45"/>
      <c r="G260" s="43"/>
      <c r="H260" s="46"/>
      <c r="I260" s="43"/>
      <c r="J260" s="46"/>
      <c r="K260" s="45"/>
      <c r="L260" s="43"/>
      <c r="M260" s="45"/>
      <c r="N260" s="43"/>
    </row>
    <row r="261" spans="1:24" ht="11.25" customHeight="1" x14ac:dyDescent="0.2">
      <c r="A261" s="11" t="str">
        <f>A238</f>
        <v>MM</v>
      </c>
      <c r="B261" s="11">
        <f>B238+1</f>
        <v>12</v>
      </c>
      <c r="C261" s="11" t="str">
        <f>C238</f>
        <v>SC</v>
      </c>
      <c r="D261" s="11" t="str">
        <f>D238</f>
        <v>SN</v>
      </c>
      <c r="E261" s="11" t="str">
        <f>E238</f>
        <v>C</v>
      </c>
      <c r="F261" s="11" t="str">
        <f ca="1">VLOOKUP(B261,INDIRECT($F$8),4,0)</f>
        <v>OJASWEE BISHT</v>
      </c>
    </row>
    <row r="262" spans="1:24" ht="11.25" customHeight="1" x14ac:dyDescent="0.2">
      <c r="A262" s="47" t="str">
        <f ca="1">IF(ISERROR(F261),"",A239)</f>
        <v>Name:</v>
      </c>
      <c r="B262" s="47" t="str">
        <f ca="1">IFERROR(VLOOKUP(B261,INDIRECT($F$8),4,0),"")</f>
        <v>OJASWEE BISHT</v>
      </c>
      <c r="C262" s="47"/>
      <c r="D262" s="47" t="str">
        <f ca="1">IF(ISERROR(F261),"",D239)</f>
        <v>Father's Name:</v>
      </c>
      <c r="E262" s="47" t="str">
        <f ca="1">IFERROR(VLOOKUP(B261,INDIRECT($F$8),5,0),"")</f>
        <v>PRAMOD BISHT</v>
      </c>
      <c r="F262" s="47"/>
      <c r="G262" s="47" t="str">
        <f ca="1">IF(ISERROR(F261),"",G239)</f>
        <v>University Roll No:</v>
      </c>
      <c r="H262" s="47"/>
      <c r="I262" s="48">
        <f ca="1">IFERROR(VLOOKUP(B261,INDIRECT($F$8),2,0),"")</f>
        <v>250090600012</v>
      </c>
      <c r="J262" s="48"/>
      <c r="K262" s="47" t="str">
        <f ca="1">IF(ISERROR(F261),"",K239)</f>
        <v>University Enrol. No:</v>
      </c>
      <c r="L262" s="47"/>
      <c r="M262" s="48" t="str">
        <f ca="1">IFERROR(VLOOKUP(B261,INDIRECT($F$8),3,0),"")</f>
        <v>UTU/2506100155</v>
      </c>
      <c r="N262" s="48"/>
    </row>
    <row r="263" spans="1:24" ht="15" x14ac:dyDescent="0.2">
      <c r="A263" s="47"/>
      <c r="B263" s="47"/>
      <c r="C263" s="47"/>
      <c r="D263" s="47"/>
      <c r="E263" s="47"/>
      <c r="F263" s="47"/>
      <c r="G263" s="47"/>
      <c r="H263" s="47"/>
      <c r="I263" s="48"/>
      <c r="J263" s="48"/>
      <c r="K263" s="47"/>
      <c r="L263" s="47"/>
      <c r="M263" s="48"/>
      <c r="N263" s="48"/>
    </row>
    <row r="264" spans="1:24" ht="11.25" customHeight="1" x14ac:dyDescent="0.2">
      <c r="A264" s="45" t="str">
        <f ca="1">IF(ISERROR(F261),"",A241)</f>
        <v>Subject Code</v>
      </c>
      <c r="B264" s="45" t="str">
        <f ca="1">IF(ISERROR(F261),"",B241)</f>
        <v>Subject Name</v>
      </c>
      <c r="C264" s="45"/>
      <c r="D264" s="45"/>
      <c r="E264" s="45"/>
      <c r="F264" s="45" t="str">
        <f ca="1">IF(ISERROR(F261),"",F241)</f>
        <v>Credits</v>
      </c>
      <c r="G264" s="45" t="str">
        <f ca="1">IF(ISERROR(F261),"",G241)</f>
        <v>External Marks</v>
      </c>
      <c r="H264" s="45"/>
      <c r="I264" s="45" t="str">
        <f ca="1">IF(ISERROR(F261),"",I241)</f>
        <v>Sessional Marks</v>
      </c>
      <c r="J264" s="45"/>
      <c r="K264" s="45" t="str">
        <f ca="1">IF(ISERROR(F261),"",K241)</f>
        <v>Total Marks</v>
      </c>
      <c r="L264" s="45"/>
      <c r="M264" s="45" t="str">
        <f ca="1">IF(ISERROR(F261),"",M241)</f>
        <v>Grade</v>
      </c>
      <c r="N264" s="45" t="str">
        <f ca="1">IF(ISERROR(F261),"",N241)</f>
        <v>Grade Points</v>
      </c>
    </row>
    <row r="265" spans="1:24" ht="15" x14ac:dyDescent="0.2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W265">
        <f ca="1">IF(ISNUMBER(MATCH($F$8,{"I","III","V","VII"},0)),10,10-INDEX(INDIRECT(_xlfn.TEXTJOIN("",TRUE,"SEM_",$G$8,"!",ADDRESS(6,4+$I$8*3+4),":",ADDRESS(5+$H$8,4+$I$8*3+4))),MATCH(INDIRECT(_xlfn.TEXTJOIN("",TRUE,"TC_",$F$8,"!",ADDRESS(ROW(I262),COLUMN(I262)))),INDIRECT(_xlfn.TEXTJOIN("",TRUE,"SEM_",$G$8,"!",ADDRESS(6,2),":",ADDRESS(5+$H$8,2))))))</f>
        <v>10</v>
      </c>
    </row>
    <row r="266" spans="1:24" ht="11.25" customHeight="1" x14ac:dyDescent="0.2">
      <c r="A266" s="7" t="str">
        <f ca="1">IF(ISERROR(F261),"",VLOOKUP(C261,INDIRECT($F$8),6+(O266-1)*3,0))</f>
        <v>CAT 004</v>
      </c>
      <c r="B266" s="41" t="str">
        <f ca="1">IF(ISERROR(F261),"",VLOOKUP(D261,INDIRECT($F$8),6+(O266-1)*3,0))</f>
        <v>Discrete Structure</v>
      </c>
      <c r="C266" s="41"/>
      <c r="D266" s="41"/>
      <c r="E266" s="41"/>
      <c r="F266" s="7">
        <f ca="1">IF(ISERROR(F261),"",VLOOKUP(E261,INDIRECT($F$8),6+(O266-1)*3,0))</f>
        <v>4</v>
      </c>
      <c r="G266" s="42" t="str">
        <f ca="1">IF(ISERROR(F261),"",_xlfn.TEXTJOIN("/",FALSE,P266,S266))</f>
        <v>65/100</v>
      </c>
      <c r="H266" s="42"/>
      <c r="I266" s="42" t="str">
        <f ca="1">IF(ISERROR(F261),"",_xlfn.TEXTJOIN("/",FALSE,Q266,T266))</f>
        <v>46/50</v>
      </c>
      <c r="J266" s="42"/>
      <c r="K266" s="42" t="str">
        <f ca="1">IF(ISERROR(F261),"",_xlfn.TEXTJOIN("/",FALSE,R266,U266))</f>
        <v>111/150</v>
      </c>
      <c r="L266" s="42"/>
      <c r="M266" s="7" t="str">
        <f ca="1">IF(ISERROR(F261),"",IF(ISTEXT(P266),IF(P266="A","Ab",IF(P266="D","Dt",IF(P266="UFM","UFM",IF(P266="NA","-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C+</v>
      </c>
      <c r="N266" s="8">
        <f ca="1">INDEX($Z$2:$Z$18,MATCH(M266,$Y$2:$Y$18,0))</f>
        <v>7.5</v>
      </c>
      <c r="O266">
        <v>1</v>
      </c>
      <c r="P266" s="1">
        <f ca="1">IF(ISERROR(F261),"",IF(ISTEXT(VLOOKUP(B261,INDIRECT($F$8),6+(O266-1)*3)),(VLOOKUP(B261,INDIRECT($F$8),6+(O266-1)*3)),SUM(VLOOKUP(B261,INDIRECT($F$8),6+(O266-1)*3),IF(W280,W266,0))))</f>
        <v>65</v>
      </c>
      <c r="Q266" s="1">
        <f ca="1">IF(ISERROR(F261),"",VLOOKUP(B261,INDIRECT($F$8),7+(O266-1)*3))</f>
        <v>46</v>
      </c>
      <c r="R266" s="1">
        <f ca="1">IF(ISERROR(F261),"",SUM(P266:Q266))</f>
        <v>111</v>
      </c>
      <c r="S266" s="1">
        <f ca="1">IF(ISERROR(F261),"",VLOOKUP(A261,INDIRECT($F$8),6+(O266-1)*3))</f>
        <v>100</v>
      </c>
      <c r="T266" s="1">
        <f ca="1">IF(ISERROR(F261),"",VLOOKUP(A261,INDIRECT($F$8),7+(O266-1)*3))</f>
        <v>50</v>
      </c>
      <c r="U266" s="1">
        <f ca="1">IF(ISERROR(F261),"",VLOOKUP(A261,INDIRECT($F$8),8+(O266-1)*3))</f>
        <v>150</v>
      </c>
      <c r="V266" s="1" t="str">
        <f ca="1">IF(ISERROR(F261),"",IF(N266=0,A266,""))</f>
        <v/>
      </c>
      <c r="W266" s="1">
        <f ca="1">IF(ISERROR(F261),"",IF(ISTEXT(VLOOKUP(B261,INDIRECT($F$8),6+(O266-1)*3)),11,IF(VLOOKUP(B261,INDIRECT($F$8),6+(O266-1)*3)&lt;S266*0.3,IF(VLOOKUP(B261,INDIRECT($F$8),8+(O266-1)*3)&lt;U266*0.4,IF(AND(0.4*U266-VLOOKUP(B261,INDIRECT($F$8),8+(O266-1)*3)&lt;=5,0.3*S266-VLOOKUP(B261,INDIRECT($F$8),6+(O266-1)*3)&lt;=5),MAX(0.4*U266-VLOOKUP(B261,INDIRECT($F$8),8+(O266-1)*3),0.3*S266-VLOOKUP(B261,INDIRECT($F$8),6+(O266-1)*3)),11),IF(0.3*S266-VLOOKUP(B261,INDIRECT($F$8),6+(O266-1)*3)&lt;=5,0.3*S266-VLOOKUP(B261,INDIRECT($F$8),6+(O266-1)*3),11)),IF(VLOOKUP(B261,INDIRECT($F$8),8+(O266-1)*3)&lt;U266*0.4,IF(U266*0.4-VLOOKUP(B261,INDIRECT($F$8),8+(O266-1)*3)&lt;=5,U266*0.4-VLOOKUP(B261,INDIRECT($F$8),8+(O266-1)*3),11),0))))</f>
        <v>0</v>
      </c>
      <c r="X266" s="1" t="str">
        <f ca="1">IF(ISERROR(F261),"",IF(W266=0,"",_xlfn.TEXTJOIN("",FALSE," G+",W266," in ",A266)))</f>
        <v/>
      </c>
    </row>
    <row r="267" spans="1:24" ht="11.25" customHeight="1" x14ac:dyDescent="0.2">
      <c r="A267" s="7" t="str">
        <f ca="1">IF(ISERROR(F261),"",VLOOKUP(C261,INDIRECT($F$8),6+(O267-1)*3,0))</f>
        <v>CAT 005</v>
      </c>
      <c r="B267" s="41" t="str">
        <f ca="1">IF(ISERROR(F261),"",VLOOKUP(D261,INDIRECT($F$8),6+(O267-1)*3,0))</f>
        <v>Database Management System</v>
      </c>
      <c r="C267" s="41"/>
      <c r="D267" s="41"/>
      <c r="E267" s="41"/>
      <c r="F267" s="7">
        <f ca="1">IF(ISERROR(F261),"",VLOOKUP(E261,INDIRECT($F$8),6+(O267-1)*3,0))</f>
        <v>4</v>
      </c>
      <c r="G267" s="42" t="str">
        <f ca="1">IF(ISERROR(F261),"",_xlfn.TEXTJOIN("/",FALSE,P267,S267))</f>
        <v>59/100</v>
      </c>
      <c r="H267" s="42"/>
      <c r="I267" s="42" t="str">
        <f ca="1">IF(ISERROR(F261),"",_xlfn.TEXTJOIN("/",FALSE,Q267,T267))</f>
        <v>44/50</v>
      </c>
      <c r="J267" s="42"/>
      <c r="K267" s="42" t="str">
        <f ca="1">IF(ISERROR(F261),"",_xlfn.TEXTJOIN("/",FALSE,R267,U267))</f>
        <v>103/150</v>
      </c>
      <c r="L267" s="42"/>
      <c r="M267" s="7" t="str">
        <f ca="1">IF(ISERROR(F261),"",IF(ISTEXT(P267),IF(P267="A","Ab",IF(P267="D","Dt",IF(P267="UFM","UFM",IF(P267="NA","-")))),IF(AND(ISBLANK(P267),ISBLANK(R267)),"",IF(P267&lt;0.3*S267,"F",IF(ISBLANK(R267),"",IF(ISTEXT(R267),R267,IF(R267&gt;=0.95*U267,"O",IF(R267&gt;=0.9*U267,"A+",IF(R267&gt;=0.85*U267,"A",IF(R267&gt;=0.8*U267,"B+",IF(R267&gt;=0.75*U267,"B",IF(R267&gt;=0.7*U267,"C+",IF(R267&gt;=0.65*U267,"C",IF(R267&gt;=0.6*U267,"D+",IF(R267&gt;=0.55*U267,"D",IF(R267&gt;=0.5*U267,"E+",IF(R267&gt;=0.45*U267,"E",IF(R267&gt;=0.4*U267,"P",IF(R267&lt;0.4*U267,"F",R267)))))))))))))))))))</f>
        <v>C</v>
      </c>
      <c r="N267" s="8">
        <f t="shared" ref="N267:N278" ca="1" si="22">INDEX($Z$2:$Z$18,MATCH(M267,$Y$2:$Y$18,0))</f>
        <v>7</v>
      </c>
      <c r="O267">
        <f>O266+1</f>
        <v>2</v>
      </c>
      <c r="P267" s="1">
        <f ca="1">IF(ISERROR(F261),"",IF(ISTEXT(VLOOKUP(B261,INDIRECT($F$8),6+(O267-1)*3)),(VLOOKUP(B261,INDIRECT($F$8),6+(O267-1)*3)),SUM(VLOOKUP(B261,INDIRECT($F$8),6+(O267-1)*3),IF(W280,W267,0))))</f>
        <v>59</v>
      </c>
      <c r="Q267" s="1">
        <f ca="1">IF(ISERROR(F261),"",VLOOKUP(B261,INDIRECT($F$8),7+(O267-1)*3))</f>
        <v>44</v>
      </c>
      <c r="R267" s="1">
        <f ca="1">IF(ISERROR(F261),"",SUM(P267:Q267))</f>
        <v>103</v>
      </c>
      <c r="S267" s="1">
        <f ca="1">IF(ISERROR(F261),"",VLOOKUP(A261,INDIRECT($F$8),6+(O267-1)*3))</f>
        <v>100</v>
      </c>
      <c r="T267" s="1">
        <f ca="1">IF(ISERROR(F261),"",VLOOKUP(A261,INDIRECT($F$8),7+(O267-1)*3))</f>
        <v>50</v>
      </c>
      <c r="U267" s="1">
        <f ca="1">IF(ISERROR(F261),"",VLOOKUP(A261,INDIRECT($F$8),8+(O267-1)*3))</f>
        <v>150</v>
      </c>
      <c r="V267" s="1" t="str">
        <f ca="1">IF(ISERROR(F261),"",IF(N267=0,A267,""))</f>
        <v/>
      </c>
      <c r="W267" s="1">
        <f ca="1">IF(ISERROR(F261),"",IF(ISTEXT(VLOOKUP(B261,INDIRECT($F$8),6+(O267-1)*3)),11,IF(VLOOKUP(B261,INDIRECT($F$8),6+(O267-1)*3)&lt;S267*0.3,IF(VLOOKUP(B261,INDIRECT($F$8),8+(O267-1)*3)&lt;U267*0.4,IF(AND(0.4*U267-VLOOKUP(B261,INDIRECT($F$8),8+(O267-1)*3)&lt;=5,0.3*S267-VLOOKUP(B261,INDIRECT($F$8),6+(O267-1)*3)&lt;=5),MAX(0.4*U267-VLOOKUP(B261,INDIRECT($F$8),8+(O267-1)*3),0.3*S267-VLOOKUP(B261,INDIRECT($F$8),6+(O267-1)*3)),11),IF(0.3*S267-VLOOKUP(B261,INDIRECT($F$8),6+(O267-1)*3)&lt;=5,0.3*S267-VLOOKUP(B261,INDIRECT($F$8),6+(O267-1)*3),11)),IF(VLOOKUP(B261,INDIRECT($F$8),8+(O267-1)*3)&lt;U267*0.4,IF(U267*0.4-VLOOKUP(B261,INDIRECT($F$8),8+(O267-1)*3)&lt;=5,U267*0.4-VLOOKUP(B261,INDIRECT($F$8),8+(O267-1)*3),11),0))))</f>
        <v>0</v>
      </c>
      <c r="X267" s="1" t="str">
        <f ca="1">IF(ISERROR(F261),"",IF(W267=0,"",_xlfn.TEXTJOIN("",FALSE," G+",W267," in ",A267)))</f>
        <v/>
      </c>
    </row>
    <row r="268" spans="1:24" ht="11.25" customHeight="1" x14ac:dyDescent="0.2">
      <c r="A268" s="7" t="str">
        <f ca="1">IF(ISERROR(F261),"",VLOOKUP(C261,INDIRECT($F$8),6+(O268-1)*3,0))</f>
        <v>CAT 006</v>
      </c>
      <c r="B268" s="41" t="str">
        <f ca="1">IF(ISERROR(F261),"",VLOOKUP(D261,INDIRECT($F$8),6+(O268-1)*3,0))</f>
        <v>Operating System</v>
      </c>
      <c r="C268" s="41"/>
      <c r="D268" s="41"/>
      <c r="E268" s="41"/>
      <c r="F268" s="7">
        <f ca="1">IF(ISERROR(F261),"",VLOOKUP(E261,INDIRECT($F$8),6+(O268-1)*3,0))</f>
        <v>4</v>
      </c>
      <c r="G268" s="42" t="str">
        <f ca="1">IF(ISERROR(F261),"",_xlfn.TEXTJOIN("/",FALSE,P268,S268))</f>
        <v>79/100</v>
      </c>
      <c r="H268" s="42"/>
      <c r="I268" s="42" t="str">
        <f ca="1">IF(ISERROR(F261),"",_xlfn.TEXTJOIN("/",FALSE,Q268,T268))</f>
        <v>46/50</v>
      </c>
      <c r="J268" s="42"/>
      <c r="K268" s="42" t="str">
        <f ca="1">IF(ISERROR(F261),"",_xlfn.TEXTJOIN("/",FALSE,R268,U268))</f>
        <v>125/150</v>
      </c>
      <c r="L268" s="42"/>
      <c r="M268" s="7" t="str">
        <f ca="1">IF(ISERROR(F261),"",IF(ISTEXT(P268),IF(P268="A","Ab",IF(P268="D","Dt",IF(P268="UFM","UFM",IF(P268="NA","-")))),IF(AND(ISBLANK(P268),ISBLANK(R268)),"",IF(P268&lt;0.3*S268,"F",IF(ISBLANK(R268),"",IF(ISTEXT(R268),R268,IF(R268&gt;=0.95*U268,"O",IF(R268&gt;=0.9*U268,"A+",IF(R268&gt;=0.85*U268,"A",IF(R268&gt;=0.8*U268,"B+",IF(R268&gt;=0.75*U268,"B",IF(R268&gt;=0.7*U268,"C+",IF(R268&gt;=0.65*U268,"C",IF(R268&gt;=0.6*U268,"D+",IF(R268&gt;=0.55*U268,"D",IF(R268&gt;=0.5*U268,"E+",IF(R268&gt;=0.45*U268,"E",IF(R268&gt;=0.4*U268,"P",IF(R268&lt;0.4*U268,"F",R268)))))))))))))))))))</f>
        <v>B+</v>
      </c>
      <c r="N268" s="8">
        <f t="shared" ca="1" si="22"/>
        <v>8.5</v>
      </c>
      <c r="O268">
        <f>O267+1</f>
        <v>3</v>
      </c>
      <c r="P268" s="1">
        <f ca="1">IF(ISERROR(F261),"",IF(ISTEXT(VLOOKUP(B261,INDIRECT($F$8),6+(O268-1)*3)),(VLOOKUP(B261,INDIRECT($F$8),6+(O268-1)*3)),SUM(VLOOKUP(B261,INDIRECT($F$8),6+(O268-1)*3),IF(W280,W268,0))))</f>
        <v>79</v>
      </c>
      <c r="Q268" s="1">
        <f ca="1">IF(ISERROR(F261),"",VLOOKUP(B261,INDIRECT($F$8),7+(O268-1)*3))</f>
        <v>46</v>
      </c>
      <c r="R268" s="1">
        <f ca="1">IF(ISERROR(F261),"",SUM(P268:Q268))</f>
        <v>125</v>
      </c>
      <c r="S268" s="1">
        <f ca="1">IF(ISERROR(F261),"",VLOOKUP(A261,INDIRECT($F$8),6+(O268-1)*3))</f>
        <v>100</v>
      </c>
      <c r="T268" s="1">
        <f ca="1">IF(ISERROR(F261),"",VLOOKUP(A261,INDIRECT($F$8),7+(O268-1)*3))</f>
        <v>50</v>
      </c>
      <c r="U268" s="1">
        <f ca="1">IF(ISERROR(F261),"",VLOOKUP(A261,INDIRECT($F$8),8+(O268-1)*3))</f>
        <v>150</v>
      </c>
      <c r="V268" s="1" t="str">
        <f ca="1">IF(ISERROR(F261),"",IF(N268=0,A268,""))</f>
        <v/>
      </c>
      <c r="W268" s="1">
        <f ca="1">IF(ISERROR(F261),"",IF(ISTEXT(VLOOKUP(B261,INDIRECT($F$8),6+(O268-1)*3)),11,IF(VLOOKUP(B261,INDIRECT($F$8),6+(O268-1)*3)&lt;S268*0.3,IF(VLOOKUP(B261,INDIRECT($F$8),8+(O268-1)*3)&lt;U268*0.4,IF(AND(0.4*U268-VLOOKUP(B261,INDIRECT($F$8),8+(O268-1)*3)&lt;=5,0.3*S268-VLOOKUP(B261,INDIRECT($F$8),6+(O268-1)*3)&lt;=5),MAX(0.4*U268-VLOOKUP(B261,INDIRECT($F$8),8+(O268-1)*3),0.3*S268-VLOOKUP(B261,INDIRECT($F$8),6+(O268-1)*3)),11),IF(0.3*S268-VLOOKUP(B261,INDIRECT($F$8),6+(O268-1)*3)&lt;=5,0.3*S268-VLOOKUP(B261,INDIRECT($F$8),6+(O268-1)*3),11)),IF(VLOOKUP(B261,INDIRECT($F$8),8+(O268-1)*3)&lt;U268*0.4,IF(U268*0.4-VLOOKUP(B261,INDIRECT($F$8),8+(O268-1)*3)&lt;=5,U268*0.4-VLOOKUP(B261,INDIRECT($F$8),8+(O268-1)*3),11),0))))</f>
        <v>0</v>
      </c>
      <c r="X268" s="1" t="str">
        <f ca="1">IF(ISERROR(F261),"",IF(W268=0,"",_xlfn.TEXTJOIN("",FALSE," G+",W268," in ",A268)))</f>
        <v/>
      </c>
    </row>
    <row r="269" spans="1:24" ht="11.25" customHeight="1" x14ac:dyDescent="0.2">
      <c r="A269" s="7" t="str">
        <f ca="1">IF(ISERROR(F261),"",VLOOKUP(C261,INDIRECT($F$8),6+(O269-1)*3,0))</f>
        <v>CAT 007</v>
      </c>
      <c r="B269" s="41" t="str">
        <f ca="1">IF(ISERROR(F261),"",VLOOKUP(D261,INDIRECT($F$8),6+(O269-1)*3,0))</f>
        <v>Computer Organization</v>
      </c>
      <c r="C269" s="41"/>
      <c r="D269" s="41"/>
      <c r="E269" s="41"/>
      <c r="F269" s="7">
        <f ca="1">IF(ISERROR(F261),"",VLOOKUP(E261,INDIRECT($F$8),6+(O269-1)*3,0))</f>
        <v>4</v>
      </c>
      <c r="G269" s="42" t="str">
        <f ca="1">IF(ISERROR(F261),"",_xlfn.TEXTJOIN("/",FALSE,P269,S269))</f>
        <v>60/100</v>
      </c>
      <c r="H269" s="42"/>
      <c r="I269" s="42" t="str">
        <f ca="1">IF(ISERROR(F261),"",_xlfn.TEXTJOIN("/",FALSE,Q269,T269))</f>
        <v>41/50</v>
      </c>
      <c r="J269" s="42"/>
      <c r="K269" s="42" t="str">
        <f ca="1">IF(ISERROR(F261),"",_xlfn.TEXTJOIN("/",FALSE,R269,U269))</f>
        <v>101/150</v>
      </c>
      <c r="L269" s="42"/>
      <c r="M269" s="7" t="str">
        <f ca="1">IF(ISERROR(F261),"",IF(ISTEXT(P269),IF(P269="A","Ab",IF(P269="D","Dt",IF(P269="UFM","UFM",IF(P269="NA","-")))),IF(AND(ISBLANK(P269),ISBLANK(R269)),"",IF(P269&lt;0.3*S269,"F",IF(ISBLANK(R269),"",IF(ISTEXT(R269),R269,IF(R269&gt;=0.95*U269,"O",IF(R269&gt;=0.9*U269,"A+",IF(R269&gt;=0.85*U269,"A",IF(R269&gt;=0.8*U269,"B+",IF(R269&gt;=0.75*U269,"B",IF(R269&gt;=0.7*U269,"C+",IF(R269&gt;=0.65*U269,"C",IF(R269&gt;=0.6*U269,"D+",IF(R269&gt;=0.55*U269,"D",IF(R269&gt;=0.5*U269,"E+",IF(R269&gt;=0.45*U269,"E",IF(R269&gt;=0.4*U269,"P",IF(R269&lt;0.4*U269,"F",R269)))))))))))))))))))</f>
        <v>C</v>
      </c>
      <c r="N269" s="8">
        <f t="shared" ca="1" si="22"/>
        <v>7</v>
      </c>
      <c r="O269">
        <f>O268+1</f>
        <v>4</v>
      </c>
      <c r="P269" s="1">
        <f ca="1">IF(ISERROR(F261),"",IF(ISTEXT(VLOOKUP(B261,INDIRECT($F$8),6+(O269-1)*3)),(VLOOKUP(B261,INDIRECT($F$8),6+(O269-1)*3)),SUM(VLOOKUP(B261,INDIRECT($F$8),6+(O269-1)*3),IF(W280,W269,0))))</f>
        <v>60</v>
      </c>
      <c r="Q269" s="1">
        <f ca="1">IF(ISERROR(F261),"",VLOOKUP(B261,INDIRECT($F$8),7+(O269-1)*3))</f>
        <v>41</v>
      </c>
      <c r="R269" s="1">
        <f ca="1">IF(ISERROR(F261),"",SUM(P269:Q269))</f>
        <v>101</v>
      </c>
      <c r="S269" s="1">
        <f ca="1">IF(ISERROR(F261),"",VLOOKUP(A261,INDIRECT($F$8),6+(O269-1)*3))</f>
        <v>100</v>
      </c>
      <c r="T269" s="1">
        <f ca="1">IF(ISERROR(F261),"",VLOOKUP(A261,INDIRECT($F$8),7+(O269-1)*3))</f>
        <v>50</v>
      </c>
      <c r="U269" s="1">
        <f ca="1">IF(ISERROR(F261),"",VLOOKUP(A261,INDIRECT($F$8),8+(O269-1)*3))</f>
        <v>150</v>
      </c>
      <c r="V269" s="1" t="str">
        <f ca="1">IF(ISERROR(F261),"",IF(N269=0,A269,""))</f>
        <v/>
      </c>
      <c r="W269" s="1">
        <f ca="1">IF(ISERROR(F261),"",IF(ISTEXT(VLOOKUP(B261,INDIRECT($F$8),6+(O269-1)*3)),11,IF(VLOOKUP(B261,INDIRECT($F$8),6+(O269-1)*3)&lt;S269*0.3,IF(VLOOKUP(B261,INDIRECT($F$8),8+(O269-1)*3)&lt;U269*0.4,IF(AND(0.4*U269-VLOOKUP(B261,INDIRECT($F$8),8+(O269-1)*3)&lt;=5,0.3*S269-VLOOKUP(B261,INDIRECT($F$8),6+(O269-1)*3)&lt;=5),MAX(0.4*U269-VLOOKUP(B261,INDIRECT($F$8),8+(O269-1)*3),0.3*S269-VLOOKUP(B261,INDIRECT($F$8),6+(O269-1)*3)),11),IF(0.3*S269-VLOOKUP(B261,INDIRECT($F$8),6+(O269-1)*3)&lt;=5,0.3*S269-VLOOKUP(B261,INDIRECT($F$8),6+(O269-1)*3),11)),IF(VLOOKUP(B261,INDIRECT($F$8),8+(O269-1)*3)&lt;U269*0.4,IF(U269*0.4-VLOOKUP(B261,INDIRECT($F$8),8+(O269-1)*3)&lt;=5,U269*0.4-VLOOKUP(B261,INDIRECT($F$8),8+(O269-1)*3),11),0))))</f>
        <v>0</v>
      </c>
      <c r="X269" s="1" t="str">
        <f ca="1">IF(ISERROR(F261),"",IF(W269=0,"",_xlfn.TEXTJOIN("",FALSE," G+",W269," in ",A269)))</f>
        <v/>
      </c>
    </row>
    <row r="270" spans="1:24" ht="11.25" customHeight="1" x14ac:dyDescent="0.2">
      <c r="A270" s="7" t="str">
        <f ca="1">IF(ISERROR(F261),"",VLOOKUP(C261,INDIRECT($F$8),6+(O270-1)*3,0))</f>
        <v>AHT 303</v>
      </c>
      <c r="B270" s="41" t="str">
        <f ca="1">IF(ISERROR(F261),"",VLOOKUP(D261,INDIRECT($F$8),6+(O270-1)*3,0))</f>
        <v>Technical Communication Skills</v>
      </c>
      <c r="C270" s="41"/>
      <c r="D270" s="41"/>
      <c r="E270" s="41"/>
      <c r="F270" s="7">
        <f ca="1">IF(ISERROR(F261),"",VLOOKUP(E261,INDIRECT($F$8),6+(O270-1)*3,0))</f>
        <v>4</v>
      </c>
      <c r="G270" s="42" t="str">
        <f ca="1">IF(ISERROR(F261),"",_xlfn.TEXTJOIN("/",FALSE,P270,S270))</f>
        <v>83/100</v>
      </c>
      <c r="H270" s="42"/>
      <c r="I270" s="42" t="str">
        <f ca="1">IF(ISERROR(F261),"",_xlfn.TEXTJOIN("/",FALSE,Q270,T270))</f>
        <v>36/50</v>
      </c>
      <c r="J270" s="42"/>
      <c r="K270" s="42" t="str">
        <f ca="1">IF(ISERROR(F261),"",_xlfn.TEXTJOIN("/",FALSE,R270,U270))</f>
        <v>119/150</v>
      </c>
      <c r="L270" s="42"/>
      <c r="M270" s="7" t="str">
        <f ca="1">IF(ISERROR(F261),"",IF(ISTEXT(P270),IF(P270="A","Ab",IF(P270="D","Dt",IF(P270="UFM","UFM",IF(P270="NA","-")))),IF(AND(ISBLANK(P270),ISBLANK(R270)),"",IF(P270&lt;0.3*S270,"F",IF(ISBLANK(R270),"",IF(ISTEXT(R270),R270,IF(R270&gt;=0.95*U270,"O",IF(R270&gt;=0.9*U270,"A+",IF(R270&gt;=0.85*U270,"A",IF(R270&gt;=0.8*U270,"B+",IF(R270&gt;=0.75*U270,"B",IF(R270&gt;=0.7*U270,"C+",IF(R270&gt;=0.65*U270,"C",IF(R270&gt;=0.6*U270,"D+",IF(R270&gt;=0.55*U270,"D",IF(R270&gt;=0.5*U270,"E+",IF(R270&gt;=0.45*U270,"E",IF(R270&gt;=0.4*U270,"P",IF(R270&lt;0.4*U270,"F",R270)))))))))))))))))))</f>
        <v>B</v>
      </c>
      <c r="N270" s="8">
        <f t="shared" ca="1" si="22"/>
        <v>8</v>
      </c>
      <c r="O270">
        <f t="shared" ref="O270:O279" si="23">O269+1</f>
        <v>5</v>
      </c>
      <c r="P270" s="1">
        <f ca="1">IF(ISERROR(F261),"",IF(ISTEXT(VLOOKUP(B261,INDIRECT($F$8),6+(O270-1)*3)),(VLOOKUP(B261,INDIRECT($F$8),6+(O270-1)*3)),SUM(VLOOKUP(B261,INDIRECT($F$8),6+(O270-1)*3),IF(W280,W270,0))))</f>
        <v>83</v>
      </c>
      <c r="Q270" s="1">
        <f ca="1">IF(ISERROR(F261),"",VLOOKUP(B261,INDIRECT($F$8),7+(O270-1)*3))</f>
        <v>36</v>
      </c>
      <c r="R270" s="1">
        <f ca="1">IF(ISERROR(F261),"",SUM(P270:Q270))</f>
        <v>119</v>
      </c>
      <c r="S270" s="1">
        <f ca="1">IF(ISERROR(F261),"",VLOOKUP(A261,INDIRECT($F$8),6+(O270-1)*3))</f>
        <v>100</v>
      </c>
      <c r="T270" s="1">
        <f ca="1">IF(ISERROR(F261),"",VLOOKUP(A261,INDIRECT($F$8),7+(O270-1)*3))</f>
        <v>50</v>
      </c>
      <c r="U270" s="1">
        <f ca="1">IF(ISERROR(F261),"",VLOOKUP(A261,INDIRECT($F$8),8+(O270-1)*3))</f>
        <v>150</v>
      </c>
      <c r="V270" s="1" t="str">
        <f ca="1">IF(ISERROR(F261),"",IF(N270=0,A270,""))</f>
        <v/>
      </c>
      <c r="W270" s="1">
        <f ca="1">IF(ISERROR(F261),"",IF(ISTEXT(VLOOKUP(B261,INDIRECT($F$8),6+(O270-1)*3)),11,IF(VLOOKUP(B261,INDIRECT($F$8),6+(O270-1)*3)&lt;S270*0.3,IF(VLOOKUP(B261,INDIRECT($F$8),8+(O270-1)*3)&lt;U270*0.4,IF(AND(0.4*U270-VLOOKUP(B261,INDIRECT($F$8),8+(O270-1)*3)&lt;=5,0.3*S270-VLOOKUP(B261,INDIRECT($F$8),6+(O270-1)*3)&lt;=5),MAX(0.4*U270-VLOOKUP(B261,INDIRECT($F$8),8+(O270-1)*3),0.3*S270-VLOOKUP(B261,INDIRECT($F$8),6+(O270-1)*3)),11),IF(0.3*S270-VLOOKUP(B261,INDIRECT($F$8),6+(O270-1)*3)&lt;=5,0.3*S270-VLOOKUP(B261,INDIRECT($F$8),6+(O270-1)*3),11)),IF(VLOOKUP(B261,INDIRECT($F$8),8+(O270-1)*3)&lt;U270*0.4,IF(U270*0.4-VLOOKUP(B261,INDIRECT($F$8),8+(O270-1)*3)&lt;=5,U270*0.4-VLOOKUP(B261,INDIRECT($F$8),8+(O270-1)*3),11),0))))</f>
        <v>0</v>
      </c>
      <c r="X270" s="1" t="str">
        <f ca="1">IF(ISERROR(F261),"",IF(W270=0,"",_xlfn.TEXTJOIN("",FALSE," G+",W270," in ",A270)))</f>
        <v/>
      </c>
    </row>
    <row r="271" spans="1:24" ht="11.25" customHeight="1" x14ac:dyDescent="0.2">
      <c r="A271" s="7" t="str">
        <f ca="1">IF(ISERROR(F261),"",VLOOKUP(C261,INDIRECT($F$8),6+(O271-1)*3,0))</f>
        <v>CAT 008</v>
      </c>
      <c r="B271" s="41" t="str">
        <f ca="1">IF(ISERROR(F261),"",VLOOKUP(D261,INDIRECT($F$8),6+(O271-1)*3,0))</f>
        <v>Python Programming ($)</v>
      </c>
      <c r="C271" s="41"/>
      <c r="D271" s="41"/>
      <c r="E271" s="41"/>
      <c r="F271" s="7">
        <f ca="1">IF(ISERROR(F261),"",VLOOKUP(E261,INDIRECT($F$8),6+(O271-1)*3,0))</f>
        <v>0</v>
      </c>
      <c r="G271" s="42" t="str">
        <f ca="1">IF(ISERROR(F261),"",_xlfn.TEXTJOIN("/",FALSE,P271,S271))</f>
        <v>22/30</v>
      </c>
      <c r="H271" s="42"/>
      <c r="I271" s="42" t="str">
        <f ca="1">IF(ISERROR(F261),"",_xlfn.TEXTJOIN("/",FALSE,Q271,T271))</f>
        <v>15/20</v>
      </c>
      <c r="J271" s="42"/>
      <c r="K271" s="42" t="str">
        <f ca="1">IF(ISERROR(F261),"",_xlfn.TEXTJOIN("/",FALSE,R271,U271))</f>
        <v>37/50</v>
      </c>
      <c r="L271" s="42"/>
      <c r="M271" s="7" t="str">
        <f ca="1">IF(ISERROR(F261),"",IF(ISTEXT(P271),IF(P271="A","Ab",IF(P271="D","Dt",IF(P271="UFM","UFM",IF(P271="NA","-")))),IF(AND(ISBLANK(P271),ISBLANK(R271)),"",IF(P271&lt;0.3*S271,"F",IF(ISBLANK(R271),"",IF(ISTEXT(R271),R271,IF(R271&gt;=0.95*U271,"O",IF(R271&gt;=0.9*U271,"A+",IF(R271&gt;=0.85*U271,"A",IF(R271&gt;=0.8*U271,"B+",IF(R271&gt;=0.75*U271,"B",IF(R271&gt;=0.7*U271,"C+",IF(R271&gt;=0.65*U271,"C",IF(R271&gt;=0.6*U271,"D+",IF(R271&gt;=0.55*U271,"D",IF(R271&gt;=0.5*U271,"E+",IF(R271&gt;=0.45*U271,"E",IF(R271&gt;=0.4*U271,"P",IF(R271&lt;0.4*U271,"F",R271)))))))))))))))))))</f>
        <v>C+</v>
      </c>
      <c r="N271" s="8">
        <f t="shared" ca="1" si="22"/>
        <v>7.5</v>
      </c>
      <c r="O271">
        <f t="shared" si="23"/>
        <v>6</v>
      </c>
      <c r="P271" s="1">
        <f ca="1">IF(ISERROR(F261),"",IF(ISTEXT(VLOOKUP(B261,INDIRECT($F$8),6+(O271-1)*3)),(VLOOKUP(B261,INDIRECT($F$8),6+(O271-1)*3)),SUM(VLOOKUP(B261,INDIRECT($F$8),6+(O271-1)*3),IF(W280,W271,0))))</f>
        <v>22</v>
      </c>
      <c r="Q271" s="1">
        <f ca="1">IF(ISERROR(F261),"",VLOOKUP(B261,INDIRECT($F$8),7+(O271-1)*3))</f>
        <v>15</v>
      </c>
      <c r="R271" s="1">
        <f ca="1">IF(ISERROR(F261),"",SUM(P271:Q271))</f>
        <v>37</v>
      </c>
      <c r="S271" s="1">
        <f ca="1">IF(ISERROR(F261),"",VLOOKUP(A261,INDIRECT($F$8),6+(O271-1)*3))</f>
        <v>30</v>
      </c>
      <c r="T271" s="1">
        <f ca="1">IF(ISERROR(F261),"",VLOOKUP(A261,INDIRECT($F$8),7+(O271-1)*3))</f>
        <v>20</v>
      </c>
      <c r="U271" s="1">
        <f ca="1">IF(ISERROR(F261),"",VLOOKUP(A261,INDIRECT($F$8),8+(O271-1)*3))</f>
        <v>50</v>
      </c>
      <c r="V271" s="1" t="str">
        <f ca="1">IF(ISERROR(F261),"",IF(N271=0,A271,""))</f>
        <v/>
      </c>
      <c r="W271" s="1">
        <f ca="1">IF(ISERROR(F261),"",IF(ISTEXT(VLOOKUP(B261,INDIRECT($F$8),6+(O271-1)*3)),11,IF(VLOOKUP(B261,INDIRECT($F$8),6+(O271-1)*3)&lt;S271*0.3,IF(VLOOKUP(B261,INDIRECT($F$8),8+(O271-1)*3)&lt;U271*0.4,IF(AND(0.4*U271-VLOOKUP(B261,INDIRECT($F$8),8+(O271-1)*3)&lt;=5,0.3*S271-VLOOKUP(B261,INDIRECT($F$8),6+(O271-1)*3)&lt;=5),MAX(0.4*U271-VLOOKUP(B261,INDIRECT($F$8),8+(O271-1)*3),0.3*S271-VLOOKUP(B261,INDIRECT($F$8),6+(O271-1)*3)),11),IF(0.3*S271-VLOOKUP(B261,INDIRECT($F$8),6+(O271-1)*3)&lt;=5,0.3*S271-VLOOKUP(B261,INDIRECT($F$8),6+(O271-1)*3),11)),IF(VLOOKUP(B261,INDIRECT($F$8),8+(O271-1)*3)&lt;U271*0.4,IF(U271*0.4-VLOOKUP(B261,INDIRECT($F$8),8+(O271-1)*3)&lt;=5,U271*0.4-VLOOKUP(B261,INDIRECT($F$8),8+(O271-1)*3),11),0))))</f>
        <v>0</v>
      </c>
      <c r="X271" s="1" t="str">
        <f ca="1">IF(ISERROR(F261),"",IF(W271=0,"",_xlfn.TEXTJOIN("",FALSE," G+",W271," in ",A271)))</f>
        <v/>
      </c>
    </row>
    <row r="272" spans="1:24" ht="11.25" customHeight="1" x14ac:dyDescent="0.2">
      <c r="A272" s="7" t="str">
        <f ca="1">IF(ISERROR(F261),"",VLOOKUP(C261,INDIRECT($F$8),6+(O272-1)*3,0))</f>
        <v>CAT 001</v>
      </c>
      <c r="B272" s="41" t="str">
        <f ca="1">IF(ISERROR(F261),"",VLOOKUP(D261,INDIRECT($F$8),6+(O272-1)*3,0))</f>
        <v>Introduction of Information Technology ($)</v>
      </c>
      <c r="C272" s="41"/>
      <c r="D272" s="41"/>
      <c r="E272" s="41"/>
      <c r="F272" s="7">
        <f ca="1">IF(ISERROR(F261),"",VLOOKUP(E261,INDIRECT($F$8),6+(O272-1)*3,0))</f>
        <v>0</v>
      </c>
      <c r="G272" s="42" t="str">
        <f ca="1">IF(ISERROR(F261),"",_xlfn.TEXTJOIN("/",FALSE,P272,S272))</f>
        <v>NA/30</v>
      </c>
      <c r="H272" s="42"/>
      <c r="I272" s="42" t="str">
        <f ca="1">IF(ISERROR(F261),"",_xlfn.TEXTJOIN("/",FALSE,Q272,T272))</f>
        <v>NA/20</v>
      </c>
      <c r="J272" s="42"/>
      <c r="K272" s="42" t="str">
        <f ca="1">IF(ISERROR(F261),"",_xlfn.TEXTJOIN("/",FALSE,R272,U272))</f>
        <v>0/50</v>
      </c>
      <c r="L272" s="42"/>
      <c r="M272" s="7" t="str">
        <f ca="1">IF(ISERROR(F261),"",IF(ISTEXT(P272),IF(P272="A","Ab",IF(P272="D","Dt",IF(P272="UFM","UFM",IF(P272="NA","-")))),IF(AND(ISBLANK(P272),ISBLANK(R272)),"",IF(P272&lt;0.3*S272,"F",IF(ISBLANK(R272),"",IF(ISTEXT(R272),R272,IF(R272&gt;=0.95*U272,"O",IF(R272&gt;=0.9*U272,"A+",IF(R272&gt;=0.85*U272,"A",IF(R272&gt;=0.8*U272,"B+",IF(R272&gt;=0.75*U272,"B",IF(R272&gt;=0.7*U272,"C+",IF(R272&gt;=0.65*U272,"C",IF(R272&gt;=0.6*U272,"D+",IF(R272&gt;=0.55*U272,"D",IF(R272&gt;=0.5*U272,"E+",IF(R272&gt;=0.45*U272,"E",IF(R272&gt;=0.4*U272,"P",IF(R272&lt;0.4*U272,"F",R272)))))))))))))))))))</f>
        <v>-</v>
      </c>
      <c r="N272" s="8" t="str">
        <f t="shared" ca="1" si="22"/>
        <v>-</v>
      </c>
      <c r="O272">
        <f t="shared" si="23"/>
        <v>7</v>
      </c>
      <c r="P272" s="1" t="str">
        <f ca="1">IF(ISERROR(F261),"",IF(ISTEXT(VLOOKUP(B261,INDIRECT($F$8),6+(O272-1)*3)),(VLOOKUP(B261,INDIRECT($F$8),6+(O272-1)*3)),SUM(VLOOKUP(B261,INDIRECT($F$8),6+(O272-1)*3),IF(W280,W272,0))))</f>
        <v>NA</v>
      </c>
      <c r="Q272" s="1" t="str">
        <f ca="1">IF(ISERROR(F261),"",VLOOKUP(B261,INDIRECT($F$8),7+(O272-1)*3))</f>
        <v>NA</v>
      </c>
      <c r="R272" s="1">
        <f ca="1">IF(ISERROR(F261),"",SUM(P272:Q272))</f>
        <v>0</v>
      </c>
      <c r="S272" s="1">
        <f ca="1">IF(ISERROR(F261),"",VLOOKUP(A261,INDIRECT($F$8),6+(O272-1)*3))</f>
        <v>30</v>
      </c>
      <c r="T272" s="1">
        <f ca="1">IF(ISERROR(F261),"",VLOOKUP(A261,INDIRECT($F$8),7+(O272-1)*3))</f>
        <v>20</v>
      </c>
      <c r="U272" s="1">
        <f ca="1">IF(ISERROR(F261),"",VLOOKUP(A261,INDIRECT($F$8),8+(O272-1)*3))</f>
        <v>50</v>
      </c>
      <c r="V272" s="1" t="str">
        <f ca="1">IF(ISERROR(F261),"",IF(N272=0,A272,""))</f>
        <v/>
      </c>
      <c r="W272" s="1">
        <f ca="1">IF(ISERROR(F261),"",IF(ISTEXT(VLOOKUP(B261,INDIRECT($F$8),6+(O272-1)*3)),11,IF(VLOOKUP(B261,INDIRECT($F$8),6+(O272-1)*3)&lt;S272*0.3,IF(VLOOKUP(B261,INDIRECT($F$8),8+(O272-1)*3)&lt;U272*0.4,IF(AND(0.4*U272-VLOOKUP(B261,INDIRECT($F$8),8+(O272-1)*3)&lt;=5,0.3*S272-VLOOKUP(B261,INDIRECT($F$8),6+(O272-1)*3)&lt;=5),MAX(0.4*U272-VLOOKUP(B261,INDIRECT($F$8),8+(O272-1)*3),0.3*S272-VLOOKUP(B261,INDIRECT($F$8),6+(O272-1)*3)),11),IF(0.3*S272-VLOOKUP(B261,INDIRECT($F$8),6+(O272-1)*3)&lt;=5,0.3*S272-VLOOKUP(B261,INDIRECT($F$8),6+(O272-1)*3),11)),IF(VLOOKUP(B261,INDIRECT($F$8),8+(O272-1)*3)&lt;U272*0.4,IF(U272*0.4-VLOOKUP(B261,INDIRECT($F$8),8+(O272-1)*3)&lt;=5,U272*0.4-VLOOKUP(B261,INDIRECT($F$8),8+(O272-1)*3),11),0))))</f>
        <v>11</v>
      </c>
      <c r="X272" s="1" t="str">
        <f ca="1">IF(ISERROR(F261),"",IF(W272=0,"",_xlfn.TEXTJOIN("",FALSE," G+",W272," in ",A272)))</f>
        <v xml:space="preserve"> G+11 in CAT 001</v>
      </c>
    </row>
    <row r="273" spans="1:24" ht="11.25" customHeight="1" x14ac:dyDescent="0.2">
      <c r="A273" s="7" t="str">
        <f ca="1">IF(ISERROR(F261),"",VLOOKUP(C261,INDIRECT($F$8),6+(O273-1)*3,0))</f>
        <v>CAT 002</v>
      </c>
      <c r="B273" s="41" t="str">
        <f ca="1">IF(ISERROR(F261),"",VLOOKUP(D261,INDIRECT($F$8),6+(O273-1)*3,0))</f>
        <v>Programming Fundamentals with "C" ($)</v>
      </c>
      <c r="C273" s="41"/>
      <c r="D273" s="41"/>
      <c r="E273" s="41"/>
      <c r="F273" s="7">
        <f ca="1">IF(ISERROR(F261),"",VLOOKUP(E261,INDIRECT($F$8),6+(O273-1)*3,0))</f>
        <v>0</v>
      </c>
      <c r="G273" s="42" t="str">
        <f ca="1">IF(ISERROR(F261),"",_xlfn.TEXTJOIN("/",FALSE,P273,S273))</f>
        <v>NA/30</v>
      </c>
      <c r="H273" s="42"/>
      <c r="I273" s="42" t="str">
        <f ca="1">IF(ISERROR(F261),"",_xlfn.TEXTJOIN("/",FALSE,Q273,T273))</f>
        <v>NA/20</v>
      </c>
      <c r="J273" s="42"/>
      <c r="K273" s="42" t="str">
        <f ca="1">IF(ISERROR(F261),"",_xlfn.TEXTJOIN("/",FALSE,R273,U273))</f>
        <v>0/50</v>
      </c>
      <c r="L273" s="42"/>
      <c r="M273" s="7" t="str">
        <f ca="1">IF(ISERROR(F261),"",IF(ISTEXT(P273),IF(P273="A","Ab",IF(P273="D","Dt",IF(P273="UFM","UFM",IF(P273="NA","-")))),IF(AND(ISBLANK(P273),ISBLANK(R273)),"",IF(P273&lt;0.3*S273,"F",IF(ISBLANK(R273),"",IF(ISTEXT(R273),R273,IF(R273&gt;=0.95*U273,"O",IF(R273&gt;=0.9*U273,"A+",IF(R273&gt;=0.85*U273,"A",IF(R273&gt;=0.8*U273,"B+",IF(R273&gt;=0.75*U273,"B",IF(R273&gt;=0.7*U273,"C+",IF(R273&gt;=0.65*U273,"C",IF(R273&gt;=0.6*U273,"D+",IF(R273&gt;=0.55*U273,"D",IF(R273&gt;=0.5*U273,"E+",IF(R273&gt;=0.45*U273,"E",IF(R273&gt;=0.4*U273,"P",IF(R273&lt;0.4*U273,"F",R273)))))))))))))))))))</f>
        <v>-</v>
      </c>
      <c r="N273" s="8" t="str">
        <f t="shared" ca="1" si="22"/>
        <v>-</v>
      </c>
      <c r="O273">
        <f t="shared" si="23"/>
        <v>8</v>
      </c>
      <c r="P273" s="1" t="str">
        <f ca="1">IF(ISERROR(F261),"",IF(ISTEXT(VLOOKUP(B261,INDIRECT($F$8),6+(O273-1)*3)),(VLOOKUP(B261,INDIRECT($F$8),6+(O273-1)*3)),SUM(VLOOKUP(B261,INDIRECT($F$8),6+(O273-1)*3),IF(W280,W273,0))))</f>
        <v>NA</v>
      </c>
      <c r="Q273" s="1" t="str">
        <f ca="1">IF(ISERROR(F261),"",VLOOKUP(B261,INDIRECT($F$8),7+(O273-1)*3))</f>
        <v>NA</v>
      </c>
      <c r="R273" s="1">
        <f ca="1">IF(ISERROR(F261),"",SUM(P273:Q273))</f>
        <v>0</v>
      </c>
      <c r="S273" s="1">
        <f ca="1">IF(ISERROR(F261),"",VLOOKUP(A261,INDIRECT($F$8),6+(O273-1)*3))</f>
        <v>30</v>
      </c>
      <c r="T273" s="1">
        <f ca="1">IF(ISERROR(F261),"",VLOOKUP(A261,INDIRECT($F$8),7+(O273-1)*3))</f>
        <v>20</v>
      </c>
      <c r="U273" s="1">
        <f ca="1">IF(ISERROR(F261),"",VLOOKUP(A261,INDIRECT($F$8),8+(O273-1)*3))</f>
        <v>50</v>
      </c>
      <c r="V273" s="1" t="str">
        <f ca="1">IF(ISERROR(F261),"",IF(N273=0,A273,""))</f>
        <v/>
      </c>
      <c r="W273" s="1">
        <f ca="1">IF(ISERROR(F261),"",IF(ISTEXT(VLOOKUP(B261,INDIRECT($F$8),6+(O273-1)*3)),11,IF(VLOOKUP(B261,INDIRECT($F$8),6+(O273-1)*3)&lt;S273*0.3,IF(VLOOKUP(B261,INDIRECT($F$8),8+(O273-1)*3)&lt;U273*0.4,IF(AND(0.4*U273-VLOOKUP(B261,INDIRECT($F$8),8+(O273-1)*3)&lt;=5,0.3*S273-VLOOKUP(B261,INDIRECT($F$8),6+(O273-1)*3)&lt;=5),MAX(0.4*U273-VLOOKUP(B261,INDIRECT($F$8),8+(O273-1)*3),0.3*S273-VLOOKUP(B261,INDIRECT($F$8),6+(O273-1)*3)),11),IF(0.3*S273-VLOOKUP(B261,INDIRECT($F$8),6+(O273-1)*3)&lt;=5,0.3*S273-VLOOKUP(B261,INDIRECT($F$8),6+(O273-1)*3),11)),IF(VLOOKUP(B261,INDIRECT($F$8),8+(O273-1)*3)&lt;U273*0.4,IF(U273*0.4-VLOOKUP(B261,INDIRECT($F$8),8+(O273-1)*3)&lt;=5,U273*0.4-VLOOKUP(B261,INDIRECT($F$8),8+(O273-1)*3),11),0))))</f>
        <v>11</v>
      </c>
      <c r="X273" s="1" t="str">
        <f ca="1">IF(ISERROR(F261),"",IF(W273=0,"",_xlfn.TEXTJOIN("",FALSE," G+",W273," in ",A273)))</f>
        <v xml:space="preserve"> G+11 in CAT 002</v>
      </c>
    </row>
    <row r="274" spans="1:24" ht="11.25" customHeight="1" x14ac:dyDescent="0.2">
      <c r="A274" s="7" t="str">
        <f ca="1">IF(ISERROR(F261),"",VLOOKUP(C261,INDIRECT($F$8),6+(O274-1)*3,0))</f>
        <v>CAT 003</v>
      </c>
      <c r="B274" s="41" t="str">
        <f ca="1">IF(ISERROR(F261),"",VLOOKUP(D261,INDIRECT($F$8),6+(O274-1)*3-Z274,0))</f>
        <v>Fundamental of Web Technology ($)</v>
      </c>
      <c r="C274" s="41"/>
      <c r="D274" s="41"/>
      <c r="E274" s="41"/>
      <c r="F274" s="7">
        <f ca="1">IF(ISERROR(F261),"",VLOOKUP(E261,INDIRECT($F$8),6+(O274-1)*3,0))</f>
        <v>0</v>
      </c>
      <c r="G274" s="42" t="str">
        <f ca="1">IF(ISERROR(F261),"",_xlfn.TEXTJOIN("/",FALSE,P274,S274))</f>
        <v>NA/30</v>
      </c>
      <c r="H274" s="42"/>
      <c r="I274" s="42" t="str">
        <f ca="1">IF(ISERROR(F261),"",_xlfn.TEXTJOIN("/",FALSE,Q274,T274))</f>
        <v>NA/20</v>
      </c>
      <c r="J274" s="42"/>
      <c r="K274" s="42" t="str">
        <f ca="1">IF(ISERROR(F261),"",_xlfn.TEXTJOIN("/",FALSE,R274,U274))</f>
        <v>0/50</v>
      </c>
      <c r="L274" s="42"/>
      <c r="M274" s="7" t="str">
        <f ca="1">IF(ISERROR(F261),"",IF(ISTEXT(P274),IF(P274="A","Ab",IF(P274="D","Dt",IF(P274="UFM","UFM",IF(P274="NA","-")))),IF(AND(ISBLANK(P274),ISBLANK(R274)),"",IF(P274&lt;0.3*S274,"F",IF(ISBLANK(R274),"",IF(ISTEXT(R274),R274,IF(R274&gt;=0.95*U274,"O",IF(R274&gt;=0.9*U274,"A+",IF(R274&gt;=0.85*U274,"A",IF(R274&gt;=0.8*U274,"B+",IF(R274&gt;=0.75*U274,"B",IF(R274&gt;=0.7*U274,"C+",IF(R274&gt;=0.65*U274,"C",IF(R274&gt;=0.6*U274,"D+",IF(R274&gt;=0.55*U274,"D",IF(R274&gt;=0.5*U274,"E+",IF(R274&gt;=0.45*U274,"E",IF(R274&gt;=0.4*U274,"P",IF(R274&lt;0.4*U274,"F",R274)))))))))))))))))))</f>
        <v>-</v>
      </c>
      <c r="N274" s="8" t="str">
        <f t="shared" ca="1" si="22"/>
        <v>-</v>
      </c>
      <c r="O274">
        <f t="shared" si="23"/>
        <v>9</v>
      </c>
      <c r="P274" s="1" t="str">
        <f ca="1">IF(ISERROR(F261),"",IF(ISTEXT(VLOOKUP(B261,INDIRECT($F$8),6+(O274-1)*3)),(VLOOKUP(B261,INDIRECT($F$8),6+(O274-1)*3)),SUM(VLOOKUP(B261,INDIRECT($F$8),6+(O274-1)*3),IF(W280,W274,0))))</f>
        <v>NA</v>
      </c>
      <c r="Q274" s="1" t="str">
        <f ca="1">IF(ISERROR(F261),"",VLOOKUP(B261,INDIRECT($F$8),7+(O274-1)*3))</f>
        <v>NA</v>
      </c>
      <c r="R274" s="1">
        <f ca="1">IF(ISERROR(F261),"",SUM(P274:Q274))</f>
        <v>0</v>
      </c>
      <c r="S274" s="1">
        <f ca="1">IF(ISERROR(F261),"",VLOOKUP(A261,INDIRECT($F$8),6+(O274-1)*3))</f>
        <v>30</v>
      </c>
      <c r="T274" s="1">
        <f ca="1">IF(ISERROR(F261),"",VLOOKUP(A261,INDIRECT($F$8),7+(O274-1)*3))</f>
        <v>20</v>
      </c>
      <c r="U274" s="1">
        <f ca="1">IF(ISERROR(F261),"",VLOOKUP(A261,INDIRECT($F$8),8+(O274-1)*3))</f>
        <v>50</v>
      </c>
      <c r="V274" s="1" t="str">
        <f ca="1">IF(ISERROR(F261),"",IF(N274=0,A274,""))</f>
        <v/>
      </c>
      <c r="W274" s="1">
        <f ca="1">IF(ISERROR(F261),"",IF(ISTEXT(VLOOKUP(B261,INDIRECT($F$8),6+(O274-1)*3)),11,IF(VLOOKUP(B261,INDIRECT($F$8),6+(O274-1)*3)&lt;S274*0.3,IF(VLOOKUP(B261,INDIRECT($F$8),8+(O274-1)*3)&lt;U274*0.4,IF(AND(0.4*U274-VLOOKUP(B261,INDIRECT($F$8),8+(O274-1)*3)&lt;=5,0.3*S274-VLOOKUP(B261,INDIRECT($F$8),6+(O274-1)*3)&lt;=5),MAX(0.4*U274-VLOOKUP(B261,INDIRECT($F$8),8+(O274-1)*3),0.3*S274-VLOOKUP(B261,INDIRECT($F$8),6+(O274-1)*3)),11),IF(0.3*S274-VLOOKUP(B261,INDIRECT($F$8),6+(O274-1)*3)&lt;=5,0.3*S274-VLOOKUP(B261,INDIRECT($F$8),6+(O274-1)*3),11)),IF(VLOOKUP(B261,INDIRECT($F$8),8+(O274-1)*3)&lt;U274*0.4,IF(U274*0.4-VLOOKUP(B261,INDIRECT($F$8),8+(O274-1)*3)&lt;=5,U274*0.4-VLOOKUP(B261,INDIRECT($F$8),8+(O274-1)*3),11),0))))</f>
        <v>11</v>
      </c>
      <c r="X274" s="1" t="str">
        <f ca="1">IF(ISERROR(F261),"",IF(W274=0,"",_xlfn.TEXTJOIN("",FALSE," G+",W274," in ",A274)))</f>
        <v xml:space="preserve"> G+11 in CAT 003</v>
      </c>
    </row>
    <row r="275" spans="1:24" ht="11.25" customHeight="1" x14ac:dyDescent="0.2">
      <c r="A275" s="7" t="str">
        <f ca="1">IF(ISERROR(F261),"",VLOOKUP(C261,INDIRECT($F$8),6+(O275-1)*3,0))</f>
        <v>CAP 001</v>
      </c>
      <c r="B275" s="41" t="str">
        <f ca="1">IF(ISERROR(F261),"",VLOOKUP(D261,INDIRECT($F$8),6+(O275-1)*3-Z275,0))</f>
        <v>Database Management System Lab</v>
      </c>
      <c r="C275" s="41"/>
      <c r="D275" s="41"/>
      <c r="E275" s="41"/>
      <c r="F275" s="7">
        <f ca="1">IF(ISERROR(F261),"",VLOOKUP(E261,INDIRECT($F$8),6+(O275-1)*3,0))</f>
        <v>1</v>
      </c>
      <c r="G275" s="42" t="str">
        <f ca="1">IF(ISERROR(F261),"",_xlfn.TEXTJOIN("/",FALSE,P275,S275))</f>
        <v>28/30</v>
      </c>
      <c r="H275" s="42"/>
      <c r="I275" s="42" t="str">
        <f ca="1">IF(ISERROR(F261),"",_xlfn.TEXTJOIN("/",FALSE,Q275,T275))</f>
        <v>18/20</v>
      </c>
      <c r="J275" s="42"/>
      <c r="K275" s="42" t="str">
        <f ca="1">IF(ISERROR(F261),"",_xlfn.TEXTJOIN("/",FALSE,R275,U275))</f>
        <v>46/50</v>
      </c>
      <c r="L275" s="42"/>
      <c r="M275" s="7" t="str">
        <f ca="1">IF(ISERROR(F261),"",IF(ISTEXT(P275),IF(P275="A","Ab",IF(P275="D","Dt",IF(P275="UFM","UFM",IF(P275="NA","-")))),IF(AND(ISBLANK(P275),ISBLANK(R275)),"",IF(P275&lt;0.3*S275,"F",IF(ISBLANK(R275),"",IF(ISTEXT(R275),R275,IF(R275&gt;=0.95*U275,"O",IF(R275&gt;=0.9*U275,"A+",IF(R275&gt;=0.85*U275,"A",IF(R275&gt;=0.8*U275,"B+",IF(R275&gt;=0.75*U275,"B",IF(R275&gt;=0.7*U275,"C+",IF(R275&gt;=0.65*U275,"C",IF(R275&gt;=0.6*U275,"D+",IF(R275&gt;=0.55*U275,"D",IF(R275&gt;=0.5*U275,"E+",IF(R275&gt;=0.45*U275,"E",IF(R275&gt;=0.4*U275,"P",IF(R275&lt;0.4*U275,"F",R275)))))))))))))))))))</f>
        <v>A+</v>
      </c>
      <c r="N275" s="8">
        <f t="shared" ca="1" si="22"/>
        <v>9.5</v>
      </c>
      <c r="O275">
        <f t="shared" si="23"/>
        <v>10</v>
      </c>
      <c r="P275" s="1">
        <f ca="1">IF(ISERROR(F261),"",IF(ISTEXT(VLOOKUP(B261,INDIRECT($F$8),6+(O275-1)*3)),(VLOOKUP(B261,INDIRECT($F$8),6+(O275-1)*3)),SUM(VLOOKUP(B261,INDIRECT($F$8),6+(O275-1)*3),IF(W280,W275,0))))</f>
        <v>28</v>
      </c>
      <c r="Q275" s="1">
        <f ca="1">IF(ISERROR(F261),"",VLOOKUP(B261,INDIRECT($F$8),7+(O275-1)*3))</f>
        <v>18</v>
      </c>
      <c r="R275" s="1">
        <f ca="1">IF(ISERROR(F261),"",SUM(P275:Q275))</f>
        <v>46</v>
      </c>
      <c r="S275" s="1">
        <f ca="1">IF(ISERROR(F261),"",VLOOKUP(A261,INDIRECT($F$8),6+(O275-1)*3))</f>
        <v>30</v>
      </c>
      <c r="T275" s="1">
        <f ca="1">IF(ISERROR(F261),"",VLOOKUP(A261,INDIRECT($F$8),7+(O275-1)*3))</f>
        <v>20</v>
      </c>
      <c r="U275" s="1">
        <f ca="1">IF(ISERROR(F261),"",VLOOKUP(A261,INDIRECT($F$8),8+(O275-1)*3))</f>
        <v>50</v>
      </c>
      <c r="V275" s="1" t="str">
        <f ca="1">IF(ISERROR(F261),"",IF(N275=0,A275,""))</f>
        <v/>
      </c>
      <c r="W275" s="1">
        <f ca="1">IF(ISERROR(F261),"",IF(ISTEXT(VLOOKUP(B261,INDIRECT($F$8),6+(O275-1)*3)),11,IF(VLOOKUP(B261,INDIRECT($F$8),6+(O275-1)*3)&lt;S275*0.3,IF(VLOOKUP(B261,INDIRECT($F$8),8+(O275-1)*3)&lt;U275*0.4,IF(AND(0.4*U275-VLOOKUP(B261,INDIRECT($F$8),8+(O275-1)*3)&lt;=5,0.3*S275-VLOOKUP(B261,INDIRECT($F$8),6+(O275-1)*3)&lt;=5),MAX(0.4*U275-VLOOKUP(B261,INDIRECT($F$8),8+(O275-1)*3),0.3*S275-VLOOKUP(B261,INDIRECT($F$8),6+(O275-1)*3)),11),IF(0.3*S275-VLOOKUP(B261,INDIRECT($F$8),6+(O275-1)*3)&lt;=5,0.3*S275-VLOOKUP(B261,INDIRECT($F$8),6+(O275-1)*3),11)),IF(VLOOKUP(B261,INDIRECT($F$8),8+(O275-1)*3)&lt;U275*0.4,IF(U275*0.4-VLOOKUP(B261,INDIRECT($F$8),8+(O275-1)*3)&lt;=5,U275*0.4-VLOOKUP(B261,INDIRECT($F$8),8+(O275-1)*3),11),0))))</f>
        <v>0</v>
      </c>
      <c r="X275" s="1" t="str">
        <f ca="1">IF(ISERROR(F261),"",IF(W275=0,"",_xlfn.TEXTJOIN("",FALSE," G+",W275," in ",A275)))</f>
        <v/>
      </c>
    </row>
    <row r="276" spans="1:24" ht="11.25" customHeight="1" x14ac:dyDescent="0.2">
      <c r="A276" s="7" t="str">
        <f ca="1">IF(ISERROR(F261),"",VLOOKUP(C261,INDIRECT($F$8),6+(O276-1)*3,0))</f>
        <v>CAP 002</v>
      </c>
      <c r="B276" s="41" t="str">
        <f ca="1">IF(ISERROR(F261),"",VLOOKUP(D261,INDIRECT($F$8),6+(O276-1)*3,0))</f>
        <v>Operating System Lab</v>
      </c>
      <c r="C276" s="41"/>
      <c r="D276" s="41"/>
      <c r="E276" s="41"/>
      <c r="F276" s="7">
        <f ca="1">IF(ISERROR(F261),"",VLOOKUP(E261,INDIRECT($F$8),6+(O276-1)*3,0))</f>
        <v>1</v>
      </c>
      <c r="G276" s="42" t="str">
        <f ca="1">IF(ISERROR(F261),"",_xlfn.TEXTJOIN("/",FALSE,P276,S276))</f>
        <v>27/30</v>
      </c>
      <c r="H276" s="42"/>
      <c r="I276" s="42" t="str">
        <f ca="1">IF(ISERROR(F261),"",_xlfn.TEXTJOIN("/",FALSE,Q276,T276))</f>
        <v>18/20</v>
      </c>
      <c r="J276" s="42"/>
      <c r="K276" s="42" t="str">
        <f ca="1">IF(ISERROR(F261),"",_xlfn.TEXTJOIN("/",FALSE,R276,U276))</f>
        <v>45/50</v>
      </c>
      <c r="L276" s="42"/>
      <c r="M276" s="7" t="str">
        <f ca="1">IF(ISERROR(F261),"",IF(ISTEXT(P276),IF(P276="A","Ab",IF(P276="D","Dt",IF(P276="UFM","UFM",IF(P276="NA","-")))),IF(AND(ISBLANK(P276),ISBLANK(R276)),"",IF(P276&lt;0.3*S276,"F",IF(ISBLANK(R276),"",IF(ISTEXT(R276),R276,IF(R276&gt;=0.95*U276,"O",IF(R276&gt;=0.9*U276,"A+",IF(R276&gt;=0.85*U276,"A",IF(R276&gt;=0.8*U276,"B+",IF(R276&gt;=0.75*U276,"B",IF(R276&gt;=0.7*U276,"C+",IF(R276&gt;=0.65*U276,"C",IF(R276&gt;=0.6*U276,"D+",IF(R276&gt;=0.55*U276,"D",IF(R276&gt;=0.5*U276,"E+",IF(R276&gt;=0.45*U276,"E",IF(R276&gt;=0.4*U276,"P",IF(R276&lt;0.4*U276,"F",R276)))))))))))))))))))</f>
        <v>A+</v>
      </c>
      <c r="N276" s="8">
        <f t="shared" ca="1" si="22"/>
        <v>9.5</v>
      </c>
      <c r="O276">
        <f t="shared" si="23"/>
        <v>11</v>
      </c>
      <c r="P276" s="1">
        <f ca="1">IF(ISERROR(F261),"",IF(ISTEXT(VLOOKUP(B261,INDIRECT($F$8),6+(O276-1)*3)),(VLOOKUP(B261,INDIRECT($F$8),6+(O276-1)*3)),SUM(VLOOKUP(B261,INDIRECT($F$8),6+(O276-1)*3),IF(W280,W276,0))))</f>
        <v>27</v>
      </c>
      <c r="Q276" s="1">
        <f ca="1">IF(ISERROR(F261),"",VLOOKUP(B261,INDIRECT($F$8),7+(O276-1)*3))</f>
        <v>18</v>
      </c>
      <c r="R276" s="1">
        <f ca="1">IF(ISERROR(F261),"",SUM(P276:Q276))</f>
        <v>45</v>
      </c>
      <c r="S276" s="1">
        <f ca="1">IF(ISERROR(F261),"",VLOOKUP(A261,INDIRECT($F$8),6+(O276-1)*3))</f>
        <v>30</v>
      </c>
      <c r="T276" s="1">
        <f ca="1">IF(ISERROR(F261),"",VLOOKUP(A261,INDIRECT($F$8),7+(O276-1)*3))</f>
        <v>20</v>
      </c>
      <c r="U276" s="1">
        <f ca="1">IF(ISERROR(F261),"",VLOOKUP(A261,INDIRECT($F$8),8+(O276-1)*3))</f>
        <v>50</v>
      </c>
      <c r="V276" s="1" t="str">
        <f ca="1">IF(ISERROR(F261),"",IF(N276=0,A276,""))</f>
        <v/>
      </c>
      <c r="W276" s="1">
        <f ca="1">IF(ISERROR(F261),"",IF(ISTEXT(VLOOKUP(B261,INDIRECT($F$8),6+(O276-1)*3)),11,IF(VLOOKUP(B261,INDIRECT($F$8),6+(O276-1)*3)&lt;S276*0.3,IF(VLOOKUP(B261,INDIRECT($F$8),8+(O276-1)*3)&lt;U276*0.4,IF(AND(0.4*U276-VLOOKUP(B261,INDIRECT($F$8),8+(O276-1)*3)&lt;=5,0.3*S276-VLOOKUP(B261,INDIRECT($F$8),6+(O276-1)*3)&lt;=5),MAX(0.4*U276-VLOOKUP(B261,INDIRECT($F$8),8+(O276-1)*3),0.3*S276-VLOOKUP(B261,INDIRECT($F$8),6+(O276-1)*3)),11),IF(0.3*S276-VLOOKUP(B261,INDIRECT($F$8),6+(O276-1)*3)&lt;=5,0.3*S276-VLOOKUP(B261,INDIRECT($F$8),6+(O276-1)*3),11)),IF(VLOOKUP(B261,INDIRECT($F$8),8+(O276-1)*3)&lt;U276*0.4,IF(U276*0.4-VLOOKUP(B261,INDIRECT($F$8),8+(O276-1)*3)&lt;=5,U276*0.4-VLOOKUP(B261,INDIRECT($F$8),8+(O276-1)*3),11),0))))</f>
        <v>0</v>
      </c>
      <c r="X276" s="1" t="str">
        <f ca="1">IF(ISERROR(F261),"",IF(W276=0,"",_xlfn.TEXTJOIN("",FALSE," G+",W276," in ",A276)))</f>
        <v/>
      </c>
    </row>
    <row r="277" spans="1:24" ht="11.25" customHeight="1" x14ac:dyDescent="0.2">
      <c r="A277" s="7" t="str">
        <f ca="1">IF(ISERROR(F261),"",VLOOKUP(C261,INDIRECT($F$8),6+(O277-1)*3,0))</f>
        <v>CAP 003</v>
      </c>
      <c r="B277" s="41" t="str">
        <f ca="1">IF(ISERROR(F261),"",VLOOKUP(D261,INDIRECT($F$8),6+(O277-1)*3,0))</f>
        <v>Computer Organization Lab</v>
      </c>
      <c r="C277" s="41"/>
      <c r="D277" s="41"/>
      <c r="E277" s="41"/>
      <c r="F277" s="7">
        <f ca="1">IF(ISERROR(F261),"",VLOOKUP(E261,INDIRECT($F$8),6+(O277-1)*3,0))</f>
        <v>1</v>
      </c>
      <c r="G277" s="42" t="str">
        <f ca="1">IF(ISERROR(F261),"",_xlfn.TEXTJOIN("/",FALSE,P277,S277))</f>
        <v>25/30</v>
      </c>
      <c r="H277" s="42"/>
      <c r="I277" s="42" t="str">
        <f ca="1">IF(ISERROR(F261),"",_xlfn.TEXTJOIN("/",FALSE,Q277,T277))</f>
        <v>19/20</v>
      </c>
      <c r="J277" s="42"/>
      <c r="K277" s="42" t="str">
        <f ca="1">IF(ISERROR(F261),"",_xlfn.TEXTJOIN("/",FALSE,R277,U277))</f>
        <v>44/50</v>
      </c>
      <c r="L277" s="42"/>
      <c r="M277" s="7" t="str">
        <f ca="1">IF(ISERROR(F261),"",IF(ISTEXT(P277),IF(P277="A","Ab",IF(P277="D","Dt",IF(P277="UFM","UFM",IF(P277="NA","-")))),IF(AND(ISBLANK(P277),ISBLANK(R277)),"",IF(P277&lt;0.3*S277,"F",IF(ISBLANK(R277),"",IF(ISTEXT(R277),R277,IF(R277&gt;=0.95*U277,"O",IF(R277&gt;=0.9*U277,"A+",IF(R277&gt;=0.85*U277,"A",IF(R277&gt;=0.8*U277,"B+",IF(R277&gt;=0.75*U277,"B",IF(R277&gt;=0.7*U277,"C+",IF(R277&gt;=0.65*U277,"C",IF(R277&gt;=0.6*U277,"D+",IF(R277&gt;=0.55*U277,"D",IF(R277&gt;=0.5*U277,"E+",IF(R277&gt;=0.45*U277,"E",IF(R277&gt;=0.4*U277,"P",IF(R277&lt;0.4*U277,"F",R277)))))))))))))))))))</f>
        <v>A</v>
      </c>
      <c r="N277" s="8">
        <f t="shared" ca="1" si="22"/>
        <v>9</v>
      </c>
      <c r="O277">
        <f t="shared" si="23"/>
        <v>12</v>
      </c>
      <c r="P277" s="1">
        <f ca="1">IF(ISERROR(F261),"",IF(ISTEXT(VLOOKUP(B261,INDIRECT($F$8),6+(O277-1)*3)),(VLOOKUP(B261,INDIRECT($F$8),6+(O277-1)*3)),SUM(VLOOKUP(B261,INDIRECT($F$8),6+(O277-1)*3),IF(W280,W277,0))))</f>
        <v>25</v>
      </c>
      <c r="Q277" s="1">
        <f ca="1">IF(ISERROR(F261),"",VLOOKUP(B261,INDIRECT($F$8),7+(O277-1)*3))</f>
        <v>19</v>
      </c>
      <c r="R277" s="1">
        <f ca="1">IF(ISERROR(F261),"",SUM(P277:Q277))</f>
        <v>44</v>
      </c>
      <c r="S277" s="1">
        <f ca="1">IF(ISERROR(F261),"",VLOOKUP(A261,INDIRECT($F$8),6+(O277-1)*3))</f>
        <v>30</v>
      </c>
      <c r="T277" s="1">
        <f ca="1">IF(ISERROR(F261),"",VLOOKUP(A261,INDIRECT($F$8),7+(O277-1)*3))</f>
        <v>20</v>
      </c>
      <c r="U277" s="1">
        <f ca="1">IF(ISERROR(F261),"",VLOOKUP(A261,INDIRECT($F$8),8+(O277-1)*3))</f>
        <v>50</v>
      </c>
      <c r="V277" s="1" t="str">
        <f ca="1">IF(ISERROR(F261),"",IF(N277=0,A277,""))</f>
        <v/>
      </c>
      <c r="W277" s="1">
        <f ca="1">IF(ISERROR(F261),"",IF(ISTEXT(VLOOKUP(B261,INDIRECT($F$8),6+(O277-1)*3)),11,IF(VLOOKUP(B261,INDIRECT($F$8),6+(O277-1)*3)&lt;S277*0.3,IF(VLOOKUP(B261,INDIRECT($F$8),8+(O277-1)*3)&lt;U277*0.4,IF(AND(0.4*U277-VLOOKUP(B261,INDIRECT($F$8),8+(O277-1)*3)&lt;=5,0.3*S277-VLOOKUP(B261,INDIRECT($F$8),6+(O277-1)*3)&lt;=5),MAX(0.4*U277-VLOOKUP(B261,INDIRECT($F$8),8+(O277-1)*3),0.3*S277-VLOOKUP(B261,INDIRECT($F$8),6+(O277-1)*3)),11),IF(0.3*S277-VLOOKUP(B261,INDIRECT($F$8),6+(O277-1)*3)&lt;=5,0.3*S277-VLOOKUP(B261,INDIRECT($F$8),6+(O277-1)*3),11)),IF(VLOOKUP(B261,INDIRECT($F$8),8+(O277-1)*3)&lt;U277*0.4,IF(U277*0.4-VLOOKUP(B261,INDIRECT($F$8),8+(O277-1)*3)&lt;=5,U277*0.4-VLOOKUP(B261,INDIRECT($F$8),8+(O277-1)*3),11),0))))</f>
        <v>0</v>
      </c>
      <c r="X277" s="1" t="str">
        <f ca="1">IF(ISERROR(F261),"",IF(W277=0,"",_xlfn.TEXTJOIN("",FALSE," G+",W277," in ",A277)))</f>
        <v/>
      </c>
    </row>
    <row r="278" spans="1:24" ht="11.25" customHeight="1" x14ac:dyDescent="0.2">
      <c r="A278" s="7" t="str">
        <f ca="1">IF(ISERROR(F261),"",VLOOKUP(C261,INDIRECT($F$8),6+(O278-1)*3,0))</f>
        <v>AHP 303</v>
      </c>
      <c r="B278" s="41" t="str">
        <f ca="1">IF(ISERROR(F261),"",VLOOKUP(D261,INDIRECT($F$8),6+(O278-1)*3,0))</f>
        <v>Technical Communication Skills</v>
      </c>
      <c r="C278" s="41"/>
      <c r="D278" s="41"/>
      <c r="E278" s="41"/>
      <c r="F278" s="7">
        <f ca="1">IF(ISERROR(F261),"",VLOOKUP(E261,INDIRECT($F$8),6+(O278-1)*3,0))</f>
        <v>1</v>
      </c>
      <c r="G278" s="42" t="str">
        <f ca="1">IF(ISERROR(F261),"",_xlfn.TEXTJOIN("/",FALSE,P278,S278))</f>
        <v>26/30</v>
      </c>
      <c r="H278" s="42"/>
      <c r="I278" s="42" t="str">
        <f ca="1">IF(ISERROR(F261),"",_xlfn.TEXTJOIN("/",FALSE,Q278,T278))</f>
        <v>17/20</v>
      </c>
      <c r="J278" s="42"/>
      <c r="K278" s="42" t="str">
        <f ca="1">IF(ISERROR(F261),"",_xlfn.TEXTJOIN("/",FALSE,R278,U278))</f>
        <v>43/50</v>
      </c>
      <c r="L278" s="42"/>
      <c r="M278" s="7" t="str">
        <f ca="1">IF(ISERROR(F261),"",IF(ISTEXT(P278),IF(P278="A","Ab",IF(P278="D","Dt",IF(P278="UFM","UFM",IF(P278="NA","-")))),IF(AND(ISBLANK(P278),ISBLANK(R278)),"",IF(P278&lt;0.3*S278,"F",IF(ISBLANK(R278),"",IF(ISTEXT(R278),R278,IF(R278&gt;=0.95*U278,"O",IF(R278&gt;=0.9*U278,"A+",IF(R278&gt;=0.85*U278,"A",IF(R278&gt;=0.8*U278,"B+",IF(R278&gt;=0.75*U278,"B",IF(R278&gt;=0.7*U278,"C+",IF(R278&gt;=0.65*U278,"C",IF(R278&gt;=0.6*U278,"D+",IF(R278&gt;=0.55*U278,"D",IF(R278&gt;=0.5*U278,"E+",IF(R278&gt;=0.45*U278,"E",IF(R278&gt;=0.4*U278,"P",IF(R278&lt;0.4*U278,"F",R278)))))))))))))))))))</f>
        <v>A</v>
      </c>
      <c r="N278" s="8">
        <f t="shared" ca="1" si="22"/>
        <v>9</v>
      </c>
      <c r="O278">
        <f t="shared" si="23"/>
        <v>13</v>
      </c>
      <c r="P278" s="1">
        <f ca="1">IF(ISERROR(F261),"",IF(ISTEXT(VLOOKUP(B261,INDIRECT($F$8),6+(O278-1)*3)),(VLOOKUP(B261,INDIRECT($F$8),6+(O278-1)*3)),SUM(VLOOKUP(B261,INDIRECT($F$8),6+(O278-1)*3),IF(W280,W278,0))))</f>
        <v>26</v>
      </c>
      <c r="Q278" s="1">
        <f ca="1">IF(ISERROR(F261),"",VLOOKUP(B261,INDIRECT($F$8),7+(O278-1)*3))</f>
        <v>17</v>
      </c>
      <c r="R278" s="1">
        <f ca="1">IF(ISERROR(F261),"",SUM(P278:Q278))</f>
        <v>43</v>
      </c>
      <c r="S278" s="1">
        <f ca="1">IF(ISERROR(F261),"",VLOOKUP(A261,INDIRECT($F$8),6+(O278-1)*3))</f>
        <v>30</v>
      </c>
      <c r="T278" s="1">
        <f ca="1">IF(ISERROR(F261),"",VLOOKUP(A261,INDIRECT($F$8),7+(O278-1)*3))</f>
        <v>20</v>
      </c>
      <c r="U278" s="1">
        <f ca="1">IF(ISERROR(F261),"",VLOOKUP(A261,INDIRECT($F$8),8+(O278-1)*3))</f>
        <v>50</v>
      </c>
      <c r="V278" s="1"/>
      <c r="W278" s="1">
        <f ca="1">IF(ISERROR(F261),"",IF(ISTEXT(VLOOKUP(B261,INDIRECT($F$8),6+(O278-1)*3)),11,IF(VLOOKUP(B261,INDIRECT($F$8),6+(O278-1)*3)&lt;S278*0.3,IF(VLOOKUP(B261,INDIRECT($F$8),8+(O278-1)*3)&lt;U278*0.4,IF(AND(0.4*U278-VLOOKUP(B261,INDIRECT($F$8),8+(O278-1)*3)&lt;=5,0.3*S278-VLOOKUP(B261,INDIRECT($F$8),6+(O278-1)*3)&lt;=5),MAX(0.4*U278-VLOOKUP(B261,INDIRECT($F$8),8+(O278-1)*3),0.3*S278-VLOOKUP(B261,INDIRECT($F$8),6+(O278-1)*3)),11),IF(0.3*S278-VLOOKUP(B261,INDIRECT($F$8),6+(O278-1)*3)&lt;=5,0.3*S278-VLOOKUP(B261,INDIRECT($F$8),6+(O278-1)*3),11)),IF(VLOOKUP(B261,INDIRECT($F$8),8+(O278-1)*3)&lt;U278*0.4,IF(U278*0.4-VLOOKUP(B261,INDIRECT($F$8),8+(O278-1)*3)&lt;=5,U278*0.4-VLOOKUP(B261,INDIRECT($F$8),8+(O278-1)*3),11),0))))</f>
        <v>0</v>
      </c>
      <c r="X278" s="1" t="str">
        <f ca="1">IF(ISERROR(F261),"",IF(W278=0,"",_xlfn.TEXTJOIN("",FALSE," G+",W278," in ",A278)))</f>
        <v/>
      </c>
    </row>
    <row r="279" spans="1:24" s="32" customFormat="1" ht="11.25" customHeight="1" x14ac:dyDescent="0.2">
      <c r="A279" s="31">
        <f ca="1">IF(ISERROR(F261),"",VLOOKUP(C261,INDIRECT($F$8),6+(O279-1)*3-Y279,0))</f>
        <v>0</v>
      </c>
      <c r="B279" s="49">
        <f ca="1">IF(ISERROR(F261),"",VLOOKUP(D261,INDIRECT($F$8),6+(O279-1)*3-Z279,0))</f>
        <v>0</v>
      </c>
      <c r="C279" s="49"/>
      <c r="D279" s="49"/>
      <c r="E279" s="49"/>
      <c r="F279" s="31">
        <f ca="1">IF(ISERROR(F261),"",VLOOKUP(E261,INDIRECT($F$8),6+(O279-1)*3-AA279,0))</f>
        <v>0</v>
      </c>
      <c r="G279" s="50" t="str">
        <f ca="1">IF(ISERROR(F261),"","-")</f>
        <v>-</v>
      </c>
      <c r="H279" s="50"/>
      <c r="I279" s="50" t="str">
        <f ca="1">IF(ISERROR(F261),"",_xlfn.TEXTJOIN("/",FALSE,Q279,T279))</f>
        <v>0/0</v>
      </c>
      <c r="J279" s="50"/>
      <c r="K279" s="50" t="str">
        <f ca="1">IF(ISERROR(F261),"",_xlfn.TEXTJOIN("/",FALSE,R279,U279))</f>
        <v>0/0</v>
      </c>
      <c r="L279" s="50"/>
      <c r="M279" s="50" t="str">
        <f ca="1">IF(ISBLANK(R279),"",IF(ISTEXT(R279),R279,IF(R279&gt;=0.8*U279,"Excellent",IF(R279&gt;=0.6*U279,"Very Good",IF(R279&gt;=0.4*U279,"Good",IF(R279&gt;=0.2*U279,"Satisfactory","Average"))))))</f>
        <v>Excellent</v>
      </c>
      <c r="N279" s="50"/>
      <c r="O279" s="32">
        <f t="shared" si="23"/>
        <v>14</v>
      </c>
      <c r="P279" s="33">
        <f ca="1">IF(ISERROR(F261),"",IF(ISTEXT(VLOOKUP(B\28,INDIRECT($F$8),6+(O279-1)*3)),(VLOOKUP(B261,INDIRECT($F$8),6+(O279-1)*3)),SUM(VLOOKUP(B261,INDIRECT($F$8),6+(O279-1)*3),IF(W280,W279,0))))</f>
        <v>0</v>
      </c>
      <c r="Q279" s="33">
        <f ca="1">IF(ISERROR(F261),"",VLOOKUP(B261,INDIRECT($F$8),7+(O279-1)*3))</f>
        <v>0</v>
      </c>
      <c r="R279" s="33">
        <f ca="1">IF(ISERROR(F261),"",SUM(P279:Q279))</f>
        <v>0</v>
      </c>
      <c r="S279" s="33">
        <f ca="1">IF(ISERROR(F261),"",VLOOKUP(A261,INDIRECT($F$8),6+(O279-1)*3))</f>
        <v>0</v>
      </c>
      <c r="T279" s="33">
        <f ca="1">IF(ISERROR(F261),"",VLOOKUP(A261,INDIRECT($F$8),7+(O279-1)*3))</f>
        <v>0</v>
      </c>
      <c r="U279" s="33">
        <f ca="1">IF(ISERROR(F261),"",VLOOKUP(A261,INDIRECT($F$8),8+(O279-1)*3))</f>
        <v>0</v>
      </c>
      <c r="V279" s="33"/>
      <c r="W279" s="33"/>
      <c r="X279" s="33" t="str">
        <f ca="1">IF(ISERROR(F261),"",IF(W279=0,"",_xlfn.TEXTJOIN("",FALSE," G+",W279," in ",A279)))</f>
        <v/>
      </c>
    </row>
    <row r="280" spans="1:24" ht="11.25" customHeight="1" x14ac:dyDescent="0.2">
      <c r="A280" s="43" t="str">
        <f ca="1">IF(ISERROR(F261),"",A257)</f>
        <v>Total Credits/ Marks/ Total Grade Points</v>
      </c>
      <c r="B280" s="43"/>
      <c r="C280" s="43"/>
      <c r="D280" s="43"/>
      <c r="E280" s="43"/>
      <c r="F280" s="10">
        <f ca="1">IF(ISERROR(F261),"",SUM(F266:F279))</f>
        <v>24</v>
      </c>
      <c r="G280" s="44" t="str">
        <f ca="1">IF(ISERROR(F261),"",_xlfn.TEXTJOIN("/",TRUE,SUMIF(F266:F279,"&gt;0",P266:P279),SUMIF(F266:F279,"&gt;0",S266:S279)))</f>
        <v>452/620</v>
      </c>
      <c r="H280" s="44"/>
      <c r="I280" s="44" t="str">
        <f ca="1">IF(ISERROR(F261),"",_xlfn.TEXTJOIN("/",TRUE,SUMIF(F266:F279,"&gt;0",Q266:Q279),SUMIF(F266:F279,"&gt;0",T266:T279)))</f>
        <v>285/330</v>
      </c>
      <c r="J280" s="44"/>
      <c r="K280" s="44" t="str">
        <f ca="1">IF(ISERROR(F261),"",_xlfn.TEXTJOIN("/",TRUE,SUMIF(F266:F279,"&gt;0",R266:R279),SUMIF(F266:F279,"&gt;0",U266:U279)))</f>
        <v>737/950</v>
      </c>
      <c r="L280" s="44"/>
      <c r="M280" s="43">
        <f ca="1">IF(ISERROR(F261),"",SUMPRODUCT(N266:N278,F266:F278))</f>
        <v>189</v>
      </c>
      <c r="N280" s="43"/>
      <c r="V280" s="1" t="str">
        <f ca="1">IF(ISERROR(F261),"",_xlfn.TEXTJOIN(", ",TRUE,V266:V279))</f>
        <v/>
      </c>
      <c r="W280" t="b">
        <f ca="1">IF(ISERROR(F261),"",IF(SUM(W266:W279)&lt;=W265,TRUE,FALSE))</f>
        <v>0</v>
      </c>
      <c r="X280" s="1" t="str">
        <f ca="1">_xlfn.TEXTJOIN(",",TRUE,X266:X279)</f>
        <v xml:space="preserve"> G+11 in CAT 001, G+11 in CAT 002, G+11 in CAT 003</v>
      </c>
    </row>
    <row r="281" spans="1:24" ht="11.25" customHeight="1" x14ac:dyDescent="0.2">
      <c r="A281" s="43" t="str">
        <f ca="1">IF(ISERROR(F261),"",A258)</f>
        <v>Result:</v>
      </c>
      <c r="B281" s="45" t="str">
        <f ca="1">IF(ISERROR(F261),"",IF(V280="","PASS","CARRY OVER"))</f>
        <v>PASS</v>
      </c>
      <c r="C281" s="45"/>
      <c r="D281" s="43" t="str">
        <f ca="1">IF(ISERROR(F261),"",D258)</f>
        <v>Remark:</v>
      </c>
      <c r="E281" s="45" t="str">
        <f ca="1">IF(ISERROR(F261),"",IF(W280,X280,IF(V280="","",_xlfn.TEXTJOIN("",TRUE,"BACK IN ",V280))))</f>
        <v/>
      </c>
      <c r="F281" s="45"/>
      <c r="G281" s="43" t="str">
        <f ca="1">IF(ISERROR(F261),"",G258)</f>
        <v>SGPA:</v>
      </c>
      <c r="H281" s="46">
        <f ca="1">IF(ISERROR(F261),"",M280/F280)</f>
        <v>7.875</v>
      </c>
      <c r="I281" s="43" t="str">
        <f ca="1">IF(ISERROR(F261),"",I258)</f>
        <v>CGPA:</v>
      </c>
      <c r="J281" s="46">
        <f ca="1">IF(ISERROR(F261),"",VLOOKUP(B261,INDIRECT($F$8),12+(O279-1)*3,0))</f>
        <v>7.875</v>
      </c>
      <c r="K281" s="45" t="str">
        <f ca="1">IF(ISERROR(F261),"",K258)</f>
        <v>Earned Credits:</v>
      </c>
      <c r="L281" s="43">
        <f ca="1">IF(ISERROR(F261),"",SUMIF(N266:N278,"&gt;0",F266:F278))</f>
        <v>24</v>
      </c>
      <c r="M281" s="45" t="str">
        <f ca="1">IF(ISERROR(F261),"",M258)</f>
        <v>Cuml. Earned Credits:</v>
      </c>
      <c r="N281" s="43">
        <f ca="1">IF(ISERROR(F261),"",VLOOKUP(B261,INDIRECT($F$8),10+(O279-1)*3,0))</f>
        <v>24</v>
      </c>
    </row>
    <row r="282" spans="1:24" ht="11.25" customHeight="1" x14ac:dyDescent="0.2">
      <c r="A282" s="43"/>
      <c r="B282" s="45"/>
      <c r="C282" s="45"/>
      <c r="D282" s="43"/>
      <c r="E282" s="45"/>
      <c r="F282" s="45"/>
      <c r="G282" s="43"/>
      <c r="H282" s="46"/>
      <c r="I282" s="43"/>
      <c r="J282" s="46"/>
      <c r="K282" s="45"/>
      <c r="L282" s="43"/>
      <c r="M282" s="45"/>
      <c r="N282" s="43"/>
    </row>
    <row r="283" spans="1:24" ht="15" x14ac:dyDescent="0.2">
      <c r="A283" s="43"/>
      <c r="B283" s="45"/>
      <c r="C283" s="45"/>
      <c r="D283" s="43"/>
      <c r="E283" s="45"/>
      <c r="F283" s="45"/>
      <c r="G283" s="43"/>
      <c r="H283" s="46"/>
      <c r="I283" s="43"/>
      <c r="J283" s="46"/>
      <c r="K283" s="45"/>
      <c r="L283" s="43"/>
      <c r="M283" s="45"/>
      <c r="N283" s="43"/>
    </row>
    <row r="284" spans="1:24" ht="11.25" customHeight="1" x14ac:dyDescent="0.2">
      <c r="A284" s="11" t="str">
        <f>A261</f>
        <v>MM</v>
      </c>
      <c r="B284" s="11">
        <f>B261+1</f>
        <v>13</v>
      </c>
      <c r="C284" s="11" t="str">
        <f>C261</f>
        <v>SC</v>
      </c>
      <c r="D284" s="11" t="str">
        <f>D261</f>
        <v>SN</v>
      </c>
      <c r="E284" s="11" t="str">
        <f>E261</f>
        <v>C</v>
      </c>
      <c r="F284" s="11" t="str">
        <f ca="1">VLOOKUP(B284,INDIRECT($F$8),4,0)</f>
        <v>RATNESH JUYAL</v>
      </c>
    </row>
    <row r="285" spans="1:24" ht="11.25" customHeight="1" x14ac:dyDescent="0.2">
      <c r="A285" s="47" t="str">
        <f ca="1">IF(ISERROR(F284),"",A262)</f>
        <v>Name:</v>
      </c>
      <c r="B285" s="47" t="str">
        <f ca="1">IFERROR(VLOOKUP(B284,INDIRECT($F$8),4,0),"")</f>
        <v>RATNESH JUYAL</v>
      </c>
      <c r="C285" s="47"/>
      <c r="D285" s="47" t="str">
        <f ca="1">IF(ISERROR(F284),"",D262)</f>
        <v>Father's Name:</v>
      </c>
      <c r="E285" s="47" t="str">
        <f ca="1">IFERROR(VLOOKUP(B284,INDIRECT($F$8),5,0),"")</f>
        <v>BHAGWAT PRASAD JUYAL</v>
      </c>
      <c r="F285" s="47"/>
      <c r="G285" s="47" t="str">
        <f ca="1">IF(ISERROR(F284),"",G262)</f>
        <v>University Roll No:</v>
      </c>
      <c r="H285" s="47"/>
      <c r="I285" s="48">
        <f ca="1">IFERROR(VLOOKUP(B284,INDIRECT($F$8),2,0),"")</f>
        <v>250090600013</v>
      </c>
      <c r="J285" s="48"/>
      <c r="K285" s="47" t="str">
        <f ca="1">IF(ISERROR(F284),"",K262)</f>
        <v>University Enrol. No:</v>
      </c>
      <c r="L285" s="47"/>
      <c r="M285" s="48" t="str">
        <f ca="1">IFERROR(VLOOKUP(B284,INDIRECT($F$8),3,0),"")</f>
        <v>UTU/2506100158</v>
      </c>
      <c r="N285" s="48"/>
    </row>
    <row r="286" spans="1:24" ht="15" x14ac:dyDescent="0.2">
      <c r="A286" s="47"/>
      <c r="B286" s="47"/>
      <c r="C286" s="47"/>
      <c r="D286" s="47"/>
      <c r="E286" s="47"/>
      <c r="F286" s="47"/>
      <c r="G286" s="47"/>
      <c r="H286" s="47"/>
      <c r="I286" s="48"/>
      <c r="J286" s="48"/>
      <c r="K286" s="47"/>
      <c r="L286" s="47"/>
      <c r="M286" s="48"/>
      <c r="N286" s="48"/>
    </row>
    <row r="287" spans="1:24" ht="11.25" customHeight="1" x14ac:dyDescent="0.2">
      <c r="A287" s="45" t="str">
        <f ca="1">IF(ISERROR(F284),"",A264)</f>
        <v>Subject Code</v>
      </c>
      <c r="B287" s="45" t="str">
        <f ca="1">IF(ISERROR(F284),"",B264)</f>
        <v>Subject Name</v>
      </c>
      <c r="C287" s="45"/>
      <c r="D287" s="45"/>
      <c r="E287" s="45"/>
      <c r="F287" s="45" t="str">
        <f ca="1">IF(ISERROR(F284),"",F264)</f>
        <v>Credits</v>
      </c>
      <c r="G287" s="45" t="str">
        <f ca="1">IF(ISERROR(F284),"",G264)</f>
        <v>External Marks</v>
      </c>
      <c r="H287" s="45"/>
      <c r="I287" s="45" t="str">
        <f ca="1">IF(ISERROR(F284),"",I264)</f>
        <v>Sessional Marks</v>
      </c>
      <c r="J287" s="45"/>
      <c r="K287" s="45" t="str">
        <f ca="1">IF(ISERROR(F284),"",K264)</f>
        <v>Total Marks</v>
      </c>
      <c r="L287" s="45"/>
      <c r="M287" s="45" t="str">
        <f ca="1">IF(ISERROR(F284),"",M264)</f>
        <v>Grade</v>
      </c>
      <c r="N287" s="45" t="str">
        <f ca="1">IF(ISERROR(F284),"",N264)</f>
        <v>Grade Points</v>
      </c>
    </row>
    <row r="288" spans="1:24" ht="15" x14ac:dyDescent="0.2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W288">
        <f ca="1">IF(ISNUMBER(MATCH($F$8,{"I","III","V","VII"},0)),10,10-INDEX(INDIRECT(_xlfn.TEXTJOIN("",TRUE,"SEM_",$G$8,"!",ADDRESS(6,4+$I$8*3+4),":",ADDRESS(5+$H$8,4+$I$8*3+4))),MATCH(INDIRECT(_xlfn.TEXTJOIN("",TRUE,"TC_",$F$8,"!",ADDRESS(ROW(I285),COLUMN(I285)))),INDIRECT(_xlfn.TEXTJOIN("",TRUE,"SEM_",$G$8,"!",ADDRESS(6,2),":",ADDRESS(5+$H$8,2))))))</f>
        <v>10</v>
      </c>
    </row>
    <row r="289" spans="1:24" ht="11.25" customHeight="1" x14ac:dyDescent="0.2">
      <c r="A289" s="7" t="str">
        <f ca="1">IF(ISERROR(F284),"",VLOOKUP(C284,INDIRECT($F$8),6+(O289-1)*3,0))</f>
        <v>CAT 004</v>
      </c>
      <c r="B289" s="41" t="str">
        <f ca="1">IF(ISERROR(F284),"",VLOOKUP(D284,INDIRECT($F$8),6+(O289-1)*3,0))</f>
        <v>Discrete Structure</v>
      </c>
      <c r="C289" s="41"/>
      <c r="D289" s="41"/>
      <c r="E289" s="41"/>
      <c r="F289" s="7">
        <f ca="1">IF(ISERROR(F284),"",VLOOKUP(E284,INDIRECT($F$8),6+(O289-1)*3,0))</f>
        <v>4</v>
      </c>
      <c r="G289" s="42" t="str">
        <f ca="1">IF(ISERROR(F284),"",_xlfn.TEXTJOIN("/",FALSE,P289,S289))</f>
        <v>41/100</v>
      </c>
      <c r="H289" s="42"/>
      <c r="I289" s="42" t="str">
        <f ca="1">IF(ISERROR(F284),"",_xlfn.TEXTJOIN("/",FALSE,Q289,T289))</f>
        <v>36/50</v>
      </c>
      <c r="J289" s="42"/>
      <c r="K289" s="42" t="str">
        <f ca="1">IF(ISERROR(F284),"",_xlfn.TEXTJOIN("/",FALSE,R289,U289))</f>
        <v>77/150</v>
      </c>
      <c r="L289" s="42"/>
      <c r="M289" s="7" t="str">
        <f ca="1">IF(ISERROR(F284),"",IF(ISTEXT(P289),IF(P289="A","Ab",IF(P289="D","Dt",IF(P289="UFM","UFM",IF(P289="NA","-")))),IF(AND(ISBLANK(P289),ISBLANK(R289)),"",IF(P289&lt;0.3*S289,"F",IF(ISBLANK(R289),"",IF(ISTEXT(R289),R289,IF(R289&gt;=0.95*U289,"O",IF(R289&gt;=0.9*U289,"A+",IF(R289&gt;=0.85*U289,"A",IF(R289&gt;=0.8*U289,"B+",IF(R289&gt;=0.75*U289,"B",IF(R289&gt;=0.7*U289,"C+",IF(R289&gt;=0.65*U289,"C",IF(R289&gt;=0.6*U289,"D+",IF(R289&gt;=0.55*U289,"D",IF(R289&gt;=0.5*U289,"E+",IF(R289&gt;=0.45*U289,"E",IF(R289&gt;=0.4*U289,"P",IF(R289&lt;0.4*U289,"F",R289)))))))))))))))))))</f>
        <v>E+</v>
      </c>
      <c r="N289" s="8">
        <f ca="1">INDEX($Z$2:$Z$18,MATCH(M289,$Y$2:$Y$18,0))</f>
        <v>5.5</v>
      </c>
      <c r="O289">
        <v>1</v>
      </c>
      <c r="P289" s="1">
        <f ca="1">IF(ISERROR(F284),"",IF(ISTEXT(VLOOKUP(B284,INDIRECT($F$8),6+(O289-1)*3)),(VLOOKUP(B284,INDIRECT($F$8),6+(O289-1)*3)),SUM(VLOOKUP(B284,INDIRECT($F$8),6+(O289-1)*3),IF(W303,W289,0))))</f>
        <v>41</v>
      </c>
      <c r="Q289" s="1">
        <f ca="1">IF(ISERROR(F284),"",VLOOKUP(B284,INDIRECT($F$8),7+(O289-1)*3))</f>
        <v>36</v>
      </c>
      <c r="R289" s="1">
        <f ca="1">IF(ISERROR(F284),"",SUM(P289:Q289))</f>
        <v>77</v>
      </c>
      <c r="S289" s="1">
        <f ca="1">IF(ISERROR(F284),"",VLOOKUP(A284,INDIRECT($F$8),6+(O289-1)*3))</f>
        <v>100</v>
      </c>
      <c r="T289" s="1">
        <f ca="1">IF(ISERROR(F284),"",VLOOKUP(A284,INDIRECT($F$8),7+(O289-1)*3))</f>
        <v>50</v>
      </c>
      <c r="U289" s="1">
        <f ca="1">IF(ISERROR(F284),"",VLOOKUP(A284,INDIRECT($F$8),8+(O289-1)*3))</f>
        <v>150</v>
      </c>
      <c r="V289" s="1" t="str">
        <f ca="1">IF(ISERROR(F284),"",IF(N289=0,A289,""))</f>
        <v/>
      </c>
      <c r="W289" s="1">
        <f ca="1">IF(ISERROR(F284),"",IF(ISTEXT(VLOOKUP(B284,INDIRECT($F$8),6+(O289-1)*3)),11,IF(VLOOKUP(B284,INDIRECT($F$8),6+(O289-1)*3)&lt;S289*0.3,IF(VLOOKUP(B284,INDIRECT($F$8),8+(O289-1)*3)&lt;U289*0.4,IF(AND(0.4*U289-VLOOKUP(B284,INDIRECT($F$8),8+(O289-1)*3)&lt;=5,0.3*S289-VLOOKUP(B284,INDIRECT($F$8),6+(O289-1)*3)&lt;=5),MAX(0.4*U289-VLOOKUP(B284,INDIRECT($F$8),8+(O289-1)*3),0.3*S289-VLOOKUP(B284,INDIRECT($F$8),6+(O289-1)*3)),11),IF(0.3*S289-VLOOKUP(B284,INDIRECT($F$8),6+(O289-1)*3)&lt;=5,0.3*S289-VLOOKUP(B284,INDIRECT($F$8),6+(O289-1)*3),11)),IF(VLOOKUP(B284,INDIRECT($F$8),8+(O289-1)*3)&lt;U289*0.4,IF(U289*0.4-VLOOKUP(B284,INDIRECT($F$8),8+(O289-1)*3)&lt;=5,U289*0.4-VLOOKUP(B284,INDIRECT($F$8),8+(O289-1)*3),11),0))))</f>
        <v>0</v>
      </c>
      <c r="X289" s="1" t="str">
        <f ca="1">IF(ISERROR(F284),"",IF(W289=0,"",_xlfn.TEXTJOIN("",FALSE," G+",W289," in ",A289)))</f>
        <v/>
      </c>
    </row>
    <row r="290" spans="1:24" ht="11.25" customHeight="1" x14ac:dyDescent="0.2">
      <c r="A290" s="7" t="str">
        <f ca="1">IF(ISERROR(F284),"",VLOOKUP(C284,INDIRECT($F$8),6+(O290-1)*3,0))</f>
        <v>CAT 005</v>
      </c>
      <c r="B290" s="41" t="str">
        <f ca="1">IF(ISERROR(F284),"",VLOOKUP(D284,INDIRECT($F$8),6+(O290-1)*3,0))</f>
        <v>Database Management System</v>
      </c>
      <c r="C290" s="41"/>
      <c r="D290" s="41"/>
      <c r="E290" s="41"/>
      <c r="F290" s="7">
        <f ca="1">IF(ISERROR(F284),"",VLOOKUP(E284,INDIRECT($F$8),6+(O290-1)*3,0))</f>
        <v>4</v>
      </c>
      <c r="G290" s="42" t="str">
        <f ca="1">IF(ISERROR(F284),"",_xlfn.TEXTJOIN("/",FALSE,P290,S290))</f>
        <v>41/100</v>
      </c>
      <c r="H290" s="42"/>
      <c r="I290" s="42" t="str">
        <f ca="1">IF(ISERROR(F284),"",_xlfn.TEXTJOIN("/",FALSE,Q290,T290))</f>
        <v>28/50</v>
      </c>
      <c r="J290" s="42"/>
      <c r="K290" s="42" t="str">
        <f ca="1">IF(ISERROR(F284),"",_xlfn.TEXTJOIN("/",FALSE,R290,U290))</f>
        <v>69/150</v>
      </c>
      <c r="L290" s="42"/>
      <c r="M290" s="7" t="str">
        <f ca="1">IF(ISERROR(F284),"",IF(ISTEXT(P290),IF(P290="A","Ab",IF(P290="D","Dt",IF(P290="UFM","UFM",IF(P290="NA","-")))),IF(AND(ISBLANK(P290),ISBLANK(R290)),"",IF(P290&lt;0.3*S290,"F",IF(ISBLANK(R290),"",IF(ISTEXT(R290),R290,IF(R290&gt;=0.95*U290,"O",IF(R290&gt;=0.9*U290,"A+",IF(R290&gt;=0.85*U290,"A",IF(R290&gt;=0.8*U290,"B+",IF(R290&gt;=0.75*U290,"B",IF(R290&gt;=0.7*U290,"C+",IF(R290&gt;=0.65*U290,"C",IF(R290&gt;=0.6*U290,"D+",IF(R290&gt;=0.55*U290,"D",IF(R290&gt;=0.5*U290,"E+",IF(R290&gt;=0.45*U290,"E",IF(R290&gt;=0.4*U290,"P",IF(R290&lt;0.4*U290,"F",R290)))))))))))))))))))</f>
        <v>E</v>
      </c>
      <c r="N290" s="8">
        <f t="shared" ref="N290:N301" ca="1" si="24">INDEX($Z$2:$Z$18,MATCH(M290,$Y$2:$Y$18,0))</f>
        <v>5</v>
      </c>
      <c r="O290">
        <f>O289+1</f>
        <v>2</v>
      </c>
      <c r="P290" s="1">
        <f ca="1">IF(ISERROR(F284),"",IF(ISTEXT(VLOOKUP(B284,INDIRECT($F$8),6+(O290-1)*3)),(VLOOKUP(B284,INDIRECT($F$8),6+(O290-1)*3)),SUM(VLOOKUP(B284,INDIRECT($F$8),6+(O290-1)*3),IF(W303,W290,0))))</f>
        <v>41</v>
      </c>
      <c r="Q290" s="1">
        <f ca="1">IF(ISERROR(F284),"",VLOOKUP(B284,INDIRECT($F$8),7+(O290-1)*3))</f>
        <v>28</v>
      </c>
      <c r="R290" s="1">
        <f ca="1">IF(ISERROR(F284),"",SUM(P290:Q290))</f>
        <v>69</v>
      </c>
      <c r="S290" s="1">
        <f ca="1">IF(ISERROR(F284),"",VLOOKUP(A284,INDIRECT($F$8),6+(O290-1)*3))</f>
        <v>100</v>
      </c>
      <c r="T290" s="1">
        <f ca="1">IF(ISERROR(F284),"",VLOOKUP(A284,INDIRECT($F$8),7+(O290-1)*3))</f>
        <v>50</v>
      </c>
      <c r="U290" s="1">
        <f ca="1">IF(ISERROR(F284),"",VLOOKUP(A284,INDIRECT($F$8),8+(O290-1)*3))</f>
        <v>150</v>
      </c>
      <c r="V290" s="1" t="str">
        <f ca="1">IF(ISERROR(F284),"",IF(N290=0,A290,""))</f>
        <v/>
      </c>
      <c r="W290" s="1">
        <f ca="1">IF(ISERROR(F284),"",IF(ISTEXT(VLOOKUP(B284,INDIRECT($F$8),6+(O290-1)*3)),11,IF(VLOOKUP(B284,INDIRECT($F$8),6+(O290-1)*3)&lt;S290*0.3,IF(VLOOKUP(B284,INDIRECT($F$8),8+(O290-1)*3)&lt;U290*0.4,IF(AND(0.4*U290-VLOOKUP(B284,INDIRECT($F$8),8+(O290-1)*3)&lt;=5,0.3*S290-VLOOKUP(B284,INDIRECT($F$8),6+(O290-1)*3)&lt;=5),MAX(0.4*U290-VLOOKUP(B284,INDIRECT($F$8),8+(O290-1)*3),0.3*S290-VLOOKUP(B284,INDIRECT($F$8),6+(O290-1)*3)),11),IF(0.3*S290-VLOOKUP(B284,INDIRECT($F$8),6+(O290-1)*3)&lt;=5,0.3*S290-VLOOKUP(B284,INDIRECT($F$8),6+(O290-1)*3),11)),IF(VLOOKUP(B284,INDIRECT($F$8),8+(O290-1)*3)&lt;U290*0.4,IF(U290*0.4-VLOOKUP(B284,INDIRECT($F$8),8+(O290-1)*3)&lt;=5,U290*0.4-VLOOKUP(B284,INDIRECT($F$8),8+(O290-1)*3),11),0))))</f>
        <v>0</v>
      </c>
      <c r="X290" s="1" t="str">
        <f ca="1">IF(ISERROR(F284),"",IF(W290=0,"",_xlfn.TEXTJOIN("",FALSE," G+",W290," in ",A290)))</f>
        <v/>
      </c>
    </row>
    <row r="291" spans="1:24" ht="11.25" customHeight="1" x14ac:dyDescent="0.2">
      <c r="A291" s="7" t="str">
        <f ca="1">IF(ISERROR(F284),"",VLOOKUP(C284,INDIRECT($F$8),6+(O291-1)*3,0))</f>
        <v>CAT 006</v>
      </c>
      <c r="B291" s="41" t="str">
        <f ca="1">IF(ISERROR(F284),"",VLOOKUP(D284,INDIRECT($F$8),6+(O291-1)*3,0))</f>
        <v>Operating System</v>
      </c>
      <c r="C291" s="41"/>
      <c r="D291" s="41"/>
      <c r="E291" s="41"/>
      <c r="F291" s="7">
        <f ca="1">IF(ISERROR(F284),"",VLOOKUP(E284,INDIRECT($F$8),6+(O291-1)*3,0))</f>
        <v>4</v>
      </c>
      <c r="G291" s="42" t="str">
        <f ca="1">IF(ISERROR(F284),"",_xlfn.TEXTJOIN("/",FALSE,P291,S291))</f>
        <v>57/100</v>
      </c>
      <c r="H291" s="42"/>
      <c r="I291" s="42" t="str">
        <f ca="1">IF(ISERROR(F284),"",_xlfn.TEXTJOIN("/",FALSE,Q291,T291))</f>
        <v>35/50</v>
      </c>
      <c r="J291" s="42"/>
      <c r="K291" s="42" t="str">
        <f ca="1">IF(ISERROR(F284),"",_xlfn.TEXTJOIN("/",FALSE,R291,U291))</f>
        <v>92/150</v>
      </c>
      <c r="L291" s="42"/>
      <c r="M291" s="7" t="str">
        <f ca="1">IF(ISERROR(F284),"",IF(ISTEXT(P291),IF(P291="A","Ab",IF(P291="D","Dt",IF(P291="UFM","UFM",IF(P291="NA","-")))),IF(AND(ISBLANK(P291),ISBLANK(R291)),"",IF(P291&lt;0.3*S291,"F",IF(ISBLANK(R291),"",IF(ISTEXT(R291),R291,IF(R291&gt;=0.95*U291,"O",IF(R291&gt;=0.9*U291,"A+",IF(R291&gt;=0.85*U291,"A",IF(R291&gt;=0.8*U291,"B+",IF(R291&gt;=0.75*U291,"B",IF(R291&gt;=0.7*U291,"C+",IF(R291&gt;=0.65*U291,"C",IF(R291&gt;=0.6*U291,"D+",IF(R291&gt;=0.55*U291,"D",IF(R291&gt;=0.5*U291,"E+",IF(R291&gt;=0.45*U291,"E",IF(R291&gt;=0.4*U291,"P",IF(R291&lt;0.4*U291,"F",R291)))))))))))))))))))</f>
        <v>D+</v>
      </c>
      <c r="N291" s="8">
        <f t="shared" ca="1" si="24"/>
        <v>6.5</v>
      </c>
      <c r="O291">
        <f>O290+1</f>
        <v>3</v>
      </c>
      <c r="P291" s="1">
        <f ca="1">IF(ISERROR(F284),"",IF(ISTEXT(VLOOKUP(B284,INDIRECT($F$8),6+(O291-1)*3)),(VLOOKUP(B284,INDIRECT($F$8),6+(O291-1)*3)),SUM(VLOOKUP(B284,INDIRECT($F$8),6+(O291-1)*3),IF(W303,W291,0))))</f>
        <v>57</v>
      </c>
      <c r="Q291" s="1">
        <f ca="1">IF(ISERROR(F284),"",VLOOKUP(B284,INDIRECT($F$8),7+(O291-1)*3))</f>
        <v>35</v>
      </c>
      <c r="R291" s="1">
        <f ca="1">IF(ISERROR(F284),"",SUM(P291:Q291))</f>
        <v>92</v>
      </c>
      <c r="S291" s="1">
        <f ca="1">IF(ISERROR(F284),"",VLOOKUP(A284,INDIRECT($F$8),6+(O291-1)*3))</f>
        <v>100</v>
      </c>
      <c r="T291" s="1">
        <f ca="1">IF(ISERROR(F284),"",VLOOKUP(A284,INDIRECT($F$8),7+(O291-1)*3))</f>
        <v>50</v>
      </c>
      <c r="U291" s="1">
        <f ca="1">IF(ISERROR(F284),"",VLOOKUP(A284,INDIRECT($F$8),8+(O291-1)*3))</f>
        <v>150</v>
      </c>
      <c r="V291" s="1" t="str">
        <f ca="1">IF(ISERROR(F284),"",IF(N291=0,A291,""))</f>
        <v/>
      </c>
      <c r="W291" s="1">
        <f ca="1">IF(ISERROR(F284),"",IF(ISTEXT(VLOOKUP(B284,INDIRECT($F$8),6+(O291-1)*3)),11,IF(VLOOKUP(B284,INDIRECT($F$8),6+(O291-1)*3)&lt;S291*0.3,IF(VLOOKUP(B284,INDIRECT($F$8),8+(O291-1)*3)&lt;U291*0.4,IF(AND(0.4*U291-VLOOKUP(B284,INDIRECT($F$8),8+(O291-1)*3)&lt;=5,0.3*S291-VLOOKUP(B284,INDIRECT($F$8),6+(O291-1)*3)&lt;=5),MAX(0.4*U291-VLOOKUP(B284,INDIRECT($F$8),8+(O291-1)*3),0.3*S291-VLOOKUP(B284,INDIRECT($F$8),6+(O291-1)*3)),11),IF(0.3*S291-VLOOKUP(B284,INDIRECT($F$8),6+(O291-1)*3)&lt;=5,0.3*S291-VLOOKUP(B284,INDIRECT($F$8),6+(O291-1)*3),11)),IF(VLOOKUP(B284,INDIRECT($F$8),8+(O291-1)*3)&lt;U291*0.4,IF(U291*0.4-VLOOKUP(B284,INDIRECT($F$8),8+(O291-1)*3)&lt;=5,U291*0.4-VLOOKUP(B284,INDIRECT($F$8),8+(O291-1)*3),11),0))))</f>
        <v>0</v>
      </c>
      <c r="X291" s="1" t="str">
        <f ca="1">IF(ISERROR(F284),"",IF(W291=0,"",_xlfn.TEXTJOIN("",FALSE," G+",W291," in ",A291)))</f>
        <v/>
      </c>
    </row>
    <row r="292" spans="1:24" ht="11.25" customHeight="1" x14ac:dyDescent="0.2">
      <c r="A292" s="7" t="str">
        <f ca="1">IF(ISERROR(F284),"",VLOOKUP(C284,INDIRECT($F$8),6+(O292-1)*3,0))</f>
        <v>CAT 007</v>
      </c>
      <c r="B292" s="41" t="str">
        <f ca="1">IF(ISERROR(F284),"",VLOOKUP(D284,INDIRECT($F$8),6+(O292-1)*3,0))</f>
        <v>Computer Organization</v>
      </c>
      <c r="C292" s="41"/>
      <c r="D292" s="41"/>
      <c r="E292" s="41"/>
      <c r="F292" s="7">
        <f ca="1">IF(ISERROR(F284),"",VLOOKUP(E284,INDIRECT($F$8),6+(O292-1)*3,0))</f>
        <v>4</v>
      </c>
      <c r="G292" s="42" t="str">
        <f ca="1">IF(ISERROR(F284),"",_xlfn.TEXTJOIN("/",FALSE,P292,S292))</f>
        <v>30/100</v>
      </c>
      <c r="H292" s="42"/>
      <c r="I292" s="42" t="str">
        <f ca="1">IF(ISERROR(F284),"",_xlfn.TEXTJOIN("/",FALSE,Q292,T292))</f>
        <v>31/50</v>
      </c>
      <c r="J292" s="42"/>
      <c r="K292" s="42" t="str">
        <f ca="1">IF(ISERROR(F284),"",_xlfn.TEXTJOIN("/",FALSE,R292,U292))</f>
        <v>61/150</v>
      </c>
      <c r="L292" s="42"/>
      <c r="M292" s="7" t="str">
        <f ca="1">IF(ISERROR(F284),"",IF(ISTEXT(P292),IF(P292="A","Ab",IF(P292="D","Dt",IF(P292="UFM","UFM",IF(P292="NA","-")))),IF(AND(ISBLANK(P292),ISBLANK(R292)),"",IF(P292&lt;0.3*S292,"F",IF(ISBLANK(R292),"",IF(ISTEXT(R292),R292,IF(R292&gt;=0.95*U292,"O",IF(R292&gt;=0.9*U292,"A+",IF(R292&gt;=0.85*U292,"A",IF(R292&gt;=0.8*U292,"B+",IF(R292&gt;=0.75*U292,"B",IF(R292&gt;=0.7*U292,"C+",IF(R292&gt;=0.65*U292,"C",IF(R292&gt;=0.6*U292,"D+",IF(R292&gt;=0.55*U292,"D",IF(R292&gt;=0.5*U292,"E+",IF(R292&gt;=0.45*U292,"E",IF(R292&gt;=0.4*U292,"P",IF(R292&lt;0.4*U292,"F",R292)))))))))))))))))))</f>
        <v>P</v>
      </c>
      <c r="N292" s="8">
        <f t="shared" ca="1" si="24"/>
        <v>4.5</v>
      </c>
      <c r="O292">
        <f>O291+1</f>
        <v>4</v>
      </c>
      <c r="P292" s="1">
        <f ca="1">IF(ISERROR(F284),"",IF(ISTEXT(VLOOKUP(B284,INDIRECT($F$8),6+(O292-1)*3)),(VLOOKUP(B284,INDIRECT($F$8),6+(O292-1)*3)),SUM(VLOOKUP(B284,INDIRECT($F$8),6+(O292-1)*3),IF(W303,W292,0))))</f>
        <v>30</v>
      </c>
      <c r="Q292" s="1">
        <f ca="1">IF(ISERROR(F284),"",VLOOKUP(B284,INDIRECT($F$8),7+(O292-1)*3))</f>
        <v>31</v>
      </c>
      <c r="R292" s="1">
        <f ca="1">IF(ISERROR(F284),"",SUM(P292:Q292))</f>
        <v>61</v>
      </c>
      <c r="S292" s="1">
        <f ca="1">IF(ISERROR(F284),"",VLOOKUP(A284,INDIRECT($F$8),6+(O292-1)*3))</f>
        <v>100</v>
      </c>
      <c r="T292" s="1">
        <f ca="1">IF(ISERROR(F284),"",VLOOKUP(A284,INDIRECT($F$8),7+(O292-1)*3))</f>
        <v>50</v>
      </c>
      <c r="U292" s="1">
        <f ca="1">IF(ISERROR(F284),"",VLOOKUP(A284,INDIRECT($F$8),8+(O292-1)*3))</f>
        <v>150</v>
      </c>
      <c r="V292" s="1" t="str">
        <f ca="1">IF(ISERROR(F284),"",IF(N292=0,A292,""))</f>
        <v/>
      </c>
      <c r="W292" s="1">
        <f ca="1">IF(ISERROR(F284),"",IF(ISTEXT(VLOOKUP(B284,INDIRECT($F$8),6+(O292-1)*3)),11,IF(VLOOKUP(B284,INDIRECT($F$8),6+(O292-1)*3)&lt;S292*0.3,IF(VLOOKUP(B284,INDIRECT($F$8),8+(O292-1)*3)&lt;U292*0.4,IF(AND(0.4*U292-VLOOKUP(B284,INDIRECT($F$8),8+(O292-1)*3)&lt;=5,0.3*S292-VLOOKUP(B284,INDIRECT($F$8),6+(O292-1)*3)&lt;=5),MAX(0.4*U292-VLOOKUP(B284,INDIRECT($F$8),8+(O292-1)*3),0.3*S292-VLOOKUP(B284,INDIRECT($F$8),6+(O292-1)*3)),11),IF(0.3*S292-VLOOKUP(B284,INDIRECT($F$8),6+(O292-1)*3)&lt;=5,0.3*S292-VLOOKUP(B284,INDIRECT($F$8),6+(O292-1)*3),11)),IF(VLOOKUP(B284,INDIRECT($F$8),8+(O292-1)*3)&lt;U292*0.4,IF(U292*0.4-VLOOKUP(B284,INDIRECT($F$8),8+(O292-1)*3)&lt;=5,U292*0.4-VLOOKUP(B284,INDIRECT($F$8),8+(O292-1)*3),11),0))))</f>
        <v>4</v>
      </c>
      <c r="X292" s="1" t="str">
        <f ca="1">IF(ISERROR(F284),"",IF(W292=0,"",_xlfn.TEXTJOIN("",FALSE," G+",W292," in ",A292)))</f>
        <v xml:space="preserve"> G+4 in CAT 007</v>
      </c>
    </row>
    <row r="293" spans="1:24" ht="11.25" customHeight="1" x14ac:dyDescent="0.2">
      <c r="A293" s="7" t="str">
        <f ca="1">IF(ISERROR(F284),"",VLOOKUP(C284,INDIRECT($F$8),6+(O293-1)*3,0))</f>
        <v>AHT 303</v>
      </c>
      <c r="B293" s="41" t="str">
        <f ca="1">IF(ISERROR(F284),"",VLOOKUP(D284,INDIRECT($F$8),6+(O293-1)*3,0))</f>
        <v>Technical Communication Skills</v>
      </c>
      <c r="C293" s="41"/>
      <c r="D293" s="41"/>
      <c r="E293" s="41"/>
      <c r="F293" s="7">
        <f ca="1">IF(ISERROR(F284),"",VLOOKUP(E284,INDIRECT($F$8),6+(O293-1)*3,0))</f>
        <v>4</v>
      </c>
      <c r="G293" s="42" t="str">
        <f ca="1">IF(ISERROR(F284),"",_xlfn.TEXTJOIN("/",FALSE,P293,S293))</f>
        <v>51/100</v>
      </c>
      <c r="H293" s="42"/>
      <c r="I293" s="42" t="str">
        <f ca="1">IF(ISERROR(F284),"",_xlfn.TEXTJOIN("/",FALSE,Q293,T293))</f>
        <v>34/50</v>
      </c>
      <c r="J293" s="42"/>
      <c r="K293" s="42" t="str">
        <f ca="1">IF(ISERROR(F284),"",_xlfn.TEXTJOIN("/",FALSE,R293,U293))</f>
        <v>85/150</v>
      </c>
      <c r="L293" s="42"/>
      <c r="M293" s="7" t="str">
        <f ca="1">IF(ISERROR(F284),"",IF(ISTEXT(P293),IF(P293="A","Ab",IF(P293="D","Dt",IF(P293="UFM","UFM",IF(P293="NA","-")))),IF(AND(ISBLANK(P293),ISBLANK(R293)),"",IF(P293&lt;0.3*S293,"F",IF(ISBLANK(R293),"",IF(ISTEXT(R293),R293,IF(R293&gt;=0.95*U293,"O",IF(R293&gt;=0.9*U293,"A+",IF(R293&gt;=0.85*U293,"A",IF(R293&gt;=0.8*U293,"B+",IF(R293&gt;=0.75*U293,"B",IF(R293&gt;=0.7*U293,"C+",IF(R293&gt;=0.65*U293,"C",IF(R293&gt;=0.6*U293,"D+",IF(R293&gt;=0.55*U293,"D",IF(R293&gt;=0.5*U293,"E+",IF(R293&gt;=0.45*U293,"E",IF(R293&gt;=0.4*U293,"P",IF(R293&lt;0.4*U293,"F",R293)))))))))))))))))))</f>
        <v>D</v>
      </c>
      <c r="N293" s="8">
        <f t="shared" ca="1" si="24"/>
        <v>6</v>
      </c>
      <c r="O293">
        <f t="shared" ref="O293:O302" si="25">O292+1</f>
        <v>5</v>
      </c>
      <c r="P293" s="1">
        <f ca="1">IF(ISERROR(F284),"",IF(ISTEXT(VLOOKUP(B284,INDIRECT($F$8),6+(O293-1)*3)),(VLOOKUP(B284,INDIRECT($F$8),6+(O293-1)*3)),SUM(VLOOKUP(B284,INDIRECT($F$8),6+(O293-1)*3),IF(W303,W293,0))))</f>
        <v>51</v>
      </c>
      <c r="Q293" s="1">
        <f ca="1">IF(ISERROR(F284),"",VLOOKUP(B284,INDIRECT($F$8),7+(O293-1)*3))</f>
        <v>34</v>
      </c>
      <c r="R293" s="1">
        <f ca="1">IF(ISERROR(F284),"",SUM(P293:Q293))</f>
        <v>85</v>
      </c>
      <c r="S293" s="1">
        <f ca="1">IF(ISERROR(F284),"",VLOOKUP(A284,INDIRECT($F$8),6+(O293-1)*3))</f>
        <v>100</v>
      </c>
      <c r="T293" s="1">
        <f ca="1">IF(ISERROR(F284),"",VLOOKUP(A284,INDIRECT($F$8),7+(O293-1)*3))</f>
        <v>50</v>
      </c>
      <c r="U293" s="1">
        <f ca="1">IF(ISERROR(F284),"",VLOOKUP(A284,INDIRECT($F$8),8+(O293-1)*3))</f>
        <v>150</v>
      </c>
      <c r="V293" s="1" t="str">
        <f ca="1">IF(ISERROR(F284),"",IF(N293=0,A293,""))</f>
        <v/>
      </c>
      <c r="W293" s="1">
        <f ca="1">IF(ISERROR(F284),"",IF(ISTEXT(VLOOKUP(B284,INDIRECT($F$8),6+(O293-1)*3)),11,IF(VLOOKUP(B284,INDIRECT($F$8),6+(O293-1)*3)&lt;S293*0.3,IF(VLOOKUP(B284,INDIRECT($F$8),8+(O293-1)*3)&lt;U293*0.4,IF(AND(0.4*U293-VLOOKUP(B284,INDIRECT($F$8),8+(O293-1)*3)&lt;=5,0.3*S293-VLOOKUP(B284,INDIRECT($F$8),6+(O293-1)*3)&lt;=5),MAX(0.4*U293-VLOOKUP(B284,INDIRECT($F$8),8+(O293-1)*3),0.3*S293-VLOOKUP(B284,INDIRECT($F$8),6+(O293-1)*3)),11),IF(0.3*S293-VLOOKUP(B284,INDIRECT($F$8),6+(O293-1)*3)&lt;=5,0.3*S293-VLOOKUP(B284,INDIRECT($F$8),6+(O293-1)*3),11)),IF(VLOOKUP(B284,INDIRECT($F$8),8+(O293-1)*3)&lt;U293*0.4,IF(U293*0.4-VLOOKUP(B284,INDIRECT($F$8),8+(O293-1)*3)&lt;=5,U293*0.4-VLOOKUP(B284,INDIRECT($F$8),8+(O293-1)*3),11),0))))</f>
        <v>0</v>
      </c>
      <c r="X293" s="1" t="str">
        <f ca="1">IF(ISERROR(F284),"",IF(W293=0,"",_xlfn.TEXTJOIN("",FALSE," G+",W293," in ",A293)))</f>
        <v/>
      </c>
    </row>
    <row r="294" spans="1:24" ht="11.25" customHeight="1" x14ac:dyDescent="0.2">
      <c r="A294" s="7" t="str">
        <f ca="1">IF(ISERROR(F284),"",VLOOKUP(C284,INDIRECT($F$8),6+(O294-1)*3,0))</f>
        <v>CAT 008</v>
      </c>
      <c r="B294" s="41" t="str">
        <f ca="1">IF(ISERROR(F284),"",VLOOKUP(D284,INDIRECT($F$8),6+(O294-1)*3,0))</f>
        <v>Python Programming ($)</v>
      </c>
      <c r="C294" s="41"/>
      <c r="D294" s="41"/>
      <c r="E294" s="41"/>
      <c r="F294" s="7">
        <f ca="1">IF(ISERROR(F284),"",VLOOKUP(E284,INDIRECT($F$8),6+(O294-1)*3,0))</f>
        <v>0</v>
      </c>
      <c r="G294" s="42" t="str">
        <f ca="1">IF(ISERROR(F284),"",_xlfn.TEXTJOIN("/",FALSE,P294,S294))</f>
        <v>17/30</v>
      </c>
      <c r="H294" s="42"/>
      <c r="I294" s="42" t="str">
        <f ca="1">IF(ISERROR(F284),"",_xlfn.TEXTJOIN("/",FALSE,Q294,T294))</f>
        <v>12/20</v>
      </c>
      <c r="J294" s="42"/>
      <c r="K294" s="42" t="str">
        <f ca="1">IF(ISERROR(F284),"",_xlfn.TEXTJOIN("/",FALSE,R294,U294))</f>
        <v>29/50</v>
      </c>
      <c r="L294" s="42"/>
      <c r="M294" s="7" t="str">
        <f ca="1">IF(ISERROR(F284),"",IF(ISTEXT(P294),IF(P294="A","Ab",IF(P294="D","Dt",IF(P294="UFM","UFM",IF(P294="NA","-")))),IF(AND(ISBLANK(P294),ISBLANK(R294)),"",IF(P294&lt;0.3*S294,"F",IF(ISBLANK(R294),"",IF(ISTEXT(R294),R294,IF(R294&gt;=0.95*U294,"O",IF(R294&gt;=0.9*U294,"A+",IF(R294&gt;=0.85*U294,"A",IF(R294&gt;=0.8*U294,"B+",IF(R294&gt;=0.75*U294,"B",IF(R294&gt;=0.7*U294,"C+",IF(R294&gt;=0.65*U294,"C",IF(R294&gt;=0.6*U294,"D+",IF(R294&gt;=0.55*U294,"D",IF(R294&gt;=0.5*U294,"E+",IF(R294&gt;=0.45*U294,"E",IF(R294&gt;=0.4*U294,"P",IF(R294&lt;0.4*U294,"F",R294)))))))))))))))))))</f>
        <v>D</v>
      </c>
      <c r="N294" s="8">
        <f t="shared" ca="1" si="24"/>
        <v>6</v>
      </c>
      <c r="O294">
        <f t="shared" si="25"/>
        <v>6</v>
      </c>
      <c r="P294" s="1">
        <f ca="1">IF(ISERROR(F284),"",IF(ISTEXT(VLOOKUP(B284,INDIRECT($F$8),6+(O294-1)*3)),(VLOOKUP(B284,INDIRECT($F$8),6+(O294-1)*3)),SUM(VLOOKUP(B284,INDIRECT($F$8),6+(O294-1)*3),IF(W303,W294,0))))</f>
        <v>17</v>
      </c>
      <c r="Q294" s="1">
        <f ca="1">IF(ISERROR(F284),"",VLOOKUP(B284,INDIRECT($F$8),7+(O294-1)*3))</f>
        <v>12</v>
      </c>
      <c r="R294" s="1">
        <f ca="1">IF(ISERROR(F284),"",SUM(P294:Q294))</f>
        <v>29</v>
      </c>
      <c r="S294" s="1">
        <f ca="1">IF(ISERROR(F284),"",VLOOKUP(A284,INDIRECT($F$8),6+(O294-1)*3))</f>
        <v>30</v>
      </c>
      <c r="T294" s="1">
        <f ca="1">IF(ISERROR(F284),"",VLOOKUP(A284,INDIRECT($F$8),7+(O294-1)*3))</f>
        <v>20</v>
      </c>
      <c r="U294" s="1">
        <f ca="1">IF(ISERROR(F284),"",VLOOKUP(A284,INDIRECT($F$8),8+(O294-1)*3))</f>
        <v>50</v>
      </c>
      <c r="V294" s="1" t="str">
        <f ca="1">IF(ISERROR(F284),"",IF(N294=0,A294,""))</f>
        <v/>
      </c>
      <c r="W294" s="1">
        <f ca="1">IF(ISERROR(F284),"",IF(ISTEXT(VLOOKUP(B284,INDIRECT($F$8),6+(O294-1)*3)),11,IF(VLOOKUP(B284,INDIRECT($F$8),6+(O294-1)*3)&lt;S294*0.3,IF(VLOOKUP(B284,INDIRECT($F$8),8+(O294-1)*3)&lt;U294*0.4,IF(AND(0.4*U294-VLOOKUP(B284,INDIRECT($F$8),8+(O294-1)*3)&lt;=5,0.3*S294-VLOOKUP(B284,INDIRECT($F$8),6+(O294-1)*3)&lt;=5),MAX(0.4*U294-VLOOKUP(B284,INDIRECT($F$8),8+(O294-1)*3),0.3*S294-VLOOKUP(B284,INDIRECT($F$8),6+(O294-1)*3)),11),IF(0.3*S294-VLOOKUP(B284,INDIRECT($F$8),6+(O294-1)*3)&lt;=5,0.3*S294-VLOOKUP(B284,INDIRECT($F$8),6+(O294-1)*3),11)),IF(VLOOKUP(B284,INDIRECT($F$8),8+(O294-1)*3)&lt;U294*0.4,IF(U294*0.4-VLOOKUP(B284,INDIRECT($F$8),8+(O294-1)*3)&lt;=5,U294*0.4-VLOOKUP(B284,INDIRECT($F$8),8+(O294-1)*3),11),0))))</f>
        <v>0</v>
      </c>
      <c r="X294" s="1" t="str">
        <f ca="1">IF(ISERROR(F284),"",IF(W294=0,"",_xlfn.TEXTJOIN("",FALSE," G+",W294," in ",A294)))</f>
        <v/>
      </c>
    </row>
    <row r="295" spans="1:24" ht="11.25" customHeight="1" x14ac:dyDescent="0.2">
      <c r="A295" s="7" t="str">
        <f ca="1">IF(ISERROR(F284),"",VLOOKUP(C284,INDIRECT($F$8),6+(O295-1)*3,0))</f>
        <v>CAT 001</v>
      </c>
      <c r="B295" s="41" t="str">
        <f ca="1">IF(ISERROR(F284),"",VLOOKUP(D284,INDIRECT($F$8),6+(O295-1)*3,0))</f>
        <v>Introduction of Information Technology ($)</v>
      </c>
      <c r="C295" s="41"/>
      <c r="D295" s="41"/>
      <c r="E295" s="41"/>
      <c r="F295" s="7">
        <f ca="1">IF(ISERROR(F284),"",VLOOKUP(E284,INDIRECT($F$8),6+(O295-1)*3,0))</f>
        <v>0</v>
      </c>
      <c r="G295" s="42" t="str">
        <f ca="1">IF(ISERROR(F284),"",_xlfn.TEXTJOIN("/",FALSE,P295,S295))</f>
        <v>NA/30</v>
      </c>
      <c r="H295" s="42"/>
      <c r="I295" s="42" t="str">
        <f ca="1">IF(ISERROR(F284),"",_xlfn.TEXTJOIN("/",FALSE,Q295,T295))</f>
        <v>NA/20</v>
      </c>
      <c r="J295" s="42"/>
      <c r="K295" s="42" t="str">
        <f ca="1">IF(ISERROR(F284),"",_xlfn.TEXTJOIN("/",FALSE,R295,U295))</f>
        <v>0/50</v>
      </c>
      <c r="L295" s="42"/>
      <c r="M295" s="7" t="str">
        <f ca="1">IF(ISERROR(F284),"",IF(ISTEXT(P295),IF(P295="A","Ab",IF(P295="D","Dt",IF(P295="UFM","UFM",IF(P295="NA","-")))),IF(AND(ISBLANK(P295),ISBLANK(R295)),"",IF(P295&lt;0.3*S295,"F",IF(ISBLANK(R295),"",IF(ISTEXT(R295),R295,IF(R295&gt;=0.95*U295,"O",IF(R295&gt;=0.9*U295,"A+",IF(R295&gt;=0.85*U295,"A",IF(R295&gt;=0.8*U295,"B+",IF(R295&gt;=0.75*U295,"B",IF(R295&gt;=0.7*U295,"C+",IF(R295&gt;=0.65*U295,"C",IF(R295&gt;=0.6*U295,"D+",IF(R295&gt;=0.55*U295,"D",IF(R295&gt;=0.5*U295,"E+",IF(R295&gt;=0.45*U295,"E",IF(R295&gt;=0.4*U295,"P",IF(R295&lt;0.4*U295,"F",R295)))))))))))))))))))</f>
        <v>-</v>
      </c>
      <c r="N295" s="8" t="str">
        <f t="shared" ca="1" si="24"/>
        <v>-</v>
      </c>
      <c r="O295">
        <f t="shared" si="25"/>
        <v>7</v>
      </c>
      <c r="P295" s="1" t="str">
        <f ca="1">IF(ISERROR(F284),"",IF(ISTEXT(VLOOKUP(B284,INDIRECT($F$8),6+(O295-1)*3)),(VLOOKUP(B284,INDIRECT($F$8),6+(O295-1)*3)),SUM(VLOOKUP(B284,INDIRECT($F$8),6+(O295-1)*3),IF(W303,W295,0))))</f>
        <v>NA</v>
      </c>
      <c r="Q295" s="1" t="str">
        <f ca="1">IF(ISERROR(F284),"",VLOOKUP(B284,INDIRECT($F$8),7+(O295-1)*3))</f>
        <v>NA</v>
      </c>
      <c r="R295" s="1">
        <f ca="1">IF(ISERROR(F284),"",SUM(P295:Q295))</f>
        <v>0</v>
      </c>
      <c r="S295" s="1">
        <f ca="1">IF(ISERROR(F284),"",VLOOKUP(A284,INDIRECT($F$8),6+(O295-1)*3))</f>
        <v>30</v>
      </c>
      <c r="T295" s="1">
        <f ca="1">IF(ISERROR(F284),"",VLOOKUP(A284,INDIRECT($F$8),7+(O295-1)*3))</f>
        <v>20</v>
      </c>
      <c r="U295" s="1">
        <f ca="1">IF(ISERROR(F284),"",VLOOKUP(A284,INDIRECT($F$8),8+(O295-1)*3))</f>
        <v>50</v>
      </c>
      <c r="V295" s="1" t="str">
        <f ca="1">IF(ISERROR(F284),"",IF(N295=0,A295,""))</f>
        <v/>
      </c>
      <c r="W295" s="1">
        <v>0</v>
      </c>
      <c r="X295" s="1"/>
    </row>
    <row r="296" spans="1:24" ht="11.25" customHeight="1" x14ac:dyDescent="0.2">
      <c r="A296" s="7" t="str">
        <f ca="1">IF(ISERROR(F284),"",VLOOKUP(C284,INDIRECT($F$8),6+(O296-1)*3,0))</f>
        <v>CAT 002</v>
      </c>
      <c r="B296" s="41" t="str">
        <f ca="1">IF(ISERROR(F284),"",VLOOKUP(D284,INDIRECT($F$8),6+(O296-1)*3,0))</f>
        <v>Programming Fundamentals with "C" ($)</v>
      </c>
      <c r="C296" s="41"/>
      <c r="D296" s="41"/>
      <c r="E296" s="41"/>
      <c r="F296" s="7">
        <f ca="1">IF(ISERROR(F284),"",VLOOKUP(E284,INDIRECT($F$8),6+(O296-1)*3,0))</f>
        <v>0</v>
      </c>
      <c r="G296" s="42" t="str">
        <f ca="1">IF(ISERROR(F284),"",_xlfn.TEXTJOIN("/",FALSE,P296,S296))</f>
        <v>NA/30</v>
      </c>
      <c r="H296" s="42"/>
      <c r="I296" s="42" t="str">
        <f ca="1">IF(ISERROR(F284),"",_xlfn.TEXTJOIN("/",FALSE,Q296,T296))</f>
        <v>NA/20</v>
      </c>
      <c r="J296" s="42"/>
      <c r="K296" s="42" t="str">
        <f ca="1">IF(ISERROR(F284),"",_xlfn.TEXTJOIN("/",FALSE,R296,U296))</f>
        <v>0/50</v>
      </c>
      <c r="L296" s="42"/>
      <c r="M296" s="7" t="str">
        <f ca="1">IF(ISERROR(F284),"",IF(ISTEXT(P296),IF(P296="A","Ab",IF(P296="D","Dt",IF(P296="UFM","UFM",IF(P296="NA","-")))),IF(AND(ISBLANK(P296),ISBLANK(R296)),"",IF(P296&lt;0.3*S296,"F",IF(ISBLANK(R296),"",IF(ISTEXT(R296),R296,IF(R296&gt;=0.95*U296,"O",IF(R296&gt;=0.9*U296,"A+",IF(R296&gt;=0.85*U296,"A",IF(R296&gt;=0.8*U296,"B+",IF(R296&gt;=0.75*U296,"B",IF(R296&gt;=0.7*U296,"C+",IF(R296&gt;=0.65*U296,"C",IF(R296&gt;=0.6*U296,"D+",IF(R296&gt;=0.55*U296,"D",IF(R296&gt;=0.5*U296,"E+",IF(R296&gt;=0.45*U296,"E",IF(R296&gt;=0.4*U296,"P",IF(R296&lt;0.4*U296,"F",R296)))))))))))))))))))</f>
        <v>-</v>
      </c>
      <c r="N296" s="8" t="str">
        <f t="shared" ca="1" si="24"/>
        <v>-</v>
      </c>
      <c r="O296">
        <f t="shared" si="25"/>
        <v>8</v>
      </c>
      <c r="P296" s="1" t="str">
        <f ca="1">IF(ISERROR(F284),"",IF(ISTEXT(VLOOKUP(B284,INDIRECT($F$8),6+(O296-1)*3)),(VLOOKUP(B284,INDIRECT($F$8),6+(O296-1)*3)),SUM(VLOOKUP(B284,INDIRECT($F$8),6+(O296-1)*3),IF(W303,W296,0))))</f>
        <v>NA</v>
      </c>
      <c r="Q296" s="1" t="str">
        <f ca="1">IF(ISERROR(F284),"",VLOOKUP(B284,INDIRECT($F$8),7+(O296-1)*3))</f>
        <v>NA</v>
      </c>
      <c r="R296" s="1">
        <f ca="1">IF(ISERROR(F284),"",SUM(P296:Q296))</f>
        <v>0</v>
      </c>
      <c r="S296" s="1">
        <f ca="1">IF(ISERROR(F284),"",VLOOKUP(A284,INDIRECT($F$8),6+(O296-1)*3))</f>
        <v>30</v>
      </c>
      <c r="T296" s="1">
        <f ca="1">IF(ISERROR(F284),"",VLOOKUP(A284,INDIRECT($F$8),7+(O296-1)*3))</f>
        <v>20</v>
      </c>
      <c r="U296" s="1">
        <f ca="1">IF(ISERROR(F284),"",VLOOKUP(A284,INDIRECT($F$8),8+(O296-1)*3))</f>
        <v>50</v>
      </c>
      <c r="V296" s="1" t="str">
        <f ca="1">IF(ISERROR(F284),"",IF(N296=0,A296,""))</f>
        <v/>
      </c>
      <c r="W296" s="1">
        <v>0</v>
      </c>
      <c r="X296" s="1"/>
    </row>
    <row r="297" spans="1:24" ht="11.25" customHeight="1" x14ac:dyDescent="0.2">
      <c r="A297" s="7" t="str">
        <f ca="1">IF(ISERROR(F284),"",VLOOKUP(C284,INDIRECT($F$8),6+(O297-1)*3,0))</f>
        <v>CAT 003</v>
      </c>
      <c r="B297" s="41" t="str">
        <f ca="1">IF(ISERROR(F284),"",VLOOKUP(D284,INDIRECT($F$8),6+(O297-1)*3-Z297,0))</f>
        <v>Fundamental of Web Technology ($)</v>
      </c>
      <c r="C297" s="41"/>
      <c r="D297" s="41"/>
      <c r="E297" s="41"/>
      <c r="F297" s="7">
        <f ca="1">IF(ISERROR(F284),"",VLOOKUP(E284,INDIRECT($F$8),6+(O297-1)*3,0))</f>
        <v>0</v>
      </c>
      <c r="G297" s="42" t="str">
        <f ca="1">IF(ISERROR(F284),"",_xlfn.TEXTJOIN("/",FALSE,P297,S297))</f>
        <v>NA/30</v>
      </c>
      <c r="H297" s="42"/>
      <c r="I297" s="42" t="str">
        <f ca="1">IF(ISERROR(F284),"",_xlfn.TEXTJOIN("/",FALSE,Q297,T297))</f>
        <v>NA/20</v>
      </c>
      <c r="J297" s="42"/>
      <c r="K297" s="42" t="str">
        <f ca="1">IF(ISERROR(F284),"",_xlfn.TEXTJOIN("/",FALSE,R297,U297))</f>
        <v>0/50</v>
      </c>
      <c r="L297" s="42"/>
      <c r="M297" s="7" t="str">
        <f ca="1">IF(ISERROR(F284),"",IF(ISTEXT(P297),IF(P297="A","Ab",IF(P297="D","Dt",IF(P297="UFM","UFM",IF(P297="NA","-")))),IF(AND(ISBLANK(P297),ISBLANK(R297)),"",IF(P297&lt;0.3*S297,"F",IF(ISBLANK(R297),"",IF(ISTEXT(R297),R297,IF(R297&gt;=0.95*U297,"O",IF(R297&gt;=0.9*U297,"A+",IF(R297&gt;=0.85*U297,"A",IF(R297&gt;=0.8*U297,"B+",IF(R297&gt;=0.75*U297,"B",IF(R297&gt;=0.7*U297,"C+",IF(R297&gt;=0.65*U297,"C",IF(R297&gt;=0.6*U297,"D+",IF(R297&gt;=0.55*U297,"D",IF(R297&gt;=0.5*U297,"E+",IF(R297&gt;=0.45*U297,"E",IF(R297&gt;=0.4*U297,"P",IF(R297&lt;0.4*U297,"F",R297)))))))))))))))))))</f>
        <v>-</v>
      </c>
      <c r="N297" s="8" t="str">
        <f t="shared" ca="1" si="24"/>
        <v>-</v>
      </c>
      <c r="O297">
        <f t="shared" si="25"/>
        <v>9</v>
      </c>
      <c r="P297" s="1" t="str">
        <f ca="1">IF(ISERROR(F284),"",IF(ISTEXT(VLOOKUP(B284,INDIRECT($F$8),6+(O297-1)*3)),(VLOOKUP(B284,INDIRECT($F$8),6+(O297-1)*3)),SUM(VLOOKUP(B284,INDIRECT($F$8),6+(O297-1)*3),IF(W303,W297,0))))</f>
        <v>NA</v>
      </c>
      <c r="Q297" s="1" t="str">
        <f ca="1">IF(ISERROR(F284),"",VLOOKUP(B284,INDIRECT($F$8),7+(O297-1)*3))</f>
        <v>NA</v>
      </c>
      <c r="R297" s="1">
        <f ca="1">IF(ISERROR(F284),"",SUM(P297:Q297))</f>
        <v>0</v>
      </c>
      <c r="S297" s="1">
        <f ca="1">IF(ISERROR(F284),"",VLOOKUP(A284,INDIRECT($F$8),6+(O297-1)*3))</f>
        <v>30</v>
      </c>
      <c r="T297" s="1">
        <f ca="1">IF(ISERROR(F284),"",VLOOKUP(A284,INDIRECT($F$8),7+(O297-1)*3))</f>
        <v>20</v>
      </c>
      <c r="U297" s="1">
        <f ca="1">IF(ISERROR(F284),"",VLOOKUP(A284,INDIRECT($F$8),8+(O297-1)*3))</f>
        <v>50</v>
      </c>
      <c r="V297" s="1" t="str">
        <f ca="1">IF(ISERROR(F284),"",IF(N297=0,A297,""))</f>
        <v/>
      </c>
      <c r="W297" s="1">
        <v>0</v>
      </c>
      <c r="X297" s="1"/>
    </row>
    <row r="298" spans="1:24" ht="11.25" customHeight="1" x14ac:dyDescent="0.2">
      <c r="A298" s="7" t="str">
        <f ca="1">IF(ISERROR(F284),"",VLOOKUP(C284,INDIRECT($F$8),6+(O298-1)*3,0))</f>
        <v>CAP 001</v>
      </c>
      <c r="B298" s="41" t="str">
        <f ca="1">IF(ISERROR(F284),"",VLOOKUP(D284,INDIRECT($F$8),6+(O298-1)*3-Z298,0))</f>
        <v>Database Management System Lab</v>
      </c>
      <c r="C298" s="41"/>
      <c r="D298" s="41"/>
      <c r="E298" s="41"/>
      <c r="F298" s="7">
        <f ca="1">IF(ISERROR(F284),"",VLOOKUP(E284,INDIRECT($F$8),6+(O298-1)*3,0))</f>
        <v>1</v>
      </c>
      <c r="G298" s="42" t="str">
        <f ca="1">IF(ISERROR(F284),"",_xlfn.TEXTJOIN("/",FALSE,P298,S298))</f>
        <v>23/30</v>
      </c>
      <c r="H298" s="42"/>
      <c r="I298" s="42" t="str">
        <f ca="1">IF(ISERROR(F284),"",_xlfn.TEXTJOIN("/",FALSE,Q298,T298))</f>
        <v>13/20</v>
      </c>
      <c r="J298" s="42"/>
      <c r="K298" s="42" t="str">
        <f ca="1">IF(ISERROR(F284),"",_xlfn.TEXTJOIN("/",FALSE,R298,U298))</f>
        <v>36/50</v>
      </c>
      <c r="L298" s="42"/>
      <c r="M298" s="7" t="str">
        <f ca="1">IF(ISERROR(F284),"",IF(ISTEXT(P298),IF(P298="A","Ab",IF(P298="D","Dt",IF(P298="UFM","UFM",IF(P298="NA","-")))),IF(AND(ISBLANK(P298),ISBLANK(R298)),"",IF(P298&lt;0.3*S298,"F",IF(ISBLANK(R298),"",IF(ISTEXT(R298),R298,IF(R298&gt;=0.95*U298,"O",IF(R298&gt;=0.9*U298,"A+",IF(R298&gt;=0.85*U298,"A",IF(R298&gt;=0.8*U298,"B+",IF(R298&gt;=0.75*U298,"B",IF(R298&gt;=0.7*U298,"C+",IF(R298&gt;=0.65*U298,"C",IF(R298&gt;=0.6*U298,"D+",IF(R298&gt;=0.55*U298,"D",IF(R298&gt;=0.5*U298,"E+",IF(R298&gt;=0.45*U298,"E",IF(R298&gt;=0.4*U298,"P",IF(R298&lt;0.4*U298,"F",R298)))))))))))))))))))</f>
        <v>C+</v>
      </c>
      <c r="N298" s="8">
        <f t="shared" ca="1" si="24"/>
        <v>7.5</v>
      </c>
      <c r="O298">
        <f t="shared" si="25"/>
        <v>10</v>
      </c>
      <c r="P298" s="1">
        <f ca="1">IF(ISERROR(F284),"",IF(ISTEXT(VLOOKUP(B284,INDIRECT($F$8),6+(O298-1)*3)),(VLOOKUP(B284,INDIRECT($F$8),6+(O298-1)*3)),SUM(VLOOKUP(B284,INDIRECT($F$8),6+(O298-1)*3),IF(W303,W298,0))))</f>
        <v>23</v>
      </c>
      <c r="Q298" s="1">
        <f ca="1">IF(ISERROR(F284),"",VLOOKUP(B284,INDIRECT($F$8),7+(O298-1)*3))</f>
        <v>13</v>
      </c>
      <c r="R298" s="1">
        <f ca="1">IF(ISERROR(F284),"",SUM(P298:Q298))</f>
        <v>36</v>
      </c>
      <c r="S298" s="1">
        <f ca="1">IF(ISERROR(F284),"",VLOOKUP(A284,INDIRECT($F$8),6+(O298-1)*3))</f>
        <v>30</v>
      </c>
      <c r="T298" s="1">
        <f ca="1">IF(ISERROR(F284),"",VLOOKUP(A284,INDIRECT($F$8),7+(O298-1)*3))</f>
        <v>20</v>
      </c>
      <c r="U298" s="1">
        <f ca="1">IF(ISERROR(F284),"",VLOOKUP(A284,INDIRECT($F$8),8+(O298-1)*3))</f>
        <v>50</v>
      </c>
      <c r="V298" s="1" t="str">
        <f ca="1">IF(ISERROR(F284),"",IF(N298=0,A298,""))</f>
        <v/>
      </c>
      <c r="W298" s="1">
        <f ca="1">IF(ISERROR(F284),"",IF(ISTEXT(VLOOKUP(B284,INDIRECT($F$8),6+(O298-1)*3)),11,IF(VLOOKUP(B284,INDIRECT($F$8),6+(O298-1)*3)&lt;S298*0.3,IF(VLOOKUP(B284,INDIRECT($F$8),8+(O298-1)*3)&lt;U298*0.4,IF(AND(0.4*U298-VLOOKUP(B284,INDIRECT($F$8),8+(O298-1)*3)&lt;=5,0.3*S298-VLOOKUP(B284,INDIRECT($F$8),6+(O298-1)*3)&lt;=5),MAX(0.4*U298-VLOOKUP(B284,INDIRECT($F$8),8+(O298-1)*3),0.3*S298-VLOOKUP(B284,INDIRECT($F$8),6+(O298-1)*3)),11),IF(0.3*S298-VLOOKUP(B284,INDIRECT($F$8),6+(O298-1)*3)&lt;=5,0.3*S298-VLOOKUP(B284,INDIRECT($F$8),6+(O298-1)*3),11)),IF(VLOOKUP(B284,INDIRECT($F$8),8+(O298-1)*3)&lt;U298*0.4,IF(U298*0.4-VLOOKUP(B284,INDIRECT($F$8),8+(O298-1)*3)&lt;=5,U298*0.4-VLOOKUP(B284,INDIRECT($F$8),8+(O298-1)*3),11),0))))</f>
        <v>0</v>
      </c>
      <c r="X298" s="1" t="str">
        <f ca="1">IF(ISERROR(F284),"",IF(W298=0,"",_xlfn.TEXTJOIN("",FALSE," G+",W298," in ",A298)))</f>
        <v/>
      </c>
    </row>
    <row r="299" spans="1:24" ht="11.25" customHeight="1" x14ac:dyDescent="0.2">
      <c r="A299" s="7" t="str">
        <f ca="1">IF(ISERROR(F284),"",VLOOKUP(C284,INDIRECT($F$8),6+(O299-1)*3,0))</f>
        <v>CAP 002</v>
      </c>
      <c r="B299" s="41" t="str">
        <f ca="1">IF(ISERROR(F284),"",VLOOKUP(D284,INDIRECT($F$8),6+(O299-1)*3,0))</f>
        <v>Operating System Lab</v>
      </c>
      <c r="C299" s="41"/>
      <c r="D299" s="41"/>
      <c r="E299" s="41"/>
      <c r="F299" s="7">
        <f ca="1">IF(ISERROR(F284),"",VLOOKUP(E284,INDIRECT($F$8),6+(O299-1)*3,0))</f>
        <v>1</v>
      </c>
      <c r="G299" s="42" t="str">
        <f ca="1">IF(ISERROR(F284),"",_xlfn.TEXTJOIN("/",FALSE,P299,S299))</f>
        <v>24/30</v>
      </c>
      <c r="H299" s="42"/>
      <c r="I299" s="42" t="str">
        <f ca="1">IF(ISERROR(F284),"",_xlfn.TEXTJOIN("/",FALSE,Q299,T299))</f>
        <v>16/20</v>
      </c>
      <c r="J299" s="42"/>
      <c r="K299" s="42" t="str">
        <f ca="1">IF(ISERROR(F284),"",_xlfn.TEXTJOIN("/",FALSE,R299,U299))</f>
        <v>40/50</v>
      </c>
      <c r="L299" s="42"/>
      <c r="M299" s="7" t="str">
        <f ca="1">IF(ISERROR(F284),"",IF(ISTEXT(P299),IF(P299="A","Ab",IF(P299="D","Dt",IF(P299="UFM","UFM",IF(P299="NA","-")))),IF(AND(ISBLANK(P299),ISBLANK(R299)),"",IF(P299&lt;0.3*S299,"F",IF(ISBLANK(R299),"",IF(ISTEXT(R299),R299,IF(R299&gt;=0.95*U299,"O",IF(R299&gt;=0.9*U299,"A+",IF(R299&gt;=0.85*U299,"A",IF(R299&gt;=0.8*U299,"B+",IF(R299&gt;=0.75*U299,"B",IF(R299&gt;=0.7*U299,"C+",IF(R299&gt;=0.65*U299,"C",IF(R299&gt;=0.6*U299,"D+",IF(R299&gt;=0.55*U299,"D",IF(R299&gt;=0.5*U299,"E+",IF(R299&gt;=0.45*U299,"E",IF(R299&gt;=0.4*U299,"P",IF(R299&lt;0.4*U299,"F",R299)))))))))))))))))))</f>
        <v>B+</v>
      </c>
      <c r="N299" s="8">
        <f t="shared" ca="1" si="24"/>
        <v>8.5</v>
      </c>
      <c r="O299">
        <f t="shared" si="25"/>
        <v>11</v>
      </c>
      <c r="P299" s="1">
        <f ca="1">IF(ISERROR(F284),"",IF(ISTEXT(VLOOKUP(B284,INDIRECT($F$8),6+(O299-1)*3)),(VLOOKUP(B284,INDIRECT($F$8),6+(O299-1)*3)),SUM(VLOOKUP(B284,INDIRECT($F$8),6+(O299-1)*3),IF(W303,W299,0))))</f>
        <v>24</v>
      </c>
      <c r="Q299" s="1">
        <f ca="1">IF(ISERROR(F284),"",VLOOKUP(B284,INDIRECT($F$8),7+(O299-1)*3))</f>
        <v>16</v>
      </c>
      <c r="R299" s="1">
        <f ca="1">IF(ISERROR(F284),"",SUM(P299:Q299))</f>
        <v>40</v>
      </c>
      <c r="S299" s="1">
        <f ca="1">IF(ISERROR(F284),"",VLOOKUP(A284,INDIRECT($F$8),6+(O299-1)*3))</f>
        <v>30</v>
      </c>
      <c r="T299" s="1">
        <f ca="1">IF(ISERROR(F284),"",VLOOKUP(A284,INDIRECT($F$8),7+(O299-1)*3))</f>
        <v>20</v>
      </c>
      <c r="U299" s="1">
        <f ca="1">IF(ISERROR(F284),"",VLOOKUP(A284,INDIRECT($F$8),8+(O299-1)*3))</f>
        <v>50</v>
      </c>
      <c r="V299" s="1" t="str">
        <f ca="1">IF(ISERROR(F284),"",IF(N299=0,A299,""))</f>
        <v/>
      </c>
      <c r="W299" s="1">
        <f ca="1">IF(ISERROR(F284),"",IF(ISTEXT(VLOOKUP(B284,INDIRECT($F$8),6+(O299-1)*3)),11,IF(VLOOKUP(B284,INDIRECT($F$8),6+(O299-1)*3)&lt;S299*0.3,IF(VLOOKUP(B284,INDIRECT($F$8),8+(O299-1)*3)&lt;U299*0.4,IF(AND(0.4*U299-VLOOKUP(B284,INDIRECT($F$8),8+(O299-1)*3)&lt;=5,0.3*S299-VLOOKUP(B284,INDIRECT($F$8),6+(O299-1)*3)&lt;=5),MAX(0.4*U299-VLOOKUP(B284,INDIRECT($F$8),8+(O299-1)*3),0.3*S299-VLOOKUP(B284,INDIRECT($F$8),6+(O299-1)*3)),11),IF(0.3*S299-VLOOKUP(B284,INDIRECT($F$8),6+(O299-1)*3)&lt;=5,0.3*S299-VLOOKUP(B284,INDIRECT($F$8),6+(O299-1)*3),11)),IF(VLOOKUP(B284,INDIRECT($F$8),8+(O299-1)*3)&lt;U299*0.4,IF(U299*0.4-VLOOKUP(B284,INDIRECT($F$8),8+(O299-1)*3)&lt;=5,U299*0.4-VLOOKUP(B284,INDIRECT($F$8),8+(O299-1)*3),11),0))))</f>
        <v>0</v>
      </c>
      <c r="X299" s="1" t="str">
        <f ca="1">IF(ISERROR(F284),"",IF(W299=0,"",_xlfn.TEXTJOIN("",FALSE," G+",W299," in ",A299)))</f>
        <v/>
      </c>
    </row>
    <row r="300" spans="1:24" ht="11.25" customHeight="1" x14ac:dyDescent="0.2">
      <c r="A300" s="7" t="str">
        <f ca="1">IF(ISERROR(F284),"",VLOOKUP(C284,INDIRECT($F$8),6+(O300-1)*3,0))</f>
        <v>CAP 003</v>
      </c>
      <c r="B300" s="41" t="str">
        <f ca="1">IF(ISERROR(F284),"",VLOOKUP(D284,INDIRECT($F$8),6+(O300-1)*3,0))</f>
        <v>Computer Organization Lab</v>
      </c>
      <c r="C300" s="41"/>
      <c r="D300" s="41"/>
      <c r="E300" s="41"/>
      <c r="F300" s="7">
        <f ca="1">IF(ISERROR(F284),"",VLOOKUP(E284,INDIRECT($F$8),6+(O300-1)*3,0))</f>
        <v>1</v>
      </c>
      <c r="G300" s="42" t="str">
        <f ca="1">IF(ISERROR(F284),"",_xlfn.TEXTJOIN("/",FALSE,P300,S300))</f>
        <v>27/30</v>
      </c>
      <c r="H300" s="42"/>
      <c r="I300" s="42" t="str">
        <f ca="1">IF(ISERROR(F284),"",_xlfn.TEXTJOIN("/",FALSE,Q300,T300))</f>
        <v>18/20</v>
      </c>
      <c r="J300" s="42"/>
      <c r="K300" s="42" t="str">
        <f ca="1">IF(ISERROR(F284),"",_xlfn.TEXTJOIN("/",FALSE,R300,U300))</f>
        <v>45/50</v>
      </c>
      <c r="L300" s="42"/>
      <c r="M300" s="7" t="str">
        <f ca="1">IF(ISERROR(F284),"",IF(ISTEXT(P300),IF(P300="A","Ab",IF(P300="D","Dt",IF(P300="UFM","UFM",IF(P300="NA","-")))),IF(AND(ISBLANK(P300),ISBLANK(R300)),"",IF(P300&lt;0.3*S300,"F",IF(ISBLANK(R300),"",IF(ISTEXT(R300),R300,IF(R300&gt;=0.95*U300,"O",IF(R300&gt;=0.9*U300,"A+",IF(R300&gt;=0.85*U300,"A",IF(R300&gt;=0.8*U300,"B+",IF(R300&gt;=0.75*U300,"B",IF(R300&gt;=0.7*U300,"C+",IF(R300&gt;=0.65*U300,"C",IF(R300&gt;=0.6*U300,"D+",IF(R300&gt;=0.55*U300,"D",IF(R300&gt;=0.5*U300,"E+",IF(R300&gt;=0.45*U300,"E",IF(R300&gt;=0.4*U300,"P",IF(R300&lt;0.4*U300,"F",R300)))))))))))))))))))</f>
        <v>A+</v>
      </c>
      <c r="N300" s="8">
        <f t="shared" ca="1" si="24"/>
        <v>9.5</v>
      </c>
      <c r="O300">
        <f t="shared" si="25"/>
        <v>12</v>
      </c>
      <c r="P300" s="1">
        <f ca="1">IF(ISERROR(F284),"",IF(ISTEXT(VLOOKUP(B284,INDIRECT($F$8),6+(O300-1)*3)),(VLOOKUP(B284,INDIRECT($F$8),6+(O300-1)*3)),SUM(VLOOKUP(B284,INDIRECT($F$8),6+(O300-1)*3),IF(W303,W300,0))))</f>
        <v>27</v>
      </c>
      <c r="Q300" s="1">
        <f ca="1">IF(ISERROR(F284),"",VLOOKUP(B284,INDIRECT($F$8),7+(O300-1)*3))</f>
        <v>18</v>
      </c>
      <c r="R300" s="1">
        <f ca="1">IF(ISERROR(F284),"",SUM(P300:Q300))</f>
        <v>45</v>
      </c>
      <c r="S300" s="1">
        <f ca="1">IF(ISERROR(F284),"",VLOOKUP(A284,INDIRECT($F$8),6+(O300-1)*3))</f>
        <v>30</v>
      </c>
      <c r="T300" s="1">
        <f ca="1">IF(ISERROR(F284),"",VLOOKUP(A284,INDIRECT($F$8),7+(O300-1)*3))</f>
        <v>20</v>
      </c>
      <c r="U300" s="1">
        <f ca="1">IF(ISERROR(F284),"",VLOOKUP(A284,INDIRECT($F$8),8+(O300-1)*3))</f>
        <v>50</v>
      </c>
      <c r="V300" s="1" t="str">
        <f ca="1">IF(ISERROR(F284),"",IF(N300=0,A300,""))</f>
        <v/>
      </c>
      <c r="W300" s="1">
        <f ca="1">IF(ISERROR(F284),"",IF(ISTEXT(VLOOKUP(B284,INDIRECT($F$8),6+(O300-1)*3)),11,IF(VLOOKUP(B284,INDIRECT($F$8),6+(O300-1)*3)&lt;S300*0.3,IF(VLOOKUP(B284,INDIRECT($F$8),8+(O300-1)*3)&lt;U300*0.4,IF(AND(0.4*U300-VLOOKUP(B284,INDIRECT($F$8),8+(O300-1)*3)&lt;=5,0.3*S300-VLOOKUP(B284,INDIRECT($F$8),6+(O300-1)*3)&lt;=5),MAX(0.4*U300-VLOOKUP(B284,INDIRECT($F$8),8+(O300-1)*3),0.3*S300-VLOOKUP(B284,INDIRECT($F$8),6+(O300-1)*3)),11),IF(0.3*S300-VLOOKUP(B284,INDIRECT($F$8),6+(O300-1)*3)&lt;=5,0.3*S300-VLOOKUP(B284,INDIRECT($F$8),6+(O300-1)*3),11)),IF(VLOOKUP(B284,INDIRECT($F$8),8+(O300-1)*3)&lt;U300*0.4,IF(U300*0.4-VLOOKUP(B284,INDIRECT($F$8),8+(O300-1)*3)&lt;=5,U300*0.4-VLOOKUP(B284,INDIRECT($F$8),8+(O300-1)*3),11),0))))</f>
        <v>0</v>
      </c>
      <c r="X300" s="1" t="str">
        <f ca="1">IF(ISERROR(F284),"",IF(W300=0,"",_xlfn.TEXTJOIN("",FALSE," G+",W300," in ",A300)))</f>
        <v/>
      </c>
    </row>
    <row r="301" spans="1:24" ht="11.25" customHeight="1" x14ac:dyDescent="0.2">
      <c r="A301" s="7" t="str">
        <f ca="1">IF(ISERROR(F284),"",VLOOKUP(C284,INDIRECT($F$8),6+(O301-1)*3,0))</f>
        <v>AHP 303</v>
      </c>
      <c r="B301" s="41" t="str">
        <f ca="1">IF(ISERROR(F284),"",VLOOKUP(D284,INDIRECT($F$8),6+(O301-1)*3,0))</f>
        <v>Technical Communication Skills</v>
      </c>
      <c r="C301" s="41"/>
      <c r="D301" s="41"/>
      <c r="E301" s="41"/>
      <c r="F301" s="7">
        <f ca="1">IF(ISERROR(F284),"",VLOOKUP(E284,INDIRECT($F$8),6+(O301-1)*3,0))</f>
        <v>1</v>
      </c>
      <c r="G301" s="42" t="str">
        <f ca="1">IF(ISERROR(F284),"",_xlfn.TEXTJOIN("/",FALSE,P301,S301))</f>
        <v>25/30</v>
      </c>
      <c r="H301" s="42"/>
      <c r="I301" s="42" t="str">
        <f ca="1">IF(ISERROR(F284),"",_xlfn.TEXTJOIN("/",FALSE,Q301,T301))</f>
        <v>16/20</v>
      </c>
      <c r="J301" s="42"/>
      <c r="K301" s="42" t="str">
        <f ca="1">IF(ISERROR(F284),"",_xlfn.TEXTJOIN("/",FALSE,R301,U301))</f>
        <v>41/50</v>
      </c>
      <c r="L301" s="42"/>
      <c r="M301" s="7" t="str">
        <f ca="1">IF(ISERROR(F284),"",IF(ISTEXT(P301),IF(P301="A","Ab",IF(P301="D","Dt",IF(P301="UFM","UFM",IF(P301="NA","-")))),IF(AND(ISBLANK(P301),ISBLANK(R301)),"",IF(P301&lt;0.3*S301,"F",IF(ISBLANK(R301),"",IF(ISTEXT(R301),R301,IF(R301&gt;=0.95*U301,"O",IF(R301&gt;=0.9*U301,"A+",IF(R301&gt;=0.85*U301,"A",IF(R301&gt;=0.8*U301,"B+",IF(R301&gt;=0.75*U301,"B",IF(R301&gt;=0.7*U301,"C+",IF(R301&gt;=0.65*U301,"C",IF(R301&gt;=0.6*U301,"D+",IF(R301&gt;=0.55*U301,"D",IF(R301&gt;=0.5*U301,"E+",IF(R301&gt;=0.45*U301,"E",IF(R301&gt;=0.4*U301,"P",IF(R301&lt;0.4*U301,"F",R301)))))))))))))))))))</f>
        <v>B+</v>
      </c>
      <c r="N301" s="8">
        <f t="shared" ca="1" si="24"/>
        <v>8.5</v>
      </c>
      <c r="O301">
        <f t="shared" si="25"/>
        <v>13</v>
      </c>
      <c r="P301" s="1">
        <f ca="1">IF(ISERROR(F284),"",IF(ISTEXT(VLOOKUP(B284,INDIRECT($F$8),6+(O301-1)*3)),(VLOOKUP(B284,INDIRECT($F$8),6+(O301-1)*3)),SUM(VLOOKUP(B284,INDIRECT($F$8),6+(O301-1)*3),IF(W303,W301,0))))</f>
        <v>25</v>
      </c>
      <c r="Q301" s="1">
        <f ca="1">IF(ISERROR(F284),"",VLOOKUP(B284,INDIRECT($F$8),7+(O301-1)*3))</f>
        <v>16</v>
      </c>
      <c r="R301" s="1">
        <f ca="1">IF(ISERROR(F284),"",SUM(P301:Q301))</f>
        <v>41</v>
      </c>
      <c r="S301" s="1">
        <f ca="1">IF(ISERROR(F284),"",VLOOKUP(A284,INDIRECT($F$8),6+(O301-1)*3))</f>
        <v>30</v>
      </c>
      <c r="T301" s="1">
        <f ca="1">IF(ISERROR(F284),"",VLOOKUP(A284,INDIRECT($F$8),7+(O301-1)*3))</f>
        <v>20</v>
      </c>
      <c r="U301" s="1">
        <f ca="1">IF(ISERROR(F284),"",VLOOKUP(A284,INDIRECT($F$8),8+(O301-1)*3))</f>
        <v>50</v>
      </c>
      <c r="V301" s="1"/>
      <c r="W301" s="1">
        <f ca="1">IF(ISERROR(F284),"",IF(ISTEXT(VLOOKUP(B284,INDIRECT($F$8),6+(O301-1)*3)),11,IF(VLOOKUP(B284,INDIRECT($F$8),6+(O301-1)*3)&lt;S301*0.3,IF(VLOOKUP(B284,INDIRECT($F$8),8+(O301-1)*3)&lt;U301*0.4,IF(AND(0.4*U301-VLOOKUP(B284,INDIRECT($F$8),8+(O301-1)*3)&lt;=5,0.3*S301-VLOOKUP(B284,INDIRECT($F$8),6+(O301-1)*3)&lt;=5),MAX(0.4*U301-VLOOKUP(B284,INDIRECT($F$8),8+(O301-1)*3),0.3*S301-VLOOKUP(B284,INDIRECT($F$8),6+(O301-1)*3)),11),IF(0.3*S301-VLOOKUP(B284,INDIRECT($F$8),6+(O301-1)*3)&lt;=5,0.3*S301-VLOOKUP(B284,INDIRECT($F$8),6+(O301-1)*3),11)),IF(VLOOKUP(B284,INDIRECT($F$8),8+(O301-1)*3)&lt;U301*0.4,IF(U301*0.4-VLOOKUP(B284,INDIRECT($F$8),8+(O301-1)*3)&lt;=5,U301*0.4-VLOOKUP(B284,INDIRECT($F$8),8+(O301-1)*3),11),0))))</f>
        <v>0</v>
      </c>
      <c r="X301" s="1" t="str">
        <f ca="1">IF(ISERROR(F284),"",IF(W301=0,"",_xlfn.TEXTJOIN("",FALSE," G+",W301," in ",A301)))</f>
        <v/>
      </c>
    </row>
    <row r="302" spans="1:24" s="32" customFormat="1" ht="11.25" customHeight="1" x14ac:dyDescent="0.2">
      <c r="A302" s="31">
        <f ca="1">IF(ISERROR(F284),"",VLOOKUP(C284,INDIRECT($F$8),6+(O302-1)*3-Y302,0))</f>
        <v>0</v>
      </c>
      <c r="B302" s="49">
        <f ca="1">IF(ISERROR(F284),"",VLOOKUP(D284,INDIRECT($F$8),6+(O302-1)*3-Z302,0))</f>
        <v>0</v>
      </c>
      <c r="C302" s="49"/>
      <c r="D302" s="49"/>
      <c r="E302" s="49"/>
      <c r="F302" s="31">
        <f ca="1">IF(ISERROR(F284),"",VLOOKUP(E284,INDIRECT($F$8),6+(O302-1)*3-AA302,0))</f>
        <v>0</v>
      </c>
      <c r="G302" s="50" t="str">
        <f ca="1">IF(ISERROR(F284),"","-")</f>
        <v>-</v>
      </c>
      <c r="H302" s="50"/>
      <c r="I302" s="50" t="str">
        <f ca="1">IF(ISERROR(F284),"",_xlfn.TEXTJOIN("/",FALSE,Q302,T302))</f>
        <v>0/0</v>
      </c>
      <c r="J302" s="50"/>
      <c r="K302" s="50" t="str">
        <f ca="1">IF(ISERROR(F284),"",_xlfn.TEXTJOIN("/",FALSE,R302,U302))</f>
        <v>0/0</v>
      </c>
      <c r="L302" s="50"/>
      <c r="M302" s="50" t="str">
        <f ca="1">IF(ISBLANK(R302),"",IF(ISTEXT(R302),R302,IF(R302&gt;=0.8*U302,"Excellent",IF(R302&gt;=0.6*U302,"Very Good",IF(R302&gt;=0.4*U302,"Good",IF(R302&gt;=0.2*U302,"Satisfactory","Average"))))))</f>
        <v>Excellent</v>
      </c>
      <c r="N302" s="50"/>
      <c r="O302" s="32">
        <f t="shared" si="25"/>
        <v>14</v>
      </c>
      <c r="P302" s="33">
        <f ca="1">IF(ISERROR(F284),"",IF(ISTEXT(VLOOKUP(B\28,INDIRECT($F$8),6+(O302-1)*3)),(VLOOKUP(B284,INDIRECT($F$8),6+(O302-1)*3)),SUM(VLOOKUP(B284,INDIRECT($F$8),6+(O302-1)*3),IF(W303,W302,0))))</f>
        <v>0</v>
      </c>
      <c r="Q302" s="33">
        <f ca="1">IF(ISERROR(F284),"",VLOOKUP(B284,INDIRECT($F$8),7+(O302-1)*3))</f>
        <v>0</v>
      </c>
      <c r="R302" s="33">
        <f ca="1">IF(ISERROR(F284),"",SUM(P302:Q302))</f>
        <v>0</v>
      </c>
      <c r="S302" s="33">
        <f ca="1">IF(ISERROR(F284),"",VLOOKUP(A284,INDIRECT($F$8),6+(O302-1)*3))</f>
        <v>0</v>
      </c>
      <c r="T302" s="33">
        <f ca="1">IF(ISERROR(F284),"",VLOOKUP(A284,INDIRECT($F$8),7+(O302-1)*3))</f>
        <v>0</v>
      </c>
      <c r="U302" s="33">
        <f ca="1">IF(ISERROR(F284),"",VLOOKUP(A284,INDIRECT($F$8),8+(O302-1)*3))</f>
        <v>0</v>
      </c>
      <c r="V302" s="33"/>
      <c r="W302" s="33"/>
      <c r="X302" s="33" t="str">
        <f ca="1">IF(ISERROR(F284),"",IF(W302=0,"",_xlfn.TEXTJOIN("",FALSE," G+",W302," in ",A302)))</f>
        <v/>
      </c>
    </row>
    <row r="303" spans="1:24" ht="11.25" customHeight="1" x14ac:dyDescent="0.2">
      <c r="A303" s="43" t="str">
        <f ca="1">IF(ISERROR(F284),"",A280)</f>
        <v>Total Credits/ Marks/ Total Grade Points</v>
      </c>
      <c r="B303" s="43"/>
      <c r="C303" s="43"/>
      <c r="D303" s="43"/>
      <c r="E303" s="43"/>
      <c r="F303" s="10">
        <f ca="1">IF(ISERROR(F284),"",SUM(F289:F302))</f>
        <v>24</v>
      </c>
      <c r="G303" s="44" t="str">
        <f ca="1">IF(ISERROR(F284),"",_xlfn.TEXTJOIN("/",TRUE,SUMIF(F289:F302,"&gt;0",P289:P302),SUMIF(F289:F302,"&gt;0",S289:S302)))</f>
        <v>319/620</v>
      </c>
      <c r="H303" s="44"/>
      <c r="I303" s="44" t="str">
        <f ca="1">IF(ISERROR(F284),"",_xlfn.TEXTJOIN("/",TRUE,SUMIF(F289:F302,"&gt;0",Q289:Q302),SUMIF(F289:F302,"&gt;0",T289:T302)))</f>
        <v>227/330</v>
      </c>
      <c r="J303" s="44"/>
      <c r="K303" s="44" t="str">
        <f ca="1">IF(ISERROR(F284),"",_xlfn.TEXTJOIN("/",TRUE,SUMIF(F289:F302,"&gt;0",R289:R302),SUMIF(F289:F302,"&gt;0",U289:U302)))</f>
        <v>546/950</v>
      </c>
      <c r="L303" s="44"/>
      <c r="M303" s="43">
        <f ca="1">IF(ISERROR(F284),"",SUMPRODUCT(N289:N301,F289:F301))</f>
        <v>144</v>
      </c>
      <c r="N303" s="43"/>
      <c r="V303" s="1" t="str">
        <f ca="1">IF(ISERROR(F284),"",_xlfn.TEXTJOIN(", ",TRUE,V289:V302))</f>
        <v/>
      </c>
      <c r="W303" t="b">
        <f ca="1">IF(ISERROR(F284),"",IF(SUM(W289:W302)&lt;=W288,TRUE,FALSE))</f>
        <v>1</v>
      </c>
      <c r="X303" s="1" t="str">
        <f ca="1">_xlfn.TEXTJOIN(",",TRUE,X289:X302)</f>
        <v xml:space="preserve"> G+4 in CAT 007</v>
      </c>
    </row>
    <row r="304" spans="1:24" ht="11.25" customHeight="1" x14ac:dyDescent="0.2">
      <c r="A304" s="43" t="str">
        <f ca="1">IF(ISERROR(F284),"",A281)</f>
        <v>Result:</v>
      </c>
      <c r="B304" s="45" t="str">
        <f ca="1">IF(ISERROR(F284),"",IF(V303="","PASS","CARRY OVER"))</f>
        <v>PASS</v>
      </c>
      <c r="C304" s="45"/>
      <c r="D304" s="43" t="str">
        <f ca="1">IF(ISERROR(F284),"",D281)</f>
        <v>Remark:</v>
      </c>
      <c r="E304" s="45" t="str">
        <f ca="1">IF(ISERROR(F284),"",IF(W303,X303,IF(V303="","",_xlfn.TEXTJOIN("",TRUE,"BACK IN ",V303))))</f>
        <v xml:space="preserve"> G+4 in CAT 007</v>
      </c>
      <c r="F304" s="45"/>
      <c r="G304" s="43" t="str">
        <f ca="1">IF(ISERROR(F284),"",G281)</f>
        <v>SGPA:</v>
      </c>
      <c r="H304" s="46">
        <f ca="1">IF(ISERROR(F284),"",M303/F303)</f>
        <v>6</v>
      </c>
      <c r="I304" s="43" t="str">
        <f ca="1">IF(ISERROR(F284),"",I281)</f>
        <v>CGPA:</v>
      </c>
      <c r="J304" s="46">
        <f ca="1">IF(ISERROR(F284),"",VLOOKUP(B284,INDIRECT($F$8),12+(O302-1)*3,0))</f>
        <v>6</v>
      </c>
      <c r="K304" s="45" t="str">
        <f ca="1">IF(ISERROR(F284),"",K281)</f>
        <v>Earned Credits:</v>
      </c>
      <c r="L304" s="43">
        <f ca="1">IF(ISERROR(F284),"",SUMIF(N289:N301,"&gt;0",F289:F301))</f>
        <v>24</v>
      </c>
      <c r="M304" s="45" t="str">
        <f ca="1">IF(ISERROR(F284),"",M281)</f>
        <v>Cuml. Earned Credits:</v>
      </c>
      <c r="N304" s="43">
        <f ca="1">IF(ISERROR(F284),"",VLOOKUP(B284,INDIRECT($F$8),10+(O302-1)*3,0))</f>
        <v>24</v>
      </c>
    </row>
    <row r="305" spans="1:24" ht="11.25" customHeight="1" x14ac:dyDescent="0.2">
      <c r="A305" s="43"/>
      <c r="B305" s="45"/>
      <c r="C305" s="45"/>
      <c r="D305" s="43"/>
      <c r="E305" s="45"/>
      <c r="F305" s="45"/>
      <c r="G305" s="43"/>
      <c r="H305" s="46"/>
      <c r="I305" s="43"/>
      <c r="J305" s="46"/>
      <c r="K305" s="45"/>
      <c r="L305" s="43"/>
      <c r="M305" s="45"/>
      <c r="N305" s="43"/>
    </row>
    <row r="306" spans="1:24" ht="15" x14ac:dyDescent="0.2">
      <c r="A306" s="43"/>
      <c r="B306" s="45"/>
      <c r="C306" s="45"/>
      <c r="D306" s="43"/>
      <c r="E306" s="45"/>
      <c r="F306" s="45"/>
      <c r="G306" s="43"/>
      <c r="H306" s="46"/>
      <c r="I306" s="43"/>
      <c r="J306" s="46"/>
      <c r="K306" s="45"/>
      <c r="L306" s="43"/>
      <c r="M306" s="45"/>
      <c r="N306" s="43"/>
    </row>
    <row r="307" spans="1:24" ht="11.25" customHeight="1" x14ac:dyDescent="0.2">
      <c r="A307" s="11" t="str">
        <f>A284</f>
        <v>MM</v>
      </c>
      <c r="B307" s="11">
        <f>B284+1</f>
        <v>14</v>
      </c>
      <c r="C307" s="11" t="str">
        <f>C284</f>
        <v>SC</v>
      </c>
      <c r="D307" s="11" t="str">
        <f>D284</f>
        <v>SN</v>
      </c>
      <c r="E307" s="11" t="str">
        <f>E284</f>
        <v>C</v>
      </c>
      <c r="F307" s="11" t="str">
        <f ca="1">VLOOKUP(B307,INDIRECT($F$8),4,0)</f>
        <v>REETU SAINI</v>
      </c>
    </row>
    <row r="308" spans="1:24" ht="11.25" customHeight="1" x14ac:dyDescent="0.2">
      <c r="A308" s="47" t="str">
        <f ca="1">IF(ISERROR(F307),"",A285)</f>
        <v>Name:</v>
      </c>
      <c r="B308" s="47" t="str">
        <f ca="1">IFERROR(VLOOKUP(B307,INDIRECT($F$8),4,0),"")</f>
        <v>REETU SAINI</v>
      </c>
      <c r="C308" s="47"/>
      <c r="D308" s="47" t="str">
        <f ca="1">IF(ISERROR(F307),"",D285)</f>
        <v>Father's Name:</v>
      </c>
      <c r="E308" s="47" t="str">
        <f ca="1">IFERROR(VLOOKUP(B307,INDIRECT($F$8),5,0),"")</f>
        <v>ARJUN SINGH SAINI</v>
      </c>
      <c r="F308" s="47"/>
      <c r="G308" s="47" t="str">
        <f ca="1">IF(ISERROR(F307),"",G285)</f>
        <v>University Roll No:</v>
      </c>
      <c r="H308" s="47"/>
      <c r="I308" s="48">
        <f ca="1">IFERROR(VLOOKUP(B307,INDIRECT($F$8),2,0),"")</f>
        <v>250090600014</v>
      </c>
      <c r="J308" s="48"/>
      <c r="K308" s="47" t="str">
        <f ca="1">IF(ISERROR(F307),"",K285)</f>
        <v>University Enrol. No:</v>
      </c>
      <c r="L308" s="47"/>
      <c r="M308" s="48" t="str">
        <f ca="1">IFERROR(VLOOKUP(B307,INDIRECT($F$8),3,0),"")</f>
        <v>UTU/2506100138</v>
      </c>
      <c r="N308" s="48"/>
    </row>
    <row r="309" spans="1:24" ht="15" x14ac:dyDescent="0.2">
      <c r="A309" s="47"/>
      <c r="B309" s="47"/>
      <c r="C309" s="47"/>
      <c r="D309" s="47"/>
      <c r="E309" s="47"/>
      <c r="F309" s="47"/>
      <c r="G309" s="47"/>
      <c r="H309" s="47"/>
      <c r="I309" s="48"/>
      <c r="J309" s="48"/>
      <c r="K309" s="47"/>
      <c r="L309" s="47"/>
      <c r="M309" s="48"/>
      <c r="N309" s="48"/>
    </row>
    <row r="310" spans="1:24" ht="11.25" customHeight="1" x14ac:dyDescent="0.2">
      <c r="A310" s="45" t="str">
        <f ca="1">IF(ISERROR(F307),"",A287)</f>
        <v>Subject Code</v>
      </c>
      <c r="B310" s="45" t="str">
        <f ca="1">IF(ISERROR(F307),"",B287)</f>
        <v>Subject Name</v>
      </c>
      <c r="C310" s="45"/>
      <c r="D310" s="45"/>
      <c r="E310" s="45"/>
      <c r="F310" s="45" t="str">
        <f ca="1">IF(ISERROR(F307),"",F287)</f>
        <v>Credits</v>
      </c>
      <c r="G310" s="45" t="str">
        <f ca="1">IF(ISERROR(F307),"",G287)</f>
        <v>External Marks</v>
      </c>
      <c r="H310" s="45"/>
      <c r="I310" s="45" t="str">
        <f ca="1">IF(ISERROR(F307),"",I287)</f>
        <v>Sessional Marks</v>
      </c>
      <c r="J310" s="45"/>
      <c r="K310" s="45" t="str">
        <f ca="1">IF(ISERROR(F307),"",K287)</f>
        <v>Total Marks</v>
      </c>
      <c r="L310" s="45"/>
      <c r="M310" s="45" t="str">
        <f ca="1">IF(ISERROR(F307),"",M287)</f>
        <v>Grade</v>
      </c>
      <c r="N310" s="45" t="str">
        <f ca="1">IF(ISERROR(F307),"",N287)</f>
        <v>Grade Points</v>
      </c>
    </row>
    <row r="311" spans="1:24" ht="15" x14ac:dyDescent="0.2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W311">
        <f ca="1">IF(ISNUMBER(MATCH($F$8,{"I","III","V","VII"},0)),10,10-INDEX(INDIRECT(_xlfn.TEXTJOIN("",TRUE,"SEM_",$G$8,"!",ADDRESS(6,4+$I$8*3+4),":",ADDRESS(5+$H$8,4+$I$8*3+4))),MATCH(INDIRECT(_xlfn.TEXTJOIN("",TRUE,"TC_",$F$8,"!",ADDRESS(ROW(I308),COLUMN(I308)))),INDIRECT(_xlfn.TEXTJOIN("",TRUE,"SEM_",$G$8,"!",ADDRESS(6,2),":",ADDRESS(5+$H$8,2))))))</f>
        <v>10</v>
      </c>
    </row>
    <row r="312" spans="1:24" ht="11.25" customHeight="1" x14ac:dyDescent="0.2">
      <c r="A312" s="7" t="str">
        <f ca="1">IF(ISERROR(F307),"",VLOOKUP(C307,INDIRECT($F$8),6+(O312-1)*3,0))</f>
        <v>CAT 004</v>
      </c>
      <c r="B312" s="41" t="str">
        <f ca="1">IF(ISERROR(F307),"",VLOOKUP(D307,INDIRECT($F$8),6+(O312-1)*3,0))</f>
        <v>Discrete Structure</v>
      </c>
      <c r="C312" s="41"/>
      <c r="D312" s="41"/>
      <c r="E312" s="41"/>
      <c r="F312" s="7">
        <f ca="1">IF(ISERROR(F307),"",VLOOKUP(E307,INDIRECT($F$8),6+(O312-1)*3,0))</f>
        <v>4</v>
      </c>
      <c r="G312" s="42" t="str">
        <f ca="1">IF(ISERROR(F307),"",_xlfn.TEXTJOIN("/",FALSE,P312,S312))</f>
        <v>35/100</v>
      </c>
      <c r="H312" s="42"/>
      <c r="I312" s="42" t="str">
        <f ca="1">IF(ISERROR(F307),"",_xlfn.TEXTJOIN("/",FALSE,Q312,T312))</f>
        <v>33/50</v>
      </c>
      <c r="J312" s="42"/>
      <c r="K312" s="42" t="str">
        <f ca="1">IF(ISERROR(F307),"",_xlfn.TEXTJOIN("/",FALSE,R312,U312))</f>
        <v>68/150</v>
      </c>
      <c r="L312" s="42"/>
      <c r="M312" s="7" t="str">
        <f ca="1">IF(ISERROR(F307),"",IF(ISTEXT(P312),IF(P312="A","Ab",IF(P312="D","Dt",IF(P312="UFM","UFM",IF(P312="NA","-")))),IF(AND(ISBLANK(P312),ISBLANK(R312)),"",IF(P312&lt;0.3*S312,"F",IF(ISBLANK(R312),"",IF(ISTEXT(R312),R312,IF(R312&gt;=0.95*U312,"O",IF(R312&gt;=0.9*U312,"A+",IF(R312&gt;=0.85*U312,"A",IF(R312&gt;=0.8*U312,"B+",IF(R312&gt;=0.75*U312,"B",IF(R312&gt;=0.7*U312,"C+",IF(R312&gt;=0.65*U312,"C",IF(R312&gt;=0.6*U312,"D+",IF(R312&gt;=0.55*U312,"D",IF(R312&gt;=0.5*U312,"E+",IF(R312&gt;=0.45*U312,"E",IF(R312&gt;=0.4*U312,"P",IF(R312&lt;0.4*U312,"F",R312)))))))))))))))))))</f>
        <v>E</v>
      </c>
      <c r="N312" s="8">
        <f ca="1">INDEX($Z$2:$Z$18,MATCH(M312,$Y$2:$Y$18,0))</f>
        <v>5</v>
      </c>
      <c r="O312">
        <v>1</v>
      </c>
      <c r="P312" s="1">
        <f ca="1">IF(ISERROR(F307),"",IF(ISTEXT(VLOOKUP(B307,INDIRECT($F$8),6+(O312-1)*3)),(VLOOKUP(B307,INDIRECT($F$8),6+(O312-1)*3)),SUM(VLOOKUP(B307,INDIRECT($F$8),6+(O312-1)*3),IF(W326,W312,0))))</f>
        <v>35</v>
      </c>
      <c r="Q312" s="1">
        <f ca="1">IF(ISERROR(F307),"",VLOOKUP(B307,INDIRECT($F$8),7+(O312-1)*3))</f>
        <v>33</v>
      </c>
      <c r="R312" s="1">
        <f ca="1">IF(ISERROR(F307),"",SUM(P312:Q312))</f>
        <v>68</v>
      </c>
      <c r="S312" s="1">
        <f ca="1">IF(ISERROR(F307),"",VLOOKUP(A307,INDIRECT($F$8),6+(O312-1)*3))</f>
        <v>100</v>
      </c>
      <c r="T312" s="1">
        <f ca="1">IF(ISERROR(F307),"",VLOOKUP(A307,INDIRECT($F$8),7+(O312-1)*3))</f>
        <v>50</v>
      </c>
      <c r="U312" s="1">
        <f ca="1">IF(ISERROR(F307),"",VLOOKUP(A307,INDIRECT($F$8),8+(O312-1)*3))</f>
        <v>150</v>
      </c>
      <c r="V312" s="1" t="str">
        <f ca="1">IF(ISERROR(F307),"",IF(N312=0,A312,""))</f>
        <v/>
      </c>
      <c r="W312" s="1">
        <f ca="1">IF(ISERROR(F307),"",IF(ISTEXT(VLOOKUP(B307,INDIRECT($F$8),6+(O312-1)*3)),11,IF(VLOOKUP(B307,INDIRECT($F$8),6+(O312-1)*3)&lt;S312*0.3,IF(VLOOKUP(B307,INDIRECT($F$8),8+(O312-1)*3)&lt;U312*0.4,IF(AND(0.4*U312-VLOOKUP(B307,INDIRECT($F$8),8+(O312-1)*3)&lt;=5,0.3*S312-VLOOKUP(B307,INDIRECT($F$8),6+(O312-1)*3)&lt;=5),MAX(0.4*U312-VLOOKUP(B307,INDIRECT($F$8),8+(O312-1)*3),0.3*S312-VLOOKUP(B307,INDIRECT($F$8),6+(O312-1)*3)),11),IF(0.3*S312-VLOOKUP(B307,INDIRECT($F$8),6+(O312-1)*3)&lt;=5,0.3*S312-VLOOKUP(B307,INDIRECT($F$8),6+(O312-1)*3),11)),IF(VLOOKUP(B307,INDIRECT($F$8),8+(O312-1)*3)&lt;U312*0.4,IF(U312*0.4-VLOOKUP(B307,INDIRECT($F$8),8+(O312-1)*3)&lt;=5,U312*0.4-VLOOKUP(B307,INDIRECT($F$8),8+(O312-1)*3),11),0))))</f>
        <v>0</v>
      </c>
      <c r="X312" s="1" t="str">
        <f ca="1">IF(ISERROR(F307),"",IF(W312=0,"",_xlfn.TEXTJOIN("",FALSE," G+",W312," in ",A312)))</f>
        <v/>
      </c>
    </row>
    <row r="313" spans="1:24" ht="11.25" customHeight="1" x14ac:dyDescent="0.2">
      <c r="A313" s="7" t="str">
        <f ca="1">IF(ISERROR(F307),"",VLOOKUP(C307,INDIRECT($F$8),6+(O313-1)*3,0))</f>
        <v>CAT 005</v>
      </c>
      <c r="B313" s="41" t="str">
        <f ca="1">IF(ISERROR(F307),"",VLOOKUP(D307,INDIRECT($F$8),6+(O313-1)*3,0))</f>
        <v>Database Management System</v>
      </c>
      <c r="C313" s="41"/>
      <c r="D313" s="41"/>
      <c r="E313" s="41"/>
      <c r="F313" s="7">
        <f ca="1">IF(ISERROR(F307),"",VLOOKUP(E307,INDIRECT($F$8),6+(O313-1)*3,0))</f>
        <v>4</v>
      </c>
      <c r="G313" s="42" t="str">
        <f ca="1">IF(ISERROR(F307),"",_xlfn.TEXTJOIN("/",FALSE,P313,S313))</f>
        <v>58/100</v>
      </c>
      <c r="H313" s="42"/>
      <c r="I313" s="42" t="str">
        <f ca="1">IF(ISERROR(F307),"",_xlfn.TEXTJOIN("/",FALSE,Q313,T313))</f>
        <v>35/50</v>
      </c>
      <c r="J313" s="42"/>
      <c r="K313" s="42" t="str">
        <f ca="1">IF(ISERROR(F307),"",_xlfn.TEXTJOIN("/",FALSE,R313,U313))</f>
        <v>93/150</v>
      </c>
      <c r="L313" s="42"/>
      <c r="M313" s="7" t="str">
        <f ca="1">IF(ISERROR(F307),"",IF(ISTEXT(P313),IF(P313="A","Ab",IF(P313="D","Dt",IF(P313="UFM","UFM",IF(P313="NA","-")))),IF(AND(ISBLANK(P313),ISBLANK(R313)),"",IF(P313&lt;0.3*S313,"F",IF(ISBLANK(R313),"",IF(ISTEXT(R313),R313,IF(R313&gt;=0.95*U313,"O",IF(R313&gt;=0.9*U313,"A+",IF(R313&gt;=0.85*U313,"A",IF(R313&gt;=0.8*U313,"B+",IF(R313&gt;=0.75*U313,"B",IF(R313&gt;=0.7*U313,"C+",IF(R313&gt;=0.65*U313,"C",IF(R313&gt;=0.6*U313,"D+",IF(R313&gt;=0.55*U313,"D",IF(R313&gt;=0.5*U313,"E+",IF(R313&gt;=0.45*U313,"E",IF(R313&gt;=0.4*U313,"P",IF(R313&lt;0.4*U313,"F",R313)))))))))))))))))))</f>
        <v>D+</v>
      </c>
      <c r="N313" s="8">
        <f t="shared" ref="N313:N324" ca="1" si="26">INDEX($Z$2:$Z$18,MATCH(M313,$Y$2:$Y$18,0))</f>
        <v>6.5</v>
      </c>
      <c r="O313">
        <f>O312+1</f>
        <v>2</v>
      </c>
      <c r="P313" s="1">
        <f ca="1">IF(ISERROR(F307),"",IF(ISTEXT(VLOOKUP(B307,INDIRECT($F$8),6+(O313-1)*3)),(VLOOKUP(B307,INDIRECT($F$8),6+(O313-1)*3)),SUM(VLOOKUP(B307,INDIRECT($F$8),6+(O313-1)*3),IF(W326,W313,0))))</f>
        <v>58</v>
      </c>
      <c r="Q313" s="1">
        <f ca="1">IF(ISERROR(F307),"",VLOOKUP(B307,INDIRECT($F$8),7+(O313-1)*3))</f>
        <v>35</v>
      </c>
      <c r="R313" s="1">
        <f ca="1">IF(ISERROR(F307),"",SUM(P313:Q313))</f>
        <v>93</v>
      </c>
      <c r="S313" s="1">
        <f ca="1">IF(ISERROR(F307),"",VLOOKUP(A307,INDIRECT($F$8),6+(O313-1)*3))</f>
        <v>100</v>
      </c>
      <c r="T313" s="1">
        <f ca="1">IF(ISERROR(F307),"",VLOOKUP(A307,INDIRECT($F$8),7+(O313-1)*3))</f>
        <v>50</v>
      </c>
      <c r="U313" s="1">
        <f ca="1">IF(ISERROR(F307),"",VLOOKUP(A307,INDIRECT($F$8),8+(O313-1)*3))</f>
        <v>150</v>
      </c>
      <c r="V313" s="1" t="str">
        <f ca="1">IF(ISERROR(F307),"",IF(N313=0,A313,""))</f>
        <v/>
      </c>
      <c r="W313" s="1">
        <f ca="1">IF(ISERROR(F307),"",IF(ISTEXT(VLOOKUP(B307,INDIRECT($F$8),6+(O313-1)*3)),11,IF(VLOOKUP(B307,INDIRECT($F$8),6+(O313-1)*3)&lt;S313*0.3,IF(VLOOKUP(B307,INDIRECT($F$8),8+(O313-1)*3)&lt;U313*0.4,IF(AND(0.4*U313-VLOOKUP(B307,INDIRECT($F$8),8+(O313-1)*3)&lt;=5,0.3*S313-VLOOKUP(B307,INDIRECT($F$8),6+(O313-1)*3)&lt;=5),MAX(0.4*U313-VLOOKUP(B307,INDIRECT($F$8),8+(O313-1)*3),0.3*S313-VLOOKUP(B307,INDIRECT($F$8),6+(O313-1)*3)),11),IF(0.3*S313-VLOOKUP(B307,INDIRECT($F$8),6+(O313-1)*3)&lt;=5,0.3*S313-VLOOKUP(B307,INDIRECT($F$8),6+(O313-1)*3),11)),IF(VLOOKUP(B307,INDIRECT($F$8),8+(O313-1)*3)&lt;U313*0.4,IF(U313*0.4-VLOOKUP(B307,INDIRECT($F$8),8+(O313-1)*3)&lt;=5,U313*0.4-VLOOKUP(B307,INDIRECT($F$8),8+(O313-1)*3),11),0))))</f>
        <v>0</v>
      </c>
      <c r="X313" s="1" t="str">
        <f ca="1">IF(ISERROR(F307),"",IF(W313=0,"",_xlfn.TEXTJOIN("",FALSE," G+",W313," in ",A313)))</f>
        <v/>
      </c>
    </row>
    <row r="314" spans="1:24" ht="11.25" customHeight="1" x14ac:dyDescent="0.2">
      <c r="A314" s="7" t="str">
        <f ca="1">IF(ISERROR(F307),"",VLOOKUP(C307,INDIRECT($F$8),6+(O314-1)*3,0))</f>
        <v>CAT 006</v>
      </c>
      <c r="B314" s="41" t="str">
        <f ca="1">IF(ISERROR(F307),"",VLOOKUP(D307,INDIRECT($F$8),6+(O314-1)*3,0))</f>
        <v>Operating System</v>
      </c>
      <c r="C314" s="41"/>
      <c r="D314" s="41"/>
      <c r="E314" s="41"/>
      <c r="F314" s="7">
        <f ca="1">IF(ISERROR(F307),"",VLOOKUP(E307,INDIRECT($F$8),6+(O314-1)*3,0))</f>
        <v>4</v>
      </c>
      <c r="G314" s="42" t="str">
        <f ca="1">IF(ISERROR(F307),"",_xlfn.TEXTJOIN("/",FALSE,P314,S314))</f>
        <v>74/100</v>
      </c>
      <c r="H314" s="42"/>
      <c r="I314" s="42" t="str">
        <f ca="1">IF(ISERROR(F307),"",_xlfn.TEXTJOIN("/",FALSE,Q314,T314))</f>
        <v>39/50</v>
      </c>
      <c r="J314" s="42"/>
      <c r="K314" s="42" t="str">
        <f ca="1">IF(ISERROR(F307),"",_xlfn.TEXTJOIN("/",FALSE,R314,U314))</f>
        <v>113/150</v>
      </c>
      <c r="L314" s="42"/>
      <c r="M314" s="7" t="str">
        <f ca="1">IF(ISERROR(F307),"",IF(ISTEXT(P314),IF(P314="A","Ab",IF(P314="D","Dt",IF(P314="UFM","UFM",IF(P314="NA","-")))),IF(AND(ISBLANK(P314),ISBLANK(R314)),"",IF(P314&lt;0.3*S314,"F",IF(ISBLANK(R314),"",IF(ISTEXT(R314),R314,IF(R314&gt;=0.95*U314,"O",IF(R314&gt;=0.9*U314,"A+",IF(R314&gt;=0.85*U314,"A",IF(R314&gt;=0.8*U314,"B+",IF(R314&gt;=0.75*U314,"B",IF(R314&gt;=0.7*U314,"C+",IF(R314&gt;=0.65*U314,"C",IF(R314&gt;=0.6*U314,"D+",IF(R314&gt;=0.55*U314,"D",IF(R314&gt;=0.5*U314,"E+",IF(R314&gt;=0.45*U314,"E",IF(R314&gt;=0.4*U314,"P",IF(R314&lt;0.4*U314,"F",R314)))))))))))))))))))</f>
        <v>B</v>
      </c>
      <c r="N314" s="8">
        <f t="shared" ca="1" si="26"/>
        <v>8</v>
      </c>
      <c r="O314">
        <f>O313+1</f>
        <v>3</v>
      </c>
      <c r="P314" s="1">
        <f ca="1">IF(ISERROR(F307),"",IF(ISTEXT(VLOOKUP(B307,INDIRECT($F$8),6+(O314-1)*3)),(VLOOKUP(B307,INDIRECT($F$8),6+(O314-1)*3)),SUM(VLOOKUP(B307,INDIRECT($F$8),6+(O314-1)*3),IF(W326,W314,0))))</f>
        <v>74</v>
      </c>
      <c r="Q314" s="1">
        <f ca="1">IF(ISERROR(F307),"",VLOOKUP(B307,INDIRECT($F$8),7+(O314-1)*3))</f>
        <v>39</v>
      </c>
      <c r="R314" s="1">
        <f ca="1">IF(ISERROR(F307),"",SUM(P314:Q314))</f>
        <v>113</v>
      </c>
      <c r="S314" s="1">
        <f ca="1">IF(ISERROR(F307),"",VLOOKUP(A307,INDIRECT($F$8),6+(O314-1)*3))</f>
        <v>100</v>
      </c>
      <c r="T314" s="1">
        <f ca="1">IF(ISERROR(F307),"",VLOOKUP(A307,INDIRECT($F$8),7+(O314-1)*3))</f>
        <v>50</v>
      </c>
      <c r="U314" s="1">
        <f ca="1">IF(ISERROR(F307),"",VLOOKUP(A307,INDIRECT($F$8),8+(O314-1)*3))</f>
        <v>150</v>
      </c>
      <c r="V314" s="1" t="str">
        <f ca="1">IF(ISERROR(F307),"",IF(N314=0,A314,""))</f>
        <v/>
      </c>
      <c r="W314" s="1">
        <f ca="1">IF(ISERROR(F307),"",IF(ISTEXT(VLOOKUP(B307,INDIRECT($F$8),6+(O314-1)*3)),11,IF(VLOOKUP(B307,INDIRECT($F$8),6+(O314-1)*3)&lt;S314*0.3,IF(VLOOKUP(B307,INDIRECT($F$8),8+(O314-1)*3)&lt;U314*0.4,IF(AND(0.4*U314-VLOOKUP(B307,INDIRECT($F$8),8+(O314-1)*3)&lt;=5,0.3*S314-VLOOKUP(B307,INDIRECT($F$8),6+(O314-1)*3)&lt;=5),MAX(0.4*U314-VLOOKUP(B307,INDIRECT($F$8),8+(O314-1)*3),0.3*S314-VLOOKUP(B307,INDIRECT($F$8),6+(O314-1)*3)),11),IF(0.3*S314-VLOOKUP(B307,INDIRECT($F$8),6+(O314-1)*3)&lt;=5,0.3*S314-VLOOKUP(B307,INDIRECT($F$8),6+(O314-1)*3),11)),IF(VLOOKUP(B307,INDIRECT($F$8),8+(O314-1)*3)&lt;U314*0.4,IF(U314*0.4-VLOOKUP(B307,INDIRECT($F$8),8+(O314-1)*3)&lt;=5,U314*0.4-VLOOKUP(B307,INDIRECT($F$8),8+(O314-1)*3),11),0))))</f>
        <v>0</v>
      </c>
      <c r="X314" s="1" t="str">
        <f ca="1">IF(ISERROR(F307),"",IF(W314=0,"",_xlfn.TEXTJOIN("",FALSE," G+",W314," in ",A314)))</f>
        <v/>
      </c>
    </row>
    <row r="315" spans="1:24" ht="11.25" customHeight="1" x14ac:dyDescent="0.2">
      <c r="A315" s="7" t="str">
        <f ca="1">IF(ISERROR(F307),"",VLOOKUP(C307,INDIRECT($F$8),6+(O315-1)*3,0))</f>
        <v>CAT 007</v>
      </c>
      <c r="B315" s="41" t="str">
        <f ca="1">IF(ISERROR(F307),"",VLOOKUP(D307,INDIRECT($F$8),6+(O315-1)*3,0))</f>
        <v>Computer Organization</v>
      </c>
      <c r="C315" s="41"/>
      <c r="D315" s="41"/>
      <c r="E315" s="41"/>
      <c r="F315" s="7">
        <f ca="1">IF(ISERROR(F307),"",VLOOKUP(E307,INDIRECT($F$8),6+(O315-1)*3,0))</f>
        <v>4</v>
      </c>
      <c r="G315" s="42" t="str">
        <f ca="1">IF(ISERROR(F307),"",_xlfn.TEXTJOIN("/",FALSE,P315,S315))</f>
        <v>35/100</v>
      </c>
      <c r="H315" s="42"/>
      <c r="I315" s="42" t="str">
        <f ca="1">IF(ISERROR(F307),"",_xlfn.TEXTJOIN("/",FALSE,Q315,T315))</f>
        <v>47/50</v>
      </c>
      <c r="J315" s="42"/>
      <c r="K315" s="42" t="str">
        <f ca="1">IF(ISERROR(F307),"",_xlfn.TEXTJOIN("/",FALSE,R315,U315))</f>
        <v>82/150</v>
      </c>
      <c r="L315" s="42"/>
      <c r="M315" s="7" t="str">
        <f ca="1">IF(ISERROR(F307),"",IF(ISTEXT(P315),IF(P315="A","Ab",IF(P315="D","Dt",IF(P315="UFM","UFM",IF(P315="NA","-")))),IF(AND(ISBLANK(P315),ISBLANK(R315)),"",IF(P315&lt;0.3*S315,"F",IF(ISBLANK(R315),"",IF(ISTEXT(R315),R315,IF(R315&gt;=0.95*U315,"O",IF(R315&gt;=0.9*U315,"A+",IF(R315&gt;=0.85*U315,"A",IF(R315&gt;=0.8*U315,"B+",IF(R315&gt;=0.75*U315,"B",IF(R315&gt;=0.7*U315,"C+",IF(R315&gt;=0.65*U315,"C",IF(R315&gt;=0.6*U315,"D+",IF(R315&gt;=0.55*U315,"D",IF(R315&gt;=0.5*U315,"E+",IF(R315&gt;=0.45*U315,"E",IF(R315&gt;=0.4*U315,"P",IF(R315&lt;0.4*U315,"F",R315)))))))))))))))))))</f>
        <v>E+</v>
      </c>
      <c r="N315" s="8">
        <f t="shared" ca="1" si="26"/>
        <v>5.5</v>
      </c>
      <c r="O315">
        <f>O314+1</f>
        <v>4</v>
      </c>
      <c r="P315" s="1">
        <f ca="1">IF(ISERROR(F307),"",IF(ISTEXT(VLOOKUP(B307,INDIRECT($F$8),6+(O315-1)*3)),(VLOOKUP(B307,INDIRECT($F$8),6+(O315-1)*3)),SUM(VLOOKUP(B307,INDIRECT($F$8),6+(O315-1)*3),IF(W326,W315,0))))</f>
        <v>35</v>
      </c>
      <c r="Q315" s="1">
        <f ca="1">IF(ISERROR(F307),"",VLOOKUP(B307,INDIRECT($F$8),7+(O315-1)*3))</f>
        <v>47</v>
      </c>
      <c r="R315" s="1">
        <f ca="1">IF(ISERROR(F307),"",SUM(P315:Q315))</f>
        <v>82</v>
      </c>
      <c r="S315" s="1">
        <f ca="1">IF(ISERROR(F307),"",VLOOKUP(A307,INDIRECT($F$8),6+(O315-1)*3))</f>
        <v>100</v>
      </c>
      <c r="T315" s="1">
        <f ca="1">IF(ISERROR(F307),"",VLOOKUP(A307,INDIRECT($F$8),7+(O315-1)*3))</f>
        <v>50</v>
      </c>
      <c r="U315" s="1">
        <f ca="1">IF(ISERROR(F307),"",VLOOKUP(A307,INDIRECT($F$8),8+(O315-1)*3))</f>
        <v>150</v>
      </c>
      <c r="V315" s="1" t="str">
        <f ca="1">IF(ISERROR(F307),"",IF(N315=0,A315,""))</f>
        <v/>
      </c>
      <c r="W315" s="1">
        <f ca="1">IF(ISERROR(F307),"",IF(ISTEXT(VLOOKUP(B307,INDIRECT($F$8),6+(O315-1)*3)),11,IF(VLOOKUP(B307,INDIRECT($F$8),6+(O315-1)*3)&lt;S315*0.3,IF(VLOOKUP(B307,INDIRECT($F$8),8+(O315-1)*3)&lt;U315*0.4,IF(AND(0.4*U315-VLOOKUP(B307,INDIRECT($F$8),8+(O315-1)*3)&lt;=5,0.3*S315-VLOOKUP(B307,INDIRECT($F$8),6+(O315-1)*3)&lt;=5),MAX(0.4*U315-VLOOKUP(B307,INDIRECT($F$8),8+(O315-1)*3),0.3*S315-VLOOKUP(B307,INDIRECT($F$8),6+(O315-1)*3)),11),IF(0.3*S315-VLOOKUP(B307,INDIRECT($F$8),6+(O315-1)*3)&lt;=5,0.3*S315-VLOOKUP(B307,INDIRECT($F$8),6+(O315-1)*3),11)),IF(VLOOKUP(B307,INDIRECT($F$8),8+(O315-1)*3)&lt;U315*0.4,IF(U315*0.4-VLOOKUP(B307,INDIRECT($F$8),8+(O315-1)*3)&lt;=5,U315*0.4-VLOOKUP(B307,INDIRECT($F$8),8+(O315-1)*3),11),0))))</f>
        <v>0</v>
      </c>
      <c r="X315" s="1" t="str">
        <f ca="1">IF(ISERROR(F307),"",IF(W315=0,"",_xlfn.TEXTJOIN("",FALSE," G+",W315," in ",A315)))</f>
        <v/>
      </c>
    </row>
    <row r="316" spans="1:24" ht="11.25" customHeight="1" x14ac:dyDescent="0.2">
      <c r="A316" s="7" t="str">
        <f ca="1">IF(ISERROR(F307),"",VLOOKUP(C307,INDIRECT($F$8),6+(O316-1)*3,0))</f>
        <v>AHT 303</v>
      </c>
      <c r="B316" s="41" t="str">
        <f ca="1">IF(ISERROR(F307),"",VLOOKUP(D307,INDIRECT($F$8),6+(O316-1)*3,0))</f>
        <v>Technical Communication Skills</v>
      </c>
      <c r="C316" s="41"/>
      <c r="D316" s="41"/>
      <c r="E316" s="41"/>
      <c r="F316" s="7">
        <f ca="1">IF(ISERROR(F307),"",VLOOKUP(E307,INDIRECT($F$8),6+(O316-1)*3,0))</f>
        <v>4</v>
      </c>
      <c r="G316" s="42" t="str">
        <f ca="1">IF(ISERROR(F307),"",_xlfn.TEXTJOIN("/",FALSE,P316,S316))</f>
        <v>61/100</v>
      </c>
      <c r="H316" s="42"/>
      <c r="I316" s="42" t="str">
        <f ca="1">IF(ISERROR(F307),"",_xlfn.TEXTJOIN("/",FALSE,Q316,T316))</f>
        <v>32/50</v>
      </c>
      <c r="J316" s="42"/>
      <c r="K316" s="42" t="str">
        <f ca="1">IF(ISERROR(F307),"",_xlfn.TEXTJOIN("/",FALSE,R316,U316))</f>
        <v>93/150</v>
      </c>
      <c r="L316" s="42"/>
      <c r="M316" s="7" t="str">
        <f ca="1">IF(ISERROR(F307),"",IF(ISTEXT(P316),IF(P316="A","Ab",IF(P316="D","Dt",IF(P316="UFM","UFM",IF(P316="NA","-")))),IF(AND(ISBLANK(P316),ISBLANK(R316)),"",IF(P316&lt;0.3*S316,"F",IF(ISBLANK(R316),"",IF(ISTEXT(R316),R316,IF(R316&gt;=0.95*U316,"O",IF(R316&gt;=0.9*U316,"A+",IF(R316&gt;=0.85*U316,"A",IF(R316&gt;=0.8*U316,"B+",IF(R316&gt;=0.75*U316,"B",IF(R316&gt;=0.7*U316,"C+",IF(R316&gt;=0.65*U316,"C",IF(R316&gt;=0.6*U316,"D+",IF(R316&gt;=0.55*U316,"D",IF(R316&gt;=0.5*U316,"E+",IF(R316&gt;=0.45*U316,"E",IF(R316&gt;=0.4*U316,"P",IF(R316&lt;0.4*U316,"F",R316)))))))))))))))))))</f>
        <v>D+</v>
      </c>
      <c r="N316" s="8">
        <f t="shared" ca="1" si="26"/>
        <v>6.5</v>
      </c>
      <c r="O316">
        <f t="shared" ref="O316:O325" si="27">O315+1</f>
        <v>5</v>
      </c>
      <c r="P316" s="1">
        <f ca="1">IF(ISERROR(F307),"",IF(ISTEXT(VLOOKUP(B307,INDIRECT($F$8),6+(O316-1)*3)),(VLOOKUP(B307,INDIRECT($F$8),6+(O316-1)*3)),SUM(VLOOKUP(B307,INDIRECT($F$8),6+(O316-1)*3),IF(W326,W316,0))))</f>
        <v>61</v>
      </c>
      <c r="Q316" s="1">
        <f ca="1">IF(ISERROR(F307),"",VLOOKUP(B307,INDIRECT($F$8),7+(O316-1)*3))</f>
        <v>32</v>
      </c>
      <c r="R316" s="1">
        <f ca="1">IF(ISERROR(F307),"",SUM(P316:Q316))</f>
        <v>93</v>
      </c>
      <c r="S316" s="1">
        <f ca="1">IF(ISERROR(F307),"",VLOOKUP(A307,INDIRECT($F$8),6+(O316-1)*3))</f>
        <v>100</v>
      </c>
      <c r="T316" s="1">
        <f ca="1">IF(ISERROR(F307),"",VLOOKUP(A307,INDIRECT($F$8),7+(O316-1)*3))</f>
        <v>50</v>
      </c>
      <c r="U316" s="1">
        <f ca="1">IF(ISERROR(F307),"",VLOOKUP(A307,INDIRECT($F$8),8+(O316-1)*3))</f>
        <v>150</v>
      </c>
      <c r="V316" s="1" t="str">
        <f ca="1">IF(ISERROR(F307),"",IF(N316=0,A316,""))</f>
        <v/>
      </c>
      <c r="W316" s="1">
        <f ca="1">IF(ISERROR(F307),"",IF(ISTEXT(VLOOKUP(B307,INDIRECT($F$8),6+(O316-1)*3)),11,IF(VLOOKUP(B307,INDIRECT($F$8),6+(O316-1)*3)&lt;S316*0.3,IF(VLOOKUP(B307,INDIRECT($F$8),8+(O316-1)*3)&lt;U316*0.4,IF(AND(0.4*U316-VLOOKUP(B307,INDIRECT($F$8),8+(O316-1)*3)&lt;=5,0.3*S316-VLOOKUP(B307,INDIRECT($F$8),6+(O316-1)*3)&lt;=5),MAX(0.4*U316-VLOOKUP(B307,INDIRECT($F$8),8+(O316-1)*3),0.3*S316-VLOOKUP(B307,INDIRECT($F$8),6+(O316-1)*3)),11),IF(0.3*S316-VLOOKUP(B307,INDIRECT($F$8),6+(O316-1)*3)&lt;=5,0.3*S316-VLOOKUP(B307,INDIRECT($F$8),6+(O316-1)*3),11)),IF(VLOOKUP(B307,INDIRECT($F$8),8+(O316-1)*3)&lt;U316*0.4,IF(U316*0.4-VLOOKUP(B307,INDIRECT($F$8),8+(O316-1)*3)&lt;=5,U316*0.4-VLOOKUP(B307,INDIRECT($F$8),8+(O316-1)*3),11),0))))</f>
        <v>0</v>
      </c>
      <c r="X316" s="1" t="str">
        <f ca="1">IF(ISERROR(F307),"",IF(W316=0,"",_xlfn.TEXTJOIN("",FALSE," G+",W316," in ",A316)))</f>
        <v/>
      </c>
    </row>
    <row r="317" spans="1:24" ht="11.25" customHeight="1" x14ac:dyDescent="0.2">
      <c r="A317" s="7" t="str">
        <f ca="1">IF(ISERROR(F307),"",VLOOKUP(C307,INDIRECT($F$8),6+(O317-1)*3,0))</f>
        <v>CAT 008</v>
      </c>
      <c r="B317" s="41" t="str">
        <f ca="1">IF(ISERROR(F307),"",VLOOKUP(D307,INDIRECT($F$8),6+(O317-1)*3,0))</f>
        <v>Python Programming ($)</v>
      </c>
      <c r="C317" s="41"/>
      <c r="D317" s="41"/>
      <c r="E317" s="41"/>
      <c r="F317" s="7">
        <f ca="1">IF(ISERROR(F307),"",VLOOKUP(E307,INDIRECT($F$8),6+(O317-1)*3,0))</f>
        <v>0</v>
      </c>
      <c r="G317" s="42" t="str">
        <f ca="1">IF(ISERROR(F307),"",_xlfn.TEXTJOIN("/",FALSE,P317,S317))</f>
        <v>14/30</v>
      </c>
      <c r="H317" s="42"/>
      <c r="I317" s="42" t="str">
        <f ca="1">IF(ISERROR(F307),"",_xlfn.TEXTJOIN("/",FALSE,Q317,T317))</f>
        <v>12/20</v>
      </c>
      <c r="J317" s="42"/>
      <c r="K317" s="42" t="str">
        <f ca="1">IF(ISERROR(F307),"",_xlfn.TEXTJOIN("/",FALSE,R317,U317))</f>
        <v>26/50</v>
      </c>
      <c r="L317" s="42"/>
      <c r="M317" s="7" t="str">
        <f ca="1">IF(ISERROR(F307),"",IF(ISTEXT(P317),IF(P317="A","Ab",IF(P317="D","Dt",IF(P317="UFM","UFM",IF(P317="NA","-")))),IF(AND(ISBLANK(P317),ISBLANK(R317)),"",IF(P317&lt;0.3*S317,"F",IF(ISBLANK(R317),"",IF(ISTEXT(R317),R317,IF(R317&gt;=0.95*U317,"O",IF(R317&gt;=0.9*U317,"A+",IF(R317&gt;=0.85*U317,"A",IF(R317&gt;=0.8*U317,"B+",IF(R317&gt;=0.75*U317,"B",IF(R317&gt;=0.7*U317,"C+",IF(R317&gt;=0.65*U317,"C",IF(R317&gt;=0.6*U317,"D+",IF(R317&gt;=0.55*U317,"D",IF(R317&gt;=0.5*U317,"E+",IF(R317&gt;=0.45*U317,"E",IF(R317&gt;=0.4*U317,"P",IF(R317&lt;0.4*U317,"F",R317)))))))))))))))))))</f>
        <v>E+</v>
      </c>
      <c r="N317" s="8">
        <f t="shared" ca="1" si="26"/>
        <v>5.5</v>
      </c>
      <c r="O317">
        <f t="shared" si="27"/>
        <v>6</v>
      </c>
      <c r="P317" s="1">
        <f ca="1">IF(ISERROR(F307),"",IF(ISTEXT(VLOOKUP(B307,INDIRECT($F$8),6+(O317-1)*3)),(VLOOKUP(B307,INDIRECT($F$8),6+(O317-1)*3)),SUM(VLOOKUP(B307,INDIRECT($F$8),6+(O317-1)*3),IF(W326,W317,0))))</f>
        <v>14</v>
      </c>
      <c r="Q317" s="1">
        <f ca="1">IF(ISERROR(F307),"",VLOOKUP(B307,INDIRECT($F$8),7+(O317-1)*3))</f>
        <v>12</v>
      </c>
      <c r="R317" s="1">
        <f ca="1">IF(ISERROR(F307),"",SUM(P317:Q317))</f>
        <v>26</v>
      </c>
      <c r="S317" s="1">
        <f ca="1">IF(ISERROR(F307),"",VLOOKUP(A307,INDIRECT($F$8),6+(O317-1)*3))</f>
        <v>30</v>
      </c>
      <c r="T317" s="1">
        <f ca="1">IF(ISERROR(F307),"",VLOOKUP(A307,INDIRECT($F$8),7+(O317-1)*3))</f>
        <v>20</v>
      </c>
      <c r="U317" s="1">
        <f ca="1">IF(ISERROR(F307),"",VLOOKUP(A307,INDIRECT($F$8),8+(O317-1)*3))</f>
        <v>50</v>
      </c>
      <c r="V317" s="1" t="str">
        <f ca="1">IF(ISERROR(F307),"",IF(N317=0,A317,""))</f>
        <v/>
      </c>
      <c r="W317" s="1">
        <f ca="1">IF(ISERROR(F307),"",IF(ISTEXT(VLOOKUP(B307,INDIRECT($F$8),6+(O317-1)*3)),11,IF(VLOOKUP(B307,INDIRECT($F$8),6+(O317-1)*3)&lt;S317*0.3,IF(VLOOKUP(B307,INDIRECT($F$8),8+(O317-1)*3)&lt;U317*0.4,IF(AND(0.4*U317-VLOOKUP(B307,INDIRECT($F$8),8+(O317-1)*3)&lt;=5,0.3*S317-VLOOKUP(B307,INDIRECT($F$8),6+(O317-1)*3)&lt;=5),MAX(0.4*U317-VLOOKUP(B307,INDIRECT($F$8),8+(O317-1)*3),0.3*S317-VLOOKUP(B307,INDIRECT($F$8),6+(O317-1)*3)),11),IF(0.3*S317-VLOOKUP(B307,INDIRECT($F$8),6+(O317-1)*3)&lt;=5,0.3*S317-VLOOKUP(B307,INDIRECT($F$8),6+(O317-1)*3),11)),IF(VLOOKUP(B307,INDIRECT($F$8),8+(O317-1)*3)&lt;U317*0.4,IF(U317*0.4-VLOOKUP(B307,INDIRECT($F$8),8+(O317-1)*3)&lt;=5,U317*0.4-VLOOKUP(B307,INDIRECT($F$8),8+(O317-1)*3),11),0))))</f>
        <v>0</v>
      </c>
      <c r="X317" s="1" t="str">
        <f ca="1">IF(ISERROR(F307),"",IF(W317=0,"",_xlfn.TEXTJOIN("",FALSE," G+",W317," in ",A317)))</f>
        <v/>
      </c>
    </row>
    <row r="318" spans="1:24" ht="11.25" customHeight="1" x14ac:dyDescent="0.2">
      <c r="A318" s="7" t="str">
        <f ca="1">IF(ISERROR(F307),"",VLOOKUP(C307,INDIRECT($F$8),6+(O318-1)*3,0))</f>
        <v>CAT 001</v>
      </c>
      <c r="B318" s="41" t="str">
        <f ca="1">IF(ISERROR(F307),"",VLOOKUP(D307,INDIRECT($F$8),6+(O318-1)*3,0))</f>
        <v>Introduction of Information Technology ($)</v>
      </c>
      <c r="C318" s="41"/>
      <c r="D318" s="41"/>
      <c r="E318" s="41"/>
      <c r="F318" s="7">
        <f ca="1">IF(ISERROR(F307),"",VLOOKUP(E307,INDIRECT($F$8),6+(O318-1)*3,0))</f>
        <v>0</v>
      </c>
      <c r="G318" s="42" t="str">
        <f ca="1">IF(ISERROR(F307),"",_xlfn.TEXTJOIN("/",FALSE,P318,S318))</f>
        <v>NA/30</v>
      </c>
      <c r="H318" s="42"/>
      <c r="I318" s="42" t="str">
        <f ca="1">IF(ISERROR(F307),"",_xlfn.TEXTJOIN("/",FALSE,Q318,T318))</f>
        <v>NA/20</v>
      </c>
      <c r="J318" s="42"/>
      <c r="K318" s="42" t="str">
        <f ca="1">IF(ISERROR(F307),"",_xlfn.TEXTJOIN("/",FALSE,R318,U318))</f>
        <v>0/50</v>
      </c>
      <c r="L318" s="42"/>
      <c r="M318" s="7" t="str">
        <f ca="1">IF(ISERROR(F307),"",IF(ISTEXT(P318),IF(P318="A","Ab",IF(P318="D","Dt",IF(P318="UFM","UFM",IF(P318="NA","-")))),IF(AND(ISBLANK(P318),ISBLANK(R318)),"",IF(P318&lt;0.3*S318,"F",IF(ISBLANK(R318),"",IF(ISTEXT(R318),R318,IF(R318&gt;=0.95*U318,"O",IF(R318&gt;=0.9*U318,"A+",IF(R318&gt;=0.85*U318,"A",IF(R318&gt;=0.8*U318,"B+",IF(R318&gt;=0.75*U318,"B",IF(R318&gt;=0.7*U318,"C+",IF(R318&gt;=0.65*U318,"C",IF(R318&gt;=0.6*U318,"D+",IF(R318&gt;=0.55*U318,"D",IF(R318&gt;=0.5*U318,"E+",IF(R318&gt;=0.45*U318,"E",IF(R318&gt;=0.4*U318,"P",IF(R318&lt;0.4*U318,"F",R318)))))))))))))))))))</f>
        <v>-</v>
      </c>
      <c r="N318" s="8" t="str">
        <f t="shared" ca="1" si="26"/>
        <v>-</v>
      </c>
      <c r="O318">
        <f t="shared" si="27"/>
        <v>7</v>
      </c>
      <c r="P318" s="1" t="str">
        <f ca="1">IF(ISERROR(F307),"",IF(ISTEXT(VLOOKUP(B307,INDIRECT($F$8),6+(O318-1)*3)),(VLOOKUP(B307,INDIRECT($F$8),6+(O318-1)*3)),SUM(VLOOKUP(B307,INDIRECT($F$8),6+(O318-1)*3),IF(W326,W318,0))))</f>
        <v>NA</v>
      </c>
      <c r="Q318" s="1" t="str">
        <f ca="1">IF(ISERROR(F307),"",VLOOKUP(B307,INDIRECT($F$8),7+(O318-1)*3))</f>
        <v>NA</v>
      </c>
      <c r="R318" s="1">
        <f ca="1">IF(ISERROR(F307),"",SUM(P318:Q318))</f>
        <v>0</v>
      </c>
      <c r="S318" s="1">
        <f ca="1">IF(ISERROR(F307),"",VLOOKUP(A307,INDIRECT($F$8),6+(O318-1)*3))</f>
        <v>30</v>
      </c>
      <c r="T318" s="1">
        <f ca="1">IF(ISERROR(F307),"",VLOOKUP(A307,INDIRECT($F$8),7+(O318-1)*3))</f>
        <v>20</v>
      </c>
      <c r="U318" s="1">
        <f ca="1">IF(ISERROR(F307),"",VLOOKUP(A307,INDIRECT($F$8),8+(O318-1)*3))</f>
        <v>50</v>
      </c>
      <c r="V318" s="1" t="str">
        <f ca="1">IF(ISERROR(F307),"",IF(N318=0,A318,""))</f>
        <v/>
      </c>
      <c r="W318" s="1">
        <f ca="1">IF(ISERROR(F307),"",IF(ISTEXT(VLOOKUP(B307,INDIRECT($F$8),6+(O318-1)*3)),11,IF(VLOOKUP(B307,INDIRECT($F$8),6+(O318-1)*3)&lt;S318*0.3,IF(VLOOKUP(B307,INDIRECT($F$8),8+(O318-1)*3)&lt;U318*0.4,IF(AND(0.4*U318-VLOOKUP(B307,INDIRECT($F$8),8+(O318-1)*3)&lt;=5,0.3*S318-VLOOKUP(B307,INDIRECT($F$8),6+(O318-1)*3)&lt;=5),MAX(0.4*U318-VLOOKUP(B307,INDIRECT($F$8),8+(O318-1)*3),0.3*S318-VLOOKUP(B307,INDIRECT($F$8),6+(O318-1)*3)),11),IF(0.3*S318-VLOOKUP(B307,INDIRECT($F$8),6+(O318-1)*3)&lt;=5,0.3*S318-VLOOKUP(B307,INDIRECT($F$8),6+(O318-1)*3),11)),IF(VLOOKUP(B307,INDIRECT($F$8),8+(O318-1)*3)&lt;U318*0.4,IF(U318*0.4-VLOOKUP(B307,INDIRECT($F$8),8+(O318-1)*3)&lt;=5,U318*0.4-VLOOKUP(B307,INDIRECT($F$8),8+(O318-1)*3),11),0))))</f>
        <v>11</v>
      </c>
      <c r="X318" s="1" t="str">
        <f ca="1">IF(ISERROR(F307),"",IF(W318=0,"",_xlfn.TEXTJOIN("",FALSE," G+",W318," in ",A318)))</f>
        <v xml:space="preserve"> G+11 in CAT 001</v>
      </c>
    </row>
    <row r="319" spans="1:24" ht="11.25" customHeight="1" x14ac:dyDescent="0.2">
      <c r="A319" s="7" t="str">
        <f ca="1">IF(ISERROR(F307),"",VLOOKUP(C307,INDIRECT($F$8),6+(O319-1)*3,0))</f>
        <v>CAT 002</v>
      </c>
      <c r="B319" s="41" t="str">
        <f ca="1">IF(ISERROR(F307),"",VLOOKUP(D307,INDIRECT($F$8),6+(O319-1)*3,0))</f>
        <v>Programming Fundamentals with "C" ($)</v>
      </c>
      <c r="C319" s="41"/>
      <c r="D319" s="41"/>
      <c r="E319" s="41"/>
      <c r="F319" s="7">
        <f ca="1">IF(ISERROR(F307),"",VLOOKUP(E307,INDIRECT($F$8),6+(O319-1)*3,0))</f>
        <v>0</v>
      </c>
      <c r="G319" s="42" t="str">
        <f ca="1">IF(ISERROR(F307),"",_xlfn.TEXTJOIN("/",FALSE,P319,S319))</f>
        <v>NA/30</v>
      </c>
      <c r="H319" s="42"/>
      <c r="I319" s="42" t="str">
        <f ca="1">IF(ISERROR(F307),"",_xlfn.TEXTJOIN("/",FALSE,Q319,T319))</f>
        <v>NA/20</v>
      </c>
      <c r="J319" s="42"/>
      <c r="K319" s="42" t="str">
        <f ca="1">IF(ISERROR(F307),"",_xlfn.TEXTJOIN("/",FALSE,R319,U319))</f>
        <v>0/50</v>
      </c>
      <c r="L319" s="42"/>
      <c r="M319" s="7" t="str">
        <f ca="1">IF(ISERROR(F307),"",IF(ISTEXT(P319),IF(P319="A","Ab",IF(P319="D","Dt",IF(P319="UFM","UFM",IF(P319="NA","-")))),IF(AND(ISBLANK(P319),ISBLANK(R319)),"",IF(P319&lt;0.3*S319,"F",IF(ISBLANK(R319),"",IF(ISTEXT(R319),R319,IF(R319&gt;=0.95*U319,"O",IF(R319&gt;=0.9*U319,"A+",IF(R319&gt;=0.85*U319,"A",IF(R319&gt;=0.8*U319,"B+",IF(R319&gt;=0.75*U319,"B",IF(R319&gt;=0.7*U319,"C+",IF(R319&gt;=0.65*U319,"C",IF(R319&gt;=0.6*U319,"D+",IF(R319&gt;=0.55*U319,"D",IF(R319&gt;=0.5*U319,"E+",IF(R319&gt;=0.45*U319,"E",IF(R319&gt;=0.4*U319,"P",IF(R319&lt;0.4*U319,"F",R319)))))))))))))))))))</f>
        <v>-</v>
      </c>
      <c r="N319" s="8" t="str">
        <f t="shared" ca="1" si="26"/>
        <v>-</v>
      </c>
      <c r="O319">
        <f t="shared" si="27"/>
        <v>8</v>
      </c>
      <c r="P319" s="1" t="str">
        <f ca="1">IF(ISERROR(F307),"",IF(ISTEXT(VLOOKUP(B307,INDIRECT($F$8),6+(O319-1)*3)),(VLOOKUP(B307,INDIRECT($F$8),6+(O319-1)*3)),SUM(VLOOKUP(B307,INDIRECT($F$8),6+(O319-1)*3),IF(W326,W319,0))))</f>
        <v>NA</v>
      </c>
      <c r="Q319" s="1" t="str">
        <f ca="1">IF(ISERROR(F307),"",VLOOKUP(B307,INDIRECT($F$8),7+(O319-1)*3))</f>
        <v>NA</v>
      </c>
      <c r="R319" s="1">
        <f ca="1">IF(ISERROR(F307),"",SUM(P319:Q319))</f>
        <v>0</v>
      </c>
      <c r="S319" s="1">
        <f ca="1">IF(ISERROR(F307),"",VLOOKUP(A307,INDIRECT($F$8),6+(O319-1)*3))</f>
        <v>30</v>
      </c>
      <c r="T319" s="1">
        <f ca="1">IF(ISERROR(F307),"",VLOOKUP(A307,INDIRECT($F$8),7+(O319-1)*3))</f>
        <v>20</v>
      </c>
      <c r="U319" s="1">
        <f ca="1">IF(ISERROR(F307),"",VLOOKUP(A307,INDIRECT($F$8),8+(O319-1)*3))</f>
        <v>50</v>
      </c>
      <c r="V319" s="1" t="str">
        <f ca="1">IF(ISERROR(F307),"",IF(N319=0,A319,""))</f>
        <v/>
      </c>
      <c r="W319" s="1">
        <f ca="1">IF(ISERROR(F307),"",IF(ISTEXT(VLOOKUP(B307,INDIRECT($F$8),6+(O319-1)*3)),11,IF(VLOOKUP(B307,INDIRECT($F$8),6+(O319-1)*3)&lt;S319*0.3,IF(VLOOKUP(B307,INDIRECT($F$8),8+(O319-1)*3)&lt;U319*0.4,IF(AND(0.4*U319-VLOOKUP(B307,INDIRECT($F$8),8+(O319-1)*3)&lt;=5,0.3*S319-VLOOKUP(B307,INDIRECT($F$8),6+(O319-1)*3)&lt;=5),MAX(0.4*U319-VLOOKUP(B307,INDIRECT($F$8),8+(O319-1)*3),0.3*S319-VLOOKUP(B307,INDIRECT($F$8),6+(O319-1)*3)),11),IF(0.3*S319-VLOOKUP(B307,INDIRECT($F$8),6+(O319-1)*3)&lt;=5,0.3*S319-VLOOKUP(B307,INDIRECT($F$8),6+(O319-1)*3),11)),IF(VLOOKUP(B307,INDIRECT($F$8),8+(O319-1)*3)&lt;U319*0.4,IF(U319*0.4-VLOOKUP(B307,INDIRECT($F$8),8+(O319-1)*3)&lt;=5,U319*0.4-VLOOKUP(B307,INDIRECT($F$8),8+(O319-1)*3),11),0))))</f>
        <v>11</v>
      </c>
      <c r="X319" s="1" t="str">
        <f ca="1">IF(ISERROR(F307),"",IF(W319=0,"",_xlfn.TEXTJOIN("",FALSE," G+",W319," in ",A319)))</f>
        <v xml:space="preserve"> G+11 in CAT 002</v>
      </c>
    </row>
    <row r="320" spans="1:24" ht="11.25" customHeight="1" x14ac:dyDescent="0.2">
      <c r="A320" s="7" t="str">
        <f ca="1">IF(ISERROR(F307),"",VLOOKUP(C307,INDIRECT($F$8),6+(O320-1)*3,0))</f>
        <v>CAT 003</v>
      </c>
      <c r="B320" s="41" t="str">
        <f ca="1">IF(ISERROR(F307),"",VLOOKUP(D307,INDIRECT($F$8),6+(O320-1)*3-Z320,0))</f>
        <v>Fundamental of Web Technology ($)</v>
      </c>
      <c r="C320" s="41"/>
      <c r="D320" s="41"/>
      <c r="E320" s="41"/>
      <c r="F320" s="7">
        <f ca="1">IF(ISERROR(F307),"",VLOOKUP(E307,INDIRECT($F$8),6+(O320-1)*3,0))</f>
        <v>0</v>
      </c>
      <c r="G320" s="42" t="str">
        <f ca="1">IF(ISERROR(F307),"",_xlfn.TEXTJOIN("/",FALSE,P320,S320))</f>
        <v>NA/30</v>
      </c>
      <c r="H320" s="42"/>
      <c r="I320" s="42" t="str">
        <f ca="1">IF(ISERROR(F307),"",_xlfn.TEXTJOIN("/",FALSE,Q320,T320))</f>
        <v>NA/20</v>
      </c>
      <c r="J320" s="42"/>
      <c r="K320" s="42" t="str">
        <f ca="1">IF(ISERROR(F307),"",_xlfn.TEXTJOIN("/",FALSE,R320,U320))</f>
        <v>0/50</v>
      </c>
      <c r="L320" s="42"/>
      <c r="M320" s="7" t="str">
        <f ca="1">IF(ISERROR(F307),"",IF(ISTEXT(P320),IF(P320="A","Ab",IF(P320="D","Dt",IF(P320="UFM","UFM",IF(P320="NA","-")))),IF(AND(ISBLANK(P320),ISBLANK(R320)),"",IF(P320&lt;0.3*S320,"F",IF(ISBLANK(R320),"",IF(ISTEXT(R320),R320,IF(R320&gt;=0.95*U320,"O",IF(R320&gt;=0.9*U320,"A+",IF(R320&gt;=0.85*U320,"A",IF(R320&gt;=0.8*U320,"B+",IF(R320&gt;=0.75*U320,"B",IF(R320&gt;=0.7*U320,"C+",IF(R320&gt;=0.65*U320,"C",IF(R320&gt;=0.6*U320,"D+",IF(R320&gt;=0.55*U320,"D",IF(R320&gt;=0.5*U320,"E+",IF(R320&gt;=0.45*U320,"E",IF(R320&gt;=0.4*U320,"P",IF(R320&lt;0.4*U320,"F",R320)))))))))))))))))))</f>
        <v>-</v>
      </c>
      <c r="N320" s="8" t="str">
        <f t="shared" ca="1" si="26"/>
        <v>-</v>
      </c>
      <c r="O320">
        <f t="shared" si="27"/>
        <v>9</v>
      </c>
      <c r="P320" s="1" t="str">
        <f ca="1">IF(ISERROR(F307),"",IF(ISTEXT(VLOOKUP(B307,INDIRECT($F$8),6+(O320-1)*3)),(VLOOKUP(B307,INDIRECT($F$8),6+(O320-1)*3)),SUM(VLOOKUP(B307,INDIRECT($F$8),6+(O320-1)*3),IF(W326,W320,0))))</f>
        <v>NA</v>
      </c>
      <c r="Q320" s="1" t="str">
        <f ca="1">IF(ISERROR(F307),"",VLOOKUP(B307,INDIRECT($F$8),7+(O320-1)*3))</f>
        <v>NA</v>
      </c>
      <c r="R320" s="1">
        <f ca="1">IF(ISERROR(F307),"",SUM(P320:Q320))</f>
        <v>0</v>
      </c>
      <c r="S320" s="1">
        <f ca="1">IF(ISERROR(F307),"",VLOOKUP(A307,INDIRECT($F$8),6+(O320-1)*3))</f>
        <v>30</v>
      </c>
      <c r="T320" s="1">
        <f ca="1">IF(ISERROR(F307),"",VLOOKUP(A307,INDIRECT($F$8),7+(O320-1)*3))</f>
        <v>20</v>
      </c>
      <c r="U320" s="1">
        <f ca="1">IF(ISERROR(F307),"",VLOOKUP(A307,INDIRECT($F$8),8+(O320-1)*3))</f>
        <v>50</v>
      </c>
      <c r="V320" s="1" t="str">
        <f ca="1">IF(ISERROR(F307),"",IF(N320=0,A320,""))</f>
        <v/>
      </c>
      <c r="W320" s="1">
        <f ca="1">IF(ISERROR(F307),"",IF(ISTEXT(VLOOKUP(B307,INDIRECT($F$8),6+(O320-1)*3)),11,IF(VLOOKUP(B307,INDIRECT($F$8),6+(O320-1)*3)&lt;S320*0.3,IF(VLOOKUP(B307,INDIRECT($F$8),8+(O320-1)*3)&lt;U320*0.4,IF(AND(0.4*U320-VLOOKUP(B307,INDIRECT($F$8),8+(O320-1)*3)&lt;=5,0.3*S320-VLOOKUP(B307,INDIRECT($F$8),6+(O320-1)*3)&lt;=5),MAX(0.4*U320-VLOOKUP(B307,INDIRECT($F$8),8+(O320-1)*3),0.3*S320-VLOOKUP(B307,INDIRECT($F$8),6+(O320-1)*3)),11),IF(0.3*S320-VLOOKUP(B307,INDIRECT($F$8),6+(O320-1)*3)&lt;=5,0.3*S320-VLOOKUP(B307,INDIRECT($F$8),6+(O320-1)*3),11)),IF(VLOOKUP(B307,INDIRECT($F$8),8+(O320-1)*3)&lt;U320*0.4,IF(U320*0.4-VLOOKUP(B307,INDIRECT($F$8),8+(O320-1)*3)&lt;=5,U320*0.4-VLOOKUP(B307,INDIRECT($F$8),8+(O320-1)*3),11),0))))</f>
        <v>11</v>
      </c>
      <c r="X320" s="1" t="str">
        <f ca="1">IF(ISERROR(F307),"",IF(W320=0,"",_xlfn.TEXTJOIN("",FALSE," G+",W320," in ",A320)))</f>
        <v xml:space="preserve"> G+11 in CAT 003</v>
      </c>
    </row>
    <row r="321" spans="1:24" ht="11.25" customHeight="1" x14ac:dyDescent="0.2">
      <c r="A321" s="7" t="str">
        <f ca="1">IF(ISERROR(F307),"",VLOOKUP(C307,INDIRECT($F$8),6+(O321-1)*3,0))</f>
        <v>CAP 001</v>
      </c>
      <c r="B321" s="41" t="str">
        <f ca="1">IF(ISERROR(F307),"",VLOOKUP(D307,INDIRECT($F$8),6+(O321-1)*3-Z321,0))</f>
        <v>Database Management System Lab</v>
      </c>
      <c r="C321" s="41"/>
      <c r="D321" s="41"/>
      <c r="E321" s="41"/>
      <c r="F321" s="7">
        <f ca="1">IF(ISERROR(F307),"",VLOOKUP(E307,INDIRECT($F$8),6+(O321-1)*3,0))</f>
        <v>1</v>
      </c>
      <c r="G321" s="42" t="str">
        <f ca="1">IF(ISERROR(F307),"",_xlfn.TEXTJOIN("/",FALSE,P321,S321))</f>
        <v>24/30</v>
      </c>
      <c r="H321" s="42"/>
      <c r="I321" s="42" t="str">
        <f ca="1">IF(ISERROR(F307),"",_xlfn.TEXTJOIN("/",FALSE,Q321,T321))</f>
        <v>14/20</v>
      </c>
      <c r="J321" s="42"/>
      <c r="K321" s="42" t="str">
        <f ca="1">IF(ISERROR(F307),"",_xlfn.TEXTJOIN("/",FALSE,R321,U321))</f>
        <v>38/50</v>
      </c>
      <c r="L321" s="42"/>
      <c r="M321" s="7" t="str">
        <f ca="1">IF(ISERROR(F307),"",IF(ISTEXT(P321),IF(P321="A","Ab",IF(P321="D","Dt",IF(P321="UFM","UFM",IF(P321="NA","-")))),IF(AND(ISBLANK(P321),ISBLANK(R321)),"",IF(P321&lt;0.3*S321,"F",IF(ISBLANK(R321),"",IF(ISTEXT(R321),R321,IF(R321&gt;=0.95*U321,"O",IF(R321&gt;=0.9*U321,"A+",IF(R321&gt;=0.85*U321,"A",IF(R321&gt;=0.8*U321,"B+",IF(R321&gt;=0.75*U321,"B",IF(R321&gt;=0.7*U321,"C+",IF(R321&gt;=0.65*U321,"C",IF(R321&gt;=0.6*U321,"D+",IF(R321&gt;=0.55*U321,"D",IF(R321&gt;=0.5*U321,"E+",IF(R321&gt;=0.45*U321,"E",IF(R321&gt;=0.4*U321,"P",IF(R321&lt;0.4*U321,"F",R321)))))))))))))))))))</f>
        <v>B</v>
      </c>
      <c r="N321" s="8">
        <f t="shared" ca="1" si="26"/>
        <v>8</v>
      </c>
      <c r="O321">
        <f t="shared" si="27"/>
        <v>10</v>
      </c>
      <c r="P321" s="1">
        <f ca="1">IF(ISERROR(F307),"",IF(ISTEXT(VLOOKUP(B307,INDIRECT($F$8),6+(O321-1)*3)),(VLOOKUP(B307,INDIRECT($F$8),6+(O321-1)*3)),SUM(VLOOKUP(B307,INDIRECT($F$8),6+(O321-1)*3),IF(W326,W321,0))))</f>
        <v>24</v>
      </c>
      <c r="Q321" s="1">
        <f ca="1">IF(ISERROR(F307),"",VLOOKUP(B307,INDIRECT($F$8),7+(O321-1)*3))</f>
        <v>14</v>
      </c>
      <c r="R321" s="1">
        <f ca="1">IF(ISERROR(F307),"",SUM(P321:Q321))</f>
        <v>38</v>
      </c>
      <c r="S321" s="1">
        <f ca="1">IF(ISERROR(F307),"",VLOOKUP(A307,INDIRECT($F$8),6+(O321-1)*3))</f>
        <v>30</v>
      </c>
      <c r="T321" s="1">
        <f ca="1">IF(ISERROR(F307),"",VLOOKUP(A307,INDIRECT($F$8),7+(O321-1)*3))</f>
        <v>20</v>
      </c>
      <c r="U321" s="1">
        <f ca="1">IF(ISERROR(F307),"",VLOOKUP(A307,INDIRECT($F$8),8+(O321-1)*3))</f>
        <v>50</v>
      </c>
      <c r="V321" s="1" t="str">
        <f ca="1">IF(ISERROR(F307),"",IF(N321=0,A321,""))</f>
        <v/>
      </c>
      <c r="W321" s="1">
        <f ca="1">IF(ISERROR(F307),"",IF(ISTEXT(VLOOKUP(B307,INDIRECT($F$8),6+(O321-1)*3)),11,IF(VLOOKUP(B307,INDIRECT($F$8),6+(O321-1)*3)&lt;S321*0.3,IF(VLOOKUP(B307,INDIRECT($F$8),8+(O321-1)*3)&lt;U321*0.4,IF(AND(0.4*U321-VLOOKUP(B307,INDIRECT($F$8),8+(O321-1)*3)&lt;=5,0.3*S321-VLOOKUP(B307,INDIRECT($F$8),6+(O321-1)*3)&lt;=5),MAX(0.4*U321-VLOOKUP(B307,INDIRECT($F$8),8+(O321-1)*3),0.3*S321-VLOOKUP(B307,INDIRECT($F$8),6+(O321-1)*3)),11),IF(0.3*S321-VLOOKUP(B307,INDIRECT($F$8),6+(O321-1)*3)&lt;=5,0.3*S321-VLOOKUP(B307,INDIRECT($F$8),6+(O321-1)*3),11)),IF(VLOOKUP(B307,INDIRECT($F$8),8+(O321-1)*3)&lt;U321*0.4,IF(U321*0.4-VLOOKUP(B307,INDIRECT($F$8),8+(O321-1)*3)&lt;=5,U321*0.4-VLOOKUP(B307,INDIRECT($F$8),8+(O321-1)*3),11),0))))</f>
        <v>0</v>
      </c>
      <c r="X321" s="1" t="str">
        <f ca="1">IF(ISERROR(F307),"",IF(W321=0,"",_xlfn.TEXTJOIN("",FALSE," G+",W321," in ",A321)))</f>
        <v/>
      </c>
    </row>
    <row r="322" spans="1:24" ht="11.25" customHeight="1" x14ac:dyDescent="0.2">
      <c r="A322" s="7" t="str">
        <f ca="1">IF(ISERROR(F307),"",VLOOKUP(C307,INDIRECT($F$8),6+(O322-1)*3,0))</f>
        <v>CAP 002</v>
      </c>
      <c r="B322" s="41" t="str">
        <f ca="1">IF(ISERROR(F307),"",VLOOKUP(D307,INDIRECT($F$8),6+(O322-1)*3,0))</f>
        <v>Operating System Lab</v>
      </c>
      <c r="C322" s="41"/>
      <c r="D322" s="41"/>
      <c r="E322" s="41"/>
      <c r="F322" s="7">
        <f ca="1">IF(ISERROR(F307),"",VLOOKUP(E307,INDIRECT($F$8),6+(O322-1)*3,0))</f>
        <v>1</v>
      </c>
      <c r="G322" s="42" t="str">
        <f ca="1">IF(ISERROR(F307),"",_xlfn.TEXTJOIN("/",FALSE,P322,S322))</f>
        <v>24/30</v>
      </c>
      <c r="H322" s="42"/>
      <c r="I322" s="42" t="str">
        <f ca="1">IF(ISERROR(F307),"",_xlfn.TEXTJOIN("/",FALSE,Q322,T322))</f>
        <v>16/20</v>
      </c>
      <c r="J322" s="42"/>
      <c r="K322" s="42" t="str">
        <f ca="1">IF(ISERROR(F307),"",_xlfn.TEXTJOIN("/",FALSE,R322,U322))</f>
        <v>40/50</v>
      </c>
      <c r="L322" s="42"/>
      <c r="M322" s="7" t="str">
        <f ca="1">IF(ISERROR(F307),"",IF(ISTEXT(P322),IF(P322="A","Ab",IF(P322="D","Dt",IF(P322="UFM","UFM",IF(P322="NA","-")))),IF(AND(ISBLANK(P322),ISBLANK(R322)),"",IF(P322&lt;0.3*S322,"F",IF(ISBLANK(R322),"",IF(ISTEXT(R322),R322,IF(R322&gt;=0.95*U322,"O",IF(R322&gt;=0.9*U322,"A+",IF(R322&gt;=0.85*U322,"A",IF(R322&gt;=0.8*U322,"B+",IF(R322&gt;=0.75*U322,"B",IF(R322&gt;=0.7*U322,"C+",IF(R322&gt;=0.65*U322,"C",IF(R322&gt;=0.6*U322,"D+",IF(R322&gt;=0.55*U322,"D",IF(R322&gt;=0.5*U322,"E+",IF(R322&gt;=0.45*U322,"E",IF(R322&gt;=0.4*U322,"P",IF(R322&lt;0.4*U322,"F",R322)))))))))))))))))))</f>
        <v>B+</v>
      </c>
      <c r="N322" s="8">
        <f t="shared" ca="1" si="26"/>
        <v>8.5</v>
      </c>
      <c r="O322">
        <f t="shared" si="27"/>
        <v>11</v>
      </c>
      <c r="P322" s="1">
        <f ca="1">IF(ISERROR(F307),"",IF(ISTEXT(VLOOKUP(B307,INDIRECT($F$8),6+(O322-1)*3)),(VLOOKUP(B307,INDIRECT($F$8),6+(O322-1)*3)),SUM(VLOOKUP(B307,INDIRECT($F$8),6+(O322-1)*3),IF(W326,W322,0))))</f>
        <v>24</v>
      </c>
      <c r="Q322" s="1">
        <f ca="1">IF(ISERROR(F307),"",VLOOKUP(B307,INDIRECT($F$8),7+(O322-1)*3))</f>
        <v>16</v>
      </c>
      <c r="R322" s="1">
        <f ca="1">IF(ISERROR(F307),"",SUM(P322:Q322))</f>
        <v>40</v>
      </c>
      <c r="S322" s="1">
        <f ca="1">IF(ISERROR(F307),"",VLOOKUP(A307,INDIRECT($F$8),6+(O322-1)*3))</f>
        <v>30</v>
      </c>
      <c r="T322" s="1">
        <f ca="1">IF(ISERROR(F307),"",VLOOKUP(A307,INDIRECT($F$8),7+(O322-1)*3))</f>
        <v>20</v>
      </c>
      <c r="U322" s="1">
        <f ca="1">IF(ISERROR(F307),"",VLOOKUP(A307,INDIRECT($F$8),8+(O322-1)*3))</f>
        <v>50</v>
      </c>
      <c r="V322" s="1" t="str">
        <f ca="1">IF(ISERROR(F307),"",IF(N322=0,A322,""))</f>
        <v/>
      </c>
      <c r="W322" s="1">
        <f ca="1">IF(ISERROR(F307),"",IF(ISTEXT(VLOOKUP(B307,INDIRECT($F$8),6+(O322-1)*3)),11,IF(VLOOKUP(B307,INDIRECT($F$8),6+(O322-1)*3)&lt;S322*0.3,IF(VLOOKUP(B307,INDIRECT($F$8),8+(O322-1)*3)&lt;U322*0.4,IF(AND(0.4*U322-VLOOKUP(B307,INDIRECT($F$8),8+(O322-1)*3)&lt;=5,0.3*S322-VLOOKUP(B307,INDIRECT($F$8),6+(O322-1)*3)&lt;=5),MAX(0.4*U322-VLOOKUP(B307,INDIRECT($F$8),8+(O322-1)*3),0.3*S322-VLOOKUP(B307,INDIRECT($F$8),6+(O322-1)*3)),11),IF(0.3*S322-VLOOKUP(B307,INDIRECT($F$8),6+(O322-1)*3)&lt;=5,0.3*S322-VLOOKUP(B307,INDIRECT($F$8),6+(O322-1)*3),11)),IF(VLOOKUP(B307,INDIRECT($F$8),8+(O322-1)*3)&lt;U322*0.4,IF(U322*0.4-VLOOKUP(B307,INDIRECT($F$8),8+(O322-1)*3)&lt;=5,U322*0.4-VLOOKUP(B307,INDIRECT($F$8),8+(O322-1)*3),11),0))))</f>
        <v>0</v>
      </c>
      <c r="X322" s="1" t="str">
        <f ca="1">IF(ISERROR(F307),"",IF(W322=0,"",_xlfn.TEXTJOIN("",FALSE," G+",W322," in ",A322)))</f>
        <v/>
      </c>
    </row>
    <row r="323" spans="1:24" ht="11.25" customHeight="1" x14ac:dyDescent="0.2">
      <c r="A323" s="7" t="str">
        <f ca="1">IF(ISERROR(F307),"",VLOOKUP(C307,INDIRECT($F$8),6+(O323-1)*3,0))</f>
        <v>CAP 003</v>
      </c>
      <c r="B323" s="41" t="str">
        <f ca="1">IF(ISERROR(F307),"",VLOOKUP(D307,INDIRECT($F$8),6+(O323-1)*3,0))</f>
        <v>Computer Organization Lab</v>
      </c>
      <c r="C323" s="41"/>
      <c r="D323" s="41"/>
      <c r="E323" s="41"/>
      <c r="F323" s="7">
        <f ca="1">IF(ISERROR(F307),"",VLOOKUP(E307,INDIRECT($F$8),6+(O323-1)*3,0))</f>
        <v>1</v>
      </c>
      <c r="G323" s="42" t="str">
        <f ca="1">IF(ISERROR(F307),"",_xlfn.TEXTJOIN("/",FALSE,P323,S323))</f>
        <v>23/30</v>
      </c>
      <c r="H323" s="42"/>
      <c r="I323" s="42" t="str">
        <f ca="1">IF(ISERROR(F307),"",_xlfn.TEXTJOIN("/",FALSE,Q323,T323))</f>
        <v>19/20</v>
      </c>
      <c r="J323" s="42"/>
      <c r="K323" s="42" t="str">
        <f ca="1">IF(ISERROR(F307),"",_xlfn.TEXTJOIN("/",FALSE,R323,U323))</f>
        <v>42/50</v>
      </c>
      <c r="L323" s="42"/>
      <c r="M323" s="7" t="str">
        <f ca="1">IF(ISERROR(F307),"",IF(ISTEXT(P323),IF(P323="A","Ab",IF(P323="D","Dt",IF(P323="UFM","UFM",IF(P323="NA","-")))),IF(AND(ISBLANK(P323),ISBLANK(R323)),"",IF(P323&lt;0.3*S323,"F",IF(ISBLANK(R323),"",IF(ISTEXT(R323),R323,IF(R323&gt;=0.95*U323,"O",IF(R323&gt;=0.9*U323,"A+",IF(R323&gt;=0.85*U323,"A",IF(R323&gt;=0.8*U323,"B+",IF(R323&gt;=0.75*U323,"B",IF(R323&gt;=0.7*U323,"C+",IF(R323&gt;=0.65*U323,"C",IF(R323&gt;=0.6*U323,"D+",IF(R323&gt;=0.55*U323,"D",IF(R323&gt;=0.5*U323,"E+",IF(R323&gt;=0.45*U323,"E",IF(R323&gt;=0.4*U323,"P",IF(R323&lt;0.4*U323,"F",R323)))))))))))))))))))</f>
        <v>B+</v>
      </c>
      <c r="N323" s="8">
        <f t="shared" ca="1" si="26"/>
        <v>8.5</v>
      </c>
      <c r="O323">
        <f t="shared" si="27"/>
        <v>12</v>
      </c>
      <c r="P323" s="1">
        <f ca="1">IF(ISERROR(F307),"",IF(ISTEXT(VLOOKUP(B307,INDIRECT($F$8),6+(O323-1)*3)),(VLOOKUP(B307,INDIRECT($F$8),6+(O323-1)*3)),SUM(VLOOKUP(B307,INDIRECT($F$8),6+(O323-1)*3),IF(W326,W323,0))))</f>
        <v>23</v>
      </c>
      <c r="Q323" s="1">
        <f ca="1">IF(ISERROR(F307),"",VLOOKUP(B307,INDIRECT($F$8),7+(O323-1)*3))</f>
        <v>19</v>
      </c>
      <c r="R323" s="1">
        <f ca="1">IF(ISERROR(F307),"",SUM(P323:Q323))</f>
        <v>42</v>
      </c>
      <c r="S323" s="1">
        <f ca="1">IF(ISERROR(F307),"",VLOOKUP(A307,INDIRECT($F$8),6+(O323-1)*3))</f>
        <v>30</v>
      </c>
      <c r="T323" s="1">
        <f ca="1">IF(ISERROR(F307),"",VLOOKUP(A307,INDIRECT($F$8),7+(O323-1)*3))</f>
        <v>20</v>
      </c>
      <c r="U323" s="1">
        <f ca="1">IF(ISERROR(F307),"",VLOOKUP(A307,INDIRECT($F$8),8+(O323-1)*3))</f>
        <v>50</v>
      </c>
      <c r="V323" s="1" t="str">
        <f ca="1">IF(ISERROR(F307),"",IF(N323=0,A323,""))</f>
        <v/>
      </c>
      <c r="W323" s="1">
        <f ca="1">IF(ISERROR(F307),"",IF(ISTEXT(VLOOKUP(B307,INDIRECT($F$8),6+(O323-1)*3)),11,IF(VLOOKUP(B307,INDIRECT($F$8),6+(O323-1)*3)&lt;S323*0.3,IF(VLOOKUP(B307,INDIRECT($F$8),8+(O323-1)*3)&lt;U323*0.4,IF(AND(0.4*U323-VLOOKUP(B307,INDIRECT($F$8),8+(O323-1)*3)&lt;=5,0.3*S323-VLOOKUP(B307,INDIRECT($F$8),6+(O323-1)*3)&lt;=5),MAX(0.4*U323-VLOOKUP(B307,INDIRECT($F$8),8+(O323-1)*3),0.3*S323-VLOOKUP(B307,INDIRECT($F$8),6+(O323-1)*3)),11),IF(0.3*S323-VLOOKUP(B307,INDIRECT($F$8),6+(O323-1)*3)&lt;=5,0.3*S323-VLOOKUP(B307,INDIRECT($F$8),6+(O323-1)*3),11)),IF(VLOOKUP(B307,INDIRECT($F$8),8+(O323-1)*3)&lt;U323*0.4,IF(U323*0.4-VLOOKUP(B307,INDIRECT($F$8),8+(O323-1)*3)&lt;=5,U323*0.4-VLOOKUP(B307,INDIRECT($F$8),8+(O323-1)*3),11),0))))</f>
        <v>0</v>
      </c>
      <c r="X323" s="1" t="str">
        <f ca="1">IF(ISERROR(F307),"",IF(W323=0,"",_xlfn.TEXTJOIN("",FALSE," G+",W323," in ",A323)))</f>
        <v/>
      </c>
    </row>
    <row r="324" spans="1:24" ht="11.25" customHeight="1" x14ac:dyDescent="0.2">
      <c r="A324" s="7" t="str">
        <f ca="1">IF(ISERROR(F307),"",VLOOKUP(C307,INDIRECT($F$8),6+(O324-1)*3,0))</f>
        <v>AHP 303</v>
      </c>
      <c r="B324" s="41" t="str">
        <f ca="1">IF(ISERROR(F307),"",VLOOKUP(D307,INDIRECT($F$8),6+(O324-1)*3,0))</f>
        <v>Technical Communication Skills</v>
      </c>
      <c r="C324" s="41"/>
      <c r="D324" s="41"/>
      <c r="E324" s="41"/>
      <c r="F324" s="7">
        <f ca="1">IF(ISERROR(F307),"",VLOOKUP(E307,INDIRECT($F$8),6+(O324-1)*3,0))</f>
        <v>1</v>
      </c>
      <c r="G324" s="42" t="str">
        <f ca="1">IF(ISERROR(F307),"",_xlfn.TEXTJOIN("/",FALSE,P324,S324))</f>
        <v>23/30</v>
      </c>
      <c r="H324" s="42"/>
      <c r="I324" s="42" t="str">
        <f ca="1">IF(ISERROR(F307),"",_xlfn.TEXTJOIN("/",FALSE,Q324,T324))</f>
        <v>17/20</v>
      </c>
      <c r="J324" s="42"/>
      <c r="K324" s="42" t="str">
        <f ca="1">IF(ISERROR(F307),"",_xlfn.TEXTJOIN("/",FALSE,R324,U324))</f>
        <v>40/50</v>
      </c>
      <c r="L324" s="42"/>
      <c r="M324" s="7" t="str">
        <f ca="1">IF(ISERROR(F307),"",IF(ISTEXT(P324),IF(P324="A","Ab",IF(P324="D","Dt",IF(P324="UFM","UFM",IF(P324="NA","-")))),IF(AND(ISBLANK(P324),ISBLANK(R324)),"",IF(P324&lt;0.3*S324,"F",IF(ISBLANK(R324),"",IF(ISTEXT(R324),R324,IF(R324&gt;=0.95*U324,"O",IF(R324&gt;=0.9*U324,"A+",IF(R324&gt;=0.85*U324,"A",IF(R324&gt;=0.8*U324,"B+",IF(R324&gt;=0.75*U324,"B",IF(R324&gt;=0.7*U324,"C+",IF(R324&gt;=0.65*U324,"C",IF(R324&gt;=0.6*U324,"D+",IF(R324&gt;=0.55*U324,"D",IF(R324&gt;=0.5*U324,"E+",IF(R324&gt;=0.45*U324,"E",IF(R324&gt;=0.4*U324,"P",IF(R324&lt;0.4*U324,"F",R324)))))))))))))))))))</f>
        <v>B+</v>
      </c>
      <c r="N324" s="8">
        <f t="shared" ca="1" si="26"/>
        <v>8.5</v>
      </c>
      <c r="O324">
        <f t="shared" si="27"/>
        <v>13</v>
      </c>
      <c r="P324" s="1">
        <f ca="1">IF(ISERROR(F307),"",IF(ISTEXT(VLOOKUP(B307,INDIRECT($F$8),6+(O324-1)*3)),(VLOOKUP(B307,INDIRECT($F$8),6+(O324-1)*3)),SUM(VLOOKUP(B307,INDIRECT($F$8),6+(O324-1)*3),IF(W326,W324,0))))</f>
        <v>23</v>
      </c>
      <c r="Q324" s="1">
        <f ca="1">IF(ISERROR(F307),"",VLOOKUP(B307,INDIRECT($F$8),7+(O324-1)*3))</f>
        <v>17</v>
      </c>
      <c r="R324" s="1">
        <f ca="1">IF(ISERROR(F307),"",SUM(P324:Q324))</f>
        <v>40</v>
      </c>
      <c r="S324" s="1">
        <f ca="1">IF(ISERROR(F307),"",VLOOKUP(A307,INDIRECT($F$8),6+(O324-1)*3))</f>
        <v>30</v>
      </c>
      <c r="T324" s="1">
        <f ca="1">IF(ISERROR(F307),"",VLOOKUP(A307,INDIRECT($F$8),7+(O324-1)*3))</f>
        <v>20</v>
      </c>
      <c r="U324" s="1">
        <f ca="1">IF(ISERROR(F307),"",VLOOKUP(A307,INDIRECT($F$8),8+(O324-1)*3))</f>
        <v>50</v>
      </c>
      <c r="V324" s="1"/>
      <c r="W324" s="1">
        <f ca="1">IF(ISERROR(F307),"",IF(ISTEXT(VLOOKUP(B307,INDIRECT($F$8),6+(O324-1)*3)),11,IF(VLOOKUP(B307,INDIRECT($F$8),6+(O324-1)*3)&lt;S324*0.3,IF(VLOOKUP(B307,INDIRECT($F$8),8+(O324-1)*3)&lt;U324*0.4,IF(AND(0.4*U324-VLOOKUP(B307,INDIRECT($F$8),8+(O324-1)*3)&lt;=5,0.3*S324-VLOOKUP(B307,INDIRECT($F$8),6+(O324-1)*3)&lt;=5),MAX(0.4*U324-VLOOKUP(B307,INDIRECT($F$8),8+(O324-1)*3),0.3*S324-VLOOKUP(B307,INDIRECT($F$8),6+(O324-1)*3)),11),IF(0.3*S324-VLOOKUP(B307,INDIRECT($F$8),6+(O324-1)*3)&lt;=5,0.3*S324-VLOOKUP(B307,INDIRECT($F$8),6+(O324-1)*3),11)),IF(VLOOKUP(B307,INDIRECT($F$8),8+(O324-1)*3)&lt;U324*0.4,IF(U324*0.4-VLOOKUP(B307,INDIRECT($F$8),8+(O324-1)*3)&lt;=5,U324*0.4-VLOOKUP(B307,INDIRECT($F$8),8+(O324-1)*3),11),0))))</f>
        <v>0</v>
      </c>
      <c r="X324" s="1" t="str">
        <f ca="1">IF(ISERROR(F307),"",IF(W324=0,"",_xlfn.TEXTJOIN("",FALSE," G+",W324," in ",A324)))</f>
        <v/>
      </c>
    </row>
    <row r="325" spans="1:24" s="32" customFormat="1" ht="11.25" customHeight="1" x14ac:dyDescent="0.2">
      <c r="A325" s="31">
        <f ca="1">IF(ISERROR(F307),"",VLOOKUP(C307,INDIRECT($F$8),6+(O325-1)*3-Y325,0))</f>
        <v>0</v>
      </c>
      <c r="B325" s="49">
        <f ca="1">IF(ISERROR(F307),"",VLOOKUP(D307,INDIRECT($F$8),6+(O325-1)*3-Z325,0))</f>
        <v>0</v>
      </c>
      <c r="C325" s="49"/>
      <c r="D325" s="49"/>
      <c r="E325" s="49"/>
      <c r="F325" s="31">
        <f ca="1">IF(ISERROR(F307),"",VLOOKUP(E307,INDIRECT($F$8),6+(O325-1)*3-AA325,0))</f>
        <v>0</v>
      </c>
      <c r="G325" s="50" t="str">
        <f ca="1">IF(ISERROR(F307),"","-")</f>
        <v>-</v>
      </c>
      <c r="H325" s="50"/>
      <c r="I325" s="50" t="str">
        <f ca="1">IF(ISERROR(F307),"",_xlfn.TEXTJOIN("/",FALSE,Q325,T325))</f>
        <v>0/0</v>
      </c>
      <c r="J325" s="50"/>
      <c r="K325" s="50" t="str">
        <f ca="1">IF(ISERROR(F307),"",_xlfn.TEXTJOIN("/",FALSE,R325,U325))</f>
        <v>0/0</v>
      </c>
      <c r="L325" s="50"/>
      <c r="M325" s="50" t="str">
        <f ca="1">IF(ISBLANK(R325),"",IF(ISTEXT(R325),R325,IF(R325&gt;=0.8*U325,"Excellent",IF(R325&gt;=0.6*U325,"Very Good",IF(R325&gt;=0.4*U325,"Good",IF(R325&gt;=0.2*U325,"Satisfactory","Average"))))))</f>
        <v>Excellent</v>
      </c>
      <c r="N325" s="50"/>
      <c r="O325" s="32">
        <f t="shared" si="27"/>
        <v>14</v>
      </c>
      <c r="P325" s="33">
        <f ca="1">IF(ISERROR(F307),"",IF(ISTEXT(VLOOKUP(B\28,INDIRECT($F$8),6+(O325-1)*3)),(VLOOKUP(B307,INDIRECT($F$8),6+(O325-1)*3)),SUM(VLOOKUP(B307,INDIRECT($F$8),6+(O325-1)*3),IF(W326,W325,0))))</f>
        <v>0</v>
      </c>
      <c r="Q325" s="33">
        <f ca="1">IF(ISERROR(F307),"",VLOOKUP(B307,INDIRECT($F$8),7+(O325-1)*3))</f>
        <v>0</v>
      </c>
      <c r="R325" s="33">
        <f ca="1">IF(ISERROR(F307),"",SUM(P325:Q325))</f>
        <v>0</v>
      </c>
      <c r="S325" s="33">
        <f ca="1">IF(ISERROR(F307),"",VLOOKUP(A307,INDIRECT($F$8),6+(O325-1)*3))</f>
        <v>0</v>
      </c>
      <c r="T325" s="33">
        <f ca="1">IF(ISERROR(F307),"",VLOOKUP(A307,INDIRECT($F$8),7+(O325-1)*3))</f>
        <v>0</v>
      </c>
      <c r="U325" s="33">
        <f ca="1">IF(ISERROR(F307),"",VLOOKUP(A307,INDIRECT($F$8),8+(O325-1)*3))</f>
        <v>0</v>
      </c>
      <c r="V325" s="33"/>
      <c r="W325" s="33"/>
      <c r="X325" s="33" t="str">
        <f ca="1">IF(ISERROR(F307),"",IF(W325=0,"",_xlfn.TEXTJOIN("",FALSE," G+",W325," in ",A325)))</f>
        <v/>
      </c>
    </row>
    <row r="326" spans="1:24" ht="11.25" customHeight="1" x14ac:dyDescent="0.2">
      <c r="A326" s="43" t="str">
        <f ca="1">IF(ISERROR(F307),"",A303)</f>
        <v>Total Credits/ Marks/ Total Grade Points</v>
      </c>
      <c r="B326" s="43"/>
      <c r="C326" s="43"/>
      <c r="D326" s="43"/>
      <c r="E326" s="43"/>
      <c r="F326" s="10">
        <f ca="1">IF(ISERROR(F307),"",SUM(F312:F325))</f>
        <v>24</v>
      </c>
      <c r="G326" s="44" t="str">
        <f ca="1">IF(ISERROR(F307),"",_xlfn.TEXTJOIN("/",TRUE,SUMIF(F312:F325,"&gt;0",P312:P325),SUMIF(F312:F325,"&gt;0",S312:S325)))</f>
        <v>357/620</v>
      </c>
      <c r="H326" s="44"/>
      <c r="I326" s="44" t="str">
        <f ca="1">IF(ISERROR(F307),"",_xlfn.TEXTJOIN("/",TRUE,SUMIF(F312:F325,"&gt;0",Q312:Q325),SUMIF(F312:F325,"&gt;0",T312:T325)))</f>
        <v>252/330</v>
      </c>
      <c r="J326" s="44"/>
      <c r="K326" s="44" t="str">
        <f ca="1">IF(ISERROR(F307),"",_xlfn.TEXTJOIN("/",TRUE,SUMIF(F312:F325,"&gt;0",R312:R325),SUMIF(F312:F325,"&gt;0",U312:U325)))</f>
        <v>609/950</v>
      </c>
      <c r="L326" s="44"/>
      <c r="M326" s="43">
        <f ca="1">IF(ISERROR(F307),"",SUMPRODUCT(N312:N324,F312:F324))</f>
        <v>159.5</v>
      </c>
      <c r="N326" s="43"/>
      <c r="V326" s="1" t="str">
        <f ca="1">IF(ISERROR(F307),"",_xlfn.TEXTJOIN(", ",TRUE,V312:V325))</f>
        <v/>
      </c>
      <c r="W326" t="b">
        <f ca="1">IF(ISERROR(F307),"",IF(SUM(W312:W325)&lt;=W311,TRUE,FALSE))</f>
        <v>0</v>
      </c>
      <c r="X326" s="1" t="str">
        <f ca="1">_xlfn.TEXTJOIN(",",TRUE,X312:X325)</f>
        <v xml:space="preserve"> G+11 in CAT 001, G+11 in CAT 002, G+11 in CAT 003</v>
      </c>
    </row>
    <row r="327" spans="1:24" ht="11.25" customHeight="1" x14ac:dyDescent="0.2">
      <c r="A327" s="43" t="str">
        <f ca="1">IF(ISERROR(F307),"",A304)</f>
        <v>Result:</v>
      </c>
      <c r="B327" s="45" t="str">
        <f ca="1">IF(ISERROR(F307),"",IF(V326="","PASS","CARRY OVER"))</f>
        <v>PASS</v>
      </c>
      <c r="C327" s="45"/>
      <c r="D327" s="43" t="str">
        <f ca="1">IF(ISERROR(F307),"",D304)</f>
        <v>Remark:</v>
      </c>
      <c r="E327" s="45" t="str">
        <f ca="1">IF(ISERROR(F307),"",IF(W326,X326,IF(V326="","",_xlfn.TEXTJOIN("",TRUE,"BACK IN ",V326))))</f>
        <v/>
      </c>
      <c r="F327" s="45"/>
      <c r="G327" s="43" t="str">
        <f ca="1">IF(ISERROR(F307),"",G304)</f>
        <v>SGPA:</v>
      </c>
      <c r="H327" s="46">
        <f ca="1">IF(ISERROR(F307),"",M326/F326)</f>
        <v>6.645833333333333</v>
      </c>
      <c r="I327" s="43" t="str">
        <f ca="1">IF(ISERROR(F307),"",I304)</f>
        <v>CGPA:</v>
      </c>
      <c r="J327" s="46">
        <f ca="1">IF(ISERROR(F307),"",VLOOKUP(B307,INDIRECT($F$8),12+(O325-1)*3,0))</f>
        <v>6.645833333333333</v>
      </c>
      <c r="K327" s="45" t="str">
        <f ca="1">IF(ISERROR(F307),"",K304)</f>
        <v>Earned Credits:</v>
      </c>
      <c r="L327" s="43">
        <f ca="1">IF(ISERROR(F307),"",SUMIF(N312:N324,"&gt;0",F312:F324))</f>
        <v>24</v>
      </c>
      <c r="M327" s="45" t="str">
        <f ca="1">IF(ISERROR(F307),"",M304)</f>
        <v>Cuml. Earned Credits:</v>
      </c>
      <c r="N327" s="43">
        <f ca="1">IF(ISERROR(F307),"",VLOOKUP(B307,INDIRECT($F$8),10+(O325-1)*3,0))</f>
        <v>24</v>
      </c>
    </row>
    <row r="328" spans="1:24" ht="11.25" customHeight="1" x14ac:dyDescent="0.2">
      <c r="A328" s="43"/>
      <c r="B328" s="45"/>
      <c r="C328" s="45"/>
      <c r="D328" s="43"/>
      <c r="E328" s="45"/>
      <c r="F328" s="45"/>
      <c r="G328" s="43"/>
      <c r="H328" s="46"/>
      <c r="I328" s="43"/>
      <c r="J328" s="46"/>
      <c r="K328" s="45"/>
      <c r="L328" s="43"/>
      <c r="M328" s="45"/>
      <c r="N328" s="43"/>
    </row>
    <row r="329" spans="1:24" ht="15" x14ac:dyDescent="0.2">
      <c r="A329" s="43"/>
      <c r="B329" s="45"/>
      <c r="C329" s="45"/>
      <c r="D329" s="43"/>
      <c r="E329" s="45"/>
      <c r="F329" s="45"/>
      <c r="G329" s="43"/>
      <c r="H329" s="46"/>
      <c r="I329" s="43"/>
      <c r="J329" s="46"/>
      <c r="K329" s="45"/>
      <c r="L329" s="43"/>
      <c r="M329" s="45"/>
      <c r="N329" s="43"/>
    </row>
    <row r="330" spans="1:24" ht="11.25" customHeight="1" x14ac:dyDescent="0.2">
      <c r="A330" s="11" t="str">
        <f>A307</f>
        <v>MM</v>
      </c>
      <c r="B330" s="11">
        <f>B307+1</f>
        <v>15</v>
      </c>
      <c r="C330" s="11" t="str">
        <f>C307</f>
        <v>SC</v>
      </c>
      <c r="D330" s="11" t="str">
        <f>D307</f>
        <v>SN</v>
      </c>
      <c r="E330" s="11" t="str">
        <f>E307</f>
        <v>C</v>
      </c>
      <c r="F330" s="11" t="str">
        <f ca="1">VLOOKUP(B330,INDIRECT($F$8),4,0)</f>
        <v>RISHABH KAINTURA</v>
      </c>
    </row>
    <row r="331" spans="1:24" ht="11.25" customHeight="1" x14ac:dyDescent="0.2">
      <c r="A331" s="47" t="str">
        <f ca="1">IF(ISERROR(F330),"",A308)</f>
        <v>Name:</v>
      </c>
      <c r="B331" s="47" t="str">
        <f ca="1">IFERROR(VLOOKUP(B330,INDIRECT($F$8),4,0),"")</f>
        <v>RISHABH KAINTURA</v>
      </c>
      <c r="C331" s="47"/>
      <c r="D331" s="47" t="str">
        <f ca="1">IF(ISERROR(F330),"",D308)</f>
        <v>Father's Name:</v>
      </c>
      <c r="E331" s="47" t="str">
        <f ca="1">IFERROR(VLOOKUP(B330,INDIRECT($F$8),5,0),"")</f>
        <v>SURENDER KAINTURA</v>
      </c>
      <c r="F331" s="47"/>
      <c r="G331" s="47" t="str">
        <f ca="1">IF(ISERROR(F330),"",G308)</f>
        <v>University Roll No:</v>
      </c>
      <c r="H331" s="47"/>
      <c r="I331" s="48">
        <f ca="1">IFERROR(VLOOKUP(B330,INDIRECT($F$8),2,0),"")</f>
        <v>250090600015</v>
      </c>
      <c r="J331" s="48"/>
      <c r="K331" s="47" t="str">
        <f ca="1">IF(ISERROR(F330),"",K308)</f>
        <v>University Enrol. No:</v>
      </c>
      <c r="L331" s="47"/>
      <c r="M331" s="48" t="str">
        <f ca="1">IFERROR(VLOOKUP(B330,INDIRECT($F$8),3,0),"")</f>
        <v>PUTU/2506100115</v>
      </c>
      <c r="N331" s="48"/>
    </row>
    <row r="332" spans="1:24" ht="15" x14ac:dyDescent="0.2">
      <c r="A332" s="47"/>
      <c r="B332" s="47"/>
      <c r="C332" s="47"/>
      <c r="D332" s="47"/>
      <c r="E332" s="47"/>
      <c r="F332" s="47"/>
      <c r="G332" s="47"/>
      <c r="H332" s="47"/>
      <c r="I332" s="48"/>
      <c r="J332" s="48"/>
      <c r="K332" s="47"/>
      <c r="L332" s="47"/>
      <c r="M332" s="48"/>
      <c r="N332" s="48"/>
    </row>
    <row r="333" spans="1:24" ht="11.25" customHeight="1" x14ac:dyDescent="0.2">
      <c r="A333" s="45" t="str">
        <f ca="1">IF(ISERROR(F330),"",A310)</f>
        <v>Subject Code</v>
      </c>
      <c r="B333" s="45" t="str">
        <f ca="1">IF(ISERROR(F330),"",B310)</f>
        <v>Subject Name</v>
      </c>
      <c r="C333" s="45"/>
      <c r="D333" s="45"/>
      <c r="E333" s="45"/>
      <c r="F333" s="45" t="str">
        <f ca="1">IF(ISERROR(F330),"",F310)</f>
        <v>Credits</v>
      </c>
      <c r="G333" s="45" t="str">
        <f ca="1">IF(ISERROR(F330),"",G310)</f>
        <v>External Marks</v>
      </c>
      <c r="H333" s="45"/>
      <c r="I333" s="45" t="str">
        <f ca="1">IF(ISERROR(F330),"",I310)</f>
        <v>Sessional Marks</v>
      </c>
      <c r="J333" s="45"/>
      <c r="K333" s="45" t="str">
        <f ca="1">IF(ISERROR(F330),"",K310)</f>
        <v>Total Marks</v>
      </c>
      <c r="L333" s="45"/>
      <c r="M333" s="45" t="str">
        <f ca="1">IF(ISERROR(F330),"",M310)</f>
        <v>Grade</v>
      </c>
      <c r="N333" s="45" t="str">
        <f ca="1">IF(ISERROR(F330),"",N310)</f>
        <v>Grade Points</v>
      </c>
    </row>
    <row r="334" spans="1:24" ht="15" x14ac:dyDescent="0.2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W334">
        <f ca="1">IF(ISNUMBER(MATCH($F$8,{"I","III","V","VII"},0)),10,10-INDEX(INDIRECT(_xlfn.TEXTJOIN("",TRUE,"SEM_",$G$8,"!",ADDRESS(6,4+$I$8*3+4),":",ADDRESS(5+$H$8,4+$I$8*3+4))),MATCH(INDIRECT(_xlfn.TEXTJOIN("",TRUE,"TC_",$F$8,"!",ADDRESS(ROW(I331),COLUMN(I331)))),INDIRECT(_xlfn.TEXTJOIN("",TRUE,"SEM_",$G$8,"!",ADDRESS(6,2),":",ADDRESS(5+$H$8,2))))))</f>
        <v>10</v>
      </c>
    </row>
    <row r="335" spans="1:24" ht="11.25" customHeight="1" x14ac:dyDescent="0.2">
      <c r="A335" s="7" t="str">
        <f ca="1">IF(ISERROR(F330),"",VLOOKUP(C330,INDIRECT($F$8),6+(O335-1)*3,0))</f>
        <v>CAT 004</v>
      </c>
      <c r="B335" s="41" t="str">
        <f ca="1">IF(ISERROR(F330),"",VLOOKUP(D330,INDIRECT($F$8),6+(O335-1)*3,0))</f>
        <v>Discrete Structure</v>
      </c>
      <c r="C335" s="41"/>
      <c r="D335" s="41"/>
      <c r="E335" s="41"/>
      <c r="F335" s="7">
        <f ca="1">IF(ISERROR(F330),"",VLOOKUP(E330,INDIRECT($F$8),6+(O335-1)*3,0))</f>
        <v>4</v>
      </c>
      <c r="G335" s="42" t="str">
        <f ca="1">IF(ISERROR(F330),"",_xlfn.TEXTJOIN("/",FALSE,P335,S335))</f>
        <v>36/100</v>
      </c>
      <c r="H335" s="42"/>
      <c r="I335" s="42" t="str">
        <f ca="1">IF(ISERROR(F330),"",_xlfn.TEXTJOIN("/",FALSE,Q335,T335))</f>
        <v>32/50</v>
      </c>
      <c r="J335" s="42"/>
      <c r="K335" s="42" t="str">
        <f ca="1">IF(ISERROR(F330),"",_xlfn.TEXTJOIN("/",FALSE,R335,U335))</f>
        <v>68/150</v>
      </c>
      <c r="L335" s="42"/>
      <c r="M335" s="7" t="str">
        <f ca="1">IF(ISERROR(F330),"",IF(ISTEXT(P335),IF(P335="A","Ab",IF(P335="D","Dt",IF(P335="UFM","UFM",IF(P335="NA","-")))),IF(AND(ISBLANK(P335),ISBLANK(R335)),"",IF(P335&lt;0.3*S335,"F",IF(ISBLANK(R335),"",IF(ISTEXT(R335),R335,IF(R335&gt;=0.95*U335,"O",IF(R335&gt;=0.9*U335,"A+",IF(R335&gt;=0.85*U335,"A",IF(R335&gt;=0.8*U335,"B+",IF(R335&gt;=0.75*U335,"B",IF(R335&gt;=0.7*U335,"C+",IF(R335&gt;=0.65*U335,"C",IF(R335&gt;=0.6*U335,"D+",IF(R335&gt;=0.55*U335,"D",IF(R335&gt;=0.5*U335,"E+",IF(R335&gt;=0.45*U335,"E",IF(R335&gt;=0.4*U335,"P",IF(R335&lt;0.4*U335,"F",R335)))))))))))))))))))</f>
        <v>E</v>
      </c>
      <c r="N335" s="8">
        <f ca="1">INDEX($Z$2:$Z$18,MATCH(M335,$Y$2:$Y$18,0))</f>
        <v>5</v>
      </c>
      <c r="O335">
        <v>1</v>
      </c>
      <c r="P335" s="1">
        <f ca="1">IF(ISERROR(F330),"",IF(ISTEXT(VLOOKUP(B330,INDIRECT($F$8),6+(O335-1)*3)),(VLOOKUP(B330,INDIRECT($F$8),6+(O335-1)*3)),SUM(VLOOKUP(B330,INDIRECT($F$8),6+(O335-1)*3),IF(W349,W335,0))))</f>
        <v>36</v>
      </c>
      <c r="Q335" s="1">
        <f ca="1">IF(ISERROR(F330),"",VLOOKUP(B330,INDIRECT($F$8),7+(O335-1)*3))</f>
        <v>32</v>
      </c>
      <c r="R335" s="1">
        <f ca="1">IF(ISERROR(F330),"",SUM(P335:Q335))</f>
        <v>68</v>
      </c>
      <c r="S335" s="1">
        <f ca="1">IF(ISERROR(F330),"",VLOOKUP(A330,INDIRECT($F$8),6+(O335-1)*3))</f>
        <v>100</v>
      </c>
      <c r="T335" s="1">
        <f ca="1">IF(ISERROR(F330),"",VLOOKUP(A330,INDIRECT($F$8),7+(O335-1)*3))</f>
        <v>50</v>
      </c>
      <c r="U335" s="1">
        <f ca="1">IF(ISERROR(F330),"",VLOOKUP(A330,INDIRECT($F$8),8+(O335-1)*3))</f>
        <v>150</v>
      </c>
      <c r="V335" s="1" t="str">
        <f ca="1">IF(ISERROR(F330),"",IF(N335=0,A335,""))</f>
        <v/>
      </c>
      <c r="W335" s="1">
        <f ca="1">IF(ISERROR(F330),"",IF(ISTEXT(VLOOKUP(B330,INDIRECT($F$8),6+(O335-1)*3)),11,IF(VLOOKUP(B330,INDIRECT($F$8),6+(O335-1)*3)&lt;S335*0.3,IF(VLOOKUP(B330,INDIRECT($F$8),8+(O335-1)*3)&lt;U335*0.4,IF(AND(0.4*U335-VLOOKUP(B330,INDIRECT($F$8),8+(O335-1)*3)&lt;=5,0.3*S335-VLOOKUP(B330,INDIRECT($F$8),6+(O335-1)*3)&lt;=5),MAX(0.4*U335-VLOOKUP(B330,INDIRECT($F$8),8+(O335-1)*3),0.3*S335-VLOOKUP(B330,INDIRECT($F$8),6+(O335-1)*3)),11),IF(0.3*S335-VLOOKUP(B330,INDIRECT($F$8),6+(O335-1)*3)&lt;=5,0.3*S335-VLOOKUP(B330,INDIRECT($F$8),6+(O335-1)*3),11)),IF(VLOOKUP(B330,INDIRECT($F$8),8+(O335-1)*3)&lt;U335*0.4,IF(U335*0.4-VLOOKUP(B330,INDIRECT($F$8),8+(O335-1)*3)&lt;=5,U335*0.4-VLOOKUP(B330,INDIRECT($F$8),8+(O335-1)*3),11),0))))</f>
        <v>0</v>
      </c>
      <c r="X335" s="1" t="str">
        <f ca="1">IF(ISERROR(F330),"",IF(W335=0,"",_xlfn.TEXTJOIN("",FALSE," G+",W335," in ",A335)))</f>
        <v/>
      </c>
    </row>
    <row r="336" spans="1:24" ht="11.25" customHeight="1" x14ac:dyDescent="0.2">
      <c r="A336" s="7" t="str">
        <f ca="1">IF(ISERROR(F330),"",VLOOKUP(C330,INDIRECT($F$8),6+(O336-1)*3,0))</f>
        <v>CAT 005</v>
      </c>
      <c r="B336" s="41" t="str">
        <f ca="1">IF(ISERROR(F330),"",VLOOKUP(D330,INDIRECT($F$8),6+(O336-1)*3,0))</f>
        <v>Database Management System</v>
      </c>
      <c r="C336" s="41"/>
      <c r="D336" s="41"/>
      <c r="E336" s="41"/>
      <c r="F336" s="7">
        <f ca="1">IF(ISERROR(F330),"",VLOOKUP(E330,INDIRECT($F$8),6+(O336-1)*3,0))</f>
        <v>4</v>
      </c>
      <c r="G336" s="42" t="str">
        <f ca="1">IF(ISERROR(F330),"",_xlfn.TEXTJOIN("/",FALSE,P336,S336))</f>
        <v>35/100</v>
      </c>
      <c r="H336" s="42"/>
      <c r="I336" s="42" t="str">
        <f ca="1">IF(ISERROR(F330),"",_xlfn.TEXTJOIN("/",FALSE,Q336,T336))</f>
        <v>33/50</v>
      </c>
      <c r="J336" s="42"/>
      <c r="K336" s="42" t="str">
        <f ca="1">IF(ISERROR(F330),"",_xlfn.TEXTJOIN("/",FALSE,R336,U336))</f>
        <v>68/150</v>
      </c>
      <c r="L336" s="42"/>
      <c r="M336" s="7" t="str">
        <f ca="1">IF(ISERROR(F330),"",IF(ISTEXT(P336),IF(P336="A","Ab",IF(P336="D","Dt",IF(P336="UFM","UFM",IF(P336="NA","-")))),IF(AND(ISBLANK(P336),ISBLANK(R336)),"",IF(P336&lt;0.3*S336,"F",IF(ISBLANK(R336),"",IF(ISTEXT(R336),R336,IF(R336&gt;=0.95*U336,"O",IF(R336&gt;=0.9*U336,"A+",IF(R336&gt;=0.85*U336,"A",IF(R336&gt;=0.8*U336,"B+",IF(R336&gt;=0.75*U336,"B",IF(R336&gt;=0.7*U336,"C+",IF(R336&gt;=0.65*U336,"C",IF(R336&gt;=0.6*U336,"D+",IF(R336&gt;=0.55*U336,"D",IF(R336&gt;=0.5*U336,"E+",IF(R336&gt;=0.45*U336,"E",IF(R336&gt;=0.4*U336,"P",IF(R336&lt;0.4*U336,"F",R336)))))))))))))))))))</f>
        <v>E</v>
      </c>
      <c r="N336" s="8">
        <f t="shared" ref="N336:N347" ca="1" si="28">INDEX($Z$2:$Z$18,MATCH(M336,$Y$2:$Y$18,0))</f>
        <v>5</v>
      </c>
      <c r="O336">
        <f>O335+1</f>
        <v>2</v>
      </c>
      <c r="P336" s="1">
        <f ca="1">IF(ISERROR(F330),"",IF(ISTEXT(VLOOKUP(B330,INDIRECT($F$8),6+(O336-1)*3)),(VLOOKUP(B330,INDIRECT($F$8),6+(O336-1)*3)),SUM(VLOOKUP(B330,INDIRECT($F$8),6+(O336-1)*3),IF(W349,W336,0))))</f>
        <v>35</v>
      </c>
      <c r="Q336" s="1">
        <f ca="1">IF(ISERROR(F330),"",VLOOKUP(B330,INDIRECT($F$8),7+(O336-1)*3))</f>
        <v>33</v>
      </c>
      <c r="R336" s="1">
        <f ca="1">IF(ISERROR(F330),"",SUM(P336:Q336))</f>
        <v>68</v>
      </c>
      <c r="S336" s="1">
        <f ca="1">IF(ISERROR(F330),"",VLOOKUP(A330,INDIRECT($F$8),6+(O336-1)*3))</f>
        <v>100</v>
      </c>
      <c r="T336" s="1">
        <f ca="1">IF(ISERROR(F330),"",VLOOKUP(A330,INDIRECT($F$8),7+(O336-1)*3))</f>
        <v>50</v>
      </c>
      <c r="U336" s="1">
        <f ca="1">IF(ISERROR(F330),"",VLOOKUP(A330,INDIRECT($F$8),8+(O336-1)*3))</f>
        <v>150</v>
      </c>
      <c r="V336" s="1" t="str">
        <f ca="1">IF(ISERROR(F330),"",IF(N336=0,A336,""))</f>
        <v/>
      </c>
      <c r="W336" s="1">
        <f ca="1">IF(ISERROR(F330),"",IF(ISTEXT(VLOOKUP(B330,INDIRECT($F$8),6+(O336-1)*3)),11,IF(VLOOKUP(B330,INDIRECT($F$8),6+(O336-1)*3)&lt;S336*0.3,IF(VLOOKUP(B330,INDIRECT($F$8),8+(O336-1)*3)&lt;U336*0.4,IF(AND(0.4*U336-VLOOKUP(B330,INDIRECT($F$8),8+(O336-1)*3)&lt;=5,0.3*S336-VLOOKUP(B330,INDIRECT($F$8),6+(O336-1)*3)&lt;=5),MAX(0.4*U336-VLOOKUP(B330,INDIRECT($F$8),8+(O336-1)*3),0.3*S336-VLOOKUP(B330,INDIRECT($F$8),6+(O336-1)*3)),11),IF(0.3*S336-VLOOKUP(B330,INDIRECT($F$8),6+(O336-1)*3)&lt;=5,0.3*S336-VLOOKUP(B330,INDIRECT($F$8),6+(O336-1)*3),11)),IF(VLOOKUP(B330,INDIRECT($F$8),8+(O336-1)*3)&lt;U336*0.4,IF(U336*0.4-VLOOKUP(B330,INDIRECT($F$8),8+(O336-1)*3)&lt;=5,U336*0.4-VLOOKUP(B330,INDIRECT($F$8),8+(O336-1)*3),11),0))))</f>
        <v>0</v>
      </c>
      <c r="X336" s="1" t="str">
        <f ca="1">IF(ISERROR(F330),"",IF(W336=0,"",_xlfn.TEXTJOIN("",FALSE," G+",W336," in ",A336)))</f>
        <v/>
      </c>
    </row>
    <row r="337" spans="1:24" ht="11.25" customHeight="1" x14ac:dyDescent="0.2">
      <c r="A337" s="7" t="str">
        <f ca="1">IF(ISERROR(F330),"",VLOOKUP(C330,INDIRECT($F$8),6+(O337-1)*3,0))</f>
        <v>CAT 006</v>
      </c>
      <c r="B337" s="41" t="str">
        <f ca="1">IF(ISERROR(F330),"",VLOOKUP(D330,INDIRECT($F$8),6+(O337-1)*3,0))</f>
        <v>Operating System</v>
      </c>
      <c r="C337" s="41"/>
      <c r="D337" s="41"/>
      <c r="E337" s="41"/>
      <c r="F337" s="7">
        <f ca="1">IF(ISERROR(F330),"",VLOOKUP(E330,INDIRECT($F$8),6+(O337-1)*3,0))</f>
        <v>4</v>
      </c>
      <c r="G337" s="42" t="str">
        <f ca="1">IF(ISERROR(F330),"",_xlfn.TEXTJOIN("/",FALSE,P337,S337))</f>
        <v>50/100</v>
      </c>
      <c r="H337" s="42"/>
      <c r="I337" s="42" t="str">
        <f ca="1">IF(ISERROR(F330),"",_xlfn.TEXTJOIN("/",FALSE,Q337,T337))</f>
        <v>36/50</v>
      </c>
      <c r="J337" s="42"/>
      <c r="K337" s="42" t="str">
        <f ca="1">IF(ISERROR(F330),"",_xlfn.TEXTJOIN("/",FALSE,R337,U337))</f>
        <v>86/150</v>
      </c>
      <c r="L337" s="42"/>
      <c r="M337" s="7" t="str">
        <f ca="1">IF(ISERROR(F330),"",IF(ISTEXT(P337),IF(P337="A","Ab",IF(P337="D","Dt",IF(P337="UFM","UFM",IF(P337="NA","-")))),IF(AND(ISBLANK(P337),ISBLANK(R337)),"",IF(P337&lt;0.3*S337,"F",IF(ISBLANK(R337),"",IF(ISTEXT(R337),R337,IF(R337&gt;=0.95*U337,"O",IF(R337&gt;=0.9*U337,"A+",IF(R337&gt;=0.85*U337,"A",IF(R337&gt;=0.8*U337,"B+",IF(R337&gt;=0.75*U337,"B",IF(R337&gt;=0.7*U337,"C+",IF(R337&gt;=0.65*U337,"C",IF(R337&gt;=0.6*U337,"D+",IF(R337&gt;=0.55*U337,"D",IF(R337&gt;=0.5*U337,"E+",IF(R337&gt;=0.45*U337,"E",IF(R337&gt;=0.4*U337,"P",IF(R337&lt;0.4*U337,"F",R337)))))))))))))))))))</f>
        <v>D</v>
      </c>
      <c r="N337" s="8">
        <f t="shared" ca="1" si="28"/>
        <v>6</v>
      </c>
      <c r="O337">
        <f>O336+1</f>
        <v>3</v>
      </c>
      <c r="P337" s="1">
        <f ca="1">IF(ISERROR(F330),"",IF(ISTEXT(VLOOKUP(B330,INDIRECT($F$8),6+(O337-1)*3)),(VLOOKUP(B330,INDIRECT($F$8),6+(O337-1)*3)),SUM(VLOOKUP(B330,INDIRECT($F$8),6+(O337-1)*3),IF(W349,W337,0))))</f>
        <v>50</v>
      </c>
      <c r="Q337" s="1">
        <f ca="1">IF(ISERROR(F330),"",VLOOKUP(B330,INDIRECT($F$8),7+(O337-1)*3))</f>
        <v>36</v>
      </c>
      <c r="R337" s="1">
        <f ca="1">IF(ISERROR(F330),"",SUM(P337:Q337))</f>
        <v>86</v>
      </c>
      <c r="S337" s="1">
        <f ca="1">IF(ISERROR(F330),"",VLOOKUP(A330,INDIRECT($F$8),6+(O337-1)*3))</f>
        <v>100</v>
      </c>
      <c r="T337" s="1">
        <f ca="1">IF(ISERROR(F330),"",VLOOKUP(A330,INDIRECT($F$8),7+(O337-1)*3))</f>
        <v>50</v>
      </c>
      <c r="U337" s="1">
        <f ca="1">IF(ISERROR(F330),"",VLOOKUP(A330,INDIRECT($F$8),8+(O337-1)*3))</f>
        <v>150</v>
      </c>
      <c r="V337" s="1" t="str">
        <f ca="1">IF(ISERROR(F330),"",IF(N337=0,A337,""))</f>
        <v/>
      </c>
      <c r="W337" s="1">
        <f ca="1">IF(ISERROR(F330),"",IF(ISTEXT(VLOOKUP(B330,INDIRECT($F$8),6+(O337-1)*3)),11,IF(VLOOKUP(B330,INDIRECT($F$8),6+(O337-1)*3)&lt;S337*0.3,IF(VLOOKUP(B330,INDIRECT($F$8),8+(O337-1)*3)&lt;U337*0.4,IF(AND(0.4*U337-VLOOKUP(B330,INDIRECT($F$8),8+(O337-1)*3)&lt;=5,0.3*S337-VLOOKUP(B330,INDIRECT($F$8),6+(O337-1)*3)&lt;=5),MAX(0.4*U337-VLOOKUP(B330,INDIRECT($F$8),8+(O337-1)*3),0.3*S337-VLOOKUP(B330,INDIRECT($F$8),6+(O337-1)*3)),11),IF(0.3*S337-VLOOKUP(B330,INDIRECT($F$8),6+(O337-1)*3)&lt;=5,0.3*S337-VLOOKUP(B330,INDIRECT($F$8),6+(O337-1)*3),11)),IF(VLOOKUP(B330,INDIRECT($F$8),8+(O337-1)*3)&lt;U337*0.4,IF(U337*0.4-VLOOKUP(B330,INDIRECT($F$8),8+(O337-1)*3)&lt;=5,U337*0.4-VLOOKUP(B330,INDIRECT($F$8),8+(O337-1)*3),11),0))))</f>
        <v>0</v>
      </c>
      <c r="X337" s="1" t="str">
        <f ca="1">IF(ISERROR(F330),"",IF(W337=0,"",_xlfn.TEXTJOIN("",FALSE," G+",W337," in ",A337)))</f>
        <v/>
      </c>
    </row>
    <row r="338" spans="1:24" ht="11.25" customHeight="1" x14ac:dyDescent="0.2">
      <c r="A338" s="7" t="str">
        <f ca="1">IF(ISERROR(F330),"",VLOOKUP(C330,INDIRECT($F$8),6+(O338-1)*3,0))</f>
        <v>CAT 007</v>
      </c>
      <c r="B338" s="41" t="str">
        <f ca="1">IF(ISERROR(F330),"",VLOOKUP(D330,INDIRECT($F$8),6+(O338-1)*3,0))</f>
        <v>Computer Organization</v>
      </c>
      <c r="C338" s="41"/>
      <c r="D338" s="41"/>
      <c r="E338" s="41"/>
      <c r="F338" s="7">
        <f ca="1">IF(ISERROR(F330),"",VLOOKUP(E330,INDIRECT($F$8),6+(O338-1)*3,0))</f>
        <v>4</v>
      </c>
      <c r="G338" s="42" t="str">
        <f ca="1">IF(ISERROR(F330),"",_xlfn.TEXTJOIN("/",FALSE,P338,S338))</f>
        <v>30/100</v>
      </c>
      <c r="H338" s="42"/>
      <c r="I338" s="42" t="str">
        <f ca="1">IF(ISERROR(F330),"",_xlfn.TEXTJOIN("/",FALSE,Q338,T338))</f>
        <v>30/50</v>
      </c>
      <c r="J338" s="42"/>
      <c r="K338" s="42" t="str">
        <f ca="1">IF(ISERROR(F330),"",_xlfn.TEXTJOIN("/",FALSE,R338,U338))</f>
        <v>60/150</v>
      </c>
      <c r="L338" s="42"/>
      <c r="M338" s="7" t="str">
        <f ca="1">IF(ISERROR(F330),"",IF(ISTEXT(P338),IF(P338="A","Ab",IF(P338="D","Dt",IF(P338="UFM","UFM",IF(P338="NA","-")))),IF(AND(ISBLANK(P338),ISBLANK(R338)),"",IF(P338&lt;0.3*S338,"F",IF(ISBLANK(R338),"",IF(ISTEXT(R338),R338,IF(R338&gt;=0.95*U338,"O",IF(R338&gt;=0.9*U338,"A+",IF(R338&gt;=0.85*U338,"A",IF(R338&gt;=0.8*U338,"B+",IF(R338&gt;=0.75*U338,"B",IF(R338&gt;=0.7*U338,"C+",IF(R338&gt;=0.65*U338,"C",IF(R338&gt;=0.6*U338,"D+",IF(R338&gt;=0.55*U338,"D",IF(R338&gt;=0.5*U338,"E+",IF(R338&gt;=0.45*U338,"E",IF(R338&gt;=0.4*U338,"P",IF(R338&lt;0.4*U338,"F",R338)))))))))))))))))))</f>
        <v>P</v>
      </c>
      <c r="N338" s="8">
        <f t="shared" ca="1" si="28"/>
        <v>4.5</v>
      </c>
      <c r="O338">
        <f>O337+1</f>
        <v>4</v>
      </c>
      <c r="P338" s="1">
        <f ca="1">IF(ISERROR(F330),"",IF(ISTEXT(VLOOKUP(B330,INDIRECT($F$8),6+(O338-1)*3)),(VLOOKUP(B330,INDIRECT($F$8),6+(O338-1)*3)),SUM(VLOOKUP(B330,INDIRECT($F$8),6+(O338-1)*3),IF(W349,W338,0))))</f>
        <v>30</v>
      </c>
      <c r="Q338" s="1">
        <f ca="1">IF(ISERROR(F330),"",VLOOKUP(B330,INDIRECT($F$8),7+(O338-1)*3))</f>
        <v>30</v>
      </c>
      <c r="R338" s="1">
        <f ca="1">IF(ISERROR(F330),"",SUM(P338:Q338))</f>
        <v>60</v>
      </c>
      <c r="S338" s="1">
        <f ca="1">IF(ISERROR(F330),"",VLOOKUP(A330,INDIRECT($F$8),6+(O338-1)*3))</f>
        <v>100</v>
      </c>
      <c r="T338" s="1">
        <f ca="1">IF(ISERROR(F330),"",VLOOKUP(A330,INDIRECT($F$8),7+(O338-1)*3))</f>
        <v>50</v>
      </c>
      <c r="U338" s="1">
        <f ca="1">IF(ISERROR(F330),"",VLOOKUP(A330,INDIRECT($F$8),8+(O338-1)*3))</f>
        <v>150</v>
      </c>
      <c r="V338" s="1" t="str">
        <f ca="1">IF(ISERROR(F330),"",IF(N338=0,A338,""))</f>
        <v/>
      </c>
      <c r="W338" s="1">
        <f ca="1">IF(ISERROR(F330),"",IF(ISTEXT(VLOOKUP(B330,INDIRECT($F$8),6+(O338-1)*3)),11,IF(VLOOKUP(B330,INDIRECT($F$8),6+(O338-1)*3)&lt;S338*0.3,IF(VLOOKUP(B330,INDIRECT($F$8),8+(O338-1)*3)&lt;U338*0.4,IF(AND(0.4*U338-VLOOKUP(B330,INDIRECT($F$8),8+(O338-1)*3)&lt;=5,0.3*S338-VLOOKUP(B330,INDIRECT($F$8),6+(O338-1)*3)&lt;=5),MAX(0.4*U338-VLOOKUP(B330,INDIRECT($F$8),8+(O338-1)*3),0.3*S338-VLOOKUP(B330,INDIRECT($F$8),6+(O338-1)*3)),11),IF(0.3*S338-VLOOKUP(B330,INDIRECT($F$8),6+(O338-1)*3)&lt;=5,0.3*S338-VLOOKUP(B330,INDIRECT($F$8),6+(O338-1)*3),11)),IF(VLOOKUP(B330,INDIRECT($F$8),8+(O338-1)*3)&lt;U338*0.4,IF(U338*0.4-VLOOKUP(B330,INDIRECT($F$8),8+(O338-1)*3)&lt;=5,U338*0.4-VLOOKUP(B330,INDIRECT($F$8),8+(O338-1)*3),11),0))))</f>
        <v>3</v>
      </c>
      <c r="X338" s="1" t="str">
        <f ca="1">IF(ISERROR(F330),"",IF(W338=0,"",_xlfn.TEXTJOIN("",FALSE," G+",W338," in ",A338)))</f>
        <v xml:space="preserve"> G+3 in CAT 007</v>
      </c>
    </row>
    <row r="339" spans="1:24" ht="11.25" customHeight="1" x14ac:dyDescent="0.2">
      <c r="A339" s="7" t="str">
        <f ca="1">IF(ISERROR(F330),"",VLOOKUP(C330,INDIRECT($F$8),6+(O339-1)*3,0))</f>
        <v>AHT 303</v>
      </c>
      <c r="B339" s="41" t="str">
        <f ca="1">IF(ISERROR(F330),"",VLOOKUP(D330,INDIRECT($F$8),6+(O339-1)*3,0))</f>
        <v>Technical Communication Skills</v>
      </c>
      <c r="C339" s="41"/>
      <c r="D339" s="41"/>
      <c r="E339" s="41"/>
      <c r="F339" s="7">
        <f ca="1">IF(ISERROR(F330),"",VLOOKUP(E330,INDIRECT($F$8),6+(O339-1)*3,0))</f>
        <v>4</v>
      </c>
      <c r="G339" s="42" t="str">
        <f ca="1">IF(ISERROR(F330),"",_xlfn.TEXTJOIN("/",FALSE,P339,S339))</f>
        <v>55/100</v>
      </c>
      <c r="H339" s="42"/>
      <c r="I339" s="42" t="str">
        <f ca="1">IF(ISERROR(F330),"",_xlfn.TEXTJOIN("/",FALSE,Q339,T339))</f>
        <v>31/50</v>
      </c>
      <c r="J339" s="42"/>
      <c r="K339" s="42" t="str">
        <f ca="1">IF(ISERROR(F330),"",_xlfn.TEXTJOIN("/",FALSE,R339,U339))</f>
        <v>86/150</v>
      </c>
      <c r="L339" s="42"/>
      <c r="M339" s="7" t="str">
        <f ca="1">IF(ISERROR(F330),"",IF(ISTEXT(P339),IF(P339="A","Ab",IF(P339="D","Dt",IF(P339="UFM","UFM",IF(P339="NA","-")))),IF(AND(ISBLANK(P339),ISBLANK(R339)),"",IF(P339&lt;0.3*S339,"F",IF(ISBLANK(R339),"",IF(ISTEXT(R339),R339,IF(R339&gt;=0.95*U339,"O",IF(R339&gt;=0.9*U339,"A+",IF(R339&gt;=0.85*U339,"A",IF(R339&gt;=0.8*U339,"B+",IF(R339&gt;=0.75*U339,"B",IF(R339&gt;=0.7*U339,"C+",IF(R339&gt;=0.65*U339,"C",IF(R339&gt;=0.6*U339,"D+",IF(R339&gt;=0.55*U339,"D",IF(R339&gt;=0.5*U339,"E+",IF(R339&gt;=0.45*U339,"E",IF(R339&gt;=0.4*U339,"P",IF(R339&lt;0.4*U339,"F",R339)))))))))))))))))))</f>
        <v>D</v>
      </c>
      <c r="N339" s="8">
        <f t="shared" ca="1" si="28"/>
        <v>6</v>
      </c>
      <c r="O339">
        <f t="shared" ref="O339:O348" si="29">O338+1</f>
        <v>5</v>
      </c>
      <c r="P339" s="1">
        <f ca="1">IF(ISERROR(F330),"",IF(ISTEXT(VLOOKUP(B330,INDIRECT($F$8),6+(O339-1)*3)),(VLOOKUP(B330,INDIRECT($F$8),6+(O339-1)*3)),SUM(VLOOKUP(B330,INDIRECT($F$8),6+(O339-1)*3),IF(W349,W339,0))))</f>
        <v>55</v>
      </c>
      <c r="Q339" s="1">
        <f ca="1">IF(ISERROR(F330),"",VLOOKUP(B330,INDIRECT($F$8),7+(O339-1)*3))</f>
        <v>31</v>
      </c>
      <c r="R339" s="1">
        <f ca="1">IF(ISERROR(F330),"",SUM(P339:Q339))</f>
        <v>86</v>
      </c>
      <c r="S339" s="1">
        <f ca="1">IF(ISERROR(F330),"",VLOOKUP(A330,INDIRECT($F$8),6+(O339-1)*3))</f>
        <v>100</v>
      </c>
      <c r="T339" s="1">
        <f ca="1">IF(ISERROR(F330),"",VLOOKUP(A330,INDIRECT($F$8),7+(O339-1)*3))</f>
        <v>50</v>
      </c>
      <c r="U339" s="1">
        <f ca="1">IF(ISERROR(F330),"",VLOOKUP(A330,INDIRECT($F$8),8+(O339-1)*3))</f>
        <v>150</v>
      </c>
      <c r="V339" s="1" t="str">
        <f ca="1">IF(ISERROR(F330),"",IF(N339=0,A339,""))</f>
        <v/>
      </c>
      <c r="W339" s="1">
        <f ca="1">IF(ISERROR(F330),"",IF(ISTEXT(VLOOKUP(B330,INDIRECT($F$8),6+(O339-1)*3)),11,IF(VLOOKUP(B330,INDIRECT($F$8),6+(O339-1)*3)&lt;S339*0.3,IF(VLOOKUP(B330,INDIRECT($F$8),8+(O339-1)*3)&lt;U339*0.4,IF(AND(0.4*U339-VLOOKUP(B330,INDIRECT($F$8),8+(O339-1)*3)&lt;=5,0.3*S339-VLOOKUP(B330,INDIRECT($F$8),6+(O339-1)*3)&lt;=5),MAX(0.4*U339-VLOOKUP(B330,INDIRECT($F$8),8+(O339-1)*3),0.3*S339-VLOOKUP(B330,INDIRECT($F$8),6+(O339-1)*3)),11),IF(0.3*S339-VLOOKUP(B330,INDIRECT($F$8),6+(O339-1)*3)&lt;=5,0.3*S339-VLOOKUP(B330,INDIRECT($F$8),6+(O339-1)*3),11)),IF(VLOOKUP(B330,INDIRECT($F$8),8+(O339-1)*3)&lt;U339*0.4,IF(U339*0.4-VLOOKUP(B330,INDIRECT($F$8),8+(O339-1)*3)&lt;=5,U339*0.4-VLOOKUP(B330,INDIRECT($F$8),8+(O339-1)*3),11),0))))</f>
        <v>0</v>
      </c>
      <c r="X339" s="1" t="str">
        <f ca="1">IF(ISERROR(F330),"",IF(W339=0,"",_xlfn.TEXTJOIN("",FALSE," G+",W339," in ",A339)))</f>
        <v/>
      </c>
    </row>
    <row r="340" spans="1:24" ht="11.25" customHeight="1" x14ac:dyDescent="0.2">
      <c r="A340" s="7" t="str">
        <f ca="1">IF(ISERROR(F330),"",VLOOKUP(C330,INDIRECT($F$8),6+(O340-1)*3,0))</f>
        <v>CAT 008</v>
      </c>
      <c r="B340" s="41" t="str">
        <f ca="1">IF(ISERROR(F330),"",VLOOKUP(D330,INDIRECT($F$8),6+(O340-1)*3,0))</f>
        <v>Python Programming ($)</v>
      </c>
      <c r="C340" s="41"/>
      <c r="D340" s="41"/>
      <c r="E340" s="41"/>
      <c r="F340" s="7">
        <f ca="1">IF(ISERROR(F330),"",VLOOKUP(E330,INDIRECT($F$8),6+(O340-1)*3,0))</f>
        <v>0</v>
      </c>
      <c r="G340" s="42" t="str">
        <f ca="1">IF(ISERROR(F330),"",_xlfn.TEXTJOIN("/",FALSE,P340,S340))</f>
        <v>14/30</v>
      </c>
      <c r="H340" s="42"/>
      <c r="I340" s="42" t="str">
        <f ca="1">IF(ISERROR(F330),"",_xlfn.TEXTJOIN("/",FALSE,Q340,T340))</f>
        <v>13/20</v>
      </c>
      <c r="J340" s="42"/>
      <c r="K340" s="42" t="str">
        <f ca="1">IF(ISERROR(F330),"",_xlfn.TEXTJOIN("/",FALSE,R340,U340))</f>
        <v>27/50</v>
      </c>
      <c r="L340" s="42"/>
      <c r="M340" s="7" t="str">
        <f ca="1">IF(ISERROR(F330),"",IF(ISTEXT(P340),IF(P340="A","Ab",IF(P340="D","Dt",IF(P340="UFM","UFM",IF(P340="NA","-")))),IF(AND(ISBLANK(P340),ISBLANK(R340)),"",IF(P340&lt;0.3*S340,"F",IF(ISBLANK(R340),"",IF(ISTEXT(R340),R340,IF(R340&gt;=0.95*U340,"O",IF(R340&gt;=0.9*U340,"A+",IF(R340&gt;=0.85*U340,"A",IF(R340&gt;=0.8*U340,"B+",IF(R340&gt;=0.75*U340,"B",IF(R340&gt;=0.7*U340,"C+",IF(R340&gt;=0.65*U340,"C",IF(R340&gt;=0.6*U340,"D+",IF(R340&gt;=0.55*U340,"D",IF(R340&gt;=0.5*U340,"E+",IF(R340&gt;=0.45*U340,"E",IF(R340&gt;=0.4*U340,"P",IF(R340&lt;0.4*U340,"F",R340)))))))))))))))))))</f>
        <v>E+</v>
      </c>
      <c r="N340" s="8">
        <f t="shared" ca="1" si="28"/>
        <v>5.5</v>
      </c>
      <c r="O340">
        <f t="shared" si="29"/>
        <v>6</v>
      </c>
      <c r="P340" s="1">
        <f ca="1">IF(ISERROR(F330),"",IF(ISTEXT(VLOOKUP(B330,INDIRECT($F$8),6+(O340-1)*3)),(VLOOKUP(B330,INDIRECT($F$8),6+(O340-1)*3)),SUM(VLOOKUP(B330,INDIRECT($F$8),6+(O340-1)*3),IF(W349,W340,0))))</f>
        <v>14</v>
      </c>
      <c r="Q340" s="1">
        <f ca="1">IF(ISERROR(F330),"",VLOOKUP(B330,INDIRECT($F$8),7+(O340-1)*3))</f>
        <v>13</v>
      </c>
      <c r="R340" s="1">
        <f ca="1">IF(ISERROR(F330),"",SUM(P340:Q340))</f>
        <v>27</v>
      </c>
      <c r="S340" s="1">
        <f ca="1">IF(ISERROR(F330),"",VLOOKUP(A330,INDIRECT($F$8),6+(O340-1)*3))</f>
        <v>30</v>
      </c>
      <c r="T340" s="1">
        <f ca="1">IF(ISERROR(F330),"",VLOOKUP(A330,INDIRECT($F$8),7+(O340-1)*3))</f>
        <v>20</v>
      </c>
      <c r="U340" s="1">
        <f ca="1">IF(ISERROR(F330),"",VLOOKUP(A330,INDIRECT($F$8),8+(O340-1)*3))</f>
        <v>50</v>
      </c>
      <c r="V340" s="1" t="str">
        <f ca="1">IF(ISERROR(F330),"",IF(N340=0,A340,""))</f>
        <v/>
      </c>
      <c r="W340" s="1">
        <f ca="1">IF(ISERROR(F330),"",IF(ISTEXT(VLOOKUP(B330,INDIRECT($F$8),6+(O340-1)*3)),11,IF(VLOOKUP(B330,INDIRECT($F$8),6+(O340-1)*3)&lt;S340*0.3,IF(VLOOKUP(B330,INDIRECT($F$8),8+(O340-1)*3)&lt;U340*0.4,IF(AND(0.4*U340-VLOOKUP(B330,INDIRECT($F$8),8+(O340-1)*3)&lt;=5,0.3*S340-VLOOKUP(B330,INDIRECT($F$8),6+(O340-1)*3)&lt;=5),MAX(0.4*U340-VLOOKUP(B330,INDIRECT($F$8),8+(O340-1)*3),0.3*S340-VLOOKUP(B330,INDIRECT($F$8),6+(O340-1)*3)),11),IF(0.3*S340-VLOOKUP(B330,INDIRECT($F$8),6+(O340-1)*3)&lt;=5,0.3*S340-VLOOKUP(B330,INDIRECT($F$8),6+(O340-1)*3),11)),IF(VLOOKUP(B330,INDIRECT($F$8),8+(O340-1)*3)&lt;U340*0.4,IF(U340*0.4-VLOOKUP(B330,INDIRECT($F$8),8+(O340-1)*3)&lt;=5,U340*0.4-VLOOKUP(B330,INDIRECT($F$8),8+(O340-1)*3),11),0))))</f>
        <v>0</v>
      </c>
      <c r="X340" s="1" t="str">
        <f ca="1">IF(ISERROR(F330),"",IF(W340=0,"",_xlfn.TEXTJOIN("",FALSE," G+",W340," in ",A340)))</f>
        <v/>
      </c>
    </row>
    <row r="341" spans="1:24" ht="11.25" customHeight="1" x14ac:dyDescent="0.2">
      <c r="A341" s="7" t="str">
        <f ca="1">IF(ISERROR(F330),"",VLOOKUP(C330,INDIRECT($F$8),6+(O341-1)*3,0))</f>
        <v>CAT 001</v>
      </c>
      <c r="B341" s="41" t="str">
        <f ca="1">IF(ISERROR(F330),"",VLOOKUP(D330,INDIRECT($F$8),6+(O341-1)*3,0))</f>
        <v>Introduction of Information Technology ($)</v>
      </c>
      <c r="C341" s="41"/>
      <c r="D341" s="41"/>
      <c r="E341" s="41"/>
      <c r="F341" s="7">
        <f ca="1">IF(ISERROR(F330),"",VLOOKUP(E330,INDIRECT($F$8),6+(O341-1)*3,0))</f>
        <v>0</v>
      </c>
      <c r="G341" s="42" t="str">
        <f ca="1">IF(ISERROR(F330),"",_xlfn.TEXTJOIN("/",FALSE,P341,S341))</f>
        <v>NA/30</v>
      </c>
      <c r="H341" s="42"/>
      <c r="I341" s="42" t="str">
        <f ca="1">IF(ISERROR(F330),"",_xlfn.TEXTJOIN("/",FALSE,Q341,T341))</f>
        <v>NA/20</v>
      </c>
      <c r="J341" s="42"/>
      <c r="K341" s="42" t="str">
        <f ca="1">IF(ISERROR(F330),"",_xlfn.TEXTJOIN("/",FALSE,R341,U341))</f>
        <v>0/50</v>
      </c>
      <c r="L341" s="42"/>
      <c r="M341" s="7" t="str">
        <f ca="1">IF(ISERROR(F330),"",IF(ISTEXT(P341),IF(P341="A","Ab",IF(P341="D","Dt",IF(P341="UFM","UFM",IF(P341="NA","-")))),IF(AND(ISBLANK(P341),ISBLANK(R341)),"",IF(P341&lt;0.3*S341,"F",IF(ISBLANK(R341),"",IF(ISTEXT(R341),R341,IF(R341&gt;=0.95*U341,"O",IF(R341&gt;=0.9*U341,"A+",IF(R341&gt;=0.85*U341,"A",IF(R341&gt;=0.8*U341,"B+",IF(R341&gt;=0.75*U341,"B",IF(R341&gt;=0.7*U341,"C+",IF(R341&gt;=0.65*U341,"C",IF(R341&gt;=0.6*U341,"D+",IF(R341&gt;=0.55*U341,"D",IF(R341&gt;=0.5*U341,"E+",IF(R341&gt;=0.45*U341,"E",IF(R341&gt;=0.4*U341,"P",IF(R341&lt;0.4*U341,"F",R341)))))))))))))))))))</f>
        <v>-</v>
      </c>
      <c r="N341" s="8" t="str">
        <f t="shared" ca="1" si="28"/>
        <v>-</v>
      </c>
      <c r="O341">
        <f t="shared" si="29"/>
        <v>7</v>
      </c>
      <c r="P341" s="1" t="str">
        <f ca="1">IF(ISERROR(F330),"",IF(ISTEXT(VLOOKUP(B330,INDIRECT($F$8),6+(O341-1)*3)),(VLOOKUP(B330,INDIRECT($F$8),6+(O341-1)*3)),SUM(VLOOKUP(B330,INDIRECT($F$8),6+(O341-1)*3),IF(W349,W341,0))))</f>
        <v>NA</v>
      </c>
      <c r="Q341" s="1" t="str">
        <f ca="1">IF(ISERROR(F330),"",VLOOKUP(B330,INDIRECT($F$8),7+(O341-1)*3))</f>
        <v>NA</v>
      </c>
      <c r="R341" s="1">
        <f ca="1">IF(ISERROR(F330),"",SUM(P341:Q341))</f>
        <v>0</v>
      </c>
      <c r="S341" s="1">
        <f ca="1">IF(ISERROR(F330),"",VLOOKUP(A330,INDIRECT($F$8),6+(O341-1)*3))</f>
        <v>30</v>
      </c>
      <c r="T341" s="1">
        <f ca="1">IF(ISERROR(F330),"",VLOOKUP(A330,INDIRECT($F$8),7+(O341-1)*3))</f>
        <v>20</v>
      </c>
      <c r="U341" s="1">
        <f ca="1">IF(ISERROR(F330),"",VLOOKUP(A330,INDIRECT($F$8),8+(O341-1)*3))</f>
        <v>50</v>
      </c>
      <c r="V341" s="1" t="str">
        <f ca="1">IF(ISERROR(F330),"",IF(N341=0,A341,""))</f>
        <v/>
      </c>
      <c r="W341" s="1">
        <v>0</v>
      </c>
      <c r="X341" s="1" t="str">
        <f ca="1">IF(ISERROR(F330),"",IF(W341=0,"",_xlfn.TEXTJOIN("",FALSE," G+",W341," in ",A341)))</f>
        <v/>
      </c>
    </row>
    <row r="342" spans="1:24" ht="11.25" customHeight="1" x14ac:dyDescent="0.2">
      <c r="A342" s="7" t="str">
        <f ca="1">IF(ISERROR(F330),"",VLOOKUP(C330,INDIRECT($F$8),6+(O342-1)*3,0))</f>
        <v>CAT 002</v>
      </c>
      <c r="B342" s="41" t="str">
        <f ca="1">IF(ISERROR(F330),"",VLOOKUP(D330,INDIRECT($F$8),6+(O342-1)*3,0))</f>
        <v>Programming Fundamentals with "C" ($)</v>
      </c>
      <c r="C342" s="41"/>
      <c r="D342" s="41"/>
      <c r="E342" s="41"/>
      <c r="F342" s="7">
        <f ca="1">IF(ISERROR(F330),"",VLOOKUP(E330,INDIRECT($F$8),6+(O342-1)*3,0))</f>
        <v>0</v>
      </c>
      <c r="G342" s="42" t="str">
        <f ca="1">IF(ISERROR(F330),"",_xlfn.TEXTJOIN("/",FALSE,P342,S342))</f>
        <v>NA/30</v>
      </c>
      <c r="H342" s="42"/>
      <c r="I342" s="42" t="str">
        <f ca="1">IF(ISERROR(F330),"",_xlfn.TEXTJOIN("/",FALSE,Q342,T342))</f>
        <v>NA/20</v>
      </c>
      <c r="J342" s="42"/>
      <c r="K342" s="42" t="str">
        <f ca="1">IF(ISERROR(F330),"",_xlfn.TEXTJOIN("/",FALSE,R342,U342))</f>
        <v>0/50</v>
      </c>
      <c r="L342" s="42"/>
      <c r="M342" s="7" t="str">
        <f ca="1">IF(ISERROR(F330),"",IF(ISTEXT(P342),IF(P342="A","Ab",IF(P342="D","Dt",IF(P342="UFM","UFM",IF(P342="NA","-")))),IF(AND(ISBLANK(P342),ISBLANK(R342)),"",IF(P342&lt;0.3*S342,"F",IF(ISBLANK(R342),"",IF(ISTEXT(R342),R342,IF(R342&gt;=0.95*U342,"O",IF(R342&gt;=0.9*U342,"A+",IF(R342&gt;=0.85*U342,"A",IF(R342&gt;=0.8*U342,"B+",IF(R342&gt;=0.75*U342,"B",IF(R342&gt;=0.7*U342,"C+",IF(R342&gt;=0.65*U342,"C",IF(R342&gt;=0.6*U342,"D+",IF(R342&gt;=0.55*U342,"D",IF(R342&gt;=0.5*U342,"E+",IF(R342&gt;=0.45*U342,"E",IF(R342&gt;=0.4*U342,"P",IF(R342&lt;0.4*U342,"F",R342)))))))))))))))))))</f>
        <v>-</v>
      </c>
      <c r="N342" s="8" t="str">
        <f t="shared" ca="1" si="28"/>
        <v>-</v>
      </c>
      <c r="O342">
        <f t="shared" si="29"/>
        <v>8</v>
      </c>
      <c r="P342" s="1" t="str">
        <f ca="1">IF(ISERROR(F330),"",IF(ISTEXT(VLOOKUP(B330,INDIRECT($F$8),6+(O342-1)*3)),(VLOOKUP(B330,INDIRECT($F$8),6+(O342-1)*3)),SUM(VLOOKUP(B330,INDIRECT($F$8),6+(O342-1)*3),IF(W349,W342,0))))</f>
        <v>NA</v>
      </c>
      <c r="Q342" s="1" t="str">
        <f ca="1">IF(ISERROR(F330),"",VLOOKUP(B330,INDIRECT($F$8),7+(O342-1)*3))</f>
        <v>NA</v>
      </c>
      <c r="R342" s="1">
        <f ca="1">IF(ISERROR(F330),"",SUM(P342:Q342))</f>
        <v>0</v>
      </c>
      <c r="S342" s="1">
        <f ca="1">IF(ISERROR(F330),"",VLOOKUP(A330,INDIRECT($F$8),6+(O342-1)*3))</f>
        <v>30</v>
      </c>
      <c r="T342" s="1">
        <f ca="1">IF(ISERROR(F330),"",VLOOKUP(A330,INDIRECT($F$8),7+(O342-1)*3))</f>
        <v>20</v>
      </c>
      <c r="U342" s="1">
        <f ca="1">IF(ISERROR(F330),"",VLOOKUP(A330,INDIRECT($F$8),8+(O342-1)*3))</f>
        <v>50</v>
      </c>
      <c r="V342" s="1" t="str">
        <f ca="1">IF(ISERROR(F330),"",IF(N342=0,A342,""))</f>
        <v/>
      </c>
      <c r="W342" s="1">
        <v>0</v>
      </c>
      <c r="X342" s="1" t="str">
        <f ca="1">IF(ISERROR(F330),"",IF(W342=0,"",_xlfn.TEXTJOIN("",FALSE," G+",W342," in ",A342)))</f>
        <v/>
      </c>
    </row>
    <row r="343" spans="1:24" ht="11.25" customHeight="1" x14ac:dyDescent="0.2">
      <c r="A343" s="7" t="str">
        <f ca="1">IF(ISERROR(F330),"",VLOOKUP(C330,INDIRECT($F$8),6+(O343-1)*3,0))</f>
        <v>CAT 003</v>
      </c>
      <c r="B343" s="41" t="str">
        <f ca="1">IF(ISERROR(F330),"",VLOOKUP(D330,INDIRECT($F$8),6+(O343-1)*3-Z343,0))</f>
        <v>Fundamental of Web Technology ($)</v>
      </c>
      <c r="C343" s="41"/>
      <c r="D343" s="41"/>
      <c r="E343" s="41"/>
      <c r="F343" s="7">
        <f ca="1">IF(ISERROR(F330),"",VLOOKUP(E330,INDIRECT($F$8),6+(O343-1)*3,0))</f>
        <v>0</v>
      </c>
      <c r="G343" s="42" t="str">
        <f ca="1">IF(ISERROR(F330),"",_xlfn.TEXTJOIN("/",FALSE,P343,S343))</f>
        <v>NA/30</v>
      </c>
      <c r="H343" s="42"/>
      <c r="I343" s="42" t="str">
        <f ca="1">IF(ISERROR(F330),"",_xlfn.TEXTJOIN("/",FALSE,Q343,T343))</f>
        <v>NA/20</v>
      </c>
      <c r="J343" s="42"/>
      <c r="K343" s="42" t="str">
        <f ca="1">IF(ISERROR(F330),"",_xlfn.TEXTJOIN("/",FALSE,R343,U343))</f>
        <v>0/50</v>
      </c>
      <c r="L343" s="42"/>
      <c r="M343" s="7" t="str">
        <f ca="1">IF(ISERROR(F330),"",IF(ISTEXT(P343),IF(P343="A","Ab",IF(P343="D","Dt",IF(P343="UFM","UFM",IF(P343="NA","-")))),IF(AND(ISBLANK(P343),ISBLANK(R343)),"",IF(P343&lt;0.3*S343,"F",IF(ISBLANK(R343),"",IF(ISTEXT(R343),R343,IF(R343&gt;=0.95*U343,"O",IF(R343&gt;=0.9*U343,"A+",IF(R343&gt;=0.85*U343,"A",IF(R343&gt;=0.8*U343,"B+",IF(R343&gt;=0.75*U343,"B",IF(R343&gt;=0.7*U343,"C+",IF(R343&gt;=0.65*U343,"C",IF(R343&gt;=0.6*U343,"D+",IF(R343&gt;=0.55*U343,"D",IF(R343&gt;=0.5*U343,"E+",IF(R343&gt;=0.45*U343,"E",IF(R343&gt;=0.4*U343,"P",IF(R343&lt;0.4*U343,"F",R343)))))))))))))))))))</f>
        <v>-</v>
      </c>
      <c r="N343" s="8" t="str">
        <f t="shared" ca="1" si="28"/>
        <v>-</v>
      </c>
      <c r="O343">
        <f t="shared" si="29"/>
        <v>9</v>
      </c>
      <c r="P343" s="1" t="str">
        <f ca="1">IF(ISERROR(F330),"",IF(ISTEXT(VLOOKUP(B330,INDIRECT($F$8),6+(O343-1)*3)),(VLOOKUP(B330,INDIRECT($F$8),6+(O343-1)*3)),SUM(VLOOKUP(B330,INDIRECT($F$8),6+(O343-1)*3),IF(W349,W343,0))))</f>
        <v>NA</v>
      </c>
      <c r="Q343" s="1" t="str">
        <f ca="1">IF(ISERROR(F330),"",VLOOKUP(B330,INDIRECT($F$8),7+(O343-1)*3))</f>
        <v>NA</v>
      </c>
      <c r="R343" s="1">
        <f ca="1">IF(ISERROR(F330),"",SUM(P343:Q343))</f>
        <v>0</v>
      </c>
      <c r="S343" s="1">
        <f ca="1">IF(ISERROR(F330),"",VLOOKUP(A330,INDIRECT($F$8),6+(O343-1)*3))</f>
        <v>30</v>
      </c>
      <c r="T343" s="1">
        <f ca="1">IF(ISERROR(F330),"",VLOOKUP(A330,INDIRECT($F$8),7+(O343-1)*3))</f>
        <v>20</v>
      </c>
      <c r="U343" s="1">
        <f ca="1">IF(ISERROR(F330),"",VLOOKUP(A330,INDIRECT($F$8),8+(O343-1)*3))</f>
        <v>50</v>
      </c>
      <c r="V343" s="1" t="str">
        <f ca="1">IF(ISERROR(F330),"",IF(N343=0,A343,""))</f>
        <v/>
      </c>
      <c r="W343" s="1">
        <v>0</v>
      </c>
      <c r="X343" s="1" t="str">
        <f ca="1">IF(ISERROR(F330),"",IF(W343=0,"",_xlfn.TEXTJOIN("",FALSE," G+",W343," in ",A343)))</f>
        <v/>
      </c>
    </row>
    <row r="344" spans="1:24" ht="11.25" customHeight="1" x14ac:dyDescent="0.2">
      <c r="A344" s="7" t="str">
        <f ca="1">IF(ISERROR(F330),"",VLOOKUP(C330,INDIRECT($F$8),6+(O344-1)*3,0))</f>
        <v>CAP 001</v>
      </c>
      <c r="B344" s="41" t="str">
        <f ca="1">IF(ISERROR(F330),"",VLOOKUP(D330,INDIRECT($F$8),6+(O344-1)*3-Z344,0))</f>
        <v>Database Management System Lab</v>
      </c>
      <c r="C344" s="41"/>
      <c r="D344" s="41"/>
      <c r="E344" s="41"/>
      <c r="F344" s="7">
        <f ca="1">IF(ISERROR(F330),"",VLOOKUP(E330,INDIRECT($F$8),6+(O344-1)*3,0))</f>
        <v>1</v>
      </c>
      <c r="G344" s="42" t="str">
        <f ca="1">IF(ISERROR(F330),"",_xlfn.TEXTJOIN("/",FALSE,P344,S344))</f>
        <v>23/30</v>
      </c>
      <c r="H344" s="42"/>
      <c r="I344" s="42" t="str">
        <f ca="1">IF(ISERROR(F330),"",_xlfn.TEXTJOIN("/",FALSE,Q344,T344))</f>
        <v>13/20</v>
      </c>
      <c r="J344" s="42"/>
      <c r="K344" s="42" t="str">
        <f ca="1">IF(ISERROR(F330),"",_xlfn.TEXTJOIN("/",FALSE,R344,U344))</f>
        <v>36/50</v>
      </c>
      <c r="L344" s="42"/>
      <c r="M344" s="7" t="str">
        <f ca="1">IF(ISERROR(F330),"",IF(ISTEXT(P344),IF(P344="A","Ab",IF(P344="D","Dt",IF(P344="UFM","UFM",IF(P344="NA","-")))),IF(AND(ISBLANK(P344),ISBLANK(R344)),"",IF(P344&lt;0.3*S344,"F",IF(ISBLANK(R344),"",IF(ISTEXT(R344),R344,IF(R344&gt;=0.95*U344,"O",IF(R344&gt;=0.9*U344,"A+",IF(R344&gt;=0.85*U344,"A",IF(R344&gt;=0.8*U344,"B+",IF(R344&gt;=0.75*U344,"B",IF(R344&gt;=0.7*U344,"C+",IF(R344&gt;=0.65*U344,"C",IF(R344&gt;=0.6*U344,"D+",IF(R344&gt;=0.55*U344,"D",IF(R344&gt;=0.5*U344,"E+",IF(R344&gt;=0.45*U344,"E",IF(R344&gt;=0.4*U344,"P",IF(R344&lt;0.4*U344,"F",R344)))))))))))))))))))</f>
        <v>C+</v>
      </c>
      <c r="N344" s="8">
        <f t="shared" ca="1" si="28"/>
        <v>7.5</v>
      </c>
      <c r="O344">
        <f t="shared" si="29"/>
        <v>10</v>
      </c>
      <c r="P344" s="1">
        <f ca="1">IF(ISERROR(F330),"",IF(ISTEXT(VLOOKUP(B330,INDIRECT($F$8),6+(O344-1)*3)),(VLOOKUP(B330,INDIRECT($F$8),6+(O344-1)*3)),SUM(VLOOKUP(B330,INDIRECT($F$8),6+(O344-1)*3),IF(W349,W344,0))))</f>
        <v>23</v>
      </c>
      <c r="Q344" s="1">
        <f ca="1">IF(ISERROR(F330),"",VLOOKUP(B330,INDIRECT($F$8),7+(O344-1)*3))</f>
        <v>13</v>
      </c>
      <c r="R344" s="1">
        <f ca="1">IF(ISERROR(F330),"",SUM(P344:Q344))</f>
        <v>36</v>
      </c>
      <c r="S344" s="1">
        <f ca="1">IF(ISERROR(F330),"",VLOOKUP(A330,INDIRECT($F$8),6+(O344-1)*3))</f>
        <v>30</v>
      </c>
      <c r="T344" s="1">
        <f ca="1">IF(ISERROR(F330),"",VLOOKUP(A330,INDIRECT($F$8),7+(O344-1)*3))</f>
        <v>20</v>
      </c>
      <c r="U344" s="1">
        <f ca="1">IF(ISERROR(F330),"",VLOOKUP(A330,INDIRECT($F$8),8+(O344-1)*3))</f>
        <v>50</v>
      </c>
      <c r="V344" s="1" t="str">
        <f ca="1">IF(ISERROR(F330),"",IF(N344=0,A344,""))</f>
        <v/>
      </c>
      <c r="W344" s="1">
        <f ca="1">IF(ISERROR(F330),"",IF(ISTEXT(VLOOKUP(B330,INDIRECT($F$8),6+(O344-1)*3)),11,IF(VLOOKUP(B330,INDIRECT($F$8),6+(O344-1)*3)&lt;S344*0.3,IF(VLOOKUP(B330,INDIRECT($F$8),8+(O344-1)*3)&lt;U344*0.4,IF(AND(0.4*U344-VLOOKUP(B330,INDIRECT($F$8),8+(O344-1)*3)&lt;=5,0.3*S344-VLOOKUP(B330,INDIRECT($F$8),6+(O344-1)*3)&lt;=5),MAX(0.4*U344-VLOOKUP(B330,INDIRECT($F$8),8+(O344-1)*3),0.3*S344-VLOOKUP(B330,INDIRECT($F$8),6+(O344-1)*3)),11),IF(0.3*S344-VLOOKUP(B330,INDIRECT($F$8),6+(O344-1)*3)&lt;=5,0.3*S344-VLOOKUP(B330,INDIRECT($F$8),6+(O344-1)*3),11)),IF(VLOOKUP(B330,INDIRECT($F$8),8+(O344-1)*3)&lt;U344*0.4,IF(U344*0.4-VLOOKUP(B330,INDIRECT($F$8),8+(O344-1)*3)&lt;=5,U344*0.4-VLOOKUP(B330,INDIRECT($F$8),8+(O344-1)*3),11),0))))</f>
        <v>0</v>
      </c>
      <c r="X344" s="1" t="str">
        <f ca="1">IF(ISERROR(F330),"",IF(W344=0,"",_xlfn.TEXTJOIN("",FALSE," G+",W344," in ",A344)))</f>
        <v/>
      </c>
    </row>
    <row r="345" spans="1:24" ht="11.25" customHeight="1" x14ac:dyDescent="0.2">
      <c r="A345" s="7" t="str">
        <f ca="1">IF(ISERROR(F330),"",VLOOKUP(C330,INDIRECT($F$8),6+(O345-1)*3,0))</f>
        <v>CAP 002</v>
      </c>
      <c r="B345" s="41" t="str">
        <f ca="1">IF(ISERROR(F330),"",VLOOKUP(D330,INDIRECT($F$8),6+(O345-1)*3,0))</f>
        <v>Operating System Lab</v>
      </c>
      <c r="C345" s="41"/>
      <c r="D345" s="41"/>
      <c r="E345" s="41"/>
      <c r="F345" s="7">
        <f ca="1">IF(ISERROR(F330),"",VLOOKUP(E330,INDIRECT($F$8),6+(O345-1)*3,0))</f>
        <v>1</v>
      </c>
      <c r="G345" s="42" t="str">
        <f ca="1">IF(ISERROR(F330),"",_xlfn.TEXTJOIN("/",FALSE,P345,S345))</f>
        <v>24/30</v>
      </c>
      <c r="H345" s="42"/>
      <c r="I345" s="42" t="str">
        <f ca="1">IF(ISERROR(F330),"",_xlfn.TEXTJOIN("/",FALSE,Q345,T345))</f>
        <v>16/20</v>
      </c>
      <c r="J345" s="42"/>
      <c r="K345" s="42" t="str">
        <f ca="1">IF(ISERROR(F330),"",_xlfn.TEXTJOIN("/",FALSE,R345,U345))</f>
        <v>40/50</v>
      </c>
      <c r="L345" s="42"/>
      <c r="M345" s="7" t="str">
        <f ca="1">IF(ISERROR(F330),"",IF(ISTEXT(P345),IF(P345="A","Ab",IF(P345="D","Dt",IF(P345="UFM","UFM",IF(P345="NA","-")))),IF(AND(ISBLANK(P345),ISBLANK(R345)),"",IF(P345&lt;0.3*S345,"F",IF(ISBLANK(R345),"",IF(ISTEXT(R345),R345,IF(R345&gt;=0.95*U345,"O",IF(R345&gt;=0.9*U345,"A+",IF(R345&gt;=0.85*U345,"A",IF(R345&gt;=0.8*U345,"B+",IF(R345&gt;=0.75*U345,"B",IF(R345&gt;=0.7*U345,"C+",IF(R345&gt;=0.65*U345,"C",IF(R345&gt;=0.6*U345,"D+",IF(R345&gt;=0.55*U345,"D",IF(R345&gt;=0.5*U345,"E+",IF(R345&gt;=0.45*U345,"E",IF(R345&gt;=0.4*U345,"P",IF(R345&lt;0.4*U345,"F",R345)))))))))))))))))))</f>
        <v>B+</v>
      </c>
      <c r="N345" s="8">
        <f t="shared" ca="1" si="28"/>
        <v>8.5</v>
      </c>
      <c r="O345">
        <f t="shared" si="29"/>
        <v>11</v>
      </c>
      <c r="P345" s="1">
        <f ca="1">IF(ISERROR(F330),"",IF(ISTEXT(VLOOKUP(B330,INDIRECT($F$8),6+(O345-1)*3)),(VLOOKUP(B330,INDIRECT($F$8),6+(O345-1)*3)),SUM(VLOOKUP(B330,INDIRECT($F$8),6+(O345-1)*3),IF(W349,W345,0))))</f>
        <v>24</v>
      </c>
      <c r="Q345" s="1">
        <f ca="1">IF(ISERROR(F330),"",VLOOKUP(B330,INDIRECT($F$8),7+(O345-1)*3))</f>
        <v>16</v>
      </c>
      <c r="R345" s="1">
        <f ca="1">IF(ISERROR(F330),"",SUM(P345:Q345))</f>
        <v>40</v>
      </c>
      <c r="S345" s="1">
        <f ca="1">IF(ISERROR(F330),"",VLOOKUP(A330,INDIRECT($F$8),6+(O345-1)*3))</f>
        <v>30</v>
      </c>
      <c r="T345" s="1">
        <f ca="1">IF(ISERROR(F330),"",VLOOKUP(A330,INDIRECT($F$8),7+(O345-1)*3))</f>
        <v>20</v>
      </c>
      <c r="U345" s="1">
        <f ca="1">IF(ISERROR(F330),"",VLOOKUP(A330,INDIRECT($F$8),8+(O345-1)*3))</f>
        <v>50</v>
      </c>
      <c r="V345" s="1" t="str">
        <f ca="1">IF(ISERROR(F330),"",IF(N345=0,A345,""))</f>
        <v/>
      </c>
      <c r="W345" s="1">
        <f ca="1">IF(ISERROR(F330),"",IF(ISTEXT(VLOOKUP(B330,INDIRECT($F$8),6+(O345-1)*3)),11,IF(VLOOKUP(B330,INDIRECT($F$8),6+(O345-1)*3)&lt;S345*0.3,IF(VLOOKUP(B330,INDIRECT($F$8),8+(O345-1)*3)&lt;U345*0.4,IF(AND(0.4*U345-VLOOKUP(B330,INDIRECT($F$8),8+(O345-1)*3)&lt;=5,0.3*S345-VLOOKUP(B330,INDIRECT($F$8),6+(O345-1)*3)&lt;=5),MAX(0.4*U345-VLOOKUP(B330,INDIRECT($F$8),8+(O345-1)*3),0.3*S345-VLOOKUP(B330,INDIRECT($F$8),6+(O345-1)*3)),11),IF(0.3*S345-VLOOKUP(B330,INDIRECT($F$8),6+(O345-1)*3)&lt;=5,0.3*S345-VLOOKUP(B330,INDIRECT($F$8),6+(O345-1)*3),11)),IF(VLOOKUP(B330,INDIRECT($F$8),8+(O345-1)*3)&lt;U345*0.4,IF(U345*0.4-VLOOKUP(B330,INDIRECT($F$8),8+(O345-1)*3)&lt;=5,U345*0.4-VLOOKUP(B330,INDIRECT($F$8),8+(O345-1)*3),11),0))))</f>
        <v>0</v>
      </c>
      <c r="X345" s="1" t="str">
        <f ca="1">IF(ISERROR(F330),"",IF(W345=0,"",_xlfn.TEXTJOIN("",FALSE," G+",W345," in ",A345)))</f>
        <v/>
      </c>
    </row>
    <row r="346" spans="1:24" ht="11.25" customHeight="1" x14ac:dyDescent="0.2">
      <c r="A346" s="7" t="str">
        <f ca="1">IF(ISERROR(F330),"",VLOOKUP(C330,INDIRECT($F$8),6+(O346-1)*3,0))</f>
        <v>CAP 003</v>
      </c>
      <c r="B346" s="41" t="str">
        <f ca="1">IF(ISERROR(F330),"",VLOOKUP(D330,INDIRECT($F$8),6+(O346-1)*3,0))</f>
        <v>Computer Organization Lab</v>
      </c>
      <c r="C346" s="41"/>
      <c r="D346" s="41"/>
      <c r="E346" s="41"/>
      <c r="F346" s="7">
        <f ca="1">IF(ISERROR(F330),"",VLOOKUP(E330,INDIRECT($F$8),6+(O346-1)*3,0))</f>
        <v>1</v>
      </c>
      <c r="G346" s="42" t="str">
        <f ca="1">IF(ISERROR(F330),"",_xlfn.TEXTJOIN("/",FALSE,P346,S346))</f>
        <v>23/30</v>
      </c>
      <c r="H346" s="42"/>
      <c r="I346" s="42" t="str">
        <f ca="1">IF(ISERROR(F330),"",_xlfn.TEXTJOIN("/",FALSE,Q346,T346))</f>
        <v>16/20</v>
      </c>
      <c r="J346" s="42"/>
      <c r="K346" s="42" t="str">
        <f ca="1">IF(ISERROR(F330),"",_xlfn.TEXTJOIN("/",FALSE,R346,U346))</f>
        <v>39/50</v>
      </c>
      <c r="L346" s="42"/>
      <c r="M346" s="7" t="str">
        <f ca="1">IF(ISERROR(F330),"",IF(ISTEXT(P346),IF(P346="A","Ab",IF(P346="D","Dt",IF(P346="UFM","UFM",IF(P346="NA","-")))),IF(AND(ISBLANK(P346),ISBLANK(R346)),"",IF(P346&lt;0.3*S346,"F",IF(ISBLANK(R346),"",IF(ISTEXT(R346),R346,IF(R346&gt;=0.95*U346,"O",IF(R346&gt;=0.9*U346,"A+",IF(R346&gt;=0.85*U346,"A",IF(R346&gt;=0.8*U346,"B+",IF(R346&gt;=0.75*U346,"B",IF(R346&gt;=0.7*U346,"C+",IF(R346&gt;=0.65*U346,"C",IF(R346&gt;=0.6*U346,"D+",IF(R346&gt;=0.55*U346,"D",IF(R346&gt;=0.5*U346,"E+",IF(R346&gt;=0.45*U346,"E",IF(R346&gt;=0.4*U346,"P",IF(R346&lt;0.4*U346,"F",R346)))))))))))))))))))</f>
        <v>B</v>
      </c>
      <c r="N346" s="8">
        <f t="shared" ca="1" si="28"/>
        <v>8</v>
      </c>
      <c r="O346">
        <f t="shared" si="29"/>
        <v>12</v>
      </c>
      <c r="P346" s="1">
        <f ca="1">IF(ISERROR(F330),"",IF(ISTEXT(VLOOKUP(B330,INDIRECT($F$8),6+(O346-1)*3)),(VLOOKUP(B330,INDIRECT($F$8),6+(O346-1)*3)),SUM(VLOOKUP(B330,INDIRECT($F$8),6+(O346-1)*3),IF(W349,W346,0))))</f>
        <v>23</v>
      </c>
      <c r="Q346" s="1">
        <f ca="1">IF(ISERROR(F330),"",VLOOKUP(B330,INDIRECT($F$8),7+(O346-1)*3))</f>
        <v>16</v>
      </c>
      <c r="R346" s="1">
        <f ca="1">IF(ISERROR(F330),"",SUM(P346:Q346))</f>
        <v>39</v>
      </c>
      <c r="S346" s="1">
        <f ca="1">IF(ISERROR(F330),"",VLOOKUP(A330,INDIRECT($F$8),6+(O346-1)*3))</f>
        <v>30</v>
      </c>
      <c r="T346" s="1">
        <f ca="1">IF(ISERROR(F330),"",VLOOKUP(A330,INDIRECT($F$8),7+(O346-1)*3))</f>
        <v>20</v>
      </c>
      <c r="U346" s="1">
        <f ca="1">IF(ISERROR(F330),"",VLOOKUP(A330,INDIRECT($F$8),8+(O346-1)*3))</f>
        <v>50</v>
      </c>
      <c r="V346" s="1" t="str">
        <f ca="1">IF(ISERROR(F330),"",IF(N346=0,A346,""))</f>
        <v/>
      </c>
      <c r="W346" s="1">
        <f ca="1">IF(ISERROR(F330),"",IF(ISTEXT(VLOOKUP(B330,INDIRECT($F$8),6+(O346-1)*3)),11,IF(VLOOKUP(B330,INDIRECT($F$8),6+(O346-1)*3)&lt;S346*0.3,IF(VLOOKUP(B330,INDIRECT($F$8),8+(O346-1)*3)&lt;U346*0.4,IF(AND(0.4*U346-VLOOKUP(B330,INDIRECT($F$8),8+(O346-1)*3)&lt;=5,0.3*S346-VLOOKUP(B330,INDIRECT($F$8),6+(O346-1)*3)&lt;=5),MAX(0.4*U346-VLOOKUP(B330,INDIRECT($F$8),8+(O346-1)*3),0.3*S346-VLOOKUP(B330,INDIRECT($F$8),6+(O346-1)*3)),11),IF(0.3*S346-VLOOKUP(B330,INDIRECT($F$8),6+(O346-1)*3)&lt;=5,0.3*S346-VLOOKUP(B330,INDIRECT($F$8),6+(O346-1)*3),11)),IF(VLOOKUP(B330,INDIRECT($F$8),8+(O346-1)*3)&lt;U346*0.4,IF(U346*0.4-VLOOKUP(B330,INDIRECT($F$8),8+(O346-1)*3)&lt;=5,U346*0.4-VLOOKUP(B330,INDIRECT($F$8),8+(O346-1)*3),11),0))))</f>
        <v>0</v>
      </c>
      <c r="X346" s="1" t="str">
        <f ca="1">IF(ISERROR(F330),"",IF(W346=0,"",_xlfn.TEXTJOIN("",FALSE," G+",W346," in ",A346)))</f>
        <v/>
      </c>
    </row>
    <row r="347" spans="1:24" ht="11.25" customHeight="1" x14ac:dyDescent="0.2">
      <c r="A347" s="7" t="str">
        <f ca="1">IF(ISERROR(F330),"",VLOOKUP(C330,INDIRECT($F$8),6+(O347-1)*3,0))</f>
        <v>AHP 303</v>
      </c>
      <c r="B347" s="41" t="str">
        <f ca="1">IF(ISERROR(F330),"",VLOOKUP(D330,INDIRECT($F$8),6+(O347-1)*3,0))</f>
        <v>Technical Communication Skills</v>
      </c>
      <c r="C347" s="41"/>
      <c r="D347" s="41"/>
      <c r="E347" s="41"/>
      <c r="F347" s="7">
        <f ca="1">IF(ISERROR(F330),"",VLOOKUP(E330,INDIRECT($F$8),6+(O347-1)*3,0))</f>
        <v>1</v>
      </c>
      <c r="G347" s="42" t="str">
        <f ca="1">IF(ISERROR(F330),"",_xlfn.TEXTJOIN("/",FALSE,P347,S347))</f>
        <v>25/30</v>
      </c>
      <c r="H347" s="42"/>
      <c r="I347" s="42" t="str">
        <f ca="1">IF(ISERROR(F330),"",_xlfn.TEXTJOIN("/",FALSE,Q347,T347))</f>
        <v>17/20</v>
      </c>
      <c r="J347" s="42"/>
      <c r="K347" s="42" t="str">
        <f ca="1">IF(ISERROR(F330),"",_xlfn.TEXTJOIN("/",FALSE,R347,U347))</f>
        <v>42/50</v>
      </c>
      <c r="L347" s="42"/>
      <c r="M347" s="7" t="str">
        <f ca="1">IF(ISERROR(F330),"",IF(ISTEXT(P347),IF(P347="A","Ab",IF(P347="D","Dt",IF(P347="UFM","UFM",IF(P347="NA","-")))),IF(AND(ISBLANK(P347),ISBLANK(R347)),"",IF(P347&lt;0.3*S347,"F",IF(ISBLANK(R347),"",IF(ISTEXT(R347),R347,IF(R347&gt;=0.95*U347,"O",IF(R347&gt;=0.9*U347,"A+",IF(R347&gt;=0.85*U347,"A",IF(R347&gt;=0.8*U347,"B+",IF(R347&gt;=0.75*U347,"B",IF(R347&gt;=0.7*U347,"C+",IF(R347&gt;=0.65*U347,"C",IF(R347&gt;=0.6*U347,"D+",IF(R347&gt;=0.55*U347,"D",IF(R347&gt;=0.5*U347,"E+",IF(R347&gt;=0.45*U347,"E",IF(R347&gt;=0.4*U347,"P",IF(R347&lt;0.4*U347,"F",R347)))))))))))))))))))</f>
        <v>B+</v>
      </c>
      <c r="N347" s="8">
        <f t="shared" ca="1" si="28"/>
        <v>8.5</v>
      </c>
      <c r="O347">
        <f t="shared" si="29"/>
        <v>13</v>
      </c>
      <c r="P347" s="1">
        <f ca="1">IF(ISERROR(F330),"",IF(ISTEXT(VLOOKUP(B330,INDIRECT($F$8),6+(O347-1)*3)),(VLOOKUP(B330,INDIRECT($F$8),6+(O347-1)*3)),SUM(VLOOKUP(B330,INDIRECT($F$8),6+(O347-1)*3),IF(W349,W347,0))))</f>
        <v>25</v>
      </c>
      <c r="Q347" s="1">
        <f ca="1">IF(ISERROR(F330),"",VLOOKUP(B330,INDIRECT($F$8),7+(O347-1)*3))</f>
        <v>17</v>
      </c>
      <c r="R347" s="1">
        <f ca="1">IF(ISERROR(F330),"",SUM(P347:Q347))</f>
        <v>42</v>
      </c>
      <c r="S347" s="1">
        <f ca="1">IF(ISERROR(F330),"",VLOOKUP(A330,INDIRECT($F$8),6+(O347-1)*3))</f>
        <v>30</v>
      </c>
      <c r="T347" s="1">
        <f ca="1">IF(ISERROR(F330),"",VLOOKUP(A330,INDIRECT($F$8),7+(O347-1)*3))</f>
        <v>20</v>
      </c>
      <c r="U347" s="1">
        <f ca="1">IF(ISERROR(F330),"",VLOOKUP(A330,INDIRECT($F$8),8+(O347-1)*3))</f>
        <v>50</v>
      </c>
      <c r="V347" s="1"/>
      <c r="W347" s="1">
        <f ca="1">IF(ISERROR(F330),"",IF(ISTEXT(VLOOKUP(B330,INDIRECT($F$8),6+(O347-1)*3)),11,IF(VLOOKUP(B330,INDIRECT($F$8),6+(O347-1)*3)&lt;S347*0.3,IF(VLOOKUP(B330,INDIRECT($F$8),8+(O347-1)*3)&lt;U347*0.4,IF(AND(0.4*U347-VLOOKUP(B330,INDIRECT($F$8),8+(O347-1)*3)&lt;=5,0.3*S347-VLOOKUP(B330,INDIRECT($F$8),6+(O347-1)*3)&lt;=5),MAX(0.4*U347-VLOOKUP(B330,INDIRECT($F$8),8+(O347-1)*3),0.3*S347-VLOOKUP(B330,INDIRECT($F$8),6+(O347-1)*3)),11),IF(0.3*S347-VLOOKUP(B330,INDIRECT($F$8),6+(O347-1)*3)&lt;=5,0.3*S347-VLOOKUP(B330,INDIRECT($F$8),6+(O347-1)*3),11)),IF(VLOOKUP(B330,INDIRECT($F$8),8+(O347-1)*3)&lt;U347*0.4,IF(U347*0.4-VLOOKUP(B330,INDIRECT($F$8),8+(O347-1)*3)&lt;=5,U347*0.4-VLOOKUP(B330,INDIRECT($F$8),8+(O347-1)*3),11),0))))</f>
        <v>0</v>
      </c>
      <c r="X347" s="1" t="str">
        <f ca="1">IF(ISERROR(F330),"",IF(W347=0,"",_xlfn.TEXTJOIN("",FALSE," G+",W347," in ",A347)))</f>
        <v/>
      </c>
    </row>
    <row r="348" spans="1:24" s="32" customFormat="1" ht="11.25" customHeight="1" x14ac:dyDescent="0.2">
      <c r="A348" s="31">
        <f ca="1">IF(ISERROR(F330),"",VLOOKUP(C330,INDIRECT($F$8),6+(O348-1)*3-Y348,0))</f>
        <v>0</v>
      </c>
      <c r="B348" s="49">
        <f ca="1">IF(ISERROR(F330),"",VLOOKUP(D330,INDIRECT($F$8),6+(O348-1)*3-Z348,0))</f>
        <v>0</v>
      </c>
      <c r="C348" s="49"/>
      <c r="D348" s="49"/>
      <c r="E348" s="49"/>
      <c r="F348" s="31">
        <f ca="1">IF(ISERROR(F330),"",VLOOKUP(E330,INDIRECT($F$8),6+(O348-1)*3-AA348,0))</f>
        <v>0</v>
      </c>
      <c r="G348" s="50" t="str">
        <f ca="1">IF(ISERROR(F330),"","-")</f>
        <v>-</v>
      </c>
      <c r="H348" s="50"/>
      <c r="I348" s="50" t="str">
        <f ca="1">IF(ISERROR(F330),"",_xlfn.TEXTJOIN("/",FALSE,Q348,T348))</f>
        <v>0/0</v>
      </c>
      <c r="J348" s="50"/>
      <c r="K348" s="50" t="str">
        <f ca="1">IF(ISERROR(F330),"",_xlfn.TEXTJOIN("/",FALSE,R348,U348))</f>
        <v>0/0</v>
      </c>
      <c r="L348" s="50"/>
      <c r="M348" s="50" t="str">
        <f ca="1">IF(ISBLANK(R348),"",IF(ISTEXT(R348),R348,IF(R348&gt;=0.8*U348,"Excellent",IF(R348&gt;=0.6*U348,"Very Good",IF(R348&gt;=0.4*U348,"Good",IF(R348&gt;=0.2*U348,"Satisfactory","Average"))))))</f>
        <v>Excellent</v>
      </c>
      <c r="N348" s="50"/>
      <c r="O348" s="32">
        <f t="shared" si="29"/>
        <v>14</v>
      </c>
      <c r="P348" s="33">
        <f ca="1">IF(ISERROR(F330),"",IF(ISTEXT(VLOOKUP(B\28,INDIRECT($F$8),6+(O348-1)*3)),(VLOOKUP(B330,INDIRECT($F$8),6+(O348-1)*3)),SUM(VLOOKUP(B330,INDIRECT($F$8),6+(O348-1)*3),IF(W349,W348,0))))</f>
        <v>0</v>
      </c>
      <c r="Q348" s="33">
        <f ca="1">IF(ISERROR(F330),"",VLOOKUP(B330,INDIRECT($F$8),7+(O348-1)*3))</f>
        <v>0</v>
      </c>
      <c r="R348" s="33">
        <f ca="1">IF(ISERROR(F330),"",SUM(P348:Q348))</f>
        <v>0</v>
      </c>
      <c r="S348" s="33">
        <f ca="1">IF(ISERROR(F330),"",VLOOKUP(A330,INDIRECT($F$8),6+(O348-1)*3))</f>
        <v>0</v>
      </c>
      <c r="T348" s="33">
        <f ca="1">IF(ISERROR(F330),"",VLOOKUP(A330,INDIRECT($F$8),7+(O348-1)*3))</f>
        <v>0</v>
      </c>
      <c r="U348" s="33">
        <f ca="1">IF(ISERROR(F330),"",VLOOKUP(A330,INDIRECT($F$8),8+(O348-1)*3))</f>
        <v>0</v>
      </c>
      <c r="V348" s="33"/>
      <c r="W348" s="33"/>
      <c r="X348" s="33" t="str">
        <f ca="1">IF(ISERROR(F330),"",IF(W348=0,"",_xlfn.TEXTJOIN("",FALSE," G+",W348," in ",A348)))</f>
        <v/>
      </c>
    </row>
    <row r="349" spans="1:24" ht="11.25" customHeight="1" x14ac:dyDescent="0.2">
      <c r="A349" s="43" t="str">
        <f ca="1">IF(ISERROR(F330),"",A326)</f>
        <v>Total Credits/ Marks/ Total Grade Points</v>
      </c>
      <c r="B349" s="43"/>
      <c r="C349" s="43"/>
      <c r="D349" s="43"/>
      <c r="E349" s="43"/>
      <c r="F349" s="10">
        <f ca="1">IF(ISERROR(F330),"",SUM(F335:F348))</f>
        <v>24</v>
      </c>
      <c r="G349" s="44" t="str">
        <f ca="1">IF(ISERROR(F330),"",_xlfn.TEXTJOIN("/",TRUE,SUMIF(F335:F348,"&gt;0",P335:P348),SUMIF(F335:F348,"&gt;0",S335:S348)))</f>
        <v>301/620</v>
      </c>
      <c r="H349" s="44"/>
      <c r="I349" s="44" t="str">
        <f ca="1">IF(ISERROR(F330),"",_xlfn.TEXTJOIN("/",TRUE,SUMIF(F335:F348,"&gt;0",Q335:Q348),SUMIF(F335:F348,"&gt;0",T335:T348)))</f>
        <v>224/330</v>
      </c>
      <c r="J349" s="44"/>
      <c r="K349" s="44" t="str">
        <f ca="1">IF(ISERROR(F330),"",_xlfn.TEXTJOIN("/",TRUE,SUMIF(F335:F348,"&gt;0",R335:R348),SUMIF(F335:F348,"&gt;0",U335:U348)))</f>
        <v>525/950</v>
      </c>
      <c r="L349" s="44"/>
      <c r="M349" s="43">
        <f ca="1">IF(ISERROR(F330),"",SUMPRODUCT(N335:N347,F335:F347))</f>
        <v>138.5</v>
      </c>
      <c r="N349" s="43"/>
      <c r="V349" s="1" t="str">
        <f ca="1">IF(ISERROR(F330),"",_xlfn.TEXTJOIN(", ",TRUE,V335:V348))</f>
        <v/>
      </c>
      <c r="W349" t="b">
        <f ca="1">IF(ISERROR(F330),"",IF(SUM(W335:W348)&lt;=W334,TRUE,FALSE))</f>
        <v>1</v>
      </c>
      <c r="X349" s="1" t="str">
        <f ca="1">_xlfn.TEXTJOIN(",",TRUE,X335:X348)</f>
        <v xml:space="preserve"> G+3 in CAT 007</v>
      </c>
    </row>
    <row r="350" spans="1:24" ht="11.25" customHeight="1" x14ac:dyDescent="0.2">
      <c r="A350" s="43" t="str">
        <f ca="1">IF(ISERROR(F330),"",A327)</f>
        <v>Result:</v>
      </c>
      <c r="B350" s="45" t="str">
        <f ca="1">IF(ISERROR(F330),"",IF(V349="","PASS","CARRY OVER"))</f>
        <v>PASS</v>
      </c>
      <c r="C350" s="45"/>
      <c r="D350" s="43" t="str">
        <f ca="1">IF(ISERROR(F330),"",D327)</f>
        <v>Remark:</v>
      </c>
      <c r="E350" s="45" t="str">
        <f ca="1">IF(ISERROR(F330),"",IF(W349,X349,IF(V349="","",_xlfn.TEXTJOIN("",TRUE,"BACK IN ",V349))))</f>
        <v xml:space="preserve"> G+3 in CAT 007</v>
      </c>
      <c r="F350" s="45"/>
      <c r="G350" s="43" t="str">
        <f ca="1">IF(ISERROR(F330),"",G327)</f>
        <v>SGPA:</v>
      </c>
      <c r="H350" s="46">
        <f ca="1">IF(ISERROR(F330),"",M349/F349)</f>
        <v>5.770833333333333</v>
      </c>
      <c r="I350" s="43" t="str">
        <f ca="1">IF(ISERROR(F330),"",I327)</f>
        <v>CGPA:</v>
      </c>
      <c r="J350" s="46">
        <f ca="1">IF(ISERROR(F330),"",VLOOKUP(B330,INDIRECT($F$8),12+(O348-1)*3,0))</f>
        <v>5.770833333333333</v>
      </c>
      <c r="K350" s="45" t="str">
        <f ca="1">IF(ISERROR(F330),"",K327)</f>
        <v>Earned Credits:</v>
      </c>
      <c r="L350" s="43">
        <f ca="1">IF(ISERROR(F330),"",SUMIF(N335:N347,"&gt;0",F335:F347))</f>
        <v>24</v>
      </c>
      <c r="M350" s="45" t="str">
        <f ca="1">IF(ISERROR(F330),"",M327)</f>
        <v>Cuml. Earned Credits:</v>
      </c>
      <c r="N350" s="43">
        <f ca="1">IF(ISERROR(F330),"",VLOOKUP(B330,INDIRECT($F$8),10+(O348-1)*3,0))</f>
        <v>24</v>
      </c>
    </row>
    <row r="351" spans="1:24" ht="11.25" customHeight="1" x14ac:dyDescent="0.2">
      <c r="A351" s="43"/>
      <c r="B351" s="45"/>
      <c r="C351" s="45"/>
      <c r="D351" s="43"/>
      <c r="E351" s="45"/>
      <c r="F351" s="45"/>
      <c r="G351" s="43"/>
      <c r="H351" s="46"/>
      <c r="I351" s="43"/>
      <c r="J351" s="46"/>
      <c r="K351" s="45"/>
      <c r="L351" s="43"/>
      <c r="M351" s="45"/>
      <c r="N351" s="43"/>
    </row>
    <row r="352" spans="1:24" ht="15" x14ac:dyDescent="0.2">
      <c r="A352" s="43"/>
      <c r="B352" s="45"/>
      <c r="C352" s="45"/>
      <c r="D352" s="43"/>
      <c r="E352" s="45"/>
      <c r="F352" s="45"/>
      <c r="G352" s="43"/>
      <c r="H352" s="46"/>
      <c r="I352" s="43"/>
      <c r="J352" s="46"/>
      <c r="K352" s="45"/>
      <c r="L352" s="43"/>
      <c r="M352" s="45"/>
      <c r="N352" s="43"/>
    </row>
    <row r="353" spans="1:24" ht="11.25" customHeight="1" x14ac:dyDescent="0.2">
      <c r="A353" s="11" t="str">
        <f>A330</f>
        <v>MM</v>
      </c>
      <c r="B353" s="11">
        <f>B330+1</f>
        <v>16</v>
      </c>
      <c r="C353" s="11" t="str">
        <f>C330</f>
        <v>SC</v>
      </c>
      <c r="D353" s="11" t="str">
        <f>D330</f>
        <v>SN</v>
      </c>
      <c r="E353" s="11" t="str">
        <f>E330</f>
        <v>C</v>
      </c>
      <c r="F353" s="11" t="str">
        <f ca="1">VLOOKUP(B353,INDIRECT($F$8),4,0)</f>
        <v>ROHIT SINGH</v>
      </c>
    </row>
    <row r="354" spans="1:24" ht="11.25" customHeight="1" x14ac:dyDescent="0.2">
      <c r="A354" s="47" t="str">
        <f ca="1">IF(ISERROR(F353),"",A331)</f>
        <v>Name:</v>
      </c>
      <c r="B354" s="47" t="str">
        <f ca="1">IFERROR(VLOOKUP(B353,INDIRECT($F$8),4,0),"")</f>
        <v>ROHIT SINGH</v>
      </c>
      <c r="C354" s="47"/>
      <c r="D354" s="47" t="str">
        <f ca="1">IF(ISERROR(F353),"",D331)</f>
        <v>Father's Name:</v>
      </c>
      <c r="E354" s="47" t="str">
        <f ca="1">IFERROR(VLOOKUP(B353,INDIRECT($F$8),5,0),"")</f>
        <v>MAHESH CHANDRA SINGH</v>
      </c>
      <c r="F354" s="47"/>
      <c r="G354" s="47" t="str">
        <f ca="1">IF(ISERROR(F353),"",G331)</f>
        <v>University Roll No:</v>
      </c>
      <c r="H354" s="47"/>
      <c r="I354" s="48">
        <f ca="1">IFERROR(VLOOKUP(B353,INDIRECT($F$8),2,0),"")</f>
        <v>250090600016</v>
      </c>
      <c r="J354" s="48"/>
      <c r="K354" s="47" t="str">
        <f ca="1">IF(ISERROR(F353),"",K331)</f>
        <v>University Enrol. No:</v>
      </c>
      <c r="L354" s="47"/>
      <c r="M354" s="48" t="str">
        <f ca="1">IFERROR(VLOOKUP(B353,INDIRECT($F$8),3,0),"")</f>
        <v>PUTU/2506100124</v>
      </c>
      <c r="N354" s="48"/>
    </row>
    <row r="355" spans="1:24" ht="15" x14ac:dyDescent="0.2">
      <c r="A355" s="47"/>
      <c r="B355" s="47"/>
      <c r="C355" s="47"/>
      <c r="D355" s="47"/>
      <c r="E355" s="47"/>
      <c r="F355" s="47"/>
      <c r="G355" s="47"/>
      <c r="H355" s="47"/>
      <c r="I355" s="48"/>
      <c r="J355" s="48"/>
      <c r="K355" s="47"/>
      <c r="L355" s="47"/>
      <c r="M355" s="48"/>
      <c r="N355" s="48"/>
    </row>
    <row r="356" spans="1:24" ht="11.25" customHeight="1" x14ac:dyDescent="0.2">
      <c r="A356" s="45" t="str">
        <f ca="1">IF(ISERROR(F353),"",A333)</f>
        <v>Subject Code</v>
      </c>
      <c r="B356" s="45" t="str">
        <f ca="1">IF(ISERROR(F353),"",B333)</f>
        <v>Subject Name</v>
      </c>
      <c r="C356" s="45"/>
      <c r="D356" s="45"/>
      <c r="E356" s="45"/>
      <c r="F356" s="45" t="str">
        <f ca="1">IF(ISERROR(F353),"",F333)</f>
        <v>Credits</v>
      </c>
      <c r="G356" s="45" t="str">
        <f ca="1">IF(ISERROR(F353),"",G333)</f>
        <v>External Marks</v>
      </c>
      <c r="H356" s="45"/>
      <c r="I356" s="45" t="str">
        <f ca="1">IF(ISERROR(F353),"",I333)</f>
        <v>Sessional Marks</v>
      </c>
      <c r="J356" s="45"/>
      <c r="K356" s="45" t="str">
        <f ca="1">IF(ISERROR(F353),"",K333)</f>
        <v>Total Marks</v>
      </c>
      <c r="L356" s="45"/>
      <c r="M356" s="45" t="str">
        <f ca="1">IF(ISERROR(F353),"",M333)</f>
        <v>Grade</v>
      </c>
      <c r="N356" s="45" t="str">
        <f ca="1">IF(ISERROR(F353),"",N333)</f>
        <v>Grade Points</v>
      </c>
    </row>
    <row r="357" spans="1:24" ht="15" x14ac:dyDescent="0.2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W357">
        <f ca="1">IF(ISNUMBER(MATCH($F$8,{"I","III","V","VII"},0)),10,10-INDEX(INDIRECT(_xlfn.TEXTJOIN("",TRUE,"SEM_",$G$8,"!",ADDRESS(6,4+$I$8*3+4),":",ADDRESS(5+$H$8,4+$I$8*3+4))),MATCH(INDIRECT(_xlfn.TEXTJOIN("",TRUE,"TC_",$F$8,"!",ADDRESS(ROW(I354),COLUMN(I354)))),INDIRECT(_xlfn.TEXTJOIN("",TRUE,"SEM_",$G$8,"!",ADDRESS(6,2),":",ADDRESS(5+$H$8,2))))))</f>
        <v>10</v>
      </c>
    </row>
    <row r="358" spans="1:24" ht="11.25" customHeight="1" x14ac:dyDescent="0.2">
      <c r="A358" s="7" t="str">
        <f ca="1">IF(ISERROR(F353),"",VLOOKUP(C353,INDIRECT($F$8),6+(O358-1)*3,0))</f>
        <v>CAT 004</v>
      </c>
      <c r="B358" s="41" t="str">
        <f ca="1">IF(ISERROR(F353),"",VLOOKUP(D353,INDIRECT($F$8),6+(O358-1)*3,0))</f>
        <v>Discrete Structure</v>
      </c>
      <c r="C358" s="41"/>
      <c r="D358" s="41"/>
      <c r="E358" s="41"/>
      <c r="F358" s="7">
        <f ca="1">IF(ISERROR(F353),"",VLOOKUP(E353,INDIRECT($F$8),6+(O358-1)*3,0))</f>
        <v>4</v>
      </c>
      <c r="G358" s="42" t="str">
        <f ca="1">IF(ISERROR(F353),"",_xlfn.TEXTJOIN("/",FALSE,P358,S358))</f>
        <v>80/100</v>
      </c>
      <c r="H358" s="42"/>
      <c r="I358" s="42" t="str">
        <f ca="1">IF(ISERROR(F353),"",_xlfn.TEXTJOIN("/",FALSE,Q358,T358))</f>
        <v>42/50</v>
      </c>
      <c r="J358" s="42"/>
      <c r="K358" s="42" t="str">
        <f ca="1">IF(ISERROR(F353),"",_xlfn.TEXTJOIN("/",FALSE,R358,U358))</f>
        <v>122/150</v>
      </c>
      <c r="L358" s="42"/>
      <c r="M358" s="7" t="str">
        <f ca="1">IF(ISERROR(F353),"",IF(ISTEXT(P358),IF(P358="A","Ab",IF(P358="D","Dt",IF(P358="UFM","UFM",IF(P358="NA","-")))),IF(AND(ISBLANK(P358),ISBLANK(R358)),"",IF(P358&lt;0.3*S358,"F",IF(ISBLANK(R358),"",IF(ISTEXT(R358),R358,IF(R358&gt;=0.95*U358,"O",IF(R358&gt;=0.9*U358,"A+",IF(R358&gt;=0.85*U358,"A",IF(R358&gt;=0.8*U358,"B+",IF(R358&gt;=0.75*U358,"B",IF(R358&gt;=0.7*U358,"C+",IF(R358&gt;=0.65*U358,"C",IF(R358&gt;=0.6*U358,"D+",IF(R358&gt;=0.55*U358,"D",IF(R358&gt;=0.5*U358,"E+",IF(R358&gt;=0.45*U358,"E",IF(R358&gt;=0.4*U358,"P",IF(R358&lt;0.4*U358,"F",R358)))))))))))))))))))</f>
        <v>B+</v>
      </c>
      <c r="N358" s="8">
        <f ca="1">INDEX($Z$2:$Z$18,MATCH(M358,$Y$2:$Y$18,0))</f>
        <v>8.5</v>
      </c>
      <c r="O358">
        <v>1</v>
      </c>
      <c r="P358" s="1">
        <f ca="1">IF(ISERROR(F353),"",IF(ISTEXT(VLOOKUP(B353,INDIRECT($F$8),6+(O358-1)*3)),(VLOOKUP(B353,INDIRECT($F$8),6+(O358-1)*3)),SUM(VLOOKUP(B353,INDIRECT($F$8),6+(O358-1)*3),IF(W372,W358,0))))</f>
        <v>80</v>
      </c>
      <c r="Q358" s="1">
        <f ca="1">IF(ISERROR(F353),"",VLOOKUP(B353,INDIRECT($F$8),7+(O358-1)*3))</f>
        <v>42</v>
      </c>
      <c r="R358" s="1">
        <f ca="1">IF(ISERROR(F353),"",SUM(P358:Q358))</f>
        <v>122</v>
      </c>
      <c r="S358" s="1">
        <f ca="1">IF(ISERROR(F353),"",VLOOKUP(A353,INDIRECT($F$8),6+(O358-1)*3))</f>
        <v>100</v>
      </c>
      <c r="T358" s="1">
        <f ca="1">IF(ISERROR(F353),"",VLOOKUP(A353,INDIRECT($F$8),7+(O358-1)*3))</f>
        <v>50</v>
      </c>
      <c r="U358" s="1">
        <f ca="1">IF(ISERROR(F353),"",VLOOKUP(A353,INDIRECT($F$8),8+(O358-1)*3))</f>
        <v>150</v>
      </c>
      <c r="V358" s="1" t="str">
        <f ca="1">IF(ISERROR(F353),"",IF(N358=0,A358,""))</f>
        <v/>
      </c>
      <c r="W358" s="1">
        <f ca="1">IF(ISERROR(F353),"",IF(ISTEXT(VLOOKUP(B353,INDIRECT($F$8),6+(O358-1)*3)),11,IF(VLOOKUP(B353,INDIRECT($F$8),6+(O358-1)*3)&lt;S358*0.3,IF(VLOOKUP(B353,INDIRECT($F$8),8+(O358-1)*3)&lt;U358*0.4,IF(AND(0.4*U358-VLOOKUP(B353,INDIRECT($F$8),8+(O358-1)*3)&lt;=5,0.3*S358-VLOOKUP(B353,INDIRECT($F$8),6+(O358-1)*3)&lt;=5),MAX(0.4*U358-VLOOKUP(B353,INDIRECT($F$8),8+(O358-1)*3),0.3*S358-VLOOKUP(B353,INDIRECT($F$8),6+(O358-1)*3)),11),IF(0.3*S358-VLOOKUP(B353,INDIRECT($F$8),6+(O358-1)*3)&lt;=5,0.3*S358-VLOOKUP(B353,INDIRECT($F$8),6+(O358-1)*3),11)),IF(VLOOKUP(B353,INDIRECT($F$8),8+(O358-1)*3)&lt;U358*0.4,IF(U358*0.4-VLOOKUP(B353,INDIRECT($F$8),8+(O358-1)*3)&lt;=5,U358*0.4-VLOOKUP(B353,INDIRECT($F$8),8+(O358-1)*3),11),0))))</f>
        <v>0</v>
      </c>
      <c r="X358" s="1" t="str">
        <f ca="1">IF(ISERROR(F353),"",IF(W358=0,"",_xlfn.TEXTJOIN("",FALSE," G+",W358," in ",A358)))</f>
        <v/>
      </c>
    </row>
    <row r="359" spans="1:24" ht="11.25" customHeight="1" x14ac:dyDescent="0.2">
      <c r="A359" s="7" t="str">
        <f ca="1">IF(ISERROR(F353),"",VLOOKUP(C353,INDIRECT($F$8),6+(O359-1)*3,0))</f>
        <v>CAT 005</v>
      </c>
      <c r="B359" s="41" t="str">
        <f ca="1">IF(ISERROR(F353),"",VLOOKUP(D353,INDIRECT($F$8),6+(O359-1)*3,0))</f>
        <v>Database Management System</v>
      </c>
      <c r="C359" s="41"/>
      <c r="D359" s="41"/>
      <c r="E359" s="41"/>
      <c r="F359" s="7">
        <f ca="1">IF(ISERROR(F353),"",VLOOKUP(E353,INDIRECT($F$8),6+(O359-1)*3,0))</f>
        <v>4</v>
      </c>
      <c r="G359" s="42" t="str">
        <f ca="1">IF(ISERROR(F353),"",_xlfn.TEXTJOIN("/",FALSE,P359,S359))</f>
        <v>57/100</v>
      </c>
      <c r="H359" s="42"/>
      <c r="I359" s="42" t="str">
        <f ca="1">IF(ISERROR(F353),"",_xlfn.TEXTJOIN("/",FALSE,Q359,T359))</f>
        <v>39/50</v>
      </c>
      <c r="J359" s="42"/>
      <c r="K359" s="42" t="str">
        <f ca="1">IF(ISERROR(F353),"",_xlfn.TEXTJOIN("/",FALSE,R359,U359))</f>
        <v>96/150</v>
      </c>
      <c r="L359" s="42"/>
      <c r="M359" s="7" t="str">
        <f ca="1">IF(ISERROR(F353),"",IF(ISTEXT(P359),IF(P359="A","Ab",IF(P359="D","Dt",IF(P359="UFM","UFM",IF(P359="NA","-")))),IF(AND(ISBLANK(P359),ISBLANK(R359)),"",IF(P359&lt;0.3*S359,"F",IF(ISBLANK(R359),"",IF(ISTEXT(R359),R359,IF(R359&gt;=0.95*U359,"O",IF(R359&gt;=0.9*U359,"A+",IF(R359&gt;=0.85*U359,"A",IF(R359&gt;=0.8*U359,"B+",IF(R359&gt;=0.75*U359,"B",IF(R359&gt;=0.7*U359,"C+",IF(R359&gt;=0.65*U359,"C",IF(R359&gt;=0.6*U359,"D+",IF(R359&gt;=0.55*U359,"D",IF(R359&gt;=0.5*U359,"E+",IF(R359&gt;=0.45*U359,"E",IF(R359&gt;=0.4*U359,"P",IF(R359&lt;0.4*U359,"F",R359)))))))))))))))))))</f>
        <v>D+</v>
      </c>
      <c r="N359" s="8">
        <f t="shared" ref="N359:N370" ca="1" si="30">INDEX($Z$2:$Z$18,MATCH(M359,$Y$2:$Y$18,0))</f>
        <v>6.5</v>
      </c>
      <c r="O359">
        <f>O358+1</f>
        <v>2</v>
      </c>
      <c r="P359" s="1">
        <f ca="1">IF(ISERROR(F353),"",IF(ISTEXT(VLOOKUP(B353,INDIRECT($F$8),6+(O359-1)*3)),(VLOOKUP(B353,INDIRECT($F$8),6+(O359-1)*3)),SUM(VLOOKUP(B353,INDIRECT($F$8),6+(O359-1)*3),IF(W372,W359,0))))</f>
        <v>57</v>
      </c>
      <c r="Q359" s="1">
        <f ca="1">IF(ISERROR(F353),"",VLOOKUP(B353,INDIRECT($F$8),7+(O359-1)*3))</f>
        <v>39</v>
      </c>
      <c r="R359" s="1">
        <f ca="1">IF(ISERROR(F353),"",SUM(P359:Q359))</f>
        <v>96</v>
      </c>
      <c r="S359" s="1">
        <f ca="1">IF(ISERROR(F353),"",VLOOKUP(A353,INDIRECT($F$8),6+(O359-1)*3))</f>
        <v>100</v>
      </c>
      <c r="T359" s="1">
        <f ca="1">IF(ISERROR(F353),"",VLOOKUP(A353,INDIRECT($F$8),7+(O359-1)*3))</f>
        <v>50</v>
      </c>
      <c r="U359" s="1">
        <f ca="1">IF(ISERROR(F353),"",VLOOKUP(A353,INDIRECT($F$8),8+(O359-1)*3))</f>
        <v>150</v>
      </c>
      <c r="V359" s="1" t="str">
        <f ca="1">IF(ISERROR(F353),"",IF(N359=0,A359,""))</f>
        <v/>
      </c>
      <c r="W359" s="1">
        <f ca="1">IF(ISERROR(F353),"",IF(ISTEXT(VLOOKUP(B353,INDIRECT($F$8),6+(O359-1)*3)),11,IF(VLOOKUP(B353,INDIRECT($F$8),6+(O359-1)*3)&lt;S359*0.3,IF(VLOOKUP(B353,INDIRECT($F$8),8+(O359-1)*3)&lt;U359*0.4,IF(AND(0.4*U359-VLOOKUP(B353,INDIRECT($F$8),8+(O359-1)*3)&lt;=5,0.3*S359-VLOOKUP(B353,INDIRECT($F$8),6+(O359-1)*3)&lt;=5),MAX(0.4*U359-VLOOKUP(B353,INDIRECT($F$8),8+(O359-1)*3),0.3*S359-VLOOKUP(B353,INDIRECT($F$8),6+(O359-1)*3)),11),IF(0.3*S359-VLOOKUP(B353,INDIRECT($F$8),6+(O359-1)*3)&lt;=5,0.3*S359-VLOOKUP(B353,INDIRECT($F$8),6+(O359-1)*3),11)),IF(VLOOKUP(B353,INDIRECT($F$8),8+(O359-1)*3)&lt;U359*0.4,IF(U359*0.4-VLOOKUP(B353,INDIRECT($F$8),8+(O359-1)*3)&lt;=5,U359*0.4-VLOOKUP(B353,INDIRECT($F$8),8+(O359-1)*3),11),0))))</f>
        <v>0</v>
      </c>
      <c r="X359" s="1" t="str">
        <f ca="1">IF(ISERROR(F353),"",IF(W359=0,"",_xlfn.TEXTJOIN("",FALSE," G+",W359," in ",A359)))</f>
        <v/>
      </c>
    </row>
    <row r="360" spans="1:24" ht="11.25" customHeight="1" x14ac:dyDescent="0.2">
      <c r="A360" s="7" t="str">
        <f ca="1">IF(ISERROR(F353),"",VLOOKUP(C353,INDIRECT($F$8),6+(O360-1)*3,0))</f>
        <v>CAT 006</v>
      </c>
      <c r="B360" s="41" t="str">
        <f ca="1">IF(ISERROR(F353),"",VLOOKUP(D353,INDIRECT($F$8),6+(O360-1)*3,0))</f>
        <v>Operating System</v>
      </c>
      <c r="C360" s="41"/>
      <c r="D360" s="41"/>
      <c r="E360" s="41"/>
      <c r="F360" s="7">
        <f ca="1">IF(ISERROR(F353),"",VLOOKUP(E353,INDIRECT($F$8),6+(O360-1)*3,0))</f>
        <v>4</v>
      </c>
      <c r="G360" s="42" t="str">
        <f ca="1">IF(ISERROR(F353),"",_xlfn.TEXTJOIN("/",FALSE,P360,S360))</f>
        <v>79/100</v>
      </c>
      <c r="H360" s="42"/>
      <c r="I360" s="42" t="str">
        <f ca="1">IF(ISERROR(F353),"",_xlfn.TEXTJOIN("/",FALSE,Q360,T360))</f>
        <v>45/50</v>
      </c>
      <c r="J360" s="42"/>
      <c r="K360" s="42" t="str">
        <f ca="1">IF(ISERROR(F353),"",_xlfn.TEXTJOIN("/",FALSE,R360,U360))</f>
        <v>124/150</v>
      </c>
      <c r="L360" s="42"/>
      <c r="M360" s="7" t="str">
        <f ca="1">IF(ISERROR(F353),"",IF(ISTEXT(P360),IF(P360="A","Ab",IF(P360="D","Dt",IF(P360="UFM","UFM",IF(P360="NA","-")))),IF(AND(ISBLANK(P360),ISBLANK(R360)),"",IF(P360&lt;0.3*S360,"F",IF(ISBLANK(R360),"",IF(ISTEXT(R360),R360,IF(R360&gt;=0.95*U360,"O",IF(R360&gt;=0.9*U360,"A+",IF(R360&gt;=0.85*U360,"A",IF(R360&gt;=0.8*U360,"B+",IF(R360&gt;=0.75*U360,"B",IF(R360&gt;=0.7*U360,"C+",IF(R360&gt;=0.65*U360,"C",IF(R360&gt;=0.6*U360,"D+",IF(R360&gt;=0.55*U360,"D",IF(R360&gt;=0.5*U360,"E+",IF(R360&gt;=0.45*U360,"E",IF(R360&gt;=0.4*U360,"P",IF(R360&lt;0.4*U360,"F",R360)))))))))))))))))))</f>
        <v>B+</v>
      </c>
      <c r="N360" s="8">
        <f t="shared" ca="1" si="30"/>
        <v>8.5</v>
      </c>
      <c r="O360">
        <f>O359+1</f>
        <v>3</v>
      </c>
      <c r="P360" s="1">
        <f ca="1">IF(ISERROR(F353),"",IF(ISTEXT(VLOOKUP(B353,INDIRECT($F$8),6+(O360-1)*3)),(VLOOKUP(B353,INDIRECT($F$8),6+(O360-1)*3)),SUM(VLOOKUP(B353,INDIRECT($F$8),6+(O360-1)*3),IF(W372,W360,0))))</f>
        <v>79</v>
      </c>
      <c r="Q360" s="1">
        <f ca="1">IF(ISERROR(F353),"",VLOOKUP(B353,INDIRECT($F$8),7+(O360-1)*3))</f>
        <v>45</v>
      </c>
      <c r="R360" s="1">
        <f ca="1">IF(ISERROR(F353),"",SUM(P360:Q360))</f>
        <v>124</v>
      </c>
      <c r="S360" s="1">
        <f ca="1">IF(ISERROR(F353),"",VLOOKUP(A353,INDIRECT($F$8),6+(O360-1)*3))</f>
        <v>100</v>
      </c>
      <c r="T360" s="1">
        <f ca="1">IF(ISERROR(F353),"",VLOOKUP(A353,INDIRECT($F$8),7+(O360-1)*3))</f>
        <v>50</v>
      </c>
      <c r="U360" s="1">
        <f ca="1">IF(ISERROR(F353),"",VLOOKUP(A353,INDIRECT($F$8),8+(O360-1)*3))</f>
        <v>150</v>
      </c>
      <c r="V360" s="1" t="str">
        <f ca="1">IF(ISERROR(F353),"",IF(N360=0,A360,""))</f>
        <v/>
      </c>
      <c r="W360" s="1">
        <f ca="1">IF(ISERROR(F353),"",IF(ISTEXT(VLOOKUP(B353,INDIRECT($F$8),6+(O360-1)*3)),11,IF(VLOOKUP(B353,INDIRECT($F$8),6+(O360-1)*3)&lt;S360*0.3,IF(VLOOKUP(B353,INDIRECT($F$8),8+(O360-1)*3)&lt;U360*0.4,IF(AND(0.4*U360-VLOOKUP(B353,INDIRECT($F$8),8+(O360-1)*3)&lt;=5,0.3*S360-VLOOKUP(B353,INDIRECT($F$8),6+(O360-1)*3)&lt;=5),MAX(0.4*U360-VLOOKUP(B353,INDIRECT($F$8),8+(O360-1)*3),0.3*S360-VLOOKUP(B353,INDIRECT($F$8),6+(O360-1)*3)),11),IF(0.3*S360-VLOOKUP(B353,INDIRECT($F$8),6+(O360-1)*3)&lt;=5,0.3*S360-VLOOKUP(B353,INDIRECT($F$8),6+(O360-1)*3),11)),IF(VLOOKUP(B353,INDIRECT($F$8),8+(O360-1)*3)&lt;U360*0.4,IF(U360*0.4-VLOOKUP(B353,INDIRECT($F$8),8+(O360-1)*3)&lt;=5,U360*0.4-VLOOKUP(B353,INDIRECT($F$8),8+(O360-1)*3),11),0))))</f>
        <v>0</v>
      </c>
      <c r="X360" s="1" t="str">
        <f ca="1">IF(ISERROR(F353),"",IF(W360=0,"",_xlfn.TEXTJOIN("",FALSE," G+",W360," in ",A360)))</f>
        <v/>
      </c>
    </row>
    <row r="361" spans="1:24" ht="11.25" customHeight="1" x14ac:dyDescent="0.2">
      <c r="A361" s="7" t="str">
        <f ca="1">IF(ISERROR(F353),"",VLOOKUP(C353,INDIRECT($F$8),6+(O361-1)*3,0))</f>
        <v>CAT 007</v>
      </c>
      <c r="B361" s="41" t="str">
        <f ca="1">IF(ISERROR(F353),"",VLOOKUP(D353,INDIRECT($F$8),6+(O361-1)*3,0))</f>
        <v>Computer Organization</v>
      </c>
      <c r="C361" s="41"/>
      <c r="D361" s="41"/>
      <c r="E361" s="41"/>
      <c r="F361" s="7">
        <f ca="1">IF(ISERROR(F353),"",VLOOKUP(E353,INDIRECT($F$8),6+(O361-1)*3,0))</f>
        <v>4</v>
      </c>
      <c r="G361" s="42" t="str">
        <f ca="1">IF(ISERROR(F353),"",_xlfn.TEXTJOIN("/",FALSE,P361,S361))</f>
        <v>75/100</v>
      </c>
      <c r="H361" s="42"/>
      <c r="I361" s="42" t="str">
        <f ca="1">IF(ISERROR(F353),"",_xlfn.TEXTJOIN("/",FALSE,Q361,T361))</f>
        <v>49/50</v>
      </c>
      <c r="J361" s="42"/>
      <c r="K361" s="42" t="str">
        <f ca="1">IF(ISERROR(F353),"",_xlfn.TEXTJOIN("/",FALSE,R361,U361))</f>
        <v>124/150</v>
      </c>
      <c r="L361" s="42"/>
      <c r="M361" s="7" t="str">
        <f ca="1">IF(ISERROR(F353),"",IF(ISTEXT(P361),IF(P361="A","Ab",IF(P361="D","Dt",IF(P361="UFM","UFM",IF(P361="NA","-")))),IF(AND(ISBLANK(P361),ISBLANK(R361)),"",IF(P361&lt;0.3*S361,"F",IF(ISBLANK(R361),"",IF(ISTEXT(R361),R361,IF(R361&gt;=0.95*U361,"O",IF(R361&gt;=0.9*U361,"A+",IF(R361&gt;=0.85*U361,"A",IF(R361&gt;=0.8*U361,"B+",IF(R361&gt;=0.75*U361,"B",IF(R361&gt;=0.7*U361,"C+",IF(R361&gt;=0.65*U361,"C",IF(R361&gt;=0.6*U361,"D+",IF(R361&gt;=0.55*U361,"D",IF(R361&gt;=0.5*U361,"E+",IF(R361&gt;=0.45*U361,"E",IF(R361&gt;=0.4*U361,"P",IF(R361&lt;0.4*U361,"F",R361)))))))))))))))))))</f>
        <v>B+</v>
      </c>
      <c r="N361" s="8">
        <f t="shared" ca="1" si="30"/>
        <v>8.5</v>
      </c>
      <c r="O361">
        <f>O360+1</f>
        <v>4</v>
      </c>
      <c r="P361" s="1">
        <f ca="1">IF(ISERROR(F353),"",IF(ISTEXT(VLOOKUP(B353,INDIRECT($F$8),6+(O361-1)*3)),(VLOOKUP(B353,INDIRECT($F$8),6+(O361-1)*3)),SUM(VLOOKUP(B353,INDIRECT($F$8),6+(O361-1)*3),IF(W372,W361,0))))</f>
        <v>75</v>
      </c>
      <c r="Q361" s="1">
        <f ca="1">IF(ISERROR(F353),"",VLOOKUP(B353,INDIRECT($F$8),7+(O361-1)*3))</f>
        <v>49</v>
      </c>
      <c r="R361" s="1">
        <f ca="1">IF(ISERROR(F353),"",SUM(P361:Q361))</f>
        <v>124</v>
      </c>
      <c r="S361" s="1">
        <f ca="1">IF(ISERROR(F353),"",VLOOKUP(A353,INDIRECT($F$8),6+(O361-1)*3))</f>
        <v>100</v>
      </c>
      <c r="T361" s="1">
        <f ca="1">IF(ISERROR(F353),"",VLOOKUP(A353,INDIRECT($F$8),7+(O361-1)*3))</f>
        <v>50</v>
      </c>
      <c r="U361" s="1">
        <f ca="1">IF(ISERROR(F353),"",VLOOKUP(A353,INDIRECT($F$8),8+(O361-1)*3))</f>
        <v>150</v>
      </c>
      <c r="V361" s="1" t="str">
        <f ca="1">IF(ISERROR(F353),"",IF(N361=0,A361,""))</f>
        <v/>
      </c>
      <c r="W361" s="1">
        <f ca="1">IF(ISERROR(F353),"",IF(ISTEXT(VLOOKUP(B353,INDIRECT($F$8),6+(O361-1)*3)),11,IF(VLOOKUP(B353,INDIRECT($F$8),6+(O361-1)*3)&lt;S361*0.3,IF(VLOOKUP(B353,INDIRECT($F$8),8+(O361-1)*3)&lt;U361*0.4,IF(AND(0.4*U361-VLOOKUP(B353,INDIRECT($F$8),8+(O361-1)*3)&lt;=5,0.3*S361-VLOOKUP(B353,INDIRECT($F$8),6+(O361-1)*3)&lt;=5),MAX(0.4*U361-VLOOKUP(B353,INDIRECT($F$8),8+(O361-1)*3),0.3*S361-VLOOKUP(B353,INDIRECT($F$8),6+(O361-1)*3)),11),IF(0.3*S361-VLOOKUP(B353,INDIRECT($F$8),6+(O361-1)*3)&lt;=5,0.3*S361-VLOOKUP(B353,INDIRECT($F$8),6+(O361-1)*3),11)),IF(VLOOKUP(B353,INDIRECT($F$8),8+(O361-1)*3)&lt;U361*0.4,IF(U361*0.4-VLOOKUP(B353,INDIRECT($F$8),8+(O361-1)*3)&lt;=5,U361*0.4-VLOOKUP(B353,INDIRECT($F$8),8+(O361-1)*3),11),0))))</f>
        <v>0</v>
      </c>
      <c r="X361" s="1" t="str">
        <f ca="1">IF(ISERROR(F353),"",IF(W361=0,"",_xlfn.TEXTJOIN("",FALSE," G+",W361," in ",A361)))</f>
        <v/>
      </c>
    </row>
    <row r="362" spans="1:24" ht="11.25" customHeight="1" x14ac:dyDescent="0.2">
      <c r="A362" s="7" t="str">
        <f ca="1">IF(ISERROR(F353),"",VLOOKUP(C353,INDIRECT($F$8),6+(O362-1)*3,0))</f>
        <v>AHT 303</v>
      </c>
      <c r="B362" s="41" t="str">
        <f ca="1">IF(ISERROR(F353),"",VLOOKUP(D353,INDIRECT($F$8),6+(O362-1)*3,0))</f>
        <v>Technical Communication Skills</v>
      </c>
      <c r="C362" s="41"/>
      <c r="D362" s="41"/>
      <c r="E362" s="41"/>
      <c r="F362" s="7">
        <f ca="1">IF(ISERROR(F353),"",VLOOKUP(E353,INDIRECT($F$8),6+(O362-1)*3,0))</f>
        <v>4</v>
      </c>
      <c r="G362" s="42" t="str">
        <f ca="1">IF(ISERROR(F353),"",_xlfn.TEXTJOIN("/",FALSE,P362,S362))</f>
        <v>83/100</v>
      </c>
      <c r="H362" s="42"/>
      <c r="I362" s="42" t="str">
        <f ca="1">IF(ISERROR(F353),"",_xlfn.TEXTJOIN("/",FALSE,Q362,T362))</f>
        <v>49/50</v>
      </c>
      <c r="J362" s="42"/>
      <c r="K362" s="42" t="str">
        <f ca="1">IF(ISERROR(F353),"",_xlfn.TEXTJOIN("/",FALSE,R362,U362))</f>
        <v>132/150</v>
      </c>
      <c r="L362" s="42"/>
      <c r="M362" s="7" t="str">
        <f ca="1">IF(ISERROR(F353),"",IF(ISTEXT(P362),IF(P362="A","Ab",IF(P362="D","Dt",IF(P362="UFM","UFM",IF(P362="NA","-")))),IF(AND(ISBLANK(P362),ISBLANK(R362)),"",IF(P362&lt;0.3*S362,"F",IF(ISBLANK(R362),"",IF(ISTEXT(R362),R362,IF(R362&gt;=0.95*U362,"O",IF(R362&gt;=0.9*U362,"A+",IF(R362&gt;=0.85*U362,"A",IF(R362&gt;=0.8*U362,"B+",IF(R362&gt;=0.75*U362,"B",IF(R362&gt;=0.7*U362,"C+",IF(R362&gt;=0.65*U362,"C",IF(R362&gt;=0.6*U362,"D+",IF(R362&gt;=0.55*U362,"D",IF(R362&gt;=0.5*U362,"E+",IF(R362&gt;=0.45*U362,"E",IF(R362&gt;=0.4*U362,"P",IF(R362&lt;0.4*U362,"F",R362)))))))))))))))))))</f>
        <v>A</v>
      </c>
      <c r="N362" s="8">
        <f t="shared" ca="1" si="30"/>
        <v>9</v>
      </c>
      <c r="O362">
        <f t="shared" ref="O362:O371" si="31">O361+1</f>
        <v>5</v>
      </c>
      <c r="P362" s="1">
        <f ca="1">IF(ISERROR(F353),"",IF(ISTEXT(VLOOKUP(B353,INDIRECT($F$8),6+(O362-1)*3)),(VLOOKUP(B353,INDIRECT($F$8),6+(O362-1)*3)),SUM(VLOOKUP(B353,INDIRECT($F$8),6+(O362-1)*3),IF(W372,W362,0))))</f>
        <v>83</v>
      </c>
      <c r="Q362" s="1">
        <f ca="1">IF(ISERROR(F353),"",VLOOKUP(B353,INDIRECT($F$8),7+(O362-1)*3))</f>
        <v>49</v>
      </c>
      <c r="R362" s="1">
        <f ca="1">IF(ISERROR(F353),"",SUM(P362:Q362))</f>
        <v>132</v>
      </c>
      <c r="S362" s="1">
        <f ca="1">IF(ISERROR(F353),"",VLOOKUP(A353,INDIRECT($F$8),6+(O362-1)*3))</f>
        <v>100</v>
      </c>
      <c r="T362" s="1">
        <f ca="1">IF(ISERROR(F353),"",VLOOKUP(A353,INDIRECT($F$8),7+(O362-1)*3))</f>
        <v>50</v>
      </c>
      <c r="U362" s="1">
        <f ca="1">IF(ISERROR(F353),"",VLOOKUP(A353,INDIRECT($F$8),8+(O362-1)*3))</f>
        <v>150</v>
      </c>
      <c r="V362" s="1" t="str">
        <f ca="1">IF(ISERROR(F353),"",IF(N362=0,A362,""))</f>
        <v/>
      </c>
      <c r="W362" s="1">
        <f ca="1">IF(ISERROR(F353),"",IF(ISTEXT(VLOOKUP(B353,INDIRECT($F$8),6+(O362-1)*3)),11,IF(VLOOKUP(B353,INDIRECT($F$8),6+(O362-1)*3)&lt;S362*0.3,IF(VLOOKUP(B353,INDIRECT($F$8),8+(O362-1)*3)&lt;U362*0.4,IF(AND(0.4*U362-VLOOKUP(B353,INDIRECT($F$8),8+(O362-1)*3)&lt;=5,0.3*S362-VLOOKUP(B353,INDIRECT($F$8),6+(O362-1)*3)&lt;=5),MAX(0.4*U362-VLOOKUP(B353,INDIRECT($F$8),8+(O362-1)*3),0.3*S362-VLOOKUP(B353,INDIRECT($F$8),6+(O362-1)*3)),11),IF(0.3*S362-VLOOKUP(B353,INDIRECT($F$8),6+(O362-1)*3)&lt;=5,0.3*S362-VLOOKUP(B353,INDIRECT($F$8),6+(O362-1)*3),11)),IF(VLOOKUP(B353,INDIRECT($F$8),8+(O362-1)*3)&lt;U362*0.4,IF(U362*0.4-VLOOKUP(B353,INDIRECT($F$8),8+(O362-1)*3)&lt;=5,U362*0.4-VLOOKUP(B353,INDIRECT($F$8),8+(O362-1)*3),11),0))))</f>
        <v>0</v>
      </c>
      <c r="X362" s="1" t="str">
        <f ca="1">IF(ISERROR(F353),"",IF(W362=0,"",_xlfn.TEXTJOIN("",FALSE," G+",W362," in ",A362)))</f>
        <v/>
      </c>
    </row>
    <row r="363" spans="1:24" ht="11.25" customHeight="1" x14ac:dyDescent="0.2">
      <c r="A363" s="7" t="str">
        <f ca="1">IF(ISERROR(F353),"",VLOOKUP(C353,INDIRECT($F$8),6+(O363-1)*3,0))</f>
        <v>CAT 008</v>
      </c>
      <c r="B363" s="41" t="str">
        <f ca="1">IF(ISERROR(F353),"",VLOOKUP(D353,INDIRECT($F$8),6+(O363-1)*3,0))</f>
        <v>Python Programming ($)</v>
      </c>
      <c r="C363" s="41"/>
      <c r="D363" s="41"/>
      <c r="E363" s="41"/>
      <c r="F363" s="7">
        <f ca="1">IF(ISERROR(F353),"",VLOOKUP(E353,INDIRECT($F$8),6+(O363-1)*3,0))</f>
        <v>0</v>
      </c>
      <c r="G363" s="42" t="str">
        <f ca="1">IF(ISERROR(F353),"",_xlfn.TEXTJOIN("/",FALSE,P363,S363))</f>
        <v>17/30</v>
      </c>
      <c r="H363" s="42"/>
      <c r="I363" s="42" t="str">
        <f ca="1">IF(ISERROR(F353),"",_xlfn.TEXTJOIN("/",FALSE,Q363,T363))</f>
        <v>15/20</v>
      </c>
      <c r="J363" s="42"/>
      <c r="K363" s="42" t="str">
        <f ca="1">IF(ISERROR(F353),"",_xlfn.TEXTJOIN("/",FALSE,R363,U363))</f>
        <v>32/50</v>
      </c>
      <c r="L363" s="42"/>
      <c r="M363" s="7" t="str">
        <f ca="1">IF(ISERROR(F353),"",IF(ISTEXT(P363),IF(P363="A","Ab",IF(P363="D","Dt",IF(P363="UFM","UFM",IF(P363="NA","-")))),IF(AND(ISBLANK(P363),ISBLANK(R363)),"",IF(P363&lt;0.3*S363,"F",IF(ISBLANK(R363),"",IF(ISTEXT(R363),R363,IF(R363&gt;=0.95*U363,"O",IF(R363&gt;=0.9*U363,"A+",IF(R363&gt;=0.85*U363,"A",IF(R363&gt;=0.8*U363,"B+",IF(R363&gt;=0.75*U363,"B",IF(R363&gt;=0.7*U363,"C+",IF(R363&gt;=0.65*U363,"C",IF(R363&gt;=0.6*U363,"D+",IF(R363&gt;=0.55*U363,"D",IF(R363&gt;=0.5*U363,"E+",IF(R363&gt;=0.45*U363,"E",IF(R363&gt;=0.4*U363,"P",IF(R363&lt;0.4*U363,"F",R363)))))))))))))))))))</f>
        <v>D+</v>
      </c>
      <c r="N363" s="8">
        <f t="shared" ca="1" si="30"/>
        <v>6.5</v>
      </c>
      <c r="O363">
        <f t="shared" si="31"/>
        <v>6</v>
      </c>
      <c r="P363" s="1">
        <f ca="1">IF(ISERROR(F353),"",IF(ISTEXT(VLOOKUP(B353,INDIRECT($F$8),6+(O363-1)*3)),(VLOOKUP(B353,INDIRECT($F$8),6+(O363-1)*3)),SUM(VLOOKUP(B353,INDIRECT($F$8),6+(O363-1)*3),IF(W372,W363,0))))</f>
        <v>17</v>
      </c>
      <c r="Q363" s="1">
        <f ca="1">IF(ISERROR(F353),"",VLOOKUP(B353,INDIRECT($F$8),7+(O363-1)*3))</f>
        <v>15</v>
      </c>
      <c r="R363" s="1">
        <f ca="1">IF(ISERROR(F353),"",SUM(P363:Q363))</f>
        <v>32</v>
      </c>
      <c r="S363" s="1">
        <f ca="1">IF(ISERROR(F353),"",VLOOKUP(A353,INDIRECT($F$8),6+(O363-1)*3))</f>
        <v>30</v>
      </c>
      <c r="T363" s="1">
        <f ca="1">IF(ISERROR(F353),"",VLOOKUP(A353,INDIRECT($F$8),7+(O363-1)*3))</f>
        <v>20</v>
      </c>
      <c r="U363" s="1">
        <f ca="1">IF(ISERROR(F353),"",VLOOKUP(A353,INDIRECT($F$8),8+(O363-1)*3))</f>
        <v>50</v>
      </c>
      <c r="V363" s="1" t="str">
        <f ca="1">IF(ISERROR(F353),"",IF(N363=0,A363,""))</f>
        <v/>
      </c>
      <c r="W363" s="1">
        <f ca="1">IF(ISERROR(F353),"",IF(ISTEXT(VLOOKUP(B353,INDIRECT($F$8),6+(O363-1)*3)),11,IF(VLOOKUP(B353,INDIRECT($F$8),6+(O363-1)*3)&lt;S363*0.3,IF(VLOOKUP(B353,INDIRECT($F$8),8+(O363-1)*3)&lt;U363*0.4,IF(AND(0.4*U363-VLOOKUP(B353,INDIRECT($F$8),8+(O363-1)*3)&lt;=5,0.3*S363-VLOOKUP(B353,INDIRECT($F$8),6+(O363-1)*3)&lt;=5),MAX(0.4*U363-VLOOKUP(B353,INDIRECT($F$8),8+(O363-1)*3),0.3*S363-VLOOKUP(B353,INDIRECT($F$8),6+(O363-1)*3)),11),IF(0.3*S363-VLOOKUP(B353,INDIRECT($F$8),6+(O363-1)*3)&lt;=5,0.3*S363-VLOOKUP(B353,INDIRECT($F$8),6+(O363-1)*3),11)),IF(VLOOKUP(B353,INDIRECT($F$8),8+(O363-1)*3)&lt;U363*0.4,IF(U363*0.4-VLOOKUP(B353,INDIRECT($F$8),8+(O363-1)*3)&lt;=5,U363*0.4-VLOOKUP(B353,INDIRECT($F$8),8+(O363-1)*3),11),0))))</f>
        <v>0</v>
      </c>
      <c r="X363" s="1" t="str">
        <f ca="1">IF(ISERROR(F353),"",IF(W363=0,"",_xlfn.TEXTJOIN("",FALSE," G+",W363," in ",A363)))</f>
        <v/>
      </c>
    </row>
    <row r="364" spans="1:24" ht="11.25" customHeight="1" x14ac:dyDescent="0.2">
      <c r="A364" s="7" t="str">
        <f ca="1">IF(ISERROR(F353),"",VLOOKUP(C353,INDIRECT($F$8),6+(O364-1)*3,0))</f>
        <v>CAT 001</v>
      </c>
      <c r="B364" s="41" t="str">
        <f ca="1">IF(ISERROR(F353),"",VLOOKUP(D353,INDIRECT($F$8),6+(O364-1)*3,0))</f>
        <v>Introduction of Information Technology ($)</v>
      </c>
      <c r="C364" s="41"/>
      <c r="D364" s="41"/>
      <c r="E364" s="41"/>
      <c r="F364" s="7">
        <f ca="1">IF(ISERROR(F353),"",VLOOKUP(E353,INDIRECT($F$8),6+(O364-1)*3,0))</f>
        <v>0</v>
      </c>
      <c r="G364" s="42" t="str">
        <f ca="1">IF(ISERROR(F353),"",_xlfn.TEXTJOIN("/",FALSE,P364,S364))</f>
        <v>NA/30</v>
      </c>
      <c r="H364" s="42"/>
      <c r="I364" s="42" t="str">
        <f ca="1">IF(ISERROR(F353),"",_xlfn.TEXTJOIN("/",FALSE,Q364,T364))</f>
        <v>NA/20</v>
      </c>
      <c r="J364" s="42"/>
      <c r="K364" s="42" t="str">
        <f ca="1">IF(ISERROR(F353),"",_xlfn.TEXTJOIN("/",FALSE,R364,U364))</f>
        <v>0/50</v>
      </c>
      <c r="L364" s="42"/>
      <c r="M364" s="7" t="str">
        <f ca="1">IF(ISERROR(F353),"",IF(ISTEXT(P364),IF(P364="A","Ab",IF(P364="D","Dt",IF(P364="UFM","UFM",IF(P364="NA","-")))),IF(AND(ISBLANK(P364),ISBLANK(R364)),"",IF(P364&lt;0.3*S364,"F",IF(ISBLANK(R364),"",IF(ISTEXT(R364),R364,IF(R364&gt;=0.95*U364,"O",IF(R364&gt;=0.9*U364,"A+",IF(R364&gt;=0.85*U364,"A",IF(R364&gt;=0.8*U364,"B+",IF(R364&gt;=0.75*U364,"B",IF(R364&gt;=0.7*U364,"C+",IF(R364&gt;=0.65*U364,"C",IF(R364&gt;=0.6*U364,"D+",IF(R364&gt;=0.55*U364,"D",IF(R364&gt;=0.5*U364,"E+",IF(R364&gt;=0.45*U364,"E",IF(R364&gt;=0.4*U364,"P",IF(R364&lt;0.4*U364,"F",R364)))))))))))))))))))</f>
        <v>-</v>
      </c>
      <c r="N364" s="8" t="str">
        <f t="shared" ca="1" si="30"/>
        <v>-</v>
      </c>
      <c r="O364">
        <f t="shared" si="31"/>
        <v>7</v>
      </c>
      <c r="P364" s="1" t="str">
        <f ca="1">IF(ISERROR(F353),"",IF(ISTEXT(VLOOKUP(B353,INDIRECT($F$8),6+(O364-1)*3)),(VLOOKUP(B353,INDIRECT($F$8),6+(O364-1)*3)),SUM(VLOOKUP(B353,INDIRECT($F$8),6+(O364-1)*3),IF(W372,W364,0))))</f>
        <v>NA</v>
      </c>
      <c r="Q364" s="1" t="str">
        <f ca="1">IF(ISERROR(F353),"",VLOOKUP(B353,INDIRECT($F$8),7+(O364-1)*3))</f>
        <v>NA</v>
      </c>
      <c r="R364" s="1">
        <f ca="1">IF(ISERROR(F353),"",SUM(P364:Q364))</f>
        <v>0</v>
      </c>
      <c r="S364" s="1">
        <f ca="1">IF(ISERROR(F353),"",VLOOKUP(A353,INDIRECT($F$8),6+(O364-1)*3))</f>
        <v>30</v>
      </c>
      <c r="T364" s="1">
        <f ca="1">IF(ISERROR(F353),"",VLOOKUP(A353,INDIRECT($F$8),7+(O364-1)*3))</f>
        <v>20</v>
      </c>
      <c r="U364" s="1">
        <f ca="1">IF(ISERROR(F353),"",VLOOKUP(A353,INDIRECT($F$8),8+(O364-1)*3))</f>
        <v>50</v>
      </c>
      <c r="V364" s="1" t="str">
        <f ca="1">IF(ISERROR(F353),"",IF(N364=0,A364,""))</f>
        <v/>
      </c>
      <c r="W364" s="1">
        <f ca="1">IF(ISERROR(F353),"",IF(ISTEXT(VLOOKUP(B353,INDIRECT($F$8),6+(O364-1)*3)),11,IF(VLOOKUP(B353,INDIRECT($F$8),6+(O364-1)*3)&lt;S364*0.3,IF(VLOOKUP(B353,INDIRECT($F$8),8+(O364-1)*3)&lt;U364*0.4,IF(AND(0.4*U364-VLOOKUP(B353,INDIRECT($F$8),8+(O364-1)*3)&lt;=5,0.3*S364-VLOOKUP(B353,INDIRECT($F$8),6+(O364-1)*3)&lt;=5),MAX(0.4*U364-VLOOKUP(B353,INDIRECT($F$8),8+(O364-1)*3),0.3*S364-VLOOKUP(B353,INDIRECT($F$8),6+(O364-1)*3)),11),IF(0.3*S364-VLOOKUP(B353,INDIRECT($F$8),6+(O364-1)*3)&lt;=5,0.3*S364-VLOOKUP(B353,INDIRECT($F$8),6+(O364-1)*3),11)),IF(VLOOKUP(B353,INDIRECT($F$8),8+(O364-1)*3)&lt;U364*0.4,IF(U364*0.4-VLOOKUP(B353,INDIRECT($F$8),8+(O364-1)*3)&lt;=5,U364*0.4-VLOOKUP(B353,INDIRECT($F$8),8+(O364-1)*3),11),0))))</f>
        <v>11</v>
      </c>
      <c r="X364" s="1" t="str">
        <f ca="1">IF(ISERROR(F353),"",IF(W364=0,"",_xlfn.TEXTJOIN("",FALSE," G+",W364," in ",A364)))</f>
        <v xml:space="preserve"> G+11 in CAT 001</v>
      </c>
    </row>
    <row r="365" spans="1:24" ht="11.25" customHeight="1" x14ac:dyDescent="0.2">
      <c r="A365" s="7" t="str">
        <f ca="1">IF(ISERROR(F353),"",VLOOKUP(C353,INDIRECT($F$8),6+(O365-1)*3,0))</f>
        <v>CAT 002</v>
      </c>
      <c r="B365" s="41" t="str">
        <f ca="1">IF(ISERROR(F353),"",VLOOKUP(D353,INDIRECT($F$8),6+(O365-1)*3,0))</f>
        <v>Programming Fundamentals with "C" ($)</v>
      </c>
      <c r="C365" s="41"/>
      <c r="D365" s="41"/>
      <c r="E365" s="41"/>
      <c r="F365" s="7">
        <f ca="1">IF(ISERROR(F353),"",VLOOKUP(E353,INDIRECT($F$8),6+(O365-1)*3,0))</f>
        <v>0</v>
      </c>
      <c r="G365" s="42" t="str">
        <f ca="1">IF(ISERROR(F353),"",_xlfn.TEXTJOIN("/",FALSE,P365,S365))</f>
        <v>NA/30</v>
      </c>
      <c r="H365" s="42"/>
      <c r="I365" s="42" t="str">
        <f ca="1">IF(ISERROR(F353),"",_xlfn.TEXTJOIN("/",FALSE,Q365,T365))</f>
        <v>NA/20</v>
      </c>
      <c r="J365" s="42"/>
      <c r="K365" s="42" t="str">
        <f ca="1">IF(ISERROR(F353),"",_xlfn.TEXTJOIN("/",FALSE,R365,U365))</f>
        <v>0/50</v>
      </c>
      <c r="L365" s="42"/>
      <c r="M365" s="7" t="str">
        <f ca="1">IF(ISERROR(F353),"",IF(ISTEXT(P365),IF(P365="A","Ab",IF(P365="D","Dt",IF(P365="UFM","UFM",IF(P365="NA","-")))),IF(AND(ISBLANK(P365),ISBLANK(R365)),"",IF(P365&lt;0.3*S365,"F",IF(ISBLANK(R365),"",IF(ISTEXT(R365),R365,IF(R365&gt;=0.95*U365,"O",IF(R365&gt;=0.9*U365,"A+",IF(R365&gt;=0.85*U365,"A",IF(R365&gt;=0.8*U365,"B+",IF(R365&gt;=0.75*U365,"B",IF(R365&gt;=0.7*U365,"C+",IF(R365&gt;=0.65*U365,"C",IF(R365&gt;=0.6*U365,"D+",IF(R365&gt;=0.55*U365,"D",IF(R365&gt;=0.5*U365,"E+",IF(R365&gt;=0.45*U365,"E",IF(R365&gt;=0.4*U365,"P",IF(R365&lt;0.4*U365,"F",R365)))))))))))))))))))</f>
        <v>-</v>
      </c>
      <c r="N365" s="8" t="str">
        <f t="shared" ca="1" si="30"/>
        <v>-</v>
      </c>
      <c r="O365">
        <f t="shared" si="31"/>
        <v>8</v>
      </c>
      <c r="P365" s="1" t="str">
        <f ca="1">IF(ISERROR(F353),"",IF(ISTEXT(VLOOKUP(B353,INDIRECT($F$8),6+(O365-1)*3)),(VLOOKUP(B353,INDIRECT($F$8),6+(O365-1)*3)),SUM(VLOOKUP(B353,INDIRECT($F$8),6+(O365-1)*3),IF(W372,W365,0))))</f>
        <v>NA</v>
      </c>
      <c r="Q365" s="1" t="str">
        <f ca="1">IF(ISERROR(F353),"",VLOOKUP(B353,INDIRECT($F$8),7+(O365-1)*3))</f>
        <v>NA</v>
      </c>
      <c r="R365" s="1">
        <f ca="1">IF(ISERROR(F353),"",SUM(P365:Q365))</f>
        <v>0</v>
      </c>
      <c r="S365" s="1">
        <f ca="1">IF(ISERROR(F353),"",VLOOKUP(A353,INDIRECT($F$8),6+(O365-1)*3))</f>
        <v>30</v>
      </c>
      <c r="T365" s="1">
        <f ca="1">IF(ISERROR(F353),"",VLOOKUP(A353,INDIRECT($F$8),7+(O365-1)*3))</f>
        <v>20</v>
      </c>
      <c r="U365" s="1">
        <f ca="1">IF(ISERROR(F353),"",VLOOKUP(A353,INDIRECT($F$8),8+(O365-1)*3))</f>
        <v>50</v>
      </c>
      <c r="V365" s="1" t="str">
        <f ca="1">IF(ISERROR(F353),"",IF(N365=0,A365,""))</f>
        <v/>
      </c>
      <c r="W365" s="1">
        <f ca="1">IF(ISERROR(F353),"",IF(ISTEXT(VLOOKUP(B353,INDIRECT($F$8),6+(O365-1)*3)),11,IF(VLOOKUP(B353,INDIRECT($F$8),6+(O365-1)*3)&lt;S365*0.3,IF(VLOOKUP(B353,INDIRECT($F$8),8+(O365-1)*3)&lt;U365*0.4,IF(AND(0.4*U365-VLOOKUP(B353,INDIRECT($F$8),8+(O365-1)*3)&lt;=5,0.3*S365-VLOOKUP(B353,INDIRECT($F$8),6+(O365-1)*3)&lt;=5),MAX(0.4*U365-VLOOKUP(B353,INDIRECT($F$8),8+(O365-1)*3),0.3*S365-VLOOKUP(B353,INDIRECT($F$8),6+(O365-1)*3)),11),IF(0.3*S365-VLOOKUP(B353,INDIRECT($F$8),6+(O365-1)*3)&lt;=5,0.3*S365-VLOOKUP(B353,INDIRECT($F$8),6+(O365-1)*3),11)),IF(VLOOKUP(B353,INDIRECT($F$8),8+(O365-1)*3)&lt;U365*0.4,IF(U365*0.4-VLOOKUP(B353,INDIRECT($F$8),8+(O365-1)*3)&lt;=5,U365*0.4-VLOOKUP(B353,INDIRECT($F$8),8+(O365-1)*3),11),0))))</f>
        <v>11</v>
      </c>
      <c r="X365" s="1" t="str">
        <f ca="1">IF(ISERROR(F353),"",IF(W365=0,"",_xlfn.TEXTJOIN("",FALSE," G+",W365," in ",A365)))</f>
        <v xml:space="preserve"> G+11 in CAT 002</v>
      </c>
    </row>
    <row r="366" spans="1:24" ht="11.25" customHeight="1" x14ac:dyDescent="0.2">
      <c r="A366" s="7" t="str">
        <f ca="1">IF(ISERROR(F353),"",VLOOKUP(C353,INDIRECT($F$8),6+(O366-1)*3,0))</f>
        <v>CAT 003</v>
      </c>
      <c r="B366" s="41" t="str">
        <f ca="1">IF(ISERROR(F353),"",VLOOKUP(D353,INDIRECT($F$8),6+(O366-1)*3-Z366,0))</f>
        <v>Fundamental of Web Technology ($)</v>
      </c>
      <c r="C366" s="41"/>
      <c r="D366" s="41"/>
      <c r="E366" s="41"/>
      <c r="F366" s="7">
        <f ca="1">IF(ISERROR(F353),"",VLOOKUP(E353,INDIRECT($F$8),6+(O366-1)*3,0))</f>
        <v>0</v>
      </c>
      <c r="G366" s="42" t="str">
        <f ca="1">IF(ISERROR(F353),"",_xlfn.TEXTJOIN("/",FALSE,P366,S366))</f>
        <v>NA/30</v>
      </c>
      <c r="H366" s="42"/>
      <c r="I366" s="42" t="str">
        <f ca="1">IF(ISERROR(F353),"",_xlfn.TEXTJOIN("/",FALSE,Q366,T366))</f>
        <v>NA/20</v>
      </c>
      <c r="J366" s="42"/>
      <c r="K366" s="42" t="str">
        <f ca="1">IF(ISERROR(F353),"",_xlfn.TEXTJOIN("/",FALSE,R366,U366))</f>
        <v>0/50</v>
      </c>
      <c r="L366" s="42"/>
      <c r="M366" s="7" t="str">
        <f ca="1">IF(ISERROR(F353),"",IF(ISTEXT(P366),IF(P366="A","Ab",IF(P366="D","Dt",IF(P366="UFM","UFM",IF(P366="NA","-")))),IF(AND(ISBLANK(P366),ISBLANK(R366)),"",IF(P366&lt;0.3*S366,"F",IF(ISBLANK(R366),"",IF(ISTEXT(R366),R366,IF(R366&gt;=0.95*U366,"O",IF(R366&gt;=0.9*U366,"A+",IF(R366&gt;=0.85*U366,"A",IF(R366&gt;=0.8*U366,"B+",IF(R366&gt;=0.75*U366,"B",IF(R366&gt;=0.7*U366,"C+",IF(R366&gt;=0.65*U366,"C",IF(R366&gt;=0.6*U366,"D+",IF(R366&gt;=0.55*U366,"D",IF(R366&gt;=0.5*U366,"E+",IF(R366&gt;=0.45*U366,"E",IF(R366&gt;=0.4*U366,"P",IF(R366&lt;0.4*U366,"F",R366)))))))))))))))))))</f>
        <v>-</v>
      </c>
      <c r="N366" s="8" t="str">
        <f t="shared" ca="1" si="30"/>
        <v>-</v>
      </c>
      <c r="O366">
        <f t="shared" si="31"/>
        <v>9</v>
      </c>
      <c r="P366" s="1" t="str">
        <f ca="1">IF(ISERROR(F353),"",IF(ISTEXT(VLOOKUP(B353,INDIRECT($F$8),6+(O366-1)*3)),(VLOOKUP(B353,INDIRECT($F$8),6+(O366-1)*3)),SUM(VLOOKUP(B353,INDIRECT($F$8),6+(O366-1)*3),IF(W372,W366,0))))</f>
        <v>NA</v>
      </c>
      <c r="Q366" s="1" t="str">
        <f ca="1">IF(ISERROR(F353),"",VLOOKUP(B353,INDIRECT($F$8),7+(O366-1)*3))</f>
        <v>NA</v>
      </c>
      <c r="R366" s="1">
        <f ca="1">IF(ISERROR(F353),"",SUM(P366:Q366))</f>
        <v>0</v>
      </c>
      <c r="S366" s="1">
        <f ca="1">IF(ISERROR(F353),"",VLOOKUP(A353,INDIRECT($F$8),6+(O366-1)*3))</f>
        <v>30</v>
      </c>
      <c r="T366" s="1">
        <f ca="1">IF(ISERROR(F353),"",VLOOKUP(A353,INDIRECT($F$8),7+(O366-1)*3))</f>
        <v>20</v>
      </c>
      <c r="U366" s="1">
        <f ca="1">IF(ISERROR(F353),"",VLOOKUP(A353,INDIRECT($F$8),8+(O366-1)*3))</f>
        <v>50</v>
      </c>
      <c r="V366" s="1" t="str">
        <f ca="1">IF(ISERROR(F353),"",IF(N366=0,A366,""))</f>
        <v/>
      </c>
      <c r="W366" s="1">
        <f ca="1">IF(ISERROR(F353),"",IF(ISTEXT(VLOOKUP(B353,INDIRECT($F$8),6+(O366-1)*3)),11,IF(VLOOKUP(B353,INDIRECT($F$8),6+(O366-1)*3)&lt;S366*0.3,IF(VLOOKUP(B353,INDIRECT($F$8),8+(O366-1)*3)&lt;U366*0.4,IF(AND(0.4*U366-VLOOKUP(B353,INDIRECT($F$8),8+(O366-1)*3)&lt;=5,0.3*S366-VLOOKUP(B353,INDIRECT($F$8),6+(O366-1)*3)&lt;=5),MAX(0.4*U366-VLOOKUP(B353,INDIRECT($F$8),8+(O366-1)*3),0.3*S366-VLOOKUP(B353,INDIRECT($F$8),6+(O366-1)*3)),11),IF(0.3*S366-VLOOKUP(B353,INDIRECT($F$8),6+(O366-1)*3)&lt;=5,0.3*S366-VLOOKUP(B353,INDIRECT($F$8),6+(O366-1)*3),11)),IF(VLOOKUP(B353,INDIRECT($F$8),8+(O366-1)*3)&lt;U366*0.4,IF(U366*0.4-VLOOKUP(B353,INDIRECT($F$8),8+(O366-1)*3)&lt;=5,U366*0.4-VLOOKUP(B353,INDIRECT($F$8),8+(O366-1)*3),11),0))))</f>
        <v>11</v>
      </c>
      <c r="X366" s="1" t="str">
        <f ca="1">IF(ISERROR(F353),"",IF(W366=0,"",_xlfn.TEXTJOIN("",FALSE," G+",W366," in ",A366)))</f>
        <v xml:space="preserve"> G+11 in CAT 003</v>
      </c>
    </row>
    <row r="367" spans="1:24" ht="11.25" customHeight="1" x14ac:dyDescent="0.2">
      <c r="A367" s="7" t="str">
        <f ca="1">IF(ISERROR(F353),"",VLOOKUP(C353,INDIRECT($F$8),6+(O367-1)*3,0))</f>
        <v>CAP 001</v>
      </c>
      <c r="B367" s="41" t="str">
        <f ca="1">IF(ISERROR(F353),"",VLOOKUP(D353,INDIRECT($F$8),6+(O367-1)*3-Z367,0))</f>
        <v>Database Management System Lab</v>
      </c>
      <c r="C367" s="41"/>
      <c r="D367" s="41"/>
      <c r="E367" s="41"/>
      <c r="F367" s="7">
        <f ca="1">IF(ISERROR(F353),"",VLOOKUP(E353,INDIRECT($F$8),6+(O367-1)*3,0))</f>
        <v>1</v>
      </c>
      <c r="G367" s="42" t="str">
        <f ca="1">IF(ISERROR(F353),"",_xlfn.TEXTJOIN("/",FALSE,P367,S367))</f>
        <v>26/30</v>
      </c>
      <c r="H367" s="42"/>
      <c r="I367" s="42" t="str">
        <f ca="1">IF(ISERROR(F353),"",_xlfn.TEXTJOIN("/",FALSE,Q367,T367))</f>
        <v>16/20</v>
      </c>
      <c r="J367" s="42"/>
      <c r="K367" s="42" t="str">
        <f ca="1">IF(ISERROR(F353),"",_xlfn.TEXTJOIN("/",FALSE,R367,U367))</f>
        <v>42/50</v>
      </c>
      <c r="L367" s="42"/>
      <c r="M367" s="7" t="str">
        <f ca="1">IF(ISERROR(F353),"",IF(ISTEXT(P367),IF(P367="A","Ab",IF(P367="D","Dt",IF(P367="UFM","UFM",IF(P367="NA","-")))),IF(AND(ISBLANK(P367),ISBLANK(R367)),"",IF(P367&lt;0.3*S367,"F",IF(ISBLANK(R367),"",IF(ISTEXT(R367),R367,IF(R367&gt;=0.95*U367,"O",IF(R367&gt;=0.9*U367,"A+",IF(R367&gt;=0.85*U367,"A",IF(R367&gt;=0.8*U367,"B+",IF(R367&gt;=0.75*U367,"B",IF(R367&gt;=0.7*U367,"C+",IF(R367&gt;=0.65*U367,"C",IF(R367&gt;=0.6*U367,"D+",IF(R367&gt;=0.55*U367,"D",IF(R367&gt;=0.5*U367,"E+",IF(R367&gt;=0.45*U367,"E",IF(R367&gt;=0.4*U367,"P",IF(R367&lt;0.4*U367,"F",R367)))))))))))))))))))</f>
        <v>B+</v>
      </c>
      <c r="N367" s="8">
        <f t="shared" ca="1" si="30"/>
        <v>8.5</v>
      </c>
      <c r="O367">
        <f t="shared" si="31"/>
        <v>10</v>
      </c>
      <c r="P367" s="1">
        <f ca="1">IF(ISERROR(F353),"",IF(ISTEXT(VLOOKUP(B353,INDIRECT($F$8),6+(O367-1)*3)),(VLOOKUP(B353,INDIRECT($F$8),6+(O367-1)*3)),SUM(VLOOKUP(B353,INDIRECT($F$8),6+(O367-1)*3),IF(W372,W367,0))))</f>
        <v>26</v>
      </c>
      <c r="Q367" s="1">
        <f ca="1">IF(ISERROR(F353),"",VLOOKUP(B353,INDIRECT($F$8),7+(O367-1)*3))</f>
        <v>16</v>
      </c>
      <c r="R367" s="1">
        <f ca="1">IF(ISERROR(F353),"",SUM(P367:Q367))</f>
        <v>42</v>
      </c>
      <c r="S367" s="1">
        <f ca="1">IF(ISERROR(F353),"",VLOOKUP(A353,INDIRECT($F$8),6+(O367-1)*3))</f>
        <v>30</v>
      </c>
      <c r="T367" s="1">
        <f ca="1">IF(ISERROR(F353),"",VLOOKUP(A353,INDIRECT($F$8),7+(O367-1)*3))</f>
        <v>20</v>
      </c>
      <c r="U367" s="1">
        <f ca="1">IF(ISERROR(F353),"",VLOOKUP(A353,INDIRECT($F$8),8+(O367-1)*3))</f>
        <v>50</v>
      </c>
      <c r="V367" s="1" t="str">
        <f ca="1">IF(ISERROR(F353),"",IF(N367=0,A367,""))</f>
        <v/>
      </c>
      <c r="W367" s="1">
        <f ca="1">IF(ISERROR(F353),"",IF(ISTEXT(VLOOKUP(B353,INDIRECT($F$8),6+(O367-1)*3)),11,IF(VLOOKUP(B353,INDIRECT($F$8),6+(O367-1)*3)&lt;S367*0.3,IF(VLOOKUP(B353,INDIRECT($F$8),8+(O367-1)*3)&lt;U367*0.4,IF(AND(0.4*U367-VLOOKUP(B353,INDIRECT($F$8),8+(O367-1)*3)&lt;=5,0.3*S367-VLOOKUP(B353,INDIRECT($F$8),6+(O367-1)*3)&lt;=5),MAX(0.4*U367-VLOOKUP(B353,INDIRECT($F$8),8+(O367-1)*3),0.3*S367-VLOOKUP(B353,INDIRECT($F$8),6+(O367-1)*3)),11),IF(0.3*S367-VLOOKUP(B353,INDIRECT($F$8),6+(O367-1)*3)&lt;=5,0.3*S367-VLOOKUP(B353,INDIRECT($F$8),6+(O367-1)*3),11)),IF(VLOOKUP(B353,INDIRECT($F$8),8+(O367-1)*3)&lt;U367*0.4,IF(U367*0.4-VLOOKUP(B353,INDIRECT($F$8),8+(O367-1)*3)&lt;=5,U367*0.4-VLOOKUP(B353,INDIRECT($F$8),8+(O367-1)*3),11),0))))</f>
        <v>0</v>
      </c>
      <c r="X367" s="1" t="str">
        <f ca="1">IF(ISERROR(F353),"",IF(W367=0,"",_xlfn.TEXTJOIN("",FALSE," G+",W367," in ",A367)))</f>
        <v/>
      </c>
    </row>
    <row r="368" spans="1:24" ht="11.25" customHeight="1" x14ac:dyDescent="0.2">
      <c r="A368" s="7" t="str">
        <f ca="1">IF(ISERROR(F353),"",VLOOKUP(C353,INDIRECT($F$8),6+(O368-1)*3,0))</f>
        <v>CAP 002</v>
      </c>
      <c r="B368" s="41" t="str">
        <f ca="1">IF(ISERROR(F353),"",VLOOKUP(D353,INDIRECT($F$8),6+(O368-1)*3,0))</f>
        <v>Operating System Lab</v>
      </c>
      <c r="C368" s="41"/>
      <c r="D368" s="41"/>
      <c r="E368" s="41"/>
      <c r="F368" s="7">
        <f ca="1">IF(ISERROR(F353),"",VLOOKUP(E353,INDIRECT($F$8),6+(O368-1)*3,0))</f>
        <v>1</v>
      </c>
      <c r="G368" s="42" t="str">
        <f ca="1">IF(ISERROR(F353),"",_xlfn.TEXTJOIN("/",FALSE,P368,S368))</f>
        <v>27/30</v>
      </c>
      <c r="H368" s="42"/>
      <c r="I368" s="42" t="str">
        <f ca="1">IF(ISERROR(F353),"",_xlfn.TEXTJOIN("/",FALSE,Q368,T368))</f>
        <v>18/20</v>
      </c>
      <c r="J368" s="42"/>
      <c r="K368" s="42" t="str">
        <f ca="1">IF(ISERROR(F353),"",_xlfn.TEXTJOIN("/",FALSE,R368,U368))</f>
        <v>45/50</v>
      </c>
      <c r="L368" s="42"/>
      <c r="M368" s="7" t="str">
        <f ca="1">IF(ISERROR(F353),"",IF(ISTEXT(P368),IF(P368="A","Ab",IF(P368="D","Dt",IF(P368="UFM","UFM",IF(P368="NA","-")))),IF(AND(ISBLANK(P368),ISBLANK(R368)),"",IF(P368&lt;0.3*S368,"F",IF(ISBLANK(R368),"",IF(ISTEXT(R368),R368,IF(R368&gt;=0.95*U368,"O",IF(R368&gt;=0.9*U368,"A+",IF(R368&gt;=0.85*U368,"A",IF(R368&gt;=0.8*U368,"B+",IF(R368&gt;=0.75*U368,"B",IF(R368&gt;=0.7*U368,"C+",IF(R368&gt;=0.65*U368,"C",IF(R368&gt;=0.6*U368,"D+",IF(R368&gt;=0.55*U368,"D",IF(R368&gt;=0.5*U368,"E+",IF(R368&gt;=0.45*U368,"E",IF(R368&gt;=0.4*U368,"P",IF(R368&lt;0.4*U368,"F",R368)))))))))))))))))))</f>
        <v>A+</v>
      </c>
      <c r="N368" s="8">
        <f t="shared" ca="1" si="30"/>
        <v>9.5</v>
      </c>
      <c r="O368">
        <f t="shared" si="31"/>
        <v>11</v>
      </c>
      <c r="P368" s="1">
        <f ca="1">IF(ISERROR(F353),"",IF(ISTEXT(VLOOKUP(B353,INDIRECT($F$8),6+(O368-1)*3)),(VLOOKUP(B353,INDIRECT($F$8),6+(O368-1)*3)),SUM(VLOOKUP(B353,INDIRECT($F$8),6+(O368-1)*3),IF(W372,W368,0))))</f>
        <v>27</v>
      </c>
      <c r="Q368" s="1">
        <f ca="1">IF(ISERROR(F353),"",VLOOKUP(B353,INDIRECT($F$8),7+(O368-1)*3))</f>
        <v>18</v>
      </c>
      <c r="R368" s="1">
        <f ca="1">IF(ISERROR(F353),"",SUM(P368:Q368))</f>
        <v>45</v>
      </c>
      <c r="S368" s="1">
        <f ca="1">IF(ISERROR(F353),"",VLOOKUP(A353,INDIRECT($F$8),6+(O368-1)*3))</f>
        <v>30</v>
      </c>
      <c r="T368" s="1">
        <f ca="1">IF(ISERROR(F353),"",VLOOKUP(A353,INDIRECT($F$8),7+(O368-1)*3))</f>
        <v>20</v>
      </c>
      <c r="U368" s="1">
        <f ca="1">IF(ISERROR(F353),"",VLOOKUP(A353,INDIRECT($F$8),8+(O368-1)*3))</f>
        <v>50</v>
      </c>
      <c r="V368" s="1" t="str">
        <f ca="1">IF(ISERROR(F353),"",IF(N368=0,A368,""))</f>
        <v/>
      </c>
      <c r="W368" s="1">
        <f ca="1">IF(ISERROR(F353),"",IF(ISTEXT(VLOOKUP(B353,INDIRECT($F$8),6+(O368-1)*3)),11,IF(VLOOKUP(B353,INDIRECT($F$8),6+(O368-1)*3)&lt;S368*0.3,IF(VLOOKUP(B353,INDIRECT($F$8),8+(O368-1)*3)&lt;U368*0.4,IF(AND(0.4*U368-VLOOKUP(B353,INDIRECT($F$8),8+(O368-1)*3)&lt;=5,0.3*S368-VLOOKUP(B353,INDIRECT($F$8),6+(O368-1)*3)&lt;=5),MAX(0.4*U368-VLOOKUP(B353,INDIRECT($F$8),8+(O368-1)*3),0.3*S368-VLOOKUP(B353,INDIRECT($F$8),6+(O368-1)*3)),11),IF(0.3*S368-VLOOKUP(B353,INDIRECT($F$8),6+(O368-1)*3)&lt;=5,0.3*S368-VLOOKUP(B353,INDIRECT($F$8),6+(O368-1)*3),11)),IF(VLOOKUP(B353,INDIRECT($F$8),8+(O368-1)*3)&lt;U368*0.4,IF(U368*0.4-VLOOKUP(B353,INDIRECT($F$8),8+(O368-1)*3)&lt;=5,U368*0.4-VLOOKUP(B353,INDIRECT($F$8),8+(O368-1)*3),11),0))))</f>
        <v>0</v>
      </c>
      <c r="X368" s="1" t="str">
        <f ca="1">IF(ISERROR(F353),"",IF(W368=0,"",_xlfn.TEXTJOIN("",FALSE," G+",W368," in ",A368)))</f>
        <v/>
      </c>
    </row>
    <row r="369" spans="1:24" ht="11.25" customHeight="1" x14ac:dyDescent="0.2">
      <c r="A369" s="7" t="str">
        <f ca="1">IF(ISERROR(F353),"",VLOOKUP(C353,INDIRECT($F$8),6+(O369-1)*3,0))</f>
        <v>CAP 003</v>
      </c>
      <c r="B369" s="41" t="str">
        <f ca="1">IF(ISERROR(F353),"",VLOOKUP(D353,INDIRECT($F$8),6+(O369-1)*3,0))</f>
        <v>Computer Organization Lab</v>
      </c>
      <c r="C369" s="41"/>
      <c r="D369" s="41"/>
      <c r="E369" s="41"/>
      <c r="F369" s="7">
        <f ca="1">IF(ISERROR(F353),"",VLOOKUP(E353,INDIRECT($F$8),6+(O369-1)*3,0))</f>
        <v>1</v>
      </c>
      <c r="G369" s="42" t="str">
        <f ca="1">IF(ISERROR(F353),"",_xlfn.TEXTJOIN("/",FALSE,P369,S369))</f>
        <v>28/30</v>
      </c>
      <c r="H369" s="42"/>
      <c r="I369" s="42" t="str">
        <f ca="1">IF(ISERROR(F353),"",_xlfn.TEXTJOIN("/",FALSE,Q369,T369))</f>
        <v>19/20</v>
      </c>
      <c r="J369" s="42"/>
      <c r="K369" s="42" t="str">
        <f ca="1">IF(ISERROR(F353),"",_xlfn.TEXTJOIN("/",FALSE,R369,U369))</f>
        <v>47/50</v>
      </c>
      <c r="L369" s="42"/>
      <c r="M369" s="7" t="str">
        <f ca="1">IF(ISERROR(F353),"",IF(ISTEXT(P369),IF(P369="A","Ab",IF(P369="D","Dt",IF(P369="UFM","UFM",IF(P369="NA","-")))),IF(AND(ISBLANK(P369),ISBLANK(R369)),"",IF(P369&lt;0.3*S369,"F",IF(ISBLANK(R369),"",IF(ISTEXT(R369),R369,IF(R369&gt;=0.95*U369,"O",IF(R369&gt;=0.9*U369,"A+",IF(R369&gt;=0.85*U369,"A",IF(R369&gt;=0.8*U369,"B+",IF(R369&gt;=0.75*U369,"B",IF(R369&gt;=0.7*U369,"C+",IF(R369&gt;=0.65*U369,"C",IF(R369&gt;=0.6*U369,"D+",IF(R369&gt;=0.55*U369,"D",IF(R369&gt;=0.5*U369,"E+",IF(R369&gt;=0.45*U369,"E",IF(R369&gt;=0.4*U369,"P",IF(R369&lt;0.4*U369,"F",R369)))))))))))))))))))</f>
        <v>A+</v>
      </c>
      <c r="N369" s="8">
        <f t="shared" ca="1" si="30"/>
        <v>9.5</v>
      </c>
      <c r="O369">
        <f t="shared" si="31"/>
        <v>12</v>
      </c>
      <c r="P369" s="1">
        <f ca="1">IF(ISERROR(F353),"",IF(ISTEXT(VLOOKUP(B353,INDIRECT($F$8),6+(O369-1)*3)),(VLOOKUP(B353,INDIRECT($F$8),6+(O369-1)*3)),SUM(VLOOKUP(B353,INDIRECT($F$8),6+(O369-1)*3),IF(W372,W369,0))))</f>
        <v>28</v>
      </c>
      <c r="Q369" s="1">
        <f ca="1">IF(ISERROR(F353),"",VLOOKUP(B353,INDIRECT($F$8),7+(O369-1)*3))</f>
        <v>19</v>
      </c>
      <c r="R369" s="1">
        <f ca="1">IF(ISERROR(F353),"",SUM(P369:Q369))</f>
        <v>47</v>
      </c>
      <c r="S369" s="1">
        <f ca="1">IF(ISERROR(F353),"",VLOOKUP(A353,INDIRECT($F$8),6+(O369-1)*3))</f>
        <v>30</v>
      </c>
      <c r="T369" s="1">
        <f ca="1">IF(ISERROR(F353),"",VLOOKUP(A353,INDIRECT($F$8),7+(O369-1)*3))</f>
        <v>20</v>
      </c>
      <c r="U369" s="1">
        <f ca="1">IF(ISERROR(F353),"",VLOOKUP(A353,INDIRECT($F$8),8+(O369-1)*3))</f>
        <v>50</v>
      </c>
      <c r="V369" s="1" t="str">
        <f ca="1">IF(ISERROR(F353),"",IF(N369=0,A369,""))</f>
        <v/>
      </c>
      <c r="W369" s="1">
        <f ca="1">IF(ISERROR(F353),"",IF(ISTEXT(VLOOKUP(B353,INDIRECT($F$8),6+(O369-1)*3)),11,IF(VLOOKUP(B353,INDIRECT($F$8),6+(O369-1)*3)&lt;S369*0.3,IF(VLOOKUP(B353,INDIRECT($F$8),8+(O369-1)*3)&lt;U369*0.4,IF(AND(0.4*U369-VLOOKUP(B353,INDIRECT($F$8),8+(O369-1)*3)&lt;=5,0.3*S369-VLOOKUP(B353,INDIRECT($F$8),6+(O369-1)*3)&lt;=5),MAX(0.4*U369-VLOOKUP(B353,INDIRECT($F$8),8+(O369-1)*3),0.3*S369-VLOOKUP(B353,INDIRECT($F$8),6+(O369-1)*3)),11),IF(0.3*S369-VLOOKUP(B353,INDIRECT($F$8),6+(O369-1)*3)&lt;=5,0.3*S369-VLOOKUP(B353,INDIRECT($F$8),6+(O369-1)*3),11)),IF(VLOOKUP(B353,INDIRECT($F$8),8+(O369-1)*3)&lt;U369*0.4,IF(U369*0.4-VLOOKUP(B353,INDIRECT($F$8),8+(O369-1)*3)&lt;=5,U369*0.4-VLOOKUP(B353,INDIRECT($F$8),8+(O369-1)*3),11),0))))</f>
        <v>0</v>
      </c>
      <c r="X369" s="1" t="str">
        <f ca="1">IF(ISERROR(F353),"",IF(W369=0,"",_xlfn.TEXTJOIN("",FALSE," G+",W369," in ",A369)))</f>
        <v/>
      </c>
    </row>
    <row r="370" spans="1:24" ht="11.25" customHeight="1" x14ac:dyDescent="0.2">
      <c r="A370" s="7" t="str">
        <f ca="1">IF(ISERROR(F353),"",VLOOKUP(C353,INDIRECT($F$8),6+(O370-1)*3,0))</f>
        <v>AHP 303</v>
      </c>
      <c r="B370" s="41" t="str">
        <f ca="1">IF(ISERROR(F353),"",VLOOKUP(D353,INDIRECT($F$8),6+(O370-1)*3,0))</f>
        <v>Technical Communication Skills</v>
      </c>
      <c r="C370" s="41"/>
      <c r="D370" s="41"/>
      <c r="E370" s="41"/>
      <c r="F370" s="7">
        <f ca="1">IF(ISERROR(F353),"",VLOOKUP(E353,INDIRECT($F$8),6+(O370-1)*3,0))</f>
        <v>1</v>
      </c>
      <c r="G370" s="42" t="str">
        <f ca="1">IF(ISERROR(F353),"",_xlfn.TEXTJOIN("/",FALSE,P370,S370))</f>
        <v>30/30</v>
      </c>
      <c r="H370" s="42"/>
      <c r="I370" s="42" t="str">
        <f ca="1">IF(ISERROR(F353),"",_xlfn.TEXTJOIN("/",FALSE,Q370,T370))</f>
        <v>18/20</v>
      </c>
      <c r="J370" s="42"/>
      <c r="K370" s="42" t="str">
        <f ca="1">IF(ISERROR(F353),"",_xlfn.TEXTJOIN("/",FALSE,R370,U370))</f>
        <v>48/50</v>
      </c>
      <c r="L370" s="42"/>
      <c r="M370" s="7" t="str">
        <f ca="1">IF(ISERROR(F353),"",IF(ISTEXT(P370),IF(P370="A","Ab",IF(P370="D","Dt",IF(P370="UFM","UFM",IF(P370="NA","-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O</v>
      </c>
      <c r="N370" s="8">
        <f t="shared" ca="1" si="30"/>
        <v>10</v>
      </c>
      <c r="O370">
        <f t="shared" si="31"/>
        <v>13</v>
      </c>
      <c r="P370" s="1">
        <f ca="1">IF(ISERROR(F353),"",IF(ISTEXT(VLOOKUP(B353,INDIRECT($F$8),6+(O370-1)*3)),(VLOOKUP(B353,INDIRECT($F$8),6+(O370-1)*3)),SUM(VLOOKUP(B353,INDIRECT($F$8),6+(O370-1)*3),IF(W372,W370,0))))</f>
        <v>30</v>
      </c>
      <c r="Q370" s="1">
        <f ca="1">IF(ISERROR(F353),"",VLOOKUP(B353,INDIRECT($F$8),7+(O370-1)*3))</f>
        <v>18</v>
      </c>
      <c r="R370" s="1">
        <f ca="1">IF(ISERROR(F353),"",SUM(P370:Q370))</f>
        <v>48</v>
      </c>
      <c r="S370" s="1">
        <f ca="1">IF(ISERROR(F353),"",VLOOKUP(A353,INDIRECT($F$8),6+(O370-1)*3))</f>
        <v>30</v>
      </c>
      <c r="T370" s="1">
        <f ca="1">IF(ISERROR(F353),"",VLOOKUP(A353,INDIRECT($F$8),7+(O370-1)*3))</f>
        <v>20</v>
      </c>
      <c r="U370" s="1">
        <f ca="1">IF(ISERROR(F353),"",VLOOKUP(A353,INDIRECT($F$8),8+(O370-1)*3))</f>
        <v>50</v>
      </c>
      <c r="V370" s="1"/>
      <c r="W370" s="1">
        <f ca="1">IF(ISERROR(F353),"",IF(ISTEXT(VLOOKUP(B353,INDIRECT($F$8),6+(O370-1)*3)),11,IF(VLOOKUP(B353,INDIRECT($F$8),6+(O370-1)*3)&lt;S370*0.3,IF(VLOOKUP(B353,INDIRECT($F$8),8+(O370-1)*3)&lt;U370*0.4,IF(AND(0.4*U370-VLOOKUP(B353,INDIRECT($F$8),8+(O370-1)*3)&lt;=5,0.3*S370-VLOOKUP(B353,INDIRECT($F$8),6+(O370-1)*3)&lt;=5),MAX(0.4*U370-VLOOKUP(B353,INDIRECT($F$8),8+(O370-1)*3),0.3*S370-VLOOKUP(B353,INDIRECT($F$8),6+(O370-1)*3)),11),IF(0.3*S370-VLOOKUP(B353,INDIRECT($F$8),6+(O370-1)*3)&lt;=5,0.3*S370-VLOOKUP(B353,INDIRECT($F$8),6+(O370-1)*3),11)),IF(VLOOKUP(B353,INDIRECT($F$8),8+(O370-1)*3)&lt;U370*0.4,IF(U370*0.4-VLOOKUP(B353,INDIRECT($F$8),8+(O370-1)*3)&lt;=5,U370*0.4-VLOOKUP(B353,INDIRECT($F$8),8+(O370-1)*3),11),0))))</f>
        <v>0</v>
      </c>
      <c r="X370" s="1" t="str">
        <f ca="1">IF(ISERROR(F353),"",IF(W370=0,"",_xlfn.TEXTJOIN("",FALSE," G+",W370," in ",A370)))</f>
        <v/>
      </c>
    </row>
    <row r="371" spans="1:24" s="32" customFormat="1" ht="11.25" customHeight="1" x14ac:dyDescent="0.2">
      <c r="A371" s="31">
        <f ca="1">IF(ISERROR(F353),"",VLOOKUP(C353,INDIRECT($F$8),6+(O371-1)*3-Y371,0))</f>
        <v>0</v>
      </c>
      <c r="B371" s="49">
        <f ca="1">IF(ISERROR(F353),"",VLOOKUP(D353,INDIRECT($F$8),6+(O371-1)*3-Z371,0))</f>
        <v>0</v>
      </c>
      <c r="C371" s="49"/>
      <c r="D371" s="49"/>
      <c r="E371" s="49"/>
      <c r="F371" s="31">
        <f ca="1">IF(ISERROR(F353),"",VLOOKUP(E353,INDIRECT($F$8),6+(O371-1)*3-AA371,0))</f>
        <v>0</v>
      </c>
      <c r="G371" s="50" t="str">
        <f ca="1">IF(ISERROR(F353),"","-")</f>
        <v>-</v>
      </c>
      <c r="H371" s="50"/>
      <c r="I371" s="50" t="str">
        <f ca="1">IF(ISERROR(F353),"",_xlfn.TEXTJOIN("/",FALSE,Q371,T371))</f>
        <v>0/0</v>
      </c>
      <c r="J371" s="50"/>
      <c r="K371" s="50" t="str">
        <f ca="1">IF(ISERROR(F353),"",_xlfn.TEXTJOIN("/",FALSE,R371,U371))</f>
        <v>0/0</v>
      </c>
      <c r="L371" s="50"/>
      <c r="M371" s="50" t="str">
        <f ca="1">IF(ISBLANK(R371),"",IF(ISTEXT(R371),R371,IF(R371&gt;=0.8*U371,"Excellent",IF(R371&gt;=0.6*U371,"Very Good",IF(R371&gt;=0.4*U371,"Good",IF(R371&gt;=0.2*U371,"Satisfactory","Average"))))))</f>
        <v>Excellent</v>
      </c>
      <c r="N371" s="50"/>
      <c r="O371" s="32">
        <f t="shared" si="31"/>
        <v>14</v>
      </c>
      <c r="P371" s="33">
        <f ca="1">IF(ISERROR(F353),"",IF(ISTEXT(VLOOKUP(B\28,INDIRECT($F$8),6+(O371-1)*3)),(VLOOKUP(B353,INDIRECT($F$8),6+(O371-1)*3)),SUM(VLOOKUP(B353,INDIRECT($F$8),6+(O371-1)*3),IF(W372,W371,0))))</f>
        <v>0</v>
      </c>
      <c r="Q371" s="33">
        <f ca="1">IF(ISERROR(F353),"",VLOOKUP(B353,INDIRECT($F$8),7+(O371-1)*3))</f>
        <v>0</v>
      </c>
      <c r="R371" s="33">
        <f ca="1">IF(ISERROR(F353),"",SUM(P371:Q371))</f>
        <v>0</v>
      </c>
      <c r="S371" s="33">
        <f ca="1">IF(ISERROR(F353),"",VLOOKUP(A353,INDIRECT($F$8),6+(O371-1)*3))</f>
        <v>0</v>
      </c>
      <c r="T371" s="33">
        <f ca="1">IF(ISERROR(F353),"",VLOOKUP(A353,INDIRECT($F$8),7+(O371-1)*3))</f>
        <v>0</v>
      </c>
      <c r="U371" s="33">
        <f ca="1">IF(ISERROR(F353),"",VLOOKUP(A353,INDIRECT($F$8),8+(O371-1)*3))</f>
        <v>0</v>
      </c>
      <c r="V371" s="33"/>
      <c r="W371" s="33"/>
      <c r="X371" s="33" t="str">
        <f ca="1">IF(ISERROR(F353),"",IF(W371=0,"",_xlfn.TEXTJOIN("",FALSE," G+",W371," in ",A371)))</f>
        <v/>
      </c>
    </row>
    <row r="372" spans="1:24" ht="11.25" customHeight="1" x14ac:dyDescent="0.2">
      <c r="A372" s="43" t="str">
        <f ca="1">IF(ISERROR(F353),"",A349)</f>
        <v>Total Credits/ Marks/ Total Grade Points</v>
      </c>
      <c r="B372" s="43"/>
      <c r="C372" s="43"/>
      <c r="D372" s="43"/>
      <c r="E372" s="43"/>
      <c r="F372" s="10">
        <f ca="1">IF(ISERROR(F353),"",SUM(F358:F371))</f>
        <v>24</v>
      </c>
      <c r="G372" s="44" t="str">
        <f ca="1">IF(ISERROR(F353),"",_xlfn.TEXTJOIN("/",TRUE,SUMIF(F358:F371,"&gt;0",P358:P371),SUMIF(F358:F371,"&gt;0",S358:S371)))</f>
        <v>485/620</v>
      </c>
      <c r="H372" s="44"/>
      <c r="I372" s="44" t="str">
        <f ca="1">IF(ISERROR(F353),"",_xlfn.TEXTJOIN("/",TRUE,SUMIF(F358:F371,"&gt;0",Q358:Q371),SUMIF(F358:F371,"&gt;0",T358:T371)))</f>
        <v>295/330</v>
      </c>
      <c r="J372" s="44"/>
      <c r="K372" s="44" t="str">
        <f ca="1">IF(ISERROR(F353),"",_xlfn.TEXTJOIN("/",TRUE,SUMIF(F358:F371,"&gt;0",R358:R371),SUMIF(F358:F371,"&gt;0",U358:U371)))</f>
        <v>780/950</v>
      </c>
      <c r="L372" s="44"/>
      <c r="M372" s="43">
        <f ca="1">IF(ISERROR(F353),"",SUMPRODUCT(N358:N370,F358:F370))</f>
        <v>201.5</v>
      </c>
      <c r="N372" s="43"/>
      <c r="V372" s="1" t="str">
        <f ca="1">IF(ISERROR(F353),"",_xlfn.TEXTJOIN(", ",TRUE,V358:V371))</f>
        <v/>
      </c>
      <c r="W372" t="b">
        <f ca="1">IF(ISERROR(F353),"",IF(SUM(W358:W371)&lt;=W357,TRUE,FALSE))</f>
        <v>0</v>
      </c>
      <c r="X372" s="1" t="str">
        <f ca="1">_xlfn.TEXTJOIN(",",TRUE,X358:X371)</f>
        <v xml:space="preserve"> G+11 in CAT 001, G+11 in CAT 002, G+11 in CAT 003</v>
      </c>
    </row>
    <row r="373" spans="1:24" ht="11.25" customHeight="1" x14ac:dyDescent="0.2">
      <c r="A373" s="43" t="str">
        <f ca="1">IF(ISERROR(F353),"",A350)</f>
        <v>Result:</v>
      </c>
      <c r="B373" s="45" t="str">
        <f ca="1">IF(ISERROR(F353),"",IF(V372="","PASS","CARRY OVER"))</f>
        <v>PASS</v>
      </c>
      <c r="C373" s="45"/>
      <c r="D373" s="43" t="str">
        <f ca="1">IF(ISERROR(F353),"",D350)</f>
        <v>Remark:</v>
      </c>
      <c r="E373" s="45" t="str">
        <f ca="1">IF(ISERROR(F353),"",IF(W372,X372,IF(V372="","",_xlfn.TEXTJOIN("",TRUE,"BACK IN ",V372))))</f>
        <v/>
      </c>
      <c r="F373" s="45"/>
      <c r="G373" s="43" t="str">
        <f ca="1">IF(ISERROR(F353),"",G350)</f>
        <v>SGPA:</v>
      </c>
      <c r="H373" s="46">
        <f ca="1">IF(ISERROR(F353),"",M372/F372)</f>
        <v>8.3958333333333339</v>
      </c>
      <c r="I373" s="43" t="str">
        <f ca="1">IF(ISERROR(F353),"",I350)</f>
        <v>CGPA:</v>
      </c>
      <c r="J373" s="46">
        <f ca="1">IF(ISERROR(F353),"",VLOOKUP(B353,INDIRECT($F$8),12+(O371-1)*3,0))</f>
        <v>8.3958333333333339</v>
      </c>
      <c r="K373" s="45" t="str">
        <f ca="1">IF(ISERROR(F353),"",K350)</f>
        <v>Earned Credits:</v>
      </c>
      <c r="L373" s="43">
        <f ca="1">IF(ISERROR(F353),"",SUMIF(N358:N370,"&gt;0",F358:F370))</f>
        <v>24</v>
      </c>
      <c r="M373" s="45" t="str">
        <f ca="1">IF(ISERROR(F353),"",M350)</f>
        <v>Cuml. Earned Credits:</v>
      </c>
      <c r="N373" s="43">
        <f ca="1">IF(ISERROR(F353),"",VLOOKUP(B353,INDIRECT($F$8),10+(O371-1)*3,0))</f>
        <v>24</v>
      </c>
    </row>
    <row r="374" spans="1:24" ht="11.25" customHeight="1" x14ac:dyDescent="0.2">
      <c r="A374" s="43"/>
      <c r="B374" s="45"/>
      <c r="C374" s="45"/>
      <c r="D374" s="43"/>
      <c r="E374" s="45"/>
      <c r="F374" s="45"/>
      <c r="G374" s="43"/>
      <c r="H374" s="46"/>
      <c r="I374" s="43"/>
      <c r="J374" s="46"/>
      <c r="K374" s="45"/>
      <c r="L374" s="43"/>
      <c r="M374" s="45"/>
      <c r="N374" s="43"/>
    </row>
    <row r="375" spans="1:24" ht="15" x14ac:dyDescent="0.2">
      <c r="A375" s="43"/>
      <c r="B375" s="45"/>
      <c r="C375" s="45"/>
      <c r="D375" s="43"/>
      <c r="E375" s="45"/>
      <c r="F375" s="45"/>
      <c r="G375" s="43"/>
      <c r="H375" s="46"/>
      <c r="I375" s="43"/>
      <c r="J375" s="46"/>
      <c r="K375" s="45"/>
      <c r="L375" s="43"/>
      <c r="M375" s="45"/>
      <c r="N375" s="43"/>
    </row>
    <row r="376" spans="1:24" ht="11.25" customHeight="1" x14ac:dyDescent="0.2">
      <c r="A376" s="11" t="str">
        <f>A353</f>
        <v>MM</v>
      </c>
      <c r="B376" s="11">
        <f>B353+1</f>
        <v>17</v>
      </c>
      <c r="C376" s="11" t="str">
        <f>C353</f>
        <v>SC</v>
      </c>
      <c r="D376" s="11" t="str">
        <f>D353</f>
        <v>SN</v>
      </c>
      <c r="E376" s="11" t="str">
        <f>E353</f>
        <v>C</v>
      </c>
      <c r="F376" s="11" t="str">
        <f ca="1">VLOOKUP(B376,INDIRECT($F$8),4,0)</f>
        <v>SAURAV DHAPOLA</v>
      </c>
    </row>
    <row r="377" spans="1:24" ht="11.25" customHeight="1" x14ac:dyDescent="0.2">
      <c r="A377" s="47" t="str">
        <f ca="1">IF(ISERROR(F376),"",A354)</f>
        <v>Name:</v>
      </c>
      <c r="B377" s="47" t="str">
        <f ca="1">IFERROR(VLOOKUP(B376,INDIRECT($F$8),4,0),"")</f>
        <v>SAURAV DHAPOLA</v>
      </c>
      <c r="C377" s="47"/>
      <c r="D377" s="47" t="str">
        <f ca="1">IF(ISERROR(F376),"",D354)</f>
        <v>Father's Name:</v>
      </c>
      <c r="E377" s="47" t="str">
        <f ca="1">IFERROR(VLOOKUP(B376,INDIRECT($F$8),5,0),"")</f>
        <v>NARENDRA SINGH</v>
      </c>
      <c r="F377" s="47"/>
      <c r="G377" s="47" t="str">
        <f ca="1">IF(ISERROR(F376),"",G354)</f>
        <v>University Roll No:</v>
      </c>
      <c r="H377" s="47"/>
      <c r="I377" s="48">
        <f ca="1">IFERROR(VLOOKUP(B376,INDIRECT($F$8),2,0),"")</f>
        <v>250090600017</v>
      </c>
      <c r="J377" s="48"/>
      <c r="K377" s="47" t="str">
        <f ca="1">IF(ISERROR(F376),"",K354)</f>
        <v>University Enrol. No:</v>
      </c>
      <c r="L377" s="47"/>
      <c r="M377" s="48" t="str">
        <f ca="1">IFERROR(VLOOKUP(B376,INDIRECT($F$8),3,0),"")</f>
        <v>UTU/2506100148</v>
      </c>
      <c r="N377" s="48"/>
    </row>
    <row r="378" spans="1:24" ht="15" x14ac:dyDescent="0.2">
      <c r="A378" s="47"/>
      <c r="B378" s="47"/>
      <c r="C378" s="47"/>
      <c r="D378" s="47"/>
      <c r="E378" s="47"/>
      <c r="F378" s="47"/>
      <c r="G378" s="47"/>
      <c r="H378" s="47"/>
      <c r="I378" s="48"/>
      <c r="J378" s="48"/>
      <c r="K378" s="47"/>
      <c r="L378" s="47"/>
      <c r="M378" s="48"/>
      <c r="N378" s="48"/>
    </row>
    <row r="379" spans="1:24" ht="11.25" customHeight="1" x14ac:dyDescent="0.2">
      <c r="A379" s="45" t="str">
        <f ca="1">IF(ISERROR(F376),"",A356)</f>
        <v>Subject Code</v>
      </c>
      <c r="B379" s="45" t="str">
        <f ca="1">IF(ISERROR(F376),"",B356)</f>
        <v>Subject Name</v>
      </c>
      <c r="C379" s="45"/>
      <c r="D379" s="45"/>
      <c r="E379" s="45"/>
      <c r="F379" s="45" t="str">
        <f ca="1">IF(ISERROR(F376),"",F356)</f>
        <v>Credits</v>
      </c>
      <c r="G379" s="45" t="str">
        <f ca="1">IF(ISERROR(F376),"",G356)</f>
        <v>External Marks</v>
      </c>
      <c r="H379" s="45"/>
      <c r="I379" s="45" t="str">
        <f ca="1">IF(ISERROR(F376),"",I356)</f>
        <v>Sessional Marks</v>
      </c>
      <c r="J379" s="45"/>
      <c r="K379" s="45" t="str">
        <f ca="1">IF(ISERROR(F376),"",K356)</f>
        <v>Total Marks</v>
      </c>
      <c r="L379" s="45"/>
      <c r="M379" s="45" t="str">
        <f ca="1">IF(ISERROR(F376),"",M356)</f>
        <v>Grade</v>
      </c>
      <c r="N379" s="45" t="str">
        <f ca="1">IF(ISERROR(F376),"",N356)</f>
        <v>Grade Points</v>
      </c>
    </row>
    <row r="380" spans="1:24" ht="15" x14ac:dyDescent="0.2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W380">
        <f ca="1">IF(ISNUMBER(MATCH($F$8,{"I","III","V","VII"},0)),10,10-INDEX(INDIRECT(_xlfn.TEXTJOIN("",TRUE,"SEM_",$G$8,"!",ADDRESS(6,4+$I$8*3+4),":",ADDRESS(5+$H$8,4+$I$8*3+4))),MATCH(INDIRECT(_xlfn.TEXTJOIN("",TRUE,"TC_",$F$8,"!",ADDRESS(ROW(I377),COLUMN(I377)))),INDIRECT(_xlfn.TEXTJOIN("",TRUE,"SEM_",$G$8,"!",ADDRESS(6,2),":",ADDRESS(5+$H$8,2))))))</f>
        <v>10</v>
      </c>
    </row>
    <row r="381" spans="1:24" ht="11.25" customHeight="1" x14ac:dyDescent="0.2">
      <c r="A381" s="7" t="str">
        <f ca="1">IF(ISERROR(F376),"",VLOOKUP(C376,INDIRECT($F$8),6+(O381-1)*3,0))</f>
        <v>CAT 004</v>
      </c>
      <c r="B381" s="41" t="str">
        <f ca="1">IF(ISERROR(F376),"",VLOOKUP(D376,INDIRECT($F$8),6+(O381-1)*3,0))</f>
        <v>Discrete Structure</v>
      </c>
      <c r="C381" s="41"/>
      <c r="D381" s="41"/>
      <c r="E381" s="41"/>
      <c r="F381" s="7">
        <f ca="1">IF(ISERROR(F376),"",VLOOKUP(E376,INDIRECT($F$8),6+(O381-1)*3,0))</f>
        <v>4</v>
      </c>
      <c r="G381" s="42" t="str">
        <f ca="1">IF(ISERROR(F376),"",_xlfn.TEXTJOIN("/",FALSE,P381,S381))</f>
        <v>58/100</v>
      </c>
      <c r="H381" s="42"/>
      <c r="I381" s="42" t="str">
        <f ca="1">IF(ISERROR(F376),"",_xlfn.TEXTJOIN("/",FALSE,Q381,T381))</f>
        <v>34/50</v>
      </c>
      <c r="J381" s="42"/>
      <c r="K381" s="42" t="str">
        <f ca="1">IF(ISERROR(F376),"",_xlfn.TEXTJOIN("/",FALSE,R381,U381))</f>
        <v>92/150</v>
      </c>
      <c r="L381" s="42"/>
      <c r="M381" s="7" t="str">
        <f ca="1">IF(ISERROR(F376),"",IF(ISTEXT(P381),IF(P381="A","Ab",IF(P381="D","Dt",IF(P381="UFM","UFM",IF(P381="NA","-")))),IF(AND(ISBLANK(P381),ISBLANK(R381)),"",IF(P381&lt;0.3*S381,"F",IF(ISBLANK(R381),"",IF(ISTEXT(R381),R381,IF(R381&gt;=0.95*U381,"O",IF(R381&gt;=0.9*U381,"A+",IF(R381&gt;=0.85*U381,"A",IF(R381&gt;=0.8*U381,"B+",IF(R381&gt;=0.75*U381,"B",IF(R381&gt;=0.7*U381,"C+",IF(R381&gt;=0.65*U381,"C",IF(R381&gt;=0.6*U381,"D+",IF(R381&gt;=0.55*U381,"D",IF(R381&gt;=0.5*U381,"E+",IF(R381&gt;=0.45*U381,"E",IF(R381&gt;=0.4*U381,"P",IF(R381&lt;0.4*U381,"F",R381)))))))))))))))))))</f>
        <v>D+</v>
      </c>
      <c r="N381" s="8">
        <f ca="1">INDEX($Z$2:$Z$18,MATCH(M381,$Y$2:$Y$18,0))</f>
        <v>6.5</v>
      </c>
      <c r="O381">
        <v>1</v>
      </c>
      <c r="P381" s="1">
        <f ca="1">IF(ISERROR(F376),"",IF(ISTEXT(VLOOKUP(B376,INDIRECT($F$8),6+(O381-1)*3)),(VLOOKUP(B376,INDIRECT($F$8),6+(O381-1)*3)),SUM(VLOOKUP(B376,INDIRECT($F$8),6+(O381-1)*3),IF(W395,W381,0))))</f>
        <v>58</v>
      </c>
      <c r="Q381" s="1">
        <f ca="1">IF(ISERROR(F376),"",VLOOKUP(B376,INDIRECT($F$8),7+(O381-1)*3))</f>
        <v>34</v>
      </c>
      <c r="R381" s="1">
        <f ca="1">IF(ISERROR(F376),"",SUM(P381:Q381))</f>
        <v>92</v>
      </c>
      <c r="S381" s="1">
        <f ca="1">IF(ISERROR(F376),"",VLOOKUP(A376,INDIRECT($F$8),6+(O381-1)*3))</f>
        <v>100</v>
      </c>
      <c r="T381" s="1">
        <f ca="1">IF(ISERROR(F376),"",VLOOKUP(A376,INDIRECT($F$8),7+(O381-1)*3))</f>
        <v>50</v>
      </c>
      <c r="U381" s="1">
        <f ca="1">IF(ISERROR(F376),"",VLOOKUP(A376,INDIRECT($F$8),8+(O381-1)*3))</f>
        <v>150</v>
      </c>
      <c r="V381" s="1" t="str">
        <f ca="1">IF(ISERROR(F376),"",IF(N381=0,A381,""))</f>
        <v/>
      </c>
      <c r="W381" s="1">
        <f ca="1">IF(ISERROR(F376),"",IF(ISTEXT(VLOOKUP(B376,INDIRECT($F$8),6+(O381-1)*3)),11,IF(VLOOKUP(B376,INDIRECT($F$8),6+(O381-1)*3)&lt;S381*0.3,IF(VLOOKUP(B376,INDIRECT($F$8),8+(O381-1)*3)&lt;U381*0.4,IF(AND(0.4*U381-VLOOKUP(B376,INDIRECT($F$8),8+(O381-1)*3)&lt;=5,0.3*S381-VLOOKUP(B376,INDIRECT($F$8),6+(O381-1)*3)&lt;=5),MAX(0.4*U381-VLOOKUP(B376,INDIRECT($F$8),8+(O381-1)*3),0.3*S381-VLOOKUP(B376,INDIRECT($F$8),6+(O381-1)*3)),11),IF(0.3*S381-VLOOKUP(B376,INDIRECT($F$8),6+(O381-1)*3)&lt;=5,0.3*S381-VLOOKUP(B376,INDIRECT($F$8),6+(O381-1)*3),11)),IF(VLOOKUP(B376,INDIRECT($F$8),8+(O381-1)*3)&lt;U381*0.4,IF(U381*0.4-VLOOKUP(B376,INDIRECT($F$8),8+(O381-1)*3)&lt;=5,U381*0.4-VLOOKUP(B376,INDIRECT($F$8),8+(O381-1)*3),11),0))))</f>
        <v>0</v>
      </c>
      <c r="X381" s="1" t="str">
        <f ca="1">IF(ISERROR(F376),"",IF(W381=0,"",_xlfn.TEXTJOIN("",FALSE," G+",W381," in ",A381)))</f>
        <v/>
      </c>
    </row>
    <row r="382" spans="1:24" ht="11.25" customHeight="1" x14ac:dyDescent="0.2">
      <c r="A382" s="7" t="str">
        <f ca="1">IF(ISERROR(F376),"",VLOOKUP(C376,INDIRECT($F$8),6+(O382-1)*3,0))</f>
        <v>CAT 005</v>
      </c>
      <c r="B382" s="41" t="str">
        <f ca="1">IF(ISERROR(F376),"",VLOOKUP(D376,INDIRECT($F$8),6+(O382-1)*3,0))</f>
        <v>Database Management System</v>
      </c>
      <c r="C382" s="41"/>
      <c r="D382" s="41"/>
      <c r="E382" s="41"/>
      <c r="F382" s="7">
        <f ca="1">IF(ISERROR(F376),"",VLOOKUP(E376,INDIRECT($F$8),6+(O382-1)*3,0))</f>
        <v>4</v>
      </c>
      <c r="G382" s="42" t="str">
        <f ca="1">IF(ISERROR(F376),"",_xlfn.TEXTJOIN("/",FALSE,P382,S382))</f>
        <v>47/100</v>
      </c>
      <c r="H382" s="42"/>
      <c r="I382" s="42" t="str">
        <f ca="1">IF(ISERROR(F376),"",_xlfn.TEXTJOIN("/",FALSE,Q382,T382))</f>
        <v>39/50</v>
      </c>
      <c r="J382" s="42"/>
      <c r="K382" s="42" t="str">
        <f ca="1">IF(ISERROR(F376),"",_xlfn.TEXTJOIN("/",FALSE,R382,U382))</f>
        <v>86/150</v>
      </c>
      <c r="L382" s="42"/>
      <c r="M382" s="7" t="str">
        <f ca="1">IF(ISERROR(F376),"",IF(ISTEXT(P382),IF(P382="A","Ab",IF(P382="D","Dt",IF(P382="UFM","UFM",IF(P382="NA","-")))),IF(AND(ISBLANK(P382),ISBLANK(R382)),"",IF(P382&lt;0.3*S382,"F",IF(ISBLANK(R382),"",IF(ISTEXT(R382),R382,IF(R382&gt;=0.95*U382,"O",IF(R382&gt;=0.9*U382,"A+",IF(R382&gt;=0.85*U382,"A",IF(R382&gt;=0.8*U382,"B+",IF(R382&gt;=0.75*U382,"B",IF(R382&gt;=0.7*U382,"C+",IF(R382&gt;=0.65*U382,"C",IF(R382&gt;=0.6*U382,"D+",IF(R382&gt;=0.55*U382,"D",IF(R382&gt;=0.5*U382,"E+",IF(R382&gt;=0.45*U382,"E",IF(R382&gt;=0.4*U382,"P",IF(R382&lt;0.4*U382,"F",R382)))))))))))))))))))</f>
        <v>D</v>
      </c>
      <c r="N382" s="8">
        <f t="shared" ref="N382:N393" ca="1" si="32">INDEX($Z$2:$Z$18,MATCH(M382,$Y$2:$Y$18,0))</f>
        <v>6</v>
      </c>
      <c r="O382">
        <f>O381+1</f>
        <v>2</v>
      </c>
      <c r="P382" s="1">
        <f ca="1">IF(ISERROR(F376),"",IF(ISTEXT(VLOOKUP(B376,INDIRECT($F$8),6+(O382-1)*3)),(VLOOKUP(B376,INDIRECT($F$8),6+(O382-1)*3)),SUM(VLOOKUP(B376,INDIRECT($F$8),6+(O382-1)*3),IF(W395,W382,0))))</f>
        <v>47</v>
      </c>
      <c r="Q382" s="1">
        <f ca="1">IF(ISERROR(F376),"",VLOOKUP(B376,INDIRECT($F$8),7+(O382-1)*3))</f>
        <v>39</v>
      </c>
      <c r="R382" s="1">
        <f ca="1">IF(ISERROR(F376),"",SUM(P382:Q382))</f>
        <v>86</v>
      </c>
      <c r="S382" s="1">
        <f ca="1">IF(ISERROR(F376),"",VLOOKUP(A376,INDIRECT($F$8),6+(O382-1)*3))</f>
        <v>100</v>
      </c>
      <c r="T382" s="1">
        <f ca="1">IF(ISERROR(F376),"",VLOOKUP(A376,INDIRECT($F$8),7+(O382-1)*3))</f>
        <v>50</v>
      </c>
      <c r="U382" s="1">
        <f ca="1">IF(ISERROR(F376),"",VLOOKUP(A376,INDIRECT($F$8),8+(O382-1)*3))</f>
        <v>150</v>
      </c>
      <c r="V382" s="1" t="str">
        <f ca="1">IF(ISERROR(F376),"",IF(N382=0,A382,""))</f>
        <v/>
      </c>
      <c r="W382" s="1">
        <f ca="1">IF(ISERROR(F376),"",IF(ISTEXT(VLOOKUP(B376,INDIRECT($F$8),6+(O382-1)*3)),11,IF(VLOOKUP(B376,INDIRECT($F$8),6+(O382-1)*3)&lt;S382*0.3,IF(VLOOKUP(B376,INDIRECT($F$8),8+(O382-1)*3)&lt;U382*0.4,IF(AND(0.4*U382-VLOOKUP(B376,INDIRECT($F$8),8+(O382-1)*3)&lt;=5,0.3*S382-VLOOKUP(B376,INDIRECT($F$8),6+(O382-1)*3)&lt;=5),MAX(0.4*U382-VLOOKUP(B376,INDIRECT($F$8),8+(O382-1)*3),0.3*S382-VLOOKUP(B376,INDIRECT($F$8),6+(O382-1)*3)),11),IF(0.3*S382-VLOOKUP(B376,INDIRECT($F$8),6+(O382-1)*3)&lt;=5,0.3*S382-VLOOKUP(B376,INDIRECT($F$8),6+(O382-1)*3),11)),IF(VLOOKUP(B376,INDIRECT($F$8),8+(O382-1)*3)&lt;U382*0.4,IF(U382*0.4-VLOOKUP(B376,INDIRECT($F$8),8+(O382-1)*3)&lt;=5,U382*0.4-VLOOKUP(B376,INDIRECT($F$8),8+(O382-1)*3),11),0))))</f>
        <v>0</v>
      </c>
      <c r="X382" s="1" t="str">
        <f ca="1">IF(ISERROR(F376),"",IF(W382=0,"",_xlfn.TEXTJOIN("",FALSE," G+",W382," in ",A382)))</f>
        <v/>
      </c>
    </row>
    <row r="383" spans="1:24" ht="11.25" customHeight="1" x14ac:dyDescent="0.2">
      <c r="A383" s="7" t="str">
        <f ca="1">IF(ISERROR(F376),"",VLOOKUP(C376,INDIRECT($F$8),6+(O383-1)*3,0))</f>
        <v>CAT 006</v>
      </c>
      <c r="B383" s="41" t="str">
        <f ca="1">IF(ISERROR(F376),"",VLOOKUP(D376,INDIRECT($F$8),6+(O383-1)*3,0))</f>
        <v>Operating System</v>
      </c>
      <c r="C383" s="41"/>
      <c r="D383" s="41"/>
      <c r="E383" s="41"/>
      <c r="F383" s="7">
        <f ca="1">IF(ISERROR(F376),"",VLOOKUP(E376,INDIRECT($F$8),6+(O383-1)*3,0))</f>
        <v>4</v>
      </c>
      <c r="G383" s="42" t="str">
        <f ca="1">IF(ISERROR(F376),"",_xlfn.TEXTJOIN("/",FALSE,P383,S383))</f>
        <v>75/100</v>
      </c>
      <c r="H383" s="42"/>
      <c r="I383" s="42" t="str">
        <f ca="1">IF(ISERROR(F376),"",_xlfn.TEXTJOIN("/",FALSE,Q383,T383))</f>
        <v>46/50</v>
      </c>
      <c r="J383" s="42"/>
      <c r="K383" s="42" t="str">
        <f ca="1">IF(ISERROR(F376),"",_xlfn.TEXTJOIN("/",FALSE,R383,U383))</f>
        <v>121/150</v>
      </c>
      <c r="L383" s="42"/>
      <c r="M383" s="7" t="str">
        <f ca="1">IF(ISERROR(F376),"",IF(ISTEXT(P383),IF(P383="A","Ab",IF(P383="D","Dt",IF(P383="UFM","UFM",IF(P383="NA","-")))),IF(AND(ISBLANK(P383),ISBLANK(R383)),"",IF(P383&lt;0.3*S383,"F",IF(ISBLANK(R383),"",IF(ISTEXT(R383),R383,IF(R383&gt;=0.95*U383,"O",IF(R383&gt;=0.9*U383,"A+",IF(R383&gt;=0.85*U383,"A",IF(R383&gt;=0.8*U383,"B+",IF(R383&gt;=0.75*U383,"B",IF(R383&gt;=0.7*U383,"C+",IF(R383&gt;=0.65*U383,"C",IF(R383&gt;=0.6*U383,"D+",IF(R383&gt;=0.55*U383,"D",IF(R383&gt;=0.5*U383,"E+",IF(R383&gt;=0.45*U383,"E",IF(R383&gt;=0.4*U383,"P",IF(R383&lt;0.4*U383,"F",R383)))))))))))))))))))</f>
        <v>B+</v>
      </c>
      <c r="N383" s="8">
        <f t="shared" ca="1" si="32"/>
        <v>8.5</v>
      </c>
      <c r="O383">
        <f>O382+1</f>
        <v>3</v>
      </c>
      <c r="P383" s="1">
        <f ca="1">IF(ISERROR(F376),"",IF(ISTEXT(VLOOKUP(B376,INDIRECT($F$8),6+(O383-1)*3)),(VLOOKUP(B376,INDIRECT($F$8),6+(O383-1)*3)),SUM(VLOOKUP(B376,INDIRECT($F$8),6+(O383-1)*3),IF(W395,W383,0))))</f>
        <v>75</v>
      </c>
      <c r="Q383" s="1">
        <f ca="1">IF(ISERROR(F376),"",VLOOKUP(B376,INDIRECT($F$8),7+(O383-1)*3))</f>
        <v>46</v>
      </c>
      <c r="R383" s="1">
        <f ca="1">IF(ISERROR(F376),"",SUM(P383:Q383))</f>
        <v>121</v>
      </c>
      <c r="S383" s="1">
        <f ca="1">IF(ISERROR(F376),"",VLOOKUP(A376,INDIRECT($F$8),6+(O383-1)*3))</f>
        <v>100</v>
      </c>
      <c r="T383" s="1">
        <f ca="1">IF(ISERROR(F376),"",VLOOKUP(A376,INDIRECT($F$8),7+(O383-1)*3))</f>
        <v>50</v>
      </c>
      <c r="U383" s="1">
        <f ca="1">IF(ISERROR(F376),"",VLOOKUP(A376,INDIRECT($F$8),8+(O383-1)*3))</f>
        <v>150</v>
      </c>
      <c r="V383" s="1" t="str">
        <f ca="1">IF(ISERROR(F376),"",IF(N383=0,A383,""))</f>
        <v/>
      </c>
      <c r="W383" s="1">
        <f ca="1">IF(ISERROR(F376),"",IF(ISTEXT(VLOOKUP(B376,INDIRECT($F$8),6+(O383-1)*3)),11,IF(VLOOKUP(B376,INDIRECT($F$8),6+(O383-1)*3)&lt;S383*0.3,IF(VLOOKUP(B376,INDIRECT($F$8),8+(O383-1)*3)&lt;U383*0.4,IF(AND(0.4*U383-VLOOKUP(B376,INDIRECT($F$8),8+(O383-1)*3)&lt;=5,0.3*S383-VLOOKUP(B376,INDIRECT($F$8),6+(O383-1)*3)&lt;=5),MAX(0.4*U383-VLOOKUP(B376,INDIRECT($F$8),8+(O383-1)*3),0.3*S383-VLOOKUP(B376,INDIRECT($F$8),6+(O383-1)*3)),11),IF(0.3*S383-VLOOKUP(B376,INDIRECT($F$8),6+(O383-1)*3)&lt;=5,0.3*S383-VLOOKUP(B376,INDIRECT($F$8),6+(O383-1)*3),11)),IF(VLOOKUP(B376,INDIRECT($F$8),8+(O383-1)*3)&lt;U383*0.4,IF(U383*0.4-VLOOKUP(B376,INDIRECT($F$8),8+(O383-1)*3)&lt;=5,U383*0.4-VLOOKUP(B376,INDIRECT($F$8),8+(O383-1)*3),11),0))))</f>
        <v>0</v>
      </c>
      <c r="X383" s="1" t="str">
        <f ca="1">IF(ISERROR(F376),"",IF(W383=0,"",_xlfn.TEXTJOIN("",FALSE," G+",W383," in ",A383)))</f>
        <v/>
      </c>
    </row>
    <row r="384" spans="1:24" ht="11.25" customHeight="1" x14ac:dyDescent="0.2">
      <c r="A384" s="7" t="str">
        <f ca="1">IF(ISERROR(F376),"",VLOOKUP(C376,INDIRECT($F$8),6+(O384-1)*3,0))</f>
        <v>CAT 007</v>
      </c>
      <c r="B384" s="41" t="str">
        <f ca="1">IF(ISERROR(F376),"",VLOOKUP(D376,INDIRECT($F$8),6+(O384-1)*3,0))</f>
        <v>Computer Organization</v>
      </c>
      <c r="C384" s="41"/>
      <c r="D384" s="41"/>
      <c r="E384" s="41"/>
      <c r="F384" s="7">
        <f ca="1">IF(ISERROR(F376),"",VLOOKUP(E376,INDIRECT($F$8),6+(O384-1)*3,0))</f>
        <v>4</v>
      </c>
      <c r="G384" s="42" t="str">
        <f ca="1">IF(ISERROR(F376),"",_xlfn.TEXTJOIN("/",FALSE,P384,S384))</f>
        <v>38/100</v>
      </c>
      <c r="H384" s="42"/>
      <c r="I384" s="42" t="str">
        <f ca="1">IF(ISERROR(F376),"",_xlfn.TEXTJOIN("/",FALSE,Q384,T384))</f>
        <v>31/50</v>
      </c>
      <c r="J384" s="42"/>
      <c r="K384" s="42" t="str">
        <f ca="1">IF(ISERROR(F376),"",_xlfn.TEXTJOIN("/",FALSE,R384,U384))</f>
        <v>69/150</v>
      </c>
      <c r="L384" s="42"/>
      <c r="M384" s="7" t="str">
        <f ca="1">IF(ISERROR(F376),"",IF(ISTEXT(P384),IF(P384="A","Ab",IF(P384="D","Dt",IF(P384="UFM","UFM",IF(P384="NA","-")))),IF(AND(ISBLANK(P384),ISBLANK(R384)),"",IF(P384&lt;0.3*S384,"F",IF(ISBLANK(R384),"",IF(ISTEXT(R384),R384,IF(R384&gt;=0.95*U384,"O",IF(R384&gt;=0.9*U384,"A+",IF(R384&gt;=0.85*U384,"A",IF(R384&gt;=0.8*U384,"B+",IF(R384&gt;=0.75*U384,"B",IF(R384&gt;=0.7*U384,"C+",IF(R384&gt;=0.65*U384,"C",IF(R384&gt;=0.6*U384,"D+",IF(R384&gt;=0.55*U384,"D",IF(R384&gt;=0.5*U384,"E+",IF(R384&gt;=0.45*U384,"E",IF(R384&gt;=0.4*U384,"P",IF(R384&lt;0.4*U384,"F",R384)))))))))))))))))))</f>
        <v>E</v>
      </c>
      <c r="N384" s="8">
        <f t="shared" ca="1" si="32"/>
        <v>5</v>
      </c>
      <c r="O384">
        <f>O383+1</f>
        <v>4</v>
      </c>
      <c r="P384" s="1">
        <f ca="1">IF(ISERROR(F376),"",IF(ISTEXT(VLOOKUP(B376,INDIRECT($F$8),6+(O384-1)*3)),(VLOOKUP(B376,INDIRECT($F$8),6+(O384-1)*3)),SUM(VLOOKUP(B376,INDIRECT($F$8),6+(O384-1)*3),IF(W395,W384,0))))</f>
        <v>38</v>
      </c>
      <c r="Q384" s="1">
        <f ca="1">IF(ISERROR(F376),"",VLOOKUP(B376,INDIRECT($F$8),7+(O384-1)*3))</f>
        <v>31</v>
      </c>
      <c r="R384" s="1">
        <f ca="1">IF(ISERROR(F376),"",SUM(P384:Q384))</f>
        <v>69</v>
      </c>
      <c r="S384" s="1">
        <f ca="1">IF(ISERROR(F376),"",VLOOKUP(A376,INDIRECT($F$8),6+(O384-1)*3))</f>
        <v>100</v>
      </c>
      <c r="T384" s="1">
        <f ca="1">IF(ISERROR(F376),"",VLOOKUP(A376,INDIRECT($F$8),7+(O384-1)*3))</f>
        <v>50</v>
      </c>
      <c r="U384" s="1">
        <f ca="1">IF(ISERROR(F376),"",VLOOKUP(A376,INDIRECT($F$8),8+(O384-1)*3))</f>
        <v>150</v>
      </c>
      <c r="V384" s="1" t="str">
        <f ca="1">IF(ISERROR(F376),"",IF(N384=0,A384,""))</f>
        <v/>
      </c>
      <c r="W384" s="1">
        <f ca="1">IF(ISERROR(F376),"",IF(ISTEXT(VLOOKUP(B376,INDIRECT($F$8),6+(O384-1)*3)),11,IF(VLOOKUP(B376,INDIRECT($F$8),6+(O384-1)*3)&lt;S384*0.3,IF(VLOOKUP(B376,INDIRECT($F$8),8+(O384-1)*3)&lt;U384*0.4,IF(AND(0.4*U384-VLOOKUP(B376,INDIRECT($F$8),8+(O384-1)*3)&lt;=5,0.3*S384-VLOOKUP(B376,INDIRECT($F$8),6+(O384-1)*3)&lt;=5),MAX(0.4*U384-VLOOKUP(B376,INDIRECT($F$8),8+(O384-1)*3),0.3*S384-VLOOKUP(B376,INDIRECT($F$8),6+(O384-1)*3)),11),IF(0.3*S384-VLOOKUP(B376,INDIRECT($F$8),6+(O384-1)*3)&lt;=5,0.3*S384-VLOOKUP(B376,INDIRECT($F$8),6+(O384-1)*3),11)),IF(VLOOKUP(B376,INDIRECT($F$8),8+(O384-1)*3)&lt;U384*0.4,IF(U384*0.4-VLOOKUP(B376,INDIRECT($F$8),8+(O384-1)*3)&lt;=5,U384*0.4-VLOOKUP(B376,INDIRECT($F$8),8+(O384-1)*3),11),0))))</f>
        <v>0</v>
      </c>
      <c r="X384" s="1" t="str">
        <f ca="1">IF(ISERROR(F376),"",IF(W384=0,"",_xlfn.TEXTJOIN("",FALSE," G+",W384," in ",A384)))</f>
        <v/>
      </c>
    </row>
    <row r="385" spans="1:24" ht="11.25" customHeight="1" x14ac:dyDescent="0.2">
      <c r="A385" s="7" t="str">
        <f ca="1">IF(ISERROR(F376),"",VLOOKUP(C376,INDIRECT($F$8),6+(O385-1)*3,0))</f>
        <v>AHT 303</v>
      </c>
      <c r="B385" s="41" t="str">
        <f ca="1">IF(ISERROR(F376),"",VLOOKUP(D376,INDIRECT($F$8),6+(O385-1)*3,0))</f>
        <v>Technical Communication Skills</v>
      </c>
      <c r="C385" s="41"/>
      <c r="D385" s="41"/>
      <c r="E385" s="41"/>
      <c r="F385" s="7">
        <f ca="1">IF(ISERROR(F376),"",VLOOKUP(E376,INDIRECT($F$8),6+(O385-1)*3,0))</f>
        <v>4</v>
      </c>
      <c r="G385" s="42" t="str">
        <f ca="1">IF(ISERROR(F376),"",_xlfn.TEXTJOIN("/",FALSE,P385,S385))</f>
        <v>73/100</v>
      </c>
      <c r="H385" s="42"/>
      <c r="I385" s="42" t="str">
        <f ca="1">IF(ISERROR(F376),"",_xlfn.TEXTJOIN("/",FALSE,Q385,T385))</f>
        <v>34/50</v>
      </c>
      <c r="J385" s="42"/>
      <c r="K385" s="42" t="str">
        <f ca="1">IF(ISERROR(F376),"",_xlfn.TEXTJOIN("/",FALSE,R385,U385))</f>
        <v>107/150</v>
      </c>
      <c r="L385" s="42"/>
      <c r="M385" s="7" t="str">
        <f ca="1">IF(ISERROR(F376),"",IF(ISTEXT(P385),IF(P385="A","Ab",IF(P385="D","Dt",IF(P385="UFM","UFM",IF(P385="NA","-")))),IF(AND(ISBLANK(P385),ISBLANK(R385)),"",IF(P385&lt;0.3*S385,"F",IF(ISBLANK(R385),"",IF(ISTEXT(R385),R385,IF(R385&gt;=0.95*U385,"O",IF(R385&gt;=0.9*U385,"A+",IF(R385&gt;=0.85*U385,"A",IF(R385&gt;=0.8*U385,"B+",IF(R385&gt;=0.75*U385,"B",IF(R385&gt;=0.7*U385,"C+",IF(R385&gt;=0.65*U385,"C",IF(R385&gt;=0.6*U385,"D+",IF(R385&gt;=0.55*U385,"D",IF(R385&gt;=0.5*U385,"E+",IF(R385&gt;=0.45*U385,"E",IF(R385&gt;=0.4*U385,"P",IF(R385&lt;0.4*U385,"F",R385)))))))))))))))))))</f>
        <v>C+</v>
      </c>
      <c r="N385" s="8">
        <f t="shared" ca="1" si="32"/>
        <v>7.5</v>
      </c>
      <c r="O385">
        <f t="shared" ref="O385:O394" si="33">O384+1</f>
        <v>5</v>
      </c>
      <c r="P385" s="1">
        <f ca="1">IF(ISERROR(F376),"",IF(ISTEXT(VLOOKUP(B376,INDIRECT($F$8),6+(O385-1)*3)),(VLOOKUP(B376,INDIRECT($F$8),6+(O385-1)*3)),SUM(VLOOKUP(B376,INDIRECT($F$8),6+(O385-1)*3),IF(W395,W385,0))))</f>
        <v>73</v>
      </c>
      <c r="Q385" s="1">
        <f ca="1">IF(ISERROR(F376),"",VLOOKUP(B376,INDIRECT($F$8),7+(O385-1)*3))</f>
        <v>34</v>
      </c>
      <c r="R385" s="1">
        <f ca="1">IF(ISERROR(F376),"",SUM(P385:Q385))</f>
        <v>107</v>
      </c>
      <c r="S385" s="1">
        <f ca="1">IF(ISERROR(F376),"",VLOOKUP(A376,INDIRECT($F$8),6+(O385-1)*3))</f>
        <v>100</v>
      </c>
      <c r="T385" s="1">
        <f ca="1">IF(ISERROR(F376),"",VLOOKUP(A376,INDIRECT($F$8),7+(O385-1)*3))</f>
        <v>50</v>
      </c>
      <c r="U385" s="1">
        <f ca="1">IF(ISERROR(F376),"",VLOOKUP(A376,INDIRECT($F$8),8+(O385-1)*3))</f>
        <v>150</v>
      </c>
      <c r="V385" s="1" t="str">
        <f ca="1">IF(ISERROR(F376),"",IF(N385=0,A385,""))</f>
        <v/>
      </c>
      <c r="W385" s="1">
        <f ca="1">IF(ISERROR(F376),"",IF(ISTEXT(VLOOKUP(B376,INDIRECT($F$8),6+(O385-1)*3)),11,IF(VLOOKUP(B376,INDIRECT($F$8),6+(O385-1)*3)&lt;S385*0.3,IF(VLOOKUP(B376,INDIRECT($F$8),8+(O385-1)*3)&lt;U385*0.4,IF(AND(0.4*U385-VLOOKUP(B376,INDIRECT($F$8),8+(O385-1)*3)&lt;=5,0.3*S385-VLOOKUP(B376,INDIRECT($F$8),6+(O385-1)*3)&lt;=5),MAX(0.4*U385-VLOOKUP(B376,INDIRECT($F$8),8+(O385-1)*3),0.3*S385-VLOOKUP(B376,INDIRECT($F$8),6+(O385-1)*3)),11),IF(0.3*S385-VLOOKUP(B376,INDIRECT($F$8),6+(O385-1)*3)&lt;=5,0.3*S385-VLOOKUP(B376,INDIRECT($F$8),6+(O385-1)*3),11)),IF(VLOOKUP(B376,INDIRECT($F$8),8+(O385-1)*3)&lt;U385*0.4,IF(U385*0.4-VLOOKUP(B376,INDIRECT($F$8),8+(O385-1)*3)&lt;=5,U385*0.4-VLOOKUP(B376,INDIRECT($F$8),8+(O385-1)*3),11),0))))</f>
        <v>0</v>
      </c>
      <c r="X385" s="1" t="str">
        <f ca="1">IF(ISERROR(F376),"",IF(W385=0,"",_xlfn.TEXTJOIN("",FALSE," G+",W385," in ",A385)))</f>
        <v/>
      </c>
    </row>
    <row r="386" spans="1:24" ht="11.25" customHeight="1" x14ac:dyDescent="0.2">
      <c r="A386" s="7" t="str">
        <f ca="1">IF(ISERROR(F376),"",VLOOKUP(C376,INDIRECT($F$8),6+(O386-1)*3,0))</f>
        <v>CAT 008</v>
      </c>
      <c r="B386" s="41" t="str">
        <f ca="1">IF(ISERROR(F376),"",VLOOKUP(D376,INDIRECT($F$8),6+(O386-1)*3,0))</f>
        <v>Python Programming ($)</v>
      </c>
      <c r="C386" s="41"/>
      <c r="D386" s="41"/>
      <c r="E386" s="41"/>
      <c r="F386" s="7">
        <f ca="1">IF(ISERROR(F376),"",VLOOKUP(E376,INDIRECT($F$8),6+(O386-1)*3,0))</f>
        <v>0</v>
      </c>
      <c r="G386" s="42" t="str">
        <f ca="1">IF(ISERROR(F376),"",_xlfn.TEXTJOIN("/",FALSE,P386,S386))</f>
        <v>16/30</v>
      </c>
      <c r="H386" s="42"/>
      <c r="I386" s="42" t="str">
        <f ca="1">IF(ISERROR(F376),"",_xlfn.TEXTJOIN("/",FALSE,Q386,T386))</f>
        <v>13/20</v>
      </c>
      <c r="J386" s="42"/>
      <c r="K386" s="42" t="str">
        <f ca="1">IF(ISERROR(F376),"",_xlfn.TEXTJOIN("/",FALSE,R386,U386))</f>
        <v>29/50</v>
      </c>
      <c r="L386" s="42"/>
      <c r="M386" s="7" t="str">
        <f ca="1">IF(ISERROR(F376),"",IF(ISTEXT(P386),IF(P386="A","Ab",IF(P386="D","Dt",IF(P386="UFM","UFM",IF(P386="NA","-")))),IF(AND(ISBLANK(P386),ISBLANK(R386)),"",IF(P386&lt;0.3*S386,"F",IF(ISBLANK(R386),"",IF(ISTEXT(R386),R386,IF(R386&gt;=0.95*U386,"O",IF(R386&gt;=0.9*U386,"A+",IF(R386&gt;=0.85*U386,"A",IF(R386&gt;=0.8*U386,"B+",IF(R386&gt;=0.75*U386,"B",IF(R386&gt;=0.7*U386,"C+",IF(R386&gt;=0.65*U386,"C",IF(R386&gt;=0.6*U386,"D+",IF(R386&gt;=0.55*U386,"D",IF(R386&gt;=0.5*U386,"E+",IF(R386&gt;=0.45*U386,"E",IF(R386&gt;=0.4*U386,"P",IF(R386&lt;0.4*U386,"F",R386)))))))))))))))))))</f>
        <v>D</v>
      </c>
      <c r="N386" s="8">
        <f t="shared" ca="1" si="32"/>
        <v>6</v>
      </c>
      <c r="O386">
        <f t="shared" si="33"/>
        <v>6</v>
      </c>
      <c r="P386" s="1">
        <f ca="1">IF(ISERROR(F376),"",IF(ISTEXT(VLOOKUP(B376,INDIRECT($F$8),6+(O386-1)*3)),(VLOOKUP(B376,INDIRECT($F$8),6+(O386-1)*3)),SUM(VLOOKUP(B376,INDIRECT($F$8),6+(O386-1)*3),IF(W395,W386,0))))</f>
        <v>16</v>
      </c>
      <c r="Q386" s="1">
        <f ca="1">IF(ISERROR(F376),"",VLOOKUP(B376,INDIRECT($F$8),7+(O386-1)*3))</f>
        <v>13</v>
      </c>
      <c r="R386" s="1">
        <f ca="1">IF(ISERROR(F376),"",SUM(P386:Q386))</f>
        <v>29</v>
      </c>
      <c r="S386" s="1">
        <f ca="1">IF(ISERROR(F376),"",VLOOKUP(A376,INDIRECT($F$8),6+(O386-1)*3))</f>
        <v>30</v>
      </c>
      <c r="T386" s="1">
        <f ca="1">IF(ISERROR(F376),"",VLOOKUP(A376,INDIRECT($F$8),7+(O386-1)*3))</f>
        <v>20</v>
      </c>
      <c r="U386" s="1">
        <f ca="1">IF(ISERROR(F376),"",VLOOKUP(A376,INDIRECT($F$8),8+(O386-1)*3))</f>
        <v>50</v>
      </c>
      <c r="V386" s="1" t="str">
        <f ca="1">IF(ISERROR(F376),"",IF(N386=0,A386,""))</f>
        <v/>
      </c>
      <c r="W386" s="1">
        <f ca="1">IF(ISERROR(F376),"",IF(ISTEXT(VLOOKUP(B376,INDIRECT($F$8),6+(O386-1)*3)),11,IF(VLOOKUP(B376,INDIRECT($F$8),6+(O386-1)*3)&lt;S386*0.3,IF(VLOOKUP(B376,INDIRECT($F$8),8+(O386-1)*3)&lt;U386*0.4,IF(AND(0.4*U386-VLOOKUP(B376,INDIRECT($F$8),8+(O386-1)*3)&lt;=5,0.3*S386-VLOOKUP(B376,INDIRECT($F$8),6+(O386-1)*3)&lt;=5),MAX(0.4*U386-VLOOKUP(B376,INDIRECT($F$8),8+(O386-1)*3),0.3*S386-VLOOKUP(B376,INDIRECT($F$8),6+(O386-1)*3)),11),IF(0.3*S386-VLOOKUP(B376,INDIRECT($F$8),6+(O386-1)*3)&lt;=5,0.3*S386-VLOOKUP(B376,INDIRECT($F$8),6+(O386-1)*3),11)),IF(VLOOKUP(B376,INDIRECT($F$8),8+(O386-1)*3)&lt;U386*0.4,IF(U386*0.4-VLOOKUP(B376,INDIRECT($F$8),8+(O386-1)*3)&lt;=5,U386*0.4-VLOOKUP(B376,INDIRECT($F$8),8+(O386-1)*3),11),0))))</f>
        <v>0</v>
      </c>
      <c r="X386" s="1" t="str">
        <f ca="1">IF(ISERROR(F376),"",IF(W386=0,"",_xlfn.TEXTJOIN("",FALSE," G+",W386," in ",A386)))</f>
        <v/>
      </c>
    </row>
    <row r="387" spans="1:24" ht="11.25" customHeight="1" x14ac:dyDescent="0.2">
      <c r="A387" s="7" t="str">
        <f ca="1">IF(ISERROR(F376),"",VLOOKUP(C376,INDIRECT($F$8),6+(O387-1)*3,0))</f>
        <v>CAT 001</v>
      </c>
      <c r="B387" s="41" t="str">
        <f ca="1">IF(ISERROR(F376),"",VLOOKUP(D376,INDIRECT($F$8),6+(O387-1)*3,0))</f>
        <v>Introduction of Information Technology ($)</v>
      </c>
      <c r="C387" s="41"/>
      <c r="D387" s="41"/>
      <c r="E387" s="41"/>
      <c r="F387" s="7">
        <f ca="1">IF(ISERROR(F376),"",VLOOKUP(E376,INDIRECT($F$8),6+(O387-1)*3,0))</f>
        <v>0</v>
      </c>
      <c r="G387" s="42" t="str">
        <f ca="1">IF(ISERROR(F376),"",_xlfn.TEXTJOIN("/",FALSE,P387,S387))</f>
        <v>NA/30</v>
      </c>
      <c r="H387" s="42"/>
      <c r="I387" s="42" t="str">
        <f ca="1">IF(ISERROR(F376),"",_xlfn.TEXTJOIN("/",FALSE,Q387,T387))</f>
        <v>NA/20</v>
      </c>
      <c r="J387" s="42"/>
      <c r="K387" s="42" t="str">
        <f ca="1">IF(ISERROR(F376),"",_xlfn.TEXTJOIN("/",FALSE,R387,U387))</f>
        <v>0/50</v>
      </c>
      <c r="L387" s="42"/>
      <c r="M387" s="7" t="str">
        <f ca="1">IF(ISERROR(F376),"",IF(ISTEXT(P387),IF(P387="A","Ab",IF(P387="D","Dt",IF(P387="UFM","UFM",IF(P387="NA","-")))),IF(AND(ISBLANK(P387),ISBLANK(R387)),"",IF(P387&lt;0.3*S387,"F",IF(ISBLANK(R387),"",IF(ISTEXT(R387),R387,IF(R387&gt;=0.95*U387,"O",IF(R387&gt;=0.9*U387,"A+",IF(R387&gt;=0.85*U387,"A",IF(R387&gt;=0.8*U387,"B+",IF(R387&gt;=0.75*U387,"B",IF(R387&gt;=0.7*U387,"C+",IF(R387&gt;=0.65*U387,"C",IF(R387&gt;=0.6*U387,"D+",IF(R387&gt;=0.55*U387,"D",IF(R387&gt;=0.5*U387,"E+",IF(R387&gt;=0.45*U387,"E",IF(R387&gt;=0.4*U387,"P",IF(R387&lt;0.4*U387,"F",R387)))))))))))))))))))</f>
        <v>-</v>
      </c>
      <c r="N387" s="8" t="str">
        <f t="shared" ca="1" si="32"/>
        <v>-</v>
      </c>
      <c r="O387">
        <f t="shared" si="33"/>
        <v>7</v>
      </c>
      <c r="P387" s="1" t="str">
        <f ca="1">IF(ISERROR(F376),"",IF(ISTEXT(VLOOKUP(B376,INDIRECT($F$8),6+(O387-1)*3)),(VLOOKUP(B376,INDIRECT($F$8),6+(O387-1)*3)),SUM(VLOOKUP(B376,INDIRECT($F$8),6+(O387-1)*3),IF(W395,W387,0))))</f>
        <v>NA</v>
      </c>
      <c r="Q387" s="1" t="str">
        <f ca="1">IF(ISERROR(F376),"",VLOOKUP(B376,INDIRECT($F$8),7+(O387-1)*3))</f>
        <v>NA</v>
      </c>
      <c r="R387" s="1">
        <f ca="1">IF(ISERROR(F376),"",SUM(P387:Q387))</f>
        <v>0</v>
      </c>
      <c r="S387" s="1">
        <f ca="1">IF(ISERROR(F376),"",VLOOKUP(A376,INDIRECT($F$8),6+(O387-1)*3))</f>
        <v>30</v>
      </c>
      <c r="T387" s="1">
        <f ca="1">IF(ISERROR(F376),"",VLOOKUP(A376,INDIRECT($F$8),7+(O387-1)*3))</f>
        <v>20</v>
      </c>
      <c r="U387" s="1">
        <f ca="1">IF(ISERROR(F376),"",VLOOKUP(A376,INDIRECT($F$8),8+(O387-1)*3))</f>
        <v>50</v>
      </c>
      <c r="V387" s="1" t="str">
        <f ca="1">IF(ISERROR(F376),"",IF(N387=0,A387,""))</f>
        <v/>
      </c>
      <c r="W387" s="1">
        <f ca="1">IF(ISERROR(F376),"",IF(ISTEXT(VLOOKUP(B376,INDIRECT($F$8),6+(O387-1)*3)),11,IF(VLOOKUP(B376,INDIRECT($F$8),6+(O387-1)*3)&lt;S387*0.3,IF(VLOOKUP(B376,INDIRECT($F$8),8+(O387-1)*3)&lt;U387*0.4,IF(AND(0.4*U387-VLOOKUP(B376,INDIRECT($F$8),8+(O387-1)*3)&lt;=5,0.3*S387-VLOOKUP(B376,INDIRECT($F$8),6+(O387-1)*3)&lt;=5),MAX(0.4*U387-VLOOKUP(B376,INDIRECT($F$8),8+(O387-1)*3),0.3*S387-VLOOKUP(B376,INDIRECT($F$8),6+(O387-1)*3)),11),IF(0.3*S387-VLOOKUP(B376,INDIRECT($F$8),6+(O387-1)*3)&lt;=5,0.3*S387-VLOOKUP(B376,INDIRECT($F$8),6+(O387-1)*3),11)),IF(VLOOKUP(B376,INDIRECT($F$8),8+(O387-1)*3)&lt;U387*0.4,IF(U387*0.4-VLOOKUP(B376,INDIRECT($F$8),8+(O387-1)*3)&lt;=5,U387*0.4-VLOOKUP(B376,INDIRECT($F$8),8+(O387-1)*3),11),0))))</f>
        <v>11</v>
      </c>
      <c r="X387" s="1" t="str">
        <f ca="1">IF(ISERROR(F376),"",IF(W387=0,"",_xlfn.TEXTJOIN("",FALSE," G+",W387," in ",A387)))</f>
        <v xml:space="preserve"> G+11 in CAT 001</v>
      </c>
    </row>
    <row r="388" spans="1:24" ht="11.25" customHeight="1" x14ac:dyDescent="0.2">
      <c r="A388" s="7" t="str">
        <f ca="1">IF(ISERROR(F376),"",VLOOKUP(C376,INDIRECT($F$8),6+(O388-1)*3,0))</f>
        <v>CAT 002</v>
      </c>
      <c r="B388" s="41" t="str">
        <f ca="1">IF(ISERROR(F376),"",VLOOKUP(D376,INDIRECT($F$8),6+(O388-1)*3,0))</f>
        <v>Programming Fundamentals with "C" ($)</v>
      </c>
      <c r="C388" s="41"/>
      <c r="D388" s="41"/>
      <c r="E388" s="41"/>
      <c r="F388" s="7">
        <f ca="1">IF(ISERROR(F376),"",VLOOKUP(E376,INDIRECT($F$8),6+(O388-1)*3,0))</f>
        <v>0</v>
      </c>
      <c r="G388" s="42" t="str">
        <f ca="1">IF(ISERROR(F376),"",_xlfn.TEXTJOIN("/",FALSE,P388,S388))</f>
        <v>NA/30</v>
      </c>
      <c r="H388" s="42"/>
      <c r="I388" s="42" t="str">
        <f ca="1">IF(ISERROR(F376),"",_xlfn.TEXTJOIN("/",FALSE,Q388,T388))</f>
        <v>NA/20</v>
      </c>
      <c r="J388" s="42"/>
      <c r="K388" s="42" t="str">
        <f ca="1">IF(ISERROR(F376),"",_xlfn.TEXTJOIN("/",FALSE,R388,U388))</f>
        <v>0/50</v>
      </c>
      <c r="L388" s="42"/>
      <c r="M388" s="7" t="str">
        <f ca="1">IF(ISERROR(F376),"",IF(ISTEXT(P388),IF(P388="A","Ab",IF(P388="D","Dt",IF(P388="UFM","UFM",IF(P388="NA","-")))),IF(AND(ISBLANK(P388),ISBLANK(R388)),"",IF(P388&lt;0.3*S388,"F",IF(ISBLANK(R388),"",IF(ISTEXT(R388),R388,IF(R388&gt;=0.95*U388,"O",IF(R388&gt;=0.9*U388,"A+",IF(R388&gt;=0.85*U388,"A",IF(R388&gt;=0.8*U388,"B+",IF(R388&gt;=0.75*U388,"B",IF(R388&gt;=0.7*U388,"C+",IF(R388&gt;=0.65*U388,"C",IF(R388&gt;=0.6*U388,"D+",IF(R388&gt;=0.55*U388,"D",IF(R388&gt;=0.5*U388,"E+",IF(R388&gt;=0.45*U388,"E",IF(R388&gt;=0.4*U388,"P",IF(R388&lt;0.4*U388,"F",R388)))))))))))))))))))</f>
        <v>-</v>
      </c>
      <c r="N388" s="8" t="str">
        <f t="shared" ca="1" si="32"/>
        <v>-</v>
      </c>
      <c r="O388">
        <f t="shared" si="33"/>
        <v>8</v>
      </c>
      <c r="P388" s="1" t="str">
        <f ca="1">IF(ISERROR(F376),"",IF(ISTEXT(VLOOKUP(B376,INDIRECT($F$8),6+(O388-1)*3)),(VLOOKUP(B376,INDIRECT($F$8),6+(O388-1)*3)),SUM(VLOOKUP(B376,INDIRECT($F$8),6+(O388-1)*3),IF(W395,W388,0))))</f>
        <v>NA</v>
      </c>
      <c r="Q388" s="1" t="str">
        <f ca="1">IF(ISERROR(F376),"",VLOOKUP(B376,INDIRECT($F$8),7+(O388-1)*3))</f>
        <v>NA</v>
      </c>
      <c r="R388" s="1">
        <f ca="1">IF(ISERROR(F376),"",SUM(P388:Q388))</f>
        <v>0</v>
      </c>
      <c r="S388" s="1">
        <f ca="1">IF(ISERROR(F376),"",VLOOKUP(A376,INDIRECT($F$8),6+(O388-1)*3))</f>
        <v>30</v>
      </c>
      <c r="T388" s="1">
        <f ca="1">IF(ISERROR(F376),"",VLOOKUP(A376,INDIRECT($F$8),7+(O388-1)*3))</f>
        <v>20</v>
      </c>
      <c r="U388" s="1">
        <f ca="1">IF(ISERROR(F376),"",VLOOKUP(A376,INDIRECT($F$8),8+(O388-1)*3))</f>
        <v>50</v>
      </c>
      <c r="V388" s="1" t="str">
        <f ca="1">IF(ISERROR(F376),"",IF(N388=0,A388,""))</f>
        <v/>
      </c>
      <c r="W388" s="1">
        <f ca="1">IF(ISERROR(F376),"",IF(ISTEXT(VLOOKUP(B376,INDIRECT($F$8),6+(O388-1)*3)),11,IF(VLOOKUP(B376,INDIRECT($F$8),6+(O388-1)*3)&lt;S388*0.3,IF(VLOOKUP(B376,INDIRECT($F$8),8+(O388-1)*3)&lt;U388*0.4,IF(AND(0.4*U388-VLOOKUP(B376,INDIRECT($F$8),8+(O388-1)*3)&lt;=5,0.3*S388-VLOOKUP(B376,INDIRECT($F$8),6+(O388-1)*3)&lt;=5),MAX(0.4*U388-VLOOKUP(B376,INDIRECT($F$8),8+(O388-1)*3),0.3*S388-VLOOKUP(B376,INDIRECT($F$8),6+(O388-1)*3)),11),IF(0.3*S388-VLOOKUP(B376,INDIRECT($F$8),6+(O388-1)*3)&lt;=5,0.3*S388-VLOOKUP(B376,INDIRECT($F$8),6+(O388-1)*3),11)),IF(VLOOKUP(B376,INDIRECT($F$8),8+(O388-1)*3)&lt;U388*0.4,IF(U388*0.4-VLOOKUP(B376,INDIRECT($F$8),8+(O388-1)*3)&lt;=5,U388*0.4-VLOOKUP(B376,INDIRECT($F$8),8+(O388-1)*3),11),0))))</f>
        <v>11</v>
      </c>
      <c r="X388" s="1" t="str">
        <f ca="1">IF(ISERROR(F376),"",IF(W388=0,"",_xlfn.TEXTJOIN("",FALSE," G+",W388," in ",A388)))</f>
        <v xml:space="preserve"> G+11 in CAT 002</v>
      </c>
    </row>
    <row r="389" spans="1:24" ht="11.25" customHeight="1" x14ac:dyDescent="0.2">
      <c r="A389" s="7" t="str">
        <f ca="1">IF(ISERROR(F376),"",VLOOKUP(C376,INDIRECT($F$8),6+(O389-1)*3,0))</f>
        <v>CAT 003</v>
      </c>
      <c r="B389" s="41" t="str">
        <f ca="1">IF(ISERROR(F376),"",VLOOKUP(D376,INDIRECT($F$8),6+(O389-1)*3-Z389,0))</f>
        <v>Fundamental of Web Technology ($)</v>
      </c>
      <c r="C389" s="41"/>
      <c r="D389" s="41"/>
      <c r="E389" s="41"/>
      <c r="F389" s="7">
        <f ca="1">IF(ISERROR(F376),"",VLOOKUP(E376,INDIRECT($F$8),6+(O389-1)*3,0))</f>
        <v>0</v>
      </c>
      <c r="G389" s="42" t="str">
        <f ca="1">IF(ISERROR(F376),"",_xlfn.TEXTJOIN("/",FALSE,P389,S389))</f>
        <v>NA/30</v>
      </c>
      <c r="H389" s="42"/>
      <c r="I389" s="42" t="str">
        <f ca="1">IF(ISERROR(F376),"",_xlfn.TEXTJOIN("/",FALSE,Q389,T389))</f>
        <v>NA/20</v>
      </c>
      <c r="J389" s="42"/>
      <c r="K389" s="42" t="str">
        <f ca="1">IF(ISERROR(F376),"",_xlfn.TEXTJOIN("/",FALSE,R389,U389))</f>
        <v>0/50</v>
      </c>
      <c r="L389" s="42"/>
      <c r="M389" s="7" t="str">
        <f ca="1">IF(ISERROR(F376),"",IF(ISTEXT(P389),IF(P389="A","Ab",IF(P389="D","Dt",IF(P389="UFM","UFM",IF(P389="NA","-")))),IF(AND(ISBLANK(P389),ISBLANK(R389)),"",IF(P389&lt;0.3*S389,"F",IF(ISBLANK(R389),"",IF(ISTEXT(R389),R389,IF(R389&gt;=0.95*U389,"O",IF(R389&gt;=0.9*U389,"A+",IF(R389&gt;=0.85*U389,"A",IF(R389&gt;=0.8*U389,"B+",IF(R389&gt;=0.75*U389,"B",IF(R389&gt;=0.7*U389,"C+",IF(R389&gt;=0.65*U389,"C",IF(R389&gt;=0.6*U389,"D+",IF(R389&gt;=0.55*U389,"D",IF(R389&gt;=0.5*U389,"E+",IF(R389&gt;=0.45*U389,"E",IF(R389&gt;=0.4*U389,"P",IF(R389&lt;0.4*U389,"F",R389)))))))))))))))))))</f>
        <v>-</v>
      </c>
      <c r="N389" s="8" t="str">
        <f t="shared" ca="1" si="32"/>
        <v>-</v>
      </c>
      <c r="O389">
        <f t="shared" si="33"/>
        <v>9</v>
      </c>
      <c r="P389" s="1" t="str">
        <f ca="1">IF(ISERROR(F376),"",IF(ISTEXT(VLOOKUP(B376,INDIRECT($F$8),6+(O389-1)*3)),(VLOOKUP(B376,INDIRECT($F$8),6+(O389-1)*3)),SUM(VLOOKUP(B376,INDIRECT($F$8),6+(O389-1)*3),IF(W395,W389,0))))</f>
        <v>NA</v>
      </c>
      <c r="Q389" s="1" t="str">
        <f ca="1">IF(ISERROR(F376),"",VLOOKUP(B376,INDIRECT($F$8),7+(O389-1)*3))</f>
        <v>NA</v>
      </c>
      <c r="R389" s="1">
        <f ca="1">IF(ISERROR(F376),"",SUM(P389:Q389))</f>
        <v>0</v>
      </c>
      <c r="S389" s="1">
        <f ca="1">IF(ISERROR(F376),"",VLOOKUP(A376,INDIRECT($F$8),6+(O389-1)*3))</f>
        <v>30</v>
      </c>
      <c r="T389" s="1">
        <f ca="1">IF(ISERROR(F376),"",VLOOKUP(A376,INDIRECT($F$8),7+(O389-1)*3))</f>
        <v>20</v>
      </c>
      <c r="U389" s="1">
        <f ca="1">IF(ISERROR(F376),"",VLOOKUP(A376,INDIRECT($F$8),8+(O389-1)*3))</f>
        <v>50</v>
      </c>
      <c r="V389" s="1" t="str">
        <f ca="1">IF(ISERROR(F376),"",IF(N389=0,A389,""))</f>
        <v/>
      </c>
      <c r="W389" s="1">
        <f ca="1">IF(ISERROR(F376),"",IF(ISTEXT(VLOOKUP(B376,INDIRECT($F$8),6+(O389-1)*3)),11,IF(VLOOKUP(B376,INDIRECT($F$8),6+(O389-1)*3)&lt;S389*0.3,IF(VLOOKUP(B376,INDIRECT($F$8),8+(O389-1)*3)&lt;U389*0.4,IF(AND(0.4*U389-VLOOKUP(B376,INDIRECT($F$8),8+(O389-1)*3)&lt;=5,0.3*S389-VLOOKUP(B376,INDIRECT($F$8),6+(O389-1)*3)&lt;=5),MAX(0.4*U389-VLOOKUP(B376,INDIRECT($F$8),8+(O389-1)*3),0.3*S389-VLOOKUP(B376,INDIRECT($F$8),6+(O389-1)*3)),11),IF(0.3*S389-VLOOKUP(B376,INDIRECT($F$8),6+(O389-1)*3)&lt;=5,0.3*S389-VLOOKUP(B376,INDIRECT($F$8),6+(O389-1)*3),11)),IF(VLOOKUP(B376,INDIRECT($F$8),8+(O389-1)*3)&lt;U389*0.4,IF(U389*0.4-VLOOKUP(B376,INDIRECT($F$8),8+(O389-1)*3)&lt;=5,U389*0.4-VLOOKUP(B376,INDIRECT($F$8),8+(O389-1)*3),11),0))))</f>
        <v>11</v>
      </c>
      <c r="X389" s="1" t="str">
        <f ca="1">IF(ISERROR(F376),"",IF(W389=0,"",_xlfn.TEXTJOIN("",FALSE," G+",W389," in ",A389)))</f>
        <v xml:space="preserve"> G+11 in CAT 003</v>
      </c>
    </row>
    <row r="390" spans="1:24" ht="11.25" customHeight="1" x14ac:dyDescent="0.2">
      <c r="A390" s="7" t="str">
        <f ca="1">IF(ISERROR(F376),"",VLOOKUP(C376,INDIRECT($F$8),6+(O390-1)*3,0))</f>
        <v>CAP 001</v>
      </c>
      <c r="B390" s="41" t="str">
        <f ca="1">IF(ISERROR(F376),"",VLOOKUP(D376,INDIRECT($F$8),6+(O390-1)*3-Z390,0))</f>
        <v>Database Management System Lab</v>
      </c>
      <c r="C390" s="41"/>
      <c r="D390" s="41"/>
      <c r="E390" s="41"/>
      <c r="F390" s="7">
        <f ca="1">IF(ISERROR(F376),"",VLOOKUP(E376,INDIRECT($F$8),6+(O390-1)*3,0))</f>
        <v>1</v>
      </c>
      <c r="G390" s="42" t="str">
        <f ca="1">IF(ISERROR(F376),"",_xlfn.TEXTJOIN("/",FALSE,P390,S390))</f>
        <v>27/30</v>
      </c>
      <c r="H390" s="42"/>
      <c r="I390" s="42" t="str">
        <f ca="1">IF(ISERROR(F376),"",_xlfn.TEXTJOIN("/",FALSE,Q390,T390))</f>
        <v>17/20</v>
      </c>
      <c r="J390" s="42"/>
      <c r="K390" s="42" t="str">
        <f ca="1">IF(ISERROR(F376),"",_xlfn.TEXTJOIN("/",FALSE,R390,U390))</f>
        <v>44/50</v>
      </c>
      <c r="L390" s="42"/>
      <c r="M390" s="7" t="str">
        <f ca="1">IF(ISERROR(F376),"",IF(ISTEXT(P390),IF(P390="A","Ab",IF(P390="D","Dt",IF(P390="UFM","UFM",IF(P390="NA","-")))),IF(AND(ISBLANK(P390),ISBLANK(R390)),"",IF(P390&lt;0.3*S390,"F",IF(ISBLANK(R390),"",IF(ISTEXT(R390),R390,IF(R390&gt;=0.95*U390,"O",IF(R390&gt;=0.9*U390,"A+",IF(R390&gt;=0.85*U390,"A",IF(R390&gt;=0.8*U390,"B+",IF(R390&gt;=0.75*U390,"B",IF(R390&gt;=0.7*U390,"C+",IF(R390&gt;=0.65*U390,"C",IF(R390&gt;=0.6*U390,"D+",IF(R390&gt;=0.55*U390,"D",IF(R390&gt;=0.5*U390,"E+",IF(R390&gt;=0.45*U390,"E",IF(R390&gt;=0.4*U390,"P",IF(R390&lt;0.4*U390,"F",R390)))))))))))))))))))</f>
        <v>A</v>
      </c>
      <c r="N390" s="8">
        <f t="shared" ca="1" si="32"/>
        <v>9</v>
      </c>
      <c r="O390">
        <f t="shared" si="33"/>
        <v>10</v>
      </c>
      <c r="P390" s="1">
        <f ca="1">IF(ISERROR(F376),"",IF(ISTEXT(VLOOKUP(B376,INDIRECT($F$8),6+(O390-1)*3)),(VLOOKUP(B376,INDIRECT($F$8),6+(O390-1)*3)),SUM(VLOOKUP(B376,INDIRECT($F$8),6+(O390-1)*3),IF(W395,W390,0))))</f>
        <v>27</v>
      </c>
      <c r="Q390" s="1">
        <f ca="1">IF(ISERROR(F376),"",VLOOKUP(B376,INDIRECT($F$8),7+(O390-1)*3))</f>
        <v>17</v>
      </c>
      <c r="R390" s="1">
        <f ca="1">IF(ISERROR(F376),"",SUM(P390:Q390))</f>
        <v>44</v>
      </c>
      <c r="S390" s="1">
        <f ca="1">IF(ISERROR(F376),"",VLOOKUP(A376,INDIRECT($F$8),6+(O390-1)*3))</f>
        <v>30</v>
      </c>
      <c r="T390" s="1">
        <f ca="1">IF(ISERROR(F376),"",VLOOKUP(A376,INDIRECT($F$8),7+(O390-1)*3))</f>
        <v>20</v>
      </c>
      <c r="U390" s="1">
        <f ca="1">IF(ISERROR(F376),"",VLOOKUP(A376,INDIRECT($F$8),8+(O390-1)*3))</f>
        <v>50</v>
      </c>
      <c r="V390" s="1" t="str">
        <f ca="1">IF(ISERROR(F376),"",IF(N390=0,A390,""))</f>
        <v/>
      </c>
      <c r="W390" s="1">
        <f ca="1">IF(ISERROR(F376),"",IF(ISTEXT(VLOOKUP(B376,INDIRECT($F$8),6+(O390-1)*3)),11,IF(VLOOKUP(B376,INDIRECT($F$8),6+(O390-1)*3)&lt;S390*0.3,IF(VLOOKUP(B376,INDIRECT($F$8),8+(O390-1)*3)&lt;U390*0.4,IF(AND(0.4*U390-VLOOKUP(B376,INDIRECT($F$8),8+(O390-1)*3)&lt;=5,0.3*S390-VLOOKUP(B376,INDIRECT($F$8),6+(O390-1)*3)&lt;=5),MAX(0.4*U390-VLOOKUP(B376,INDIRECT($F$8),8+(O390-1)*3),0.3*S390-VLOOKUP(B376,INDIRECT($F$8),6+(O390-1)*3)),11),IF(0.3*S390-VLOOKUP(B376,INDIRECT($F$8),6+(O390-1)*3)&lt;=5,0.3*S390-VLOOKUP(B376,INDIRECT($F$8),6+(O390-1)*3),11)),IF(VLOOKUP(B376,INDIRECT($F$8),8+(O390-1)*3)&lt;U390*0.4,IF(U390*0.4-VLOOKUP(B376,INDIRECT($F$8),8+(O390-1)*3)&lt;=5,U390*0.4-VLOOKUP(B376,INDIRECT($F$8),8+(O390-1)*3),11),0))))</f>
        <v>0</v>
      </c>
      <c r="X390" s="1" t="str">
        <f ca="1">IF(ISERROR(F376),"",IF(W390=0,"",_xlfn.TEXTJOIN("",FALSE," G+",W390," in ",A390)))</f>
        <v/>
      </c>
    </row>
    <row r="391" spans="1:24" ht="11.25" customHeight="1" x14ac:dyDescent="0.2">
      <c r="A391" s="7" t="str">
        <f ca="1">IF(ISERROR(F376),"",VLOOKUP(C376,INDIRECT($F$8),6+(O391-1)*3,0))</f>
        <v>CAP 002</v>
      </c>
      <c r="B391" s="41" t="str">
        <f ca="1">IF(ISERROR(F376),"",VLOOKUP(D376,INDIRECT($F$8),6+(O391-1)*3,0))</f>
        <v>Operating System Lab</v>
      </c>
      <c r="C391" s="41"/>
      <c r="D391" s="41"/>
      <c r="E391" s="41"/>
      <c r="F391" s="7">
        <f ca="1">IF(ISERROR(F376),"",VLOOKUP(E376,INDIRECT($F$8),6+(O391-1)*3,0))</f>
        <v>1</v>
      </c>
      <c r="G391" s="42" t="str">
        <f ca="1">IF(ISERROR(F376),"",_xlfn.TEXTJOIN("/",FALSE,P391,S391))</f>
        <v>27/30</v>
      </c>
      <c r="H391" s="42"/>
      <c r="I391" s="42" t="str">
        <f ca="1">IF(ISERROR(F376),"",_xlfn.TEXTJOIN("/",FALSE,Q391,T391))</f>
        <v>18/20</v>
      </c>
      <c r="J391" s="42"/>
      <c r="K391" s="42" t="str">
        <f ca="1">IF(ISERROR(F376),"",_xlfn.TEXTJOIN("/",FALSE,R391,U391))</f>
        <v>45/50</v>
      </c>
      <c r="L391" s="42"/>
      <c r="M391" s="7" t="str">
        <f ca="1">IF(ISERROR(F376),"",IF(ISTEXT(P391),IF(P391="A","Ab",IF(P391="D","Dt",IF(P391="UFM","UFM",IF(P391="NA","-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A+</v>
      </c>
      <c r="N391" s="8">
        <f t="shared" ca="1" si="32"/>
        <v>9.5</v>
      </c>
      <c r="O391">
        <f t="shared" si="33"/>
        <v>11</v>
      </c>
      <c r="P391" s="1">
        <f ca="1">IF(ISERROR(F376),"",IF(ISTEXT(VLOOKUP(B376,INDIRECT($F$8),6+(O391-1)*3)),(VLOOKUP(B376,INDIRECT($F$8),6+(O391-1)*3)),SUM(VLOOKUP(B376,INDIRECT($F$8),6+(O391-1)*3),IF(W395,W391,0))))</f>
        <v>27</v>
      </c>
      <c r="Q391" s="1">
        <f ca="1">IF(ISERROR(F376),"",VLOOKUP(B376,INDIRECT($F$8),7+(O391-1)*3))</f>
        <v>18</v>
      </c>
      <c r="R391" s="1">
        <f ca="1">IF(ISERROR(F376),"",SUM(P391:Q391))</f>
        <v>45</v>
      </c>
      <c r="S391" s="1">
        <f ca="1">IF(ISERROR(F376),"",VLOOKUP(A376,INDIRECT($F$8),6+(O391-1)*3))</f>
        <v>30</v>
      </c>
      <c r="T391" s="1">
        <f ca="1">IF(ISERROR(F376),"",VLOOKUP(A376,INDIRECT($F$8),7+(O391-1)*3))</f>
        <v>20</v>
      </c>
      <c r="U391" s="1">
        <f ca="1">IF(ISERROR(F376),"",VLOOKUP(A376,INDIRECT($F$8),8+(O391-1)*3))</f>
        <v>50</v>
      </c>
      <c r="V391" s="1" t="str">
        <f ca="1">IF(ISERROR(F376),"",IF(N391=0,A391,""))</f>
        <v/>
      </c>
      <c r="W391" s="1">
        <f ca="1">IF(ISERROR(F376),"",IF(ISTEXT(VLOOKUP(B376,INDIRECT($F$8),6+(O391-1)*3)),11,IF(VLOOKUP(B376,INDIRECT($F$8),6+(O391-1)*3)&lt;S391*0.3,IF(VLOOKUP(B376,INDIRECT($F$8),8+(O391-1)*3)&lt;U391*0.4,IF(AND(0.4*U391-VLOOKUP(B376,INDIRECT($F$8),8+(O391-1)*3)&lt;=5,0.3*S391-VLOOKUP(B376,INDIRECT($F$8),6+(O391-1)*3)&lt;=5),MAX(0.4*U391-VLOOKUP(B376,INDIRECT($F$8),8+(O391-1)*3),0.3*S391-VLOOKUP(B376,INDIRECT($F$8),6+(O391-1)*3)),11),IF(0.3*S391-VLOOKUP(B376,INDIRECT($F$8),6+(O391-1)*3)&lt;=5,0.3*S391-VLOOKUP(B376,INDIRECT($F$8),6+(O391-1)*3),11)),IF(VLOOKUP(B376,INDIRECT($F$8),8+(O391-1)*3)&lt;U391*0.4,IF(U391*0.4-VLOOKUP(B376,INDIRECT($F$8),8+(O391-1)*3)&lt;=5,U391*0.4-VLOOKUP(B376,INDIRECT($F$8),8+(O391-1)*3),11),0))))</f>
        <v>0</v>
      </c>
      <c r="X391" s="1" t="str">
        <f ca="1">IF(ISERROR(F376),"",IF(W391=0,"",_xlfn.TEXTJOIN("",FALSE," G+",W391," in ",A391)))</f>
        <v/>
      </c>
    </row>
    <row r="392" spans="1:24" ht="11.25" customHeight="1" x14ac:dyDescent="0.2">
      <c r="A392" s="7" t="str">
        <f ca="1">IF(ISERROR(F376),"",VLOOKUP(C376,INDIRECT($F$8),6+(O392-1)*3,0))</f>
        <v>CAP 003</v>
      </c>
      <c r="B392" s="41" t="str">
        <f ca="1">IF(ISERROR(F376),"",VLOOKUP(D376,INDIRECT($F$8),6+(O392-1)*3,0))</f>
        <v>Computer Organization Lab</v>
      </c>
      <c r="C392" s="41"/>
      <c r="D392" s="41"/>
      <c r="E392" s="41"/>
      <c r="F392" s="7">
        <f ca="1">IF(ISERROR(F376),"",VLOOKUP(E376,INDIRECT($F$8),6+(O392-1)*3,0))</f>
        <v>1</v>
      </c>
      <c r="G392" s="42" t="str">
        <f ca="1">IF(ISERROR(F376),"",_xlfn.TEXTJOIN("/",FALSE,P392,S392))</f>
        <v>27/30</v>
      </c>
      <c r="H392" s="42"/>
      <c r="I392" s="42" t="str">
        <f ca="1">IF(ISERROR(F376),"",_xlfn.TEXTJOIN("/",FALSE,Q392,T392))</f>
        <v>17/20</v>
      </c>
      <c r="J392" s="42"/>
      <c r="K392" s="42" t="str">
        <f ca="1">IF(ISERROR(F376),"",_xlfn.TEXTJOIN("/",FALSE,R392,U392))</f>
        <v>44/50</v>
      </c>
      <c r="L392" s="42"/>
      <c r="M392" s="7" t="str">
        <f ca="1">IF(ISERROR(F376),"",IF(ISTEXT(P392),IF(P392="A","Ab",IF(P392="D","Dt",IF(P392="UFM","UFM",IF(P392="NA","-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A</v>
      </c>
      <c r="N392" s="8">
        <f t="shared" ca="1" si="32"/>
        <v>9</v>
      </c>
      <c r="O392">
        <f t="shared" si="33"/>
        <v>12</v>
      </c>
      <c r="P392" s="1">
        <f ca="1">IF(ISERROR(F376),"",IF(ISTEXT(VLOOKUP(B376,INDIRECT($F$8),6+(O392-1)*3)),(VLOOKUP(B376,INDIRECT($F$8),6+(O392-1)*3)),SUM(VLOOKUP(B376,INDIRECT($F$8),6+(O392-1)*3),IF(W395,W392,0))))</f>
        <v>27</v>
      </c>
      <c r="Q392" s="1">
        <f ca="1">IF(ISERROR(F376),"",VLOOKUP(B376,INDIRECT($F$8),7+(O392-1)*3))</f>
        <v>17</v>
      </c>
      <c r="R392" s="1">
        <f ca="1">IF(ISERROR(F376),"",SUM(P392:Q392))</f>
        <v>44</v>
      </c>
      <c r="S392" s="1">
        <f ca="1">IF(ISERROR(F376),"",VLOOKUP(A376,INDIRECT($F$8),6+(O392-1)*3))</f>
        <v>30</v>
      </c>
      <c r="T392" s="1">
        <f ca="1">IF(ISERROR(F376),"",VLOOKUP(A376,INDIRECT($F$8),7+(O392-1)*3))</f>
        <v>20</v>
      </c>
      <c r="U392" s="1">
        <f ca="1">IF(ISERROR(F376),"",VLOOKUP(A376,INDIRECT($F$8),8+(O392-1)*3))</f>
        <v>50</v>
      </c>
      <c r="V392" s="1" t="str">
        <f ca="1">IF(ISERROR(F376),"",IF(N392=0,A392,""))</f>
        <v/>
      </c>
      <c r="W392" s="1">
        <f ca="1">IF(ISERROR(F376),"",IF(ISTEXT(VLOOKUP(B376,INDIRECT($F$8),6+(O392-1)*3)),11,IF(VLOOKUP(B376,INDIRECT($F$8),6+(O392-1)*3)&lt;S392*0.3,IF(VLOOKUP(B376,INDIRECT($F$8),8+(O392-1)*3)&lt;U392*0.4,IF(AND(0.4*U392-VLOOKUP(B376,INDIRECT($F$8),8+(O392-1)*3)&lt;=5,0.3*S392-VLOOKUP(B376,INDIRECT($F$8),6+(O392-1)*3)&lt;=5),MAX(0.4*U392-VLOOKUP(B376,INDIRECT($F$8),8+(O392-1)*3),0.3*S392-VLOOKUP(B376,INDIRECT($F$8),6+(O392-1)*3)),11),IF(0.3*S392-VLOOKUP(B376,INDIRECT($F$8),6+(O392-1)*3)&lt;=5,0.3*S392-VLOOKUP(B376,INDIRECT($F$8),6+(O392-1)*3),11)),IF(VLOOKUP(B376,INDIRECT($F$8),8+(O392-1)*3)&lt;U392*0.4,IF(U392*0.4-VLOOKUP(B376,INDIRECT($F$8),8+(O392-1)*3)&lt;=5,U392*0.4-VLOOKUP(B376,INDIRECT($F$8),8+(O392-1)*3),11),0))))</f>
        <v>0</v>
      </c>
      <c r="X392" s="1" t="str">
        <f ca="1">IF(ISERROR(F376),"",IF(W392=0,"",_xlfn.TEXTJOIN("",FALSE," G+",W392," in ",A392)))</f>
        <v/>
      </c>
    </row>
    <row r="393" spans="1:24" ht="11.25" customHeight="1" x14ac:dyDescent="0.2">
      <c r="A393" s="7" t="str">
        <f ca="1">IF(ISERROR(F376),"",VLOOKUP(C376,INDIRECT($F$8),6+(O393-1)*3,0))</f>
        <v>AHP 303</v>
      </c>
      <c r="B393" s="41" t="str">
        <f ca="1">IF(ISERROR(F376),"",VLOOKUP(D376,INDIRECT($F$8),6+(O393-1)*3,0))</f>
        <v>Technical Communication Skills</v>
      </c>
      <c r="C393" s="41"/>
      <c r="D393" s="41"/>
      <c r="E393" s="41"/>
      <c r="F393" s="7">
        <f ca="1">IF(ISERROR(F376),"",VLOOKUP(E376,INDIRECT($F$8),6+(O393-1)*3,0))</f>
        <v>1</v>
      </c>
      <c r="G393" s="42" t="str">
        <f ca="1">IF(ISERROR(F376),"",_xlfn.TEXTJOIN("/",FALSE,P393,S393))</f>
        <v>26/30</v>
      </c>
      <c r="H393" s="42"/>
      <c r="I393" s="42" t="str">
        <f ca="1">IF(ISERROR(F376),"",_xlfn.TEXTJOIN("/",FALSE,Q393,T393))</f>
        <v>16/20</v>
      </c>
      <c r="J393" s="42"/>
      <c r="K393" s="42" t="str">
        <f ca="1">IF(ISERROR(F376),"",_xlfn.TEXTJOIN("/",FALSE,R393,U393))</f>
        <v>42/50</v>
      </c>
      <c r="L393" s="42"/>
      <c r="M393" s="7" t="str">
        <f ca="1">IF(ISERROR(F376),"",IF(ISTEXT(P393),IF(P393="A","Ab",IF(P393="D","Dt",IF(P393="UFM","UFM",IF(P393="NA","-")))),IF(AND(ISBLANK(P393),ISBLANK(R393)),"",IF(P393&lt;0.3*S393,"F",IF(ISBLANK(R393),"",IF(ISTEXT(R393),R393,IF(R393&gt;=0.95*U393,"O",IF(R393&gt;=0.9*U393,"A+",IF(R393&gt;=0.85*U393,"A",IF(R393&gt;=0.8*U393,"B+",IF(R393&gt;=0.75*U393,"B",IF(R393&gt;=0.7*U393,"C+",IF(R393&gt;=0.65*U393,"C",IF(R393&gt;=0.6*U393,"D+",IF(R393&gt;=0.55*U393,"D",IF(R393&gt;=0.5*U393,"E+",IF(R393&gt;=0.45*U393,"E",IF(R393&gt;=0.4*U393,"P",IF(R393&lt;0.4*U393,"F",R393)))))))))))))))))))</f>
        <v>B+</v>
      </c>
      <c r="N393" s="8">
        <f t="shared" ca="1" si="32"/>
        <v>8.5</v>
      </c>
      <c r="O393">
        <f t="shared" si="33"/>
        <v>13</v>
      </c>
      <c r="P393" s="1">
        <f ca="1">IF(ISERROR(F376),"",IF(ISTEXT(VLOOKUP(B376,INDIRECT($F$8),6+(O393-1)*3)),(VLOOKUP(B376,INDIRECT($F$8),6+(O393-1)*3)),SUM(VLOOKUP(B376,INDIRECT($F$8),6+(O393-1)*3),IF(W395,W393,0))))</f>
        <v>26</v>
      </c>
      <c r="Q393" s="1">
        <f ca="1">IF(ISERROR(F376),"",VLOOKUP(B376,INDIRECT($F$8),7+(O393-1)*3))</f>
        <v>16</v>
      </c>
      <c r="R393" s="1">
        <f ca="1">IF(ISERROR(F376),"",SUM(P393:Q393))</f>
        <v>42</v>
      </c>
      <c r="S393" s="1">
        <f ca="1">IF(ISERROR(F376),"",VLOOKUP(A376,INDIRECT($F$8),6+(O393-1)*3))</f>
        <v>30</v>
      </c>
      <c r="T393" s="1">
        <f ca="1">IF(ISERROR(F376),"",VLOOKUP(A376,INDIRECT($F$8),7+(O393-1)*3))</f>
        <v>20</v>
      </c>
      <c r="U393" s="1">
        <f ca="1">IF(ISERROR(F376),"",VLOOKUP(A376,INDIRECT($F$8),8+(O393-1)*3))</f>
        <v>50</v>
      </c>
      <c r="V393" s="1"/>
      <c r="W393" s="1">
        <f ca="1">IF(ISERROR(F376),"",IF(ISTEXT(VLOOKUP(B376,INDIRECT($F$8),6+(O393-1)*3)),11,IF(VLOOKUP(B376,INDIRECT($F$8),6+(O393-1)*3)&lt;S393*0.3,IF(VLOOKUP(B376,INDIRECT($F$8),8+(O393-1)*3)&lt;U393*0.4,IF(AND(0.4*U393-VLOOKUP(B376,INDIRECT($F$8),8+(O393-1)*3)&lt;=5,0.3*S393-VLOOKUP(B376,INDIRECT($F$8),6+(O393-1)*3)&lt;=5),MAX(0.4*U393-VLOOKUP(B376,INDIRECT($F$8),8+(O393-1)*3),0.3*S393-VLOOKUP(B376,INDIRECT($F$8),6+(O393-1)*3)),11),IF(0.3*S393-VLOOKUP(B376,INDIRECT($F$8),6+(O393-1)*3)&lt;=5,0.3*S393-VLOOKUP(B376,INDIRECT($F$8),6+(O393-1)*3),11)),IF(VLOOKUP(B376,INDIRECT($F$8),8+(O393-1)*3)&lt;U393*0.4,IF(U393*0.4-VLOOKUP(B376,INDIRECT($F$8),8+(O393-1)*3)&lt;=5,U393*0.4-VLOOKUP(B376,INDIRECT($F$8),8+(O393-1)*3),11),0))))</f>
        <v>0</v>
      </c>
      <c r="X393" s="1" t="str">
        <f ca="1">IF(ISERROR(F376),"",IF(W393=0,"",_xlfn.TEXTJOIN("",FALSE," G+",W393," in ",A393)))</f>
        <v/>
      </c>
    </row>
    <row r="394" spans="1:24" s="32" customFormat="1" ht="11.25" customHeight="1" x14ac:dyDescent="0.2">
      <c r="A394" s="31">
        <f ca="1">IF(ISERROR(F376),"",VLOOKUP(C376,INDIRECT($F$8),6+(O394-1)*3-Y394,0))</f>
        <v>0</v>
      </c>
      <c r="B394" s="49">
        <f ca="1">IF(ISERROR(F376),"",VLOOKUP(D376,INDIRECT($F$8),6+(O394-1)*3-Z394,0))</f>
        <v>0</v>
      </c>
      <c r="C394" s="49"/>
      <c r="D394" s="49"/>
      <c r="E394" s="49"/>
      <c r="F394" s="31">
        <f ca="1">IF(ISERROR(F376),"",VLOOKUP(E376,INDIRECT($F$8),6+(O394-1)*3-AA394,0))</f>
        <v>0</v>
      </c>
      <c r="G394" s="50" t="str">
        <f ca="1">IF(ISERROR(F376),"","-")</f>
        <v>-</v>
      </c>
      <c r="H394" s="50"/>
      <c r="I394" s="50" t="str">
        <f ca="1">IF(ISERROR(F376),"",_xlfn.TEXTJOIN("/",FALSE,Q394,T394))</f>
        <v>0/0</v>
      </c>
      <c r="J394" s="50"/>
      <c r="K394" s="50" t="str">
        <f ca="1">IF(ISERROR(F376),"",_xlfn.TEXTJOIN("/",FALSE,R394,U394))</f>
        <v>0/0</v>
      </c>
      <c r="L394" s="50"/>
      <c r="M394" s="50" t="str">
        <f ca="1">IF(ISBLANK(R394),"",IF(ISTEXT(R394),R394,IF(R394&gt;=0.8*U394,"Excellent",IF(R394&gt;=0.6*U394,"Very Good",IF(R394&gt;=0.4*U394,"Good",IF(R394&gt;=0.2*U394,"Satisfactory","Average"))))))</f>
        <v>Excellent</v>
      </c>
      <c r="N394" s="50"/>
      <c r="O394" s="32">
        <f t="shared" si="33"/>
        <v>14</v>
      </c>
      <c r="P394" s="33">
        <f ca="1">IF(ISERROR(F376),"",IF(ISTEXT(VLOOKUP(B\28,INDIRECT($F$8),6+(O394-1)*3)),(VLOOKUP(B376,INDIRECT($F$8),6+(O394-1)*3)),SUM(VLOOKUP(B376,INDIRECT($F$8),6+(O394-1)*3),IF(W395,W394,0))))</f>
        <v>0</v>
      </c>
      <c r="Q394" s="33">
        <f ca="1">IF(ISERROR(F376),"",VLOOKUP(B376,INDIRECT($F$8),7+(O394-1)*3))</f>
        <v>0</v>
      </c>
      <c r="R394" s="33">
        <f ca="1">IF(ISERROR(F376),"",SUM(P394:Q394))</f>
        <v>0</v>
      </c>
      <c r="S394" s="33">
        <f ca="1">IF(ISERROR(F376),"",VLOOKUP(A376,INDIRECT($F$8),6+(O394-1)*3))</f>
        <v>0</v>
      </c>
      <c r="T394" s="33">
        <f ca="1">IF(ISERROR(F376),"",VLOOKUP(A376,INDIRECT($F$8),7+(O394-1)*3))</f>
        <v>0</v>
      </c>
      <c r="U394" s="33">
        <f ca="1">IF(ISERROR(F376),"",VLOOKUP(A376,INDIRECT($F$8),8+(O394-1)*3))</f>
        <v>0</v>
      </c>
      <c r="V394" s="33"/>
      <c r="W394" s="33"/>
      <c r="X394" s="33" t="str">
        <f ca="1">IF(ISERROR(F376),"",IF(W394=0,"",_xlfn.TEXTJOIN("",FALSE," G+",W394," in ",A394)))</f>
        <v/>
      </c>
    </row>
    <row r="395" spans="1:24" ht="11.25" customHeight="1" x14ac:dyDescent="0.2">
      <c r="A395" s="43" t="str">
        <f ca="1">IF(ISERROR(F376),"",A372)</f>
        <v>Total Credits/ Marks/ Total Grade Points</v>
      </c>
      <c r="B395" s="43"/>
      <c r="C395" s="43"/>
      <c r="D395" s="43"/>
      <c r="E395" s="43"/>
      <c r="F395" s="10">
        <f ca="1">IF(ISERROR(F376),"",SUM(F381:F394))</f>
        <v>24</v>
      </c>
      <c r="G395" s="44" t="str">
        <f ca="1">IF(ISERROR(F376),"",_xlfn.TEXTJOIN("/",TRUE,SUMIF(F381:F394,"&gt;0",P381:P394),SUMIF(F381:F394,"&gt;0",S381:S394)))</f>
        <v>398/620</v>
      </c>
      <c r="H395" s="44"/>
      <c r="I395" s="44" t="str">
        <f ca="1">IF(ISERROR(F376),"",_xlfn.TEXTJOIN("/",TRUE,SUMIF(F381:F394,"&gt;0",Q381:Q394),SUMIF(F381:F394,"&gt;0",T381:T394)))</f>
        <v>252/330</v>
      </c>
      <c r="J395" s="44"/>
      <c r="K395" s="44" t="str">
        <f ca="1">IF(ISERROR(F376),"",_xlfn.TEXTJOIN("/",TRUE,SUMIF(F381:F394,"&gt;0",R381:R394),SUMIF(F381:F394,"&gt;0",U381:U394)))</f>
        <v>650/950</v>
      </c>
      <c r="L395" s="44"/>
      <c r="M395" s="43">
        <f ca="1">IF(ISERROR(F376),"",SUMPRODUCT(N381:N393,F381:F393))</f>
        <v>170</v>
      </c>
      <c r="N395" s="43"/>
      <c r="V395" s="1" t="str">
        <f ca="1">IF(ISERROR(F376),"",_xlfn.TEXTJOIN(", ",TRUE,V381:V394))</f>
        <v/>
      </c>
      <c r="W395" t="b">
        <f ca="1">IF(ISERROR(F376),"",IF(SUM(W381:W394)&lt;=W380,TRUE,FALSE))</f>
        <v>0</v>
      </c>
      <c r="X395" s="1" t="str">
        <f ca="1">_xlfn.TEXTJOIN(",",TRUE,X381:X394)</f>
        <v xml:space="preserve"> G+11 in CAT 001, G+11 in CAT 002, G+11 in CAT 003</v>
      </c>
    </row>
    <row r="396" spans="1:24" ht="11.25" customHeight="1" x14ac:dyDescent="0.2">
      <c r="A396" s="43" t="str">
        <f ca="1">IF(ISERROR(F376),"",A373)</f>
        <v>Result:</v>
      </c>
      <c r="B396" s="45" t="str">
        <f ca="1">IF(ISERROR(F376),"",IF(V395="","PASS","CARRY OVER"))</f>
        <v>PASS</v>
      </c>
      <c r="C396" s="45"/>
      <c r="D396" s="43" t="str">
        <f ca="1">IF(ISERROR(F376),"",D373)</f>
        <v>Remark:</v>
      </c>
      <c r="E396" s="45" t="str">
        <f ca="1">IF(ISERROR(F376),"",IF(W395,X395,IF(V395="","",_xlfn.TEXTJOIN("",TRUE,"BACK IN ",V395))))</f>
        <v/>
      </c>
      <c r="F396" s="45"/>
      <c r="G396" s="43" t="str">
        <f ca="1">IF(ISERROR(F376),"",G373)</f>
        <v>SGPA:</v>
      </c>
      <c r="H396" s="46">
        <f ca="1">IF(ISERROR(F376),"",M395/F395)</f>
        <v>7.083333333333333</v>
      </c>
      <c r="I396" s="43" t="str">
        <f ca="1">IF(ISERROR(F376),"",I373)</f>
        <v>CGPA:</v>
      </c>
      <c r="J396" s="46">
        <f ca="1">IF(ISERROR(F376),"",VLOOKUP(B376,INDIRECT($F$8),12+(O394-1)*3,0))</f>
        <v>7.083333333333333</v>
      </c>
      <c r="K396" s="45" t="str">
        <f ca="1">IF(ISERROR(F376),"",K373)</f>
        <v>Earned Credits:</v>
      </c>
      <c r="L396" s="43">
        <f ca="1">IF(ISERROR(F376),"",SUMIF(N381:N393,"&gt;0",F381:F393))</f>
        <v>24</v>
      </c>
      <c r="M396" s="45" t="str">
        <f ca="1">IF(ISERROR(F376),"",M373)</f>
        <v>Cuml. Earned Credits:</v>
      </c>
      <c r="N396" s="43">
        <f ca="1">IF(ISERROR(F376),"",VLOOKUP(B376,INDIRECT($F$8),10+(O394-1)*3,0))</f>
        <v>24</v>
      </c>
    </row>
    <row r="397" spans="1:24" ht="11.25" customHeight="1" x14ac:dyDescent="0.2">
      <c r="A397" s="43"/>
      <c r="B397" s="45"/>
      <c r="C397" s="45"/>
      <c r="D397" s="43"/>
      <c r="E397" s="45"/>
      <c r="F397" s="45"/>
      <c r="G397" s="43"/>
      <c r="H397" s="46"/>
      <c r="I397" s="43"/>
      <c r="J397" s="46"/>
      <c r="K397" s="45"/>
      <c r="L397" s="43"/>
      <c r="M397" s="45"/>
      <c r="N397" s="43"/>
    </row>
    <row r="398" spans="1:24" ht="15" x14ac:dyDescent="0.2">
      <c r="A398" s="43"/>
      <c r="B398" s="45"/>
      <c r="C398" s="45"/>
      <c r="D398" s="43"/>
      <c r="E398" s="45"/>
      <c r="F398" s="45"/>
      <c r="G398" s="43"/>
      <c r="H398" s="46"/>
      <c r="I398" s="43"/>
      <c r="J398" s="46"/>
      <c r="K398" s="45"/>
      <c r="L398" s="43"/>
      <c r="M398" s="45"/>
      <c r="N398" s="43"/>
    </row>
    <row r="399" spans="1:24" ht="11.25" customHeight="1" x14ac:dyDescent="0.2">
      <c r="A399" s="11" t="str">
        <f>A376</f>
        <v>MM</v>
      </c>
      <c r="B399" s="11">
        <f>B376+1</f>
        <v>18</v>
      </c>
      <c r="C399" s="11" t="str">
        <f>C376</f>
        <v>SC</v>
      </c>
      <c r="D399" s="11" t="str">
        <f>D376</f>
        <v>SN</v>
      </c>
      <c r="E399" s="11" t="str">
        <f>E376</f>
        <v>C</v>
      </c>
      <c r="F399" s="11" t="str">
        <f ca="1">VLOOKUP(B399,INDIRECT($F$8),4,0)</f>
        <v>SHIVANK RAWAT</v>
      </c>
    </row>
    <row r="400" spans="1:24" ht="11.25" customHeight="1" x14ac:dyDescent="0.2">
      <c r="A400" s="47" t="str">
        <f ca="1">IF(ISERROR(F399),"",A377)</f>
        <v>Name:</v>
      </c>
      <c r="B400" s="47" t="str">
        <f ca="1">IFERROR(VLOOKUP(B399,INDIRECT($F$8),4,0),"")</f>
        <v>SHIVANK RAWAT</v>
      </c>
      <c r="C400" s="47"/>
      <c r="D400" s="47" t="str">
        <f ca="1">IF(ISERROR(F399),"",D377)</f>
        <v>Father's Name:</v>
      </c>
      <c r="E400" s="47" t="str">
        <f ca="1">IFERROR(VLOOKUP(B399,INDIRECT($F$8),5,0),"")</f>
        <v>DEVENDRA SINGH RAWAT</v>
      </c>
      <c r="F400" s="47"/>
      <c r="G400" s="47" t="str">
        <f ca="1">IF(ISERROR(F399),"",G377)</f>
        <v>University Roll No:</v>
      </c>
      <c r="H400" s="47"/>
      <c r="I400" s="48">
        <f ca="1">IFERROR(VLOOKUP(B399,INDIRECT($F$8),2,0),"")</f>
        <v>250090600018</v>
      </c>
      <c r="J400" s="48"/>
      <c r="K400" s="47" t="str">
        <f ca="1">IF(ISERROR(F399),"",K377)</f>
        <v>University Enrol. No:</v>
      </c>
      <c r="L400" s="47"/>
      <c r="M400" s="48" t="str">
        <f ca="1">IFERROR(VLOOKUP(B399,INDIRECT($F$8),3,0),"")</f>
        <v>UTU/2506100123</v>
      </c>
      <c r="N400" s="48"/>
    </row>
    <row r="401" spans="1:24" ht="15" x14ac:dyDescent="0.2">
      <c r="A401" s="47"/>
      <c r="B401" s="47"/>
      <c r="C401" s="47"/>
      <c r="D401" s="47"/>
      <c r="E401" s="47"/>
      <c r="F401" s="47"/>
      <c r="G401" s="47"/>
      <c r="H401" s="47"/>
      <c r="I401" s="48"/>
      <c r="J401" s="48"/>
      <c r="K401" s="47"/>
      <c r="L401" s="47"/>
      <c r="M401" s="48"/>
      <c r="N401" s="48"/>
    </row>
    <row r="402" spans="1:24" ht="11.25" customHeight="1" x14ac:dyDescent="0.2">
      <c r="A402" s="45" t="str">
        <f ca="1">IF(ISERROR(F399),"",A379)</f>
        <v>Subject Code</v>
      </c>
      <c r="B402" s="45" t="str">
        <f ca="1">IF(ISERROR(F399),"",B379)</f>
        <v>Subject Name</v>
      </c>
      <c r="C402" s="45"/>
      <c r="D402" s="45"/>
      <c r="E402" s="45"/>
      <c r="F402" s="45" t="str">
        <f ca="1">IF(ISERROR(F399),"",F379)</f>
        <v>Credits</v>
      </c>
      <c r="G402" s="45" t="str">
        <f ca="1">IF(ISERROR(F399),"",G379)</f>
        <v>External Marks</v>
      </c>
      <c r="H402" s="45"/>
      <c r="I402" s="45" t="str">
        <f ca="1">IF(ISERROR(F399),"",I379)</f>
        <v>Sessional Marks</v>
      </c>
      <c r="J402" s="45"/>
      <c r="K402" s="45" t="str">
        <f ca="1">IF(ISERROR(F399),"",K379)</f>
        <v>Total Marks</v>
      </c>
      <c r="L402" s="45"/>
      <c r="M402" s="45" t="str">
        <f ca="1">IF(ISERROR(F399),"",M379)</f>
        <v>Grade</v>
      </c>
      <c r="N402" s="45" t="str">
        <f ca="1">IF(ISERROR(F399),"",N379)</f>
        <v>Grade Points</v>
      </c>
    </row>
    <row r="403" spans="1:24" ht="15" x14ac:dyDescent="0.2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W403">
        <f ca="1">IF(ISNUMBER(MATCH($F$8,{"I","III","V","VII"},0)),10,10-INDEX(INDIRECT(_xlfn.TEXTJOIN("",TRUE,"SEM_",$G$8,"!",ADDRESS(6,4+$I$8*3+4),":",ADDRESS(5+$H$8,4+$I$8*3+4))),MATCH(INDIRECT(_xlfn.TEXTJOIN("",TRUE,"TC_",$F$8,"!",ADDRESS(ROW(I400),COLUMN(I400)))),INDIRECT(_xlfn.TEXTJOIN("",TRUE,"SEM_",$G$8,"!",ADDRESS(6,2),":",ADDRESS(5+$H$8,2))))))</f>
        <v>10</v>
      </c>
    </row>
    <row r="404" spans="1:24" ht="11.25" customHeight="1" x14ac:dyDescent="0.2">
      <c r="A404" s="7" t="str">
        <f ca="1">IF(ISERROR(F399),"",VLOOKUP(C399,INDIRECT($F$8),6+(O404-1)*3,0))</f>
        <v>CAT 004</v>
      </c>
      <c r="B404" s="41" t="str">
        <f ca="1">IF(ISERROR(F399),"",VLOOKUP(D399,INDIRECT($F$8),6+(O404-1)*3,0))</f>
        <v>Discrete Structure</v>
      </c>
      <c r="C404" s="41"/>
      <c r="D404" s="41"/>
      <c r="E404" s="41"/>
      <c r="F404" s="7">
        <f ca="1">IF(ISERROR(F399),"",VLOOKUP(E399,INDIRECT($F$8),6+(O404-1)*3,0))</f>
        <v>4</v>
      </c>
      <c r="G404" s="42" t="str">
        <f ca="1">IF(ISERROR(F399),"",_xlfn.TEXTJOIN("/",FALSE,P404,S404))</f>
        <v>68/100</v>
      </c>
      <c r="H404" s="42"/>
      <c r="I404" s="42" t="str">
        <f ca="1">IF(ISERROR(F399),"",_xlfn.TEXTJOIN("/",FALSE,Q404,T404))</f>
        <v>43/50</v>
      </c>
      <c r="J404" s="42"/>
      <c r="K404" s="42" t="str">
        <f ca="1">IF(ISERROR(F399),"",_xlfn.TEXTJOIN("/",FALSE,R404,U404))</f>
        <v>111/150</v>
      </c>
      <c r="L404" s="42"/>
      <c r="M404" s="7" t="str">
        <f ca="1">IF(ISERROR(F399),"",IF(ISTEXT(P404),IF(P404="A","Ab",IF(P404="D","Dt",IF(P404="UFM","UFM",IF(P404="NA","-")))),IF(AND(ISBLANK(P404),ISBLANK(R404)),"",IF(P404&lt;0.3*S404,"F",IF(ISBLANK(R404),"",IF(ISTEXT(R404),R404,IF(R404&gt;=0.95*U404,"O",IF(R404&gt;=0.9*U404,"A+",IF(R404&gt;=0.85*U404,"A",IF(R404&gt;=0.8*U404,"B+",IF(R404&gt;=0.75*U404,"B",IF(R404&gt;=0.7*U404,"C+",IF(R404&gt;=0.65*U404,"C",IF(R404&gt;=0.6*U404,"D+",IF(R404&gt;=0.55*U404,"D",IF(R404&gt;=0.5*U404,"E+",IF(R404&gt;=0.45*U404,"E",IF(R404&gt;=0.4*U404,"P",IF(R404&lt;0.4*U404,"F",R404)))))))))))))))))))</f>
        <v>C+</v>
      </c>
      <c r="N404" s="8">
        <f ca="1">INDEX($Z$2:$Z$18,MATCH(M404,$Y$2:$Y$18,0))</f>
        <v>7.5</v>
      </c>
      <c r="O404">
        <v>1</v>
      </c>
      <c r="P404" s="1">
        <f ca="1">IF(ISERROR(F399),"",IF(ISTEXT(VLOOKUP(B399,INDIRECT($F$8),6+(O404-1)*3)),(VLOOKUP(B399,INDIRECT($F$8),6+(O404-1)*3)),SUM(VLOOKUP(B399,INDIRECT($F$8),6+(O404-1)*3),IF(W418,W404,0))))</f>
        <v>68</v>
      </c>
      <c r="Q404" s="1">
        <f ca="1">IF(ISERROR(F399),"",VLOOKUP(B399,INDIRECT($F$8),7+(O404-1)*3))</f>
        <v>43</v>
      </c>
      <c r="R404" s="1">
        <f ca="1">IF(ISERROR(F399),"",SUM(P404:Q404))</f>
        <v>111</v>
      </c>
      <c r="S404" s="1">
        <f ca="1">IF(ISERROR(F399),"",VLOOKUP(A399,INDIRECT($F$8),6+(O404-1)*3))</f>
        <v>100</v>
      </c>
      <c r="T404" s="1">
        <f ca="1">IF(ISERROR(F399),"",VLOOKUP(A399,INDIRECT($F$8),7+(O404-1)*3))</f>
        <v>50</v>
      </c>
      <c r="U404" s="1">
        <f ca="1">IF(ISERROR(F399),"",VLOOKUP(A399,INDIRECT($F$8),8+(O404-1)*3))</f>
        <v>150</v>
      </c>
      <c r="V404" s="1" t="str">
        <f ca="1">IF(ISERROR(F399),"",IF(N404=0,A404,""))</f>
        <v/>
      </c>
      <c r="W404" s="1">
        <f ca="1">IF(ISERROR(F399),"",IF(ISTEXT(VLOOKUP(B399,INDIRECT($F$8),6+(O404-1)*3)),11,IF(VLOOKUP(B399,INDIRECT($F$8),6+(O404-1)*3)&lt;S404*0.3,IF(VLOOKUP(B399,INDIRECT($F$8),8+(O404-1)*3)&lt;U404*0.4,IF(AND(0.4*U404-VLOOKUP(B399,INDIRECT($F$8),8+(O404-1)*3)&lt;=5,0.3*S404-VLOOKUP(B399,INDIRECT($F$8),6+(O404-1)*3)&lt;=5),MAX(0.4*U404-VLOOKUP(B399,INDIRECT($F$8),8+(O404-1)*3),0.3*S404-VLOOKUP(B399,INDIRECT($F$8),6+(O404-1)*3)),11),IF(0.3*S404-VLOOKUP(B399,INDIRECT($F$8),6+(O404-1)*3)&lt;=5,0.3*S404-VLOOKUP(B399,INDIRECT($F$8),6+(O404-1)*3),11)),IF(VLOOKUP(B399,INDIRECT($F$8),8+(O404-1)*3)&lt;U404*0.4,IF(U404*0.4-VLOOKUP(B399,INDIRECT($F$8),8+(O404-1)*3)&lt;=5,U404*0.4-VLOOKUP(B399,INDIRECT($F$8),8+(O404-1)*3),11),0))))</f>
        <v>0</v>
      </c>
      <c r="X404" s="1" t="str">
        <f ca="1">IF(ISERROR(F399),"",IF(W404=0,"",_xlfn.TEXTJOIN("",FALSE," G+",W404," in ",A404)))</f>
        <v/>
      </c>
    </row>
    <row r="405" spans="1:24" ht="11.25" customHeight="1" x14ac:dyDescent="0.2">
      <c r="A405" s="7" t="str">
        <f ca="1">IF(ISERROR(F399),"",VLOOKUP(C399,INDIRECT($F$8),6+(O405-1)*3,0))</f>
        <v>CAT 005</v>
      </c>
      <c r="B405" s="41" t="str">
        <f ca="1">IF(ISERROR(F399),"",VLOOKUP(D399,INDIRECT($F$8),6+(O405-1)*3,0))</f>
        <v>Database Management System</v>
      </c>
      <c r="C405" s="41"/>
      <c r="D405" s="41"/>
      <c r="E405" s="41"/>
      <c r="F405" s="7">
        <f ca="1">IF(ISERROR(F399),"",VLOOKUP(E399,INDIRECT($F$8),6+(O405-1)*3,0))</f>
        <v>4</v>
      </c>
      <c r="G405" s="42" t="str">
        <f ca="1">IF(ISERROR(F399),"",_xlfn.TEXTJOIN("/",FALSE,P405,S405))</f>
        <v>57/100</v>
      </c>
      <c r="H405" s="42"/>
      <c r="I405" s="42" t="str">
        <f ca="1">IF(ISERROR(F399),"",_xlfn.TEXTJOIN("/",FALSE,Q405,T405))</f>
        <v>39/50</v>
      </c>
      <c r="J405" s="42"/>
      <c r="K405" s="42" t="str">
        <f ca="1">IF(ISERROR(F399),"",_xlfn.TEXTJOIN("/",FALSE,R405,U405))</f>
        <v>96/150</v>
      </c>
      <c r="L405" s="42"/>
      <c r="M405" s="7" t="str">
        <f ca="1">IF(ISERROR(F399),"",IF(ISTEXT(P405),IF(P405="A","Ab",IF(P405="D","Dt",IF(P405="UFM","UFM",IF(P405="NA","-")))),IF(AND(ISBLANK(P405),ISBLANK(R405)),"",IF(P405&lt;0.3*S405,"F",IF(ISBLANK(R405),"",IF(ISTEXT(R405),R405,IF(R405&gt;=0.95*U405,"O",IF(R405&gt;=0.9*U405,"A+",IF(R405&gt;=0.85*U405,"A",IF(R405&gt;=0.8*U405,"B+",IF(R405&gt;=0.75*U405,"B",IF(R405&gt;=0.7*U405,"C+",IF(R405&gt;=0.65*U405,"C",IF(R405&gt;=0.6*U405,"D+",IF(R405&gt;=0.55*U405,"D",IF(R405&gt;=0.5*U405,"E+",IF(R405&gt;=0.45*U405,"E",IF(R405&gt;=0.4*U405,"P",IF(R405&lt;0.4*U405,"F",R405)))))))))))))))))))</f>
        <v>D+</v>
      </c>
      <c r="N405" s="8">
        <f t="shared" ref="N405:N416" ca="1" si="34">INDEX($Z$2:$Z$18,MATCH(M405,$Y$2:$Y$18,0))</f>
        <v>6.5</v>
      </c>
      <c r="O405">
        <f>O404+1</f>
        <v>2</v>
      </c>
      <c r="P405" s="1">
        <f ca="1">IF(ISERROR(F399),"",IF(ISTEXT(VLOOKUP(B399,INDIRECT($F$8),6+(O405-1)*3)),(VLOOKUP(B399,INDIRECT($F$8),6+(O405-1)*3)),SUM(VLOOKUP(B399,INDIRECT($F$8),6+(O405-1)*3),IF(W418,W405,0))))</f>
        <v>57</v>
      </c>
      <c r="Q405" s="1">
        <f ca="1">IF(ISERROR(F399),"",VLOOKUP(B399,INDIRECT($F$8),7+(O405-1)*3))</f>
        <v>39</v>
      </c>
      <c r="R405" s="1">
        <f ca="1">IF(ISERROR(F399),"",SUM(P405:Q405))</f>
        <v>96</v>
      </c>
      <c r="S405" s="1">
        <f ca="1">IF(ISERROR(F399),"",VLOOKUP(A399,INDIRECT($F$8),6+(O405-1)*3))</f>
        <v>100</v>
      </c>
      <c r="T405" s="1">
        <f ca="1">IF(ISERROR(F399),"",VLOOKUP(A399,INDIRECT($F$8),7+(O405-1)*3))</f>
        <v>50</v>
      </c>
      <c r="U405" s="1">
        <f ca="1">IF(ISERROR(F399),"",VLOOKUP(A399,INDIRECT($F$8),8+(O405-1)*3))</f>
        <v>150</v>
      </c>
      <c r="V405" s="1" t="str">
        <f ca="1">IF(ISERROR(F399),"",IF(N405=0,A405,""))</f>
        <v/>
      </c>
      <c r="W405" s="1">
        <f ca="1">IF(ISERROR(F399),"",IF(ISTEXT(VLOOKUP(B399,INDIRECT($F$8),6+(O405-1)*3)),11,IF(VLOOKUP(B399,INDIRECT($F$8),6+(O405-1)*3)&lt;S405*0.3,IF(VLOOKUP(B399,INDIRECT($F$8),8+(O405-1)*3)&lt;U405*0.4,IF(AND(0.4*U405-VLOOKUP(B399,INDIRECT($F$8),8+(O405-1)*3)&lt;=5,0.3*S405-VLOOKUP(B399,INDIRECT($F$8),6+(O405-1)*3)&lt;=5),MAX(0.4*U405-VLOOKUP(B399,INDIRECT($F$8),8+(O405-1)*3),0.3*S405-VLOOKUP(B399,INDIRECT($F$8),6+(O405-1)*3)),11),IF(0.3*S405-VLOOKUP(B399,INDIRECT($F$8),6+(O405-1)*3)&lt;=5,0.3*S405-VLOOKUP(B399,INDIRECT($F$8),6+(O405-1)*3),11)),IF(VLOOKUP(B399,INDIRECT($F$8),8+(O405-1)*3)&lt;U405*0.4,IF(U405*0.4-VLOOKUP(B399,INDIRECT($F$8),8+(O405-1)*3)&lt;=5,U405*0.4-VLOOKUP(B399,INDIRECT($F$8),8+(O405-1)*3),11),0))))</f>
        <v>0</v>
      </c>
      <c r="X405" s="1" t="str">
        <f ca="1">IF(ISERROR(F399),"",IF(W405=0,"",_xlfn.TEXTJOIN("",FALSE," G+",W405," in ",A405)))</f>
        <v/>
      </c>
    </row>
    <row r="406" spans="1:24" ht="11.25" customHeight="1" x14ac:dyDescent="0.2">
      <c r="A406" s="7" t="str">
        <f ca="1">IF(ISERROR(F399),"",VLOOKUP(C399,INDIRECT($F$8),6+(O406-1)*3,0))</f>
        <v>CAT 006</v>
      </c>
      <c r="B406" s="41" t="str">
        <f ca="1">IF(ISERROR(F399),"",VLOOKUP(D399,INDIRECT($F$8),6+(O406-1)*3,0))</f>
        <v>Operating System</v>
      </c>
      <c r="C406" s="41"/>
      <c r="D406" s="41"/>
      <c r="E406" s="41"/>
      <c r="F406" s="7">
        <f ca="1">IF(ISERROR(F399),"",VLOOKUP(E399,INDIRECT($F$8),6+(O406-1)*3,0))</f>
        <v>4</v>
      </c>
      <c r="G406" s="42" t="str">
        <f ca="1">IF(ISERROR(F399),"",_xlfn.TEXTJOIN("/",FALSE,P406,S406))</f>
        <v>66/100</v>
      </c>
      <c r="H406" s="42"/>
      <c r="I406" s="42" t="str">
        <f ca="1">IF(ISERROR(F399),"",_xlfn.TEXTJOIN("/",FALSE,Q406,T406))</f>
        <v>44/50</v>
      </c>
      <c r="J406" s="42"/>
      <c r="K406" s="42" t="str">
        <f ca="1">IF(ISERROR(F399),"",_xlfn.TEXTJOIN("/",FALSE,R406,U406))</f>
        <v>110/150</v>
      </c>
      <c r="L406" s="42"/>
      <c r="M406" s="7" t="str">
        <f ca="1">IF(ISERROR(F399),"",IF(ISTEXT(P406),IF(P406="A","Ab",IF(P406="D","Dt",IF(P406="UFM","UFM",IF(P406="NA","-")))),IF(AND(ISBLANK(P406),ISBLANK(R406)),"",IF(P406&lt;0.3*S406,"F",IF(ISBLANK(R406),"",IF(ISTEXT(R406),R406,IF(R406&gt;=0.95*U406,"O",IF(R406&gt;=0.9*U406,"A+",IF(R406&gt;=0.85*U406,"A",IF(R406&gt;=0.8*U406,"B+",IF(R406&gt;=0.75*U406,"B",IF(R406&gt;=0.7*U406,"C+",IF(R406&gt;=0.65*U406,"C",IF(R406&gt;=0.6*U406,"D+",IF(R406&gt;=0.55*U406,"D",IF(R406&gt;=0.5*U406,"E+",IF(R406&gt;=0.45*U406,"E",IF(R406&gt;=0.4*U406,"P",IF(R406&lt;0.4*U406,"F",R406)))))))))))))))))))</f>
        <v>C+</v>
      </c>
      <c r="N406" s="8">
        <f t="shared" ca="1" si="34"/>
        <v>7.5</v>
      </c>
      <c r="O406">
        <f>O405+1</f>
        <v>3</v>
      </c>
      <c r="P406" s="1">
        <f ca="1">IF(ISERROR(F399),"",IF(ISTEXT(VLOOKUP(B399,INDIRECT($F$8),6+(O406-1)*3)),(VLOOKUP(B399,INDIRECT($F$8),6+(O406-1)*3)),SUM(VLOOKUP(B399,INDIRECT($F$8),6+(O406-1)*3),IF(W418,W406,0))))</f>
        <v>66</v>
      </c>
      <c r="Q406" s="1">
        <f ca="1">IF(ISERROR(F399),"",VLOOKUP(B399,INDIRECT($F$8),7+(O406-1)*3))</f>
        <v>44</v>
      </c>
      <c r="R406" s="1">
        <f ca="1">IF(ISERROR(F399),"",SUM(P406:Q406))</f>
        <v>110</v>
      </c>
      <c r="S406" s="1">
        <f ca="1">IF(ISERROR(F399),"",VLOOKUP(A399,INDIRECT($F$8),6+(O406-1)*3))</f>
        <v>100</v>
      </c>
      <c r="T406" s="1">
        <f ca="1">IF(ISERROR(F399),"",VLOOKUP(A399,INDIRECT($F$8),7+(O406-1)*3))</f>
        <v>50</v>
      </c>
      <c r="U406" s="1">
        <f ca="1">IF(ISERROR(F399),"",VLOOKUP(A399,INDIRECT($F$8),8+(O406-1)*3))</f>
        <v>150</v>
      </c>
      <c r="V406" s="1" t="str">
        <f ca="1">IF(ISERROR(F399),"",IF(N406=0,A406,""))</f>
        <v/>
      </c>
      <c r="W406" s="1">
        <f ca="1">IF(ISERROR(F399),"",IF(ISTEXT(VLOOKUP(B399,INDIRECT($F$8),6+(O406-1)*3)),11,IF(VLOOKUP(B399,INDIRECT($F$8),6+(O406-1)*3)&lt;S406*0.3,IF(VLOOKUP(B399,INDIRECT($F$8),8+(O406-1)*3)&lt;U406*0.4,IF(AND(0.4*U406-VLOOKUP(B399,INDIRECT($F$8),8+(O406-1)*3)&lt;=5,0.3*S406-VLOOKUP(B399,INDIRECT($F$8),6+(O406-1)*3)&lt;=5),MAX(0.4*U406-VLOOKUP(B399,INDIRECT($F$8),8+(O406-1)*3),0.3*S406-VLOOKUP(B399,INDIRECT($F$8),6+(O406-1)*3)),11),IF(0.3*S406-VLOOKUP(B399,INDIRECT($F$8),6+(O406-1)*3)&lt;=5,0.3*S406-VLOOKUP(B399,INDIRECT($F$8),6+(O406-1)*3),11)),IF(VLOOKUP(B399,INDIRECT($F$8),8+(O406-1)*3)&lt;U406*0.4,IF(U406*0.4-VLOOKUP(B399,INDIRECT($F$8),8+(O406-1)*3)&lt;=5,U406*0.4-VLOOKUP(B399,INDIRECT($F$8),8+(O406-1)*3),11),0))))</f>
        <v>0</v>
      </c>
      <c r="X406" s="1" t="str">
        <f ca="1">IF(ISERROR(F399),"",IF(W406=0,"",_xlfn.TEXTJOIN("",FALSE," G+",W406," in ",A406)))</f>
        <v/>
      </c>
    </row>
    <row r="407" spans="1:24" ht="11.25" customHeight="1" x14ac:dyDescent="0.2">
      <c r="A407" s="7" t="str">
        <f ca="1">IF(ISERROR(F399),"",VLOOKUP(C399,INDIRECT($F$8),6+(O407-1)*3,0))</f>
        <v>CAT 007</v>
      </c>
      <c r="B407" s="41" t="str">
        <f ca="1">IF(ISERROR(F399),"",VLOOKUP(D399,INDIRECT($F$8),6+(O407-1)*3,0))</f>
        <v>Computer Organization</v>
      </c>
      <c r="C407" s="41"/>
      <c r="D407" s="41"/>
      <c r="E407" s="41"/>
      <c r="F407" s="7">
        <f ca="1">IF(ISERROR(F399),"",VLOOKUP(E399,INDIRECT($F$8),6+(O407-1)*3,0))</f>
        <v>4</v>
      </c>
      <c r="G407" s="42" t="str">
        <f ca="1">IF(ISERROR(F399),"",_xlfn.TEXTJOIN("/",FALSE,P407,S407))</f>
        <v>60/100</v>
      </c>
      <c r="H407" s="42"/>
      <c r="I407" s="42" t="str">
        <f ca="1">IF(ISERROR(F399),"",_xlfn.TEXTJOIN("/",FALSE,Q407,T407))</f>
        <v>42/50</v>
      </c>
      <c r="J407" s="42"/>
      <c r="K407" s="42" t="str">
        <f ca="1">IF(ISERROR(F399),"",_xlfn.TEXTJOIN("/",FALSE,R407,U407))</f>
        <v>102/150</v>
      </c>
      <c r="L407" s="42"/>
      <c r="M407" s="7" t="str">
        <f ca="1">IF(ISERROR(F399),"",IF(ISTEXT(P407),IF(P407="A","Ab",IF(P407="D","Dt",IF(P407="UFM","UFM",IF(P407="NA","-")))),IF(AND(ISBLANK(P407),ISBLANK(R407)),"",IF(P407&lt;0.3*S407,"F",IF(ISBLANK(R407),"",IF(ISTEXT(R407),R407,IF(R407&gt;=0.95*U407,"O",IF(R407&gt;=0.9*U407,"A+",IF(R407&gt;=0.85*U407,"A",IF(R407&gt;=0.8*U407,"B+",IF(R407&gt;=0.75*U407,"B",IF(R407&gt;=0.7*U407,"C+",IF(R407&gt;=0.65*U407,"C",IF(R407&gt;=0.6*U407,"D+",IF(R407&gt;=0.55*U407,"D",IF(R407&gt;=0.5*U407,"E+",IF(R407&gt;=0.45*U407,"E",IF(R407&gt;=0.4*U407,"P",IF(R407&lt;0.4*U407,"F",R407)))))))))))))))))))</f>
        <v>C</v>
      </c>
      <c r="N407" s="8">
        <f t="shared" ca="1" si="34"/>
        <v>7</v>
      </c>
      <c r="O407">
        <f>O406+1</f>
        <v>4</v>
      </c>
      <c r="P407" s="1">
        <f ca="1">IF(ISERROR(F399),"",IF(ISTEXT(VLOOKUP(B399,INDIRECT($F$8),6+(O407-1)*3)),(VLOOKUP(B399,INDIRECT($F$8),6+(O407-1)*3)),SUM(VLOOKUP(B399,INDIRECT($F$8),6+(O407-1)*3),IF(W418,W407,0))))</f>
        <v>60</v>
      </c>
      <c r="Q407" s="1">
        <f ca="1">IF(ISERROR(F399),"",VLOOKUP(B399,INDIRECT($F$8),7+(O407-1)*3))</f>
        <v>42</v>
      </c>
      <c r="R407" s="1">
        <f ca="1">IF(ISERROR(F399),"",SUM(P407:Q407))</f>
        <v>102</v>
      </c>
      <c r="S407" s="1">
        <f ca="1">IF(ISERROR(F399),"",VLOOKUP(A399,INDIRECT($F$8),6+(O407-1)*3))</f>
        <v>100</v>
      </c>
      <c r="T407" s="1">
        <f ca="1">IF(ISERROR(F399),"",VLOOKUP(A399,INDIRECT($F$8),7+(O407-1)*3))</f>
        <v>50</v>
      </c>
      <c r="U407" s="1">
        <f ca="1">IF(ISERROR(F399),"",VLOOKUP(A399,INDIRECT($F$8),8+(O407-1)*3))</f>
        <v>150</v>
      </c>
      <c r="V407" s="1" t="str">
        <f ca="1">IF(ISERROR(F399),"",IF(N407=0,A407,""))</f>
        <v/>
      </c>
      <c r="W407" s="1">
        <f ca="1">IF(ISERROR(F399),"",IF(ISTEXT(VLOOKUP(B399,INDIRECT($F$8),6+(O407-1)*3)),11,IF(VLOOKUP(B399,INDIRECT($F$8),6+(O407-1)*3)&lt;S407*0.3,IF(VLOOKUP(B399,INDIRECT($F$8),8+(O407-1)*3)&lt;U407*0.4,IF(AND(0.4*U407-VLOOKUP(B399,INDIRECT($F$8),8+(O407-1)*3)&lt;=5,0.3*S407-VLOOKUP(B399,INDIRECT($F$8),6+(O407-1)*3)&lt;=5),MAX(0.4*U407-VLOOKUP(B399,INDIRECT($F$8),8+(O407-1)*3),0.3*S407-VLOOKUP(B399,INDIRECT($F$8),6+(O407-1)*3)),11),IF(0.3*S407-VLOOKUP(B399,INDIRECT($F$8),6+(O407-1)*3)&lt;=5,0.3*S407-VLOOKUP(B399,INDIRECT($F$8),6+(O407-1)*3),11)),IF(VLOOKUP(B399,INDIRECT($F$8),8+(O407-1)*3)&lt;U407*0.4,IF(U407*0.4-VLOOKUP(B399,INDIRECT($F$8),8+(O407-1)*3)&lt;=5,U407*0.4-VLOOKUP(B399,INDIRECT($F$8),8+(O407-1)*3),11),0))))</f>
        <v>0</v>
      </c>
      <c r="X407" s="1" t="str">
        <f ca="1">IF(ISERROR(F399),"",IF(W407=0,"",_xlfn.TEXTJOIN("",FALSE," G+",W407," in ",A407)))</f>
        <v/>
      </c>
    </row>
    <row r="408" spans="1:24" ht="11.25" customHeight="1" x14ac:dyDescent="0.2">
      <c r="A408" s="7" t="str">
        <f ca="1">IF(ISERROR(F399),"",VLOOKUP(C399,INDIRECT($F$8),6+(O408-1)*3,0))</f>
        <v>AHT 303</v>
      </c>
      <c r="B408" s="41" t="str">
        <f ca="1">IF(ISERROR(F399),"",VLOOKUP(D399,INDIRECT($F$8),6+(O408-1)*3,0))</f>
        <v>Technical Communication Skills</v>
      </c>
      <c r="C408" s="41"/>
      <c r="D408" s="41"/>
      <c r="E408" s="41"/>
      <c r="F408" s="7">
        <f ca="1">IF(ISERROR(F399),"",VLOOKUP(E399,INDIRECT($F$8),6+(O408-1)*3,0))</f>
        <v>4</v>
      </c>
      <c r="G408" s="42" t="str">
        <f ca="1">IF(ISERROR(F399),"",_xlfn.TEXTJOIN("/",FALSE,P408,S408))</f>
        <v>56/100</v>
      </c>
      <c r="H408" s="42"/>
      <c r="I408" s="42" t="str">
        <f ca="1">IF(ISERROR(F399),"",_xlfn.TEXTJOIN("/",FALSE,Q408,T408))</f>
        <v>35/50</v>
      </c>
      <c r="J408" s="42"/>
      <c r="K408" s="42" t="str">
        <f ca="1">IF(ISERROR(F399),"",_xlfn.TEXTJOIN("/",FALSE,R408,U408))</f>
        <v>91/150</v>
      </c>
      <c r="L408" s="42"/>
      <c r="M408" s="7" t="str">
        <f ca="1">IF(ISERROR(F399),"",IF(ISTEXT(P408),IF(P408="A","Ab",IF(P408="D","Dt",IF(P408="UFM","UFM",IF(P408="NA","-")))),IF(AND(ISBLANK(P408),ISBLANK(R408)),"",IF(P408&lt;0.3*S408,"F",IF(ISBLANK(R408),"",IF(ISTEXT(R408),R408,IF(R408&gt;=0.95*U408,"O",IF(R408&gt;=0.9*U408,"A+",IF(R408&gt;=0.85*U408,"A",IF(R408&gt;=0.8*U408,"B+",IF(R408&gt;=0.75*U408,"B",IF(R408&gt;=0.7*U408,"C+",IF(R408&gt;=0.65*U408,"C",IF(R408&gt;=0.6*U408,"D+",IF(R408&gt;=0.55*U408,"D",IF(R408&gt;=0.5*U408,"E+",IF(R408&gt;=0.45*U408,"E",IF(R408&gt;=0.4*U408,"P",IF(R408&lt;0.4*U408,"F",R408)))))))))))))))))))</f>
        <v>D+</v>
      </c>
      <c r="N408" s="8">
        <f t="shared" ca="1" si="34"/>
        <v>6.5</v>
      </c>
      <c r="O408">
        <f t="shared" ref="O408:O417" si="35">O407+1</f>
        <v>5</v>
      </c>
      <c r="P408" s="1">
        <f ca="1">IF(ISERROR(F399),"",IF(ISTEXT(VLOOKUP(B399,INDIRECT($F$8),6+(O408-1)*3)),(VLOOKUP(B399,INDIRECT($F$8),6+(O408-1)*3)),SUM(VLOOKUP(B399,INDIRECT($F$8),6+(O408-1)*3),IF(W418,W408,0))))</f>
        <v>56</v>
      </c>
      <c r="Q408" s="1">
        <f ca="1">IF(ISERROR(F399),"",VLOOKUP(B399,INDIRECT($F$8),7+(O408-1)*3))</f>
        <v>35</v>
      </c>
      <c r="R408" s="1">
        <f ca="1">IF(ISERROR(F399),"",SUM(P408:Q408))</f>
        <v>91</v>
      </c>
      <c r="S408" s="1">
        <f ca="1">IF(ISERROR(F399),"",VLOOKUP(A399,INDIRECT($F$8),6+(O408-1)*3))</f>
        <v>100</v>
      </c>
      <c r="T408" s="1">
        <f ca="1">IF(ISERROR(F399),"",VLOOKUP(A399,INDIRECT($F$8),7+(O408-1)*3))</f>
        <v>50</v>
      </c>
      <c r="U408" s="1">
        <f ca="1">IF(ISERROR(F399),"",VLOOKUP(A399,INDIRECT($F$8),8+(O408-1)*3))</f>
        <v>150</v>
      </c>
      <c r="V408" s="1" t="str">
        <f ca="1">IF(ISERROR(F399),"",IF(N408=0,A408,""))</f>
        <v/>
      </c>
      <c r="W408" s="1">
        <f ca="1">IF(ISERROR(F399),"",IF(ISTEXT(VLOOKUP(B399,INDIRECT($F$8),6+(O408-1)*3)),11,IF(VLOOKUP(B399,INDIRECT($F$8),6+(O408-1)*3)&lt;S408*0.3,IF(VLOOKUP(B399,INDIRECT($F$8),8+(O408-1)*3)&lt;U408*0.4,IF(AND(0.4*U408-VLOOKUP(B399,INDIRECT($F$8),8+(O408-1)*3)&lt;=5,0.3*S408-VLOOKUP(B399,INDIRECT($F$8),6+(O408-1)*3)&lt;=5),MAX(0.4*U408-VLOOKUP(B399,INDIRECT($F$8),8+(O408-1)*3),0.3*S408-VLOOKUP(B399,INDIRECT($F$8),6+(O408-1)*3)),11),IF(0.3*S408-VLOOKUP(B399,INDIRECT($F$8),6+(O408-1)*3)&lt;=5,0.3*S408-VLOOKUP(B399,INDIRECT($F$8),6+(O408-1)*3),11)),IF(VLOOKUP(B399,INDIRECT($F$8),8+(O408-1)*3)&lt;U408*0.4,IF(U408*0.4-VLOOKUP(B399,INDIRECT($F$8),8+(O408-1)*3)&lt;=5,U408*0.4-VLOOKUP(B399,INDIRECT($F$8),8+(O408-1)*3),11),0))))</f>
        <v>0</v>
      </c>
      <c r="X408" s="1" t="str">
        <f ca="1">IF(ISERROR(F399),"",IF(W408=0,"",_xlfn.TEXTJOIN("",FALSE," G+",W408," in ",A408)))</f>
        <v/>
      </c>
    </row>
    <row r="409" spans="1:24" ht="11.25" customHeight="1" x14ac:dyDescent="0.2">
      <c r="A409" s="7" t="str">
        <f ca="1">IF(ISERROR(F399),"",VLOOKUP(C399,INDIRECT($F$8),6+(O409-1)*3,0))</f>
        <v>CAT 008</v>
      </c>
      <c r="B409" s="41" t="str">
        <f ca="1">IF(ISERROR(F399),"",VLOOKUP(D399,INDIRECT($F$8),6+(O409-1)*3,0))</f>
        <v>Python Programming ($)</v>
      </c>
      <c r="C409" s="41"/>
      <c r="D409" s="41"/>
      <c r="E409" s="41"/>
      <c r="F409" s="7">
        <f ca="1">IF(ISERROR(F399),"",VLOOKUP(E399,INDIRECT($F$8),6+(O409-1)*3,0))</f>
        <v>0</v>
      </c>
      <c r="G409" s="42" t="str">
        <f ca="1">IF(ISERROR(F399),"",_xlfn.TEXTJOIN("/",FALSE,P409,S409))</f>
        <v>17/30</v>
      </c>
      <c r="H409" s="42"/>
      <c r="I409" s="42" t="str">
        <f ca="1">IF(ISERROR(F399),"",_xlfn.TEXTJOIN("/",FALSE,Q409,T409))</f>
        <v>16/20</v>
      </c>
      <c r="J409" s="42"/>
      <c r="K409" s="42" t="str">
        <f ca="1">IF(ISERROR(F399),"",_xlfn.TEXTJOIN("/",FALSE,R409,U409))</f>
        <v>33/50</v>
      </c>
      <c r="L409" s="42"/>
      <c r="M409" s="7" t="str">
        <f ca="1">IF(ISERROR(F399),"",IF(ISTEXT(P409),IF(P409="A","Ab",IF(P409="D","Dt",IF(P409="UFM","UFM",IF(P409="NA","-")))),IF(AND(ISBLANK(P409),ISBLANK(R409)),"",IF(P409&lt;0.3*S409,"F",IF(ISBLANK(R409),"",IF(ISTEXT(R409),R409,IF(R409&gt;=0.95*U409,"O",IF(R409&gt;=0.9*U409,"A+",IF(R409&gt;=0.85*U409,"A",IF(R409&gt;=0.8*U409,"B+",IF(R409&gt;=0.75*U409,"B",IF(R409&gt;=0.7*U409,"C+",IF(R409&gt;=0.65*U409,"C",IF(R409&gt;=0.6*U409,"D+",IF(R409&gt;=0.55*U409,"D",IF(R409&gt;=0.5*U409,"E+",IF(R409&gt;=0.45*U409,"E",IF(R409&gt;=0.4*U409,"P",IF(R409&lt;0.4*U409,"F",R409)))))))))))))))))))</f>
        <v>C</v>
      </c>
      <c r="N409" s="8">
        <f t="shared" ca="1" si="34"/>
        <v>7</v>
      </c>
      <c r="O409">
        <f t="shared" si="35"/>
        <v>6</v>
      </c>
      <c r="P409" s="1">
        <f ca="1">IF(ISERROR(F399),"",IF(ISTEXT(VLOOKUP(B399,INDIRECT($F$8),6+(O409-1)*3)),(VLOOKUP(B399,INDIRECT($F$8),6+(O409-1)*3)),SUM(VLOOKUP(B399,INDIRECT($F$8),6+(O409-1)*3),IF(W418,W409,0))))</f>
        <v>17</v>
      </c>
      <c r="Q409" s="1">
        <f ca="1">IF(ISERROR(F399),"",VLOOKUP(B399,INDIRECT($F$8),7+(O409-1)*3))</f>
        <v>16</v>
      </c>
      <c r="R409" s="1">
        <f ca="1">IF(ISERROR(F399),"",SUM(P409:Q409))</f>
        <v>33</v>
      </c>
      <c r="S409" s="1">
        <f ca="1">IF(ISERROR(F399),"",VLOOKUP(A399,INDIRECT($F$8),6+(O409-1)*3))</f>
        <v>30</v>
      </c>
      <c r="T409" s="1">
        <f ca="1">IF(ISERROR(F399),"",VLOOKUP(A399,INDIRECT($F$8),7+(O409-1)*3))</f>
        <v>20</v>
      </c>
      <c r="U409" s="1">
        <f ca="1">IF(ISERROR(F399),"",VLOOKUP(A399,INDIRECT($F$8),8+(O409-1)*3))</f>
        <v>50</v>
      </c>
      <c r="V409" s="1" t="str">
        <f ca="1">IF(ISERROR(F399),"",IF(N409=0,A409,""))</f>
        <v/>
      </c>
      <c r="W409" s="1">
        <f ca="1">IF(ISERROR(F399),"",IF(ISTEXT(VLOOKUP(B399,INDIRECT($F$8),6+(O409-1)*3)),11,IF(VLOOKUP(B399,INDIRECT($F$8),6+(O409-1)*3)&lt;S409*0.3,IF(VLOOKUP(B399,INDIRECT($F$8),8+(O409-1)*3)&lt;U409*0.4,IF(AND(0.4*U409-VLOOKUP(B399,INDIRECT($F$8),8+(O409-1)*3)&lt;=5,0.3*S409-VLOOKUP(B399,INDIRECT($F$8),6+(O409-1)*3)&lt;=5),MAX(0.4*U409-VLOOKUP(B399,INDIRECT($F$8),8+(O409-1)*3),0.3*S409-VLOOKUP(B399,INDIRECT($F$8),6+(O409-1)*3)),11),IF(0.3*S409-VLOOKUP(B399,INDIRECT($F$8),6+(O409-1)*3)&lt;=5,0.3*S409-VLOOKUP(B399,INDIRECT($F$8),6+(O409-1)*3),11)),IF(VLOOKUP(B399,INDIRECT($F$8),8+(O409-1)*3)&lt;U409*0.4,IF(U409*0.4-VLOOKUP(B399,INDIRECT($F$8),8+(O409-1)*3)&lt;=5,U409*0.4-VLOOKUP(B399,INDIRECT($F$8),8+(O409-1)*3),11),0))))</f>
        <v>0</v>
      </c>
      <c r="X409" s="1" t="str">
        <f ca="1">IF(ISERROR(F399),"",IF(W409=0,"",_xlfn.TEXTJOIN("",FALSE," G+",W409," in ",A409)))</f>
        <v/>
      </c>
    </row>
    <row r="410" spans="1:24" ht="11.25" customHeight="1" x14ac:dyDescent="0.2">
      <c r="A410" s="7" t="str">
        <f ca="1">IF(ISERROR(F399),"",VLOOKUP(C399,INDIRECT($F$8),6+(O410-1)*3,0))</f>
        <v>CAT 001</v>
      </c>
      <c r="B410" s="41" t="str">
        <f ca="1">IF(ISERROR(F399),"",VLOOKUP(D399,INDIRECT($F$8),6+(O410-1)*3,0))</f>
        <v>Introduction of Information Technology ($)</v>
      </c>
      <c r="C410" s="41"/>
      <c r="D410" s="41"/>
      <c r="E410" s="41"/>
      <c r="F410" s="7">
        <f ca="1">IF(ISERROR(F399),"",VLOOKUP(E399,INDIRECT($F$8),6+(O410-1)*3,0))</f>
        <v>0</v>
      </c>
      <c r="G410" s="42" t="str">
        <f ca="1">IF(ISERROR(F399),"",_xlfn.TEXTJOIN("/",FALSE,P410,S410))</f>
        <v>NA/30</v>
      </c>
      <c r="H410" s="42"/>
      <c r="I410" s="42" t="str">
        <f ca="1">IF(ISERROR(F399),"",_xlfn.TEXTJOIN("/",FALSE,Q410,T410))</f>
        <v>NA/20</v>
      </c>
      <c r="J410" s="42"/>
      <c r="K410" s="42" t="str">
        <f ca="1">IF(ISERROR(F399),"",_xlfn.TEXTJOIN("/",FALSE,R410,U410))</f>
        <v>0/50</v>
      </c>
      <c r="L410" s="42"/>
      <c r="M410" s="7" t="str">
        <f ca="1">IF(ISERROR(F399),"",IF(ISTEXT(P410),IF(P410="A","Ab",IF(P410="D","Dt",IF(P410="UFM","UFM",IF(P410="NA","-")))),IF(AND(ISBLANK(P410),ISBLANK(R410)),"",IF(P410&lt;0.3*S410,"F",IF(ISBLANK(R410),"",IF(ISTEXT(R410),R410,IF(R410&gt;=0.95*U410,"O",IF(R410&gt;=0.9*U410,"A+",IF(R410&gt;=0.85*U410,"A",IF(R410&gt;=0.8*U410,"B+",IF(R410&gt;=0.75*U410,"B",IF(R410&gt;=0.7*U410,"C+",IF(R410&gt;=0.65*U410,"C",IF(R410&gt;=0.6*U410,"D+",IF(R410&gt;=0.55*U410,"D",IF(R410&gt;=0.5*U410,"E+",IF(R410&gt;=0.45*U410,"E",IF(R410&gt;=0.4*U410,"P",IF(R410&lt;0.4*U410,"F",R410)))))))))))))))))))</f>
        <v>-</v>
      </c>
      <c r="N410" s="8" t="str">
        <f t="shared" ca="1" si="34"/>
        <v>-</v>
      </c>
      <c r="O410">
        <f t="shared" si="35"/>
        <v>7</v>
      </c>
      <c r="P410" s="1" t="str">
        <f ca="1">IF(ISERROR(F399),"",IF(ISTEXT(VLOOKUP(B399,INDIRECT($F$8),6+(O410-1)*3)),(VLOOKUP(B399,INDIRECT($F$8),6+(O410-1)*3)),SUM(VLOOKUP(B399,INDIRECT($F$8),6+(O410-1)*3),IF(W418,W410,0))))</f>
        <v>NA</v>
      </c>
      <c r="Q410" s="1" t="str">
        <f ca="1">IF(ISERROR(F399),"",VLOOKUP(B399,INDIRECT($F$8),7+(O410-1)*3))</f>
        <v>NA</v>
      </c>
      <c r="R410" s="1">
        <f ca="1">IF(ISERROR(F399),"",SUM(P410:Q410))</f>
        <v>0</v>
      </c>
      <c r="S410" s="1">
        <f ca="1">IF(ISERROR(F399),"",VLOOKUP(A399,INDIRECT($F$8),6+(O410-1)*3))</f>
        <v>30</v>
      </c>
      <c r="T410" s="1">
        <f ca="1">IF(ISERROR(F399),"",VLOOKUP(A399,INDIRECT($F$8),7+(O410-1)*3))</f>
        <v>20</v>
      </c>
      <c r="U410" s="1">
        <f ca="1">IF(ISERROR(F399),"",VLOOKUP(A399,INDIRECT($F$8),8+(O410-1)*3))</f>
        <v>50</v>
      </c>
      <c r="V410" s="1" t="str">
        <f ca="1">IF(ISERROR(F399),"",IF(N410=0,A410,""))</f>
        <v/>
      </c>
      <c r="W410" s="1">
        <f ca="1">IF(ISERROR(F399),"",IF(ISTEXT(VLOOKUP(B399,INDIRECT($F$8),6+(O410-1)*3)),11,IF(VLOOKUP(B399,INDIRECT($F$8),6+(O410-1)*3)&lt;S410*0.3,IF(VLOOKUP(B399,INDIRECT($F$8),8+(O410-1)*3)&lt;U410*0.4,IF(AND(0.4*U410-VLOOKUP(B399,INDIRECT($F$8),8+(O410-1)*3)&lt;=5,0.3*S410-VLOOKUP(B399,INDIRECT($F$8),6+(O410-1)*3)&lt;=5),MAX(0.4*U410-VLOOKUP(B399,INDIRECT($F$8),8+(O410-1)*3),0.3*S410-VLOOKUP(B399,INDIRECT($F$8),6+(O410-1)*3)),11),IF(0.3*S410-VLOOKUP(B399,INDIRECT($F$8),6+(O410-1)*3)&lt;=5,0.3*S410-VLOOKUP(B399,INDIRECT($F$8),6+(O410-1)*3),11)),IF(VLOOKUP(B399,INDIRECT($F$8),8+(O410-1)*3)&lt;U410*0.4,IF(U410*0.4-VLOOKUP(B399,INDIRECT($F$8),8+(O410-1)*3)&lt;=5,U410*0.4-VLOOKUP(B399,INDIRECT($F$8),8+(O410-1)*3),11),0))))</f>
        <v>11</v>
      </c>
      <c r="X410" s="1" t="str">
        <f ca="1">IF(ISERROR(F399),"",IF(W410=0,"",_xlfn.TEXTJOIN("",FALSE," G+",W410," in ",A410)))</f>
        <v xml:space="preserve"> G+11 in CAT 001</v>
      </c>
    </row>
    <row r="411" spans="1:24" ht="11.25" customHeight="1" x14ac:dyDescent="0.2">
      <c r="A411" s="7" t="str">
        <f ca="1">IF(ISERROR(F399),"",VLOOKUP(C399,INDIRECT($F$8),6+(O411-1)*3,0))</f>
        <v>CAT 002</v>
      </c>
      <c r="B411" s="41" t="str">
        <f ca="1">IF(ISERROR(F399),"",VLOOKUP(D399,INDIRECT($F$8),6+(O411-1)*3,0))</f>
        <v>Programming Fundamentals with "C" ($)</v>
      </c>
      <c r="C411" s="41"/>
      <c r="D411" s="41"/>
      <c r="E411" s="41"/>
      <c r="F411" s="7">
        <f ca="1">IF(ISERROR(F399),"",VLOOKUP(E399,INDIRECT($F$8),6+(O411-1)*3,0))</f>
        <v>0</v>
      </c>
      <c r="G411" s="42" t="str">
        <f ca="1">IF(ISERROR(F399),"",_xlfn.TEXTJOIN("/",FALSE,P411,S411))</f>
        <v>NA/30</v>
      </c>
      <c r="H411" s="42"/>
      <c r="I411" s="42" t="str">
        <f ca="1">IF(ISERROR(F399),"",_xlfn.TEXTJOIN("/",FALSE,Q411,T411))</f>
        <v>NA/20</v>
      </c>
      <c r="J411" s="42"/>
      <c r="K411" s="42" t="str">
        <f ca="1">IF(ISERROR(F399),"",_xlfn.TEXTJOIN("/",FALSE,R411,U411))</f>
        <v>0/50</v>
      </c>
      <c r="L411" s="42"/>
      <c r="M411" s="7" t="str">
        <f ca="1">IF(ISERROR(F399),"",IF(ISTEXT(P411),IF(P411="A","Ab",IF(P411="D","Dt",IF(P411="UFM","UFM",IF(P411="NA","-")))),IF(AND(ISBLANK(P411),ISBLANK(R411)),"",IF(P411&lt;0.3*S411,"F",IF(ISBLANK(R411),"",IF(ISTEXT(R411),R411,IF(R411&gt;=0.95*U411,"O",IF(R411&gt;=0.9*U411,"A+",IF(R411&gt;=0.85*U411,"A",IF(R411&gt;=0.8*U411,"B+",IF(R411&gt;=0.75*U411,"B",IF(R411&gt;=0.7*U411,"C+",IF(R411&gt;=0.65*U411,"C",IF(R411&gt;=0.6*U411,"D+",IF(R411&gt;=0.55*U411,"D",IF(R411&gt;=0.5*U411,"E+",IF(R411&gt;=0.45*U411,"E",IF(R411&gt;=0.4*U411,"P",IF(R411&lt;0.4*U411,"F",R411)))))))))))))))))))</f>
        <v>-</v>
      </c>
      <c r="N411" s="8" t="str">
        <f t="shared" ca="1" si="34"/>
        <v>-</v>
      </c>
      <c r="O411">
        <f t="shared" si="35"/>
        <v>8</v>
      </c>
      <c r="P411" s="1" t="str">
        <f ca="1">IF(ISERROR(F399),"",IF(ISTEXT(VLOOKUP(B399,INDIRECT($F$8),6+(O411-1)*3)),(VLOOKUP(B399,INDIRECT($F$8),6+(O411-1)*3)),SUM(VLOOKUP(B399,INDIRECT($F$8),6+(O411-1)*3),IF(W418,W411,0))))</f>
        <v>NA</v>
      </c>
      <c r="Q411" s="1" t="str">
        <f ca="1">IF(ISERROR(F399),"",VLOOKUP(B399,INDIRECT($F$8),7+(O411-1)*3))</f>
        <v>NA</v>
      </c>
      <c r="R411" s="1">
        <f ca="1">IF(ISERROR(F399),"",SUM(P411:Q411))</f>
        <v>0</v>
      </c>
      <c r="S411" s="1">
        <f ca="1">IF(ISERROR(F399),"",VLOOKUP(A399,INDIRECT($F$8),6+(O411-1)*3))</f>
        <v>30</v>
      </c>
      <c r="T411" s="1">
        <f ca="1">IF(ISERROR(F399),"",VLOOKUP(A399,INDIRECT($F$8),7+(O411-1)*3))</f>
        <v>20</v>
      </c>
      <c r="U411" s="1">
        <f ca="1">IF(ISERROR(F399),"",VLOOKUP(A399,INDIRECT($F$8),8+(O411-1)*3))</f>
        <v>50</v>
      </c>
      <c r="V411" s="1" t="str">
        <f ca="1">IF(ISERROR(F399),"",IF(N411=0,A411,""))</f>
        <v/>
      </c>
      <c r="W411" s="1">
        <f ca="1">IF(ISERROR(F399),"",IF(ISTEXT(VLOOKUP(B399,INDIRECT($F$8),6+(O411-1)*3)),11,IF(VLOOKUP(B399,INDIRECT($F$8),6+(O411-1)*3)&lt;S411*0.3,IF(VLOOKUP(B399,INDIRECT($F$8),8+(O411-1)*3)&lt;U411*0.4,IF(AND(0.4*U411-VLOOKUP(B399,INDIRECT($F$8),8+(O411-1)*3)&lt;=5,0.3*S411-VLOOKUP(B399,INDIRECT($F$8),6+(O411-1)*3)&lt;=5),MAX(0.4*U411-VLOOKUP(B399,INDIRECT($F$8),8+(O411-1)*3),0.3*S411-VLOOKUP(B399,INDIRECT($F$8),6+(O411-1)*3)),11),IF(0.3*S411-VLOOKUP(B399,INDIRECT($F$8),6+(O411-1)*3)&lt;=5,0.3*S411-VLOOKUP(B399,INDIRECT($F$8),6+(O411-1)*3),11)),IF(VLOOKUP(B399,INDIRECT($F$8),8+(O411-1)*3)&lt;U411*0.4,IF(U411*0.4-VLOOKUP(B399,INDIRECT($F$8),8+(O411-1)*3)&lt;=5,U411*0.4-VLOOKUP(B399,INDIRECT($F$8),8+(O411-1)*3),11),0))))</f>
        <v>11</v>
      </c>
      <c r="X411" s="1" t="str">
        <f ca="1">IF(ISERROR(F399),"",IF(W411=0,"",_xlfn.TEXTJOIN("",FALSE," G+",W411," in ",A411)))</f>
        <v xml:space="preserve"> G+11 in CAT 002</v>
      </c>
    </row>
    <row r="412" spans="1:24" ht="11.25" customHeight="1" x14ac:dyDescent="0.2">
      <c r="A412" s="7" t="str">
        <f ca="1">IF(ISERROR(F399),"",VLOOKUP(C399,INDIRECT($F$8),6+(O412-1)*3,0))</f>
        <v>CAT 003</v>
      </c>
      <c r="B412" s="41" t="str">
        <f ca="1">IF(ISERROR(F399),"",VLOOKUP(D399,INDIRECT($F$8),6+(O412-1)*3-Z412,0))</f>
        <v>Fundamental of Web Technology ($)</v>
      </c>
      <c r="C412" s="41"/>
      <c r="D412" s="41"/>
      <c r="E412" s="41"/>
      <c r="F412" s="7">
        <f ca="1">IF(ISERROR(F399),"",VLOOKUP(E399,INDIRECT($F$8),6+(O412-1)*3,0))</f>
        <v>0</v>
      </c>
      <c r="G412" s="42" t="str">
        <f ca="1">IF(ISERROR(F399),"",_xlfn.TEXTJOIN("/",FALSE,P412,S412))</f>
        <v>NA/30</v>
      </c>
      <c r="H412" s="42"/>
      <c r="I412" s="42" t="str">
        <f ca="1">IF(ISERROR(F399),"",_xlfn.TEXTJOIN("/",FALSE,Q412,T412))</f>
        <v>NA/20</v>
      </c>
      <c r="J412" s="42"/>
      <c r="K412" s="42" t="str">
        <f ca="1">IF(ISERROR(F399),"",_xlfn.TEXTJOIN("/",FALSE,R412,U412))</f>
        <v>0/50</v>
      </c>
      <c r="L412" s="42"/>
      <c r="M412" s="7" t="str">
        <f ca="1">IF(ISERROR(F399),"",IF(ISTEXT(P412),IF(P412="A","Ab",IF(P412="D","Dt",IF(P412="UFM","UFM",IF(P412="NA","-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-</v>
      </c>
      <c r="N412" s="8" t="str">
        <f t="shared" ca="1" si="34"/>
        <v>-</v>
      </c>
      <c r="O412">
        <f t="shared" si="35"/>
        <v>9</v>
      </c>
      <c r="P412" s="1" t="str">
        <f ca="1">IF(ISERROR(F399),"",IF(ISTEXT(VLOOKUP(B399,INDIRECT($F$8),6+(O412-1)*3)),(VLOOKUP(B399,INDIRECT($F$8),6+(O412-1)*3)),SUM(VLOOKUP(B399,INDIRECT($F$8),6+(O412-1)*3),IF(W418,W412,0))))</f>
        <v>NA</v>
      </c>
      <c r="Q412" s="1" t="str">
        <f ca="1">IF(ISERROR(F399),"",VLOOKUP(B399,INDIRECT($F$8),7+(O412-1)*3))</f>
        <v>NA</v>
      </c>
      <c r="R412" s="1">
        <f ca="1">IF(ISERROR(F399),"",SUM(P412:Q412))</f>
        <v>0</v>
      </c>
      <c r="S412" s="1">
        <f ca="1">IF(ISERROR(F399),"",VLOOKUP(A399,INDIRECT($F$8),6+(O412-1)*3))</f>
        <v>30</v>
      </c>
      <c r="T412" s="1">
        <f ca="1">IF(ISERROR(F399),"",VLOOKUP(A399,INDIRECT($F$8),7+(O412-1)*3))</f>
        <v>20</v>
      </c>
      <c r="U412" s="1">
        <f ca="1">IF(ISERROR(F399),"",VLOOKUP(A399,INDIRECT($F$8),8+(O412-1)*3))</f>
        <v>50</v>
      </c>
      <c r="V412" s="1" t="str">
        <f ca="1">IF(ISERROR(F399),"",IF(N412=0,A412,""))</f>
        <v/>
      </c>
      <c r="W412" s="1">
        <f ca="1">IF(ISERROR(F399),"",IF(ISTEXT(VLOOKUP(B399,INDIRECT($F$8),6+(O412-1)*3)),11,IF(VLOOKUP(B399,INDIRECT($F$8),6+(O412-1)*3)&lt;S412*0.3,IF(VLOOKUP(B399,INDIRECT($F$8),8+(O412-1)*3)&lt;U412*0.4,IF(AND(0.4*U412-VLOOKUP(B399,INDIRECT($F$8),8+(O412-1)*3)&lt;=5,0.3*S412-VLOOKUP(B399,INDIRECT($F$8),6+(O412-1)*3)&lt;=5),MAX(0.4*U412-VLOOKUP(B399,INDIRECT($F$8),8+(O412-1)*3),0.3*S412-VLOOKUP(B399,INDIRECT($F$8),6+(O412-1)*3)),11),IF(0.3*S412-VLOOKUP(B399,INDIRECT($F$8),6+(O412-1)*3)&lt;=5,0.3*S412-VLOOKUP(B399,INDIRECT($F$8),6+(O412-1)*3),11)),IF(VLOOKUP(B399,INDIRECT($F$8),8+(O412-1)*3)&lt;U412*0.4,IF(U412*0.4-VLOOKUP(B399,INDIRECT($F$8),8+(O412-1)*3)&lt;=5,U412*0.4-VLOOKUP(B399,INDIRECT($F$8),8+(O412-1)*3),11),0))))</f>
        <v>11</v>
      </c>
      <c r="X412" s="1" t="str">
        <f ca="1">IF(ISERROR(F399),"",IF(W412=0,"",_xlfn.TEXTJOIN("",FALSE," G+",W412," in ",A412)))</f>
        <v xml:space="preserve"> G+11 in CAT 003</v>
      </c>
    </row>
    <row r="413" spans="1:24" ht="11.25" customHeight="1" x14ac:dyDescent="0.2">
      <c r="A413" s="7" t="str">
        <f ca="1">IF(ISERROR(F399),"",VLOOKUP(C399,INDIRECT($F$8),6+(O413-1)*3,0))</f>
        <v>CAP 001</v>
      </c>
      <c r="B413" s="41" t="str">
        <f ca="1">IF(ISERROR(F399),"",VLOOKUP(D399,INDIRECT($F$8),6+(O413-1)*3-Z413,0))</f>
        <v>Database Management System Lab</v>
      </c>
      <c r="C413" s="41"/>
      <c r="D413" s="41"/>
      <c r="E413" s="41"/>
      <c r="F413" s="7">
        <f ca="1">IF(ISERROR(F399),"",VLOOKUP(E399,INDIRECT($F$8),6+(O413-1)*3,0))</f>
        <v>1</v>
      </c>
      <c r="G413" s="42" t="str">
        <f ca="1">IF(ISERROR(F399),"",_xlfn.TEXTJOIN("/",FALSE,P413,S413))</f>
        <v>25/30</v>
      </c>
      <c r="H413" s="42"/>
      <c r="I413" s="42" t="str">
        <f ca="1">IF(ISERROR(F399),"",_xlfn.TEXTJOIN("/",FALSE,Q413,T413))</f>
        <v>17/20</v>
      </c>
      <c r="J413" s="42"/>
      <c r="K413" s="42" t="str">
        <f ca="1">IF(ISERROR(F399),"",_xlfn.TEXTJOIN("/",FALSE,R413,U413))</f>
        <v>42/50</v>
      </c>
      <c r="L413" s="42"/>
      <c r="M413" s="7" t="str">
        <f ca="1">IF(ISERROR(F399),"",IF(ISTEXT(P413),IF(P413="A","Ab",IF(P413="D","Dt",IF(P413="UFM","UFM",IF(P413="NA","-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B+</v>
      </c>
      <c r="N413" s="8">
        <f t="shared" ca="1" si="34"/>
        <v>8.5</v>
      </c>
      <c r="O413">
        <f t="shared" si="35"/>
        <v>10</v>
      </c>
      <c r="P413" s="1">
        <f ca="1">IF(ISERROR(F399),"",IF(ISTEXT(VLOOKUP(B399,INDIRECT($F$8),6+(O413-1)*3)),(VLOOKUP(B399,INDIRECT($F$8),6+(O413-1)*3)),SUM(VLOOKUP(B399,INDIRECT($F$8),6+(O413-1)*3),IF(W418,W413,0))))</f>
        <v>25</v>
      </c>
      <c r="Q413" s="1">
        <f ca="1">IF(ISERROR(F399),"",VLOOKUP(B399,INDIRECT($F$8),7+(O413-1)*3))</f>
        <v>17</v>
      </c>
      <c r="R413" s="1">
        <f ca="1">IF(ISERROR(F399),"",SUM(P413:Q413))</f>
        <v>42</v>
      </c>
      <c r="S413" s="1">
        <f ca="1">IF(ISERROR(F399),"",VLOOKUP(A399,INDIRECT($F$8),6+(O413-1)*3))</f>
        <v>30</v>
      </c>
      <c r="T413" s="1">
        <f ca="1">IF(ISERROR(F399),"",VLOOKUP(A399,INDIRECT($F$8),7+(O413-1)*3))</f>
        <v>20</v>
      </c>
      <c r="U413" s="1">
        <f ca="1">IF(ISERROR(F399),"",VLOOKUP(A399,INDIRECT($F$8),8+(O413-1)*3))</f>
        <v>50</v>
      </c>
      <c r="V413" s="1" t="str">
        <f ca="1">IF(ISERROR(F399),"",IF(N413=0,A413,""))</f>
        <v/>
      </c>
      <c r="W413" s="1">
        <f ca="1">IF(ISERROR(F399),"",IF(ISTEXT(VLOOKUP(B399,INDIRECT($F$8),6+(O413-1)*3)),11,IF(VLOOKUP(B399,INDIRECT($F$8),6+(O413-1)*3)&lt;S413*0.3,IF(VLOOKUP(B399,INDIRECT($F$8),8+(O413-1)*3)&lt;U413*0.4,IF(AND(0.4*U413-VLOOKUP(B399,INDIRECT($F$8),8+(O413-1)*3)&lt;=5,0.3*S413-VLOOKUP(B399,INDIRECT($F$8),6+(O413-1)*3)&lt;=5),MAX(0.4*U413-VLOOKUP(B399,INDIRECT($F$8),8+(O413-1)*3),0.3*S413-VLOOKUP(B399,INDIRECT($F$8),6+(O413-1)*3)),11),IF(0.3*S413-VLOOKUP(B399,INDIRECT($F$8),6+(O413-1)*3)&lt;=5,0.3*S413-VLOOKUP(B399,INDIRECT($F$8),6+(O413-1)*3),11)),IF(VLOOKUP(B399,INDIRECT($F$8),8+(O413-1)*3)&lt;U413*0.4,IF(U413*0.4-VLOOKUP(B399,INDIRECT($F$8),8+(O413-1)*3)&lt;=5,U413*0.4-VLOOKUP(B399,INDIRECT($F$8),8+(O413-1)*3),11),0))))</f>
        <v>0</v>
      </c>
      <c r="X413" s="1" t="str">
        <f ca="1">IF(ISERROR(F399),"",IF(W413=0,"",_xlfn.TEXTJOIN("",FALSE," G+",W413," in ",A413)))</f>
        <v/>
      </c>
    </row>
    <row r="414" spans="1:24" ht="11.25" customHeight="1" x14ac:dyDescent="0.2">
      <c r="A414" s="7" t="str">
        <f ca="1">IF(ISERROR(F399),"",VLOOKUP(C399,INDIRECT($F$8),6+(O414-1)*3,0))</f>
        <v>CAP 002</v>
      </c>
      <c r="B414" s="41" t="str">
        <f ca="1">IF(ISERROR(F399),"",VLOOKUP(D399,INDIRECT($F$8),6+(O414-1)*3,0))</f>
        <v>Operating System Lab</v>
      </c>
      <c r="C414" s="41"/>
      <c r="D414" s="41"/>
      <c r="E414" s="41"/>
      <c r="F414" s="7">
        <f ca="1">IF(ISERROR(F399),"",VLOOKUP(E399,INDIRECT($F$8),6+(O414-1)*3,0))</f>
        <v>1</v>
      </c>
      <c r="G414" s="42" t="str">
        <f ca="1">IF(ISERROR(F399),"",_xlfn.TEXTJOIN("/",FALSE,P414,S414))</f>
        <v>27/30</v>
      </c>
      <c r="H414" s="42"/>
      <c r="I414" s="42" t="str">
        <f ca="1">IF(ISERROR(F399),"",_xlfn.TEXTJOIN("/",FALSE,Q414,T414))</f>
        <v>18/20</v>
      </c>
      <c r="J414" s="42"/>
      <c r="K414" s="42" t="str">
        <f ca="1">IF(ISERROR(F399),"",_xlfn.TEXTJOIN("/",FALSE,R414,U414))</f>
        <v>45/50</v>
      </c>
      <c r="L414" s="42"/>
      <c r="M414" s="7" t="str">
        <f ca="1">IF(ISERROR(F399),"",IF(ISTEXT(P414),IF(P414="A","Ab",IF(P414="D","Dt",IF(P414="UFM","UFM",IF(P414="NA","-")))),IF(AND(ISBLANK(P414),ISBLANK(R414)),"",IF(P414&lt;0.3*S414,"F",IF(ISBLANK(R414),"",IF(ISTEXT(R414),R414,IF(R414&gt;=0.95*U414,"O",IF(R414&gt;=0.9*U414,"A+",IF(R414&gt;=0.85*U414,"A",IF(R414&gt;=0.8*U414,"B+",IF(R414&gt;=0.75*U414,"B",IF(R414&gt;=0.7*U414,"C+",IF(R414&gt;=0.65*U414,"C",IF(R414&gt;=0.6*U414,"D+",IF(R414&gt;=0.55*U414,"D",IF(R414&gt;=0.5*U414,"E+",IF(R414&gt;=0.45*U414,"E",IF(R414&gt;=0.4*U414,"P",IF(R414&lt;0.4*U414,"F",R414)))))))))))))))))))</f>
        <v>A+</v>
      </c>
      <c r="N414" s="8">
        <f t="shared" ca="1" si="34"/>
        <v>9.5</v>
      </c>
      <c r="O414">
        <f t="shared" si="35"/>
        <v>11</v>
      </c>
      <c r="P414" s="1">
        <f ca="1">IF(ISERROR(F399),"",IF(ISTEXT(VLOOKUP(B399,INDIRECT($F$8),6+(O414-1)*3)),(VLOOKUP(B399,INDIRECT($F$8),6+(O414-1)*3)),SUM(VLOOKUP(B399,INDIRECT($F$8),6+(O414-1)*3),IF(W418,W414,0))))</f>
        <v>27</v>
      </c>
      <c r="Q414" s="1">
        <f ca="1">IF(ISERROR(F399),"",VLOOKUP(B399,INDIRECT($F$8),7+(O414-1)*3))</f>
        <v>18</v>
      </c>
      <c r="R414" s="1">
        <f ca="1">IF(ISERROR(F399),"",SUM(P414:Q414))</f>
        <v>45</v>
      </c>
      <c r="S414" s="1">
        <f ca="1">IF(ISERROR(F399),"",VLOOKUP(A399,INDIRECT($F$8),6+(O414-1)*3))</f>
        <v>30</v>
      </c>
      <c r="T414" s="1">
        <f ca="1">IF(ISERROR(F399),"",VLOOKUP(A399,INDIRECT($F$8),7+(O414-1)*3))</f>
        <v>20</v>
      </c>
      <c r="U414" s="1">
        <f ca="1">IF(ISERROR(F399),"",VLOOKUP(A399,INDIRECT($F$8),8+(O414-1)*3))</f>
        <v>50</v>
      </c>
      <c r="V414" s="1" t="str">
        <f ca="1">IF(ISERROR(F399),"",IF(N414=0,A414,""))</f>
        <v/>
      </c>
      <c r="W414" s="1">
        <f ca="1">IF(ISERROR(F399),"",IF(ISTEXT(VLOOKUP(B399,INDIRECT($F$8),6+(O414-1)*3)),11,IF(VLOOKUP(B399,INDIRECT($F$8),6+(O414-1)*3)&lt;S414*0.3,IF(VLOOKUP(B399,INDIRECT($F$8),8+(O414-1)*3)&lt;U414*0.4,IF(AND(0.4*U414-VLOOKUP(B399,INDIRECT($F$8),8+(O414-1)*3)&lt;=5,0.3*S414-VLOOKUP(B399,INDIRECT($F$8),6+(O414-1)*3)&lt;=5),MAX(0.4*U414-VLOOKUP(B399,INDIRECT($F$8),8+(O414-1)*3),0.3*S414-VLOOKUP(B399,INDIRECT($F$8),6+(O414-1)*3)),11),IF(0.3*S414-VLOOKUP(B399,INDIRECT($F$8),6+(O414-1)*3)&lt;=5,0.3*S414-VLOOKUP(B399,INDIRECT($F$8),6+(O414-1)*3),11)),IF(VLOOKUP(B399,INDIRECT($F$8),8+(O414-1)*3)&lt;U414*0.4,IF(U414*0.4-VLOOKUP(B399,INDIRECT($F$8),8+(O414-1)*3)&lt;=5,U414*0.4-VLOOKUP(B399,INDIRECT($F$8),8+(O414-1)*3),11),0))))</f>
        <v>0</v>
      </c>
      <c r="X414" s="1" t="str">
        <f ca="1">IF(ISERROR(F399),"",IF(W414=0,"",_xlfn.TEXTJOIN("",FALSE," G+",W414," in ",A414)))</f>
        <v/>
      </c>
    </row>
    <row r="415" spans="1:24" ht="11.25" customHeight="1" x14ac:dyDescent="0.2">
      <c r="A415" s="7" t="str">
        <f ca="1">IF(ISERROR(F399),"",VLOOKUP(C399,INDIRECT($F$8),6+(O415-1)*3,0))</f>
        <v>CAP 003</v>
      </c>
      <c r="B415" s="41" t="str">
        <f ca="1">IF(ISERROR(F399),"",VLOOKUP(D399,INDIRECT($F$8),6+(O415-1)*3,0))</f>
        <v>Computer Organization Lab</v>
      </c>
      <c r="C415" s="41"/>
      <c r="D415" s="41"/>
      <c r="E415" s="41"/>
      <c r="F415" s="7">
        <f ca="1">IF(ISERROR(F399),"",VLOOKUP(E399,INDIRECT($F$8),6+(O415-1)*3,0))</f>
        <v>1</v>
      </c>
      <c r="G415" s="42" t="str">
        <f ca="1">IF(ISERROR(F399),"",_xlfn.TEXTJOIN("/",FALSE,P415,S415))</f>
        <v>27/30</v>
      </c>
      <c r="H415" s="42"/>
      <c r="I415" s="42" t="str">
        <f ca="1">IF(ISERROR(F399),"",_xlfn.TEXTJOIN("/",FALSE,Q415,T415))</f>
        <v>19/20</v>
      </c>
      <c r="J415" s="42"/>
      <c r="K415" s="42" t="str">
        <f ca="1">IF(ISERROR(F399),"",_xlfn.TEXTJOIN("/",FALSE,R415,U415))</f>
        <v>46/50</v>
      </c>
      <c r="L415" s="42"/>
      <c r="M415" s="7" t="str">
        <f ca="1">IF(ISERROR(F399),"",IF(ISTEXT(P415),IF(P415="A","Ab",IF(P415="D","Dt",IF(P415="UFM","UFM",IF(P415="NA","-")))),IF(AND(ISBLANK(P415),ISBLANK(R415)),"",IF(P415&lt;0.3*S415,"F",IF(ISBLANK(R415),"",IF(ISTEXT(R415),R415,IF(R415&gt;=0.95*U415,"O",IF(R415&gt;=0.9*U415,"A+",IF(R415&gt;=0.85*U415,"A",IF(R415&gt;=0.8*U415,"B+",IF(R415&gt;=0.75*U415,"B",IF(R415&gt;=0.7*U415,"C+",IF(R415&gt;=0.65*U415,"C",IF(R415&gt;=0.6*U415,"D+",IF(R415&gt;=0.55*U415,"D",IF(R415&gt;=0.5*U415,"E+",IF(R415&gt;=0.45*U415,"E",IF(R415&gt;=0.4*U415,"P",IF(R415&lt;0.4*U415,"F",R415)))))))))))))))))))</f>
        <v>A+</v>
      </c>
      <c r="N415" s="8">
        <f t="shared" ca="1" si="34"/>
        <v>9.5</v>
      </c>
      <c r="O415">
        <f t="shared" si="35"/>
        <v>12</v>
      </c>
      <c r="P415" s="1">
        <f ca="1">IF(ISERROR(F399),"",IF(ISTEXT(VLOOKUP(B399,INDIRECT($F$8),6+(O415-1)*3)),(VLOOKUP(B399,INDIRECT($F$8),6+(O415-1)*3)),SUM(VLOOKUP(B399,INDIRECT($F$8),6+(O415-1)*3),IF(W418,W415,0))))</f>
        <v>27</v>
      </c>
      <c r="Q415" s="1">
        <f ca="1">IF(ISERROR(F399),"",VLOOKUP(B399,INDIRECT($F$8),7+(O415-1)*3))</f>
        <v>19</v>
      </c>
      <c r="R415" s="1">
        <f ca="1">IF(ISERROR(F399),"",SUM(P415:Q415))</f>
        <v>46</v>
      </c>
      <c r="S415" s="1">
        <f ca="1">IF(ISERROR(F399),"",VLOOKUP(A399,INDIRECT($F$8),6+(O415-1)*3))</f>
        <v>30</v>
      </c>
      <c r="T415" s="1">
        <f ca="1">IF(ISERROR(F399),"",VLOOKUP(A399,INDIRECT($F$8),7+(O415-1)*3))</f>
        <v>20</v>
      </c>
      <c r="U415" s="1">
        <f ca="1">IF(ISERROR(F399),"",VLOOKUP(A399,INDIRECT($F$8),8+(O415-1)*3))</f>
        <v>50</v>
      </c>
      <c r="V415" s="1" t="str">
        <f ca="1">IF(ISERROR(F399),"",IF(N415=0,A415,""))</f>
        <v/>
      </c>
      <c r="W415" s="1">
        <f ca="1">IF(ISERROR(F399),"",IF(ISTEXT(VLOOKUP(B399,INDIRECT($F$8),6+(O415-1)*3)),11,IF(VLOOKUP(B399,INDIRECT($F$8),6+(O415-1)*3)&lt;S415*0.3,IF(VLOOKUP(B399,INDIRECT($F$8),8+(O415-1)*3)&lt;U415*0.4,IF(AND(0.4*U415-VLOOKUP(B399,INDIRECT($F$8),8+(O415-1)*3)&lt;=5,0.3*S415-VLOOKUP(B399,INDIRECT($F$8),6+(O415-1)*3)&lt;=5),MAX(0.4*U415-VLOOKUP(B399,INDIRECT($F$8),8+(O415-1)*3),0.3*S415-VLOOKUP(B399,INDIRECT($F$8),6+(O415-1)*3)),11),IF(0.3*S415-VLOOKUP(B399,INDIRECT($F$8),6+(O415-1)*3)&lt;=5,0.3*S415-VLOOKUP(B399,INDIRECT($F$8),6+(O415-1)*3),11)),IF(VLOOKUP(B399,INDIRECT($F$8),8+(O415-1)*3)&lt;U415*0.4,IF(U415*0.4-VLOOKUP(B399,INDIRECT($F$8),8+(O415-1)*3)&lt;=5,U415*0.4-VLOOKUP(B399,INDIRECT($F$8),8+(O415-1)*3),11),0))))</f>
        <v>0</v>
      </c>
      <c r="X415" s="1" t="str">
        <f ca="1">IF(ISERROR(F399),"",IF(W415=0,"",_xlfn.TEXTJOIN("",FALSE," G+",W415," in ",A415)))</f>
        <v/>
      </c>
    </row>
    <row r="416" spans="1:24" ht="11.25" customHeight="1" x14ac:dyDescent="0.2">
      <c r="A416" s="7" t="str">
        <f ca="1">IF(ISERROR(F399),"",VLOOKUP(C399,INDIRECT($F$8),6+(O416-1)*3,0))</f>
        <v>AHP 303</v>
      </c>
      <c r="B416" s="41" t="str">
        <f ca="1">IF(ISERROR(F399),"",VLOOKUP(D399,INDIRECT($F$8),6+(O416-1)*3,0))</f>
        <v>Technical Communication Skills</v>
      </c>
      <c r="C416" s="41"/>
      <c r="D416" s="41"/>
      <c r="E416" s="41"/>
      <c r="F416" s="7">
        <f ca="1">IF(ISERROR(F399),"",VLOOKUP(E399,INDIRECT($F$8),6+(O416-1)*3,0))</f>
        <v>1</v>
      </c>
      <c r="G416" s="42" t="str">
        <f ca="1">IF(ISERROR(F399),"",_xlfn.TEXTJOIN("/",FALSE,P416,S416))</f>
        <v>25/30</v>
      </c>
      <c r="H416" s="42"/>
      <c r="I416" s="42" t="str">
        <f ca="1">IF(ISERROR(F399),"",_xlfn.TEXTJOIN("/",FALSE,Q416,T416))</f>
        <v>17/20</v>
      </c>
      <c r="J416" s="42"/>
      <c r="K416" s="42" t="str">
        <f ca="1">IF(ISERROR(F399),"",_xlfn.TEXTJOIN("/",FALSE,R416,U416))</f>
        <v>42/50</v>
      </c>
      <c r="L416" s="42"/>
      <c r="M416" s="7" t="str">
        <f ca="1">IF(ISERROR(F399),"",IF(ISTEXT(P416),IF(P416="A","Ab",IF(P416="D","Dt",IF(P416="UFM","UFM",IF(P416="NA","-")))),IF(AND(ISBLANK(P416),ISBLANK(R416)),"",IF(P416&lt;0.3*S416,"F",IF(ISBLANK(R416),"",IF(ISTEXT(R416),R416,IF(R416&gt;=0.95*U416,"O",IF(R416&gt;=0.9*U416,"A+",IF(R416&gt;=0.85*U416,"A",IF(R416&gt;=0.8*U416,"B+",IF(R416&gt;=0.75*U416,"B",IF(R416&gt;=0.7*U416,"C+",IF(R416&gt;=0.65*U416,"C",IF(R416&gt;=0.6*U416,"D+",IF(R416&gt;=0.55*U416,"D",IF(R416&gt;=0.5*U416,"E+",IF(R416&gt;=0.45*U416,"E",IF(R416&gt;=0.4*U416,"P",IF(R416&lt;0.4*U416,"F",R416)))))))))))))))))))</f>
        <v>B+</v>
      </c>
      <c r="N416" s="8">
        <f t="shared" ca="1" si="34"/>
        <v>8.5</v>
      </c>
      <c r="O416">
        <f t="shared" si="35"/>
        <v>13</v>
      </c>
      <c r="P416" s="1">
        <f ca="1">IF(ISERROR(F399),"",IF(ISTEXT(VLOOKUP(B399,INDIRECT($F$8),6+(O416-1)*3)),(VLOOKUP(B399,INDIRECT($F$8),6+(O416-1)*3)),SUM(VLOOKUP(B399,INDIRECT($F$8),6+(O416-1)*3),IF(W418,W416,0))))</f>
        <v>25</v>
      </c>
      <c r="Q416" s="1">
        <f ca="1">IF(ISERROR(F399),"",VLOOKUP(B399,INDIRECT($F$8),7+(O416-1)*3))</f>
        <v>17</v>
      </c>
      <c r="R416" s="1">
        <f ca="1">IF(ISERROR(F399),"",SUM(P416:Q416))</f>
        <v>42</v>
      </c>
      <c r="S416" s="1">
        <f ca="1">IF(ISERROR(F399),"",VLOOKUP(A399,INDIRECT($F$8),6+(O416-1)*3))</f>
        <v>30</v>
      </c>
      <c r="T416" s="1">
        <f ca="1">IF(ISERROR(F399),"",VLOOKUP(A399,INDIRECT($F$8),7+(O416-1)*3))</f>
        <v>20</v>
      </c>
      <c r="U416" s="1">
        <f ca="1">IF(ISERROR(F399),"",VLOOKUP(A399,INDIRECT($F$8),8+(O416-1)*3))</f>
        <v>50</v>
      </c>
      <c r="V416" s="1"/>
      <c r="W416" s="1">
        <f ca="1">IF(ISERROR(F399),"",IF(ISTEXT(VLOOKUP(B399,INDIRECT($F$8),6+(O416-1)*3)),11,IF(VLOOKUP(B399,INDIRECT($F$8),6+(O416-1)*3)&lt;S416*0.3,IF(VLOOKUP(B399,INDIRECT($F$8),8+(O416-1)*3)&lt;U416*0.4,IF(AND(0.4*U416-VLOOKUP(B399,INDIRECT($F$8),8+(O416-1)*3)&lt;=5,0.3*S416-VLOOKUP(B399,INDIRECT($F$8),6+(O416-1)*3)&lt;=5),MAX(0.4*U416-VLOOKUP(B399,INDIRECT($F$8),8+(O416-1)*3),0.3*S416-VLOOKUP(B399,INDIRECT($F$8),6+(O416-1)*3)),11),IF(0.3*S416-VLOOKUP(B399,INDIRECT($F$8),6+(O416-1)*3)&lt;=5,0.3*S416-VLOOKUP(B399,INDIRECT($F$8),6+(O416-1)*3),11)),IF(VLOOKUP(B399,INDIRECT($F$8),8+(O416-1)*3)&lt;U416*0.4,IF(U416*0.4-VLOOKUP(B399,INDIRECT($F$8),8+(O416-1)*3)&lt;=5,U416*0.4-VLOOKUP(B399,INDIRECT($F$8),8+(O416-1)*3),11),0))))</f>
        <v>0</v>
      </c>
      <c r="X416" s="1" t="str">
        <f ca="1">IF(ISERROR(F399),"",IF(W416=0,"",_xlfn.TEXTJOIN("",FALSE," G+",W416," in ",A416)))</f>
        <v/>
      </c>
    </row>
    <row r="417" spans="1:24" s="32" customFormat="1" ht="11.25" customHeight="1" x14ac:dyDescent="0.2">
      <c r="A417" s="31">
        <f ca="1">IF(ISERROR(F399),"",VLOOKUP(C399,INDIRECT($F$8),6+(O417-1)*3-Y417,0))</f>
        <v>0</v>
      </c>
      <c r="B417" s="49">
        <f ca="1">IF(ISERROR(F399),"",VLOOKUP(D399,INDIRECT($F$8),6+(O417-1)*3-Z417,0))</f>
        <v>0</v>
      </c>
      <c r="C417" s="49"/>
      <c r="D417" s="49"/>
      <c r="E417" s="49"/>
      <c r="F417" s="31">
        <f ca="1">IF(ISERROR(F399),"",VLOOKUP(E399,INDIRECT($F$8),6+(O417-1)*3-AA417,0))</f>
        <v>0</v>
      </c>
      <c r="G417" s="50" t="str">
        <f ca="1">IF(ISERROR(F399),"","-")</f>
        <v>-</v>
      </c>
      <c r="H417" s="50"/>
      <c r="I417" s="50" t="str">
        <f ca="1">IF(ISERROR(F399),"",_xlfn.TEXTJOIN("/",FALSE,Q417,T417))</f>
        <v>0/0</v>
      </c>
      <c r="J417" s="50"/>
      <c r="K417" s="50" t="str">
        <f ca="1">IF(ISERROR(F399),"",_xlfn.TEXTJOIN("/",FALSE,R417,U417))</f>
        <v>0/0</v>
      </c>
      <c r="L417" s="50"/>
      <c r="M417" s="50" t="str">
        <f ca="1">IF(ISBLANK(R417),"",IF(ISTEXT(R417),R417,IF(R417&gt;=0.8*U417,"Excellent",IF(R417&gt;=0.6*U417,"Very Good",IF(R417&gt;=0.4*U417,"Good",IF(R417&gt;=0.2*U417,"Satisfactory","Average"))))))</f>
        <v>Excellent</v>
      </c>
      <c r="N417" s="50"/>
      <c r="O417" s="32">
        <f t="shared" si="35"/>
        <v>14</v>
      </c>
      <c r="P417" s="33">
        <f ca="1">IF(ISERROR(F399),"",IF(ISTEXT(VLOOKUP(B\28,INDIRECT($F$8),6+(O417-1)*3)),(VLOOKUP(B399,INDIRECT($F$8),6+(O417-1)*3)),SUM(VLOOKUP(B399,INDIRECT($F$8),6+(O417-1)*3),IF(W418,W417,0))))</f>
        <v>0</v>
      </c>
      <c r="Q417" s="33">
        <f ca="1">IF(ISERROR(F399),"",VLOOKUP(B399,INDIRECT($F$8),7+(O417-1)*3))</f>
        <v>0</v>
      </c>
      <c r="R417" s="33">
        <f ca="1">IF(ISERROR(F399),"",SUM(P417:Q417))</f>
        <v>0</v>
      </c>
      <c r="S417" s="33">
        <f ca="1">IF(ISERROR(F399),"",VLOOKUP(A399,INDIRECT($F$8),6+(O417-1)*3))</f>
        <v>0</v>
      </c>
      <c r="T417" s="33">
        <f ca="1">IF(ISERROR(F399),"",VLOOKUP(A399,INDIRECT($F$8),7+(O417-1)*3))</f>
        <v>0</v>
      </c>
      <c r="U417" s="33">
        <f ca="1">IF(ISERROR(F399),"",VLOOKUP(A399,INDIRECT($F$8),8+(O417-1)*3))</f>
        <v>0</v>
      </c>
      <c r="V417" s="33"/>
      <c r="W417" s="33"/>
      <c r="X417" s="33" t="str">
        <f ca="1">IF(ISERROR(F399),"",IF(W417=0,"",_xlfn.TEXTJOIN("",FALSE," G+",W417," in ",A417)))</f>
        <v/>
      </c>
    </row>
    <row r="418" spans="1:24" ht="11.25" customHeight="1" x14ac:dyDescent="0.2">
      <c r="A418" s="43" t="str">
        <f ca="1">IF(ISERROR(F399),"",A395)</f>
        <v>Total Credits/ Marks/ Total Grade Points</v>
      </c>
      <c r="B418" s="43"/>
      <c r="C418" s="43"/>
      <c r="D418" s="43"/>
      <c r="E418" s="43"/>
      <c r="F418" s="10">
        <f ca="1">IF(ISERROR(F399),"",SUM(F404:F417))</f>
        <v>24</v>
      </c>
      <c r="G418" s="44" t="str">
        <f ca="1">IF(ISERROR(F399),"",_xlfn.TEXTJOIN("/",TRUE,SUMIF(F404:F417,"&gt;0",P404:P417),SUMIF(F404:F417,"&gt;0",S404:S417)))</f>
        <v>411/620</v>
      </c>
      <c r="H418" s="44"/>
      <c r="I418" s="44" t="str">
        <f ca="1">IF(ISERROR(F399),"",_xlfn.TEXTJOIN("/",TRUE,SUMIF(F404:F417,"&gt;0",Q404:Q417),SUMIF(F404:F417,"&gt;0",T404:T417)))</f>
        <v>274/330</v>
      </c>
      <c r="J418" s="44"/>
      <c r="K418" s="44" t="str">
        <f ca="1">IF(ISERROR(F399),"",_xlfn.TEXTJOIN("/",TRUE,SUMIF(F404:F417,"&gt;0",R404:R417),SUMIF(F404:F417,"&gt;0",U404:U417)))</f>
        <v>685/950</v>
      </c>
      <c r="L418" s="44"/>
      <c r="M418" s="43">
        <f ca="1">IF(ISERROR(F399),"",SUMPRODUCT(N404:N416,F404:F416))</f>
        <v>176</v>
      </c>
      <c r="N418" s="43"/>
      <c r="V418" s="1" t="str">
        <f ca="1">IF(ISERROR(F399),"",_xlfn.TEXTJOIN(", ",TRUE,V404:V417))</f>
        <v/>
      </c>
      <c r="W418" t="b">
        <f ca="1">IF(ISERROR(F399),"",IF(SUM(W404:W417)&lt;=W403,TRUE,FALSE))</f>
        <v>0</v>
      </c>
      <c r="X418" s="1" t="str">
        <f ca="1">_xlfn.TEXTJOIN(",",TRUE,X404:X417)</f>
        <v xml:space="preserve"> G+11 in CAT 001, G+11 in CAT 002, G+11 in CAT 003</v>
      </c>
    </row>
    <row r="419" spans="1:24" ht="11.25" customHeight="1" x14ac:dyDescent="0.2">
      <c r="A419" s="43" t="str">
        <f ca="1">IF(ISERROR(F399),"",A396)</f>
        <v>Result:</v>
      </c>
      <c r="B419" s="45" t="str">
        <f ca="1">IF(ISERROR(F399),"",IF(V418="","PASS","CARRY OVER"))</f>
        <v>PASS</v>
      </c>
      <c r="C419" s="45"/>
      <c r="D419" s="43" t="str">
        <f ca="1">IF(ISERROR(F399),"",D396)</f>
        <v>Remark:</v>
      </c>
      <c r="E419" s="45" t="str">
        <f ca="1">IF(ISERROR(F399),"",IF(W418,X418,IF(V418="","",_xlfn.TEXTJOIN("",TRUE,"BACK IN ",V418))))</f>
        <v/>
      </c>
      <c r="F419" s="45"/>
      <c r="G419" s="43" t="str">
        <f ca="1">IF(ISERROR(F399),"",G396)</f>
        <v>SGPA:</v>
      </c>
      <c r="H419" s="46">
        <f ca="1">IF(ISERROR(F399),"",M418/F418)</f>
        <v>7.333333333333333</v>
      </c>
      <c r="I419" s="43" t="str">
        <f ca="1">IF(ISERROR(F399),"",I396)</f>
        <v>CGPA:</v>
      </c>
      <c r="J419" s="46">
        <f ca="1">IF(ISERROR(F399),"",VLOOKUP(B399,INDIRECT($F$8),12+(O417-1)*3,0))</f>
        <v>7.333333333333333</v>
      </c>
      <c r="K419" s="45" t="str">
        <f ca="1">IF(ISERROR(F399),"",K396)</f>
        <v>Earned Credits:</v>
      </c>
      <c r="L419" s="43">
        <f ca="1">IF(ISERROR(F399),"",SUMIF(N404:N416,"&gt;0",F404:F416))</f>
        <v>24</v>
      </c>
      <c r="M419" s="45" t="str">
        <f ca="1">IF(ISERROR(F399),"",M396)</f>
        <v>Cuml. Earned Credits:</v>
      </c>
      <c r="N419" s="43">
        <f ca="1">IF(ISERROR(F399),"",VLOOKUP(B399,INDIRECT($F$8),10+(O417-1)*3,0))</f>
        <v>24</v>
      </c>
    </row>
    <row r="420" spans="1:24" ht="11.25" customHeight="1" x14ac:dyDescent="0.2">
      <c r="A420" s="43"/>
      <c r="B420" s="45"/>
      <c r="C420" s="45"/>
      <c r="D420" s="43"/>
      <c r="E420" s="45"/>
      <c r="F420" s="45"/>
      <c r="G420" s="43"/>
      <c r="H420" s="46"/>
      <c r="I420" s="43"/>
      <c r="J420" s="46"/>
      <c r="K420" s="45"/>
      <c r="L420" s="43"/>
      <c r="M420" s="45"/>
      <c r="N420" s="43"/>
    </row>
    <row r="421" spans="1:24" ht="15" x14ac:dyDescent="0.2">
      <c r="A421" s="43"/>
      <c r="B421" s="45"/>
      <c r="C421" s="45"/>
      <c r="D421" s="43"/>
      <c r="E421" s="45"/>
      <c r="F421" s="45"/>
      <c r="G421" s="43"/>
      <c r="H421" s="46"/>
      <c r="I421" s="43"/>
      <c r="J421" s="46"/>
      <c r="K421" s="45"/>
      <c r="L421" s="43"/>
      <c r="M421" s="45"/>
      <c r="N421" s="43"/>
    </row>
    <row r="422" spans="1:24" ht="11.25" customHeight="1" x14ac:dyDescent="0.2">
      <c r="A422" s="11" t="str">
        <f>A399</f>
        <v>MM</v>
      </c>
      <c r="B422" s="11">
        <f>B399+1</f>
        <v>19</v>
      </c>
      <c r="C422" s="11" t="str">
        <f>C399</f>
        <v>SC</v>
      </c>
      <c r="D422" s="11" t="str">
        <f>D399</f>
        <v>SN</v>
      </c>
      <c r="E422" s="11" t="str">
        <f>E399</f>
        <v>C</v>
      </c>
      <c r="F422" s="11" t="str">
        <f ca="1">VLOOKUP(B422,INDIRECT($F$8),4,0)</f>
        <v>SIMRAN KANDARI</v>
      </c>
    </row>
    <row r="423" spans="1:24" ht="11.25" customHeight="1" x14ac:dyDescent="0.2">
      <c r="A423" s="47" t="str">
        <f ca="1">IF(ISERROR(F422),"",A400)</f>
        <v>Name:</v>
      </c>
      <c r="B423" s="47" t="str">
        <f ca="1">IFERROR(VLOOKUP(B422,INDIRECT($F$8),4,0),"")</f>
        <v>SIMRAN KANDARI</v>
      </c>
      <c r="C423" s="47"/>
      <c r="D423" s="47" t="str">
        <f ca="1">IF(ISERROR(F422),"",D400)</f>
        <v>Father's Name:</v>
      </c>
      <c r="E423" s="47" t="str">
        <f ca="1">IFERROR(VLOOKUP(B422,INDIRECT($F$8),5,0),"")</f>
        <v>MANMOHAN SINGH</v>
      </c>
      <c r="F423" s="47"/>
      <c r="G423" s="47" t="str">
        <f ca="1">IF(ISERROR(F422),"",G400)</f>
        <v>University Roll No:</v>
      </c>
      <c r="H423" s="47"/>
      <c r="I423" s="48">
        <f ca="1">IFERROR(VLOOKUP(B422,INDIRECT($F$8),2,0),"")</f>
        <v>250090600019</v>
      </c>
      <c r="J423" s="48"/>
      <c r="K423" s="47" t="str">
        <f ca="1">IF(ISERROR(F422),"",K400)</f>
        <v>University Enrol. No:</v>
      </c>
      <c r="L423" s="47"/>
      <c r="M423" s="48" t="str">
        <f ca="1">IFERROR(VLOOKUP(B422,INDIRECT($F$8),3,0),"")</f>
        <v>UTU/2506100146</v>
      </c>
      <c r="N423" s="48"/>
    </row>
    <row r="424" spans="1:24" ht="15" x14ac:dyDescent="0.2">
      <c r="A424" s="47"/>
      <c r="B424" s="47"/>
      <c r="C424" s="47"/>
      <c r="D424" s="47"/>
      <c r="E424" s="47"/>
      <c r="F424" s="47"/>
      <c r="G424" s="47"/>
      <c r="H424" s="47"/>
      <c r="I424" s="48"/>
      <c r="J424" s="48"/>
      <c r="K424" s="47"/>
      <c r="L424" s="47"/>
      <c r="M424" s="48"/>
      <c r="N424" s="48"/>
    </row>
    <row r="425" spans="1:24" ht="11.25" customHeight="1" x14ac:dyDescent="0.2">
      <c r="A425" s="45" t="str">
        <f ca="1">IF(ISERROR(F422),"",A402)</f>
        <v>Subject Code</v>
      </c>
      <c r="B425" s="45" t="str">
        <f ca="1">IF(ISERROR(F422),"",B402)</f>
        <v>Subject Name</v>
      </c>
      <c r="C425" s="45"/>
      <c r="D425" s="45"/>
      <c r="E425" s="45"/>
      <c r="F425" s="45" t="str">
        <f ca="1">IF(ISERROR(F422),"",F402)</f>
        <v>Credits</v>
      </c>
      <c r="G425" s="45" t="str">
        <f ca="1">IF(ISERROR(F422),"",G402)</f>
        <v>External Marks</v>
      </c>
      <c r="H425" s="45"/>
      <c r="I425" s="45" t="str">
        <f ca="1">IF(ISERROR(F422),"",I402)</f>
        <v>Sessional Marks</v>
      </c>
      <c r="J425" s="45"/>
      <c r="K425" s="45" t="str">
        <f ca="1">IF(ISERROR(F422),"",K402)</f>
        <v>Total Marks</v>
      </c>
      <c r="L425" s="45"/>
      <c r="M425" s="45" t="str">
        <f ca="1">IF(ISERROR(F422),"",M402)</f>
        <v>Grade</v>
      </c>
      <c r="N425" s="45" t="str">
        <f ca="1">IF(ISERROR(F422),"",N402)</f>
        <v>Grade Points</v>
      </c>
    </row>
    <row r="426" spans="1:24" ht="15" x14ac:dyDescent="0.2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W426">
        <f ca="1">IF(ISNUMBER(MATCH($F$8,{"I","III","V","VII"},0)),10,10-INDEX(INDIRECT(_xlfn.TEXTJOIN("",TRUE,"SEM_",$G$8,"!",ADDRESS(6,4+$I$8*3+4),":",ADDRESS(5+$H$8,4+$I$8*3+4))),MATCH(INDIRECT(_xlfn.TEXTJOIN("",TRUE,"TC_",$F$8,"!",ADDRESS(ROW(I423),COLUMN(I423)))),INDIRECT(_xlfn.TEXTJOIN("",TRUE,"SEM_",$G$8,"!",ADDRESS(6,2),":",ADDRESS(5+$H$8,2))))))</f>
        <v>10</v>
      </c>
    </row>
    <row r="427" spans="1:24" ht="11.25" customHeight="1" x14ac:dyDescent="0.2">
      <c r="A427" s="7" t="str">
        <f ca="1">IF(ISERROR(F422),"",VLOOKUP(C422,INDIRECT($F$8),6+(O427-1)*3,0))</f>
        <v>CAT 004</v>
      </c>
      <c r="B427" s="41" t="str">
        <f ca="1">IF(ISERROR(F422),"",VLOOKUP(D422,INDIRECT($F$8),6+(O427-1)*3,0))</f>
        <v>Discrete Structure</v>
      </c>
      <c r="C427" s="41"/>
      <c r="D427" s="41"/>
      <c r="E427" s="41"/>
      <c r="F427" s="7">
        <f ca="1">IF(ISERROR(F422),"",VLOOKUP(E422,INDIRECT($F$8),6+(O427-1)*3,0))</f>
        <v>4</v>
      </c>
      <c r="G427" s="42" t="str">
        <f ca="1">IF(ISERROR(F422),"",_xlfn.TEXTJOIN("/",FALSE,P427,S427))</f>
        <v>70/100</v>
      </c>
      <c r="H427" s="42"/>
      <c r="I427" s="42" t="str">
        <f ca="1">IF(ISERROR(F422),"",_xlfn.TEXTJOIN("/",FALSE,Q427,T427))</f>
        <v>40/50</v>
      </c>
      <c r="J427" s="42"/>
      <c r="K427" s="42" t="str">
        <f ca="1">IF(ISERROR(F422),"",_xlfn.TEXTJOIN("/",FALSE,R427,U427))</f>
        <v>110/150</v>
      </c>
      <c r="L427" s="42"/>
      <c r="M427" s="7" t="str">
        <f ca="1">IF(ISERROR(F422),"",IF(ISTEXT(P427),IF(P427="A","Ab",IF(P427="D","Dt",IF(P427="UFM","UFM",IF(P427="NA","-")))),IF(AND(ISBLANK(P427),ISBLANK(R427)),"",IF(P427&lt;0.3*S427,"F",IF(ISBLANK(R427),"",IF(ISTEXT(R427),R427,IF(R427&gt;=0.95*U427,"O",IF(R427&gt;=0.9*U427,"A+",IF(R427&gt;=0.85*U427,"A",IF(R427&gt;=0.8*U427,"B+",IF(R427&gt;=0.75*U427,"B",IF(R427&gt;=0.7*U427,"C+",IF(R427&gt;=0.65*U427,"C",IF(R427&gt;=0.6*U427,"D+",IF(R427&gt;=0.55*U427,"D",IF(R427&gt;=0.5*U427,"E+",IF(R427&gt;=0.45*U427,"E",IF(R427&gt;=0.4*U427,"P",IF(R427&lt;0.4*U427,"F",R427)))))))))))))))))))</f>
        <v>C+</v>
      </c>
      <c r="N427" s="8">
        <f ca="1">INDEX($Z$2:$Z$18,MATCH(M427,$Y$2:$Y$18,0))</f>
        <v>7.5</v>
      </c>
      <c r="O427">
        <v>1</v>
      </c>
      <c r="P427" s="1">
        <f ca="1">IF(ISERROR(F422),"",IF(ISTEXT(VLOOKUP(B422,INDIRECT($F$8),6+(O427-1)*3)),(VLOOKUP(B422,INDIRECT($F$8),6+(O427-1)*3)),SUM(VLOOKUP(B422,INDIRECT($F$8),6+(O427-1)*3),IF(W441,W427,0))))</f>
        <v>70</v>
      </c>
      <c r="Q427" s="1">
        <f ca="1">IF(ISERROR(F422),"",VLOOKUP(B422,INDIRECT($F$8),7+(O427-1)*3))</f>
        <v>40</v>
      </c>
      <c r="R427" s="1">
        <f ca="1">IF(ISERROR(F422),"",SUM(P427:Q427))</f>
        <v>110</v>
      </c>
      <c r="S427" s="1">
        <f ca="1">IF(ISERROR(F422),"",VLOOKUP(A422,INDIRECT($F$8),6+(O427-1)*3))</f>
        <v>100</v>
      </c>
      <c r="T427" s="1">
        <f ca="1">IF(ISERROR(F422),"",VLOOKUP(A422,INDIRECT($F$8),7+(O427-1)*3))</f>
        <v>50</v>
      </c>
      <c r="U427" s="1">
        <f ca="1">IF(ISERROR(F422),"",VLOOKUP(A422,INDIRECT($F$8),8+(O427-1)*3))</f>
        <v>150</v>
      </c>
      <c r="V427" s="1" t="str">
        <f ca="1">IF(ISERROR(F422),"",IF(N427=0,A427,""))</f>
        <v/>
      </c>
      <c r="W427" s="1">
        <f ca="1">IF(ISERROR(F422),"",IF(ISTEXT(VLOOKUP(B422,INDIRECT($F$8),6+(O427-1)*3)),11,IF(VLOOKUP(B422,INDIRECT($F$8),6+(O427-1)*3)&lt;S427*0.3,IF(VLOOKUP(B422,INDIRECT($F$8),8+(O427-1)*3)&lt;U427*0.4,IF(AND(0.4*U427-VLOOKUP(B422,INDIRECT($F$8),8+(O427-1)*3)&lt;=5,0.3*S427-VLOOKUP(B422,INDIRECT($F$8),6+(O427-1)*3)&lt;=5),MAX(0.4*U427-VLOOKUP(B422,INDIRECT($F$8),8+(O427-1)*3),0.3*S427-VLOOKUP(B422,INDIRECT($F$8),6+(O427-1)*3)),11),IF(0.3*S427-VLOOKUP(B422,INDIRECT($F$8),6+(O427-1)*3)&lt;=5,0.3*S427-VLOOKUP(B422,INDIRECT($F$8),6+(O427-1)*3),11)),IF(VLOOKUP(B422,INDIRECT($F$8),8+(O427-1)*3)&lt;U427*0.4,IF(U427*0.4-VLOOKUP(B422,INDIRECT($F$8),8+(O427-1)*3)&lt;=5,U427*0.4-VLOOKUP(B422,INDIRECT($F$8),8+(O427-1)*3),11),0))))</f>
        <v>0</v>
      </c>
      <c r="X427" s="1" t="str">
        <f ca="1">IF(ISERROR(F422),"",IF(W427=0,"",_xlfn.TEXTJOIN("",FALSE," G+",W427," in ",A427)))</f>
        <v/>
      </c>
    </row>
    <row r="428" spans="1:24" ht="11.25" customHeight="1" x14ac:dyDescent="0.2">
      <c r="A428" s="7" t="str">
        <f ca="1">IF(ISERROR(F422),"",VLOOKUP(C422,INDIRECT($F$8),6+(O428-1)*3,0))</f>
        <v>CAT 005</v>
      </c>
      <c r="B428" s="41" t="str">
        <f ca="1">IF(ISERROR(F422),"",VLOOKUP(D422,INDIRECT($F$8),6+(O428-1)*3,0))</f>
        <v>Database Management System</v>
      </c>
      <c r="C428" s="41"/>
      <c r="D428" s="41"/>
      <c r="E428" s="41"/>
      <c r="F428" s="7">
        <f ca="1">IF(ISERROR(F422),"",VLOOKUP(E422,INDIRECT($F$8),6+(O428-1)*3,0))</f>
        <v>4</v>
      </c>
      <c r="G428" s="42" t="str">
        <f ca="1">IF(ISERROR(F422),"",_xlfn.TEXTJOIN("/",FALSE,P428,S428))</f>
        <v>71/100</v>
      </c>
      <c r="H428" s="42"/>
      <c r="I428" s="42" t="str">
        <f ca="1">IF(ISERROR(F422),"",_xlfn.TEXTJOIN("/",FALSE,Q428,T428))</f>
        <v>39/50</v>
      </c>
      <c r="J428" s="42"/>
      <c r="K428" s="42" t="str">
        <f ca="1">IF(ISERROR(F422),"",_xlfn.TEXTJOIN("/",FALSE,R428,U428))</f>
        <v>110/150</v>
      </c>
      <c r="L428" s="42"/>
      <c r="M428" s="7" t="str">
        <f ca="1">IF(ISERROR(F422),"",IF(ISTEXT(P428),IF(P428="A","Ab",IF(P428="D","Dt",IF(P428="UFM","UFM",IF(P428="NA","-")))),IF(AND(ISBLANK(P428),ISBLANK(R428)),"",IF(P428&lt;0.3*S428,"F",IF(ISBLANK(R428),"",IF(ISTEXT(R428),R428,IF(R428&gt;=0.95*U428,"O",IF(R428&gt;=0.9*U428,"A+",IF(R428&gt;=0.85*U428,"A",IF(R428&gt;=0.8*U428,"B+",IF(R428&gt;=0.75*U428,"B",IF(R428&gt;=0.7*U428,"C+",IF(R428&gt;=0.65*U428,"C",IF(R428&gt;=0.6*U428,"D+",IF(R428&gt;=0.55*U428,"D",IF(R428&gt;=0.5*U428,"E+",IF(R428&gt;=0.45*U428,"E",IF(R428&gt;=0.4*U428,"P",IF(R428&lt;0.4*U428,"F",R428)))))))))))))))))))</f>
        <v>C+</v>
      </c>
      <c r="N428" s="8">
        <f t="shared" ref="N428:N439" ca="1" si="36">INDEX($Z$2:$Z$18,MATCH(M428,$Y$2:$Y$18,0))</f>
        <v>7.5</v>
      </c>
      <c r="O428">
        <f>O427+1</f>
        <v>2</v>
      </c>
      <c r="P428" s="1">
        <f ca="1">IF(ISERROR(F422),"",IF(ISTEXT(VLOOKUP(B422,INDIRECT($F$8),6+(O428-1)*3)),(VLOOKUP(B422,INDIRECT($F$8),6+(O428-1)*3)),SUM(VLOOKUP(B422,INDIRECT($F$8),6+(O428-1)*3),IF(W441,W428,0))))</f>
        <v>71</v>
      </c>
      <c r="Q428" s="1">
        <f ca="1">IF(ISERROR(F422),"",VLOOKUP(B422,INDIRECT($F$8),7+(O428-1)*3))</f>
        <v>39</v>
      </c>
      <c r="R428" s="1">
        <f ca="1">IF(ISERROR(F422),"",SUM(P428:Q428))</f>
        <v>110</v>
      </c>
      <c r="S428" s="1">
        <f ca="1">IF(ISERROR(F422),"",VLOOKUP(A422,INDIRECT($F$8),6+(O428-1)*3))</f>
        <v>100</v>
      </c>
      <c r="T428" s="1">
        <f ca="1">IF(ISERROR(F422),"",VLOOKUP(A422,INDIRECT($F$8),7+(O428-1)*3))</f>
        <v>50</v>
      </c>
      <c r="U428" s="1">
        <f ca="1">IF(ISERROR(F422),"",VLOOKUP(A422,INDIRECT($F$8),8+(O428-1)*3))</f>
        <v>150</v>
      </c>
      <c r="V428" s="1" t="str">
        <f ca="1">IF(ISERROR(F422),"",IF(N428=0,A428,""))</f>
        <v/>
      </c>
      <c r="W428" s="1">
        <f ca="1">IF(ISERROR(F422),"",IF(ISTEXT(VLOOKUP(B422,INDIRECT($F$8),6+(O428-1)*3)),11,IF(VLOOKUP(B422,INDIRECT($F$8),6+(O428-1)*3)&lt;S428*0.3,IF(VLOOKUP(B422,INDIRECT($F$8),8+(O428-1)*3)&lt;U428*0.4,IF(AND(0.4*U428-VLOOKUP(B422,INDIRECT($F$8),8+(O428-1)*3)&lt;=5,0.3*S428-VLOOKUP(B422,INDIRECT($F$8),6+(O428-1)*3)&lt;=5),MAX(0.4*U428-VLOOKUP(B422,INDIRECT($F$8),8+(O428-1)*3),0.3*S428-VLOOKUP(B422,INDIRECT($F$8),6+(O428-1)*3)),11),IF(0.3*S428-VLOOKUP(B422,INDIRECT($F$8),6+(O428-1)*3)&lt;=5,0.3*S428-VLOOKUP(B422,INDIRECT($F$8),6+(O428-1)*3),11)),IF(VLOOKUP(B422,INDIRECT($F$8),8+(O428-1)*3)&lt;U428*0.4,IF(U428*0.4-VLOOKUP(B422,INDIRECT($F$8),8+(O428-1)*3)&lt;=5,U428*0.4-VLOOKUP(B422,INDIRECT($F$8),8+(O428-1)*3),11),0))))</f>
        <v>0</v>
      </c>
      <c r="X428" s="1" t="str">
        <f ca="1">IF(ISERROR(F422),"",IF(W428=0,"",_xlfn.TEXTJOIN("",FALSE," G+",W428," in ",A428)))</f>
        <v/>
      </c>
    </row>
    <row r="429" spans="1:24" ht="11.25" customHeight="1" x14ac:dyDescent="0.2">
      <c r="A429" s="7" t="str">
        <f ca="1">IF(ISERROR(F422),"",VLOOKUP(C422,INDIRECT($F$8),6+(O429-1)*3,0))</f>
        <v>CAT 006</v>
      </c>
      <c r="B429" s="41" t="str">
        <f ca="1">IF(ISERROR(F422),"",VLOOKUP(D422,INDIRECT($F$8),6+(O429-1)*3,0))</f>
        <v>Operating System</v>
      </c>
      <c r="C429" s="41"/>
      <c r="D429" s="41"/>
      <c r="E429" s="41"/>
      <c r="F429" s="7">
        <f ca="1">IF(ISERROR(F422),"",VLOOKUP(E422,INDIRECT($F$8),6+(O429-1)*3,0))</f>
        <v>4</v>
      </c>
      <c r="G429" s="42" t="str">
        <f ca="1">IF(ISERROR(F422),"",_xlfn.TEXTJOIN("/",FALSE,P429,S429))</f>
        <v>72/100</v>
      </c>
      <c r="H429" s="42"/>
      <c r="I429" s="42" t="str">
        <f ca="1">IF(ISERROR(F422),"",_xlfn.TEXTJOIN("/",FALSE,Q429,T429))</f>
        <v>39/50</v>
      </c>
      <c r="J429" s="42"/>
      <c r="K429" s="42" t="str">
        <f ca="1">IF(ISERROR(F422),"",_xlfn.TEXTJOIN("/",FALSE,R429,U429))</f>
        <v>111/150</v>
      </c>
      <c r="L429" s="42"/>
      <c r="M429" s="7" t="str">
        <f ca="1">IF(ISERROR(F422),"",IF(ISTEXT(P429),IF(P429="A","Ab",IF(P429="D","Dt",IF(P429="UFM","UFM",IF(P429="NA","-")))),IF(AND(ISBLANK(P429),ISBLANK(R429)),"",IF(P429&lt;0.3*S429,"F",IF(ISBLANK(R429),"",IF(ISTEXT(R429),R429,IF(R429&gt;=0.95*U429,"O",IF(R429&gt;=0.9*U429,"A+",IF(R429&gt;=0.85*U429,"A",IF(R429&gt;=0.8*U429,"B+",IF(R429&gt;=0.75*U429,"B",IF(R429&gt;=0.7*U429,"C+",IF(R429&gt;=0.65*U429,"C",IF(R429&gt;=0.6*U429,"D+",IF(R429&gt;=0.55*U429,"D",IF(R429&gt;=0.5*U429,"E+",IF(R429&gt;=0.45*U429,"E",IF(R429&gt;=0.4*U429,"P",IF(R429&lt;0.4*U429,"F",R429)))))))))))))))))))</f>
        <v>C+</v>
      </c>
      <c r="N429" s="8">
        <f t="shared" ca="1" si="36"/>
        <v>7.5</v>
      </c>
      <c r="O429">
        <f>O428+1</f>
        <v>3</v>
      </c>
      <c r="P429" s="1">
        <f ca="1">IF(ISERROR(F422),"",IF(ISTEXT(VLOOKUP(B422,INDIRECT($F$8),6+(O429-1)*3)),(VLOOKUP(B422,INDIRECT($F$8),6+(O429-1)*3)),SUM(VLOOKUP(B422,INDIRECT($F$8),6+(O429-1)*3),IF(W441,W429,0))))</f>
        <v>72</v>
      </c>
      <c r="Q429" s="1">
        <f ca="1">IF(ISERROR(F422),"",VLOOKUP(B422,INDIRECT($F$8),7+(O429-1)*3))</f>
        <v>39</v>
      </c>
      <c r="R429" s="1">
        <f ca="1">IF(ISERROR(F422),"",SUM(P429:Q429))</f>
        <v>111</v>
      </c>
      <c r="S429" s="1">
        <f ca="1">IF(ISERROR(F422),"",VLOOKUP(A422,INDIRECT($F$8),6+(O429-1)*3))</f>
        <v>100</v>
      </c>
      <c r="T429" s="1">
        <f ca="1">IF(ISERROR(F422),"",VLOOKUP(A422,INDIRECT($F$8),7+(O429-1)*3))</f>
        <v>50</v>
      </c>
      <c r="U429" s="1">
        <f ca="1">IF(ISERROR(F422),"",VLOOKUP(A422,INDIRECT($F$8),8+(O429-1)*3))</f>
        <v>150</v>
      </c>
      <c r="V429" s="1" t="str">
        <f ca="1">IF(ISERROR(F422),"",IF(N429=0,A429,""))</f>
        <v/>
      </c>
      <c r="W429" s="1">
        <f ca="1">IF(ISERROR(F422),"",IF(ISTEXT(VLOOKUP(B422,INDIRECT($F$8),6+(O429-1)*3)),11,IF(VLOOKUP(B422,INDIRECT($F$8),6+(O429-1)*3)&lt;S429*0.3,IF(VLOOKUP(B422,INDIRECT($F$8),8+(O429-1)*3)&lt;U429*0.4,IF(AND(0.4*U429-VLOOKUP(B422,INDIRECT($F$8),8+(O429-1)*3)&lt;=5,0.3*S429-VLOOKUP(B422,INDIRECT($F$8),6+(O429-1)*3)&lt;=5),MAX(0.4*U429-VLOOKUP(B422,INDIRECT($F$8),8+(O429-1)*3),0.3*S429-VLOOKUP(B422,INDIRECT($F$8),6+(O429-1)*3)),11),IF(0.3*S429-VLOOKUP(B422,INDIRECT($F$8),6+(O429-1)*3)&lt;=5,0.3*S429-VLOOKUP(B422,INDIRECT($F$8),6+(O429-1)*3),11)),IF(VLOOKUP(B422,INDIRECT($F$8),8+(O429-1)*3)&lt;U429*0.4,IF(U429*0.4-VLOOKUP(B422,INDIRECT($F$8),8+(O429-1)*3)&lt;=5,U429*0.4-VLOOKUP(B422,INDIRECT($F$8),8+(O429-1)*3),11),0))))</f>
        <v>0</v>
      </c>
      <c r="X429" s="1" t="str">
        <f ca="1">IF(ISERROR(F422),"",IF(W429=0,"",_xlfn.TEXTJOIN("",FALSE," G+",W429," in ",A429)))</f>
        <v/>
      </c>
    </row>
    <row r="430" spans="1:24" ht="11.25" customHeight="1" x14ac:dyDescent="0.2">
      <c r="A430" s="7" t="str">
        <f ca="1">IF(ISERROR(F422),"",VLOOKUP(C422,INDIRECT($F$8),6+(O430-1)*3,0))</f>
        <v>CAT 007</v>
      </c>
      <c r="B430" s="41" t="str">
        <f ca="1">IF(ISERROR(F422),"",VLOOKUP(D422,INDIRECT($F$8),6+(O430-1)*3,0))</f>
        <v>Computer Organization</v>
      </c>
      <c r="C430" s="41"/>
      <c r="D430" s="41"/>
      <c r="E430" s="41"/>
      <c r="F430" s="7">
        <f ca="1">IF(ISERROR(F422),"",VLOOKUP(E422,INDIRECT($F$8),6+(O430-1)*3,0))</f>
        <v>4</v>
      </c>
      <c r="G430" s="42" t="str">
        <f ca="1">IF(ISERROR(F422),"",_xlfn.TEXTJOIN("/",FALSE,P430,S430))</f>
        <v>36/100</v>
      </c>
      <c r="H430" s="42"/>
      <c r="I430" s="42" t="str">
        <f ca="1">IF(ISERROR(F422),"",_xlfn.TEXTJOIN("/",FALSE,Q430,T430))</f>
        <v>44/50</v>
      </c>
      <c r="J430" s="42"/>
      <c r="K430" s="42" t="str">
        <f ca="1">IF(ISERROR(F422),"",_xlfn.TEXTJOIN("/",FALSE,R430,U430))</f>
        <v>80/150</v>
      </c>
      <c r="L430" s="42"/>
      <c r="M430" s="7" t="str">
        <f ca="1">IF(ISERROR(F422),"",IF(ISTEXT(P430),IF(P430="A","Ab",IF(P430="D","Dt",IF(P430="UFM","UFM",IF(P430="NA","-")))),IF(AND(ISBLANK(P430),ISBLANK(R430)),"",IF(P430&lt;0.3*S430,"F",IF(ISBLANK(R430),"",IF(ISTEXT(R430),R430,IF(R430&gt;=0.95*U430,"O",IF(R430&gt;=0.9*U430,"A+",IF(R430&gt;=0.85*U430,"A",IF(R430&gt;=0.8*U430,"B+",IF(R430&gt;=0.75*U430,"B",IF(R430&gt;=0.7*U430,"C+",IF(R430&gt;=0.65*U430,"C",IF(R430&gt;=0.6*U430,"D+",IF(R430&gt;=0.55*U430,"D",IF(R430&gt;=0.5*U430,"E+",IF(R430&gt;=0.45*U430,"E",IF(R430&gt;=0.4*U430,"P",IF(R430&lt;0.4*U430,"F",R430)))))))))))))))))))</f>
        <v>E+</v>
      </c>
      <c r="N430" s="8">
        <f t="shared" ca="1" si="36"/>
        <v>5.5</v>
      </c>
      <c r="O430">
        <f>O429+1</f>
        <v>4</v>
      </c>
      <c r="P430" s="1">
        <f ca="1">IF(ISERROR(F422),"",IF(ISTEXT(VLOOKUP(B422,INDIRECT($F$8),6+(O430-1)*3)),(VLOOKUP(B422,INDIRECT($F$8),6+(O430-1)*3)),SUM(VLOOKUP(B422,INDIRECT($F$8),6+(O430-1)*3),IF(W441,W430,0))))</f>
        <v>36</v>
      </c>
      <c r="Q430" s="1">
        <f ca="1">IF(ISERROR(F422),"",VLOOKUP(B422,INDIRECT($F$8),7+(O430-1)*3))</f>
        <v>44</v>
      </c>
      <c r="R430" s="1">
        <f ca="1">IF(ISERROR(F422),"",SUM(P430:Q430))</f>
        <v>80</v>
      </c>
      <c r="S430" s="1">
        <f ca="1">IF(ISERROR(F422),"",VLOOKUP(A422,INDIRECT($F$8),6+(O430-1)*3))</f>
        <v>100</v>
      </c>
      <c r="T430" s="1">
        <f ca="1">IF(ISERROR(F422),"",VLOOKUP(A422,INDIRECT($F$8),7+(O430-1)*3))</f>
        <v>50</v>
      </c>
      <c r="U430" s="1">
        <f ca="1">IF(ISERROR(F422),"",VLOOKUP(A422,INDIRECT($F$8),8+(O430-1)*3))</f>
        <v>150</v>
      </c>
      <c r="V430" s="1" t="str">
        <f ca="1">IF(ISERROR(F422),"",IF(N430=0,A430,""))</f>
        <v/>
      </c>
      <c r="W430" s="1">
        <f ca="1">IF(ISERROR(F422),"",IF(ISTEXT(VLOOKUP(B422,INDIRECT($F$8),6+(O430-1)*3)),11,IF(VLOOKUP(B422,INDIRECT($F$8),6+(O430-1)*3)&lt;S430*0.3,IF(VLOOKUP(B422,INDIRECT($F$8),8+(O430-1)*3)&lt;U430*0.4,IF(AND(0.4*U430-VLOOKUP(B422,INDIRECT($F$8),8+(O430-1)*3)&lt;=5,0.3*S430-VLOOKUP(B422,INDIRECT($F$8),6+(O430-1)*3)&lt;=5),MAX(0.4*U430-VLOOKUP(B422,INDIRECT($F$8),8+(O430-1)*3),0.3*S430-VLOOKUP(B422,INDIRECT($F$8),6+(O430-1)*3)),11),IF(0.3*S430-VLOOKUP(B422,INDIRECT($F$8),6+(O430-1)*3)&lt;=5,0.3*S430-VLOOKUP(B422,INDIRECT($F$8),6+(O430-1)*3),11)),IF(VLOOKUP(B422,INDIRECT($F$8),8+(O430-1)*3)&lt;U430*0.4,IF(U430*0.4-VLOOKUP(B422,INDIRECT($F$8),8+(O430-1)*3)&lt;=5,U430*0.4-VLOOKUP(B422,INDIRECT($F$8),8+(O430-1)*3),11),0))))</f>
        <v>0</v>
      </c>
      <c r="X430" s="1" t="str">
        <f ca="1">IF(ISERROR(F422),"",IF(W430=0,"",_xlfn.TEXTJOIN("",FALSE," G+",W430," in ",A430)))</f>
        <v/>
      </c>
    </row>
    <row r="431" spans="1:24" ht="11.25" customHeight="1" x14ac:dyDescent="0.2">
      <c r="A431" s="7" t="str">
        <f ca="1">IF(ISERROR(F422),"",VLOOKUP(C422,INDIRECT($F$8),6+(O431-1)*3,0))</f>
        <v>AHT 303</v>
      </c>
      <c r="B431" s="41" t="str">
        <f ca="1">IF(ISERROR(F422),"",VLOOKUP(D422,INDIRECT($F$8),6+(O431-1)*3,0))</f>
        <v>Technical Communication Skills</v>
      </c>
      <c r="C431" s="41"/>
      <c r="D431" s="41"/>
      <c r="E431" s="41"/>
      <c r="F431" s="7">
        <f ca="1">IF(ISERROR(F422),"",VLOOKUP(E422,INDIRECT($F$8),6+(O431-1)*3,0))</f>
        <v>4</v>
      </c>
      <c r="G431" s="42" t="str">
        <f ca="1">IF(ISERROR(F422),"",_xlfn.TEXTJOIN("/",FALSE,P431,S431))</f>
        <v>92/100</v>
      </c>
      <c r="H431" s="42"/>
      <c r="I431" s="42" t="str">
        <f ca="1">IF(ISERROR(F422),"",_xlfn.TEXTJOIN("/",FALSE,Q431,T431))</f>
        <v>36/50</v>
      </c>
      <c r="J431" s="42"/>
      <c r="K431" s="42" t="str">
        <f ca="1">IF(ISERROR(F422),"",_xlfn.TEXTJOIN("/",FALSE,R431,U431))</f>
        <v>128/150</v>
      </c>
      <c r="L431" s="42"/>
      <c r="M431" s="7" t="str">
        <f ca="1">IF(ISERROR(F422),"",IF(ISTEXT(P431),IF(P431="A","Ab",IF(P431="D","Dt",IF(P431="UFM","UFM",IF(P431="NA","-")))),IF(AND(ISBLANK(P431),ISBLANK(R431)),"",IF(P431&lt;0.3*S431,"F",IF(ISBLANK(R431),"",IF(ISTEXT(R431),R431,IF(R431&gt;=0.95*U431,"O",IF(R431&gt;=0.9*U431,"A+",IF(R431&gt;=0.85*U431,"A",IF(R431&gt;=0.8*U431,"B+",IF(R431&gt;=0.75*U431,"B",IF(R431&gt;=0.7*U431,"C+",IF(R431&gt;=0.65*U431,"C",IF(R431&gt;=0.6*U431,"D+",IF(R431&gt;=0.55*U431,"D",IF(R431&gt;=0.5*U431,"E+",IF(R431&gt;=0.45*U431,"E",IF(R431&gt;=0.4*U431,"P",IF(R431&lt;0.4*U431,"F",R431)))))))))))))))))))</f>
        <v>A</v>
      </c>
      <c r="N431" s="8">
        <f t="shared" ca="1" si="36"/>
        <v>9</v>
      </c>
      <c r="O431">
        <f t="shared" ref="O431:O440" si="37">O430+1</f>
        <v>5</v>
      </c>
      <c r="P431" s="1">
        <f ca="1">IF(ISERROR(F422),"",IF(ISTEXT(VLOOKUP(B422,INDIRECT($F$8),6+(O431-1)*3)),(VLOOKUP(B422,INDIRECT($F$8),6+(O431-1)*3)),SUM(VLOOKUP(B422,INDIRECT($F$8),6+(O431-1)*3),IF(W441,W431,0))))</f>
        <v>92</v>
      </c>
      <c r="Q431" s="1">
        <f ca="1">IF(ISERROR(F422),"",VLOOKUP(B422,INDIRECT($F$8),7+(O431-1)*3))</f>
        <v>36</v>
      </c>
      <c r="R431" s="1">
        <f ca="1">IF(ISERROR(F422),"",SUM(P431:Q431))</f>
        <v>128</v>
      </c>
      <c r="S431" s="1">
        <f ca="1">IF(ISERROR(F422),"",VLOOKUP(A422,INDIRECT($F$8),6+(O431-1)*3))</f>
        <v>100</v>
      </c>
      <c r="T431" s="1">
        <f ca="1">IF(ISERROR(F422),"",VLOOKUP(A422,INDIRECT($F$8),7+(O431-1)*3))</f>
        <v>50</v>
      </c>
      <c r="U431" s="1">
        <f ca="1">IF(ISERROR(F422),"",VLOOKUP(A422,INDIRECT($F$8),8+(O431-1)*3))</f>
        <v>150</v>
      </c>
      <c r="V431" s="1" t="str">
        <f ca="1">IF(ISERROR(F422),"",IF(N431=0,A431,""))</f>
        <v/>
      </c>
      <c r="W431" s="1">
        <f ca="1">IF(ISERROR(F422),"",IF(ISTEXT(VLOOKUP(B422,INDIRECT($F$8),6+(O431-1)*3)),11,IF(VLOOKUP(B422,INDIRECT($F$8),6+(O431-1)*3)&lt;S431*0.3,IF(VLOOKUP(B422,INDIRECT($F$8),8+(O431-1)*3)&lt;U431*0.4,IF(AND(0.4*U431-VLOOKUP(B422,INDIRECT($F$8),8+(O431-1)*3)&lt;=5,0.3*S431-VLOOKUP(B422,INDIRECT($F$8),6+(O431-1)*3)&lt;=5),MAX(0.4*U431-VLOOKUP(B422,INDIRECT($F$8),8+(O431-1)*3),0.3*S431-VLOOKUP(B422,INDIRECT($F$8),6+(O431-1)*3)),11),IF(0.3*S431-VLOOKUP(B422,INDIRECT($F$8),6+(O431-1)*3)&lt;=5,0.3*S431-VLOOKUP(B422,INDIRECT($F$8),6+(O431-1)*3),11)),IF(VLOOKUP(B422,INDIRECT($F$8),8+(O431-1)*3)&lt;U431*0.4,IF(U431*0.4-VLOOKUP(B422,INDIRECT($F$8),8+(O431-1)*3)&lt;=5,U431*0.4-VLOOKUP(B422,INDIRECT($F$8),8+(O431-1)*3),11),0))))</f>
        <v>0</v>
      </c>
      <c r="X431" s="1" t="str">
        <f ca="1">IF(ISERROR(F422),"",IF(W431=0,"",_xlfn.TEXTJOIN("",FALSE," G+",W431," in ",A431)))</f>
        <v/>
      </c>
    </row>
    <row r="432" spans="1:24" ht="11.25" customHeight="1" x14ac:dyDescent="0.2">
      <c r="A432" s="7" t="str">
        <f ca="1">IF(ISERROR(F422),"",VLOOKUP(C422,INDIRECT($F$8),6+(O432-1)*3,0))</f>
        <v>CAT 008</v>
      </c>
      <c r="B432" s="41" t="str">
        <f ca="1">IF(ISERROR(F422),"",VLOOKUP(D422,INDIRECT($F$8),6+(O432-1)*3,0))</f>
        <v>Python Programming ($)</v>
      </c>
      <c r="C432" s="41"/>
      <c r="D432" s="41"/>
      <c r="E432" s="41"/>
      <c r="F432" s="7">
        <f ca="1">IF(ISERROR(F422),"",VLOOKUP(E422,INDIRECT($F$8),6+(O432-1)*3,0))</f>
        <v>0</v>
      </c>
      <c r="G432" s="42" t="str">
        <f ca="1">IF(ISERROR(F422),"",_xlfn.TEXTJOIN("/",FALSE,P432,S432))</f>
        <v>18/30</v>
      </c>
      <c r="H432" s="42"/>
      <c r="I432" s="42" t="str">
        <f ca="1">IF(ISERROR(F422),"",_xlfn.TEXTJOIN("/",FALSE,Q432,T432))</f>
        <v>16/20</v>
      </c>
      <c r="J432" s="42"/>
      <c r="K432" s="42" t="str">
        <f ca="1">IF(ISERROR(F422),"",_xlfn.TEXTJOIN("/",FALSE,R432,U432))</f>
        <v>34/50</v>
      </c>
      <c r="L432" s="42"/>
      <c r="M432" s="7" t="str">
        <f ca="1">IF(ISERROR(F422),"",IF(ISTEXT(P432),IF(P432="A","Ab",IF(P432="D","Dt",IF(P432="UFM","UFM",IF(P432="NA","-")))),IF(AND(ISBLANK(P432),ISBLANK(R432)),"",IF(P432&lt;0.3*S432,"F",IF(ISBLANK(R432),"",IF(ISTEXT(R432),R432,IF(R432&gt;=0.95*U432,"O",IF(R432&gt;=0.9*U432,"A+",IF(R432&gt;=0.85*U432,"A",IF(R432&gt;=0.8*U432,"B+",IF(R432&gt;=0.75*U432,"B",IF(R432&gt;=0.7*U432,"C+",IF(R432&gt;=0.65*U432,"C",IF(R432&gt;=0.6*U432,"D+",IF(R432&gt;=0.55*U432,"D",IF(R432&gt;=0.5*U432,"E+",IF(R432&gt;=0.45*U432,"E",IF(R432&gt;=0.4*U432,"P",IF(R432&lt;0.4*U432,"F",R432)))))))))))))))))))</f>
        <v>C</v>
      </c>
      <c r="N432" s="8">
        <f t="shared" ca="1" si="36"/>
        <v>7</v>
      </c>
      <c r="O432">
        <f t="shared" si="37"/>
        <v>6</v>
      </c>
      <c r="P432" s="1">
        <f ca="1">IF(ISERROR(F422),"",IF(ISTEXT(VLOOKUP(B422,INDIRECT($F$8),6+(O432-1)*3)),(VLOOKUP(B422,INDIRECT($F$8),6+(O432-1)*3)),SUM(VLOOKUP(B422,INDIRECT($F$8),6+(O432-1)*3),IF(W441,W432,0))))</f>
        <v>18</v>
      </c>
      <c r="Q432" s="1">
        <f ca="1">IF(ISERROR(F422),"",VLOOKUP(B422,INDIRECT($F$8),7+(O432-1)*3))</f>
        <v>16</v>
      </c>
      <c r="R432" s="1">
        <f ca="1">IF(ISERROR(F422),"",SUM(P432:Q432))</f>
        <v>34</v>
      </c>
      <c r="S432" s="1">
        <f ca="1">IF(ISERROR(F422),"",VLOOKUP(A422,INDIRECT($F$8),6+(O432-1)*3))</f>
        <v>30</v>
      </c>
      <c r="T432" s="1">
        <f ca="1">IF(ISERROR(F422),"",VLOOKUP(A422,INDIRECT($F$8),7+(O432-1)*3))</f>
        <v>20</v>
      </c>
      <c r="U432" s="1">
        <f ca="1">IF(ISERROR(F422),"",VLOOKUP(A422,INDIRECT($F$8),8+(O432-1)*3))</f>
        <v>50</v>
      </c>
      <c r="V432" s="1" t="str">
        <f ca="1">IF(ISERROR(F422),"",IF(N432=0,A432,""))</f>
        <v/>
      </c>
      <c r="W432" s="1">
        <f ca="1">IF(ISERROR(F422),"",IF(ISTEXT(VLOOKUP(B422,INDIRECT($F$8),6+(O432-1)*3)),11,IF(VLOOKUP(B422,INDIRECT($F$8),6+(O432-1)*3)&lt;S432*0.3,IF(VLOOKUP(B422,INDIRECT($F$8),8+(O432-1)*3)&lt;U432*0.4,IF(AND(0.4*U432-VLOOKUP(B422,INDIRECT($F$8),8+(O432-1)*3)&lt;=5,0.3*S432-VLOOKUP(B422,INDIRECT($F$8),6+(O432-1)*3)&lt;=5),MAX(0.4*U432-VLOOKUP(B422,INDIRECT($F$8),8+(O432-1)*3),0.3*S432-VLOOKUP(B422,INDIRECT($F$8),6+(O432-1)*3)),11),IF(0.3*S432-VLOOKUP(B422,INDIRECT($F$8),6+(O432-1)*3)&lt;=5,0.3*S432-VLOOKUP(B422,INDIRECT($F$8),6+(O432-1)*3),11)),IF(VLOOKUP(B422,INDIRECT($F$8),8+(O432-1)*3)&lt;U432*0.4,IF(U432*0.4-VLOOKUP(B422,INDIRECT($F$8),8+(O432-1)*3)&lt;=5,U432*0.4-VLOOKUP(B422,INDIRECT($F$8),8+(O432-1)*3),11),0))))</f>
        <v>0</v>
      </c>
      <c r="X432" s="1" t="str">
        <f ca="1">IF(ISERROR(F422),"",IF(W432=0,"",_xlfn.TEXTJOIN("",FALSE," G+",W432," in ",A432)))</f>
        <v/>
      </c>
    </row>
    <row r="433" spans="1:24" ht="11.25" customHeight="1" x14ac:dyDescent="0.2">
      <c r="A433" s="7" t="str">
        <f ca="1">IF(ISERROR(F422),"",VLOOKUP(C422,INDIRECT($F$8),6+(O433-1)*3,0))</f>
        <v>CAT 001</v>
      </c>
      <c r="B433" s="41" t="str">
        <f ca="1">IF(ISERROR(F422),"",VLOOKUP(D422,INDIRECT($F$8),6+(O433-1)*3,0))</f>
        <v>Introduction of Information Technology ($)</v>
      </c>
      <c r="C433" s="41"/>
      <c r="D433" s="41"/>
      <c r="E433" s="41"/>
      <c r="F433" s="7">
        <f ca="1">IF(ISERROR(F422),"",VLOOKUP(E422,INDIRECT($F$8),6+(O433-1)*3,0))</f>
        <v>0</v>
      </c>
      <c r="G433" s="42" t="str">
        <f ca="1">IF(ISERROR(F422),"",_xlfn.TEXTJOIN("/",FALSE,P433,S433))</f>
        <v>NA/30</v>
      </c>
      <c r="H433" s="42"/>
      <c r="I433" s="42" t="str">
        <f ca="1">IF(ISERROR(F422),"",_xlfn.TEXTJOIN("/",FALSE,Q433,T433))</f>
        <v>NA/20</v>
      </c>
      <c r="J433" s="42"/>
      <c r="K433" s="42" t="str">
        <f ca="1">IF(ISERROR(F422),"",_xlfn.TEXTJOIN("/",FALSE,R433,U433))</f>
        <v>0/50</v>
      </c>
      <c r="L433" s="42"/>
      <c r="M433" s="7" t="str">
        <f ca="1">IF(ISERROR(F422),"",IF(ISTEXT(P433),IF(P433="A","Ab",IF(P433="D","Dt",IF(P433="UFM","UFM",IF(P433="NA","-")))),IF(AND(ISBLANK(P433),ISBLANK(R433)),"",IF(P433&lt;0.3*S433,"F",IF(ISBLANK(R433),"",IF(ISTEXT(R433),R433,IF(R433&gt;=0.95*U433,"O",IF(R433&gt;=0.9*U433,"A+",IF(R433&gt;=0.85*U433,"A",IF(R433&gt;=0.8*U433,"B+",IF(R433&gt;=0.75*U433,"B",IF(R433&gt;=0.7*U433,"C+",IF(R433&gt;=0.65*U433,"C",IF(R433&gt;=0.6*U433,"D+",IF(R433&gt;=0.55*U433,"D",IF(R433&gt;=0.5*U433,"E+",IF(R433&gt;=0.45*U433,"E",IF(R433&gt;=0.4*U433,"P",IF(R433&lt;0.4*U433,"F",R433)))))))))))))))))))</f>
        <v>-</v>
      </c>
      <c r="N433" s="8" t="str">
        <f t="shared" ca="1" si="36"/>
        <v>-</v>
      </c>
      <c r="O433">
        <f t="shared" si="37"/>
        <v>7</v>
      </c>
      <c r="P433" s="1" t="str">
        <f ca="1">IF(ISERROR(F422),"",IF(ISTEXT(VLOOKUP(B422,INDIRECT($F$8),6+(O433-1)*3)),(VLOOKUP(B422,INDIRECT($F$8),6+(O433-1)*3)),SUM(VLOOKUP(B422,INDIRECT($F$8),6+(O433-1)*3),IF(W441,W433,0))))</f>
        <v>NA</v>
      </c>
      <c r="Q433" s="1" t="str">
        <f ca="1">IF(ISERROR(F422),"",VLOOKUP(B422,INDIRECT($F$8),7+(O433-1)*3))</f>
        <v>NA</v>
      </c>
      <c r="R433" s="1">
        <f ca="1">IF(ISERROR(F422),"",SUM(P433:Q433))</f>
        <v>0</v>
      </c>
      <c r="S433" s="1">
        <f ca="1">IF(ISERROR(F422),"",VLOOKUP(A422,INDIRECT($F$8),6+(O433-1)*3))</f>
        <v>30</v>
      </c>
      <c r="T433" s="1">
        <f ca="1">IF(ISERROR(F422),"",VLOOKUP(A422,INDIRECT($F$8),7+(O433-1)*3))</f>
        <v>20</v>
      </c>
      <c r="U433" s="1">
        <f ca="1">IF(ISERROR(F422),"",VLOOKUP(A422,INDIRECT($F$8),8+(O433-1)*3))</f>
        <v>50</v>
      </c>
      <c r="V433" s="1" t="str">
        <f ca="1">IF(ISERROR(F422),"",IF(N433=0,A433,""))</f>
        <v/>
      </c>
      <c r="W433" s="1">
        <f ca="1">IF(ISERROR(F422),"",IF(ISTEXT(VLOOKUP(B422,INDIRECT($F$8),6+(O433-1)*3)),11,IF(VLOOKUP(B422,INDIRECT($F$8),6+(O433-1)*3)&lt;S433*0.3,IF(VLOOKUP(B422,INDIRECT($F$8),8+(O433-1)*3)&lt;U433*0.4,IF(AND(0.4*U433-VLOOKUP(B422,INDIRECT($F$8),8+(O433-1)*3)&lt;=5,0.3*S433-VLOOKUP(B422,INDIRECT($F$8),6+(O433-1)*3)&lt;=5),MAX(0.4*U433-VLOOKUP(B422,INDIRECT($F$8),8+(O433-1)*3),0.3*S433-VLOOKUP(B422,INDIRECT($F$8),6+(O433-1)*3)),11),IF(0.3*S433-VLOOKUP(B422,INDIRECT($F$8),6+(O433-1)*3)&lt;=5,0.3*S433-VLOOKUP(B422,INDIRECT($F$8),6+(O433-1)*3),11)),IF(VLOOKUP(B422,INDIRECT($F$8),8+(O433-1)*3)&lt;U433*0.4,IF(U433*0.4-VLOOKUP(B422,INDIRECT($F$8),8+(O433-1)*3)&lt;=5,U433*0.4-VLOOKUP(B422,INDIRECT($F$8),8+(O433-1)*3),11),0))))</f>
        <v>11</v>
      </c>
      <c r="X433" s="1" t="str">
        <f ca="1">IF(ISERROR(F422),"",IF(W433=0,"",_xlfn.TEXTJOIN("",FALSE," G+",W433," in ",A433)))</f>
        <v xml:space="preserve"> G+11 in CAT 001</v>
      </c>
    </row>
    <row r="434" spans="1:24" ht="11.25" customHeight="1" x14ac:dyDescent="0.2">
      <c r="A434" s="7" t="str">
        <f ca="1">IF(ISERROR(F422),"",VLOOKUP(C422,INDIRECT($F$8),6+(O434-1)*3,0))</f>
        <v>CAT 002</v>
      </c>
      <c r="B434" s="41" t="str">
        <f ca="1">IF(ISERROR(F422),"",VLOOKUP(D422,INDIRECT($F$8),6+(O434-1)*3,0))</f>
        <v>Programming Fundamentals with "C" ($)</v>
      </c>
      <c r="C434" s="41"/>
      <c r="D434" s="41"/>
      <c r="E434" s="41"/>
      <c r="F434" s="7">
        <f ca="1">IF(ISERROR(F422),"",VLOOKUP(E422,INDIRECT($F$8),6+(O434-1)*3,0))</f>
        <v>0</v>
      </c>
      <c r="G434" s="42" t="str">
        <f ca="1">IF(ISERROR(F422),"",_xlfn.TEXTJOIN("/",FALSE,P434,S434))</f>
        <v>NA/30</v>
      </c>
      <c r="H434" s="42"/>
      <c r="I434" s="42" t="str">
        <f ca="1">IF(ISERROR(F422),"",_xlfn.TEXTJOIN("/",FALSE,Q434,T434))</f>
        <v>NA/20</v>
      </c>
      <c r="J434" s="42"/>
      <c r="K434" s="42" t="str">
        <f ca="1">IF(ISERROR(F422),"",_xlfn.TEXTJOIN("/",FALSE,R434,U434))</f>
        <v>0/50</v>
      </c>
      <c r="L434" s="42"/>
      <c r="M434" s="7" t="str">
        <f ca="1">IF(ISERROR(F422),"",IF(ISTEXT(P434),IF(P434="A","Ab",IF(P434="D","Dt",IF(P434="UFM","UFM",IF(P434="NA","-")))),IF(AND(ISBLANK(P434),ISBLANK(R434)),"",IF(P434&lt;0.3*S434,"F",IF(ISBLANK(R434),"",IF(ISTEXT(R434),R434,IF(R434&gt;=0.95*U434,"O",IF(R434&gt;=0.9*U434,"A+",IF(R434&gt;=0.85*U434,"A",IF(R434&gt;=0.8*U434,"B+",IF(R434&gt;=0.75*U434,"B",IF(R434&gt;=0.7*U434,"C+",IF(R434&gt;=0.65*U434,"C",IF(R434&gt;=0.6*U434,"D+",IF(R434&gt;=0.55*U434,"D",IF(R434&gt;=0.5*U434,"E+",IF(R434&gt;=0.45*U434,"E",IF(R434&gt;=0.4*U434,"P",IF(R434&lt;0.4*U434,"F",R434)))))))))))))))))))</f>
        <v>-</v>
      </c>
      <c r="N434" s="8" t="str">
        <f t="shared" ca="1" si="36"/>
        <v>-</v>
      </c>
      <c r="O434">
        <f t="shared" si="37"/>
        <v>8</v>
      </c>
      <c r="P434" s="1" t="str">
        <f ca="1">IF(ISERROR(F422),"",IF(ISTEXT(VLOOKUP(B422,INDIRECT($F$8),6+(O434-1)*3)),(VLOOKUP(B422,INDIRECT($F$8),6+(O434-1)*3)),SUM(VLOOKUP(B422,INDIRECT($F$8),6+(O434-1)*3),IF(W441,W434,0))))</f>
        <v>NA</v>
      </c>
      <c r="Q434" s="1" t="str">
        <f ca="1">IF(ISERROR(F422),"",VLOOKUP(B422,INDIRECT($F$8),7+(O434-1)*3))</f>
        <v>NA</v>
      </c>
      <c r="R434" s="1">
        <f ca="1">IF(ISERROR(F422),"",SUM(P434:Q434))</f>
        <v>0</v>
      </c>
      <c r="S434" s="1">
        <f ca="1">IF(ISERROR(F422),"",VLOOKUP(A422,INDIRECT($F$8),6+(O434-1)*3))</f>
        <v>30</v>
      </c>
      <c r="T434" s="1">
        <f ca="1">IF(ISERROR(F422),"",VLOOKUP(A422,INDIRECT($F$8),7+(O434-1)*3))</f>
        <v>20</v>
      </c>
      <c r="U434" s="1">
        <f ca="1">IF(ISERROR(F422),"",VLOOKUP(A422,INDIRECT($F$8),8+(O434-1)*3))</f>
        <v>50</v>
      </c>
      <c r="V434" s="1" t="str">
        <f ca="1">IF(ISERROR(F422),"",IF(N434=0,A434,""))</f>
        <v/>
      </c>
      <c r="W434" s="1">
        <f ca="1">IF(ISERROR(F422),"",IF(ISTEXT(VLOOKUP(B422,INDIRECT($F$8),6+(O434-1)*3)),11,IF(VLOOKUP(B422,INDIRECT($F$8),6+(O434-1)*3)&lt;S434*0.3,IF(VLOOKUP(B422,INDIRECT($F$8),8+(O434-1)*3)&lt;U434*0.4,IF(AND(0.4*U434-VLOOKUP(B422,INDIRECT($F$8),8+(O434-1)*3)&lt;=5,0.3*S434-VLOOKUP(B422,INDIRECT($F$8),6+(O434-1)*3)&lt;=5),MAX(0.4*U434-VLOOKUP(B422,INDIRECT($F$8),8+(O434-1)*3),0.3*S434-VLOOKUP(B422,INDIRECT($F$8),6+(O434-1)*3)),11),IF(0.3*S434-VLOOKUP(B422,INDIRECT($F$8),6+(O434-1)*3)&lt;=5,0.3*S434-VLOOKUP(B422,INDIRECT($F$8),6+(O434-1)*3),11)),IF(VLOOKUP(B422,INDIRECT($F$8),8+(O434-1)*3)&lt;U434*0.4,IF(U434*0.4-VLOOKUP(B422,INDIRECT($F$8),8+(O434-1)*3)&lt;=5,U434*0.4-VLOOKUP(B422,INDIRECT($F$8),8+(O434-1)*3),11),0))))</f>
        <v>11</v>
      </c>
      <c r="X434" s="1" t="str">
        <f ca="1">IF(ISERROR(F422),"",IF(W434=0,"",_xlfn.TEXTJOIN("",FALSE," G+",W434," in ",A434)))</f>
        <v xml:space="preserve"> G+11 in CAT 002</v>
      </c>
    </row>
    <row r="435" spans="1:24" ht="11.25" customHeight="1" x14ac:dyDescent="0.2">
      <c r="A435" s="7" t="str">
        <f ca="1">IF(ISERROR(F422),"",VLOOKUP(C422,INDIRECT($F$8),6+(O435-1)*3,0))</f>
        <v>CAT 003</v>
      </c>
      <c r="B435" s="41" t="str">
        <f ca="1">IF(ISERROR(F422),"",VLOOKUP(D422,INDIRECT($F$8),6+(O435-1)*3-Z435,0))</f>
        <v>Fundamental of Web Technology ($)</v>
      </c>
      <c r="C435" s="41"/>
      <c r="D435" s="41"/>
      <c r="E435" s="41"/>
      <c r="F435" s="7">
        <f ca="1">IF(ISERROR(F422),"",VLOOKUP(E422,INDIRECT($F$8),6+(O435-1)*3,0))</f>
        <v>0</v>
      </c>
      <c r="G435" s="42" t="str">
        <f ca="1">IF(ISERROR(F422),"",_xlfn.TEXTJOIN("/",FALSE,P435,S435))</f>
        <v>NA/30</v>
      </c>
      <c r="H435" s="42"/>
      <c r="I435" s="42" t="str">
        <f ca="1">IF(ISERROR(F422),"",_xlfn.TEXTJOIN("/",FALSE,Q435,T435))</f>
        <v>NA/20</v>
      </c>
      <c r="J435" s="42"/>
      <c r="K435" s="42" t="str">
        <f ca="1">IF(ISERROR(F422),"",_xlfn.TEXTJOIN("/",FALSE,R435,U435))</f>
        <v>0/50</v>
      </c>
      <c r="L435" s="42"/>
      <c r="M435" s="7" t="str">
        <f ca="1">IF(ISERROR(F422),"",IF(ISTEXT(P435),IF(P435="A","Ab",IF(P435="D","Dt",IF(P435="UFM","UFM",IF(P435="NA","-")))),IF(AND(ISBLANK(P435),ISBLANK(R435)),"",IF(P435&lt;0.3*S435,"F",IF(ISBLANK(R435),"",IF(ISTEXT(R435),R435,IF(R435&gt;=0.95*U435,"O",IF(R435&gt;=0.9*U435,"A+",IF(R435&gt;=0.85*U435,"A",IF(R435&gt;=0.8*U435,"B+",IF(R435&gt;=0.75*U435,"B",IF(R435&gt;=0.7*U435,"C+",IF(R435&gt;=0.65*U435,"C",IF(R435&gt;=0.6*U435,"D+",IF(R435&gt;=0.55*U435,"D",IF(R435&gt;=0.5*U435,"E+",IF(R435&gt;=0.45*U435,"E",IF(R435&gt;=0.4*U435,"P",IF(R435&lt;0.4*U435,"F",R435)))))))))))))))))))</f>
        <v>-</v>
      </c>
      <c r="N435" s="8" t="str">
        <f t="shared" ca="1" si="36"/>
        <v>-</v>
      </c>
      <c r="O435">
        <f t="shared" si="37"/>
        <v>9</v>
      </c>
      <c r="P435" s="1" t="str">
        <f ca="1">IF(ISERROR(F422),"",IF(ISTEXT(VLOOKUP(B422,INDIRECT($F$8),6+(O435-1)*3)),(VLOOKUP(B422,INDIRECT($F$8),6+(O435-1)*3)),SUM(VLOOKUP(B422,INDIRECT($F$8),6+(O435-1)*3),IF(W441,W435,0))))</f>
        <v>NA</v>
      </c>
      <c r="Q435" s="1" t="str">
        <f ca="1">IF(ISERROR(F422),"",VLOOKUP(B422,INDIRECT($F$8),7+(O435-1)*3))</f>
        <v>NA</v>
      </c>
      <c r="R435" s="1">
        <f ca="1">IF(ISERROR(F422),"",SUM(P435:Q435))</f>
        <v>0</v>
      </c>
      <c r="S435" s="1">
        <f ca="1">IF(ISERROR(F422),"",VLOOKUP(A422,INDIRECT($F$8),6+(O435-1)*3))</f>
        <v>30</v>
      </c>
      <c r="T435" s="1">
        <f ca="1">IF(ISERROR(F422),"",VLOOKUP(A422,INDIRECT($F$8),7+(O435-1)*3))</f>
        <v>20</v>
      </c>
      <c r="U435" s="1">
        <f ca="1">IF(ISERROR(F422),"",VLOOKUP(A422,INDIRECT($F$8),8+(O435-1)*3))</f>
        <v>50</v>
      </c>
      <c r="V435" s="1" t="str">
        <f ca="1">IF(ISERROR(F422),"",IF(N435=0,A435,""))</f>
        <v/>
      </c>
      <c r="W435" s="1">
        <f ca="1">IF(ISERROR(F422),"",IF(ISTEXT(VLOOKUP(B422,INDIRECT($F$8),6+(O435-1)*3)),11,IF(VLOOKUP(B422,INDIRECT($F$8),6+(O435-1)*3)&lt;S435*0.3,IF(VLOOKUP(B422,INDIRECT($F$8),8+(O435-1)*3)&lt;U435*0.4,IF(AND(0.4*U435-VLOOKUP(B422,INDIRECT($F$8),8+(O435-1)*3)&lt;=5,0.3*S435-VLOOKUP(B422,INDIRECT($F$8),6+(O435-1)*3)&lt;=5),MAX(0.4*U435-VLOOKUP(B422,INDIRECT($F$8),8+(O435-1)*3),0.3*S435-VLOOKUP(B422,INDIRECT($F$8),6+(O435-1)*3)),11),IF(0.3*S435-VLOOKUP(B422,INDIRECT($F$8),6+(O435-1)*3)&lt;=5,0.3*S435-VLOOKUP(B422,INDIRECT($F$8),6+(O435-1)*3),11)),IF(VLOOKUP(B422,INDIRECT($F$8),8+(O435-1)*3)&lt;U435*0.4,IF(U435*0.4-VLOOKUP(B422,INDIRECT($F$8),8+(O435-1)*3)&lt;=5,U435*0.4-VLOOKUP(B422,INDIRECT($F$8),8+(O435-1)*3),11),0))))</f>
        <v>11</v>
      </c>
      <c r="X435" s="1" t="str">
        <f ca="1">IF(ISERROR(F422),"",IF(W435=0,"",_xlfn.TEXTJOIN("",FALSE," G+",W435," in ",A435)))</f>
        <v xml:space="preserve"> G+11 in CAT 003</v>
      </c>
    </row>
    <row r="436" spans="1:24" ht="11.25" customHeight="1" x14ac:dyDescent="0.2">
      <c r="A436" s="7" t="str">
        <f ca="1">IF(ISERROR(F422),"",VLOOKUP(C422,INDIRECT($F$8),6+(O436-1)*3,0))</f>
        <v>CAP 001</v>
      </c>
      <c r="B436" s="41" t="str">
        <f ca="1">IF(ISERROR(F422),"",VLOOKUP(D422,INDIRECT($F$8),6+(O436-1)*3-Z436,0))</f>
        <v>Database Management System Lab</v>
      </c>
      <c r="C436" s="41"/>
      <c r="D436" s="41"/>
      <c r="E436" s="41"/>
      <c r="F436" s="7">
        <f ca="1">IF(ISERROR(F422),"",VLOOKUP(E422,INDIRECT($F$8),6+(O436-1)*3,0))</f>
        <v>1</v>
      </c>
      <c r="G436" s="42" t="str">
        <f ca="1">IF(ISERROR(F422),"",_xlfn.TEXTJOIN("/",FALSE,P436,S436))</f>
        <v>26/30</v>
      </c>
      <c r="H436" s="42"/>
      <c r="I436" s="42" t="str">
        <f ca="1">IF(ISERROR(F422),"",_xlfn.TEXTJOIN("/",FALSE,Q436,T436))</f>
        <v>17/20</v>
      </c>
      <c r="J436" s="42"/>
      <c r="K436" s="42" t="str">
        <f ca="1">IF(ISERROR(F422),"",_xlfn.TEXTJOIN("/",FALSE,R436,U436))</f>
        <v>43/50</v>
      </c>
      <c r="L436" s="42"/>
      <c r="M436" s="7" t="str">
        <f ca="1">IF(ISERROR(F422),"",IF(ISTEXT(P436),IF(P436="A","Ab",IF(P436="D","Dt",IF(P436="UFM","UFM",IF(P436="NA","-")))),IF(AND(ISBLANK(P436),ISBLANK(R436)),"",IF(P436&lt;0.3*S436,"F",IF(ISBLANK(R436),"",IF(ISTEXT(R436),R436,IF(R436&gt;=0.95*U436,"O",IF(R436&gt;=0.9*U436,"A+",IF(R436&gt;=0.85*U436,"A",IF(R436&gt;=0.8*U436,"B+",IF(R436&gt;=0.75*U436,"B",IF(R436&gt;=0.7*U436,"C+",IF(R436&gt;=0.65*U436,"C",IF(R436&gt;=0.6*U436,"D+",IF(R436&gt;=0.55*U436,"D",IF(R436&gt;=0.5*U436,"E+",IF(R436&gt;=0.45*U436,"E",IF(R436&gt;=0.4*U436,"P",IF(R436&lt;0.4*U436,"F",R436)))))))))))))))))))</f>
        <v>A</v>
      </c>
      <c r="N436" s="8">
        <f t="shared" ca="1" si="36"/>
        <v>9</v>
      </c>
      <c r="O436">
        <f t="shared" si="37"/>
        <v>10</v>
      </c>
      <c r="P436" s="1">
        <f ca="1">IF(ISERROR(F422),"",IF(ISTEXT(VLOOKUP(B422,INDIRECT($F$8),6+(O436-1)*3)),(VLOOKUP(B422,INDIRECT($F$8),6+(O436-1)*3)),SUM(VLOOKUP(B422,INDIRECT($F$8),6+(O436-1)*3),IF(W441,W436,0))))</f>
        <v>26</v>
      </c>
      <c r="Q436" s="1">
        <f ca="1">IF(ISERROR(F422),"",VLOOKUP(B422,INDIRECT($F$8),7+(O436-1)*3))</f>
        <v>17</v>
      </c>
      <c r="R436" s="1">
        <f ca="1">IF(ISERROR(F422),"",SUM(P436:Q436))</f>
        <v>43</v>
      </c>
      <c r="S436" s="1">
        <f ca="1">IF(ISERROR(F422),"",VLOOKUP(A422,INDIRECT($F$8),6+(O436-1)*3))</f>
        <v>30</v>
      </c>
      <c r="T436" s="1">
        <f ca="1">IF(ISERROR(F422),"",VLOOKUP(A422,INDIRECT($F$8),7+(O436-1)*3))</f>
        <v>20</v>
      </c>
      <c r="U436" s="1">
        <f ca="1">IF(ISERROR(F422),"",VLOOKUP(A422,INDIRECT($F$8),8+(O436-1)*3))</f>
        <v>50</v>
      </c>
      <c r="V436" s="1" t="str">
        <f ca="1">IF(ISERROR(F422),"",IF(N436=0,A436,""))</f>
        <v/>
      </c>
      <c r="W436" s="1">
        <f ca="1">IF(ISERROR(F422),"",IF(ISTEXT(VLOOKUP(B422,INDIRECT($F$8),6+(O436-1)*3)),11,IF(VLOOKUP(B422,INDIRECT($F$8),6+(O436-1)*3)&lt;S436*0.3,IF(VLOOKUP(B422,INDIRECT($F$8),8+(O436-1)*3)&lt;U436*0.4,IF(AND(0.4*U436-VLOOKUP(B422,INDIRECT($F$8),8+(O436-1)*3)&lt;=5,0.3*S436-VLOOKUP(B422,INDIRECT($F$8),6+(O436-1)*3)&lt;=5),MAX(0.4*U436-VLOOKUP(B422,INDIRECT($F$8),8+(O436-1)*3),0.3*S436-VLOOKUP(B422,INDIRECT($F$8),6+(O436-1)*3)),11),IF(0.3*S436-VLOOKUP(B422,INDIRECT($F$8),6+(O436-1)*3)&lt;=5,0.3*S436-VLOOKUP(B422,INDIRECT($F$8),6+(O436-1)*3),11)),IF(VLOOKUP(B422,INDIRECT($F$8),8+(O436-1)*3)&lt;U436*0.4,IF(U436*0.4-VLOOKUP(B422,INDIRECT($F$8),8+(O436-1)*3)&lt;=5,U436*0.4-VLOOKUP(B422,INDIRECT($F$8),8+(O436-1)*3),11),0))))</f>
        <v>0</v>
      </c>
      <c r="X436" s="1" t="str">
        <f ca="1">IF(ISERROR(F422),"",IF(W436=0,"",_xlfn.TEXTJOIN("",FALSE," G+",W436," in ",A436)))</f>
        <v/>
      </c>
    </row>
    <row r="437" spans="1:24" ht="11.25" customHeight="1" x14ac:dyDescent="0.2">
      <c r="A437" s="7" t="str">
        <f ca="1">IF(ISERROR(F422),"",VLOOKUP(C422,INDIRECT($F$8),6+(O437-1)*3,0))</f>
        <v>CAP 002</v>
      </c>
      <c r="B437" s="41" t="str">
        <f ca="1">IF(ISERROR(F422),"",VLOOKUP(D422,INDIRECT($F$8),6+(O437-1)*3,0))</f>
        <v>Operating System Lab</v>
      </c>
      <c r="C437" s="41"/>
      <c r="D437" s="41"/>
      <c r="E437" s="41"/>
      <c r="F437" s="7">
        <f ca="1">IF(ISERROR(F422),"",VLOOKUP(E422,INDIRECT($F$8),6+(O437-1)*3,0))</f>
        <v>1</v>
      </c>
      <c r="G437" s="42" t="str">
        <f ca="1">IF(ISERROR(F422),"",_xlfn.TEXTJOIN("/",FALSE,P437,S437))</f>
        <v>24/30</v>
      </c>
      <c r="H437" s="42"/>
      <c r="I437" s="42" t="str">
        <f ca="1">IF(ISERROR(F422),"",_xlfn.TEXTJOIN("/",FALSE,Q437,T437))</f>
        <v>16/20</v>
      </c>
      <c r="J437" s="42"/>
      <c r="K437" s="42" t="str">
        <f ca="1">IF(ISERROR(F422),"",_xlfn.TEXTJOIN("/",FALSE,R437,U437))</f>
        <v>40/50</v>
      </c>
      <c r="L437" s="42"/>
      <c r="M437" s="7" t="str">
        <f ca="1">IF(ISERROR(F422),"",IF(ISTEXT(P437),IF(P437="A","Ab",IF(P437="D","Dt",IF(P437="UFM","UFM",IF(P437="NA","-")))),IF(AND(ISBLANK(P437),ISBLANK(R437)),"",IF(P437&lt;0.3*S437,"F",IF(ISBLANK(R437),"",IF(ISTEXT(R437),R437,IF(R437&gt;=0.95*U437,"O",IF(R437&gt;=0.9*U437,"A+",IF(R437&gt;=0.85*U437,"A",IF(R437&gt;=0.8*U437,"B+",IF(R437&gt;=0.75*U437,"B",IF(R437&gt;=0.7*U437,"C+",IF(R437&gt;=0.65*U437,"C",IF(R437&gt;=0.6*U437,"D+",IF(R437&gt;=0.55*U437,"D",IF(R437&gt;=0.5*U437,"E+",IF(R437&gt;=0.45*U437,"E",IF(R437&gt;=0.4*U437,"P",IF(R437&lt;0.4*U437,"F",R437)))))))))))))))))))</f>
        <v>B+</v>
      </c>
      <c r="N437" s="8">
        <f t="shared" ca="1" si="36"/>
        <v>8.5</v>
      </c>
      <c r="O437">
        <f t="shared" si="37"/>
        <v>11</v>
      </c>
      <c r="P437" s="1">
        <f ca="1">IF(ISERROR(F422),"",IF(ISTEXT(VLOOKUP(B422,INDIRECT($F$8),6+(O437-1)*3)),(VLOOKUP(B422,INDIRECT($F$8),6+(O437-1)*3)),SUM(VLOOKUP(B422,INDIRECT($F$8),6+(O437-1)*3),IF(W441,W437,0))))</f>
        <v>24</v>
      </c>
      <c r="Q437" s="1">
        <f ca="1">IF(ISERROR(F422),"",VLOOKUP(B422,INDIRECT($F$8),7+(O437-1)*3))</f>
        <v>16</v>
      </c>
      <c r="R437" s="1">
        <f ca="1">IF(ISERROR(F422),"",SUM(P437:Q437))</f>
        <v>40</v>
      </c>
      <c r="S437" s="1">
        <f ca="1">IF(ISERROR(F422),"",VLOOKUP(A422,INDIRECT($F$8),6+(O437-1)*3))</f>
        <v>30</v>
      </c>
      <c r="T437" s="1">
        <f ca="1">IF(ISERROR(F422),"",VLOOKUP(A422,INDIRECT($F$8),7+(O437-1)*3))</f>
        <v>20</v>
      </c>
      <c r="U437" s="1">
        <f ca="1">IF(ISERROR(F422),"",VLOOKUP(A422,INDIRECT($F$8),8+(O437-1)*3))</f>
        <v>50</v>
      </c>
      <c r="V437" s="1" t="str">
        <f ca="1">IF(ISERROR(F422),"",IF(N437=0,A437,""))</f>
        <v/>
      </c>
      <c r="W437" s="1">
        <f ca="1">IF(ISERROR(F422),"",IF(ISTEXT(VLOOKUP(B422,INDIRECT($F$8),6+(O437-1)*3)),11,IF(VLOOKUP(B422,INDIRECT($F$8),6+(O437-1)*3)&lt;S437*0.3,IF(VLOOKUP(B422,INDIRECT($F$8),8+(O437-1)*3)&lt;U437*0.4,IF(AND(0.4*U437-VLOOKUP(B422,INDIRECT($F$8),8+(O437-1)*3)&lt;=5,0.3*S437-VLOOKUP(B422,INDIRECT($F$8),6+(O437-1)*3)&lt;=5),MAX(0.4*U437-VLOOKUP(B422,INDIRECT($F$8),8+(O437-1)*3),0.3*S437-VLOOKUP(B422,INDIRECT($F$8),6+(O437-1)*3)),11),IF(0.3*S437-VLOOKUP(B422,INDIRECT($F$8),6+(O437-1)*3)&lt;=5,0.3*S437-VLOOKUP(B422,INDIRECT($F$8),6+(O437-1)*3),11)),IF(VLOOKUP(B422,INDIRECT($F$8),8+(O437-1)*3)&lt;U437*0.4,IF(U437*0.4-VLOOKUP(B422,INDIRECT($F$8),8+(O437-1)*3)&lt;=5,U437*0.4-VLOOKUP(B422,INDIRECT($F$8),8+(O437-1)*3),11),0))))</f>
        <v>0</v>
      </c>
      <c r="X437" s="1" t="str">
        <f ca="1">IF(ISERROR(F422),"",IF(W437=0,"",_xlfn.TEXTJOIN("",FALSE," G+",W437," in ",A437)))</f>
        <v/>
      </c>
    </row>
    <row r="438" spans="1:24" ht="11.25" customHeight="1" x14ac:dyDescent="0.2">
      <c r="A438" s="7" t="str">
        <f ca="1">IF(ISERROR(F422),"",VLOOKUP(C422,INDIRECT($F$8),6+(O438-1)*3,0))</f>
        <v>CAP 003</v>
      </c>
      <c r="B438" s="41" t="str">
        <f ca="1">IF(ISERROR(F422),"",VLOOKUP(D422,INDIRECT($F$8),6+(O438-1)*3,0))</f>
        <v>Computer Organization Lab</v>
      </c>
      <c r="C438" s="41"/>
      <c r="D438" s="41"/>
      <c r="E438" s="41"/>
      <c r="F438" s="7">
        <f ca="1">IF(ISERROR(F422),"",VLOOKUP(E422,INDIRECT($F$8),6+(O438-1)*3,0))</f>
        <v>1</v>
      </c>
      <c r="G438" s="42" t="str">
        <f ca="1">IF(ISERROR(F422),"",_xlfn.TEXTJOIN("/",FALSE,P438,S438))</f>
        <v>28/30</v>
      </c>
      <c r="H438" s="42"/>
      <c r="I438" s="42" t="str">
        <f ca="1">IF(ISERROR(F422),"",_xlfn.TEXTJOIN("/",FALSE,Q438,T438))</f>
        <v>19/20</v>
      </c>
      <c r="J438" s="42"/>
      <c r="K438" s="42" t="str">
        <f ca="1">IF(ISERROR(F422),"",_xlfn.TEXTJOIN("/",FALSE,R438,U438))</f>
        <v>47/50</v>
      </c>
      <c r="L438" s="42"/>
      <c r="M438" s="7" t="str">
        <f ca="1">IF(ISERROR(F422),"",IF(ISTEXT(P438),IF(P438="A","Ab",IF(P438="D","Dt",IF(P438="UFM","UFM",IF(P438="NA","-")))),IF(AND(ISBLANK(P438),ISBLANK(R438)),"",IF(P438&lt;0.3*S438,"F",IF(ISBLANK(R438),"",IF(ISTEXT(R438),R438,IF(R438&gt;=0.95*U438,"O",IF(R438&gt;=0.9*U438,"A+",IF(R438&gt;=0.85*U438,"A",IF(R438&gt;=0.8*U438,"B+",IF(R438&gt;=0.75*U438,"B",IF(R438&gt;=0.7*U438,"C+",IF(R438&gt;=0.65*U438,"C",IF(R438&gt;=0.6*U438,"D+",IF(R438&gt;=0.55*U438,"D",IF(R438&gt;=0.5*U438,"E+",IF(R438&gt;=0.45*U438,"E",IF(R438&gt;=0.4*U438,"P",IF(R438&lt;0.4*U438,"F",R438)))))))))))))))))))</f>
        <v>A+</v>
      </c>
      <c r="N438" s="8">
        <f t="shared" ca="1" si="36"/>
        <v>9.5</v>
      </c>
      <c r="O438">
        <f t="shared" si="37"/>
        <v>12</v>
      </c>
      <c r="P438" s="1">
        <f ca="1">IF(ISERROR(F422),"",IF(ISTEXT(VLOOKUP(B422,INDIRECT($F$8),6+(O438-1)*3)),(VLOOKUP(B422,INDIRECT($F$8),6+(O438-1)*3)),SUM(VLOOKUP(B422,INDIRECT($F$8),6+(O438-1)*3),IF(W441,W438,0))))</f>
        <v>28</v>
      </c>
      <c r="Q438" s="1">
        <f ca="1">IF(ISERROR(F422),"",VLOOKUP(B422,INDIRECT($F$8),7+(O438-1)*3))</f>
        <v>19</v>
      </c>
      <c r="R438" s="1">
        <f ca="1">IF(ISERROR(F422),"",SUM(P438:Q438))</f>
        <v>47</v>
      </c>
      <c r="S438" s="1">
        <f ca="1">IF(ISERROR(F422),"",VLOOKUP(A422,INDIRECT($F$8),6+(O438-1)*3))</f>
        <v>30</v>
      </c>
      <c r="T438" s="1">
        <f ca="1">IF(ISERROR(F422),"",VLOOKUP(A422,INDIRECT($F$8),7+(O438-1)*3))</f>
        <v>20</v>
      </c>
      <c r="U438" s="1">
        <f ca="1">IF(ISERROR(F422),"",VLOOKUP(A422,INDIRECT($F$8),8+(O438-1)*3))</f>
        <v>50</v>
      </c>
      <c r="V438" s="1" t="str">
        <f ca="1">IF(ISERROR(F422),"",IF(N438=0,A438,""))</f>
        <v/>
      </c>
      <c r="W438" s="1">
        <f ca="1">IF(ISERROR(F422),"",IF(ISTEXT(VLOOKUP(B422,INDIRECT($F$8),6+(O438-1)*3)),11,IF(VLOOKUP(B422,INDIRECT($F$8),6+(O438-1)*3)&lt;S438*0.3,IF(VLOOKUP(B422,INDIRECT($F$8),8+(O438-1)*3)&lt;U438*0.4,IF(AND(0.4*U438-VLOOKUP(B422,INDIRECT($F$8),8+(O438-1)*3)&lt;=5,0.3*S438-VLOOKUP(B422,INDIRECT($F$8),6+(O438-1)*3)&lt;=5),MAX(0.4*U438-VLOOKUP(B422,INDIRECT($F$8),8+(O438-1)*3),0.3*S438-VLOOKUP(B422,INDIRECT($F$8),6+(O438-1)*3)),11),IF(0.3*S438-VLOOKUP(B422,INDIRECT($F$8),6+(O438-1)*3)&lt;=5,0.3*S438-VLOOKUP(B422,INDIRECT($F$8),6+(O438-1)*3),11)),IF(VLOOKUP(B422,INDIRECT($F$8),8+(O438-1)*3)&lt;U438*0.4,IF(U438*0.4-VLOOKUP(B422,INDIRECT($F$8),8+(O438-1)*3)&lt;=5,U438*0.4-VLOOKUP(B422,INDIRECT($F$8),8+(O438-1)*3),11),0))))</f>
        <v>0</v>
      </c>
      <c r="X438" s="1" t="str">
        <f ca="1">IF(ISERROR(F422),"",IF(W438=0,"",_xlfn.TEXTJOIN("",FALSE," G+",W438," in ",A438)))</f>
        <v/>
      </c>
    </row>
    <row r="439" spans="1:24" ht="11.25" customHeight="1" x14ac:dyDescent="0.2">
      <c r="A439" s="7" t="str">
        <f ca="1">IF(ISERROR(F422),"",VLOOKUP(C422,INDIRECT($F$8),6+(O439-1)*3,0))</f>
        <v>AHP 303</v>
      </c>
      <c r="B439" s="41" t="str">
        <f ca="1">IF(ISERROR(F422),"",VLOOKUP(D422,INDIRECT($F$8),6+(O439-1)*3,0))</f>
        <v>Technical Communication Skills</v>
      </c>
      <c r="C439" s="41"/>
      <c r="D439" s="41"/>
      <c r="E439" s="41"/>
      <c r="F439" s="7">
        <f ca="1">IF(ISERROR(F422),"",VLOOKUP(E422,INDIRECT($F$8),6+(O439-1)*3,0))</f>
        <v>1</v>
      </c>
      <c r="G439" s="42" t="str">
        <f ca="1">IF(ISERROR(F422),"",_xlfn.TEXTJOIN("/",FALSE,P439,S439))</f>
        <v>26/30</v>
      </c>
      <c r="H439" s="42"/>
      <c r="I439" s="42" t="str">
        <f ca="1">IF(ISERROR(F422),"",_xlfn.TEXTJOIN("/",FALSE,Q439,T439))</f>
        <v>18/20</v>
      </c>
      <c r="J439" s="42"/>
      <c r="K439" s="42" t="str">
        <f ca="1">IF(ISERROR(F422),"",_xlfn.TEXTJOIN("/",FALSE,R439,U439))</f>
        <v>44/50</v>
      </c>
      <c r="L439" s="42"/>
      <c r="M439" s="7" t="str">
        <f ca="1">IF(ISERROR(F422),"",IF(ISTEXT(P439),IF(P439="A","Ab",IF(P439="D","Dt",IF(P439="UFM","UFM",IF(P439="NA","-")))),IF(AND(ISBLANK(P439),ISBLANK(R439)),"",IF(P439&lt;0.3*S439,"F",IF(ISBLANK(R439),"",IF(ISTEXT(R439),R439,IF(R439&gt;=0.95*U439,"O",IF(R439&gt;=0.9*U439,"A+",IF(R439&gt;=0.85*U439,"A",IF(R439&gt;=0.8*U439,"B+",IF(R439&gt;=0.75*U439,"B",IF(R439&gt;=0.7*U439,"C+",IF(R439&gt;=0.65*U439,"C",IF(R439&gt;=0.6*U439,"D+",IF(R439&gt;=0.55*U439,"D",IF(R439&gt;=0.5*U439,"E+",IF(R439&gt;=0.45*U439,"E",IF(R439&gt;=0.4*U439,"P",IF(R439&lt;0.4*U439,"F",R439)))))))))))))))))))</f>
        <v>A</v>
      </c>
      <c r="N439" s="8">
        <f t="shared" ca="1" si="36"/>
        <v>9</v>
      </c>
      <c r="O439">
        <f t="shared" si="37"/>
        <v>13</v>
      </c>
      <c r="P439" s="1">
        <f ca="1">IF(ISERROR(F422),"",IF(ISTEXT(VLOOKUP(B422,INDIRECT($F$8),6+(O439-1)*3)),(VLOOKUP(B422,INDIRECT($F$8),6+(O439-1)*3)),SUM(VLOOKUP(B422,INDIRECT($F$8),6+(O439-1)*3),IF(W441,W439,0))))</f>
        <v>26</v>
      </c>
      <c r="Q439" s="1">
        <f ca="1">IF(ISERROR(F422),"",VLOOKUP(B422,INDIRECT($F$8),7+(O439-1)*3))</f>
        <v>18</v>
      </c>
      <c r="R439" s="1">
        <f ca="1">IF(ISERROR(F422),"",SUM(P439:Q439))</f>
        <v>44</v>
      </c>
      <c r="S439" s="1">
        <f ca="1">IF(ISERROR(F422),"",VLOOKUP(A422,INDIRECT($F$8),6+(O439-1)*3))</f>
        <v>30</v>
      </c>
      <c r="T439" s="1">
        <f ca="1">IF(ISERROR(F422),"",VLOOKUP(A422,INDIRECT($F$8),7+(O439-1)*3))</f>
        <v>20</v>
      </c>
      <c r="U439" s="1">
        <f ca="1">IF(ISERROR(F422),"",VLOOKUP(A422,INDIRECT($F$8),8+(O439-1)*3))</f>
        <v>50</v>
      </c>
      <c r="V439" s="1"/>
      <c r="W439" s="1">
        <f ca="1">IF(ISERROR(F422),"",IF(ISTEXT(VLOOKUP(B422,INDIRECT($F$8),6+(O439-1)*3)),11,IF(VLOOKUP(B422,INDIRECT($F$8),6+(O439-1)*3)&lt;S439*0.3,IF(VLOOKUP(B422,INDIRECT($F$8),8+(O439-1)*3)&lt;U439*0.4,IF(AND(0.4*U439-VLOOKUP(B422,INDIRECT($F$8),8+(O439-1)*3)&lt;=5,0.3*S439-VLOOKUP(B422,INDIRECT($F$8),6+(O439-1)*3)&lt;=5),MAX(0.4*U439-VLOOKUP(B422,INDIRECT($F$8),8+(O439-1)*3),0.3*S439-VLOOKUP(B422,INDIRECT($F$8),6+(O439-1)*3)),11),IF(0.3*S439-VLOOKUP(B422,INDIRECT($F$8),6+(O439-1)*3)&lt;=5,0.3*S439-VLOOKUP(B422,INDIRECT($F$8),6+(O439-1)*3),11)),IF(VLOOKUP(B422,INDIRECT($F$8),8+(O439-1)*3)&lt;U439*0.4,IF(U439*0.4-VLOOKUP(B422,INDIRECT($F$8),8+(O439-1)*3)&lt;=5,U439*0.4-VLOOKUP(B422,INDIRECT($F$8),8+(O439-1)*3),11),0))))</f>
        <v>0</v>
      </c>
      <c r="X439" s="1" t="str">
        <f ca="1">IF(ISERROR(F422),"",IF(W439=0,"",_xlfn.TEXTJOIN("",FALSE," G+",W439," in ",A439)))</f>
        <v/>
      </c>
    </row>
    <row r="440" spans="1:24" s="32" customFormat="1" ht="11.25" customHeight="1" x14ac:dyDescent="0.2">
      <c r="A440" s="31">
        <f ca="1">IF(ISERROR(F422),"",VLOOKUP(C422,INDIRECT($F$8),6+(O440-1)*3-Y440,0))</f>
        <v>0</v>
      </c>
      <c r="B440" s="49">
        <f ca="1">IF(ISERROR(F422),"",VLOOKUP(D422,INDIRECT($F$8),6+(O440-1)*3-Z440,0))</f>
        <v>0</v>
      </c>
      <c r="C440" s="49"/>
      <c r="D440" s="49"/>
      <c r="E440" s="49"/>
      <c r="F440" s="31">
        <f ca="1">IF(ISERROR(F422),"",VLOOKUP(E422,INDIRECT($F$8),6+(O440-1)*3-AA440,0))</f>
        <v>0</v>
      </c>
      <c r="G440" s="50" t="str">
        <f ca="1">IF(ISERROR(F422),"","-")</f>
        <v>-</v>
      </c>
      <c r="H440" s="50"/>
      <c r="I440" s="50" t="str">
        <f ca="1">IF(ISERROR(F422),"",_xlfn.TEXTJOIN("/",FALSE,Q440,T440))</f>
        <v>0/0</v>
      </c>
      <c r="J440" s="50"/>
      <c r="K440" s="50" t="str">
        <f ca="1">IF(ISERROR(F422),"",_xlfn.TEXTJOIN("/",FALSE,R440,U440))</f>
        <v>0/0</v>
      </c>
      <c r="L440" s="50"/>
      <c r="M440" s="50" t="str">
        <f ca="1">IF(ISBLANK(R440),"",IF(ISTEXT(R440),R440,IF(R440&gt;=0.8*U440,"Excellent",IF(R440&gt;=0.6*U440,"Very Good",IF(R440&gt;=0.4*U440,"Good",IF(R440&gt;=0.2*U440,"Satisfactory","Average"))))))</f>
        <v>Excellent</v>
      </c>
      <c r="N440" s="50"/>
      <c r="O440" s="32">
        <f t="shared" si="37"/>
        <v>14</v>
      </c>
      <c r="P440" s="33">
        <f ca="1">IF(ISERROR(F422),"",IF(ISTEXT(VLOOKUP(B\28,INDIRECT($F$8),6+(O440-1)*3)),(VLOOKUP(B422,INDIRECT($F$8),6+(O440-1)*3)),SUM(VLOOKUP(B422,INDIRECT($F$8),6+(O440-1)*3),IF(W441,W440,0))))</f>
        <v>0</v>
      </c>
      <c r="Q440" s="33">
        <f ca="1">IF(ISERROR(F422),"",VLOOKUP(B422,INDIRECT($F$8),7+(O440-1)*3))</f>
        <v>0</v>
      </c>
      <c r="R440" s="33">
        <f ca="1">IF(ISERROR(F422),"",SUM(P440:Q440))</f>
        <v>0</v>
      </c>
      <c r="S440" s="33">
        <f ca="1">IF(ISERROR(F422),"",VLOOKUP(A422,INDIRECT($F$8),6+(O440-1)*3))</f>
        <v>0</v>
      </c>
      <c r="T440" s="33">
        <f ca="1">IF(ISERROR(F422),"",VLOOKUP(A422,INDIRECT($F$8),7+(O440-1)*3))</f>
        <v>0</v>
      </c>
      <c r="U440" s="33">
        <f ca="1">IF(ISERROR(F422),"",VLOOKUP(A422,INDIRECT($F$8),8+(O440-1)*3))</f>
        <v>0</v>
      </c>
      <c r="V440" s="33"/>
      <c r="W440" s="33"/>
      <c r="X440" s="33" t="str">
        <f ca="1">IF(ISERROR(F422),"",IF(W440=0,"",_xlfn.TEXTJOIN("",FALSE," G+",W440," in ",A440)))</f>
        <v/>
      </c>
    </row>
    <row r="441" spans="1:24" ht="11.25" customHeight="1" x14ac:dyDescent="0.2">
      <c r="A441" s="43" t="str">
        <f ca="1">IF(ISERROR(F422),"",A418)</f>
        <v>Total Credits/ Marks/ Total Grade Points</v>
      </c>
      <c r="B441" s="43"/>
      <c r="C441" s="43"/>
      <c r="D441" s="43"/>
      <c r="E441" s="43"/>
      <c r="F441" s="10">
        <f ca="1">IF(ISERROR(F422),"",SUM(F427:F440))</f>
        <v>24</v>
      </c>
      <c r="G441" s="44" t="str">
        <f ca="1">IF(ISERROR(F422),"",_xlfn.TEXTJOIN("/",TRUE,SUMIF(F427:F440,"&gt;0",P427:P440),SUMIF(F427:F440,"&gt;0",S427:S440)))</f>
        <v>445/620</v>
      </c>
      <c r="H441" s="44"/>
      <c r="I441" s="44" t="str">
        <f ca="1">IF(ISERROR(F422),"",_xlfn.TEXTJOIN("/",TRUE,SUMIF(F427:F440,"&gt;0",Q427:Q440),SUMIF(F427:F440,"&gt;0",T427:T440)))</f>
        <v>268/330</v>
      </c>
      <c r="J441" s="44"/>
      <c r="K441" s="44" t="str">
        <f ca="1">IF(ISERROR(F422),"",_xlfn.TEXTJOIN("/",TRUE,SUMIF(F427:F440,"&gt;0",R427:R440),SUMIF(F427:F440,"&gt;0",U427:U440)))</f>
        <v>713/950</v>
      </c>
      <c r="L441" s="44"/>
      <c r="M441" s="43">
        <f ca="1">IF(ISERROR(F422),"",SUMPRODUCT(N427:N439,F427:F439))</f>
        <v>184</v>
      </c>
      <c r="N441" s="43"/>
      <c r="V441" s="1" t="str">
        <f ca="1">IF(ISERROR(F422),"",_xlfn.TEXTJOIN(", ",TRUE,V427:V440))</f>
        <v/>
      </c>
      <c r="W441" t="b">
        <f ca="1">IF(ISERROR(F422),"",IF(SUM(W427:W440)&lt;=W426,TRUE,FALSE))</f>
        <v>0</v>
      </c>
      <c r="X441" s="1" t="str">
        <f ca="1">_xlfn.TEXTJOIN(",",TRUE,X427:X440)</f>
        <v xml:space="preserve"> G+11 in CAT 001, G+11 in CAT 002, G+11 in CAT 003</v>
      </c>
    </row>
    <row r="442" spans="1:24" ht="11.25" customHeight="1" x14ac:dyDescent="0.2">
      <c r="A442" s="43" t="str">
        <f ca="1">IF(ISERROR(F422),"",A419)</f>
        <v>Result:</v>
      </c>
      <c r="B442" s="45" t="str">
        <f ca="1">IF(ISERROR(F422),"",IF(V441="","PASS","CARRY OVER"))</f>
        <v>PASS</v>
      </c>
      <c r="C442" s="45"/>
      <c r="D442" s="43" t="str">
        <f ca="1">IF(ISERROR(F422),"",D419)</f>
        <v>Remark:</v>
      </c>
      <c r="E442" s="45" t="str">
        <f ca="1">IF(ISERROR(F422),"",IF(W441,X441,IF(V441="","",_xlfn.TEXTJOIN("",TRUE,"BACK IN ",V441))))</f>
        <v/>
      </c>
      <c r="F442" s="45"/>
      <c r="G442" s="43" t="str">
        <f ca="1">IF(ISERROR(F422),"",G419)</f>
        <v>SGPA:</v>
      </c>
      <c r="H442" s="46">
        <f ca="1">IF(ISERROR(F422),"",M441/F441)</f>
        <v>7.666666666666667</v>
      </c>
      <c r="I442" s="43" t="str">
        <f ca="1">IF(ISERROR(F422),"",I419)</f>
        <v>CGPA:</v>
      </c>
      <c r="J442" s="46">
        <f ca="1">IF(ISERROR(F422),"",VLOOKUP(B422,INDIRECT($F$8),12+(O440-1)*3,0))</f>
        <v>7.666666666666667</v>
      </c>
      <c r="K442" s="45" t="str">
        <f ca="1">IF(ISERROR(F422),"",K419)</f>
        <v>Earned Credits:</v>
      </c>
      <c r="L442" s="43">
        <f ca="1">IF(ISERROR(F422),"",SUMIF(N427:N439,"&gt;0",F427:F439))</f>
        <v>24</v>
      </c>
      <c r="M442" s="45" t="str">
        <f ca="1">IF(ISERROR(F422),"",M419)</f>
        <v>Cuml. Earned Credits:</v>
      </c>
      <c r="N442" s="43">
        <f ca="1">IF(ISERROR(F422),"",VLOOKUP(B422,INDIRECT($F$8),10+(O440-1)*3,0))</f>
        <v>24</v>
      </c>
    </row>
    <row r="443" spans="1:24" ht="11.25" customHeight="1" x14ac:dyDescent="0.2">
      <c r="A443" s="43"/>
      <c r="B443" s="45"/>
      <c r="C443" s="45"/>
      <c r="D443" s="43"/>
      <c r="E443" s="45"/>
      <c r="F443" s="45"/>
      <c r="G443" s="43"/>
      <c r="H443" s="46"/>
      <c r="I443" s="43"/>
      <c r="J443" s="46"/>
      <c r="K443" s="45"/>
      <c r="L443" s="43"/>
      <c r="M443" s="45"/>
      <c r="N443" s="43"/>
    </row>
    <row r="444" spans="1:24" ht="15" x14ac:dyDescent="0.2">
      <c r="A444" s="43"/>
      <c r="B444" s="45"/>
      <c r="C444" s="45"/>
      <c r="D444" s="43"/>
      <c r="E444" s="45"/>
      <c r="F444" s="45"/>
      <c r="G444" s="43"/>
      <c r="H444" s="46"/>
      <c r="I444" s="43"/>
      <c r="J444" s="46"/>
      <c r="K444" s="45"/>
      <c r="L444" s="43"/>
      <c r="M444" s="45"/>
      <c r="N444" s="43"/>
    </row>
    <row r="445" spans="1:24" ht="11.25" customHeight="1" x14ac:dyDescent="0.2">
      <c r="A445" s="11" t="str">
        <f>A422</f>
        <v>MM</v>
      </c>
      <c r="B445" s="11">
        <f>B422+1</f>
        <v>20</v>
      </c>
      <c r="C445" s="11" t="str">
        <f>C422</f>
        <v>SC</v>
      </c>
      <c r="D445" s="11" t="str">
        <f>D422</f>
        <v>SN</v>
      </c>
      <c r="E445" s="11" t="str">
        <f>E422</f>
        <v>C</v>
      </c>
      <c r="F445" s="11" t="str">
        <f ca="1">VLOOKUP(B445,INDIRECT($F$8),4,0)</f>
        <v>VIVEK</v>
      </c>
    </row>
    <row r="446" spans="1:24" ht="11.25" customHeight="1" x14ac:dyDescent="0.2">
      <c r="A446" s="47" t="str">
        <f ca="1">IF(ISERROR(F445),"",A423)</f>
        <v>Name:</v>
      </c>
      <c r="B446" s="47" t="str">
        <f ca="1">IFERROR(VLOOKUP(B445,INDIRECT($F$8),4,0),"")</f>
        <v>VIVEK</v>
      </c>
      <c r="C446" s="47"/>
      <c r="D446" s="47" t="str">
        <f ca="1">IF(ISERROR(F445),"",D423)</f>
        <v>Father's Name:</v>
      </c>
      <c r="E446" s="47" t="str">
        <f ca="1">IFERROR(VLOOKUP(B445,INDIRECT($F$8),5,0),"")</f>
        <v>SATYAPAL</v>
      </c>
      <c r="F446" s="47"/>
      <c r="G446" s="47" t="str">
        <f ca="1">IF(ISERROR(F445),"",G423)</f>
        <v>University Roll No:</v>
      </c>
      <c r="H446" s="47"/>
      <c r="I446" s="48">
        <f ca="1">IFERROR(VLOOKUP(B445,INDIRECT($F$8),2,0),"")</f>
        <v>250090600020</v>
      </c>
      <c r="J446" s="48"/>
      <c r="K446" s="47" t="str">
        <f ca="1">IF(ISERROR(F445),"",K423)</f>
        <v>University Enrol. No:</v>
      </c>
      <c r="L446" s="47"/>
      <c r="M446" s="48" t="str">
        <f ca="1">IFERROR(VLOOKUP(B445,INDIRECT($F$8),3,0),"")</f>
        <v>UTU/2506100157</v>
      </c>
      <c r="N446" s="48"/>
    </row>
    <row r="447" spans="1:24" ht="15" x14ac:dyDescent="0.2">
      <c r="A447" s="47"/>
      <c r="B447" s="47"/>
      <c r="C447" s="47"/>
      <c r="D447" s="47"/>
      <c r="E447" s="47"/>
      <c r="F447" s="47"/>
      <c r="G447" s="47"/>
      <c r="H447" s="47"/>
      <c r="I447" s="48"/>
      <c r="J447" s="48"/>
      <c r="K447" s="47"/>
      <c r="L447" s="47"/>
      <c r="M447" s="48"/>
      <c r="N447" s="48"/>
    </row>
    <row r="448" spans="1:24" ht="11.25" customHeight="1" x14ac:dyDescent="0.2">
      <c r="A448" s="45" t="str">
        <f ca="1">IF(ISERROR(F445),"",A425)</f>
        <v>Subject Code</v>
      </c>
      <c r="B448" s="45" t="str">
        <f ca="1">IF(ISERROR(F445),"",B425)</f>
        <v>Subject Name</v>
      </c>
      <c r="C448" s="45"/>
      <c r="D448" s="45"/>
      <c r="E448" s="45"/>
      <c r="F448" s="45" t="str">
        <f ca="1">IF(ISERROR(F445),"",F425)</f>
        <v>Credits</v>
      </c>
      <c r="G448" s="45" t="str">
        <f ca="1">IF(ISERROR(F445),"",G425)</f>
        <v>External Marks</v>
      </c>
      <c r="H448" s="45"/>
      <c r="I448" s="45" t="str">
        <f ca="1">IF(ISERROR(F445),"",I425)</f>
        <v>Sessional Marks</v>
      </c>
      <c r="J448" s="45"/>
      <c r="K448" s="45" t="str">
        <f ca="1">IF(ISERROR(F445),"",K425)</f>
        <v>Total Marks</v>
      </c>
      <c r="L448" s="45"/>
      <c r="M448" s="45" t="str">
        <f ca="1">IF(ISERROR(F445),"",M425)</f>
        <v>Grade</v>
      </c>
      <c r="N448" s="45" t="str">
        <f ca="1">IF(ISERROR(F445),"",N425)</f>
        <v>Grade Points</v>
      </c>
    </row>
    <row r="449" spans="1:24" ht="15" x14ac:dyDescent="0.2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W449">
        <f ca="1">IF(ISNUMBER(MATCH($F$8,{"I","III","V","VII"},0)),10,10-INDEX(INDIRECT(_xlfn.TEXTJOIN("",TRUE,"SEM_",$G$8,"!",ADDRESS(6,4+$I$8*3+4),":",ADDRESS(5+$H$8,4+$I$8*3+4))),MATCH(INDIRECT(_xlfn.TEXTJOIN("",TRUE,"TC_",$F$8,"!",ADDRESS(ROW(I446),COLUMN(I446)))),INDIRECT(_xlfn.TEXTJOIN("",TRUE,"SEM_",$G$8,"!",ADDRESS(6,2),":",ADDRESS(5+$H$8,2))))))</f>
        <v>10</v>
      </c>
    </row>
    <row r="450" spans="1:24" ht="11.25" customHeight="1" x14ac:dyDescent="0.2">
      <c r="A450" s="7" t="str">
        <f ca="1">IF(ISERROR(F445),"",VLOOKUP(C445,INDIRECT($F$8),6+(O450-1)*3,0))</f>
        <v>CAT 004</v>
      </c>
      <c r="B450" s="41" t="str">
        <f ca="1">IF(ISERROR(F445),"",VLOOKUP(D445,INDIRECT($F$8),6+(O450-1)*3,0))</f>
        <v>Discrete Structure</v>
      </c>
      <c r="C450" s="41"/>
      <c r="D450" s="41"/>
      <c r="E450" s="41"/>
      <c r="F450" s="7">
        <f ca="1">IF(ISERROR(F445),"",VLOOKUP(E445,INDIRECT($F$8),6+(O450-1)*3,0))</f>
        <v>4</v>
      </c>
      <c r="G450" s="42" t="str">
        <f ca="1">IF(ISERROR(F445),"",_xlfn.TEXTJOIN("/",FALSE,P450,S450))</f>
        <v>41/100</v>
      </c>
      <c r="H450" s="42"/>
      <c r="I450" s="42" t="str">
        <f ca="1">IF(ISERROR(F445),"",_xlfn.TEXTJOIN("/",FALSE,Q450,T450))</f>
        <v>32/50</v>
      </c>
      <c r="J450" s="42"/>
      <c r="K450" s="42" t="str">
        <f ca="1">IF(ISERROR(F445),"",_xlfn.TEXTJOIN("/",FALSE,R450,U450))</f>
        <v>73/150</v>
      </c>
      <c r="L450" s="42"/>
      <c r="M450" s="7" t="str">
        <f ca="1">IF(ISERROR(F445),"",IF(ISTEXT(P450),IF(P450="A","Ab",IF(P450="D","Dt",IF(P450="UFM","UFM",IF(P450="NA","-")))),IF(AND(ISBLANK(P450),ISBLANK(R450)),"",IF(P450&lt;0.3*S450,"F",IF(ISBLANK(R450),"",IF(ISTEXT(R450),R450,IF(R450&gt;=0.95*U450,"O",IF(R450&gt;=0.9*U450,"A+",IF(R450&gt;=0.85*U450,"A",IF(R450&gt;=0.8*U450,"B+",IF(R450&gt;=0.75*U450,"B",IF(R450&gt;=0.7*U450,"C+",IF(R450&gt;=0.65*U450,"C",IF(R450&gt;=0.6*U450,"D+",IF(R450&gt;=0.55*U450,"D",IF(R450&gt;=0.5*U450,"E+",IF(R450&gt;=0.45*U450,"E",IF(R450&gt;=0.4*U450,"P",IF(R450&lt;0.4*U450,"F",R450)))))))))))))))))))</f>
        <v>E</v>
      </c>
      <c r="N450" s="8">
        <f ca="1">INDEX($Z$2:$Z$18,MATCH(M450,$Y$2:$Y$18,0))</f>
        <v>5</v>
      </c>
      <c r="O450">
        <v>1</v>
      </c>
      <c r="P450" s="1">
        <f ca="1">IF(ISERROR(F445),"",IF(ISTEXT(VLOOKUP(B445,INDIRECT($F$8),6+(O450-1)*3)),(VLOOKUP(B445,INDIRECT($F$8),6+(O450-1)*3)),SUM(VLOOKUP(B445,INDIRECT($F$8),6+(O450-1)*3),IF(W464,W450,0))))</f>
        <v>41</v>
      </c>
      <c r="Q450" s="1">
        <f ca="1">IF(ISERROR(F445),"",VLOOKUP(B445,INDIRECT($F$8),7+(O450-1)*3))</f>
        <v>32</v>
      </c>
      <c r="R450" s="1">
        <f ca="1">IF(ISERROR(F445),"",SUM(P450:Q450))</f>
        <v>73</v>
      </c>
      <c r="S450" s="1">
        <f ca="1">IF(ISERROR(F445),"",VLOOKUP(A445,INDIRECT($F$8),6+(O450-1)*3))</f>
        <v>100</v>
      </c>
      <c r="T450" s="1">
        <f ca="1">IF(ISERROR(F445),"",VLOOKUP(A445,INDIRECT($F$8),7+(O450-1)*3))</f>
        <v>50</v>
      </c>
      <c r="U450" s="1">
        <f ca="1">IF(ISERROR(F445),"",VLOOKUP(A445,INDIRECT($F$8),8+(O450-1)*3))</f>
        <v>150</v>
      </c>
      <c r="V450" s="1" t="str">
        <f ca="1">IF(ISERROR(F445),"",IF(N450=0,A450,""))</f>
        <v/>
      </c>
      <c r="W450" s="1">
        <f ca="1">IF(ISERROR(F445),"",IF(ISTEXT(VLOOKUP(B445,INDIRECT($F$8),6+(O450-1)*3)),11,IF(VLOOKUP(B445,INDIRECT($F$8),6+(O450-1)*3)&lt;S450*0.3,IF(VLOOKUP(B445,INDIRECT($F$8),8+(O450-1)*3)&lt;U450*0.4,IF(AND(0.4*U450-VLOOKUP(B445,INDIRECT($F$8),8+(O450-1)*3)&lt;=5,0.3*S450-VLOOKUP(B445,INDIRECT($F$8),6+(O450-1)*3)&lt;=5),MAX(0.4*U450-VLOOKUP(B445,INDIRECT($F$8),8+(O450-1)*3),0.3*S450-VLOOKUP(B445,INDIRECT($F$8),6+(O450-1)*3)),11),IF(0.3*S450-VLOOKUP(B445,INDIRECT($F$8),6+(O450-1)*3)&lt;=5,0.3*S450-VLOOKUP(B445,INDIRECT($F$8),6+(O450-1)*3),11)),IF(VLOOKUP(B445,INDIRECT($F$8),8+(O450-1)*3)&lt;U450*0.4,IF(U450*0.4-VLOOKUP(B445,INDIRECT($F$8),8+(O450-1)*3)&lt;=5,U450*0.4-VLOOKUP(B445,INDIRECT($F$8),8+(O450-1)*3),11),0))))</f>
        <v>0</v>
      </c>
      <c r="X450" s="1" t="str">
        <f ca="1">IF(ISERROR(F445),"",IF(W450=0,"",_xlfn.TEXTJOIN("",FALSE," G+",W450," in ",A450)))</f>
        <v/>
      </c>
    </row>
    <row r="451" spans="1:24" ht="11.25" customHeight="1" x14ac:dyDescent="0.2">
      <c r="A451" s="7" t="str">
        <f ca="1">IF(ISERROR(F445),"",VLOOKUP(C445,INDIRECT($F$8),6+(O451-1)*3,0))</f>
        <v>CAT 005</v>
      </c>
      <c r="B451" s="41" t="str">
        <f ca="1">IF(ISERROR(F445),"",VLOOKUP(D445,INDIRECT($F$8),6+(O451-1)*3,0))</f>
        <v>Database Management System</v>
      </c>
      <c r="C451" s="41"/>
      <c r="D451" s="41"/>
      <c r="E451" s="41"/>
      <c r="F451" s="7">
        <f ca="1">IF(ISERROR(F445),"",VLOOKUP(E445,INDIRECT($F$8),6+(O451-1)*3,0))</f>
        <v>4</v>
      </c>
      <c r="G451" s="42" t="str">
        <f ca="1">IF(ISERROR(F445),"",_xlfn.TEXTJOIN("/",FALSE,P451,S451))</f>
        <v>37/100</v>
      </c>
      <c r="H451" s="42"/>
      <c r="I451" s="42" t="str">
        <f ca="1">IF(ISERROR(F445),"",_xlfn.TEXTJOIN("/",FALSE,Q451,T451))</f>
        <v>30/50</v>
      </c>
      <c r="J451" s="42"/>
      <c r="K451" s="42" t="str">
        <f ca="1">IF(ISERROR(F445),"",_xlfn.TEXTJOIN("/",FALSE,R451,U451))</f>
        <v>67/150</v>
      </c>
      <c r="L451" s="42"/>
      <c r="M451" s="7" t="str">
        <f ca="1">IF(ISERROR(F445),"",IF(ISTEXT(P451),IF(P451="A","Ab",IF(P451="D","Dt",IF(P451="UFM","UFM",IF(P451="NA","-")))),IF(AND(ISBLANK(P451),ISBLANK(R451)),"",IF(P451&lt;0.3*S451,"F",IF(ISBLANK(R451),"",IF(ISTEXT(R451),R451,IF(R451&gt;=0.95*U451,"O",IF(R451&gt;=0.9*U451,"A+",IF(R451&gt;=0.85*U451,"A",IF(R451&gt;=0.8*U451,"B+",IF(R451&gt;=0.75*U451,"B",IF(R451&gt;=0.7*U451,"C+",IF(R451&gt;=0.65*U451,"C",IF(R451&gt;=0.6*U451,"D+",IF(R451&gt;=0.55*U451,"D",IF(R451&gt;=0.5*U451,"E+",IF(R451&gt;=0.45*U451,"E",IF(R451&gt;=0.4*U451,"P",IF(R451&lt;0.4*U451,"F",R451)))))))))))))))))))</f>
        <v>P</v>
      </c>
      <c r="N451" s="8">
        <f t="shared" ref="N451:N462" ca="1" si="38">INDEX($Z$2:$Z$18,MATCH(M451,$Y$2:$Y$18,0))</f>
        <v>4.5</v>
      </c>
      <c r="O451">
        <f>O450+1</f>
        <v>2</v>
      </c>
      <c r="P451" s="1">
        <f ca="1">IF(ISERROR(F445),"",IF(ISTEXT(VLOOKUP(B445,INDIRECT($F$8),6+(O451-1)*3)),(VLOOKUP(B445,INDIRECT($F$8),6+(O451-1)*3)),SUM(VLOOKUP(B445,INDIRECT($F$8),6+(O451-1)*3),IF(W464,W451,0))))</f>
        <v>37</v>
      </c>
      <c r="Q451" s="1">
        <f ca="1">IF(ISERROR(F445),"",VLOOKUP(B445,INDIRECT($F$8),7+(O451-1)*3))</f>
        <v>30</v>
      </c>
      <c r="R451" s="1">
        <f ca="1">IF(ISERROR(F445),"",SUM(P451:Q451))</f>
        <v>67</v>
      </c>
      <c r="S451" s="1">
        <f ca="1">IF(ISERROR(F445),"",VLOOKUP(A445,INDIRECT($F$8),6+(O451-1)*3))</f>
        <v>100</v>
      </c>
      <c r="T451" s="1">
        <f ca="1">IF(ISERROR(F445),"",VLOOKUP(A445,INDIRECT($F$8),7+(O451-1)*3))</f>
        <v>50</v>
      </c>
      <c r="U451" s="1">
        <f ca="1">IF(ISERROR(F445),"",VLOOKUP(A445,INDIRECT($F$8),8+(O451-1)*3))</f>
        <v>150</v>
      </c>
      <c r="V451" s="1" t="str">
        <f ca="1">IF(ISERROR(F445),"",IF(N451=0,A451,""))</f>
        <v/>
      </c>
      <c r="W451" s="1">
        <f ca="1">IF(ISERROR(F445),"",IF(ISTEXT(VLOOKUP(B445,INDIRECT($F$8),6+(O451-1)*3)),11,IF(VLOOKUP(B445,INDIRECT($F$8),6+(O451-1)*3)&lt;S451*0.3,IF(VLOOKUP(B445,INDIRECT($F$8),8+(O451-1)*3)&lt;U451*0.4,IF(AND(0.4*U451-VLOOKUP(B445,INDIRECT($F$8),8+(O451-1)*3)&lt;=5,0.3*S451-VLOOKUP(B445,INDIRECT($F$8),6+(O451-1)*3)&lt;=5),MAX(0.4*U451-VLOOKUP(B445,INDIRECT($F$8),8+(O451-1)*3),0.3*S451-VLOOKUP(B445,INDIRECT($F$8),6+(O451-1)*3)),11),IF(0.3*S451-VLOOKUP(B445,INDIRECT($F$8),6+(O451-1)*3)&lt;=5,0.3*S451-VLOOKUP(B445,INDIRECT($F$8),6+(O451-1)*3),11)),IF(VLOOKUP(B445,INDIRECT($F$8),8+(O451-1)*3)&lt;U451*0.4,IF(U451*0.4-VLOOKUP(B445,INDIRECT($F$8),8+(O451-1)*3)&lt;=5,U451*0.4-VLOOKUP(B445,INDIRECT($F$8),8+(O451-1)*3),11),0))))</f>
        <v>0</v>
      </c>
      <c r="X451" s="1" t="str">
        <f ca="1">IF(ISERROR(F445),"",IF(W451=0,"",_xlfn.TEXTJOIN("",FALSE," G+",W451," in ",A451)))</f>
        <v/>
      </c>
    </row>
    <row r="452" spans="1:24" ht="11.25" customHeight="1" x14ac:dyDescent="0.2">
      <c r="A452" s="7" t="str">
        <f ca="1">IF(ISERROR(F445),"",VLOOKUP(C445,INDIRECT($F$8),6+(O452-1)*3,0))</f>
        <v>CAT 006</v>
      </c>
      <c r="B452" s="41" t="str">
        <f ca="1">IF(ISERROR(F445),"",VLOOKUP(D445,INDIRECT($F$8),6+(O452-1)*3,0))</f>
        <v>Operating System</v>
      </c>
      <c r="C452" s="41"/>
      <c r="D452" s="41"/>
      <c r="E452" s="41"/>
      <c r="F452" s="7">
        <f ca="1">IF(ISERROR(F445),"",VLOOKUP(E445,INDIRECT($F$8),6+(O452-1)*3,0))</f>
        <v>4</v>
      </c>
      <c r="G452" s="42" t="str">
        <f ca="1">IF(ISERROR(F445),"",_xlfn.TEXTJOIN("/",FALSE,P452,S452))</f>
        <v>51/100</v>
      </c>
      <c r="H452" s="42"/>
      <c r="I452" s="42" t="str">
        <f ca="1">IF(ISERROR(F445),"",_xlfn.TEXTJOIN("/",FALSE,Q452,T452))</f>
        <v>35/50</v>
      </c>
      <c r="J452" s="42"/>
      <c r="K452" s="42" t="str">
        <f ca="1">IF(ISERROR(F445),"",_xlfn.TEXTJOIN("/",FALSE,R452,U452))</f>
        <v>86/150</v>
      </c>
      <c r="L452" s="42"/>
      <c r="M452" s="7" t="str">
        <f ca="1">IF(ISERROR(F445),"",IF(ISTEXT(P452),IF(P452="A","Ab",IF(P452="D","Dt",IF(P452="UFM","UFM",IF(P452="NA","-")))),IF(AND(ISBLANK(P452),ISBLANK(R452)),"",IF(P452&lt;0.3*S452,"F",IF(ISBLANK(R452),"",IF(ISTEXT(R452),R452,IF(R452&gt;=0.95*U452,"O",IF(R452&gt;=0.9*U452,"A+",IF(R452&gt;=0.85*U452,"A",IF(R452&gt;=0.8*U452,"B+",IF(R452&gt;=0.75*U452,"B",IF(R452&gt;=0.7*U452,"C+",IF(R452&gt;=0.65*U452,"C",IF(R452&gt;=0.6*U452,"D+",IF(R452&gt;=0.55*U452,"D",IF(R452&gt;=0.5*U452,"E+",IF(R452&gt;=0.45*U452,"E",IF(R452&gt;=0.4*U452,"P",IF(R452&lt;0.4*U452,"F",R452)))))))))))))))))))</f>
        <v>D</v>
      </c>
      <c r="N452" s="8">
        <f t="shared" ca="1" si="38"/>
        <v>6</v>
      </c>
      <c r="O452">
        <f>O451+1</f>
        <v>3</v>
      </c>
      <c r="P452" s="1">
        <f ca="1">IF(ISERROR(F445),"",IF(ISTEXT(VLOOKUP(B445,INDIRECT($F$8),6+(O452-1)*3)),(VLOOKUP(B445,INDIRECT($F$8),6+(O452-1)*3)),SUM(VLOOKUP(B445,INDIRECT($F$8),6+(O452-1)*3),IF(W464,W452,0))))</f>
        <v>51</v>
      </c>
      <c r="Q452" s="1">
        <f ca="1">IF(ISERROR(F445),"",VLOOKUP(B445,INDIRECT($F$8),7+(O452-1)*3))</f>
        <v>35</v>
      </c>
      <c r="R452" s="1">
        <f ca="1">IF(ISERROR(F445),"",SUM(P452:Q452))</f>
        <v>86</v>
      </c>
      <c r="S452" s="1">
        <f ca="1">IF(ISERROR(F445),"",VLOOKUP(A445,INDIRECT($F$8),6+(O452-1)*3))</f>
        <v>100</v>
      </c>
      <c r="T452" s="1">
        <f ca="1">IF(ISERROR(F445),"",VLOOKUP(A445,INDIRECT($F$8),7+(O452-1)*3))</f>
        <v>50</v>
      </c>
      <c r="U452" s="1">
        <f ca="1">IF(ISERROR(F445),"",VLOOKUP(A445,INDIRECT($F$8),8+(O452-1)*3))</f>
        <v>150</v>
      </c>
      <c r="V452" s="1" t="str">
        <f ca="1">IF(ISERROR(F445),"",IF(N452=0,A452,""))</f>
        <v/>
      </c>
      <c r="W452" s="1">
        <f ca="1">IF(ISERROR(F445),"",IF(ISTEXT(VLOOKUP(B445,INDIRECT($F$8),6+(O452-1)*3)),11,IF(VLOOKUP(B445,INDIRECT($F$8),6+(O452-1)*3)&lt;S452*0.3,IF(VLOOKUP(B445,INDIRECT($F$8),8+(O452-1)*3)&lt;U452*0.4,IF(AND(0.4*U452-VLOOKUP(B445,INDIRECT($F$8),8+(O452-1)*3)&lt;=5,0.3*S452-VLOOKUP(B445,INDIRECT($F$8),6+(O452-1)*3)&lt;=5),MAX(0.4*U452-VLOOKUP(B445,INDIRECT($F$8),8+(O452-1)*3),0.3*S452-VLOOKUP(B445,INDIRECT($F$8),6+(O452-1)*3)),11),IF(0.3*S452-VLOOKUP(B445,INDIRECT($F$8),6+(O452-1)*3)&lt;=5,0.3*S452-VLOOKUP(B445,INDIRECT($F$8),6+(O452-1)*3),11)),IF(VLOOKUP(B445,INDIRECT($F$8),8+(O452-1)*3)&lt;U452*0.4,IF(U452*0.4-VLOOKUP(B445,INDIRECT($F$8),8+(O452-1)*3)&lt;=5,U452*0.4-VLOOKUP(B445,INDIRECT($F$8),8+(O452-1)*3),11),0))))</f>
        <v>0</v>
      </c>
      <c r="X452" s="1" t="str">
        <f ca="1">IF(ISERROR(F445),"",IF(W452=0,"",_xlfn.TEXTJOIN("",FALSE," G+",W452," in ",A452)))</f>
        <v/>
      </c>
    </row>
    <row r="453" spans="1:24" ht="11.25" customHeight="1" x14ac:dyDescent="0.2">
      <c r="A453" s="7" t="str">
        <f ca="1">IF(ISERROR(F445),"",VLOOKUP(C445,INDIRECT($F$8),6+(O453-1)*3,0))</f>
        <v>CAT 007</v>
      </c>
      <c r="B453" s="41" t="str">
        <f ca="1">IF(ISERROR(F445),"",VLOOKUP(D445,INDIRECT($F$8),6+(O453-1)*3,0))</f>
        <v>Computer Organization</v>
      </c>
      <c r="C453" s="41"/>
      <c r="D453" s="41"/>
      <c r="E453" s="41"/>
      <c r="F453" s="7">
        <f ca="1">IF(ISERROR(F445),"",VLOOKUP(E445,INDIRECT($F$8),6+(O453-1)*3,0))</f>
        <v>4</v>
      </c>
      <c r="G453" s="42" t="str">
        <f ca="1">IF(ISERROR(F445),"",_xlfn.TEXTJOIN("/",FALSE,P453,S453))</f>
        <v>34/100</v>
      </c>
      <c r="H453" s="42"/>
      <c r="I453" s="42" t="str">
        <f ca="1">IF(ISERROR(F445),"",_xlfn.TEXTJOIN("/",FALSE,Q453,T453))</f>
        <v>33/50</v>
      </c>
      <c r="J453" s="42"/>
      <c r="K453" s="42" t="str">
        <f ca="1">IF(ISERROR(F445),"",_xlfn.TEXTJOIN("/",FALSE,R453,U453))</f>
        <v>67/150</v>
      </c>
      <c r="L453" s="42"/>
      <c r="M453" s="7" t="str">
        <f ca="1">IF(ISERROR(F445),"",IF(ISTEXT(P453),IF(P453="A","Ab",IF(P453="D","Dt",IF(P453="UFM","UFM",IF(P453="NA","-")))),IF(AND(ISBLANK(P453),ISBLANK(R453)),"",IF(P453&lt;0.3*S453,"F",IF(ISBLANK(R453),"",IF(ISTEXT(R453),R453,IF(R453&gt;=0.95*U453,"O",IF(R453&gt;=0.9*U453,"A+",IF(R453&gt;=0.85*U453,"A",IF(R453&gt;=0.8*U453,"B+",IF(R453&gt;=0.75*U453,"B",IF(R453&gt;=0.7*U453,"C+",IF(R453&gt;=0.65*U453,"C",IF(R453&gt;=0.6*U453,"D+",IF(R453&gt;=0.55*U453,"D",IF(R453&gt;=0.5*U453,"E+",IF(R453&gt;=0.45*U453,"E",IF(R453&gt;=0.4*U453,"P",IF(R453&lt;0.4*U453,"F",R453)))))))))))))))))))</f>
        <v>P</v>
      </c>
      <c r="N453" s="8">
        <f t="shared" ca="1" si="38"/>
        <v>4.5</v>
      </c>
      <c r="O453">
        <f>O452+1</f>
        <v>4</v>
      </c>
      <c r="P453" s="1">
        <f ca="1">IF(ISERROR(F445),"",IF(ISTEXT(VLOOKUP(B445,INDIRECT($F$8),6+(O453-1)*3)),(VLOOKUP(B445,INDIRECT($F$8),6+(O453-1)*3)),SUM(VLOOKUP(B445,INDIRECT($F$8),6+(O453-1)*3),IF(W464,W453,0))))</f>
        <v>34</v>
      </c>
      <c r="Q453" s="1">
        <f ca="1">IF(ISERROR(F445),"",VLOOKUP(B445,INDIRECT($F$8),7+(O453-1)*3))</f>
        <v>33</v>
      </c>
      <c r="R453" s="1">
        <f ca="1">IF(ISERROR(F445),"",SUM(P453:Q453))</f>
        <v>67</v>
      </c>
      <c r="S453" s="1">
        <f ca="1">IF(ISERROR(F445),"",VLOOKUP(A445,INDIRECT($F$8),6+(O453-1)*3))</f>
        <v>100</v>
      </c>
      <c r="T453" s="1">
        <f ca="1">IF(ISERROR(F445),"",VLOOKUP(A445,INDIRECT($F$8),7+(O453-1)*3))</f>
        <v>50</v>
      </c>
      <c r="U453" s="1">
        <f ca="1">IF(ISERROR(F445),"",VLOOKUP(A445,INDIRECT($F$8),8+(O453-1)*3))</f>
        <v>150</v>
      </c>
      <c r="V453" s="1" t="str">
        <f ca="1">IF(ISERROR(F445),"",IF(N453=0,A453,""))</f>
        <v/>
      </c>
      <c r="W453" s="1">
        <f ca="1">IF(ISERROR(F445),"",IF(ISTEXT(VLOOKUP(B445,INDIRECT($F$8),6+(O453-1)*3)),11,IF(VLOOKUP(B445,INDIRECT($F$8),6+(O453-1)*3)&lt;S453*0.3,IF(VLOOKUP(B445,INDIRECT($F$8),8+(O453-1)*3)&lt;U453*0.4,IF(AND(0.4*U453-VLOOKUP(B445,INDIRECT($F$8),8+(O453-1)*3)&lt;=5,0.3*S453-VLOOKUP(B445,INDIRECT($F$8),6+(O453-1)*3)&lt;=5),MAX(0.4*U453-VLOOKUP(B445,INDIRECT($F$8),8+(O453-1)*3),0.3*S453-VLOOKUP(B445,INDIRECT($F$8),6+(O453-1)*3)),11),IF(0.3*S453-VLOOKUP(B445,INDIRECT($F$8),6+(O453-1)*3)&lt;=5,0.3*S453-VLOOKUP(B445,INDIRECT($F$8),6+(O453-1)*3),11)),IF(VLOOKUP(B445,INDIRECT($F$8),8+(O453-1)*3)&lt;U453*0.4,IF(U453*0.4-VLOOKUP(B445,INDIRECT($F$8),8+(O453-1)*3)&lt;=5,U453*0.4-VLOOKUP(B445,INDIRECT($F$8),8+(O453-1)*3),11),0))))</f>
        <v>0</v>
      </c>
      <c r="X453" s="1" t="str">
        <f ca="1">IF(ISERROR(F445),"",IF(W453=0,"",_xlfn.TEXTJOIN("",FALSE," G+",W453," in ",A453)))</f>
        <v/>
      </c>
    </row>
    <row r="454" spans="1:24" ht="11.25" customHeight="1" x14ac:dyDescent="0.2">
      <c r="A454" s="7" t="str">
        <f ca="1">IF(ISERROR(F445),"",VLOOKUP(C445,INDIRECT($F$8),6+(O454-1)*3,0))</f>
        <v>AHT 303</v>
      </c>
      <c r="B454" s="41" t="str">
        <f ca="1">IF(ISERROR(F445),"",VLOOKUP(D445,INDIRECT($F$8),6+(O454-1)*3,0))</f>
        <v>Technical Communication Skills</v>
      </c>
      <c r="C454" s="41"/>
      <c r="D454" s="41"/>
      <c r="E454" s="41"/>
      <c r="F454" s="7">
        <f ca="1">IF(ISERROR(F445),"",VLOOKUP(E445,INDIRECT($F$8),6+(O454-1)*3,0))</f>
        <v>4</v>
      </c>
      <c r="G454" s="42" t="str">
        <f ca="1">IF(ISERROR(F445),"",_xlfn.TEXTJOIN("/",FALSE,P454,S454))</f>
        <v>68/100</v>
      </c>
      <c r="H454" s="42"/>
      <c r="I454" s="42" t="str">
        <f ca="1">IF(ISERROR(F445),"",_xlfn.TEXTJOIN("/",FALSE,Q454,T454))</f>
        <v>34/50</v>
      </c>
      <c r="J454" s="42"/>
      <c r="K454" s="42" t="str">
        <f ca="1">IF(ISERROR(F445),"",_xlfn.TEXTJOIN("/",FALSE,R454,U454))</f>
        <v>102/150</v>
      </c>
      <c r="L454" s="42"/>
      <c r="M454" s="7" t="str">
        <f ca="1">IF(ISERROR(F445),"",IF(ISTEXT(P454),IF(P454="A","Ab",IF(P454="D","Dt",IF(P454="UFM","UFM",IF(P454="NA","-")))),IF(AND(ISBLANK(P454),ISBLANK(R454)),"",IF(P454&lt;0.3*S454,"F",IF(ISBLANK(R454),"",IF(ISTEXT(R454),R454,IF(R454&gt;=0.95*U454,"O",IF(R454&gt;=0.9*U454,"A+",IF(R454&gt;=0.85*U454,"A",IF(R454&gt;=0.8*U454,"B+",IF(R454&gt;=0.75*U454,"B",IF(R454&gt;=0.7*U454,"C+",IF(R454&gt;=0.65*U454,"C",IF(R454&gt;=0.6*U454,"D+",IF(R454&gt;=0.55*U454,"D",IF(R454&gt;=0.5*U454,"E+",IF(R454&gt;=0.45*U454,"E",IF(R454&gt;=0.4*U454,"P",IF(R454&lt;0.4*U454,"F",R454)))))))))))))))))))</f>
        <v>C</v>
      </c>
      <c r="N454" s="8">
        <f t="shared" ca="1" si="38"/>
        <v>7</v>
      </c>
      <c r="O454">
        <f t="shared" ref="O454:O463" si="39">O453+1</f>
        <v>5</v>
      </c>
      <c r="P454" s="1">
        <f ca="1">IF(ISERROR(F445),"",IF(ISTEXT(VLOOKUP(B445,INDIRECT($F$8),6+(O454-1)*3)),(VLOOKUP(B445,INDIRECT($F$8),6+(O454-1)*3)),SUM(VLOOKUP(B445,INDIRECT($F$8),6+(O454-1)*3),IF(W464,W454,0))))</f>
        <v>68</v>
      </c>
      <c r="Q454" s="1">
        <f ca="1">IF(ISERROR(F445),"",VLOOKUP(B445,INDIRECT($F$8),7+(O454-1)*3))</f>
        <v>34</v>
      </c>
      <c r="R454" s="1">
        <f ca="1">IF(ISERROR(F445),"",SUM(P454:Q454))</f>
        <v>102</v>
      </c>
      <c r="S454" s="1">
        <f ca="1">IF(ISERROR(F445),"",VLOOKUP(A445,INDIRECT($F$8),6+(O454-1)*3))</f>
        <v>100</v>
      </c>
      <c r="T454" s="1">
        <f ca="1">IF(ISERROR(F445),"",VLOOKUP(A445,INDIRECT($F$8),7+(O454-1)*3))</f>
        <v>50</v>
      </c>
      <c r="U454" s="1">
        <f ca="1">IF(ISERROR(F445),"",VLOOKUP(A445,INDIRECT($F$8),8+(O454-1)*3))</f>
        <v>150</v>
      </c>
      <c r="V454" s="1" t="str">
        <f ca="1">IF(ISERROR(F445),"",IF(N454=0,A454,""))</f>
        <v/>
      </c>
      <c r="W454" s="1">
        <f ca="1">IF(ISERROR(F445),"",IF(ISTEXT(VLOOKUP(B445,INDIRECT($F$8),6+(O454-1)*3)),11,IF(VLOOKUP(B445,INDIRECT($F$8),6+(O454-1)*3)&lt;S454*0.3,IF(VLOOKUP(B445,INDIRECT($F$8),8+(O454-1)*3)&lt;U454*0.4,IF(AND(0.4*U454-VLOOKUP(B445,INDIRECT($F$8),8+(O454-1)*3)&lt;=5,0.3*S454-VLOOKUP(B445,INDIRECT($F$8),6+(O454-1)*3)&lt;=5),MAX(0.4*U454-VLOOKUP(B445,INDIRECT($F$8),8+(O454-1)*3),0.3*S454-VLOOKUP(B445,INDIRECT($F$8),6+(O454-1)*3)),11),IF(0.3*S454-VLOOKUP(B445,INDIRECT($F$8),6+(O454-1)*3)&lt;=5,0.3*S454-VLOOKUP(B445,INDIRECT($F$8),6+(O454-1)*3),11)),IF(VLOOKUP(B445,INDIRECT($F$8),8+(O454-1)*3)&lt;U454*0.4,IF(U454*0.4-VLOOKUP(B445,INDIRECT($F$8),8+(O454-1)*3)&lt;=5,U454*0.4-VLOOKUP(B445,INDIRECT($F$8),8+(O454-1)*3),11),0))))</f>
        <v>0</v>
      </c>
      <c r="X454" s="1" t="str">
        <f ca="1">IF(ISERROR(F445),"",IF(W454=0,"",_xlfn.TEXTJOIN("",FALSE," G+",W454," in ",A454)))</f>
        <v/>
      </c>
    </row>
    <row r="455" spans="1:24" ht="11.25" customHeight="1" x14ac:dyDescent="0.2">
      <c r="A455" s="7" t="str">
        <f ca="1">IF(ISERROR(F445),"",VLOOKUP(C445,INDIRECT($F$8),6+(O455-1)*3,0))</f>
        <v>CAT 008</v>
      </c>
      <c r="B455" s="41" t="str">
        <f ca="1">IF(ISERROR(F445),"",VLOOKUP(D445,INDIRECT($F$8),6+(O455-1)*3,0))</f>
        <v>Python Programming ($)</v>
      </c>
      <c r="C455" s="41"/>
      <c r="D455" s="41"/>
      <c r="E455" s="41"/>
      <c r="F455" s="7">
        <f ca="1">IF(ISERROR(F445),"",VLOOKUP(E445,INDIRECT($F$8),6+(O455-1)*3,0))</f>
        <v>0</v>
      </c>
      <c r="G455" s="42" t="str">
        <f ca="1">IF(ISERROR(F445),"",_xlfn.TEXTJOIN("/",FALSE,P455,S455))</f>
        <v>18/30</v>
      </c>
      <c r="H455" s="42"/>
      <c r="I455" s="42" t="str">
        <f ca="1">IF(ISERROR(F445),"",_xlfn.TEXTJOIN("/",FALSE,Q455,T455))</f>
        <v>15/20</v>
      </c>
      <c r="J455" s="42"/>
      <c r="K455" s="42" t="str">
        <f ca="1">IF(ISERROR(F445),"",_xlfn.TEXTJOIN("/",FALSE,R455,U455))</f>
        <v>33/50</v>
      </c>
      <c r="L455" s="42"/>
      <c r="M455" s="7" t="str">
        <f ca="1">IF(ISERROR(F445),"",IF(ISTEXT(P455),IF(P455="A","Ab",IF(P455="D","Dt",IF(P455="UFM","UFM",IF(P455="NA","-")))),IF(AND(ISBLANK(P455),ISBLANK(R455)),"",IF(P455&lt;0.3*S455,"F",IF(ISBLANK(R455),"",IF(ISTEXT(R455),R455,IF(R455&gt;=0.95*U455,"O",IF(R455&gt;=0.9*U455,"A+",IF(R455&gt;=0.85*U455,"A",IF(R455&gt;=0.8*U455,"B+",IF(R455&gt;=0.75*U455,"B",IF(R455&gt;=0.7*U455,"C+",IF(R455&gt;=0.65*U455,"C",IF(R455&gt;=0.6*U455,"D+",IF(R455&gt;=0.55*U455,"D",IF(R455&gt;=0.5*U455,"E+",IF(R455&gt;=0.45*U455,"E",IF(R455&gt;=0.4*U455,"P",IF(R455&lt;0.4*U455,"F",R455)))))))))))))))))))</f>
        <v>C</v>
      </c>
      <c r="N455" s="8">
        <f t="shared" ca="1" si="38"/>
        <v>7</v>
      </c>
      <c r="O455">
        <f t="shared" si="39"/>
        <v>6</v>
      </c>
      <c r="P455" s="1">
        <f ca="1">IF(ISERROR(F445),"",IF(ISTEXT(VLOOKUP(B445,INDIRECT($F$8),6+(O455-1)*3)),(VLOOKUP(B445,INDIRECT($F$8),6+(O455-1)*3)),SUM(VLOOKUP(B445,INDIRECT($F$8),6+(O455-1)*3),IF(W464,W455,0))))</f>
        <v>18</v>
      </c>
      <c r="Q455" s="1">
        <f ca="1">IF(ISERROR(F445),"",VLOOKUP(B445,INDIRECT($F$8),7+(O455-1)*3))</f>
        <v>15</v>
      </c>
      <c r="R455" s="1">
        <f ca="1">IF(ISERROR(F445),"",SUM(P455:Q455))</f>
        <v>33</v>
      </c>
      <c r="S455" s="1">
        <f ca="1">IF(ISERROR(F445),"",VLOOKUP(A445,INDIRECT($F$8),6+(O455-1)*3))</f>
        <v>30</v>
      </c>
      <c r="T455" s="1">
        <f ca="1">IF(ISERROR(F445),"",VLOOKUP(A445,INDIRECT($F$8),7+(O455-1)*3))</f>
        <v>20</v>
      </c>
      <c r="U455" s="1">
        <f ca="1">IF(ISERROR(F445),"",VLOOKUP(A445,INDIRECT($F$8),8+(O455-1)*3))</f>
        <v>50</v>
      </c>
      <c r="V455" s="1" t="str">
        <f ca="1">IF(ISERROR(F445),"",IF(N455=0,A455,""))</f>
        <v/>
      </c>
      <c r="W455" s="1">
        <f ca="1">IF(ISERROR(F445),"",IF(ISTEXT(VLOOKUP(B445,INDIRECT($F$8),6+(O455-1)*3)),11,IF(VLOOKUP(B445,INDIRECT($F$8),6+(O455-1)*3)&lt;S455*0.3,IF(VLOOKUP(B445,INDIRECT($F$8),8+(O455-1)*3)&lt;U455*0.4,IF(AND(0.4*U455-VLOOKUP(B445,INDIRECT($F$8),8+(O455-1)*3)&lt;=5,0.3*S455-VLOOKUP(B445,INDIRECT($F$8),6+(O455-1)*3)&lt;=5),MAX(0.4*U455-VLOOKUP(B445,INDIRECT($F$8),8+(O455-1)*3),0.3*S455-VLOOKUP(B445,INDIRECT($F$8),6+(O455-1)*3)),11),IF(0.3*S455-VLOOKUP(B445,INDIRECT($F$8),6+(O455-1)*3)&lt;=5,0.3*S455-VLOOKUP(B445,INDIRECT($F$8),6+(O455-1)*3),11)),IF(VLOOKUP(B445,INDIRECT($F$8),8+(O455-1)*3)&lt;U455*0.4,IF(U455*0.4-VLOOKUP(B445,INDIRECT($F$8),8+(O455-1)*3)&lt;=5,U455*0.4-VLOOKUP(B445,INDIRECT($F$8),8+(O455-1)*3),11),0))))</f>
        <v>0</v>
      </c>
      <c r="X455" s="1" t="str">
        <f ca="1">IF(ISERROR(F445),"",IF(W455=0,"",_xlfn.TEXTJOIN("",FALSE," G+",W455," in ",A455)))</f>
        <v/>
      </c>
    </row>
    <row r="456" spans="1:24" ht="11.25" customHeight="1" x14ac:dyDescent="0.2">
      <c r="A456" s="7" t="str">
        <f ca="1">IF(ISERROR(F445),"",VLOOKUP(C445,INDIRECT($F$8),6+(O456-1)*3,0))</f>
        <v>CAT 001</v>
      </c>
      <c r="B456" s="41" t="str">
        <f ca="1">IF(ISERROR(F445),"",VLOOKUP(D445,INDIRECT($F$8),6+(O456-1)*3,0))</f>
        <v>Introduction of Information Technology ($)</v>
      </c>
      <c r="C456" s="41"/>
      <c r="D456" s="41"/>
      <c r="E456" s="41"/>
      <c r="F456" s="7">
        <f ca="1">IF(ISERROR(F445),"",VLOOKUP(E445,INDIRECT($F$8),6+(O456-1)*3,0))</f>
        <v>0</v>
      </c>
      <c r="G456" s="42" t="str">
        <f ca="1">IF(ISERROR(F445),"",_xlfn.TEXTJOIN("/",FALSE,P456,S456))</f>
        <v>NA/30</v>
      </c>
      <c r="H456" s="42"/>
      <c r="I456" s="42" t="str">
        <f ca="1">IF(ISERROR(F445),"",_xlfn.TEXTJOIN("/",FALSE,Q456,T456))</f>
        <v>NA/20</v>
      </c>
      <c r="J456" s="42"/>
      <c r="K456" s="42" t="str">
        <f ca="1">IF(ISERROR(F445),"",_xlfn.TEXTJOIN("/",FALSE,R456,U456))</f>
        <v>0/50</v>
      </c>
      <c r="L456" s="42"/>
      <c r="M456" s="7" t="str">
        <f ca="1">IF(ISERROR(F445),"",IF(ISTEXT(P456),IF(P456="A","Ab",IF(P456="D","Dt",IF(P456="UFM","UFM",IF(P456="NA","-")))),IF(AND(ISBLANK(P456),ISBLANK(R456)),"",IF(P456&lt;0.3*S456,"F",IF(ISBLANK(R456),"",IF(ISTEXT(R456),R456,IF(R456&gt;=0.95*U456,"O",IF(R456&gt;=0.9*U456,"A+",IF(R456&gt;=0.85*U456,"A",IF(R456&gt;=0.8*U456,"B+",IF(R456&gt;=0.75*U456,"B",IF(R456&gt;=0.7*U456,"C+",IF(R456&gt;=0.65*U456,"C",IF(R456&gt;=0.6*U456,"D+",IF(R456&gt;=0.55*U456,"D",IF(R456&gt;=0.5*U456,"E+",IF(R456&gt;=0.45*U456,"E",IF(R456&gt;=0.4*U456,"P",IF(R456&lt;0.4*U456,"F",R456)))))))))))))))))))</f>
        <v>-</v>
      </c>
      <c r="N456" s="8" t="str">
        <f t="shared" ca="1" si="38"/>
        <v>-</v>
      </c>
      <c r="O456">
        <f t="shared" si="39"/>
        <v>7</v>
      </c>
      <c r="P456" s="1" t="str">
        <f ca="1">IF(ISERROR(F445),"",IF(ISTEXT(VLOOKUP(B445,INDIRECT($F$8),6+(O456-1)*3)),(VLOOKUP(B445,INDIRECT($F$8),6+(O456-1)*3)),SUM(VLOOKUP(B445,INDIRECT($F$8),6+(O456-1)*3),IF(W464,W456,0))))</f>
        <v>NA</v>
      </c>
      <c r="Q456" s="1" t="str">
        <f ca="1">IF(ISERROR(F445),"",VLOOKUP(B445,INDIRECT($F$8),7+(O456-1)*3))</f>
        <v>NA</v>
      </c>
      <c r="R456" s="1">
        <f ca="1">IF(ISERROR(F445),"",SUM(P456:Q456))</f>
        <v>0</v>
      </c>
      <c r="S456" s="1">
        <f ca="1">IF(ISERROR(F445),"",VLOOKUP(A445,INDIRECT($F$8),6+(O456-1)*3))</f>
        <v>30</v>
      </c>
      <c r="T456" s="1">
        <f ca="1">IF(ISERROR(F445),"",VLOOKUP(A445,INDIRECT($F$8),7+(O456-1)*3))</f>
        <v>20</v>
      </c>
      <c r="U456" s="1">
        <f ca="1">IF(ISERROR(F445),"",VLOOKUP(A445,INDIRECT($F$8),8+(O456-1)*3))</f>
        <v>50</v>
      </c>
      <c r="V456" s="1" t="str">
        <f ca="1">IF(ISERROR(F445),"",IF(N456=0,A456,""))</f>
        <v/>
      </c>
      <c r="W456" s="1">
        <f ca="1">IF(ISERROR(F445),"",IF(ISTEXT(VLOOKUP(B445,INDIRECT($F$8),6+(O456-1)*3)),11,IF(VLOOKUP(B445,INDIRECT($F$8),6+(O456-1)*3)&lt;S456*0.3,IF(VLOOKUP(B445,INDIRECT($F$8),8+(O456-1)*3)&lt;U456*0.4,IF(AND(0.4*U456-VLOOKUP(B445,INDIRECT($F$8),8+(O456-1)*3)&lt;=5,0.3*S456-VLOOKUP(B445,INDIRECT($F$8),6+(O456-1)*3)&lt;=5),MAX(0.4*U456-VLOOKUP(B445,INDIRECT($F$8),8+(O456-1)*3),0.3*S456-VLOOKUP(B445,INDIRECT($F$8),6+(O456-1)*3)),11),IF(0.3*S456-VLOOKUP(B445,INDIRECT($F$8),6+(O456-1)*3)&lt;=5,0.3*S456-VLOOKUP(B445,INDIRECT($F$8),6+(O456-1)*3),11)),IF(VLOOKUP(B445,INDIRECT($F$8),8+(O456-1)*3)&lt;U456*0.4,IF(U456*0.4-VLOOKUP(B445,INDIRECT($F$8),8+(O456-1)*3)&lt;=5,U456*0.4-VLOOKUP(B445,INDIRECT($F$8),8+(O456-1)*3),11),0))))</f>
        <v>11</v>
      </c>
      <c r="X456" s="1" t="str">
        <f ca="1">IF(ISERROR(F445),"",IF(W456=0,"",_xlfn.TEXTJOIN("",FALSE," G+",W456," in ",A456)))</f>
        <v xml:space="preserve"> G+11 in CAT 001</v>
      </c>
    </row>
    <row r="457" spans="1:24" ht="11.25" customHeight="1" x14ac:dyDescent="0.2">
      <c r="A457" s="7" t="str">
        <f ca="1">IF(ISERROR(F445),"",VLOOKUP(C445,INDIRECT($F$8),6+(O457-1)*3,0))</f>
        <v>CAT 002</v>
      </c>
      <c r="B457" s="41" t="str">
        <f ca="1">IF(ISERROR(F445),"",VLOOKUP(D445,INDIRECT($F$8),6+(O457-1)*3,0))</f>
        <v>Programming Fundamentals with "C" ($)</v>
      </c>
      <c r="C457" s="41"/>
      <c r="D457" s="41"/>
      <c r="E457" s="41"/>
      <c r="F457" s="7">
        <f ca="1">IF(ISERROR(F445),"",VLOOKUP(E445,INDIRECT($F$8),6+(O457-1)*3,0))</f>
        <v>0</v>
      </c>
      <c r="G457" s="42" t="str">
        <f ca="1">IF(ISERROR(F445),"",_xlfn.TEXTJOIN("/",FALSE,P457,S457))</f>
        <v>NA/30</v>
      </c>
      <c r="H457" s="42"/>
      <c r="I457" s="42" t="str">
        <f ca="1">IF(ISERROR(F445),"",_xlfn.TEXTJOIN("/",FALSE,Q457,T457))</f>
        <v>NA/20</v>
      </c>
      <c r="J457" s="42"/>
      <c r="K457" s="42" t="str">
        <f ca="1">IF(ISERROR(F445),"",_xlfn.TEXTJOIN("/",FALSE,R457,U457))</f>
        <v>0/50</v>
      </c>
      <c r="L457" s="42"/>
      <c r="M457" s="7" t="str">
        <f ca="1">IF(ISERROR(F445),"",IF(ISTEXT(P457),IF(P457="A","Ab",IF(P457="D","Dt",IF(P457="UFM","UFM",IF(P457="NA","-")))),IF(AND(ISBLANK(P457),ISBLANK(R457)),"",IF(P457&lt;0.3*S457,"F",IF(ISBLANK(R457),"",IF(ISTEXT(R457),R457,IF(R457&gt;=0.95*U457,"O",IF(R457&gt;=0.9*U457,"A+",IF(R457&gt;=0.85*U457,"A",IF(R457&gt;=0.8*U457,"B+",IF(R457&gt;=0.75*U457,"B",IF(R457&gt;=0.7*U457,"C+",IF(R457&gt;=0.65*U457,"C",IF(R457&gt;=0.6*U457,"D+",IF(R457&gt;=0.55*U457,"D",IF(R457&gt;=0.5*U457,"E+",IF(R457&gt;=0.45*U457,"E",IF(R457&gt;=0.4*U457,"P",IF(R457&lt;0.4*U457,"F",R457)))))))))))))))))))</f>
        <v>-</v>
      </c>
      <c r="N457" s="8" t="str">
        <f t="shared" ca="1" si="38"/>
        <v>-</v>
      </c>
      <c r="O457">
        <f t="shared" si="39"/>
        <v>8</v>
      </c>
      <c r="P457" s="1" t="str">
        <f ca="1">IF(ISERROR(F445),"",IF(ISTEXT(VLOOKUP(B445,INDIRECT($F$8),6+(O457-1)*3)),(VLOOKUP(B445,INDIRECT($F$8),6+(O457-1)*3)),SUM(VLOOKUP(B445,INDIRECT($F$8),6+(O457-1)*3),IF(W464,W457,0))))</f>
        <v>NA</v>
      </c>
      <c r="Q457" s="1" t="str">
        <f ca="1">IF(ISERROR(F445),"",VLOOKUP(B445,INDIRECT($F$8),7+(O457-1)*3))</f>
        <v>NA</v>
      </c>
      <c r="R457" s="1">
        <f ca="1">IF(ISERROR(F445),"",SUM(P457:Q457))</f>
        <v>0</v>
      </c>
      <c r="S457" s="1">
        <f ca="1">IF(ISERROR(F445),"",VLOOKUP(A445,INDIRECT($F$8),6+(O457-1)*3))</f>
        <v>30</v>
      </c>
      <c r="T457" s="1">
        <f ca="1">IF(ISERROR(F445),"",VLOOKUP(A445,INDIRECT($F$8),7+(O457-1)*3))</f>
        <v>20</v>
      </c>
      <c r="U457" s="1">
        <f ca="1">IF(ISERROR(F445),"",VLOOKUP(A445,INDIRECT($F$8),8+(O457-1)*3))</f>
        <v>50</v>
      </c>
      <c r="V457" s="1" t="str">
        <f ca="1">IF(ISERROR(F445),"",IF(N457=0,A457,""))</f>
        <v/>
      </c>
      <c r="W457" s="1">
        <f ca="1">IF(ISERROR(F445),"",IF(ISTEXT(VLOOKUP(B445,INDIRECT($F$8),6+(O457-1)*3)),11,IF(VLOOKUP(B445,INDIRECT($F$8),6+(O457-1)*3)&lt;S457*0.3,IF(VLOOKUP(B445,INDIRECT($F$8),8+(O457-1)*3)&lt;U457*0.4,IF(AND(0.4*U457-VLOOKUP(B445,INDIRECT($F$8),8+(O457-1)*3)&lt;=5,0.3*S457-VLOOKUP(B445,INDIRECT($F$8),6+(O457-1)*3)&lt;=5),MAX(0.4*U457-VLOOKUP(B445,INDIRECT($F$8),8+(O457-1)*3),0.3*S457-VLOOKUP(B445,INDIRECT($F$8),6+(O457-1)*3)),11),IF(0.3*S457-VLOOKUP(B445,INDIRECT($F$8),6+(O457-1)*3)&lt;=5,0.3*S457-VLOOKUP(B445,INDIRECT($F$8),6+(O457-1)*3),11)),IF(VLOOKUP(B445,INDIRECT($F$8),8+(O457-1)*3)&lt;U457*0.4,IF(U457*0.4-VLOOKUP(B445,INDIRECT($F$8),8+(O457-1)*3)&lt;=5,U457*0.4-VLOOKUP(B445,INDIRECT($F$8),8+(O457-1)*3),11),0))))</f>
        <v>11</v>
      </c>
      <c r="X457" s="1" t="str">
        <f ca="1">IF(ISERROR(F445),"",IF(W457=0,"",_xlfn.TEXTJOIN("",FALSE," G+",W457," in ",A457)))</f>
        <v xml:space="preserve"> G+11 in CAT 002</v>
      </c>
    </row>
    <row r="458" spans="1:24" ht="11.25" customHeight="1" x14ac:dyDescent="0.2">
      <c r="A458" s="7" t="str">
        <f ca="1">IF(ISERROR(F445),"",VLOOKUP(C445,INDIRECT($F$8),6+(O458-1)*3,0))</f>
        <v>CAT 003</v>
      </c>
      <c r="B458" s="41" t="str">
        <f ca="1">IF(ISERROR(F445),"",VLOOKUP(D445,INDIRECT($F$8),6+(O458-1)*3-Z458,0))</f>
        <v>Fundamental of Web Technology ($)</v>
      </c>
      <c r="C458" s="41"/>
      <c r="D458" s="41"/>
      <c r="E458" s="41"/>
      <c r="F458" s="7">
        <f ca="1">IF(ISERROR(F445),"",VLOOKUP(E445,INDIRECT($F$8),6+(O458-1)*3,0))</f>
        <v>0</v>
      </c>
      <c r="G458" s="42" t="str">
        <f ca="1">IF(ISERROR(F445),"",_xlfn.TEXTJOIN("/",FALSE,P458,S458))</f>
        <v>NA/30</v>
      </c>
      <c r="H458" s="42"/>
      <c r="I458" s="42" t="str">
        <f ca="1">IF(ISERROR(F445),"",_xlfn.TEXTJOIN("/",FALSE,Q458,T458))</f>
        <v>NA/20</v>
      </c>
      <c r="J458" s="42"/>
      <c r="K458" s="42" t="str">
        <f ca="1">IF(ISERROR(F445),"",_xlfn.TEXTJOIN("/",FALSE,R458,U458))</f>
        <v>0/50</v>
      </c>
      <c r="L458" s="42"/>
      <c r="M458" s="7" t="str">
        <f ca="1">IF(ISERROR(F445),"",IF(ISTEXT(P458),IF(P458="A","Ab",IF(P458="D","Dt",IF(P458="UFM","UFM",IF(P458="NA","-")))),IF(AND(ISBLANK(P458),ISBLANK(R458)),"",IF(P458&lt;0.3*S458,"F",IF(ISBLANK(R458),"",IF(ISTEXT(R458),R458,IF(R458&gt;=0.95*U458,"O",IF(R458&gt;=0.9*U458,"A+",IF(R458&gt;=0.85*U458,"A",IF(R458&gt;=0.8*U458,"B+",IF(R458&gt;=0.75*U458,"B",IF(R458&gt;=0.7*U458,"C+",IF(R458&gt;=0.65*U458,"C",IF(R458&gt;=0.6*U458,"D+",IF(R458&gt;=0.55*U458,"D",IF(R458&gt;=0.5*U458,"E+",IF(R458&gt;=0.45*U458,"E",IF(R458&gt;=0.4*U458,"P",IF(R458&lt;0.4*U458,"F",R458)))))))))))))))))))</f>
        <v>-</v>
      </c>
      <c r="N458" s="8" t="str">
        <f t="shared" ca="1" si="38"/>
        <v>-</v>
      </c>
      <c r="O458">
        <f t="shared" si="39"/>
        <v>9</v>
      </c>
      <c r="P458" s="1" t="str">
        <f ca="1">IF(ISERROR(F445),"",IF(ISTEXT(VLOOKUP(B445,INDIRECT($F$8),6+(O458-1)*3)),(VLOOKUP(B445,INDIRECT($F$8),6+(O458-1)*3)),SUM(VLOOKUP(B445,INDIRECT($F$8),6+(O458-1)*3),IF(W464,W458,0))))</f>
        <v>NA</v>
      </c>
      <c r="Q458" s="1" t="str">
        <f ca="1">IF(ISERROR(F445),"",VLOOKUP(B445,INDIRECT($F$8),7+(O458-1)*3))</f>
        <v>NA</v>
      </c>
      <c r="R458" s="1">
        <f ca="1">IF(ISERROR(F445),"",SUM(P458:Q458))</f>
        <v>0</v>
      </c>
      <c r="S458" s="1">
        <f ca="1">IF(ISERROR(F445),"",VLOOKUP(A445,INDIRECT($F$8),6+(O458-1)*3))</f>
        <v>30</v>
      </c>
      <c r="T458" s="1">
        <f ca="1">IF(ISERROR(F445),"",VLOOKUP(A445,INDIRECT($F$8),7+(O458-1)*3))</f>
        <v>20</v>
      </c>
      <c r="U458" s="1">
        <f ca="1">IF(ISERROR(F445),"",VLOOKUP(A445,INDIRECT($F$8),8+(O458-1)*3))</f>
        <v>50</v>
      </c>
      <c r="V458" s="1" t="str">
        <f ca="1">IF(ISERROR(F445),"",IF(N458=0,A458,""))</f>
        <v/>
      </c>
      <c r="W458" s="1">
        <f ca="1">IF(ISERROR(F445),"",IF(ISTEXT(VLOOKUP(B445,INDIRECT($F$8),6+(O458-1)*3)),11,IF(VLOOKUP(B445,INDIRECT($F$8),6+(O458-1)*3)&lt;S458*0.3,IF(VLOOKUP(B445,INDIRECT($F$8),8+(O458-1)*3)&lt;U458*0.4,IF(AND(0.4*U458-VLOOKUP(B445,INDIRECT($F$8),8+(O458-1)*3)&lt;=5,0.3*S458-VLOOKUP(B445,INDIRECT($F$8),6+(O458-1)*3)&lt;=5),MAX(0.4*U458-VLOOKUP(B445,INDIRECT($F$8),8+(O458-1)*3),0.3*S458-VLOOKUP(B445,INDIRECT($F$8),6+(O458-1)*3)),11),IF(0.3*S458-VLOOKUP(B445,INDIRECT($F$8),6+(O458-1)*3)&lt;=5,0.3*S458-VLOOKUP(B445,INDIRECT($F$8),6+(O458-1)*3),11)),IF(VLOOKUP(B445,INDIRECT($F$8),8+(O458-1)*3)&lt;U458*0.4,IF(U458*0.4-VLOOKUP(B445,INDIRECT($F$8),8+(O458-1)*3)&lt;=5,U458*0.4-VLOOKUP(B445,INDIRECT($F$8),8+(O458-1)*3),11),0))))</f>
        <v>11</v>
      </c>
      <c r="X458" s="1" t="str">
        <f ca="1">IF(ISERROR(F445),"",IF(W458=0,"",_xlfn.TEXTJOIN("",FALSE," G+",W458," in ",A458)))</f>
        <v xml:space="preserve"> G+11 in CAT 003</v>
      </c>
    </row>
    <row r="459" spans="1:24" ht="11.25" customHeight="1" x14ac:dyDescent="0.2">
      <c r="A459" s="7" t="str">
        <f ca="1">IF(ISERROR(F445),"",VLOOKUP(C445,INDIRECT($F$8),6+(O459-1)*3,0))</f>
        <v>CAP 001</v>
      </c>
      <c r="B459" s="41" t="str">
        <f ca="1">IF(ISERROR(F445),"",VLOOKUP(D445,INDIRECT($F$8),6+(O459-1)*3-Z459,0))</f>
        <v>Database Management System Lab</v>
      </c>
      <c r="C459" s="41"/>
      <c r="D459" s="41"/>
      <c r="E459" s="41"/>
      <c r="F459" s="7">
        <f ca="1">IF(ISERROR(F445),"",VLOOKUP(E445,INDIRECT($F$8),6+(O459-1)*3,0))</f>
        <v>1</v>
      </c>
      <c r="G459" s="42" t="str">
        <f ca="1">IF(ISERROR(F445),"",_xlfn.TEXTJOIN("/",FALSE,P459,S459))</f>
        <v>23/30</v>
      </c>
      <c r="H459" s="42"/>
      <c r="I459" s="42" t="str">
        <f ca="1">IF(ISERROR(F445),"",_xlfn.TEXTJOIN("/",FALSE,Q459,T459))</f>
        <v>13/20</v>
      </c>
      <c r="J459" s="42"/>
      <c r="K459" s="42" t="str">
        <f ca="1">IF(ISERROR(F445),"",_xlfn.TEXTJOIN("/",FALSE,R459,U459))</f>
        <v>36/50</v>
      </c>
      <c r="L459" s="42"/>
      <c r="M459" s="7" t="str">
        <f ca="1">IF(ISERROR(F445),"",IF(ISTEXT(P459),IF(P459="A","Ab",IF(P459="D","Dt",IF(P459="UFM","UFM",IF(P459="NA","-")))),IF(AND(ISBLANK(P459),ISBLANK(R459)),"",IF(P459&lt;0.3*S459,"F",IF(ISBLANK(R459),"",IF(ISTEXT(R459),R459,IF(R459&gt;=0.95*U459,"O",IF(R459&gt;=0.9*U459,"A+",IF(R459&gt;=0.85*U459,"A",IF(R459&gt;=0.8*U459,"B+",IF(R459&gt;=0.75*U459,"B",IF(R459&gt;=0.7*U459,"C+",IF(R459&gt;=0.65*U459,"C",IF(R459&gt;=0.6*U459,"D+",IF(R459&gt;=0.55*U459,"D",IF(R459&gt;=0.5*U459,"E+",IF(R459&gt;=0.45*U459,"E",IF(R459&gt;=0.4*U459,"P",IF(R459&lt;0.4*U459,"F",R459)))))))))))))))))))</f>
        <v>C+</v>
      </c>
      <c r="N459" s="8">
        <f t="shared" ca="1" si="38"/>
        <v>7.5</v>
      </c>
      <c r="O459">
        <f t="shared" si="39"/>
        <v>10</v>
      </c>
      <c r="P459" s="1">
        <f ca="1">IF(ISERROR(F445),"",IF(ISTEXT(VLOOKUP(B445,INDIRECT($F$8),6+(O459-1)*3)),(VLOOKUP(B445,INDIRECT($F$8),6+(O459-1)*3)),SUM(VLOOKUP(B445,INDIRECT($F$8),6+(O459-1)*3),IF(W464,W459,0))))</f>
        <v>23</v>
      </c>
      <c r="Q459" s="1">
        <f ca="1">IF(ISERROR(F445),"",VLOOKUP(B445,INDIRECT($F$8),7+(O459-1)*3))</f>
        <v>13</v>
      </c>
      <c r="R459" s="1">
        <f ca="1">IF(ISERROR(F445),"",SUM(P459:Q459))</f>
        <v>36</v>
      </c>
      <c r="S459" s="1">
        <f ca="1">IF(ISERROR(F445),"",VLOOKUP(A445,INDIRECT($F$8),6+(O459-1)*3))</f>
        <v>30</v>
      </c>
      <c r="T459" s="1">
        <f ca="1">IF(ISERROR(F445),"",VLOOKUP(A445,INDIRECT($F$8),7+(O459-1)*3))</f>
        <v>20</v>
      </c>
      <c r="U459" s="1">
        <f ca="1">IF(ISERROR(F445),"",VLOOKUP(A445,INDIRECT($F$8),8+(O459-1)*3))</f>
        <v>50</v>
      </c>
      <c r="V459" s="1" t="str">
        <f ca="1">IF(ISERROR(F445),"",IF(N459=0,A459,""))</f>
        <v/>
      </c>
      <c r="W459" s="1">
        <f ca="1">IF(ISERROR(F445),"",IF(ISTEXT(VLOOKUP(B445,INDIRECT($F$8),6+(O459-1)*3)),11,IF(VLOOKUP(B445,INDIRECT($F$8),6+(O459-1)*3)&lt;S459*0.3,IF(VLOOKUP(B445,INDIRECT($F$8),8+(O459-1)*3)&lt;U459*0.4,IF(AND(0.4*U459-VLOOKUP(B445,INDIRECT($F$8),8+(O459-1)*3)&lt;=5,0.3*S459-VLOOKUP(B445,INDIRECT($F$8),6+(O459-1)*3)&lt;=5),MAX(0.4*U459-VLOOKUP(B445,INDIRECT($F$8),8+(O459-1)*3),0.3*S459-VLOOKUP(B445,INDIRECT($F$8),6+(O459-1)*3)),11),IF(0.3*S459-VLOOKUP(B445,INDIRECT($F$8),6+(O459-1)*3)&lt;=5,0.3*S459-VLOOKUP(B445,INDIRECT($F$8),6+(O459-1)*3),11)),IF(VLOOKUP(B445,INDIRECT($F$8),8+(O459-1)*3)&lt;U459*0.4,IF(U459*0.4-VLOOKUP(B445,INDIRECT($F$8),8+(O459-1)*3)&lt;=5,U459*0.4-VLOOKUP(B445,INDIRECT($F$8),8+(O459-1)*3),11),0))))</f>
        <v>0</v>
      </c>
      <c r="X459" s="1" t="str">
        <f ca="1">IF(ISERROR(F445),"",IF(W459=0,"",_xlfn.TEXTJOIN("",FALSE," G+",W459," in ",A459)))</f>
        <v/>
      </c>
    </row>
    <row r="460" spans="1:24" ht="11.25" customHeight="1" x14ac:dyDescent="0.2">
      <c r="A460" s="7" t="str">
        <f ca="1">IF(ISERROR(F445),"",VLOOKUP(C445,INDIRECT($F$8),6+(O460-1)*3,0))</f>
        <v>CAP 002</v>
      </c>
      <c r="B460" s="41" t="str">
        <f ca="1">IF(ISERROR(F445),"",VLOOKUP(D445,INDIRECT($F$8),6+(O460-1)*3,0))</f>
        <v>Operating System Lab</v>
      </c>
      <c r="C460" s="41"/>
      <c r="D460" s="41"/>
      <c r="E460" s="41"/>
      <c r="F460" s="7">
        <f ca="1">IF(ISERROR(F445),"",VLOOKUP(E445,INDIRECT($F$8),6+(O460-1)*3,0))</f>
        <v>1</v>
      </c>
      <c r="G460" s="42" t="str">
        <f ca="1">IF(ISERROR(F445),"",_xlfn.TEXTJOIN("/",FALSE,P460,S460))</f>
        <v>24/30</v>
      </c>
      <c r="H460" s="42"/>
      <c r="I460" s="42" t="str">
        <f ca="1">IF(ISERROR(F445),"",_xlfn.TEXTJOIN("/",FALSE,Q460,T460))</f>
        <v>16/20</v>
      </c>
      <c r="J460" s="42"/>
      <c r="K460" s="42" t="str">
        <f ca="1">IF(ISERROR(F445),"",_xlfn.TEXTJOIN("/",FALSE,R460,U460))</f>
        <v>40/50</v>
      </c>
      <c r="L460" s="42"/>
      <c r="M460" s="7" t="str">
        <f ca="1">IF(ISERROR(F445),"",IF(ISTEXT(P460),IF(P460="A","Ab",IF(P460="D","Dt",IF(P460="UFM","UFM",IF(P460="NA","-")))),IF(AND(ISBLANK(P460),ISBLANK(R460)),"",IF(P460&lt;0.3*S460,"F",IF(ISBLANK(R460),"",IF(ISTEXT(R460),R460,IF(R460&gt;=0.95*U460,"O",IF(R460&gt;=0.9*U460,"A+",IF(R460&gt;=0.85*U460,"A",IF(R460&gt;=0.8*U460,"B+",IF(R460&gt;=0.75*U460,"B",IF(R460&gt;=0.7*U460,"C+",IF(R460&gt;=0.65*U460,"C",IF(R460&gt;=0.6*U460,"D+",IF(R460&gt;=0.55*U460,"D",IF(R460&gt;=0.5*U460,"E+",IF(R460&gt;=0.45*U460,"E",IF(R460&gt;=0.4*U460,"P",IF(R460&lt;0.4*U460,"F",R460)))))))))))))))))))</f>
        <v>B+</v>
      </c>
      <c r="N460" s="8">
        <f t="shared" ca="1" si="38"/>
        <v>8.5</v>
      </c>
      <c r="O460">
        <f t="shared" si="39"/>
        <v>11</v>
      </c>
      <c r="P460" s="1">
        <f ca="1">IF(ISERROR(F445),"",IF(ISTEXT(VLOOKUP(B445,INDIRECT($F$8),6+(O460-1)*3)),(VLOOKUP(B445,INDIRECT($F$8),6+(O460-1)*3)),SUM(VLOOKUP(B445,INDIRECT($F$8),6+(O460-1)*3),IF(W464,W460,0))))</f>
        <v>24</v>
      </c>
      <c r="Q460" s="1">
        <f ca="1">IF(ISERROR(F445),"",VLOOKUP(B445,INDIRECT($F$8),7+(O460-1)*3))</f>
        <v>16</v>
      </c>
      <c r="R460" s="1">
        <f ca="1">IF(ISERROR(F445),"",SUM(P460:Q460))</f>
        <v>40</v>
      </c>
      <c r="S460" s="1">
        <f ca="1">IF(ISERROR(F445),"",VLOOKUP(A445,INDIRECT($F$8),6+(O460-1)*3))</f>
        <v>30</v>
      </c>
      <c r="T460" s="1">
        <f ca="1">IF(ISERROR(F445),"",VLOOKUP(A445,INDIRECT($F$8),7+(O460-1)*3))</f>
        <v>20</v>
      </c>
      <c r="U460" s="1">
        <f ca="1">IF(ISERROR(F445),"",VLOOKUP(A445,INDIRECT($F$8),8+(O460-1)*3))</f>
        <v>50</v>
      </c>
      <c r="V460" s="1" t="str">
        <f ca="1">IF(ISERROR(F445),"",IF(N460=0,A460,""))</f>
        <v/>
      </c>
      <c r="W460" s="1">
        <f ca="1">IF(ISERROR(F445),"",IF(ISTEXT(VLOOKUP(B445,INDIRECT($F$8),6+(O460-1)*3)),11,IF(VLOOKUP(B445,INDIRECT($F$8),6+(O460-1)*3)&lt;S460*0.3,IF(VLOOKUP(B445,INDIRECT($F$8),8+(O460-1)*3)&lt;U460*0.4,IF(AND(0.4*U460-VLOOKUP(B445,INDIRECT($F$8),8+(O460-1)*3)&lt;=5,0.3*S460-VLOOKUP(B445,INDIRECT($F$8),6+(O460-1)*3)&lt;=5),MAX(0.4*U460-VLOOKUP(B445,INDIRECT($F$8),8+(O460-1)*3),0.3*S460-VLOOKUP(B445,INDIRECT($F$8),6+(O460-1)*3)),11),IF(0.3*S460-VLOOKUP(B445,INDIRECT($F$8),6+(O460-1)*3)&lt;=5,0.3*S460-VLOOKUP(B445,INDIRECT($F$8),6+(O460-1)*3),11)),IF(VLOOKUP(B445,INDIRECT($F$8),8+(O460-1)*3)&lt;U460*0.4,IF(U460*0.4-VLOOKUP(B445,INDIRECT($F$8),8+(O460-1)*3)&lt;=5,U460*0.4-VLOOKUP(B445,INDIRECT($F$8),8+(O460-1)*3),11),0))))</f>
        <v>0</v>
      </c>
      <c r="X460" s="1" t="str">
        <f ca="1">IF(ISERROR(F445),"",IF(W460=0,"",_xlfn.TEXTJOIN("",FALSE," G+",W460," in ",A460)))</f>
        <v/>
      </c>
    </row>
    <row r="461" spans="1:24" ht="11.25" customHeight="1" x14ac:dyDescent="0.2">
      <c r="A461" s="7" t="str">
        <f ca="1">IF(ISERROR(F445),"",VLOOKUP(C445,INDIRECT($F$8),6+(O461-1)*3,0))</f>
        <v>CAP 003</v>
      </c>
      <c r="B461" s="41" t="str">
        <f ca="1">IF(ISERROR(F445),"",VLOOKUP(D445,INDIRECT($F$8),6+(O461-1)*3,0))</f>
        <v>Computer Organization Lab</v>
      </c>
      <c r="C461" s="41"/>
      <c r="D461" s="41"/>
      <c r="E461" s="41"/>
      <c r="F461" s="7">
        <f ca="1">IF(ISERROR(F445),"",VLOOKUP(E445,INDIRECT($F$8),6+(O461-1)*3,0))</f>
        <v>1</v>
      </c>
      <c r="G461" s="42" t="str">
        <f ca="1">IF(ISERROR(F445),"",_xlfn.TEXTJOIN("/",FALSE,P461,S461))</f>
        <v>27/30</v>
      </c>
      <c r="H461" s="42"/>
      <c r="I461" s="42" t="str">
        <f ca="1">IF(ISERROR(F445),"",_xlfn.TEXTJOIN("/",FALSE,Q461,T461))</f>
        <v>18/20</v>
      </c>
      <c r="J461" s="42"/>
      <c r="K461" s="42" t="str">
        <f ca="1">IF(ISERROR(F445),"",_xlfn.TEXTJOIN("/",FALSE,R461,U461))</f>
        <v>45/50</v>
      </c>
      <c r="L461" s="42"/>
      <c r="M461" s="7" t="str">
        <f ca="1">IF(ISERROR(F445),"",IF(ISTEXT(P461),IF(P461="A","Ab",IF(P461="D","Dt",IF(P461="UFM","UFM",IF(P461="NA","-")))),IF(AND(ISBLANK(P461),ISBLANK(R461)),"",IF(P461&lt;0.3*S461,"F",IF(ISBLANK(R461),"",IF(ISTEXT(R461),R461,IF(R461&gt;=0.95*U461,"O",IF(R461&gt;=0.9*U461,"A+",IF(R461&gt;=0.85*U461,"A",IF(R461&gt;=0.8*U461,"B+",IF(R461&gt;=0.75*U461,"B",IF(R461&gt;=0.7*U461,"C+",IF(R461&gt;=0.65*U461,"C",IF(R461&gt;=0.6*U461,"D+",IF(R461&gt;=0.55*U461,"D",IF(R461&gt;=0.5*U461,"E+",IF(R461&gt;=0.45*U461,"E",IF(R461&gt;=0.4*U461,"P",IF(R461&lt;0.4*U461,"F",R461)))))))))))))))))))</f>
        <v>A+</v>
      </c>
      <c r="N461" s="8">
        <f t="shared" ca="1" si="38"/>
        <v>9.5</v>
      </c>
      <c r="O461">
        <f t="shared" si="39"/>
        <v>12</v>
      </c>
      <c r="P461" s="1">
        <f ca="1">IF(ISERROR(F445),"",IF(ISTEXT(VLOOKUP(B445,INDIRECT($F$8),6+(O461-1)*3)),(VLOOKUP(B445,INDIRECT($F$8),6+(O461-1)*3)),SUM(VLOOKUP(B445,INDIRECT($F$8),6+(O461-1)*3),IF(W464,W461,0))))</f>
        <v>27</v>
      </c>
      <c r="Q461" s="1">
        <f ca="1">IF(ISERROR(F445),"",VLOOKUP(B445,INDIRECT($F$8),7+(O461-1)*3))</f>
        <v>18</v>
      </c>
      <c r="R461" s="1">
        <f ca="1">IF(ISERROR(F445),"",SUM(P461:Q461))</f>
        <v>45</v>
      </c>
      <c r="S461" s="1">
        <f ca="1">IF(ISERROR(F445),"",VLOOKUP(A445,INDIRECT($F$8),6+(O461-1)*3))</f>
        <v>30</v>
      </c>
      <c r="T461" s="1">
        <f ca="1">IF(ISERROR(F445),"",VLOOKUP(A445,INDIRECT($F$8),7+(O461-1)*3))</f>
        <v>20</v>
      </c>
      <c r="U461" s="1">
        <f ca="1">IF(ISERROR(F445),"",VLOOKUP(A445,INDIRECT($F$8),8+(O461-1)*3))</f>
        <v>50</v>
      </c>
      <c r="V461" s="1" t="str">
        <f ca="1">IF(ISERROR(F445),"",IF(N461=0,A461,""))</f>
        <v/>
      </c>
      <c r="W461" s="1">
        <f ca="1">IF(ISERROR(F445),"",IF(ISTEXT(VLOOKUP(B445,INDIRECT($F$8),6+(O461-1)*3)),11,IF(VLOOKUP(B445,INDIRECT($F$8),6+(O461-1)*3)&lt;S461*0.3,IF(VLOOKUP(B445,INDIRECT($F$8),8+(O461-1)*3)&lt;U461*0.4,IF(AND(0.4*U461-VLOOKUP(B445,INDIRECT($F$8),8+(O461-1)*3)&lt;=5,0.3*S461-VLOOKUP(B445,INDIRECT($F$8),6+(O461-1)*3)&lt;=5),MAX(0.4*U461-VLOOKUP(B445,INDIRECT($F$8),8+(O461-1)*3),0.3*S461-VLOOKUP(B445,INDIRECT($F$8),6+(O461-1)*3)),11),IF(0.3*S461-VLOOKUP(B445,INDIRECT($F$8),6+(O461-1)*3)&lt;=5,0.3*S461-VLOOKUP(B445,INDIRECT($F$8),6+(O461-1)*3),11)),IF(VLOOKUP(B445,INDIRECT($F$8),8+(O461-1)*3)&lt;U461*0.4,IF(U461*0.4-VLOOKUP(B445,INDIRECT($F$8),8+(O461-1)*3)&lt;=5,U461*0.4-VLOOKUP(B445,INDIRECT($F$8),8+(O461-1)*3),11),0))))</f>
        <v>0</v>
      </c>
      <c r="X461" s="1" t="str">
        <f ca="1">IF(ISERROR(F445),"",IF(W461=0,"",_xlfn.TEXTJOIN("",FALSE," G+",W461," in ",A461)))</f>
        <v/>
      </c>
    </row>
    <row r="462" spans="1:24" ht="11.25" customHeight="1" x14ac:dyDescent="0.2">
      <c r="A462" s="7" t="str">
        <f ca="1">IF(ISERROR(F445),"",VLOOKUP(C445,INDIRECT($F$8),6+(O462-1)*3,0))</f>
        <v>AHP 303</v>
      </c>
      <c r="B462" s="41" t="str">
        <f ca="1">IF(ISERROR(F445),"",VLOOKUP(D445,INDIRECT($F$8),6+(O462-1)*3,0))</f>
        <v>Technical Communication Skills</v>
      </c>
      <c r="C462" s="41"/>
      <c r="D462" s="41"/>
      <c r="E462" s="41"/>
      <c r="F462" s="7">
        <f ca="1">IF(ISERROR(F445),"",VLOOKUP(E445,INDIRECT($F$8),6+(O462-1)*3,0))</f>
        <v>1</v>
      </c>
      <c r="G462" s="42" t="str">
        <f ca="1">IF(ISERROR(F445),"",_xlfn.TEXTJOIN("/",FALSE,P462,S462))</f>
        <v>25/30</v>
      </c>
      <c r="H462" s="42"/>
      <c r="I462" s="42" t="str">
        <f ca="1">IF(ISERROR(F445),"",_xlfn.TEXTJOIN("/",FALSE,Q462,T462))</f>
        <v>16/20</v>
      </c>
      <c r="J462" s="42"/>
      <c r="K462" s="42" t="str">
        <f ca="1">IF(ISERROR(F445),"",_xlfn.TEXTJOIN("/",FALSE,R462,U462))</f>
        <v>41/50</v>
      </c>
      <c r="L462" s="42"/>
      <c r="M462" s="7" t="str">
        <f ca="1">IF(ISERROR(F445),"",IF(ISTEXT(P462),IF(P462="A","Ab",IF(P462="D","Dt",IF(P462="UFM","UFM",IF(P462="NA","-")))),IF(AND(ISBLANK(P462),ISBLANK(R462)),"",IF(P462&lt;0.3*S462,"F",IF(ISBLANK(R462),"",IF(ISTEXT(R462),R462,IF(R462&gt;=0.95*U462,"O",IF(R462&gt;=0.9*U462,"A+",IF(R462&gt;=0.85*U462,"A",IF(R462&gt;=0.8*U462,"B+",IF(R462&gt;=0.75*U462,"B",IF(R462&gt;=0.7*U462,"C+",IF(R462&gt;=0.65*U462,"C",IF(R462&gt;=0.6*U462,"D+",IF(R462&gt;=0.55*U462,"D",IF(R462&gt;=0.5*U462,"E+",IF(R462&gt;=0.45*U462,"E",IF(R462&gt;=0.4*U462,"P",IF(R462&lt;0.4*U462,"F",R462)))))))))))))))))))</f>
        <v>B+</v>
      </c>
      <c r="N462" s="8">
        <f t="shared" ca="1" si="38"/>
        <v>8.5</v>
      </c>
      <c r="O462">
        <f t="shared" si="39"/>
        <v>13</v>
      </c>
      <c r="P462" s="1">
        <f ca="1">IF(ISERROR(F445),"",IF(ISTEXT(VLOOKUP(B445,INDIRECT($F$8),6+(O462-1)*3)),(VLOOKUP(B445,INDIRECT($F$8),6+(O462-1)*3)),SUM(VLOOKUP(B445,INDIRECT($F$8),6+(O462-1)*3),IF(W464,W462,0))))</f>
        <v>25</v>
      </c>
      <c r="Q462" s="1">
        <f ca="1">IF(ISERROR(F445),"",VLOOKUP(B445,INDIRECT($F$8),7+(O462-1)*3))</f>
        <v>16</v>
      </c>
      <c r="R462" s="1">
        <f ca="1">IF(ISERROR(F445),"",SUM(P462:Q462))</f>
        <v>41</v>
      </c>
      <c r="S462" s="1">
        <f ca="1">IF(ISERROR(F445),"",VLOOKUP(A445,INDIRECT($F$8),6+(O462-1)*3))</f>
        <v>30</v>
      </c>
      <c r="T462" s="1">
        <f ca="1">IF(ISERROR(F445),"",VLOOKUP(A445,INDIRECT($F$8),7+(O462-1)*3))</f>
        <v>20</v>
      </c>
      <c r="U462" s="1">
        <f ca="1">IF(ISERROR(F445),"",VLOOKUP(A445,INDIRECT($F$8),8+(O462-1)*3))</f>
        <v>50</v>
      </c>
      <c r="V462" s="1"/>
      <c r="W462" s="1">
        <f ca="1">IF(ISERROR(F445),"",IF(ISTEXT(VLOOKUP(B445,INDIRECT($F$8),6+(O462-1)*3)),11,IF(VLOOKUP(B445,INDIRECT($F$8),6+(O462-1)*3)&lt;S462*0.3,IF(VLOOKUP(B445,INDIRECT($F$8),8+(O462-1)*3)&lt;U462*0.4,IF(AND(0.4*U462-VLOOKUP(B445,INDIRECT($F$8),8+(O462-1)*3)&lt;=5,0.3*S462-VLOOKUP(B445,INDIRECT($F$8),6+(O462-1)*3)&lt;=5),MAX(0.4*U462-VLOOKUP(B445,INDIRECT($F$8),8+(O462-1)*3),0.3*S462-VLOOKUP(B445,INDIRECT($F$8),6+(O462-1)*3)),11),IF(0.3*S462-VLOOKUP(B445,INDIRECT($F$8),6+(O462-1)*3)&lt;=5,0.3*S462-VLOOKUP(B445,INDIRECT($F$8),6+(O462-1)*3),11)),IF(VLOOKUP(B445,INDIRECT($F$8),8+(O462-1)*3)&lt;U462*0.4,IF(U462*0.4-VLOOKUP(B445,INDIRECT($F$8),8+(O462-1)*3)&lt;=5,U462*0.4-VLOOKUP(B445,INDIRECT($F$8),8+(O462-1)*3),11),0))))</f>
        <v>0</v>
      </c>
      <c r="X462" s="1" t="str">
        <f ca="1">IF(ISERROR(F445),"",IF(W462=0,"",_xlfn.TEXTJOIN("",FALSE," G+",W462," in ",A462)))</f>
        <v/>
      </c>
    </row>
    <row r="463" spans="1:24" s="32" customFormat="1" ht="11.25" customHeight="1" x14ac:dyDescent="0.2">
      <c r="A463" s="31">
        <f ca="1">IF(ISERROR(F445),"",VLOOKUP(C445,INDIRECT($F$8),6+(O463-1)*3-Y463,0))</f>
        <v>0</v>
      </c>
      <c r="B463" s="49">
        <f ca="1">IF(ISERROR(F445),"",VLOOKUP(D445,INDIRECT($F$8),6+(O463-1)*3-Z463,0))</f>
        <v>0</v>
      </c>
      <c r="C463" s="49"/>
      <c r="D463" s="49"/>
      <c r="E463" s="49"/>
      <c r="F463" s="31">
        <f ca="1">IF(ISERROR(F445),"",VLOOKUP(E445,INDIRECT($F$8),6+(O463-1)*3-AA463,0))</f>
        <v>0</v>
      </c>
      <c r="G463" s="50" t="str">
        <f ca="1">IF(ISERROR(F445),"","-")</f>
        <v>-</v>
      </c>
      <c r="H463" s="50"/>
      <c r="I463" s="50" t="str">
        <f ca="1">IF(ISERROR(F445),"",_xlfn.TEXTJOIN("/",FALSE,Q463,T463))</f>
        <v>0/0</v>
      </c>
      <c r="J463" s="50"/>
      <c r="K463" s="50" t="str">
        <f ca="1">IF(ISERROR(F445),"",_xlfn.TEXTJOIN("/",FALSE,R463,U463))</f>
        <v>0/0</v>
      </c>
      <c r="L463" s="50"/>
      <c r="M463" s="50" t="str">
        <f ca="1">IF(ISBLANK(R463),"",IF(ISTEXT(R463),R463,IF(R463&gt;=0.8*U463,"Excellent",IF(R463&gt;=0.6*U463,"Very Good",IF(R463&gt;=0.4*U463,"Good",IF(R463&gt;=0.2*U463,"Satisfactory","Average"))))))</f>
        <v>Excellent</v>
      </c>
      <c r="N463" s="50"/>
      <c r="O463" s="32">
        <f t="shared" si="39"/>
        <v>14</v>
      </c>
      <c r="P463" s="33">
        <f ca="1">IF(ISERROR(F445),"",IF(ISTEXT(VLOOKUP(B\28,INDIRECT($F$8),6+(O463-1)*3)),(VLOOKUP(B445,INDIRECT($F$8),6+(O463-1)*3)),SUM(VLOOKUP(B445,INDIRECT($F$8),6+(O463-1)*3),IF(W464,W463,0))))</f>
        <v>0</v>
      </c>
      <c r="Q463" s="33">
        <f ca="1">IF(ISERROR(F445),"",VLOOKUP(B445,INDIRECT($F$8),7+(O463-1)*3))</f>
        <v>0</v>
      </c>
      <c r="R463" s="33">
        <f ca="1">IF(ISERROR(F445),"",SUM(P463:Q463))</f>
        <v>0</v>
      </c>
      <c r="S463" s="33">
        <f ca="1">IF(ISERROR(F445),"",VLOOKUP(A445,INDIRECT($F$8),6+(O463-1)*3))</f>
        <v>0</v>
      </c>
      <c r="T463" s="33">
        <f ca="1">IF(ISERROR(F445),"",VLOOKUP(A445,INDIRECT($F$8),7+(O463-1)*3))</f>
        <v>0</v>
      </c>
      <c r="U463" s="33">
        <f ca="1">IF(ISERROR(F445),"",VLOOKUP(A445,INDIRECT($F$8),8+(O463-1)*3))</f>
        <v>0</v>
      </c>
      <c r="V463" s="33"/>
      <c r="W463" s="33"/>
      <c r="X463" s="33" t="str">
        <f ca="1">IF(ISERROR(F445),"",IF(W463=0,"",_xlfn.TEXTJOIN("",FALSE," G+",W463," in ",A463)))</f>
        <v/>
      </c>
    </row>
    <row r="464" spans="1:24" ht="11.25" customHeight="1" x14ac:dyDescent="0.2">
      <c r="A464" s="43" t="str">
        <f ca="1">IF(ISERROR(F445),"",A441)</f>
        <v>Total Credits/ Marks/ Total Grade Points</v>
      </c>
      <c r="B464" s="43"/>
      <c r="C464" s="43"/>
      <c r="D464" s="43"/>
      <c r="E464" s="43"/>
      <c r="F464" s="10">
        <f ca="1">IF(ISERROR(F445),"",SUM(F450:F463))</f>
        <v>24</v>
      </c>
      <c r="G464" s="44" t="str">
        <f ca="1">IF(ISERROR(F445),"",_xlfn.TEXTJOIN("/",TRUE,SUMIF(F450:F463,"&gt;0",P450:P463),SUMIF(F450:F463,"&gt;0",S450:S463)))</f>
        <v>330/620</v>
      </c>
      <c r="H464" s="44"/>
      <c r="I464" s="44" t="str">
        <f ca="1">IF(ISERROR(F445),"",_xlfn.TEXTJOIN("/",TRUE,SUMIF(F450:F463,"&gt;0",Q450:Q463),SUMIF(F450:F463,"&gt;0",T450:T463)))</f>
        <v>227/330</v>
      </c>
      <c r="J464" s="44"/>
      <c r="K464" s="44" t="str">
        <f ca="1">IF(ISERROR(F445),"",_xlfn.TEXTJOIN("/",TRUE,SUMIF(F450:F463,"&gt;0",R450:R463),SUMIF(F450:F463,"&gt;0",U450:U463)))</f>
        <v>557/950</v>
      </c>
      <c r="L464" s="44"/>
      <c r="M464" s="43">
        <f ca="1">IF(ISERROR(F445),"",SUMPRODUCT(N450:N462,F450:F462))</f>
        <v>142</v>
      </c>
      <c r="N464" s="43"/>
      <c r="V464" s="1" t="str">
        <f ca="1">IF(ISERROR(F445),"",_xlfn.TEXTJOIN(", ",TRUE,V450:V463))</f>
        <v/>
      </c>
      <c r="W464" t="b">
        <f ca="1">IF(ISERROR(F445),"",IF(SUM(W450:W463)&lt;=W449,TRUE,FALSE))</f>
        <v>0</v>
      </c>
      <c r="X464" s="1" t="str">
        <f ca="1">_xlfn.TEXTJOIN(",",TRUE,X450:X463)</f>
        <v xml:space="preserve"> G+11 in CAT 001, G+11 in CAT 002, G+11 in CAT 003</v>
      </c>
    </row>
    <row r="465" spans="1:24" ht="11.25" customHeight="1" x14ac:dyDescent="0.2">
      <c r="A465" s="43" t="str">
        <f ca="1">IF(ISERROR(F445),"",A442)</f>
        <v>Result:</v>
      </c>
      <c r="B465" s="45" t="str">
        <f ca="1">IF(ISERROR(F445),"",IF(V464="","PASS","CARRY OVER"))</f>
        <v>PASS</v>
      </c>
      <c r="C465" s="45"/>
      <c r="D465" s="43" t="str">
        <f ca="1">IF(ISERROR(F445),"",D442)</f>
        <v>Remark:</v>
      </c>
      <c r="E465" s="45" t="str">
        <f ca="1">IF(ISERROR(F445),"",IF(W464,X464,IF(V464="","",_xlfn.TEXTJOIN("",TRUE,"BACK IN ",V464))))</f>
        <v/>
      </c>
      <c r="F465" s="45"/>
      <c r="G465" s="43" t="str">
        <f ca="1">IF(ISERROR(F445),"",G442)</f>
        <v>SGPA:</v>
      </c>
      <c r="H465" s="46">
        <f ca="1">IF(ISERROR(F445),"",M464/F464)</f>
        <v>5.916666666666667</v>
      </c>
      <c r="I465" s="43" t="str">
        <f ca="1">IF(ISERROR(F445),"",I442)</f>
        <v>CGPA:</v>
      </c>
      <c r="J465" s="46">
        <f ca="1">IF(ISERROR(F445),"",VLOOKUP(B445,INDIRECT($F$8),12+(O463-1)*3,0))</f>
        <v>5.916666666666667</v>
      </c>
      <c r="K465" s="45" t="str">
        <f ca="1">IF(ISERROR(F445),"",K442)</f>
        <v>Earned Credits:</v>
      </c>
      <c r="L465" s="43">
        <f ca="1">IF(ISERROR(F445),"",SUMIF(N450:N462,"&gt;0",F450:F462))</f>
        <v>24</v>
      </c>
      <c r="M465" s="45" t="str">
        <f ca="1">IF(ISERROR(F445),"",M442)</f>
        <v>Cuml. Earned Credits:</v>
      </c>
      <c r="N465" s="43">
        <f ca="1">IF(ISERROR(F445),"",VLOOKUP(B445,INDIRECT($F$8),10+(O463-1)*3,0))</f>
        <v>24</v>
      </c>
    </row>
    <row r="466" spans="1:24" ht="11.25" customHeight="1" x14ac:dyDescent="0.2">
      <c r="A466" s="43"/>
      <c r="B466" s="45"/>
      <c r="C466" s="45"/>
      <c r="D466" s="43"/>
      <c r="E466" s="45"/>
      <c r="F466" s="45"/>
      <c r="G466" s="43"/>
      <c r="H466" s="46"/>
      <c r="I466" s="43"/>
      <c r="J466" s="46"/>
      <c r="K466" s="45"/>
      <c r="L466" s="43"/>
      <c r="M466" s="45"/>
      <c r="N466" s="43"/>
    </row>
    <row r="467" spans="1:24" ht="15" x14ac:dyDescent="0.2">
      <c r="A467" s="43"/>
      <c r="B467" s="45"/>
      <c r="C467" s="45"/>
      <c r="D467" s="43"/>
      <c r="E467" s="45"/>
      <c r="F467" s="45"/>
      <c r="G467" s="43"/>
      <c r="H467" s="46"/>
      <c r="I467" s="43"/>
      <c r="J467" s="46"/>
      <c r="K467" s="45"/>
      <c r="L467" s="43"/>
      <c r="M467" s="45"/>
      <c r="N467" s="43"/>
    </row>
    <row r="468" spans="1:24" ht="11.25" customHeight="1" x14ac:dyDescent="0.2">
      <c r="A468" s="11" t="str">
        <f>A445</f>
        <v>MM</v>
      </c>
      <c r="B468" s="11">
        <f>B445+1</f>
        <v>21</v>
      </c>
      <c r="C468" s="11" t="str">
        <f>C445</f>
        <v>SC</v>
      </c>
      <c r="D468" s="11" t="str">
        <f>D445</f>
        <v>SN</v>
      </c>
      <c r="E468" s="11" t="str">
        <f>E445</f>
        <v>C</v>
      </c>
      <c r="F468" s="11" t="e">
        <f ca="1">VLOOKUP(B468,INDIRECT($F$8),4,0)</f>
        <v>#N/A</v>
      </c>
    </row>
    <row r="469" spans="1:24" ht="11.25" customHeight="1" x14ac:dyDescent="0.2">
      <c r="A469" s="47" t="str">
        <f ca="1">IF(ISERROR(F468),"",A446)</f>
        <v/>
      </c>
      <c r="B469" s="47" t="str">
        <f ca="1">IFERROR(VLOOKUP(B468,INDIRECT($F$8),4,0),"")</f>
        <v/>
      </c>
      <c r="C469" s="47"/>
      <c r="D469" s="47" t="str">
        <f ca="1">IF(ISERROR(F468),"",D446)</f>
        <v/>
      </c>
      <c r="E469" s="47" t="str">
        <f ca="1">IFERROR(VLOOKUP(B468,INDIRECT($F$8),5,0),"")</f>
        <v/>
      </c>
      <c r="F469" s="47"/>
      <c r="G469" s="47" t="str">
        <f ca="1">IF(ISERROR(F468),"",G446)</f>
        <v/>
      </c>
      <c r="H469" s="47"/>
      <c r="I469" s="48" t="str">
        <f ca="1">IFERROR(VLOOKUP(B468,INDIRECT($F$8),2,0),"")</f>
        <v/>
      </c>
      <c r="J469" s="48"/>
      <c r="K469" s="47" t="str">
        <f ca="1">IF(ISERROR(F468),"",K446)</f>
        <v/>
      </c>
      <c r="L469" s="47"/>
      <c r="M469" s="48" t="str">
        <f ca="1">IFERROR(VLOOKUP(B468,INDIRECT($F$8),3,0),"")</f>
        <v/>
      </c>
      <c r="N469" s="48"/>
    </row>
    <row r="470" spans="1:24" ht="15" x14ac:dyDescent="0.2">
      <c r="A470" s="47"/>
      <c r="B470" s="47"/>
      <c r="C470" s="47"/>
      <c r="D470" s="47"/>
      <c r="E470" s="47"/>
      <c r="F470" s="47"/>
      <c r="G470" s="47"/>
      <c r="H470" s="47"/>
      <c r="I470" s="48"/>
      <c r="J470" s="48"/>
      <c r="K470" s="47"/>
      <c r="L470" s="47"/>
      <c r="M470" s="48"/>
      <c r="N470" s="48"/>
    </row>
    <row r="471" spans="1:24" ht="11.25" customHeight="1" x14ac:dyDescent="0.2">
      <c r="A471" s="45" t="str">
        <f ca="1">IF(ISERROR(F468),"",A448)</f>
        <v/>
      </c>
      <c r="B471" s="45" t="str">
        <f ca="1">IF(ISERROR(F468),"",B448)</f>
        <v/>
      </c>
      <c r="C471" s="45"/>
      <c r="D471" s="45"/>
      <c r="E471" s="45"/>
      <c r="F471" s="45" t="str">
        <f ca="1">IF(ISERROR(F468),"",F448)</f>
        <v/>
      </c>
      <c r="G471" s="45" t="str">
        <f ca="1">IF(ISERROR(F468),"",G448)</f>
        <v/>
      </c>
      <c r="H471" s="45"/>
      <c r="I471" s="45" t="str">
        <f ca="1">IF(ISERROR(F468),"",I448)</f>
        <v/>
      </c>
      <c r="J471" s="45"/>
      <c r="K471" s="45" t="str">
        <f ca="1">IF(ISERROR(F468),"",K448)</f>
        <v/>
      </c>
      <c r="L471" s="45"/>
      <c r="M471" s="45" t="str">
        <f ca="1">IF(ISERROR(F468),"",M448)</f>
        <v/>
      </c>
      <c r="N471" s="45" t="str">
        <f ca="1">IF(ISERROR(F468),"",N448)</f>
        <v/>
      </c>
    </row>
    <row r="472" spans="1:24" ht="15" x14ac:dyDescent="0.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W472">
        <f ca="1">IF(ISNUMBER(MATCH($F$8,{"I","III","V","VII"},0)),10,10-INDEX(INDIRECT(_xlfn.TEXTJOIN("",TRUE,"SEM_",$G$8,"!",ADDRESS(6,4+$I$8*3+4),":",ADDRESS(5+$H$8,4+$I$8*3+4))),MATCH(INDIRECT(_xlfn.TEXTJOIN("",TRUE,"TC_",$F$8,"!",ADDRESS(ROW(I469),COLUMN(I469)))),INDIRECT(_xlfn.TEXTJOIN("",TRUE,"SEM_",$G$8,"!",ADDRESS(6,2),":",ADDRESS(5+$H$8,2))))))</f>
        <v>10</v>
      </c>
    </row>
    <row r="473" spans="1:24" ht="11.25" customHeight="1" x14ac:dyDescent="0.2">
      <c r="A473" s="7" t="str">
        <f ca="1">IF(ISERROR(F468),"",VLOOKUP(C468,INDIRECT($F$8),6+(O473-1)*3,0))</f>
        <v/>
      </c>
      <c r="B473" s="41" t="str">
        <f ca="1">IF(ISERROR(F468),"",VLOOKUP(D468,INDIRECT($F$8),6+(O473-1)*3,0))</f>
        <v/>
      </c>
      <c r="C473" s="41"/>
      <c r="D473" s="41"/>
      <c r="E473" s="41"/>
      <c r="F473" s="7" t="str">
        <f ca="1">IF(ISERROR(F468),"",VLOOKUP(E468,INDIRECT($F$8),6+(O473-1)*3,0))</f>
        <v/>
      </c>
      <c r="G473" s="42" t="str">
        <f ca="1">IF(ISERROR(F468),"",_xlfn.TEXTJOIN("/",FALSE,P473,S473))</f>
        <v/>
      </c>
      <c r="H473" s="42"/>
      <c r="I473" s="42" t="str">
        <f ca="1">IF(ISERROR(F468),"",_xlfn.TEXTJOIN("/",FALSE,Q473,T473))</f>
        <v/>
      </c>
      <c r="J473" s="42"/>
      <c r="K473" s="42" t="str">
        <f ca="1">IF(ISERROR(F468),"",_xlfn.TEXTJOIN("/",FALSE,R473,U473))</f>
        <v/>
      </c>
      <c r="L473" s="42"/>
      <c r="M473" s="7" t="str">
        <f ca="1">IF(ISERROR(F468),"",IF(ISTEXT(P473),IF(P473="A","Ab",IF(P473="D","Dt",IF(P473="UFM","UFM",IF(P473="NA","-")))),IF(AND(ISBLANK(P473),ISBLANK(R473)),"",IF(P473&lt;0.3*S473,"F",IF(ISBLANK(R473),"",IF(ISTEXT(R473),R473,IF(R473&gt;=0.95*U473,"O",IF(R473&gt;=0.9*U473,"A+",IF(R473&gt;=0.85*U473,"A",IF(R473&gt;=0.8*U473,"B+",IF(R473&gt;=0.75*U473,"B",IF(R473&gt;=0.7*U473,"C+",IF(R473&gt;=0.65*U473,"C",IF(R473&gt;=0.6*U473,"D+",IF(R473&gt;=0.55*U473,"D",IF(R473&gt;=0.5*U473,"E+",IF(R473&gt;=0.45*U473,"E",IF(R473&gt;=0.4*U473,"P",IF(R473&lt;0.4*U473,"F",R473)))))))))))))))))))</f>
        <v/>
      </c>
      <c r="N473" s="8" t="e">
        <f ca="1">INDEX($Z$2:$Z$18,MATCH(M473,$Y$2:$Y$18,0))</f>
        <v>#N/A</v>
      </c>
      <c r="O473">
        <v>1</v>
      </c>
      <c r="P473" s="1" t="str">
        <f ca="1">IF(ISERROR(F468),"",IF(ISTEXT(VLOOKUP(B468,INDIRECT($F$8),6+(O473-1)*3)),(VLOOKUP(B468,INDIRECT($F$8),6+(O473-1)*3)),SUM(VLOOKUP(B468,INDIRECT($F$8),6+(O473-1)*3),IF(W487,W473,0))))</f>
        <v/>
      </c>
      <c r="Q473" s="1" t="str">
        <f ca="1">IF(ISERROR(F468),"",VLOOKUP(B468,INDIRECT($F$8),7+(O473-1)*3))</f>
        <v/>
      </c>
      <c r="R473" s="1" t="str">
        <f ca="1">IF(ISERROR(F468),"",SUM(P473:Q473))</f>
        <v/>
      </c>
      <c r="S473" s="1" t="str">
        <f ca="1">IF(ISERROR(F468),"",VLOOKUP(A468,INDIRECT($F$8),6+(O473-1)*3))</f>
        <v/>
      </c>
      <c r="T473" s="1" t="str">
        <f ca="1">IF(ISERROR(F468),"",VLOOKUP(A468,INDIRECT($F$8),7+(O473-1)*3))</f>
        <v/>
      </c>
      <c r="U473" s="1" t="str">
        <f ca="1">IF(ISERROR(F468),"",VLOOKUP(A468,INDIRECT($F$8),8+(O473-1)*3))</f>
        <v/>
      </c>
      <c r="V473" s="1" t="str">
        <f ca="1">IF(ISERROR(F468),"",IF(N473=0,A473,""))</f>
        <v/>
      </c>
      <c r="W473" s="1" t="str">
        <f ca="1">IF(ISERROR(F468),"",IF(ISTEXT(VLOOKUP(B468,INDIRECT($F$8),6+(O473-1)*3)),11,IF(VLOOKUP(B468,INDIRECT($F$8),6+(O473-1)*3)&lt;S473*0.3,IF(VLOOKUP(B468,INDIRECT($F$8),8+(O473-1)*3)&lt;U473*0.4,IF(AND(0.4*U473-VLOOKUP(B468,INDIRECT($F$8),8+(O473-1)*3)&lt;=5,0.3*S473-VLOOKUP(B468,INDIRECT($F$8),6+(O473-1)*3)&lt;=5),MAX(0.4*U473-VLOOKUP(B468,INDIRECT($F$8),8+(O473-1)*3),0.3*S473-VLOOKUP(B468,INDIRECT($F$8),6+(O473-1)*3)),11),IF(0.3*S473-VLOOKUP(B468,INDIRECT($F$8),6+(O473-1)*3)&lt;=5,0.3*S473-VLOOKUP(B468,INDIRECT($F$8),6+(O473-1)*3),11)),IF(VLOOKUP(B468,INDIRECT($F$8),8+(O473-1)*3)&lt;U473*0.4,IF(U473*0.4-VLOOKUP(B468,INDIRECT($F$8),8+(O473-1)*3)&lt;=5,U473*0.4-VLOOKUP(B468,INDIRECT($F$8),8+(O473-1)*3),11),0))))</f>
        <v/>
      </c>
      <c r="X473" s="1" t="str">
        <f ca="1">IF(ISERROR(F468),"",IF(W473=0,"",_xlfn.TEXTJOIN("",FALSE," G+",W473," in ",A473)))</f>
        <v/>
      </c>
    </row>
    <row r="474" spans="1:24" ht="11.25" customHeight="1" x14ac:dyDescent="0.2">
      <c r="A474" s="7" t="str">
        <f ca="1">IF(ISERROR(F468),"",VLOOKUP(C468,INDIRECT($F$8),6+(O474-1)*3,0))</f>
        <v/>
      </c>
      <c r="B474" s="41" t="str">
        <f ca="1">IF(ISERROR(F468),"",VLOOKUP(D468,INDIRECT($F$8),6+(O474-1)*3,0))</f>
        <v/>
      </c>
      <c r="C474" s="41"/>
      <c r="D474" s="41"/>
      <c r="E474" s="41"/>
      <c r="F474" s="7" t="str">
        <f ca="1">IF(ISERROR(F468),"",VLOOKUP(E468,INDIRECT($F$8),6+(O474-1)*3,0))</f>
        <v/>
      </c>
      <c r="G474" s="42" t="str">
        <f ca="1">IF(ISERROR(F468),"",_xlfn.TEXTJOIN("/",FALSE,P474,S474))</f>
        <v/>
      </c>
      <c r="H474" s="42"/>
      <c r="I474" s="42" t="str">
        <f ca="1">IF(ISERROR(F468),"",_xlfn.TEXTJOIN("/",FALSE,Q474,T474))</f>
        <v/>
      </c>
      <c r="J474" s="42"/>
      <c r="K474" s="42" t="str">
        <f ca="1">IF(ISERROR(F468),"",_xlfn.TEXTJOIN("/",FALSE,R474,U474))</f>
        <v/>
      </c>
      <c r="L474" s="42"/>
      <c r="M474" s="7" t="str">
        <f ca="1">IF(ISERROR(F468),"",IF(ISTEXT(P474),IF(P474="A","Ab",IF(P474="D","Dt",IF(P474="UFM","UFM",IF(P474="NA","-")))),IF(AND(ISBLANK(P474),ISBLANK(R474)),"",IF(P474&lt;0.3*S474,"F",IF(ISBLANK(R474),"",IF(ISTEXT(R474),R474,IF(R474&gt;=0.95*U474,"O",IF(R474&gt;=0.9*U474,"A+",IF(R474&gt;=0.85*U474,"A",IF(R474&gt;=0.8*U474,"B+",IF(R474&gt;=0.75*U474,"B",IF(R474&gt;=0.7*U474,"C+",IF(R474&gt;=0.65*U474,"C",IF(R474&gt;=0.6*U474,"D+",IF(R474&gt;=0.55*U474,"D",IF(R474&gt;=0.5*U474,"E+",IF(R474&gt;=0.45*U474,"E",IF(R474&gt;=0.4*U474,"P",IF(R474&lt;0.4*U474,"F",R474)))))))))))))))))))</f>
        <v/>
      </c>
      <c r="N474" s="8" t="e">
        <f t="shared" ref="N474:N485" ca="1" si="40">INDEX($Z$2:$Z$18,MATCH(M474,$Y$2:$Y$18,0))</f>
        <v>#N/A</v>
      </c>
      <c r="O474">
        <f>O473+1</f>
        <v>2</v>
      </c>
      <c r="P474" s="1" t="str">
        <f ca="1">IF(ISERROR(F468),"",IF(ISTEXT(VLOOKUP(B468,INDIRECT($F$8),6+(O474-1)*3)),(VLOOKUP(B468,INDIRECT($F$8),6+(O474-1)*3)),SUM(VLOOKUP(B468,INDIRECT($F$8),6+(O474-1)*3),IF(W487,W474,0))))</f>
        <v/>
      </c>
      <c r="Q474" s="1" t="str">
        <f ca="1">IF(ISERROR(F468),"",VLOOKUP(B468,INDIRECT($F$8),7+(O474-1)*3))</f>
        <v/>
      </c>
      <c r="R474" s="1" t="str">
        <f ca="1">IF(ISERROR(F468),"",SUM(P474:Q474))</f>
        <v/>
      </c>
      <c r="S474" s="1" t="str">
        <f ca="1">IF(ISERROR(F468),"",VLOOKUP(A468,INDIRECT($F$8),6+(O474-1)*3))</f>
        <v/>
      </c>
      <c r="T474" s="1" t="str">
        <f ca="1">IF(ISERROR(F468),"",VLOOKUP(A468,INDIRECT($F$8),7+(O474-1)*3))</f>
        <v/>
      </c>
      <c r="U474" s="1" t="str">
        <f ca="1">IF(ISERROR(F468),"",VLOOKUP(A468,INDIRECT($F$8),8+(O474-1)*3))</f>
        <v/>
      </c>
      <c r="V474" s="1" t="str">
        <f ca="1">IF(ISERROR(F468),"",IF(N474=0,A474,""))</f>
        <v/>
      </c>
      <c r="W474" s="1" t="str">
        <f ca="1">IF(ISERROR(F468),"",IF(ISTEXT(VLOOKUP(B468,INDIRECT($F$8),6+(O474-1)*3)),11,IF(VLOOKUP(B468,INDIRECT($F$8),6+(O474-1)*3)&lt;S474*0.3,IF(VLOOKUP(B468,INDIRECT($F$8),8+(O474-1)*3)&lt;U474*0.4,IF(AND(0.4*U474-VLOOKUP(B468,INDIRECT($F$8),8+(O474-1)*3)&lt;=5,0.3*S474-VLOOKUP(B468,INDIRECT($F$8),6+(O474-1)*3)&lt;=5),MAX(0.4*U474-VLOOKUP(B468,INDIRECT($F$8),8+(O474-1)*3),0.3*S474-VLOOKUP(B468,INDIRECT($F$8),6+(O474-1)*3)),11),IF(0.3*S474-VLOOKUP(B468,INDIRECT($F$8),6+(O474-1)*3)&lt;=5,0.3*S474-VLOOKUP(B468,INDIRECT($F$8),6+(O474-1)*3),11)),IF(VLOOKUP(B468,INDIRECT($F$8),8+(O474-1)*3)&lt;U474*0.4,IF(U474*0.4-VLOOKUP(B468,INDIRECT($F$8),8+(O474-1)*3)&lt;=5,U474*0.4-VLOOKUP(B468,INDIRECT($F$8),8+(O474-1)*3),11),0))))</f>
        <v/>
      </c>
      <c r="X474" s="1" t="str">
        <f ca="1">IF(ISERROR(F468),"",IF(W474=0,"",_xlfn.TEXTJOIN("",FALSE," G+",W474," in ",A474)))</f>
        <v/>
      </c>
    </row>
    <row r="475" spans="1:24" ht="11.25" customHeight="1" x14ac:dyDescent="0.2">
      <c r="A475" s="7" t="str">
        <f ca="1">IF(ISERROR(F468),"",VLOOKUP(C468,INDIRECT($F$8),6+(O475-1)*3,0))</f>
        <v/>
      </c>
      <c r="B475" s="41" t="str">
        <f ca="1">IF(ISERROR(F468),"",VLOOKUP(D468,INDIRECT($F$8),6+(O475-1)*3,0))</f>
        <v/>
      </c>
      <c r="C475" s="41"/>
      <c r="D475" s="41"/>
      <c r="E475" s="41"/>
      <c r="F475" s="7" t="str">
        <f ca="1">IF(ISERROR(F468),"",VLOOKUP(E468,INDIRECT($F$8),6+(O475-1)*3,0))</f>
        <v/>
      </c>
      <c r="G475" s="42" t="str">
        <f ca="1">IF(ISERROR(F468),"",_xlfn.TEXTJOIN("/",FALSE,P475,S475))</f>
        <v/>
      </c>
      <c r="H475" s="42"/>
      <c r="I475" s="42" t="str">
        <f ca="1">IF(ISERROR(F468),"",_xlfn.TEXTJOIN("/",FALSE,Q475,T475))</f>
        <v/>
      </c>
      <c r="J475" s="42"/>
      <c r="K475" s="42" t="str">
        <f ca="1">IF(ISERROR(F468),"",_xlfn.TEXTJOIN("/",FALSE,R475,U475))</f>
        <v/>
      </c>
      <c r="L475" s="42"/>
      <c r="M475" s="7" t="str">
        <f ca="1">IF(ISERROR(F468),"",IF(ISTEXT(P475),IF(P475="A","Ab",IF(P475="D","Dt",IF(P475="UFM","UFM",IF(P475="NA","-")))),IF(AND(ISBLANK(P475),ISBLANK(R475)),"",IF(P475&lt;0.3*S475,"F",IF(ISBLANK(R475),"",IF(ISTEXT(R475),R475,IF(R475&gt;=0.95*U475,"O",IF(R475&gt;=0.9*U475,"A+",IF(R475&gt;=0.85*U475,"A",IF(R475&gt;=0.8*U475,"B+",IF(R475&gt;=0.75*U475,"B",IF(R475&gt;=0.7*U475,"C+",IF(R475&gt;=0.65*U475,"C",IF(R475&gt;=0.6*U475,"D+",IF(R475&gt;=0.55*U475,"D",IF(R475&gt;=0.5*U475,"E+",IF(R475&gt;=0.45*U475,"E",IF(R475&gt;=0.4*U475,"P",IF(R475&lt;0.4*U475,"F",R475)))))))))))))))))))</f>
        <v/>
      </c>
      <c r="N475" s="8" t="e">
        <f t="shared" ca="1" si="40"/>
        <v>#N/A</v>
      </c>
      <c r="O475">
        <f>O474+1</f>
        <v>3</v>
      </c>
      <c r="P475" s="1" t="str">
        <f ca="1">IF(ISERROR(F468),"",IF(ISTEXT(VLOOKUP(B468,INDIRECT($F$8),6+(O475-1)*3)),(VLOOKUP(B468,INDIRECT($F$8),6+(O475-1)*3)),SUM(VLOOKUP(B468,INDIRECT($F$8),6+(O475-1)*3),IF(W487,W475,0))))</f>
        <v/>
      </c>
      <c r="Q475" s="1" t="str">
        <f ca="1">IF(ISERROR(F468),"",VLOOKUP(B468,INDIRECT($F$8),7+(O475-1)*3))</f>
        <v/>
      </c>
      <c r="R475" s="1" t="str">
        <f ca="1">IF(ISERROR(F468),"",SUM(P475:Q475))</f>
        <v/>
      </c>
      <c r="S475" s="1" t="str">
        <f ca="1">IF(ISERROR(F468),"",VLOOKUP(A468,INDIRECT($F$8),6+(O475-1)*3))</f>
        <v/>
      </c>
      <c r="T475" s="1" t="str">
        <f ca="1">IF(ISERROR(F468),"",VLOOKUP(A468,INDIRECT($F$8),7+(O475-1)*3))</f>
        <v/>
      </c>
      <c r="U475" s="1" t="str">
        <f ca="1">IF(ISERROR(F468),"",VLOOKUP(A468,INDIRECT($F$8),8+(O475-1)*3))</f>
        <v/>
      </c>
      <c r="V475" s="1" t="str">
        <f ca="1">IF(ISERROR(F468),"",IF(N475=0,A475,""))</f>
        <v/>
      </c>
      <c r="W475" s="1" t="str">
        <f ca="1">IF(ISERROR(F468),"",IF(ISTEXT(VLOOKUP(B468,INDIRECT($F$8),6+(O475-1)*3)),11,IF(VLOOKUP(B468,INDIRECT($F$8),6+(O475-1)*3)&lt;S475*0.3,IF(VLOOKUP(B468,INDIRECT($F$8),8+(O475-1)*3)&lt;U475*0.4,IF(AND(0.4*U475-VLOOKUP(B468,INDIRECT($F$8),8+(O475-1)*3)&lt;=5,0.3*S475-VLOOKUP(B468,INDIRECT($F$8),6+(O475-1)*3)&lt;=5),MAX(0.4*U475-VLOOKUP(B468,INDIRECT($F$8),8+(O475-1)*3),0.3*S475-VLOOKUP(B468,INDIRECT($F$8),6+(O475-1)*3)),11),IF(0.3*S475-VLOOKUP(B468,INDIRECT($F$8),6+(O475-1)*3)&lt;=5,0.3*S475-VLOOKUP(B468,INDIRECT($F$8),6+(O475-1)*3),11)),IF(VLOOKUP(B468,INDIRECT($F$8),8+(O475-1)*3)&lt;U475*0.4,IF(U475*0.4-VLOOKUP(B468,INDIRECT($F$8),8+(O475-1)*3)&lt;=5,U475*0.4-VLOOKUP(B468,INDIRECT($F$8),8+(O475-1)*3),11),0))))</f>
        <v/>
      </c>
      <c r="X475" s="1" t="str">
        <f ca="1">IF(ISERROR(F468),"",IF(W475=0,"",_xlfn.TEXTJOIN("",FALSE," G+",W475," in ",A475)))</f>
        <v/>
      </c>
    </row>
    <row r="476" spans="1:24" ht="11.25" customHeight="1" x14ac:dyDescent="0.2">
      <c r="A476" s="7" t="str">
        <f ca="1">IF(ISERROR(F468),"",VLOOKUP(C468,INDIRECT($F$8),6+(O476-1)*3,0))</f>
        <v/>
      </c>
      <c r="B476" s="41" t="str">
        <f ca="1">IF(ISERROR(F468),"",VLOOKUP(D468,INDIRECT($F$8),6+(O476-1)*3,0))</f>
        <v/>
      </c>
      <c r="C476" s="41"/>
      <c r="D476" s="41"/>
      <c r="E476" s="41"/>
      <c r="F476" s="7" t="str">
        <f ca="1">IF(ISERROR(F468),"",VLOOKUP(E468,INDIRECT($F$8),6+(O476-1)*3,0))</f>
        <v/>
      </c>
      <c r="G476" s="42" t="str">
        <f ca="1">IF(ISERROR(F468),"",_xlfn.TEXTJOIN("/",FALSE,P476,S476))</f>
        <v/>
      </c>
      <c r="H476" s="42"/>
      <c r="I476" s="42" t="str">
        <f ca="1">IF(ISERROR(F468),"",_xlfn.TEXTJOIN("/",FALSE,Q476,T476))</f>
        <v/>
      </c>
      <c r="J476" s="42"/>
      <c r="K476" s="42" t="str">
        <f ca="1">IF(ISERROR(F468),"",_xlfn.TEXTJOIN("/",FALSE,R476,U476))</f>
        <v/>
      </c>
      <c r="L476" s="42"/>
      <c r="M476" s="7" t="str">
        <f ca="1">IF(ISERROR(F468),"",IF(ISTEXT(P476),IF(P476="A","Ab",IF(P476="D","Dt",IF(P476="UFM","UFM",IF(P476="NA","-")))),IF(AND(ISBLANK(P476),ISBLANK(R476)),"",IF(P476&lt;0.3*S476,"F",IF(ISBLANK(R476),"",IF(ISTEXT(R476),R476,IF(R476&gt;=0.95*U476,"O",IF(R476&gt;=0.9*U476,"A+",IF(R476&gt;=0.85*U476,"A",IF(R476&gt;=0.8*U476,"B+",IF(R476&gt;=0.75*U476,"B",IF(R476&gt;=0.7*U476,"C+",IF(R476&gt;=0.65*U476,"C",IF(R476&gt;=0.6*U476,"D+",IF(R476&gt;=0.55*U476,"D",IF(R476&gt;=0.5*U476,"E+",IF(R476&gt;=0.45*U476,"E",IF(R476&gt;=0.4*U476,"P",IF(R476&lt;0.4*U476,"F",R476)))))))))))))))))))</f>
        <v/>
      </c>
      <c r="N476" s="8" t="e">
        <f t="shared" ca="1" si="40"/>
        <v>#N/A</v>
      </c>
      <c r="O476">
        <f>O475+1</f>
        <v>4</v>
      </c>
      <c r="P476" s="1" t="str">
        <f ca="1">IF(ISERROR(F468),"",IF(ISTEXT(VLOOKUP(B468,INDIRECT($F$8),6+(O476-1)*3)),(VLOOKUP(B468,INDIRECT($F$8),6+(O476-1)*3)),SUM(VLOOKUP(B468,INDIRECT($F$8),6+(O476-1)*3),IF(W487,W476,0))))</f>
        <v/>
      </c>
      <c r="Q476" s="1" t="str">
        <f ca="1">IF(ISERROR(F468),"",VLOOKUP(B468,INDIRECT($F$8),7+(O476-1)*3))</f>
        <v/>
      </c>
      <c r="R476" s="1" t="str">
        <f ca="1">IF(ISERROR(F468),"",SUM(P476:Q476))</f>
        <v/>
      </c>
      <c r="S476" s="1" t="str">
        <f ca="1">IF(ISERROR(F468),"",VLOOKUP(A468,INDIRECT($F$8),6+(O476-1)*3))</f>
        <v/>
      </c>
      <c r="T476" s="1" t="str">
        <f ca="1">IF(ISERROR(F468),"",VLOOKUP(A468,INDIRECT($F$8),7+(O476-1)*3))</f>
        <v/>
      </c>
      <c r="U476" s="1" t="str">
        <f ca="1">IF(ISERROR(F468),"",VLOOKUP(A468,INDIRECT($F$8),8+(O476-1)*3))</f>
        <v/>
      </c>
      <c r="V476" s="1" t="str">
        <f ca="1">IF(ISERROR(F468),"",IF(N476=0,A476,""))</f>
        <v/>
      </c>
      <c r="W476" s="1" t="str">
        <f ca="1">IF(ISERROR(F468),"",IF(ISTEXT(VLOOKUP(B468,INDIRECT($F$8),6+(O476-1)*3)),11,IF(VLOOKUP(B468,INDIRECT($F$8),6+(O476-1)*3)&lt;S476*0.3,IF(VLOOKUP(B468,INDIRECT($F$8),8+(O476-1)*3)&lt;U476*0.4,IF(AND(0.4*U476-VLOOKUP(B468,INDIRECT($F$8),8+(O476-1)*3)&lt;=5,0.3*S476-VLOOKUP(B468,INDIRECT($F$8),6+(O476-1)*3)&lt;=5),MAX(0.4*U476-VLOOKUP(B468,INDIRECT($F$8),8+(O476-1)*3),0.3*S476-VLOOKUP(B468,INDIRECT($F$8),6+(O476-1)*3)),11),IF(0.3*S476-VLOOKUP(B468,INDIRECT($F$8),6+(O476-1)*3)&lt;=5,0.3*S476-VLOOKUP(B468,INDIRECT($F$8),6+(O476-1)*3),11)),IF(VLOOKUP(B468,INDIRECT($F$8),8+(O476-1)*3)&lt;U476*0.4,IF(U476*0.4-VLOOKUP(B468,INDIRECT($F$8),8+(O476-1)*3)&lt;=5,U476*0.4-VLOOKUP(B468,INDIRECT($F$8),8+(O476-1)*3),11),0))))</f>
        <v/>
      </c>
      <c r="X476" s="1" t="str">
        <f ca="1">IF(ISERROR(F468),"",IF(W476=0,"",_xlfn.TEXTJOIN("",FALSE," G+",W476," in ",A476)))</f>
        <v/>
      </c>
    </row>
    <row r="477" spans="1:24" ht="11.25" customHeight="1" x14ac:dyDescent="0.2">
      <c r="A477" s="7" t="str">
        <f ca="1">IF(ISERROR(F468),"",VLOOKUP(C468,INDIRECT($F$8),6+(O477-1)*3,0))</f>
        <v/>
      </c>
      <c r="B477" s="41" t="str">
        <f ca="1">IF(ISERROR(F468),"",VLOOKUP(D468,INDIRECT($F$8),6+(O477-1)*3,0))</f>
        <v/>
      </c>
      <c r="C477" s="41"/>
      <c r="D477" s="41"/>
      <c r="E477" s="41"/>
      <c r="F477" s="7" t="str">
        <f ca="1">IF(ISERROR(F468),"",VLOOKUP(E468,INDIRECT($F$8),6+(O477-1)*3,0))</f>
        <v/>
      </c>
      <c r="G477" s="42" t="str">
        <f ca="1">IF(ISERROR(F468),"",_xlfn.TEXTJOIN("/",FALSE,P477,S477))</f>
        <v/>
      </c>
      <c r="H477" s="42"/>
      <c r="I477" s="42" t="str">
        <f ca="1">IF(ISERROR(F468),"",_xlfn.TEXTJOIN("/",FALSE,Q477,T477))</f>
        <v/>
      </c>
      <c r="J477" s="42"/>
      <c r="K477" s="42" t="str">
        <f ca="1">IF(ISERROR(F468),"",_xlfn.TEXTJOIN("/",FALSE,R477,U477))</f>
        <v/>
      </c>
      <c r="L477" s="42"/>
      <c r="M477" s="7" t="str">
        <f ca="1">IF(ISERROR(F468),"",IF(ISTEXT(P477),IF(P477="A","Ab",IF(P477="D","Dt",IF(P477="UFM","UFM",IF(P477="NA","-")))),IF(AND(ISBLANK(P477),ISBLANK(R477)),"",IF(P477&lt;0.3*S477,"F",IF(ISBLANK(R477),"",IF(ISTEXT(R477),R477,IF(R477&gt;=0.95*U477,"O",IF(R477&gt;=0.9*U477,"A+",IF(R477&gt;=0.85*U477,"A",IF(R477&gt;=0.8*U477,"B+",IF(R477&gt;=0.75*U477,"B",IF(R477&gt;=0.7*U477,"C+",IF(R477&gt;=0.65*U477,"C",IF(R477&gt;=0.6*U477,"D+",IF(R477&gt;=0.55*U477,"D",IF(R477&gt;=0.5*U477,"E+",IF(R477&gt;=0.45*U477,"E",IF(R477&gt;=0.4*U477,"P",IF(R477&lt;0.4*U477,"F",R477)))))))))))))))))))</f>
        <v/>
      </c>
      <c r="N477" s="8" t="e">
        <f t="shared" ca="1" si="40"/>
        <v>#N/A</v>
      </c>
      <c r="O477">
        <f t="shared" ref="O477:O486" si="41">O476+1</f>
        <v>5</v>
      </c>
      <c r="P477" s="1" t="str">
        <f ca="1">IF(ISERROR(F468),"",IF(ISTEXT(VLOOKUP(B468,INDIRECT($F$8),6+(O477-1)*3)),(VLOOKUP(B468,INDIRECT($F$8),6+(O477-1)*3)),SUM(VLOOKUP(B468,INDIRECT($F$8),6+(O477-1)*3),IF(W487,W477,0))))</f>
        <v/>
      </c>
      <c r="Q477" s="1" t="str">
        <f ca="1">IF(ISERROR(F468),"",VLOOKUP(B468,INDIRECT($F$8),7+(O477-1)*3))</f>
        <v/>
      </c>
      <c r="R477" s="1" t="str">
        <f ca="1">IF(ISERROR(F468),"",SUM(P477:Q477))</f>
        <v/>
      </c>
      <c r="S477" s="1" t="str">
        <f ca="1">IF(ISERROR(F468),"",VLOOKUP(A468,INDIRECT($F$8),6+(O477-1)*3))</f>
        <v/>
      </c>
      <c r="T477" s="1" t="str">
        <f ca="1">IF(ISERROR(F468),"",VLOOKUP(A468,INDIRECT($F$8),7+(O477-1)*3))</f>
        <v/>
      </c>
      <c r="U477" s="1" t="str">
        <f ca="1">IF(ISERROR(F468),"",VLOOKUP(A468,INDIRECT($F$8),8+(O477-1)*3))</f>
        <v/>
      </c>
      <c r="V477" s="1" t="str">
        <f ca="1">IF(ISERROR(F468),"",IF(N477=0,A477,""))</f>
        <v/>
      </c>
      <c r="W477" s="1" t="str">
        <f ca="1">IF(ISERROR(F468),"",IF(ISTEXT(VLOOKUP(B468,INDIRECT($F$8),6+(O477-1)*3)),11,IF(VLOOKUP(B468,INDIRECT($F$8),6+(O477-1)*3)&lt;S477*0.3,IF(VLOOKUP(B468,INDIRECT($F$8),8+(O477-1)*3)&lt;U477*0.4,IF(AND(0.4*U477-VLOOKUP(B468,INDIRECT($F$8),8+(O477-1)*3)&lt;=5,0.3*S477-VLOOKUP(B468,INDIRECT($F$8),6+(O477-1)*3)&lt;=5),MAX(0.4*U477-VLOOKUP(B468,INDIRECT($F$8),8+(O477-1)*3),0.3*S477-VLOOKUP(B468,INDIRECT($F$8),6+(O477-1)*3)),11),IF(0.3*S477-VLOOKUP(B468,INDIRECT($F$8),6+(O477-1)*3)&lt;=5,0.3*S477-VLOOKUP(B468,INDIRECT($F$8),6+(O477-1)*3),11)),IF(VLOOKUP(B468,INDIRECT($F$8),8+(O477-1)*3)&lt;U477*0.4,IF(U477*0.4-VLOOKUP(B468,INDIRECT($F$8),8+(O477-1)*3)&lt;=5,U477*0.4-VLOOKUP(B468,INDIRECT($F$8),8+(O477-1)*3),11),0))))</f>
        <v/>
      </c>
      <c r="X477" s="1" t="str">
        <f ca="1">IF(ISERROR(F468),"",IF(W477=0,"",_xlfn.TEXTJOIN("",FALSE," G+",W477," in ",A477)))</f>
        <v/>
      </c>
    </row>
    <row r="478" spans="1:24" ht="11.25" customHeight="1" x14ac:dyDescent="0.2">
      <c r="A478" s="7" t="str">
        <f ca="1">IF(ISERROR(F468),"",VLOOKUP(C468,INDIRECT($F$8),6+(O478-1)*3,0))</f>
        <v/>
      </c>
      <c r="B478" s="41" t="str">
        <f ca="1">IF(ISERROR(F468),"",VLOOKUP(D468,INDIRECT($F$8),6+(O478-1)*3,0))</f>
        <v/>
      </c>
      <c r="C478" s="41"/>
      <c r="D478" s="41"/>
      <c r="E478" s="41"/>
      <c r="F478" s="7" t="str">
        <f ca="1">IF(ISERROR(F468),"",VLOOKUP(E468,INDIRECT($F$8),6+(O478-1)*3,0))</f>
        <v/>
      </c>
      <c r="G478" s="42" t="str">
        <f ca="1">IF(ISERROR(F468),"",_xlfn.TEXTJOIN("/",FALSE,P478,S478))</f>
        <v/>
      </c>
      <c r="H478" s="42"/>
      <c r="I478" s="42" t="str">
        <f ca="1">IF(ISERROR(F468),"",_xlfn.TEXTJOIN("/",FALSE,Q478,T478))</f>
        <v/>
      </c>
      <c r="J478" s="42"/>
      <c r="K478" s="42" t="str">
        <f ca="1">IF(ISERROR(F468),"",_xlfn.TEXTJOIN("/",FALSE,R478,U478))</f>
        <v/>
      </c>
      <c r="L478" s="42"/>
      <c r="M478" s="7" t="str">
        <f ca="1">IF(ISERROR(F468),"",IF(ISTEXT(P478),IF(P478="A","Ab",IF(P478="D","Dt",IF(P478="UFM","UFM",IF(P478="NA","-")))),IF(AND(ISBLANK(P478),ISBLANK(R478)),"",IF(P478&lt;0.3*S478,"F",IF(ISBLANK(R478),"",IF(ISTEXT(R478),R478,IF(R478&gt;=0.95*U478,"O",IF(R478&gt;=0.9*U478,"A+",IF(R478&gt;=0.85*U478,"A",IF(R478&gt;=0.8*U478,"B+",IF(R478&gt;=0.75*U478,"B",IF(R478&gt;=0.7*U478,"C+",IF(R478&gt;=0.65*U478,"C",IF(R478&gt;=0.6*U478,"D+",IF(R478&gt;=0.55*U478,"D",IF(R478&gt;=0.5*U478,"E+",IF(R478&gt;=0.45*U478,"E",IF(R478&gt;=0.4*U478,"P",IF(R478&lt;0.4*U478,"F",R478)))))))))))))))))))</f>
        <v/>
      </c>
      <c r="N478" s="8" t="e">
        <f t="shared" ca="1" si="40"/>
        <v>#N/A</v>
      </c>
      <c r="O478">
        <f t="shared" si="41"/>
        <v>6</v>
      </c>
      <c r="P478" s="1" t="str">
        <f ca="1">IF(ISERROR(F468),"",IF(ISTEXT(VLOOKUP(B468,INDIRECT($F$8),6+(O478-1)*3)),(VLOOKUP(B468,INDIRECT($F$8),6+(O478-1)*3)),SUM(VLOOKUP(B468,INDIRECT($F$8),6+(O478-1)*3),IF(W487,W478,0))))</f>
        <v/>
      </c>
      <c r="Q478" s="1" t="str">
        <f ca="1">IF(ISERROR(F468),"",VLOOKUP(B468,INDIRECT($F$8),7+(O478-1)*3))</f>
        <v/>
      </c>
      <c r="R478" s="1" t="str">
        <f ca="1">IF(ISERROR(F468),"",SUM(P478:Q478))</f>
        <v/>
      </c>
      <c r="S478" s="1" t="str">
        <f ca="1">IF(ISERROR(F468),"",VLOOKUP(A468,INDIRECT($F$8),6+(O478-1)*3))</f>
        <v/>
      </c>
      <c r="T478" s="1" t="str">
        <f ca="1">IF(ISERROR(F468),"",VLOOKUP(A468,INDIRECT($F$8),7+(O478-1)*3))</f>
        <v/>
      </c>
      <c r="U478" s="1" t="str">
        <f ca="1">IF(ISERROR(F468),"",VLOOKUP(A468,INDIRECT($F$8),8+(O478-1)*3))</f>
        <v/>
      </c>
      <c r="V478" s="1" t="str">
        <f ca="1">IF(ISERROR(F468),"",IF(N478=0,A478,""))</f>
        <v/>
      </c>
      <c r="W478" s="1" t="str">
        <f ca="1">IF(ISERROR(F468),"",IF(ISTEXT(VLOOKUP(B468,INDIRECT($F$8),6+(O478-1)*3)),11,IF(VLOOKUP(B468,INDIRECT($F$8),6+(O478-1)*3)&lt;S478*0.3,IF(VLOOKUP(B468,INDIRECT($F$8),8+(O478-1)*3)&lt;U478*0.4,IF(AND(0.4*U478-VLOOKUP(B468,INDIRECT($F$8),8+(O478-1)*3)&lt;=5,0.3*S478-VLOOKUP(B468,INDIRECT($F$8),6+(O478-1)*3)&lt;=5),MAX(0.4*U478-VLOOKUP(B468,INDIRECT($F$8),8+(O478-1)*3),0.3*S478-VLOOKUP(B468,INDIRECT($F$8),6+(O478-1)*3)),11),IF(0.3*S478-VLOOKUP(B468,INDIRECT($F$8),6+(O478-1)*3)&lt;=5,0.3*S478-VLOOKUP(B468,INDIRECT($F$8),6+(O478-1)*3),11)),IF(VLOOKUP(B468,INDIRECT($F$8),8+(O478-1)*3)&lt;U478*0.4,IF(U478*0.4-VLOOKUP(B468,INDIRECT($F$8),8+(O478-1)*3)&lt;=5,U478*0.4-VLOOKUP(B468,INDIRECT($F$8),8+(O478-1)*3),11),0))))</f>
        <v/>
      </c>
      <c r="X478" s="1" t="str">
        <f ca="1">IF(ISERROR(F468),"",IF(W478=0,"",_xlfn.TEXTJOIN("",FALSE," G+",W478," in ",A478)))</f>
        <v/>
      </c>
    </row>
    <row r="479" spans="1:24" ht="11.25" customHeight="1" x14ac:dyDescent="0.2">
      <c r="A479" s="7" t="str">
        <f ca="1">IF(ISERROR(F468),"",VLOOKUP(C468,INDIRECT($F$8),6+(O479-1)*3,0))</f>
        <v/>
      </c>
      <c r="B479" s="41" t="str">
        <f ca="1">IF(ISERROR(F468),"",VLOOKUP(D468,INDIRECT($F$8),6+(O479-1)*3,0))</f>
        <v/>
      </c>
      <c r="C479" s="41"/>
      <c r="D479" s="41"/>
      <c r="E479" s="41"/>
      <c r="F479" s="7" t="str">
        <f ca="1">IF(ISERROR(F468),"",VLOOKUP(E468,INDIRECT($F$8),6+(O479-1)*3,0))</f>
        <v/>
      </c>
      <c r="G479" s="42" t="str">
        <f ca="1">IF(ISERROR(F468),"",_xlfn.TEXTJOIN("/",FALSE,P479,S479))</f>
        <v/>
      </c>
      <c r="H479" s="42"/>
      <c r="I479" s="42" t="str">
        <f ca="1">IF(ISERROR(F468),"",_xlfn.TEXTJOIN("/",FALSE,Q479,T479))</f>
        <v/>
      </c>
      <c r="J479" s="42"/>
      <c r="K479" s="42" t="str">
        <f ca="1">IF(ISERROR(F468),"",_xlfn.TEXTJOIN("/",FALSE,R479,U479))</f>
        <v/>
      </c>
      <c r="L479" s="42"/>
      <c r="M479" s="7" t="str">
        <f ca="1">IF(ISERROR(F468),"",IF(ISTEXT(P479),IF(P479="A","Ab",IF(P479="D","Dt",IF(P479="UFM","UFM",IF(P479="NA","-")))),IF(AND(ISBLANK(P479),ISBLANK(R479)),"",IF(P479&lt;0.3*S479,"F",IF(ISBLANK(R479),"",IF(ISTEXT(R479),R479,IF(R479&gt;=0.95*U479,"O",IF(R479&gt;=0.9*U479,"A+",IF(R479&gt;=0.85*U479,"A",IF(R479&gt;=0.8*U479,"B+",IF(R479&gt;=0.75*U479,"B",IF(R479&gt;=0.7*U479,"C+",IF(R479&gt;=0.65*U479,"C",IF(R479&gt;=0.6*U479,"D+",IF(R479&gt;=0.55*U479,"D",IF(R479&gt;=0.5*U479,"E+",IF(R479&gt;=0.45*U479,"E",IF(R479&gt;=0.4*U479,"P",IF(R479&lt;0.4*U479,"F",R479)))))))))))))))))))</f>
        <v/>
      </c>
      <c r="N479" s="8" t="e">
        <f t="shared" ca="1" si="40"/>
        <v>#N/A</v>
      </c>
      <c r="O479">
        <f t="shared" si="41"/>
        <v>7</v>
      </c>
      <c r="P479" s="1" t="str">
        <f ca="1">IF(ISERROR(F468),"",IF(ISTEXT(VLOOKUP(B468,INDIRECT($F$8),6+(O479-1)*3)),(VLOOKUP(B468,INDIRECT($F$8),6+(O479-1)*3)),SUM(VLOOKUP(B468,INDIRECT($F$8),6+(O479-1)*3),IF(W487,W479,0))))</f>
        <v/>
      </c>
      <c r="Q479" s="1" t="str">
        <f ca="1">IF(ISERROR(F468),"",VLOOKUP(B468,INDIRECT($F$8),7+(O479-1)*3))</f>
        <v/>
      </c>
      <c r="R479" s="1" t="str">
        <f ca="1">IF(ISERROR(F468),"",SUM(P479:Q479))</f>
        <v/>
      </c>
      <c r="S479" s="1" t="str">
        <f ca="1">IF(ISERROR(F468),"",VLOOKUP(A468,INDIRECT($F$8),6+(O479-1)*3))</f>
        <v/>
      </c>
      <c r="T479" s="1" t="str">
        <f ca="1">IF(ISERROR(F468),"",VLOOKUP(A468,INDIRECT($F$8),7+(O479-1)*3))</f>
        <v/>
      </c>
      <c r="U479" s="1" t="str">
        <f ca="1">IF(ISERROR(F468),"",VLOOKUP(A468,INDIRECT($F$8),8+(O479-1)*3))</f>
        <v/>
      </c>
      <c r="V479" s="1" t="str">
        <f ca="1">IF(ISERROR(F468),"",IF(N479=0,A479,""))</f>
        <v/>
      </c>
      <c r="W479" s="1" t="str">
        <f ca="1">IF(ISERROR(F468),"",IF(ISTEXT(VLOOKUP(B468,INDIRECT($F$8),6+(O479-1)*3)),11,IF(VLOOKUP(B468,INDIRECT($F$8),6+(O479-1)*3)&lt;S479*0.3,IF(VLOOKUP(B468,INDIRECT($F$8),8+(O479-1)*3)&lt;U479*0.4,IF(AND(0.4*U479-VLOOKUP(B468,INDIRECT($F$8),8+(O479-1)*3)&lt;=5,0.3*S479-VLOOKUP(B468,INDIRECT($F$8),6+(O479-1)*3)&lt;=5),MAX(0.4*U479-VLOOKUP(B468,INDIRECT($F$8),8+(O479-1)*3),0.3*S479-VLOOKUP(B468,INDIRECT($F$8),6+(O479-1)*3)),11),IF(0.3*S479-VLOOKUP(B468,INDIRECT($F$8),6+(O479-1)*3)&lt;=5,0.3*S479-VLOOKUP(B468,INDIRECT($F$8),6+(O479-1)*3),11)),IF(VLOOKUP(B468,INDIRECT($F$8),8+(O479-1)*3)&lt;U479*0.4,IF(U479*0.4-VLOOKUP(B468,INDIRECT($F$8),8+(O479-1)*3)&lt;=5,U479*0.4-VLOOKUP(B468,INDIRECT($F$8),8+(O479-1)*3),11),0))))</f>
        <v/>
      </c>
      <c r="X479" s="1" t="str">
        <f ca="1">IF(ISERROR(F468),"",IF(W479=0,"",_xlfn.TEXTJOIN("",FALSE," G+",W479," in ",A479)))</f>
        <v/>
      </c>
    </row>
    <row r="480" spans="1:24" ht="11.25" customHeight="1" x14ac:dyDescent="0.2">
      <c r="A480" s="7" t="str">
        <f ca="1">IF(ISERROR(F468),"",VLOOKUP(C468,INDIRECT($F$8),6+(O480-1)*3,0))</f>
        <v/>
      </c>
      <c r="B480" s="41" t="str">
        <f ca="1">IF(ISERROR(F468),"",VLOOKUP(D468,INDIRECT($F$8),6+(O480-1)*3,0))</f>
        <v/>
      </c>
      <c r="C480" s="41"/>
      <c r="D480" s="41"/>
      <c r="E480" s="41"/>
      <c r="F480" s="7" t="str">
        <f ca="1">IF(ISERROR(F468),"",VLOOKUP(E468,INDIRECT($F$8),6+(O480-1)*3,0))</f>
        <v/>
      </c>
      <c r="G480" s="42" t="str">
        <f ca="1">IF(ISERROR(F468),"",_xlfn.TEXTJOIN("/",FALSE,P480,S480))</f>
        <v/>
      </c>
      <c r="H480" s="42"/>
      <c r="I480" s="42" t="str">
        <f ca="1">IF(ISERROR(F468),"",_xlfn.TEXTJOIN("/",FALSE,Q480,T480))</f>
        <v/>
      </c>
      <c r="J480" s="42"/>
      <c r="K480" s="42" t="str">
        <f ca="1">IF(ISERROR(F468),"",_xlfn.TEXTJOIN("/",FALSE,R480,U480))</f>
        <v/>
      </c>
      <c r="L480" s="42"/>
      <c r="M480" s="7" t="str">
        <f ca="1">IF(ISERROR(F468),"",IF(ISTEXT(P480),IF(P480="A","Ab",IF(P480="D","Dt",IF(P480="UFM","UFM",IF(P480="NA","-")))),IF(AND(ISBLANK(P480),ISBLANK(R480)),"",IF(P480&lt;0.3*S480,"F",IF(ISBLANK(R480),"",IF(ISTEXT(R480),R480,IF(R480&gt;=0.95*U480,"O",IF(R480&gt;=0.9*U480,"A+",IF(R480&gt;=0.85*U480,"A",IF(R480&gt;=0.8*U480,"B+",IF(R480&gt;=0.75*U480,"B",IF(R480&gt;=0.7*U480,"C+",IF(R480&gt;=0.65*U480,"C",IF(R480&gt;=0.6*U480,"D+",IF(R480&gt;=0.55*U480,"D",IF(R480&gt;=0.5*U480,"E+",IF(R480&gt;=0.45*U480,"E",IF(R480&gt;=0.4*U480,"P",IF(R480&lt;0.4*U480,"F",R480)))))))))))))))))))</f>
        <v/>
      </c>
      <c r="N480" s="8" t="e">
        <f t="shared" ca="1" si="40"/>
        <v>#N/A</v>
      </c>
      <c r="O480">
        <f t="shared" si="41"/>
        <v>8</v>
      </c>
      <c r="P480" s="1" t="str">
        <f ca="1">IF(ISERROR(F468),"",IF(ISTEXT(VLOOKUP(B468,INDIRECT($F$8),6+(O480-1)*3)),(VLOOKUP(B468,INDIRECT($F$8),6+(O480-1)*3)),SUM(VLOOKUP(B468,INDIRECT($F$8),6+(O480-1)*3),IF(W487,W480,0))))</f>
        <v/>
      </c>
      <c r="Q480" s="1" t="str">
        <f ca="1">IF(ISERROR(F468),"",VLOOKUP(B468,INDIRECT($F$8),7+(O480-1)*3))</f>
        <v/>
      </c>
      <c r="R480" s="1" t="str">
        <f ca="1">IF(ISERROR(F468),"",SUM(P480:Q480))</f>
        <v/>
      </c>
      <c r="S480" s="1" t="str">
        <f ca="1">IF(ISERROR(F468),"",VLOOKUP(A468,INDIRECT($F$8),6+(O480-1)*3))</f>
        <v/>
      </c>
      <c r="T480" s="1" t="str">
        <f ca="1">IF(ISERROR(F468),"",VLOOKUP(A468,INDIRECT($F$8),7+(O480-1)*3))</f>
        <v/>
      </c>
      <c r="U480" s="1" t="str">
        <f ca="1">IF(ISERROR(F468),"",VLOOKUP(A468,INDIRECT($F$8),8+(O480-1)*3))</f>
        <v/>
      </c>
      <c r="V480" s="1" t="str">
        <f ca="1">IF(ISERROR(F468),"",IF(N480=0,A480,""))</f>
        <v/>
      </c>
      <c r="W480" s="1" t="str">
        <f ca="1">IF(ISERROR(F468),"",IF(ISTEXT(VLOOKUP(B468,INDIRECT($F$8),6+(O480-1)*3)),11,IF(VLOOKUP(B468,INDIRECT($F$8),6+(O480-1)*3)&lt;S480*0.3,IF(VLOOKUP(B468,INDIRECT($F$8),8+(O480-1)*3)&lt;U480*0.4,IF(AND(0.4*U480-VLOOKUP(B468,INDIRECT($F$8),8+(O480-1)*3)&lt;=5,0.3*S480-VLOOKUP(B468,INDIRECT($F$8),6+(O480-1)*3)&lt;=5),MAX(0.4*U480-VLOOKUP(B468,INDIRECT($F$8),8+(O480-1)*3),0.3*S480-VLOOKUP(B468,INDIRECT($F$8),6+(O480-1)*3)),11),IF(0.3*S480-VLOOKUP(B468,INDIRECT($F$8),6+(O480-1)*3)&lt;=5,0.3*S480-VLOOKUP(B468,INDIRECT($F$8),6+(O480-1)*3),11)),IF(VLOOKUP(B468,INDIRECT($F$8),8+(O480-1)*3)&lt;U480*0.4,IF(U480*0.4-VLOOKUP(B468,INDIRECT($F$8),8+(O480-1)*3)&lt;=5,U480*0.4-VLOOKUP(B468,INDIRECT($F$8),8+(O480-1)*3),11),0))))</f>
        <v/>
      </c>
      <c r="X480" s="1" t="str">
        <f ca="1">IF(ISERROR(F468),"",IF(W480=0,"",_xlfn.TEXTJOIN("",FALSE," G+",W480," in ",A480)))</f>
        <v/>
      </c>
    </row>
    <row r="481" spans="1:24" ht="11.25" customHeight="1" x14ac:dyDescent="0.2">
      <c r="A481" s="7" t="str">
        <f ca="1">IF(ISERROR(F468),"",VLOOKUP(C468,INDIRECT($F$8),6+(O481-1)*3,0))</f>
        <v/>
      </c>
      <c r="B481" s="41" t="str">
        <f ca="1">IF(ISERROR(F468),"",VLOOKUP(D468,INDIRECT($F$8),6+(O481-1)*3-Z481,0))</f>
        <v/>
      </c>
      <c r="C481" s="41"/>
      <c r="D481" s="41"/>
      <c r="E481" s="41"/>
      <c r="F481" s="7" t="str">
        <f ca="1">IF(ISERROR(F468),"",VLOOKUP(E468,INDIRECT($F$8),6+(O481-1)*3,0))</f>
        <v/>
      </c>
      <c r="G481" s="42" t="str">
        <f ca="1">IF(ISERROR(F468),"",_xlfn.TEXTJOIN("/",FALSE,P481,S481))</f>
        <v/>
      </c>
      <c r="H481" s="42"/>
      <c r="I481" s="42" t="str">
        <f ca="1">IF(ISERROR(F468),"",_xlfn.TEXTJOIN("/",FALSE,Q481,T481))</f>
        <v/>
      </c>
      <c r="J481" s="42"/>
      <c r="K481" s="42" t="str">
        <f ca="1">IF(ISERROR(F468),"",_xlfn.TEXTJOIN("/",FALSE,R481,U481))</f>
        <v/>
      </c>
      <c r="L481" s="42"/>
      <c r="M481" s="7" t="str">
        <f ca="1">IF(ISERROR(F468),"",IF(ISTEXT(P481),IF(P481="A","Ab",IF(P481="D","Dt",IF(P481="UFM","UFM",IF(P481="NA","-")))),IF(AND(ISBLANK(P481),ISBLANK(R481)),"",IF(P481&lt;0.3*S481,"F",IF(ISBLANK(R481),"",IF(ISTEXT(R481),R481,IF(R481&gt;=0.95*U481,"O",IF(R481&gt;=0.9*U481,"A+",IF(R481&gt;=0.85*U481,"A",IF(R481&gt;=0.8*U481,"B+",IF(R481&gt;=0.75*U481,"B",IF(R481&gt;=0.7*U481,"C+",IF(R481&gt;=0.65*U481,"C",IF(R481&gt;=0.6*U481,"D+",IF(R481&gt;=0.55*U481,"D",IF(R481&gt;=0.5*U481,"E+",IF(R481&gt;=0.45*U481,"E",IF(R481&gt;=0.4*U481,"P",IF(R481&lt;0.4*U481,"F",R481)))))))))))))))))))</f>
        <v/>
      </c>
      <c r="N481" s="8" t="e">
        <f t="shared" ca="1" si="40"/>
        <v>#N/A</v>
      </c>
      <c r="O481">
        <f t="shared" si="41"/>
        <v>9</v>
      </c>
      <c r="P481" s="1" t="str">
        <f ca="1">IF(ISERROR(F468),"",IF(ISTEXT(VLOOKUP(B468,INDIRECT($F$8),6+(O481-1)*3)),(VLOOKUP(B468,INDIRECT($F$8),6+(O481-1)*3)),SUM(VLOOKUP(B468,INDIRECT($F$8),6+(O481-1)*3),IF(W487,W481,0))))</f>
        <v/>
      </c>
      <c r="Q481" s="1" t="str">
        <f ca="1">IF(ISERROR(F468),"",VLOOKUP(B468,INDIRECT($F$8),7+(O481-1)*3))</f>
        <v/>
      </c>
      <c r="R481" s="1" t="str">
        <f ca="1">IF(ISERROR(F468),"",SUM(P481:Q481))</f>
        <v/>
      </c>
      <c r="S481" s="1" t="str">
        <f ca="1">IF(ISERROR(F468),"",VLOOKUP(A468,INDIRECT($F$8),6+(O481-1)*3))</f>
        <v/>
      </c>
      <c r="T481" s="1" t="str">
        <f ca="1">IF(ISERROR(F468),"",VLOOKUP(A468,INDIRECT($F$8),7+(O481-1)*3))</f>
        <v/>
      </c>
      <c r="U481" s="1" t="str">
        <f ca="1">IF(ISERROR(F468),"",VLOOKUP(A468,INDIRECT($F$8),8+(O481-1)*3))</f>
        <v/>
      </c>
      <c r="V481" s="1" t="str">
        <f ca="1">IF(ISERROR(F468),"",IF(N481=0,A481,""))</f>
        <v/>
      </c>
      <c r="W481" s="1" t="str">
        <f ca="1">IF(ISERROR(F468),"",IF(ISTEXT(VLOOKUP(B468,INDIRECT($F$8),6+(O481-1)*3)),11,IF(VLOOKUP(B468,INDIRECT($F$8),6+(O481-1)*3)&lt;S481*0.3,IF(VLOOKUP(B468,INDIRECT($F$8),8+(O481-1)*3)&lt;U481*0.4,IF(AND(0.4*U481-VLOOKUP(B468,INDIRECT($F$8),8+(O481-1)*3)&lt;=5,0.3*S481-VLOOKUP(B468,INDIRECT($F$8),6+(O481-1)*3)&lt;=5),MAX(0.4*U481-VLOOKUP(B468,INDIRECT($F$8),8+(O481-1)*3),0.3*S481-VLOOKUP(B468,INDIRECT($F$8),6+(O481-1)*3)),11),IF(0.3*S481-VLOOKUP(B468,INDIRECT($F$8),6+(O481-1)*3)&lt;=5,0.3*S481-VLOOKUP(B468,INDIRECT($F$8),6+(O481-1)*3),11)),IF(VLOOKUP(B468,INDIRECT($F$8),8+(O481-1)*3)&lt;U481*0.4,IF(U481*0.4-VLOOKUP(B468,INDIRECT($F$8),8+(O481-1)*3)&lt;=5,U481*0.4-VLOOKUP(B468,INDIRECT($F$8),8+(O481-1)*3),11),0))))</f>
        <v/>
      </c>
      <c r="X481" s="1" t="str">
        <f ca="1">IF(ISERROR(F468),"",IF(W481=0,"",_xlfn.TEXTJOIN("",FALSE," G+",W481," in ",A481)))</f>
        <v/>
      </c>
    </row>
    <row r="482" spans="1:24" ht="11.25" customHeight="1" x14ac:dyDescent="0.2">
      <c r="A482" s="7" t="str">
        <f ca="1">IF(ISERROR(F468),"",VLOOKUP(C468,INDIRECT($F$8),6+(O482-1)*3,0))</f>
        <v/>
      </c>
      <c r="B482" s="41" t="str">
        <f ca="1">IF(ISERROR(F468),"",VLOOKUP(D468,INDIRECT($F$8),6+(O482-1)*3-Z482,0))</f>
        <v/>
      </c>
      <c r="C482" s="41"/>
      <c r="D482" s="41"/>
      <c r="E482" s="41"/>
      <c r="F482" s="7" t="str">
        <f ca="1">IF(ISERROR(F468),"",VLOOKUP(E468,INDIRECT($F$8),6+(O482-1)*3,0))</f>
        <v/>
      </c>
      <c r="G482" s="42" t="str">
        <f ca="1">IF(ISERROR(F468),"",_xlfn.TEXTJOIN("/",FALSE,P482,S482))</f>
        <v/>
      </c>
      <c r="H482" s="42"/>
      <c r="I482" s="42" t="str">
        <f ca="1">IF(ISERROR(F468),"",_xlfn.TEXTJOIN("/",FALSE,Q482,T482))</f>
        <v/>
      </c>
      <c r="J482" s="42"/>
      <c r="K482" s="42" t="str">
        <f ca="1">IF(ISERROR(F468),"",_xlfn.TEXTJOIN("/",FALSE,R482,U482))</f>
        <v/>
      </c>
      <c r="L482" s="42"/>
      <c r="M482" s="7" t="str">
        <f ca="1">IF(ISERROR(F468),"",IF(ISTEXT(P482),IF(P482="A","Ab",IF(P482="D","Dt",IF(P482="UFM","UFM",IF(P482="NA","-")))),IF(AND(ISBLANK(P482),ISBLANK(R482)),"",IF(P482&lt;0.3*S482,"F",IF(ISBLANK(R482),"",IF(ISTEXT(R482),R482,IF(R482&gt;=0.95*U482,"O",IF(R482&gt;=0.9*U482,"A+",IF(R482&gt;=0.85*U482,"A",IF(R482&gt;=0.8*U482,"B+",IF(R482&gt;=0.75*U482,"B",IF(R482&gt;=0.7*U482,"C+",IF(R482&gt;=0.65*U482,"C",IF(R482&gt;=0.6*U482,"D+",IF(R482&gt;=0.55*U482,"D",IF(R482&gt;=0.5*U482,"E+",IF(R482&gt;=0.45*U482,"E",IF(R482&gt;=0.4*U482,"P",IF(R482&lt;0.4*U482,"F",R482)))))))))))))))))))</f>
        <v/>
      </c>
      <c r="N482" s="8" t="e">
        <f t="shared" ca="1" si="40"/>
        <v>#N/A</v>
      </c>
      <c r="O482">
        <f t="shared" si="41"/>
        <v>10</v>
      </c>
      <c r="P482" s="1" t="str">
        <f ca="1">IF(ISERROR(F468),"",IF(ISTEXT(VLOOKUP(B468,INDIRECT($F$8),6+(O482-1)*3)),(VLOOKUP(B468,INDIRECT($F$8),6+(O482-1)*3)),SUM(VLOOKUP(B468,INDIRECT($F$8),6+(O482-1)*3),IF(W487,W482,0))))</f>
        <v/>
      </c>
      <c r="Q482" s="1" t="str">
        <f ca="1">IF(ISERROR(F468),"",VLOOKUP(B468,INDIRECT($F$8),7+(O482-1)*3))</f>
        <v/>
      </c>
      <c r="R482" s="1" t="str">
        <f ca="1">IF(ISERROR(F468),"",SUM(P482:Q482))</f>
        <v/>
      </c>
      <c r="S482" s="1" t="str">
        <f ca="1">IF(ISERROR(F468),"",VLOOKUP(A468,INDIRECT($F$8),6+(O482-1)*3))</f>
        <v/>
      </c>
      <c r="T482" s="1" t="str">
        <f ca="1">IF(ISERROR(F468),"",VLOOKUP(A468,INDIRECT($F$8),7+(O482-1)*3))</f>
        <v/>
      </c>
      <c r="U482" s="1" t="str">
        <f ca="1">IF(ISERROR(F468),"",VLOOKUP(A468,INDIRECT($F$8),8+(O482-1)*3))</f>
        <v/>
      </c>
      <c r="V482" s="1" t="str">
        <f ca="1">IF(ISERROR(F468),"",IF(N482=0,A482,""))</f>
        <v/>
      </c>
      <c r="W482" s="1" t="str">
        <f ca="1">IF(ISERROR(F468),"",IF(ISTEXT(VLOOKUP(B468,INDIRECT($F$8),6+(O482-1)*3)),11,IF(VLOOKUP(B468,INDIRECT($F$8),6+(O482-1)*3)&lt;S482*0.3,IF(VLOOKUP(B468,INDIRECT($F$8),8+(O482-1)*3)&lt;U482*0.4,IF(AND(0.4*U482-VLOOKUP(B468,INDIRECT($F$8),8+(O482-1)*3)&lt;=5,0.3*S482-VLOOKUP(B468,INDIRECT($F$8),6+(O482-1)*3)&lt;=5),MAX(0.4*U482-VLOOKUP(B468,INDIRECT($F$8),8+(O482-1)*3),0.3*S482-VLOOKUP(B468,INDIRECT($F$8),6+(O482-1)*3)),11),IF(0.3*S482-VLOOKUP(B468,INDIRECT($F$8),6+(O482-1)*3)&lt;=5,0.3*S482-VLOOKUP(B468,INDIRECT($F$8),6+(O482-1)*3),11)),IF(VLOOKUP(B468,INDIRECT($F$8),8+(O482-1)*3)&lt;U482*0.4,IF(U482*0.4-VLOOKUP(B468,INDIRECT($F$8),8+(O482-1)*3)&lt;=5,U482*0.4-VLOOKUP(B468,INDIRECT($F$8),8+(O482-1)*3),11),0))))</f>
        <v/>
      </c>
      <c r="X482" s="1" t="str">
        <f ca="1">IF(ISERROR(F468),"",IF(W482=0,"",_xlfn.TEXTJOIN("",FALSE," G+",W482," in ",A482)))</f>
        <v/>
      </c>
    </row>
    <row r="483" spans="1:24" ht="11.25" customHeight="1" x14ac:dyDescent="0.2">
      <c r="A483" s="7" t="str">
        <f ca="1">IF(ISERROR(F468),"",VLOOKUP(C468,INDIRECT($F$8),6+(O483-1)*3,0))</f>
        <v/>
      </c>
      <c r="B483" s="41" t="str">
        <f ca="1">IF(ISERROR(F468),"",VLOOKUP(D468,INDIRECT($F$8),6+(O483-1)*3,0))</f>
        <v/>
      </c>
      <c r="C483" s="41"/>
      <c r="D483" s="41"/>
      <c r="E483" s="41"/>
      <c r="F483" s="7" t="str">
        <f ca="1">IF(ISERROR(F468),"",VLOOKUP(E468,INDIRECT($F$8),6+(O483-1)*3,0))</f>
        <v/>
      </c>
      <c r="G483" s="42" t="str">
        <f ca="1">IF(ISERROR(F468),"",_xlfn.TEXTJOIN("/",FALSE,P483,S483))</f>
        <v/>
      </c>
      <c r="H483" s="42"/>
      <c r="I483" s="42" t="str">
        <f ca="1">IF(ISERROR(F468),"",_xlfn.TEXTJOIN("/",FALSE,Q483,T483))</f>
        <v/>
      </c>
      <c r="J483" s="42"/>
      <c r="K483" s="42" t="str">
        <f ca="1">IF(ISERROR(F468),"",_xlfn.TEXTJOIN("/",FALSE,R483,U483))</f>
        <v/>
      </c>
      <c r="L483" s="42"/>
      <c r="M483" s="7" t="str">
        <f ca="1">IF(ISERROR(F468),"",IF(ISTEXT(P483),IF(P483="A","Ab",IF(P483="D","Dt",IF(P483="UFM","UFM",IF(P483="NA","-")))),IF(AND(ISBLANK(P483),ISBLANK(R483)),"",IF(P483&lt;0.3*S483,"F",IF(ISBLANK(R483),"",IF(ISTEXT(R483),R483,IF(R483&gt;=0.95*U483,"O",IF(R483&gt;=0.9*U483,"A+",IF(R483&gt;=0.85*U483,"A",IF(R483&gt;=0.8*U483,"B+",IF(R483&gt;=0.75*U483,"B",IF(R483&gt;=0.7*U483,"C+",IF(R483&gt;=0.65*U483,"C",IF(R483&gt;=0.6*U483,"D+",IF(R483&gt;=0.55*U483,"D",IF(R483&gt;=0.5*U483,"E+",IF(R483&gt;=0.45*U483,"E",IF(R483&gt;=0.4*U483,"P",IF(R483&lt;0.4*U483,"F",R483)))))))))))))))))))</f>
        <v/>
      </c>
      <c r="N483" s="8" t="e">
        <f t="shared" ca="1" si="40"/>
        <v>#N/A</v>
      </c>
      <c r="O483">
        <f t="shared" si="41"/>
        <v>11</v>
      </c>
      <c r="P483" s="1" t="str">
        <f ca="1">IF(ISERROR(F468),"",IF(ISTEXT(VLOOKUP(B468,INDIRECT($F$8),6+(O483-1)*3)),(VLOOKUP(B468,INDIRECT($F$8),6+(O483-1)*3)),SUM(VLOOKUP(B468,INDIRECT($F$8),6+(O483-1)*3),IF(W487,W483,0))))</f>
        <v/>
      </c>
      <c r="Q483" s="1" t="str">
        <f ca="1">IF(ISERROR(F468),"",VLOOKUP(B468,INDIRECT($F$8),7+(O483-1)*3))</f>
        <v/>
      </c>
      <c r="R483" s="1" t="str">
        <f ca="1">IF(ISERROR(F468),"",SUM(P483:Q483))</f>
        <v/>
      </c>
      <c r="S483" s="1" t="str">
        <f ca="1">IF(ISERROR(F468),"",VLOOKUP(A468,INDIRECT($F$8),6+(O483-1)*3))</f>
        <v/>
      </c>
      <c r="T483" s="1" t="str">
        <f ca="1">IF(ISERROR(F468),"",VLOOKUP(A468,INDIRECT($F$8),7+(O483-1)*3))</f>
        <v/>
      </c>
      <c r="U483" s="1" t="str">
        <f ca="1">IF(ISERROR(F468),"",VLOOKUP(A468,INDIRECT($F$8),8+(O483-1)*3))</f>
        <v/>
      </c>
      <c r="V483" s="1" t="str">
        <f ca="1">IF(ISERROR(F468),"",IF(N483=0,A483,""))</f>
        <v/>
      </c>
      <c r="W483" s="1" t="str">
        <f ca="1">IF(ISERROR(F468),"",IF(ISTEXT(VLOOKUP(B468,INDIRECT($F$8),6+(O483-1)*3)),11,IF(VLOOKUP(B468,INDIRECT($F$8),6+(O483-1)*3)&lt;S483*0.3,IF(VLOOKUP(B468,INDIRECT($F$8),8+(O483-1)*3)&lt;U483*0.4,IF(AND(0.4*U483-VLOOKUP(B468,INDIRECT($F$8),8+(O483-1)*3)&lt;=5,0.3*S483-VLOOKUP(B468,INDIRECT($F$8),6+(O483-1)*3)&lt;=5),MAX(0.4*U483-VLOOKUP(B468,INDIRECT($F$8),8+(O483-1)*3),0.3*S483-VLOOKUP(B468,INDIRECT($F$8),6+(O483-1)*3)),11),IF(0.3*S483-VLOOKUP(B468,INDIRECT($F$8),6+(O483-1)*3)&lt;=5,0.3*S483-VLOOKUP(B468,INDIRECT($F$8),6+(O483-1)*3),11)),IF(VLOOKUP(B468,INDIRECT($F$8),8+(O483-1)*3)&lt;U483*0.4,IF(U483*0.4-VLOOKUP(B468,INDIRECT($F$8),8+(O483-1)*3)&lt;=5,U483*0.4-VLOOKUP(B468,INDIRECT($F$8),8+(O483-1)*3),11),0))))</f>
        <v/>
      </c>
      <c r="X483" s="1" t="str">
        <f ca="1">IF(ISERROR(F468),"",IF(W483=0,"",_xlfn.TEXTJOIN("",FALSE," G+",W483," in ",A483)))</f>
        <v/>
      </c>
    </row>
    <row r="484" spans="1:24" ht="11.25" customHeight="1" x14ac:dyDescent="0.2">
      <c r="A484" s="7" t="str">
        <f ca="1">IF(ISERROR(F468),"",VLOOKUP(C468,INDIRECT($F$8),6+(O484-1)*3,0))</f>
        <v/>
      </c>
      <c r="B484" s="41" t="str">
        <f ca="1">IF(ISERROR(F468),"",VLOOKUP(D468,INDIRECT($F$8),6+(O484-1)*3,0))</f>
        <v/>
      </c>
      <c r="C484" s="41"/>
      <c r="D484" s="41"/>
      <c r="E484" s="41"/>
      <c r="F484" s="7" t="str">
        <f ca="1">IF(ISERROR(F468),"",VLOOKUP(E468,INDIRECT($F$8),6+(O484-1)*3,0))</f>
        <v/>
      </c>
      <c r="G484" s="42" t="str">
        <f ca="1">IF(ISERROR(F468),"",_xlfn.TEXTJOIN("/",FALSE,P484,S484))</f>
        <v/>
      </c>
      <c r="H484" s="42"/>
      <c r="I484" s="42" t="str">
        <f ca="1">IF(ISERROR(F468),"",_xlfn.TEXTJOIN("/",FALSE,Q484,T484))</f>
        <v/>
      </c>
      <c r="J484" s="42"/>
      <c r="K484" s="42" t="str">
        <f ca="1">IF(ISERROR(F468),"",_xlfn.TEXTJOIN("/",FALSE,R484,U484))</f>
        <v/>
      </c>
      <c r="L484" s="42"/>
      <c r="M484" s="7" t="str">
        <f ca="1">IF(ISERROR(F468),"",IF(ISTEXT(P484),IF(P484="A","Ab",IF(P484="D","Dt",IF(P484="UFM","UFM",IF(P484="NA","-")))),IF(AND(ISBLANK(P484),ISBLANK(R484)),"",IF(P484&lt;0.3*S484,"F",IF(ISBLANK(R484),"",IF(ISTEXT(R484),R484,IF(R484&gt;=0.95*U484,"O",IF(R484&gt;=0.9*U484,"A+",IF(R484&gt;=0.85*U484,"A",IF(R484&gt;=0.8*U484,"B+",IF(R484&gt;=0.75*U484,"B",IF(R484&gt;=0.7*U484,"C+",IF(R484&gt;=0.65*U484,"C",IF(R484&gt;=0.6*U484,"D+",IF(R484&gt;=0.55*U484,"D",IF(R484&gt;=0.5*U484,"E+",IF(R484&gt;=0.45*U484,"E",IF(R484&gt;=0.4*U484,"P",IF(R484&lt;0.4*U484,"F",R484)))))))))))))))))))</f>
        <v/>
      </c>
      <c r="N484" s="8" t="e">
        <f t="shared" ca="1" si="40"/>
        <v>#N/A</v>
      </c>
      <c r="O484">
        <f t="shared" si="41"/>
        <v>12</v>
      </c>
      <c r="P484" s="1" t="str">
        <f ca="1">IF(ISERROR(F468),"",IF(ISTEXT(VLOOKUP(B468,INDIRECT($F$8),6+(O484-1)*3)),(VLOOKUP(B468,INDIRECT($F$8),6+(O484-1)*3)),SUM(VLOOKUP(B468,INDIRECT($F$8),6+(O484-1)*3),IF(W487,W484,0))))</f>
        <v/>
      </c>
      <c r="Q484" s="1" t="str">
        <f ca="1">IF(ISERROR(F468),"",VLOOKUP(B468,INDIRECT($F$8),7+(O484-1)*3))</f>
        <v/>
      </c>
      <c r="R484" s="1" t="str">
        <f ca="1">IF(ISERROR(F468),"",SUM(P484:Q484))</f>
        <v/>
      </c>
      <c r="S484" s="1" t="str">
        <f ca="1">IF(ISERROR(F468),"",VLOOKUP(A468,INDIRECT($F$8),6+(O484-1)*3))</f>
        <v/>
      </c>
      <c r="T484" s="1" t="str">
        <f ca="1">IF(ISERROR(F468),"",VLOOKUP(A468,INDIRECT($F$8),7+(O484-1)*3))</f>
        <v/>
      </c>
      <c r="U484" s="1" t="str">
        <f ca="1">IF(ISERROR(F468),"",VLOOKUP(A468,INDIRECT($F$8),8+(O484-1)*3))</f>
        <v/>
      </c>
      <c r="V484" s="1" t="str">
        <f ca="1">IF(ISERROR(F468),"",IF(N484=0,A484,""))</f>
        <v/>
      </c>
      <c r="W484" s="1" t="str">
        <f ca="1">IF(ISERROR(F468),"",IF(ISTEXT(VLOOKUP(B468,INDIRECT($F$8),6+(O484-1)*3)),11,IF(VLOOKUP(B468,INDIRECT($F$8),6+(O484-1)*3)&lt;S484*0.3,IF(VLOOKUP(B468,INDIRECT($F$8),8+(O484-1)*3)&lt;U484*0.4,IF(AND(0.4*U484-VLOOKUP(B468,INDIRECT($F$8),8+(O484-1)*3)&lt;=5,0.3*S484-VLOOKUP(B468,INDIRECT($F$8),6+(O484-1)*3)&lt;=5),MAX(0.4*U484-VLOOKUP(B468,INDIRECT($F$8),8+(O484-1)*3),0.3*S484-VLOOKUP(B468,INDIRECT($F$8),6+(O484-1)*3)),11),IF(0.3*S484-VLOOKUP(B468,INDIRECT($F$8),6+(O484-1)*3)&lt;=5,0.3*S484-VLOOKUP(B468,INDIRECT($F$8),6+(O484-1)*3),11)),IF(VLOOKUP(B468,INDIRECT($F$8),8+(O484-1)*3)&lt;U484*0.4,IF(U484*0.4-VLOOKUP(B468,INDIRECT($F$8),8+(O484-1)*3)&lt;=5,U484*0.4-VLOOKUP(B468,INDIRECT($F$8),8+(O484-1)*3),11),0))))</f>
        <v/>
      </c>
      <c r="X484" s="1" t="str">
        <f ca="1">IF(ISERROR(F468),"",IF(W484=0,"",_xlfn.TEXTJOIN("",FALSE," G+",W484," in ",A484)))</f>
        <v/>
      </c>
    </row>
    <row r="485" spans="1:24" ht="11.25" customHeight="1" x14ac:dyDescent="0.2">
      <c r="A485" s="7" t="str">
        <f ca="1">IF(ISERROR(F468),"",VLOOKUP(C468,INDIRECT($F$8),6+(O485-1)*3,0))</f>
        <v/>
      </c>
      <c r="B485" s="41" t="str">
        <f ca="1">IF(ISERROR(F468),"",VLOOKUP(D468,INDIRECT($F$8),6+(O485-1)*3,0))</f>
        <v/>
      </c>
      <c r="C485" s="41"/>
      <c r="D485" s="41"/>
      <c r="E485" s="41"/>
      <c r="F485" s="7" t="str">
        <f ca="1">IF(ISERROR(F468),"",VLOOKUP(E468,INDIRECT($F$8),6+(O485-1)*3,0))</f>
        <v/>
      </c>
      <c r="G485" s="42" t="str">
        <f ca="1">IF(ISERROR(F468),"",_xlfn.TEXTJOIN("/",FALSE,P485,S485))</f>
        <v/>
      </c>
      <c r="H485" s="42"/>
      <c r="I485" s="42" t="str">
        <f ca="1">IF(ISERROR(F468),"",_xlfn.TEXTJOIN("/",FALSE,Q485,T485))</f>
        <v/>
      </c>
      <c r="J485" s="42"/>
      <c r="K485" s="42" t="str">
        <f ca="1">IF(ISERROR(F468),"",_xlfn.TEXTJOIN("/",FALSE,R485,U485))</f>
        <v/>
      </c>
      <c r="L485" s="42"/>
      <c r="M485" s="7" t="str">
        <f ca="1">IF(ISERROR(F468),"",IF(ISTEXT(P485),IF(P485="A","Ab",IF(P485="D","Dt",IF(P485="UFM","UFM",IF(P485="NA","-")))),IF(AND(ISBLANK(P485),ISBLANK(R485)),"",IF(P485&lt;0.3*S485,"F",IF(ISBLANK(R485),"",IF(ISTEXT(R485),R485,IF(R485&gt;=0.95*U485,"O",IF(R485&gt;=0.9*U485,"A+",IF(R485&gt;=0.85*U485,"A",IF(R485&gt;=0.8*U485,"B+",IF(R485&gt;=0.75*U485,"B",IF(R485&gt;=0.7*U485,"C+",IF(R485&gt;=0.65*U485,"C",IF(R485&gt;=0.6*U485,"D+",IF(R485&gt;=0.55*U485,"D",IF(R485&gt;=0.5*U485,"E+",IF(R485&gt;=0.45*U485,"E",IF(R485&gt;=0.4*U485,"P",IF(R485&lt;0.4*U485,"F",R485)))))))))))))))))))</f>
        <v/>
      </c>
      <c r="N485" s="8" t="e">
        <f t="shared" ca="1" si="40"/>
        <v>#N/A</v>
      </c>
      <c r="O485">
        <f t="shared" si="41"/>
        <v>13</v>
      </c>
      <c r="P485" s="1" t="str">
        <f ca="1">IF(ISERROR(F468),"",IF(ISTEXT(VLOOKUP(B468,INDIRECT($F$8),6+(O485-1)*3)),(VLOOKUP(B468,INDIRECT($F$8),6+(O485-1)*3)),SUM(VLOOKUP(B468,INDIRECT($F$8),6+(O485-1)*3),IF(W487,W485,0))))</f>
        <v/>
      </c>
      <c r="Q485" s="1" t="str">
        <f ca="1">IF(ISERROR(F468),"",VLOOKUP(B468,INDIRECT($F$8),7+(O485-1)*3))</f>
        <v/>
      </c>
      <c r="R485" s="1" t="str">
        <f ca="1">IF(ISERROR(F468),"",SUM(P485:Q485))</f>
        <v/>
      </c>
      <c r="S485" s="1" t="str">
        <f ca="1">IF(ISERROR(F468),"",VLOOKUP(A468,INDIRECT($F$8),6+(O485-1)*3))</f>
        <v/>
      </c>
      <c r="T485" s="1" t="str">
        <f ca="1">IF(ISERROR(F468),"",VLOOKUP(A468,INDIRECT($F$8),7+(O485-1)*3))</f>
        <v/>
      </c>
      <c r="U485" s="1" t="str">
        <f ca="1">IF(ISERROR(F468),"",VLOOKUP(A468,INDIRECT($F$8),8+(O485-1)*3))</f>
        <v/>
      </c>
      <c r="V485" s="1"/>
      <c r="W485" s="1" t="str">
        <f ca="1">IF(ISERROR(F468),"",IF(ISTEXT(VLOOKUP(B468,INDIRECT($F$8),6+(O485-1)*3)),11,IF(VLOOKUP(B468,INDIRECT($F$8),6+(O485-1)*3)&lt;S485*0.3,IF(VLOOKUP(B468,INDIRECT($F$8),8+(O485-1)*3)&lt;U485*0.4,IF(AND(0.4*U485-VLOOKUP(B468,INDIRECT($F$8),8+(O485-1)*3)&lt;=5,0.3*S485-VLOOKUP(B468,INDIRECT($F$8),6+(O485-1)*3)&lt;=5),MAX(0.4*U485-VLOOKUP(B468,INDIRECT($F$8),8+(O485-1)*3),0.3*S485-VLOOKUP(B468,INDIRECT($F$8),6+(O485-1)*3)),11),IF(0.3*S485-VLOOKUP(B468,INDIRECT($F$8),6+(O485-1)*3)&lt;=5,0.3*S485-VLOOKUP(B468,INDIRECT($F$8),6+(O485-1)*3),11)),IF(VLOOKUP(B468,INDIRECT($F$8),8+(O485-1)*3)&lt;U485*0.4,IF(U485*0.4-VLOOKUP(B468,INDIRECT($F$8),8+(O485-1)*3)&lt;=5,U485*0.4-VLOOKUP(B468,INDIRECT($F$8),8+(O485-1)*3),11),0))))</f>
        <v/>
      </c>
      <c r="X485" s="1" t="str">
        <f ca="1">IF(ISERROR(F468),"",IF(W485=0,"",_xlfn.TEXTJOIN("",FALSE," G+",W485," in ",A485)))</f>
        <v/>
      </c>
    </row>
    <row r="486" spans="1:24" s="32" customFormat="1" ht="11.25" customHeight="1" x14ac:dyDescent="0.2">
      <c r="A486" s="31" t="str">
        <f ca="1">IF(ISERROR(F468),"",VLOOKUP(C468,INDIRECT($F$8),6+(O486-1)*3-Y486,0))</f>
        <v/>
      </c>
      <c r="B486" s="49" t="str">
        <f ca="1">IF(ISERROR(F468),"",VLOOKUP(D468,INDIRECT($F$8),6+(O486-1)*3-Z486,0))</f>
        <v/>
      </c>
      <c r="C486" s="49"/>
      <c r="D486" s="49"/>
      <c r="E486" s="49"/>
      <c r="F486" s="31" t="str">
        <f ca="1">IF(ISERROR(F468),"",VLOOKUP(E468,INDIRECT($F$8),6+(O486-1)*3-AA486,0))</f>
        <v/>
      </c>
      <c r="G486" s="50" t="str">
        <f ca="1">IF(ISERROR(F468),"","-")</f>
        <v/>
      </c>
      <c r="H486" s="50"/>
      <c r="I486" s="50" t="str">
        <f ca="1">IF(ISERROR(F468),"",_xlfn.TEXTJOIN("/",FALSE,Q486,T486))</f>
        <v/>
      </c>
      <c r="J486" s="50"/>
      <c r="K486" s="50" t="str">
        <f ca="1">IF(ISERROR(F468),"",_xlfn.TEXTJOIN("/",FALSE,R486,U486))</f>
        <v/>
      </c>
      <c r="L486" s="50"/>
      <c r="M486" s="7" t="b">
        <f ca="1">IF(ISERROR(F469),"",IF(ISTEXT(P486),IF(P486="A","Ab",IF(P486="D","Dt",IF(P486="UFM","UFM",IF(P486="NA","")))),IF(AND(ISBLANK(P486),ISBLANK(R486)),"",IF(P486&lt;0.3*S486,"F",IF(ISBLANK(R486),"",IF(ISTEXT(R486),R486,IF(R486&gt;=0.95*U486,"O",IF(R486&gt;=0.9*U486,"A+",IF(R486&gt;=0.85*U486,"A",IF(R486&gt;=0.8*U486,"B+",IF(R486&gt;=0.75*U486,"B",IF(R486&gt;=0.7*U486,"C+",IF(R486&gt;=0.65*U486,"C",IF(R486&gt;=0.6*U486,"D+",IF(R486&gt;=0.55*U486,"D",IF(R486&gt;=0.5*U486,"E+",IF(R486&gt;=0.45*U486,"E",IF(R486&gt;=0.4*U486,"P",IF(R486&lt;0.4*U486,"F",R486)))))))))))))))))))</f>
        <v>0</v>
      </c>
      <c r="N486" s="8" t="e">
        <f t="shared" ref="N475:N486" ca="1" si="42">INDEX($Z$2:$Z$18,MATCH(M486,$Y$2:$Y$18,0))</f>
        <v>#N/A</v>
      </c>
      <c r="O486" s="32">
        <f t="shared" si="41"/>
        <v>14</v>
      </c>
      <c r="P486" s="33" t="str">
        <f ca="1">IF(ISERROR(F468),"",IF(ISTEXT(VLOOKUP(B\28,INDIRECT($F$8),6+(O486-1)*3)),(VLOOKUP(B468,INDIRECT($F$8),6+(O486-1)*3)),SUM(VLOOKUP(B468,INDIRECT($F$8),6+(O486-1)*3),IF(W487,W486,0))))</f>
        <v/>
      </c>
      <c r="Q486" s="33" t="str">
        <f ca="1">IF(ISERROR(F468),"",VLOOKUP(B468,INDIRECT($F$8),7+(O486-1)*3))</f>
        <v/>
      </c>
      <c r="R486" s="33" t="str">
        <f ca="1">IF(ISERROR(F468),"",SUM(P486:Q486))</f>
        <v/>
      </c>
      <c r="S486" s="33" t="str">
        <f ca="1">IF(ISERROR(F468),"",VLOOKUP(A468,INDIRECT($F$8),6+(O486-1)*3))</f>
        <v/>
      </c>
      <c r="T486" s="33" t="str">
        <f ca="1">IF(ISERROR(F468),"",VLOOKUP(A468,INDIRECT($F$8),7+(O486-1)*3))</f>
        <v/>
      </c>
      <c r="U486" s="33" t="str">
        <f ca="1">IF(ISERROR(F468),"",VLOOKUP(A468,INDIRECT($F$8),8+(O486-1)*3))</f>
        <v/>
      </c>
      <c r="V486" s="33"/>
      <c r="W486" s="33"/>
      <c r="X486" s="33" t="str">
        <f ca="1">IF(ISERROR(F468),"",IF(W486=0,"",_xlfn.TEXTJOIN("",FALSE," G+",W486," in ",A486)))</f>
        <v/>
      </c>
    </row>
    <row r="487" spans="1:24" ht="11.25" customHeight="1" x14ac:dyDescent="0.2">
      <c r="A487" s="43" t="str">
        <f ca="1">IF(ISERROR(F468),"",A464)</f>
        <v/>
      </c>
      <c r="B487" s="43"/>
      <c r="C487" s="43"/>
      <c r="D487" s="43"/>
      <c r="E487" s="43"/>
      <c r="F487" s="10" t="str">
        <f ca="1">IF(ISERROR(F468),"",SUM(F473:F486))</f>
        <v/>
      </c>
      <c r="G487" s="44" t="str">
        <f ca="1">IF(ISERROR(F468),"",_xlfn.TEXTJOIN("/",TRUE,SUMIF(F473:F486,"&gt;0",P473:P486),SUMIF(F473:F486,"&gt;0",S473:S486)))</f>
        <v/>
      </c>
      <c r="H487" s="44"/>
      <c r="I487" s="44" t="str">
        <f ca="1">IF(ISERROR(F468),"",_xlfn.TEXTJOIN("/",TRUE,SUMIF(F473:F486,"&gt;0",Q473:Q486),SUMIF(F473:F486,"&gt;0",T473:T486)))</f>
        <v/>
      </c>
      <c r="J487" s="44"/>
      <c r="K487" s="44" t="str">
        <f ca="1">IF(ISERROR(F468),"",_xlfn.TEXTJOIN("/",TRUE,SUMIF(F473:F486,"&gt;0",R473:R486),SUMIF(F473:F486,"&gt;0",U473:U486)))</f>
        <v/>
      </c>
      <c r="L487" s="44"/>
      <c r="M487" s="43" t="str">
        <f ca="1">IF(ISERROR(F468),"",SUMPRODUCT(N473:N485,F473:F485))</f>
        <v/>
      </c>
      <c r="N487" s="43"/>
      <c r="V487" s="1" t="str">
        <f ca="1">IF(ISERROR(F468),"",_xlfn.TEXTJOIN(", ",TRUE,V473:V486))</f>
        <v/>
      </c>
      <c r="W487" t="str">
        <f ca="1">IF(ISERROR(F468),"",IF(SUM(W473:W486)&lt;=W472,TRUE,FALSE))</f>
        <v/>
      </c>
      <c r="X487" s="1" t="str">
        <f ca="1">_xlfn.TEXTJOIN(",",TRUE,X473:X486)</f>
        <v/>
      </c>
    </row>
    <row r="488" spans="1:24" ht="11.25" customHeight="1" x14ac:dyDescent="0.2">
      <c r="A488" s="43" t="str">
        <f ca="1">IF(ISERROR(F468),"",A465)</f>
        <v/>
      </c>
      <c r="B488" s="45" t="str">
        <f ca="1">IF(ISERROR(F468),"",IF(V487="","PASS","CARRY OVER"))</f>
        <v/>
      </c>
      <c r="C488" s="45"/>
      <c r="D488" s="43" t="str">
        <f ca="1">IF(ISERROR(F468),"",D465)</f>
        <v/>
      </c>
      <c r="E488" s="45" t="str">
        <f ca="1">IF(ISERROR(F468),"",IF(W487,X487,IF(V487="","",_xlfn.TEXTJOIN("",TRUE,"BACK IN ",V487))))</f>
        <v/>
      </c>
      <c r="F488" s="45"/>
      <c r="G488" s="43" t="str">
        <f ca="1">IF(ISERROR(F468),"",G465)</f>
        <v/>
      </c>
      <c r="H488" s="46" t="str">
        <f ca="1">IF(ISERROR(F468),"",M487/F487)</f>
        <v/>
      </c>
      <c r="I488" s="43" t="str">
        <f ca="1">IF(ISERROR(F468),"",I465)</f>
        <v/>
      </c>
      <c r="J488" s="46" t="str">
        <f ca="1">IF(ISERROR(F468),"",VLOOKUP(B468,INDIRECT($F$8),12+(O486-1)*3,0))</f>
        <v/>
      </c>
      <c r="K488" s="45" t="str">
        <f ca="1">IF(ISERROR(F468),"",K465)</f>
        <v/>
      </c>
      <c r="L488" s="43" t="str">
        <f ca="1">IF(ISERROR(F468),"",SUMIF(N473:N485,"&gt;0",F473:F485))</f>
        <v/>
      </c>
      <c r="M488" s="45" t="str">
        <f ca="1">IF(ISERROR(F468),"",M465)</f>
        <v/>
      </c>
      <c r="N488" s="43" t="str">
        <f ca="1">IF(ISERROR(F468),"",VLOOKUP(B468,INDIRECT($F$8),10+(O486-1)*3,0))</f>
        <v/>
      </c>
    </row>
    <row r="489" spans="1:24" ht="11.25" customHeight="1" x14ac:dyDescent="0.2">
      <c r="A489" s="43"/>
      <c r="B489" s="45"/>
      <c r="C489" s="45"/>
      <c r="D489" s="43"/>
      <c r="E489" s="45"/>
      <c r="F489" s="45"/>
      <c r="G489" s="43"/>
      <c r="H489" s="46"/>
      <c r="I489" s="43"/>
      <c r="J489" s="46"/>
      <c r="K489" s="45"/>
      <c r="L489" s="43"/>
      <c r="M489" s="45"/>
      <c r="N489" s="43"/>
    </row>
    <row r="490" spans="1:24" ht="15" x14ac:dyDescent="0.2">
      <c r="A490" s="43"/>
      <c r="B490" s="45"/>
      <c r="C490" s="45"/>
      <c r="D490" s="43"/>
      <c r="E490" s="45"/>
      <c r="F490" s="45"/>
      <c r="G490" s="43"/>
      <c r="H490" s="46"/>
      <c r="I490" s="43"/>
      <c r="J490" s="46"/>
      <c r="K490" s="45"/>
      <c r="L490" s="43"/>
      <c r="M490" s="45"/>
      <c r="N490" s="43"/>
    </row>
    <row r="491" spans="1:24" ht="11.25" customHeight="1" x14ac:dyDescent="0.2">
      <c r="A491" s="11" t="str">
        <f>A468</f>
        <v>MM</v>
      </c>
      <c r="B491" s="11">
        <f>B468+1</f>
        <v>22</v>
      </c>
      <c r="C491" s="11" t="str">
        <f>C468</f>
        <v>SC</v>
      </c>
      <c r="D491" s="11" t="str">
        <f>D468</f>
        <v>SN</v>
      </c>
      <c r="E491" s="11" t="str">
        <f>E468</f>
        <v>C</v>
      </c>
      <c r="F491" s="11" t="e">
        <f ca="1">VLOOKUP(B491,INDIRECT($F$8),4,0)</f>
        <v>#N/A</v>
      </c>
    </row>
    <row r="492" spans="1:24" ht="11.25" customHeight="1" x14ac:dyDescent="0.2">
      <c r="A492" s="47" t="str">
        <f ca="1">IF(ISERROR(F491),"",A469)</f>
        <v/>
      </c>
      <c r="B492" s="47" t="str">
        <f ca="1">IFERROR(VLOOKUP(B491,INDIRECT($F$8),4,0),"")</f>
        <v/>
      </c>
      <c r="C492" s="47"/>
      <c r="D492" s="47" t="str">
        <f ca="1">IF(ISERROR(F491),"",D469)</f>
        <v/>
      </c>
      <c r="E492" s="47" t="str">
        <f ca="1">IFERROR(VLOOKUP(B491,INDIRECT($F$8),5,0),"")</f>
        <v/>
      </c>
      <c r="F492" s="47"/>
      <c r="G492" s="47" t="str">
        <f ca="1">IF(ISERROR(F491),"",G469)</f>
        <v/>
      </c>
      <c r="H492" s="47"/>
      <c r="I492" s="48" t="str">
        <f ca="1">IFERROR(VLOOKUP(B491,INDIRECT($F$8),2,0),"")</f>
        <v/>
      </c>
      <c r="J492" s="48"/>
      <c r="K492" s="47" t="str">
        <f ca="1">IF(ISERROR(F491),"",K469)</f>
        <v/>
      </c>
      <c r="L492" s="47"/>
      <c r="M492" s="48" t="str">
        <f ca="1">IFERROR(VLOOKUP(B491,INDIRECT($F$8),3,0),"")</f>
        <v/>
      </c>
      <c r="N492" s="48"/>
    </row>
    <row r="493" spans="1:24" ht="15" x14ac:dyDescent="0.2">
      <c r="A493" s="47"/>
      <c r="B493" s="47"/>
      <c r="C493" s="47"/>
      <c r="D493" s="47"/>
      <c r="E493" s="47"/>
      <c r="F493" s="47"/>
      <c r="G493" s="47"/>
      <c r="H493" s="47"/>
      <c r="I493" s="48"/>
      <c r="J493" s="48"/>
      <c r="K493" s="47"/>
      <c r="L493" s="47"/>
      <c r="M493" s="48"/>
      <c r="N493" s="48"/>
    </row>
    <row r="494" spans="1:24" ht="11.25" customHeight="1" x14ac:dyDescent="0.2">
      <c r="A494" s="45" t="str">
        <f ca="1">IF(ISERROR(F491),"",A471)</f>
        <v/>
      </c>
      <c r="B494" s="45" t="str">
        <f ca="1">IF(ISERROR(F491),"",B471)</f>
        <v/>
      </c>
      <c r="C494" s="45"/>
      <c r="D494" s="45"/>
      <c r="E494" s="45"/>
      <c r="F494" s="45" t="str">
        <f ca="1">IF(ISERROR(F491),"",F471)</f>
        <v/>
      </c>
      <c r="G494" s="45" t="str">
        <f ca="1">IF(ISERROR(F491),"",G471)</f>
        <v/>
      </c>
      <c r="H494" s="45"/>
      <c r="I494" s="45" t="str">
        <f ca="1">IF(ISERROR(F491),"",I471)</f>
        <v/>
      </c>
      <c r="J494" s="45"/>
      <c r="K494" s="45" t="str">
        <f ca="1">IF(ISERROR(F491),"",K471)</f>
        <v/>
      </c>
      <c r="L494" s="45"/>
      <c r="M494" s="45" t="str">
        <f ca="1">IF(ISERROR(F491),"",M471)</f>
        <v/>
      </c>
      <c r="N494" s="45" t="str">
        <f ca="1">IF(ISERROR(F491),"",N471)</f>
        <v/>
      </c>
    </row>
    <row r="495" spans="1:24" ht="15" x14ac:dyDescent="0.2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1.25" customHeight="1" x14ac:dyDescent="0.2">
      <c r="A496" s="7" t="str">
        <f ca="1">IF(ISERROR(F491),"",VLOOKUP(C491,INDIRECT($F$8),6+(O496-1)*3,0))</f>
        <v/>
      </c>
      <c r="B496" s="41" t="str">
        <f ca="1">IF(ISERROR(F491),"",VLOOKUP(D491,INDIRECT($F$8),6+(O496-1)*3,0))</f>
        <v/>
      </c>
      <c r="C496" s="41"/>
      <c r="D496" s="41"/>
      <c r="E496" s="41"/>
      <c r="F496" s="7" t="str">
        <f ca="1">IF(ISERROR(F491),"",VLOOKUP(E491,INDIRECT($F$8),6+(O496-1)*3,0))</f>
        <v/>
      </c>
      <c r="G496" s="42" t="str">
        <f ca="1">IF(ISERROR(F491),"",_xlfn.TEXTJOIN("/",FALSE,P496,S496))</f>
        <v/>
      </c>
      <c r="H496" s="42"/>
      <c r="I496" s="42" t="str">
        <f ca="1">IF(ISERROR(F491),"",_xlfn.TEXTJOIN("/",FALSE,Q496,T496))</f>
        <v/>
      </c>
      <c r="J496" s="42"/>
      <c r="K496" s="42" t="str">
        <f ca="1">IF(ISERROR(F491),"",_xlfn.TEXTJOIN("/",FALSE,R496,U496))</f>
        <v/>
      </c>
      <c r="L496" s="42"/>
      <c r="M496" s="7" t="str">
        <f ca="1">IF(ISERROR(F491),"",IF(ISTEXT(P496),IF(P496="A","Ab",IF(P496="D","Dt",IF(P496="UFM","UFM",IF(P496="NA","-")))),IF(AND(ISBLANK(P496),ISBLANK(R496)),"",IF(P496&lt;0.3*S496,"F",IF(ISBLANK(R496),"",IF(ISTEXT(R496),R496,IF(R496&gt;=0.95*U496,"O",IF(R496&gt;=0.9*U496,"A+",IF(R496&gt;=0.85*U496,"A",IF(R496&gt;=0.8*U496,"B+",IF(R496&gt;=0.75*U496,"B",IF(R496&gt;=0.7*U496,"C+",IF(R496&gt;=0.65*U496,"C",IF(R496&gt;=0.6*U496,"D+",IF(R496&gt;=0.55*U496,"D",IF(R496&gt;=0.5*U496,"E+",IF(R496&gt;=0.45*U496,"E",IF(R496&gt;=0.4*U496,"P",IF(R496&lt;0.4*U496,"F",R496)))))))))))))))))))</f>
        <v/>
      </c>
      <c r="N496" s="8" t="e">
        <f ca="1">INDEX($Z$2:$Z$18,MATCH(M496,$Y$2:$Y$18,0))</f>
        <v>#N/A</v>
      </c>
      <c r="O496">
        <v>1</v>
      </c>
      <c r="P496" s="1" t="str">
        <f ca="1">IF(ISERROR(F491),"",IF(ISTEXT(VLOOKUP(B491,INDIRECT($F$8),6+(O496-1)*3)),(VLOOKUP(B491,INDIRECT($F$8),6+(O496-1)*3)),SUM(VLOOKUP(B491,INDIRECT($F$8),6+(O496-1)*3),IF(W510,W496,0))))</f>
        <v/>
      </c>
      <c r="Q496" s="1" t="str">
        <f ca="1">IF(ISERROR(F491),"",VLOOKUP(B491,INDIRECT($F$8),7+(O496-1)*3))</f>
        <v/>
      </c>
      <c r="R496" s="1" t="str">
        <f ca="1">IF(ISERROR(F491),"",SUM(P496:Q496))</f>
        <v/>
      </c>
      <c r="S496" s="1" t="str">
        <f ca="1">IF(ISERROR(F491),"",VLOOKUP(A491,INDIRECT($F$8),6+(O496-1)*3))</f>
        <v/>
      </c>
      <c r="T496" s="1" t="str">
        <f ca="1">IF(ISERROR(F491),"",VLOOKUP(A491,INDIRECT($F$8),7+(O496-1)*3))</f>
        <v/>
      </c>
      <c r="U496" s="1" t="str">
        <f ca="1">IF(ISERROR(F491),"",VLOOKUP(A491,INDIRECT($F$8),8+(O496-1)*3))</f>
        <v/>
      </c>
      <c r="V496" s="1" t="str">
        <f ca="1">IF(ISERROR(F491),"",IF(N496=0,A496,""))</f>
        <v/>
      </c>
      <c r="W496" s="1" t="str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/>
      </c>
      <c r="X496" s="1" t="str">
        <f ca="1">IF(ISERROR(F491),"",IF(W496=0,"",_xlfn.TEXTJOIN("",FALSE," G+",W496," in ",A496)))</f>
        <v/>
      </c>
    </row>
    <row r="497" spans="1:24" ht="11.25" customHeight="1" x14ac:dyDescent="0.2">
      <c r="A497" s="7" t="str">
        <f ca="1">IF(ISERROR(F491),"",VLOOKUP(C491,INDIRECT($F$8),6+(O497-1)*3,0))</f>
        <v/>
      </c>
      <c r="B497" s="41" t="str">
        <f ca="1">IF(ISERROR(F491),"",VLOOKUP(D491,INDIRECT($F$8),6+(O497-1)*3,0))</f>
        <v/>
      </c>
      <c r="C497" s="41"/>
      <c r="D497" s="41"/>
      <c r="E497" s="41"/>
      <c r="F497" s="7" t="str">
        <f ca="1">IF(ISERROR(F491),"",VLOOKUP(E491,INDIRECT($F$8),6+(O497-1)*3,0))</f>
        <v/>
      </c>
      <c r="G497" s="42" t="str">
        <f ca="1">IF(ISERROR(F491),"",_xlfn.TEXTJOIN("/",FALSE,P497,S497))</f>
        <v/>
      </c>
      <c r="H497" s="42"/>
      <c r="I497" s="42" t="str">
        <f ca="1">IF(ISERROR(F491),"",_xlfn.TEXTJOIN("/",FALSE,Q497,T497))</f>
        <v/>
      </c>
      <c r="J497" s="42"/>
      <c r="K497" s="42" t="str">
        <f ca="1">IF(ISERROR(F491),"",_xlfn.TEXTJOIN("/",FALSE,R497,U497))</f>
        <v/>
      </c>
      <c r="L497" s="42"/>
      <c r="M497" s="7" t="str">
        <f ca="1">IF(ISERROR(F491),"",IF(ISTEXT(P497),IF(P497="A","Ab",IF(P497="D","Dt",IF(P497="UFM","UFM",IF(P497="NA","-")))),IF(AND(ISBLANK(P497),ISBLANK(R497)),"",IF(P497&lt;0.3*S497,"F",IF(ISBLANK(R497),"",IF(ISTEXT(R497),R497,IF(R497&gt;=0.95*U497,"O",IF(R497&gt;=0.9*U497,"A+",IF(R497&gt;=0.85*U497,"A",IF(R497&gt;=0.8*U497,"B+",IF(R497&gt;=0.75*U497,"B",IF(R497&gt;=0.7*U497,"C+",IF(R497&gt;=0.65*U497,"C",IF(R497&gt;=0.6*U497,"D+",IF(R497&gt;=0.55*U497,"D",IF(R497&gt;=0.5*U497,"E+",IF(R497&gt;=0.45*U497,"E",IF(R497&gt;=0.4*U497,"P",IF(R497&lt;0.4*U497,"F",R497)))))))))))))))))))</f>
        <v/>
      </c>
      <c r="N497" s="8" t="e">
        <f t="shared" ref="N497:N508" ca="1" si="43">INDEX($Z$2:$Z$18,MATCH(M497,$Y$2:$Y$18,0))</f>
        <v>#N/A</v>
      </c>
      <c r="O497">
        <f>O496+1</f>
        <v>2</v>
      </c>
      <c r="P497" s="1" t="str">
        <f ca="1">IF(ISERROR(F491),"",IF(ISTEXT(VLOOKUP(B491,INDIRECT($F$8),6+(O497-1)*3)),(VLOOKUP(B491,INDIRECT($F$8),6+(O497-1)*3)),SUM(VLOOKUP(B491,INDIRECT($F$8),6+(O497-1)*3),IF(W510,W497,0))))</f>
        <v/>
      </c>
      <c r="Q497" s="1" t="str">
        <f ca="1">IF(ISERROR(F491),"",VLOOKUP(B491,INDIRECT($F$8),7+(O497-1)*3))</f>
        <v/>
      </c>
      <c r="R497" s="1" t="str">
        <f ca="1">IF(ISERROR(F491),"",SUM(P497:Q497))</f>
        <v/>
      </c>
      <c r="S497" s="1" t="str">
        <f ca="1">IF(ISERROR(F491),"",VLOOKUP(A491,INDIRECT($F$8),6+(O497-1)*3))</f>
        <v/>
      </c>
      <c r="T497" s="1" t="str">
        <f ca="1">IF(ISERROR(F491),"",VLOOKUP(A491,INDIRECT($F$8),7+(O497-1)*3))</f>
        <v/>
      </c>
      <c r="U497" s="1" t="str">
        <f ca="1">IF(ISERROR(F491),"",VLOOKUP(A491,INDIRECT($F$8),8+(O497-1)*3))</f>
        <v/>
      </c>
      <c r="V497" s="1" t="str">
        <f ca="1">IF(ISERROR(F491),"",IF(N497=0,A497,""))</f>
        <v/>
      </c>
      <c r="W497" s="1" t="str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/>
      </c>
      <c r="X497" s="1" t="str">
        <f ca="1">IF(ISERROR(F491),"",IF(W497=0,"",_xlfn.TEXTJOIN("",FALSE," G+",W497," in ",A497)))</f>
        <v/>
      </c>
    </row>
    <row r="498" spans="1:24" ht="11.25" customHeight="1" x14ac:dyDescent="0.2">
      <c r="A498" s="7" t="str">
        <f ca="1">IF(ISERROR(F491),"",VLOOKUP(C491,INDIRECT($F$8),6+(O498-1)*3,0))</f>
        <v/>
      </c>
      <c r="B498" s="41" t="str">
        <f ca="1">IF(ISERROR(F491),"",VLOOKUP(D491,INDIRECT($F$8),6+(O498-1)*3,0))</f>
        <v/>
      </c>
      <c r="C498" s="41"/>
      <c r="D498" s="41"/>
      <c r="E498" s="41"/>
      <c r="F498" s="7" t="str">
        <f ca="1">IF(ISERROR(F491),"",VLOOKUP(E491,INDIRECT($F$8),6+(O498-1)*3,0))</f>
        <v/>
      </c>
      <c r="G498" s="42" t="str">
        <f ca="1">IF(ISERROR(F491),"",_xlfn.TEXTJOIN("/",FALSE,P498,S498))</f>
        <v/>
      </c>
      <c r="H498" s="42"/>
      <c r="I498" s="42" t="str">
        <f ca="1">IF(ISERROR(F491),"",_xlfn.TEXTJOIN("/",FALSE,Q498,T498))</f>
        <v/>
      </c>
      <c r="J498" s="42"/>
      <c r="K498" s="42" t="str">
        <f ca="1">IF(ISERROR(F491),"",_xlfn.TEXTJOIN("/",FALSE,R498,U498))</f>
        <v/>
      </c>
      <c r="L498" s="42"/>
      <c r="M498" s="7" t="str">
        <f ca="1">IF(ISERROR(F491),"",IF(ISTEXT(P498),IF(P498="A","Ab",IF(P498="D","Dt",IF(P498="UFM","UFM",IF(P498="NA","-")))),IF(AND(ISBLANK(P498),ISBLANK(R498)),"",IF(P498&lt;0.3*S498,"F",IF(ISBLANK(R498),"",IF(ISTEXT(R498),R498,IF(R498&gt;=0.95*U498,"O",IF(R498&gt;=0.9*U498,"A+",IF(R498&gt;=0.85*U498,"A",IF(R498&gt;=0.8*U498,"B+",IF(R498&gt;=0.75*U498,"B",IF(R498&gt;=0.7*U498,"C+",IF(R498&gt;=0.65*U498,"C",IF(R498&gt;=0.6*U498,"D+",IF(R498&gt;=0.55*U498,"D",IF(R498&gt;=0.5*U498,"E+",IF(R498&gt;=0.45*U498,"E",IF(R498&gt;=0.4*U498,"P",IF(R498&lt;0.4*U498,"F",R498)))))))))))))))))))</f>
        <v/>
      </c>
      <c r="N498" s="8" t="e">
        <f t="shared" ca="1" si="43"/>
        <v>#N/A</v>
      </c>
      <c r="O498">
        <f>O497+1</f>
        <v>3</v>
      </c>
      <c r="P498" s="1" t="str">
        <f ca="1">IF(ISERROR(F491),"",IF(ISTEXT(VLOOKUP(B491,INDIRECT($F$8),6+(O498-1)*3)),(VLOOKUP(B491,INDIRECT($F$8),6+(O498-1)*3)),SUM(VLOOKUP(B491,INDIRECT($F$8),6+(O498-1)*3),IF(W510,W498,0))))</f>
        <v/>
      </c>
      <c r="Q498" s="1" t="str">
        <f ca="1">IF(ISERROR(F491),"",VLOOKUP(B491,INDIRECT($F$8),7+(O498-1)*3))</f>
        <v/>
      </c>
      <c r="R498" s="1" t="str">
        <f ca="1">IF(ISERROR(F491),"",SUM(P498:Q498))</f>
        <v/>
      </c>
      <c r="S498" s="1" t="str">
        <f ca="1">IF(ISERROR(F491),"",VLOOKUP(A491,INDIRECT($F$8),6+(O498-1)*3))</f>
        <v/>
      </c>
      <c r="T498" s="1" t="str">
        <f ca="1">IF(ISERROR(F491),"",VLOOKUP(A491,INDIRECT($F$8),7+(O498-1)*3))</f>
        <v/>
      </c>
      <c r="U498" s="1" t="str">
        <f ca="1">IF(ISERROR(F491),"",VLOOKUP(A491,INDIRECT($F$8),8+(O498-1)*3))</f>
        <v/>
      </c>
      <c r="V498" s="1" t="str">
        <f ca="1">IF(ISERROR(F491),"",IF(N498=0,A498,""))</f>
        <v/>
      </c>
      <c r="W498" s="1" t="str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/>
      </c>
      <c r="X498" s="1" t="str">
        <f ca="1">IF(ISERROR(F491),"",IF(W498=0,"",_xlfn.TEXTJOIN("",FALSE," G+",W498," in ",A498)))</f>
        <v/>
      </c>
    </row>
    <row r="499" spans="1:24" ht="11.25" customHeight="1" x14ac:dyDescent="0.2">
      <c r="A499" s="7" t="str">
        <f ca="1">IF(ISERROR(F491),"",VLOOKUP(C491,INDIRECT($F$8),6+(O499-1)*3,0))</f>
        <v/>
      </c>
      <c r="B499" s="41" t="str">
        <f ca="1">IF(ISERROR(F491),"",VLOOKUP(D491,INDIRECT($F$8),6+(O499-1)*3,0))</f>
        <v/>
      </c>
      <c r="C499" s="41"/>
      <c r="D499" s="41"/>
      <c r="E499" s="41"/>
      <c r="F499" s="7" t="str">
        <f ca="1">IF(ISERROR(F491),"",VLOOKUP(E491,INDIRECT($F$8),6+(O499-1)*3,0))</f>
        <v/>
      </c>
      <c r="G499" s="42" t="str">
        <f ca="1">IF(ISERROR(F491),"",_xlfn.TEXTJOIN("/",FALSE,P499,S499))</f>
        <v/>
      </c>
      <c r="H499" s="42"/>
      <c r="I499" s="42" t="str">
        <f ca="1">IF(ISERROR(F491),"",_xlfn.TEXTJOIN("/",FALSE,Q499,T499))</f>
        <v/>
      </c>
      <c r="J499" s="42"/>
      <c r="K499" s="42" t="str">
        <f ca="1">IF(ISERROR(F491),"",_xlfn.TEXTJOIN("/",FALSE,R499,U499))</f>
        <v/>
      </c>
      <c r="L499" s="42"/>
      <c r="M499" s="7" t="str">
        <f ca="1">IF(ISERROR(F491),"",IF(ISTEXT(P499),IF(P499="A","Ab",IF(P499="D","Dt",IF(P499="UFM","UFM",IF(P499="NA","-")))),IF(AND(ISBLANK(P499),ISBLANK(R499)),"",IF(P499&lt;0.3*S499,"F",IF(ISBLANK(R499),"",IF(ISTEXT(R499),R499,IF(R499&gt;=0.95*U499,"O",IF(R499&gt;=0.9*U499,"A+",IF(R499&gt;=0.85*U499,"A",IF(R499&gt;=0.8*U499,"B+",IF(R499&gt;=0.75*U499,"B",IF(R499&gt;=0.7*U499,"C+",IF(R499&gt;=0.65*U499,"C",IF(R499&gt;=0.6*U499,"D+",IF(R499&gt;=0.55*U499,"D",IF(R499&gt;=0.5*U499,"E+",IF(R499&gt;=0.45*U499,"E",IF(R499&gt;=0.4*U499,"P",IF(R499&lt;0.4*U499,"F",R499)))))))))))))))))))</f>
        <v/>
      </c>
      <c r="N499" s="8" t="e">
        <f t="shared" ca="1" si="43"/>
        <v>#N/A</v>
      </c>
      <c r="O499">
        <f>O498+1</f>
        <v>4</v>
      </c>
      <c r="P499" s="1" t="str">
        <f ca="1">IF(ISERROR(F491),"",IF(ISTEXT(VLOOKUP(B491,INDIRECT($F$8),6+(O499-1)*3)),(VLOOKUP(B491,INDIRECT($F$8),6+(O499-1)*3)),SUM(VLOOKUP(B491,INDIRECT($F$8),6+(O499-1)*3),IF(W510,W499,0))))</f>
        <v/>
      </c>
      <c r="Q499" s="1" t="str">
        <f ca="1">IF(ISERROR(F491),"",VLOOKUP(B491,INDIRECT($F$8),7+(O499-1)*3))</f>
        <v/>
      </c>
      <c r="R499" s="1" t="str">
        <f ca="1">IF(ISERROR(F491),"",SUM(P499:Q499))</f>
        <v/>
      </c>
      <c r="S499" s="1" t="str">
        <f ca="1">IF(ISERROR(F491),"",VLOOKUP(A491,INDIRECT($F$8),6+(O499-1)*3))</f>
        <v/>
      </c>
      <c r="T499" s="1" t="str">
        <f ca="1">IF(ISERROR(F491),"",VLOOKUP(A491,INDIRECT($F$8),7+(O499-1)*3))</f>
        <v/>
      </c>
      <c r="U499" s="1" t="str">
        <f ca="1">IF(ISERROR(F491),"",VLOOKUP(A491,INDIRECT($F$8),8+(O499-1)*3))</f>
        <v/>
      </c>
      <c r="V499" s="1" t="str">
        <f ca="1">IF(ISERROR(F491),"",IF(N499=0,A499,""))</f>
        <v/>
      </c>
      <c r="W499" s="1" t="str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/>
      </c>
      <c r="X499" s="1" t="str">
        <f ca="1">IF(ISERROR(F491),"",IF(W499=0,"",_xlfn.TEXTJOIN("",FALSE," G+",W499," in ",A499)))</f>
        <v/>
      </c>
    </row>
    <row r="500" spans="1:24" ht="11.25" customHeight="1" x14ac:dyDescent="0.2">
      <c r="A500" s="7" t="str">
        <f ca="1">IF(ISERROR(F491),"",VLOOKUP(C491,INDIRECT($F$8),6+(O500-1)*3,0))</f>
        <v/>
      </c>
      <c r="B500" s="41" t="str">
        <f ca="1">IF(ISERROR(F491),"",VLOOKUP(D491,INDIRECT($F$8),6+(O500-1)*3,0))</f>
        <v/>
      </c>
      <c r="C500" s="41"/>
      <c r="D500" s="41"/>
      <c r="E500" s="41"/>
      <c r="F500" s="7" t="str">
        <f ca="1">IF(ISERROR(F491),"",VLOOKUP(E491,INDIRECT($F$8),6+(O500-1)*3,0))</f>
        <v/>
      </c>
      <c r="G500" s="42" t="str">
        <f ca="1">IF(ISERROR(F491),"",_xlfn.TEXTJOIN("/",FALSE,P500,S500))</f>
        <v/>
      </c>
      <c r="H500" s="42"/>
      <c r="I500" s="42" t="str">
        <f ca="1">IF(ISERROR(F491),"",_xlfn.TEXTJOIN("/",FALSE,Q500,T500))</f>
        <v/>
      </c>
      <c r="J500" s="42"/>
      <c r="K500" s="42" t="str">
        <f ca="1">IF(ISERROR(F491),"",_xlfn.TEXTJOIN("/",FALSE,R500,U500))</f>
        <v/>
      </c>
      <c r="L500" s="42"/>
      <c r="M500" s="7" t="str">
        <f ca="1">IF(ISERROR(F491),"",IF(ISTEXT(P500),IF(P500="A","Ab",IF(P500="D","Dt",IF(P500="UFM","UFM",IF(P500="NA","-")))),IF(AND(ISBLANK(P500),ISBLANK(R500)),"",IF(P500&lt;0.3*S500,"F",IF(ISBLANK(R500),"",IF(ISTEXT(R500),R500,IF(R500&gt;=0.95*U500,"O",IF(R500&gt;=0.9*U500,"A+",IF(R500&gt;=0.85*U500,"A",IF(R500&gt;=0.8*U500,"B+",IF(R500&gt;=0.75*U500,"B",IF(R500&gt;=0.7*U500,"C+",IF(R500&gt;=0.65*U500,"C",IF(R500&gt;=0.6*U500,"D+",IF(R500&gt;=0.55*U500,"D",IF(R500&gt;=0.5*U500,"E+",IF(R500&gt;=0.45*U500,"E",IF(R500&gt;=0.4*U500,"P",IF(R500&lt;0.4*U500,"F",R500)))))))))))))))))))</f>
        <v/>
      </c>
      <c r="N500" s="8" t="e">
        <f t="shared" ca="1" si="43"/>
        <v>#N/A</v>
      </c>
      <c r="O500">
        <f t="shared" ref="O500:O509" si="44">O499+1</f>
        <v>5</v>
      </c>
      <c r="P500" s="1" t="str">
        <f ca="1">IF(ISERROR(F491),"",IF(ISTEXT(VLOOKUP(B491,INDIRECT($F$8),6+(O500-1)*3)),(VLOOKUP(B491,INDIRECT($F$8),6+(O500-1)*3)),SUM(VLOOKUP(B491,INDIRECT($F$8),6+(O500-1)*3),IF(W510,W500,0))))</f>
        <v/>
      </c>
      <c r="Q500" s="1" t="str">
        <f ca="1">IF(ISERROR(F491),"",VLOOKUP(B491,INDIRECT($F$8),7+(O500-1)*3))</f>
        <v/>
      </c>
      <c r="R500" s="1" t="str">
        <f ca="1">IF(ISERROR(F491),"",SUM(P500:Q500))</f>
        <v/>
      </c>
      <c r="S500" s="1" t="str">
        <f ca="1">IF(ISERROR(F491),"",VLOOKUP(A491,INDIRECT($F$8),6+(O500-1)*3))</f>
        <v/>
      </c>
      <c r="T500" s="1" t="str">
        <f ca="1">IF(ISERROR(F491),"",VLOOKUP(A491,INDIRECT($F$8),7+(O500-1)*3))</f>
        <v/>
      </c>
      <c r="U500" s="1" t="str">
        <f ca="1">IF(ISERROR(F491),"",VLOOKUP(A491,INDIRECT($F$8),8+(O500-1)*3))</f>
        <v/>
      </c>
      <c r="V500" s="1" t="str">
        <f ca="1">IF(ISERROR(F491),"",IF(N500=0,A500,""))</f>
        <v/>
      </c>
      <c r="W500" s="1" t="str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/>
      </c>
      <c r="X500" s="1" t="str">
        <f ca="1">IF(ISERROR(F491),"",IF(W500=0,"",_xlfn.TEXTJOIN("",FALSE," G+",W500," in ",A500)))</f>
        <v/>
      </c>
    </row>
    <row r="501" spans="1:24" ht="11.25" customHeight="1" x14ac:dyDescent="0.2">
      <c r="A501" s="7" t="str">
        <f ca="1">IF(ISERROR(F491),"",VLOOKUP(C491,INDIRECT($F$8),6+(O501-1)*3,0))</f>
        <v/>
      </c>
      <c r="B501" s="41" t="str">
        <f ca="1">IF(ISERROR(F491),"",VLOOKUP(D491,INDIRECT($F$8),6+(O501-1)*3,0))</f>
        <v/>
      </c>
      <c r="C501" s="41"/>
      <c r="D501" s="41"/>
      <c r="E501" s="41"/>
      <c r="F501" s="7" t="str">
        <f ca="1">IF(ISERROR(F491),"",VLOOKUP(E491,INDIRECT($F$8),6+(O501-1)*3,0))</f>
        <v/>
      </c>
      <c r="G501" s="42" t="str">
        <f ca="1">IF(ISERROR(F491),"",_xlfn.TEXTJOIN("/",FALSE,P501,S501))</f>
        <v/>
      </c>
      <c r="H501" s="42"/>
      <c r="I501" s="42" t="str">
        <f ca="1">IF(ISERROR(F491),"",_xlfn.TEXTJOIN("/",FALSE,Q501,T501))</f>
        <v/>
      </c>
      <c r="J501" s="42"/>
      <c r="K501" s="42" t="str">
        <f ca="1">IF(ISERROR(F491),"",_xlfn.TEXTJOIN("/",FALSE,R501,U501))</f>
        <v/>
      </c>
      <c r="L501" s="42"/>
      <c r="M501" s="7" t="str">
        <f ca="1">IF(ISERROR(F491),"",IF(ISTEXT(P501),IF(P501="A","Ab",IF(P501="D","Dt",IF(P501="UFM","UFM",IF(P501="NA","-")))),IF(AND(ISBLANK(P501),ISBLANK(R501)),"",IF(P501&lt;0.3*S501,"F",IF(ISBLANK(R501),"",IF(ISTEXT(R501),R501,IF(R501&gt;=0.95*U501,"O",IF(R501&gt;=0.9*U501,"A+",IF(R501&gt;=0.85*U501,"A",IF(R501&gt;=0.8*U501,"B+",IF(R501&gt;=0.75*U501,"B",IF(R501&gt;=0.7*U501,"C+",IF(R501&gt;=0.65*U501,"C",IF(R501&gt;=0.6*U501,"D+",IF(R501&gt;=0.55*U501,"D",IF(R501&gt;=0.5*U501,"E+",IF(R501&gt;=0.45*U501,"E",IF(R501&gt;=0.4*U501,"P",IF(R501&lt;0.4*U501,"F",R501)))))))))))))))))))</f>
        <v/>
      </c>
      <c r="N501" s="8" t="e">
        <f t="shared" ca="1" si="43"/>
        <v>#N/A</v>
      </c>
      <c r="O501">
        <f t="shared" si="44"/>
        <v>6</v>
      </c>
      <c r="P501" s="1" t="str">
        <f ca="1">IF(ISERROR(F491),"",IF(ISTEXT(VLOOKUP(B491,INDIRECT($F$8),6+(O501-1)*3)),(VLOOKUP(B491,INDIRECT($F$8),6+(O501-1)*3)),SUM(VLOOKUP(B491,INDIRECT($F$8),6+(O501-1)*3),IF(W510,W501,0))))</f>
        <v/>
      </c>
      <c r="Q501" s="1" t="str">
        <f ca="1">IF(ISERROR(F491),"",VLOOKUP(B491,INDIRECT($F$8),7+(O501-1)*3))</f>
        <v/>
      </c>
      <c r="R501" s="1" t="str">
        <f ca="1">IF(ISERROR(F491),"",SUM(P501:Q501))</f>
        <v/>
      </c>
      <c r="S501" s="1" t="str">
        <f ca="1">IF(ISERROR(F491),"",VLOOKUP(A491,INDIRECT($F$8),6+(O501-1)*3))</f>
        <v/>
      </c>
      <c r="T501" s="1" t="str">
        <f ca="1">IF(ISERROR(F491),"",VLOOKUP(A491,INDIRECT($F$8),7+(O501-1)*3))</f>
        <v/>
      </c>
      <c r="U501" s="1" t="str">
        <f ca="1">IF(ISERROR(F491),"",VLOOKUP(A491,INDIRECT($F$8),8+(O501-1)*3))</f>
        <v/>
      </c>
      <c r="V501" s="1" t="str">
        <f ca="1">IF(ISERROR(F491),"",IF(N501=0,A501,""))</f>
        <v/>
      </c>
      <c r="W501" s="1" t="str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/>
      </c>
      <c r="X501" s="1" t="str">
        <f ca="1">IF(ISERROR(F491),"",IF(W501=0,"",_xlfn.TEXTJOIN("",FALSE," G+",W501," in ",A501)))</f>
        <v/>
      </c>
    </row>
    <row r="502" spans="1:24" ht="11.25" customHeight="1" x14ac:dyDescent="0.2">
      <c r="A502" s="7" t="str">
        <f ca="1">IF(ISERROR(F491),"",VLOOKUP(C491,INDIRECT($F$8),6+(O502-1)*3,0))</f>
        <v/>
      </c>
      <c r="B502" s="41" t="str">
        <f ca="1">IF(ISERROR(F491),"",VLOOKUP(D491,INDIRECT($F$8),6+(O502-1)*3,0))</f>
        <v/>
      </c>
      <c r="C502" s="41"/>
      <c r="D502" s="41"/>
      <c r="E502" s="41"/>
      <c r="F502" s="7" t="str">
        <f ca="1">IF(ISERROR(F491),"",VLOOKUP(E491,INDIRECT($F$8),6+(O502-1)*3,0))</f>
        <v/>
      </c>
      <c r="G502" s="42" t="str">
        <f ca="1">IF(ISERROR(F491),"",_xlfn.TEXTJOIN("/",FALSE,P502,S502))</f>
        <v/>
      </c>
      <c r="H502" s="42"/>
      <c r="I502" s="42" t="str">
        <f ca="1">IF(ISERROR(F491),"",_xlfn.TEXTJOIN("/",FALSE,Q502,T502))</f>
        <v/>
      </c>
      <c r="J502" s="42"/>
      <c r="K502" s="42" t="str">
        <f ca="1">IF(ISERROR(F491),"",_xlfn.TEXTJOIN("/",FALSE,R502,U502))</f>
        <v/>
      </c>
      <c r="L502" s="42"/>
      <c r="M502" s="7" t="str">
        <f ca="1">IF(ISERROR(F491),"",IF(ISTEXT(P502),IF(P502="A","Ab",IF(P502="D","Dt",IF(P502="UFM","UFM",IF(P502="NA","-")))),IF(AND(ISBLANK(P502),ISBLANK(R502)),"",IF(P502&lt;0.3*S502,"F",IF(ISBLANK(R502),"",IF(ISTEXT(R502),R502,IF(R502&gt;=0.95*U502,"O",IF(R502&gt;=0.9*U502,"A+",IF(R502&gt;=0.85*U502,"A",IF(R502&gt;=0.8*U502,"B+",IF(R502&gt;=0.75*U502,"B",IF(R502&gt;=0.7*U502,"C+",IF(R502&gt;=0.65*U502,"C",IF(R502&gt;=0.6*U502,"D+",IF(R502&gt;=0.55*U502,"D",IF(R502&gt;=0.5*U502,"E+",IF(R502&gt;=0.45*U502,"E",IF(R502&gt;=0.4*U502,"P",IF(R502&lt;0.4*U502,"F",R502)))))))))))))))))))</f>
        <v/>
      </c>
      <c r="N502" s="8" t="e">
        <f t="shared" ca="1" si="43"/>
        <v>#N/A</v>
      </c>
      <c r="O502">
        <f t="shared" si="44"/>
        <v>7</v>
      </c>
      <c r="P502" s="1" t="str">
        <f ca="1">IF(ISERROR(F491),"",IF(ISTEXT(VLOOKUP(B491,INDIRECT($F$8),6+(O502-1)*3)),(VLOOKUP(B491,INDIRECT($F$8),6+(O502-1)*3)),SUM(VLOOKUP(B491,INDIRECT($F$8),6+(O502-1)*3),IF(W510,W502,0))))</f>
        <v/>
      </c>
      <c r="Q502" s="1" t="str">
        <f ca="1">IF(ISERROR(F491),"",VLOOKUP(B491,INDIRECT($F$8),7+(O502-1)*3))</f>
        <v/>
      </c>
      <c r="R502" s="1" t="str">
        <f ca="1">IF(ISERROR(F491),"",SUM(P502:Q502))</f>
        <v/>
      </c>
      <c r="S502" s="1" t="str">
        <f ca="1">IF(ISERROR(F491),"",VLOOKUP(A491,INDIRECT($F$8),6+(O502-1)*3))</f>
        <v/>
      </c>
      <c r="T502" s="1" t="str">
        <f ca="1">IF(ISERROR(F491),"",VLOOKUP(A491,INDIRECT($F$8),7+(O502-1)*3))</f>
        <v/>
      </c>
      <c r="U502" s="1" t="str">
        <f ca="1">IF(ISERROR(F491),"",VLOOKUP(A491,INDIRECT($F$8),8+(O502-1)*3))</f>
        <v/>
      </c>
      <c r="V502" s="1" t="str">
        <f ca="1">IF(ISERROR(F491),"",IF(N502=0,A502,""))</f>
        <v/>
      </c>
      <c r="W502" s="1" t="str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/>
      </c>
      <c r="X502" s="1" t="str">
        <f ca="1">IF(ISERROR(F491),"",IF(W502=0,"",_xlfn.TEXTJOIN("",FALSE," G+",W502," in ",A502)))</f>
        <v/>
      </c>
    </row>
    <row r="503" spans="1:24" ht="11.25" customHeight="1" x14ac:dyDescent="0.2">
      <c r="A503" s="7" t="str">
        <f ca="1">IF(ISERROR(F491),"",VLOOKUP(C491,INDIRECT($F$8),6+(O503-1)*3,0))</f>
        <v/>
      </c>
      <c r="B503" s="41" t="str">
        <f ca="1">IF(ISERROR(F491),"",VLOOKUP(D491,INDIRECT($F$8),6+(O503-1)*3,0))</f>
        <v/>
      </c>
      <c r="C503" s="41"/>
      <c r="D503" s="41"/>
      <c r="E503" s="41"/>
      <c r="F503" s="7" t="str">
        <f ca="1">IF(ISERROR(F491),"",VLOOKUP(E491,INDIRECT($F$8),6+(O503-1)*3,0))</f>
        <v/>
      </c>
      <c r="G503" s="42" t="str">
        <f ca="1">IF(ISERROR(F491),"",_xlfn.TEXTJOIN("/",FALSE,P503,S503))</f>
        <v/>
      </c>
      <c r="H503" s="42"/>
      <c r="I503" s="42" t="str">
        <f ca="1">IF(ISERROR(F491),"",_xlfn.TEXTJOIN("/",FALSE,Q503,T503))</f>
        <v/>
      </c>
      <c r="J503" s="42"/>
      <c r="K503" s="42" t="str">
        <f ca="1">IF(ISERROR(F491),"",_xlfn.TEXTJOIN("/",FALSE,R503,U503))</f>
        <v/>
      </c>
      <c r="L503" s="42"/>
      <c r="M503" s="7" t="str">
        <f ca="1">IF(ISERROR(F491),"",IF(ISTEXT(P503),IF(P503="A","Ab",IF(P503="D","Dt",IF(P503="UFM","UFM",IF(P503="NA","-")))),IF(AND(ISBLANK(P503),ISBLANK(R503)),"",IF(P503&lt;0.3*S503,"F",IF(ISBLANK(R503),"",IF(ISTEXT(R503),R503,IF(R503&gt;=0.95*U503,"O",IF(R503&gt;=0.9*U503,"A+",IF(R503&gt;=0.85*U503,"A",IF(R503&gt;=0.8*U503,"B+",IF(R503&gt;=0.75*U503,"B",IF(R503&gt;=0.7*U503,"C+",IF(R503&gt;=0.65*U503,"C",IF(R503&gt;=0.6*U503,"D+",IF(R503&gt;=0.55*U503,"D",IF(R503&gt;=0.5*U503,"E+",IF(R503&gt;=0.45*U503,"E",IF(R503&gt;=0.4*U503,"P",IF(R503&lt;0.4*U503,"F",R503)))))))))))))))))))</f>
        <v/>
      </c>
      <c r="N503" s="8" t="e">
        <f t="shared" ca="1" si="43"/>
        <v>#N/A</v>
      </c>
      <c r="O503">
        <f t="shared" si="44"/>
        <v>8</v>
      </c>
      <c r="P503" s="1" t="str">
        <f ca="1">IF(ISERROR(F491),"",IF(ISTEXT(VLOOKUP(B491,INDIRECT($F$8),6+(O503-1)*3)),(VLOOKUP(B491,INDIRECT($F$8),6+(O503-1)*3)),SUM(VLOOKUP(B491,INDIRECT($F$8),6+(O503-1)*3),IF(W510,W503,0))))</f>
        <v/>
      </c>
      <c r="Q503" s="1" t="str">
        <f ca="1">IF(ISERROR(F491),"",VLOOKUP(B491,INDIRECT($F$8),7+(O503-1)*3))</f>
        <v/>
      </c>
      <c r="R503" s="1" t="str">
        <f ca="1">IF(ISERROR(F491),"",SUM(P503:Q503))</f>
        <v/>
      </c>
      <c r="S503" s="1" t="str">
        <f ca="1">IF(ISERROR(F491),"",VLOOKUP(A491,INDIRECT($F$8),6+(O503-1)*3))</f>
        <v/>
      </c>
      <c r="T503" s="1" t="str">
        <f ca="1">IF(ISERROR(F491),"",VLOOKUP(A491,INDIRECT($F$8),7+(O503-1)*3))</f>
        <v/>
      </c>
      <c r="U503" s="1" t="str">
        <f ca="1">IF(ISERROR(F491),"",VLOOKUP(A491,INDIRECT($F$8),8+(O503-1)*3))</f>
        <v/>
      </c>
      <c r="V503" s="1" t="str">
        <f ca="1">IF(ISERROR(F491),"",IF(N503=0,A503,""))</f>
        <v/>
      </c>
      <c r="W503" s="1" t="str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/>
      </c>
      <c r="X503" s="1" t="str">
        <f ca="1">IF(ISERROR(F491),"",IF(W503=0,"",_xlfn.TEXTJOIN("",FALSE," G+",W503," in ",A503)))</f>
        <v/>
      </c>
    </row>
    <row r="504" spans="1:24" ht="11.25" customHeight="1" x14ac:dyDescent="0.2">
      <c r="A504" s="7" t="str">
        <f ca="1">IF(ISERROR(F491),"",VLOOKUP(C491,INDIRECT($F$8),6+(O504-1)*3,0))</f>
        <v/>
      </c>
      <c r="B504" s="41" t="str">
        <f ca="1">IF(ISERROR(F491),"",VLOOKUP(D491,INDIRECT($F$8),6+(O504-1)*3-Z504,0))</f>
        <v/>
      </c>
      <c r="C504" s="41"/>
      <c r="D504" s="41"/>
      <c r="E504" s="41"/>
      <c r="F504" s="7" t="str">
        <f ca="1">IF(ISERROR(F491),"",VLOOKUP(E491,INDIRECT($F$8),6+(O504-1)*3,0))</f>
        <v/>
      </c>
      <c r="G504" s="42" t="str">
        <f ca="1">IF(ISERROR(F491),"",_xlfn.TEXTJOIN("/",FALSE,P504,S504))</f>
        <v/>
      </c>
      <c r="H504" s="42"/>
      <c r="I504" s="42" t="str">
        <f ca="1">IF(ISERROR(F491),"",_xlfn.TEXTJOIN("/",FALSE,Q504,T504))</f>
        <v/>
      </c>
      <c r="J504" s="42"/>
      <c r="K504" s="42" t="str">
        <f ca="1">IF(ISERROR(F491),"",_xlfn.TEXTJOIN("/",FALSE,R504,U504))</f>
        <v/>
      </c>
      <c r="L504" s="42"/>
      <c r="M504" s="7" t="str">
        <f ca="1">IF(ISERROR(F491),"",IF(ISTEXT(P504),IF(P504="A","Ab",IF(P504="D","Dt",IF(P504="UFM","UFM",IF(P504="NA","-")))),IF(AND(ISBLANK(P504),ISBLANK(R504)),"",IF(P504&lt;0.3*S504,"F",IF(ISBLANK(R504),"",IF(ISTEXT(R504),R504,IF(R504&gt;=0.95*U504,"O",IF(R504&gt;=0.9*U504,"A+",IF(R504&gt;=0.85*U504,"A",IF(R504&gt;=0.8*U504,"B+",IF(R504&gt;=0.75*U504,"B",IF(R504&gt;=0.7*U504,"C+",IF(R504&gt;=0.65*U504,"C",IF(R504&gt;=0.6*U504,"D+",IF(R504&gt;=0.55*U504,"D",IF(R504&gt;=0.5*U504,"E+",IF(R504&gt;=0.45*U504,"E",IF(R504&gt;=0.4*U504,"P",IF(R504&lt;0.4*U504,"F",R504)))))))))))))))))))</f>
        <v/>
      </c>
      <c r="N504" s="8" t="e">
        <f t="shared" ca="1" si="43"/>
        <v>#N/A</v>
      </c>
      <c r="O504">
        <f t="shared" si="44"/>
        <v>9</v>
      </c>
      <c r="P504" s="1" t="str">
        <f ca="1">IF(ISERROR(F491),"",IF(ISTEXT(VLOOKUP(B491,INDIRECT($F$8),6+(O504-1)*3)),(VLOOKUP(B491,INDIRECT($F$8),6+(O504-1)*3)),SUM(VLOOKUP(B491,INDIRECT($F$8),6+(O504-1)*3),IF(W510,W504,0))))</f>
        <v/>
      </c>
      <c r="Q504" s="1" t="str">
        <f ca="1">IF(ISERROR(F491),"",VLOOKUP(B491,INDIRECT($F$8),7+(O504-1)*3))</f>
        <v/>
      </c>
      <c r="R504" s="1" t="str">
        <f ca="1">IF(ISERROR(F491),"",SUM(P504:Q504))</f>
        <v/>
      </c>
      <c r="S504" s="1" t="str">
        <f ca="1">IF(ISERROR(F491),"",VLOOKUP(A491,INDIRECT($F$8),6+(O504-1)*3))</f>
        <v/>
      </c>
      <c r="T504" s="1" t="str">
        <f ca="1">IF(ISERROR(F491),"",VLOOKUP(A491,INDIRECT($F$8),7+(O504-1)*3))</f>
        <v/>
      </c>
      <c r="U504" s="1" t="str">
        <f ca="1">IF(ISERROR(F491),"",VLOOKUP(A491,INDIRECT($F$8),8+(O504-1)*3))</f>
        <v/>
      </c>
      <c r="V504" s="1" t="str">
        <f ca="1">IF(ISERROR(F491),"",IF(N504=0,A504,""))</f>
        <v/>
      </c>
      <c r="W504" s="1" t="str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/>
      </c>
      <c r="X504" s="1" t="str">
        <f ca="1">IF(ISERROR(F491),"",IF(W504=0,"",_xlfn.TEXTJOIN("",FALSE," G+",W504," in ",A504)))</f>
        <v/>
      </c>
    </row>
    <row r="505" spans="1:24" ht="11.25" customHeight="1" x14ac:dyDescent="0.2">
      <c r="A505" s="7" t="str">
        <f ca="1">IF(ISERROR(F491),"",VLOOKUP(C491,INDIRECT($F$8),6+(O505-1)*3,0))</f>
        <v/>
      </c>
      <c r="B505" s="41" t="str">
        <f ca="1">IF(ISERROR(F491),"",VLOOKUP(D491,INDIRECT($F$8),6+(O505-1)*3-Z505,0))</f>
        <v/>
      </c>
      <c r="C505" s="41"/>
      <c r="D505" s="41"/>
      <c r="E505" s="41"/>
      <c r="F505" s="7" t="str">
        <f ca="1">IF(ISERROR(F491),"",VLOOKUP(E491,INDIRECT($F$8),6+(O505-1)*3,0))</f>
        <v/>
      </c>
      <c r="G505" s="42" t="str">
        <f ca="1">IF(ISERROR(F491),"",_xlfn.TEXTJOIN("/",FALSE,P505,S505))</f>
        <v/>
      </c>
      <c r="H505" s="42"/>
      <c r="I505" s="42" t="str">
        <f ca="1">IF(ISERROR(F491),"",_xlfn.TEXTJOIN("/",FALSE,Q505,T505))</f>
        <v/>
      </c>
      <c r="J505" s="42"/>
      <c r="K505" s="42" t="str">
        <f ca="1">IF(ISERROR(F491),"",_xlfn.TEXTJOIN("/",FALSE,R505,U505))</f>
        <v/>
      </c>
      <c r="L505" s="42"/>
      <c r="M505" s="7" t="str">
        <f ca="1">IF(ISERROR(F491),"",IF(ISTEXT(P505),IF(P505="A","Ab",IF(P505="D","Dt",IF(P505="UFM","UFM",IF(P505="NA","-")))),IF(AND(ISBLANK(P505),ISBLANK(R505)),"",IF(P505&lt;0.3*S505,"F",IF(ISBLANK(R505),"",IF(ISTEXT(R505),R505,IF(R505&gt;=0.95*U505,"O",IF(R505&gt;=0.9*U505,"A+",IF(R505&gt;=0.85*U505,"A",IF(R505&gt;=0.8*U505,"B+",IF(R505&gt;=0.75*U505,"B",IF(R505&gt;=0.7*U505,"C+",IF(R505&gt;=0.65*U505,"C",IF(R505&gt;=0.6*U505,"D+",IF(R505&gt;=0.55*U505,"D",IF(R505&gt;=0.5*U505,"E+",IF(R505&gt;=0.45*U505,"E",IF(R505&gt;=0.4*U505,"P",IF(R505&lt;0.4*U505,"F",R505)))))))))))))))))))</f>
        <v/>
      </c>
      <c r="N505" s="8" t="e">
        <f t="shared" ca="1" si="43"/>
        <v>#N/A</v>
      </c>
      <c r="O505">
        <f t="shared" si="44"/>
        <v>10</v>
      </c>
      <c r="P505" s="1" t="str">
        <f ca="1">IF(ISERROR(F491),"",IF(ISTEXT(VLOOKUP(B491,INDIRECT($F$8),6+(O505-1)*3)),(VLOOKUP(B491,INDIRECT($F$8),6+(O505-1)*3)),SUM(VLOOKUP(B491,INDIRECT($F$8),6+(O505-1)*3),IF(W510,W505,0))))</f>
        <v/>
      </c>
      <c r="Q505" s="1" t="str">
        <f ca="1">IF(ISERROR(F491),"",VLOOKUP(B491,INDIRECT($F$8),7+(O505-1)*3))</f>
        <v/>
      </c>
      <c r="R505" s="1" t="str">
        <f ca="1">IF(ISERROR(F491),"",SUM(P505:Q505))</f>
        <v/>
      </c>
      <c r="S505" s="1" t="str">
        <f ca="1">IF(ISERROR(F491),"",VLOOKUP(A491,INDIRECT($F$8),6+(O505-1)*3))</f>
        <v/>
      </c>
      <c r="T505" s="1" t="str">
        <f ca="1">IF(ISERROR(F491),"",VLOOKUP(A491,INDIRECT($F$8),7+(O505-1)*3))</f>
        <v/>
      </c>
      <c r="U505" s="1" t="str">
        <f ca="1">IF(ISERROR(F491),"",VLOOKUP(A491,INDIRECT($F$8),8+(O505-1)*3))</f>
        <v/>
      </c>
      <c r="V505" s="1" t="str">
        <f ca="1">IF(ISERROR(F491),"",IF(N505=0,A505,""))</f>
        <v/>
      </c>
      <c r="W505" s="1" t="str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/>
      </c>
      <c r="X505" s="1" t="str">
        <f ca="1">IF(ISERROR(F491),"",IF(W505=0,"",_xlfn.TEXTJOIN("",FALSE," G+",W505," in ",A505)))</f>
        <v/>
      </c>
    </row>
    <row r="506" spans="1:24" ht="11.25" customHeight="1" x14ac:dyDescent="0.2">
      <c r="A506" s="7" t="str">
        <f ca="1">IF(ISERROR(F491),"",VLOOKUP(C491,INDIRECT($F$8),6+(O506-1)*3,0))</f>
        <v/>
      </c>
      <c r="B506" s="41" t="str">
        <f ca="1">IF(ISERROR(F491),"",VLOOKUP(D491,INDIRECT($F$8),6+(O506-1)*3,0))</f>
        <v/>
      </c>
      <c r="C506" s="41"/>
      <c r="D506" s="41"/>
      <c r="E506" s="41"/>
      <c r="F506" s="7" t="str">
        <f ca="1">IF(ISERROR(F491),"",VLOOKUP(E491,INDIRECT($F$8),6+(O506-1)*3,0))</f>
        <v/>
      </c>
      <c r="G506" s="42" t="str">
        <f ca="1">IF(ISERROR(F491),"",_xlfn.TEXTJOIN("/",FALSE,P506,S506))</f>
        <v/>
      </c>
      <c r="H506" s="42"/>
      <c r="I506" s="42" t="str">
        <f ca="1">IF(ISERROR(F491),"",_xlfn.TEXTJOIN("/",FALSE,Q506,T506))</f>
        <v/>
      </c>
      <c r="J506" s="42"/>
      <c r="K506" s="42" t="str">
        <f ca="1">IF(ISERROR(F491),"",_xlfn.TEXTJOIN("/",FALSE,R506,U506))</f>
        <v/>
      </c>
      <c r="L506" s="42"/>
      <c r="M506" s="7" t="str">
        <f ca="1">IF(ISERROR(F491),"",IF(ISTEXT(P506),IF(P506="A","Ab",IF(P506="D","Dt",IF(P506="UFM","UFM",IF(P506="NA","-")))),IF(AND(ISBLANK(P506),ISBLANK(R506)),"",IF(P506&lt;0.3*S506,"F",IF(ISBLANK(R506),"",IF(ISTEXT(R506),R506,IF(R506&gt;=0.95*U506,"O",IF(R506&gt;=0.9*U506,"A+",IF(R506&gt;=0.85*U506,"A",IF(R506&gt;=0.8*U506,"B+",IF(R506&gt;=0.75*U506,"B",IF(R506&gt;=0.7*U506,"C+",IF(R506&gt;=0.65*U506,"C",IF(R506&gt;=0.6*U506,"D+",IF(R506&gt;=0.55*U506,"D",IF(R506&gt;=0.5*U506,"E+",IF(R506&gt;=0.45*U506,"E",IF(R506&gt;=0.4*U506,"P",IF(R506&lt;0.4*U506,"F",R506)))))))))))))))))))</f>
        <v/>
      </c>
      <c r="N506" s="8" t="e">
        <f t="shared" ca="1" si="43"/>
        <v>#N/A</v>
      </c>
      <c r="O506">
        <f t="shared" si="44"/>
        <v>11</v>
      </c>
      <c r="P506" s="1" t="str">
        <f ca="1">IF(ISERROR(F491),"",IF(ISTEXT(VLOOKUP(B491,INDIRECT($F$8),6+(O506-1)*3)),(VLOOKUP(B491,INDIRECT($F$8),6+(O506-1)*3)),SUM(VLOOKUP(B491,INDIRECT($F$8),6+(O506-1)*3),IF(W510,W506,0))))</f>
        <v/>
      </c>
      <c r="Q506" s="1" t="str">
        <f ca="1">IF(ISERROR(F491),"",VLOOKUP(B491,INDIRECT($F$8),7+(O506-1)*3))</f>
        <v/>
      </c>
      <c r="R506" s="1" t="str">
        <f ca="1">IF(ISERROR(F491),"",SUM(P506:Q506))</f>
        <v/>
      </c>
      <c r="S506" s="1" t="str">
        <f ca="1">IF(ISERROR(F491),"",VLOOKUP(A491,INDIRECT($F$8),6+(O506-1)*3))</f>
        <v/>
      </c>
      <c r="T506" s="1" t="str">
        <f ca="1">IF(ISERROR(F491),"",VLOOKUP(A491,INDIRECT($F$8),7+(O506-1)*3))</f>
        <v/>
      </c>
      <c r="U506" s="1" t="str">
        <f ca="1">IF(ISERROR(F491),"",VLOOKUP(A491,INDIRECT($F$8),8+(O506-1)*3))</f>
        <v/>
      </c>
      <c r="V506" s="1" t="str">
        <f ca="1">IF(ISERROR(F491),"",IF(N506=0,A506,""))</f>
        <v/>
      </c>
      <c r="W506" s="1" t="str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/>
      </c>
      <c r="X506" s="1" t="str">
        <f ca="1">IF(ISERROR(F491),"",IF(W506=0,"",_xlfn.TEXTJOIN("",FALSE," G+",W506," in ",A506)))</f>
        <v/>
      </c>
    </row>
    <row r="507" spans="1:24" ht="11.25" customHeight="1" x14ac:dyDescent="0.2">
      <c r="A507" s="7" t="str">
        <f ca="1">IF(ISERROR(F491),"",VLOOKUP(C491,INDIRECT($F$8),6+(O507-1)*3,0))</f>
        <v/>
      </c>
      <c r="B507" s="41" t="str">
        <f ca="1">IF(ISERROR(F491),"",VLOOKUP(D491,INDIRECT($F$8),6+(O507-1)*3,0))</f>
        <v/>
      </c>
      <c r="C507" s="41"/>
      <c r="D507" s="41"/>
      <c r="E507" s="41"/>
      <c r="F507" s="7" t="str">
        <f ca="1">IF(ISERROR(F491),"",VLOOKUP(E491,INDIRECT($F$8),6+(O507-1)*3,0))</f>
        <v/>
      </c>
      <c r="G507" s="42" t="str">
        <f ca="1">IF(ISERROR(F491),"",_xlfn.TEXTJOIN("/",FALSE,P507,S507))</f>
        <v/>
      </c>
      <c r="H507" s="42"/>
      <c r="I507" s="42" t="str">
        <f ca="1">IF(ISERROR(F491),"",_xlfn.TEXTJOIN("/",FALSE,Q507,T507))</f>
        <v/>
      </c>
      <c r="J507" s="42"/>
      <c r="K507" s="42" t="str">
        <f ca="1">IF(ISERROR(F491),"",_xlfn.TEXTJOIN("/",FALSE,R507,U507))</f>
        <v/>
      </c>
      <c r="L507" s="42"/>
      <c r="M507" s="7" t="str">
        <f ca="1">IF(ISERROR(F491),"",IF(ISTEXT(P507),IF(P507="A","Ab",IF(P507="D","Dt",IF(P507="UFM","UFM",IF(P507="NA","-")))),IF(AND(ISBLANK(P507),ISBLANK(R507)),"",IF(P507&lt;0.3*S507,"F",IF(ISBLANK(R507),"",IF(ISTEXT(R507),R507,IF(R507&gt;=0.95*U507,"O",IF(R507&gt;=0.9*U507,"A+",IF(R507&gt;=0.85*U507,"A",IF(R507&gt;=0.8*U507,"B+",IF(R507&gt;=0.75*U507,"B",IF(R507&gt;=0.7*U507,"C+",IF(R507&gt;=0.65*U507,"C",IF(R507&gt;=0.6*U507,"D+",IF(R507&gt;=0.55*U507,"D",IF(R507&gt;=0.5*U507,"E+",IF(R507&gt;=0.45*U507,"E",IF(R507&gt;=0.4*U507,"P",IF(R507&lt;0.4*U507,"F",R507)))))))))))))))))))</f>
        <v/>
      </c>
      <c r="N507" s="8" t="e">
        <f t="shared" ca="1" si="43"/>
        <v>#N/A</v>
      </c>
      <c r="O507">
        <f t="shared" si="44"/>
        <v>12</v>
      </c>
      <c r="P507" s="1" t="str">
        <f ca="1">IF(ISERROR(F491),"",IF(ISTEXT(VLOOKUP(B491,INDIRECT($F$8),6+(O507-1)*3)),(VLOOKUP(B491,INDIRECT($F$8),6+(O507-1)*3)),SUM(VLOOKUP(B491,INDIRECT($F$8),6+(O507-1)*3),IF(W510,W507,0))))</f>
        <v/>
      </c>
      <c r="Q507" s="1" t="str">
        <f ca="1">IF(ISERROR(F491),"",VLOOKUP(B491,INDIRECT($F$8),7+(O507-1)*3))</f>
        <v/>
      </c>
      <c r="R507" s="1" t="str">
        <f ca="1">IF(ISERROR(F491),"",SUM(P507:Q507))</f>
        <v/>
      </c>
      <c r="S507" s="1" t="str">
        <f ca="1">IF(ISERROR(F491),"",VLOOKUP(A491,INDIRECT($F$8),6+(O507-1)*3))</f>
        <v/>
      </c>
      <c r="T507" s="1" t="str">
        <f ca="1">IF(ISERROR(F491),"",VLOOKUP(A491,INDIRECT($F$8),7+(O507-1)*3))</f>
        <v/>
      </c>
      <c r="U507" s="1" t="str">
        <f ca="1">IF(ISERROR(F491),"",VLOOKUP(A491,INDIRECT($F$8),8+(O507-1)*3))</f>
        <v/>
      </c>
      <c r="V507" s="1" t="str">
        <f ca="1">IF(ISERROR(F491),"",IF(N507=0,A507,""))</f>
        <v/>
      </c>
      <c r="W507" s="1" t="str">
        <f ca="1">IF(ISERROR(F491),"",IF(ISTEXT(VLOOKUP(B491,INDIRECT($F$8),6+(O507-1)*3)),11,IF(VLOOKUP(B491,INDIRECT($F$8),6+(O507-1)*3)&lt;S507*0.3,IF(VLOOKUP(B491,INDIRECT($F$8),8+(O507-1)*3)&lt;U507*0.4,IF(AND(0.4*U507-VLOOKUP(B491,INDIRECT($F$8),8+(O507-1)*3)&lt;=5,0.3*S507-VLOOKUP(B491,INDIRECT($F$8),6+(O507-1)*3)&lt;=5),MAX(0.4*U507-VLOOKUP(B491,INDIRECT($F$8),8+(O507-1)*3),0.3*S507-VLOOKUP(B491,INDIRECT($F$8),6+(O507-1)*3)),11),IF(0.3*S507-VLOOKUP(B491,INDIRECT($F$8),6+(O507-1)*3)&lt;=5,0.3*S507-VLOOKUP(B491,INDIRECT($F$8),6+(O507-1)*3),11)),IF(VLOOKUP(B491,INDIRECT($F$8),8+(O507-1)*3)&lt;U507*0.4,IF(U507*0.4-VLOOKUP(B491,INDIRECT($F$8),8+(O507-1)*3)&lt;=5,U507*0.4-VLOOKUP(B491,INDIRECT($F$8),8+(O507-1)*3),11),0))))</f>
        <v/>
      </c>
      <c r="X507" s="1" t="str">
        <f ca="1">IF(ISERROR(F491),"",IF(W507=0,"",_xlfn.TEXTJOIN("",FALSE," G+",W507," in ",A507)))</f>
        <v/>
      </c>
    </row>
    <row r="508" spans="1:24" ht="11.25" customHeight="1" x14ac:dyDescent="0.2">
      <c r="A508" s="7" t="str">
        <f ca="1">IF(ISERROR(F491),"",VLOOKUP(C491,INDIRECT($F$8),6+(O508-1)*3,0))</f>
        <v/>
      </c>
      <c r="B508" s="41" t="str">
        <f ca="1">IF(ISERROR(F491),"",VLOOKUP(D491,INDIRECT($F$8),6+(O508-1)*3,0))</f>
        <v/>
      </c>
      <c r="C508" s="41"/>
      <c r="D508" s="41"/>
      <c r="E508" s="41"/>
      <c r="F508" s="7" t="str">
        <f ca="1">IF(ISERROR(F491),"",VLOOKUP(E491,INDIRECT($F$8),6+(O508-1)*3,0))</f>
        <v/>
      </c>
      <c r="G508" s="42" t="str">
        <f ca="1">IF(ISERROR(F491),"",_xlfn.TEXTJOIN("/",FALSE,P508,S508))</f>
        <v/>
      </c>
      <c r="H508" s="42"/>
      <c r="I508" s="42" t="str">
        <f ca="1">IF(ISERROR(F491),"",_xlfn.TEXTJOIN("/",FALSE,Q508,T508))</f>
        <v/>
      </c>
      <c r="J508" s="42"/>
      <c r="K508" s="42" t="str">
        <f ca="1">IF(ISERROR(F491),"",_xlfn.TEXTJOIN("/",FALSE,R508,U508))</f>
        <v/>
      </c>
      <c r="L508" s="42"/>
      <c r="M508" s="7" t="str">
        <f ca="1">IF(ISERROR(F491),"",IF(ISTEXT(P508),IF(P508="A","Ab",IF(P508="D","Dt",IF(P508="UFM","UFM",IF(P508="NA","-")))),IF(AND(ISBLANK(P508),ISBLANK(R508)),"",IF(P508&lt;0.3*S508,"F",IF(ISBLANK(R508),"",IF(ISTEXT(R508),R508,IF(R508&gt;=0.95*U508,"O",IF(R508&gt;=0.9*U508,"A+",IF(R508&gt;=0.85*U508,"A",IF(R508&gt;=0.8*U508,"B+",IF(R508&gt;=0.75*U508,"B",IF(R508&gt;=0.7*U508,"C+",IF(R508&gt;=0.65*U508,"C",IF(R508&gt;=0.6*U508,"D+",IF(R508&gt;=0.55*U508,"D",IF(R508&gt;=0.5*U508,"E+",IF(R508&gt;=0.45*U508,"E",IF(R508&gt;=0.4*U508,"P",IF(R508&lt;0.4*U508,"F",R508)))))))))))))))))))</f>
        <v/>
      </c>
      <c r="N508" s="8" t="e">
        <f t="shared" ca="1" si="43"/>
        <v>#N/A</v>
      </c>
      <c r="O508">
        <f t="shared" si="44"/>
        <v>13</v>
      </c>
      <c r="P508" s="1" t="str">
        <f ca="1">IF(ISERROR(F491),"",IF(ISTEXT(VLOOKUP(B491,INDIRECT($F$8),6+(O508-1)*3)),(VLOOKUP(B491,INDIRECT($F$8),6+(O508-1)*3)),SUM(VLOOKUP(B491,INDIRECT($F$8),6+(O508-1)*3),IF(W510,W508,0))))</f>
        <v/>
      </c>
      <c r="Q508" s="1" t="str">
        <f ca="1">IF(ISERROR(F491),"",VLOOKUP(B491,INDIRECT($F$8),7+(O508-1)*3))</f>
        <v/>
      </c>
      <c r="R508" s="1" t="str">
        <f ca="1">IF(ISERROR(F491),"",SUM(P508:Q508))</f>
        <v/>
      </c>
      <c r="S508" s="1" t="str">
        <f ca="1">IF(ISERROR(F491),"",VLOOKUP(A491,INDIRECT($F$8),6+(O508-1)*3))</f>
        <v/>
      </c>
      <c r="T508" s="1" t="str">
        <f ca="1">IF(ISERROR(F491),"",VLOOKUP(A491,INDIRECT($F$8),7+(O508-1)*3))</f>
        <v/>
      </c>
      <c r="U508" s="1" t="str">
        <f ca="1">IF(ISERROR(F491),"",VLOOKUP(A491,INDIRECT($F$8),8+(O508-1)*3))</f>
        <v/>
      </c>
      <c r="V508" s="1"/>
      <c r="W508" s="1" t="str">
        <f ca="1">IF(ISERROR(F491),"",IF(ISTEXT(VLOOKUP(B491,INDIRECT($F$8),6+(O508-1)*3)),11,IF(VLOOKUP(B491,INDIRECT($F$8),6+(O508-1)*3)&lt;S508*0.3,IF(VLOOKUP(B491,INDIRECT($F$8),8+(O508-1)*3)&lt;U508*0.4,IF(AND(0.4*U508-VLOOKUP(B491,INDIRECT($F$8),8+(O508-1)*3)&lt;=5,0.3*S508-VLOOKUP(B491,INDIRECT($F$8),6+(O508-1)*3)&lt;=5),MAX(0.4*U508-VLOOKUP(B491,INDIRECT($F$8),8+(O508-1)*3),0.3*S508-VLOOKUP(B491,INDIRECT($F$8),6+(O508-1)*3)),11),IF(0.3*S508-VLOOKUP(B491,INDIRECT($F$8),6+(O508-1)*3)&lt;=5,0.3*S508-VLOOKUP(B491,INDIRECT($F$8),6+(O508-1)*3),11)),IF(VLOOKUP(B491,INDIRECT($F$8),8+(O508-1)*3)&lt;U508*0.4,IF(U508*0.4-VLOOKUP(B491,INDIRECT($F$8),8+(O508-1)*3)&lt;=5,U508*0.4-VLOOKUP(B491,INDIRECT($F$8),8+(O508-1)*3),11),0))))</f>
        <v/>
      </c>
      <c r="X508" s="1" t="str">
        <f ca="1">IF(ISERROR(F491),"",IF(W508=0,"",_xlfn.TEXTJOIN("",FALSE," G+",W508," in ",A508)))</f>
        <v/>
      </c>
    </row>
    <row r="509" spans="1:24" s="32" customFormat="1" ht="11.25" customHeight="1" x14ac:dyDescent="0.2">
      <c r="A509" s="31" t="str">
        <f ca="1">IF(ISERROR(F491),"",VLOOKUP(C491,INDIRECT($F$8),6+(O509-1)*3-Y509,0))</f>
        <v/>
      </c>
      <c r="B509" s="49" t="str">
        <f ca="1">IF(ISERROR(F491),"",VLOOKUP(D491,INDIRECT($F$8),6+(O509-1)*3-Z509,0))</f>
        <v/>
      </c>
      <c r="C509" s="49"/>
      <c r="D509" s="49"/>
      <c r="E509" s="49"/>
      <c r="F509" s="31" t="str">
        <f ca="1">IF(ISERROR(F491),"",VLOOKUP(E491,INDIRECT($F$8),6+(O509-1)*3-AA509,0))</f>
        <v/>
      </c>
      <c r="G509" s="50" t="str">
        <f ca="1">IF(ISERROR(F491),"","-")</f>
        <v/>
      </c>
      <c r="H509" s="50"/>
      <c r="I509" s="50" t="str">
        <f ca="1">IF(ISERROR(F491),"",_xlfn.TEXTJOIN("/",FALSE,Q509,T509))</f>
        <v/>
      </c>
      <c r="J509" s="50"/>
      <c r="K509" s="50" t="str">
        <f ca="1">IF(ISERROR(F491),"",_xlfn.TEXTJOIN("/",FALSE,R509,U509))</f>
        <v/>
      </c>
      <c r="L509" s="50"/>
      <c r="M509" s="7" t="b">
        <f ca="1">IF(ISERROR(F492),"",IF(ISTEXT(P509),IF(P509="A","Ab",IF(P509="D","Dt",IF(P509="UFM","UFM",IF(P509="NA","")))),IF(AND(ISBLANK(P509),ISBLANK(R509)),"",IF(P509&lt;0.3*S509,"F",IF(ISBLANK(R509),"",IF(ISTEXT(R509),R509,IF(R509&gt;=0.95*U509,"O",IF(R509&gt;=0.9*U509,"A+",IF(R509&gt;=0.85*U509,"A",IF(R509&gt;=0.8*U509,"B+",IF(R509&gt;=0.75*U509,"B",IF(R509&gt;=0.7*U509,"C+",IF(R509&gt;=0.65*U509,"C",IF(R509&gt;=0.6*U509,"D+",IF(R509&gt;=0.55*U509,"D",IF(R509&gt;=0.5*U509,"E+",IF(R509&gt;=0.45*U509,"E",IF(R509&gt;=0.4*U509,"P",IF(R509&lt;0.4*U509,"F",R509)))))))))))))))))))</f>
        <v>0</v>
      </c>
      <c r="N509" s="8" t="e">
        <f t="shared" ref="N498:N509" ca="1" si="45">INDEX($Z$2:$Z$18,MATCH(M509,$Y$2:$Y$18,0))</f>
        <v>#N/A</v>
      </c>
      <c r="O509" s="32">
        <f t="shared" si="44"/>
        <v>14</v>
      </c>
      <c r="P509" s="33" t="str">
        <f ca="1">IF(ISERROR(F491),"",IF(ISTEXT(VLOOKUP(B\28,INDIRECT($F$8),6+(O509-1)*3)),(VLOOKUP(B491,INDIRECT($F$8),6+(O509-1)*3)),SUM(VLOOKUP(B491,INDIRECT($F$8),6+(O509-1)*3),IF(W510,W509,0))))</f>
        <v/>
      </c>
      <c r="Q509" s="33" t="str">
        <f ca="1">IF(ISERROR(F491),"",VLOOKUP(B491,INDIRECT($F$8),7+(O509-1)*3))</f>
        <v/>
      </c>
      <c r="R509" s="33" t="str">
        <f ca="1">IF(ISERROR(F491),"",SUM(P509:Q509))</f>
        <v/>
      </c>
      <c r="S509" s="33" t="str">
        <f ca="1">IF(ISERROR(F491),"",VLOOKUP(A491,INDIRECT($F$8),6+(O509-1)*3))</f>
        <v/>
      </c>
      <c r="T509" s="33" t="str">
        <f ca="1">IF(ISERROR(F491),"",VLOOKUP(A491,INDIRECT($F$8),7+(O509-1)*3))</f>
        <v/>
      </c>
      <c r="U509" s="33" t="str">
        <f ca="1">IF(ISERROR(F491),"",VLOOKUP(A491,INDIRECT($F$8),8+(O509-1)*3))</f>
        <v/>
      </c>
      <c r="V509" s="33"/>
      <c r="W509" s="33"/>
      <c r="X509" s="33" t="str">
        <f ca="1">IF(ISERROR(F491),"",IF(W509=0,"",_xlfn.TEXTJOIN("",FALSE," G+",W509," in ",A509)))</f>
        <v/>
      </c>
    </row>
    <row r="510" spans="1:24" ht="11.25" customHeight="1" x14ac:dyDescent="0.2">
      <c r="A510" s="43" t="str">
        <f ca="1">IF(ISERROR(F491),"",A487)</f>
        <v/>
      </c>
      <c r="B510" s="43"/>
      <c r="C510" s="43"/>
      <c r="D510" s="43"/>
      <c r="E510" s="43"/>
      <c r="F510" s="10" t="str">
        <f ca="1">IF(ISERROR(F491),"",SUM(F496:F509))</f>
        <v/>
      </c>
      <c r="G510" s="44" t="str">
        <f ca="1">IF(ISERROR(F491),"",_xlfn.TEXTJOIN("/",TRUE,SUMIF(F496:F509,"&gt;0",P496:P509),SUMIF(F496:F509,"&gt;0",S496:S509)))</f>
        <v/>
      </c>
      <c r="H510" s="44"/>
      <c r="I510" s="44" t="str">
        <f ca="1">IF(ISERROR(F491),"",_xlfn.TEXTJOIN("/",TRUE,SUMIF(F496:F509,"&gt;0",Q496:Q509),SUMIF(F496:F509,"&gt;0",T496:T509)))</f>
        <v/>
      </c>
      <c r="J510" s="44"/>
      <c r="K510" s="44" t="str">
        <f ca="1">IF(ISERROR(F491),"",_xlfn.TEXTJOIN("/",TRUE,SUMIF(F496:F509,"&gt;0",R496:R509),SUMIF(F496:F509,"&gt;0",U496:U509)))</f>
        <v/>
      </c>
      <c r="L510" s="44"/>
      <c r="M510" s="43" t="str">
        <f ca="1">IF(ISERROR(F491),"",SUMPRODUCT(N496:N508,F496:F508))</f>
        <v/>
      </c>
      <c r="N510" s="43"/>
      <c r="V510" s="1" t="str">
        <f ca="1">IF(ISERROR(F491),"",_xlfn.TEXTJOIN(", ",TRUE,V496:V509))</f>
        <v/>
      </c>
      <c r="W510" t="str">
        <f ca="1">IF(ISERROR(F491),"",IF(SUM(W496:W509)&lt;=W495,TRUE,FALSE))</f>
        <v/>
      </c>
      <c r="X510" s="1" t="str">
        <f ca="1">_xlfn.TEXTJOIN(",",TRUE,X496:X509)</f>
        <v/>
      </c>
    </row>
    <row r="511" spans="1:24" ht="11.25" customHeight="1" x14ac:dyDescent="0.2">
      <c r="A511" s="43" t="str">
        <f ca="1">IF(ISERROR(F491),"",A488)</f>
        <v/>
      </c>
      <c r="B511" s="45" t="str">
        <f ca="1">IF(ISERROR(F491),"",IF(V510="","PASS","CARRY OVER"))</f>
        <v/>
      </c>
      <c r="C511" s="45"/>
      <c r="D511" s="43" t="str">
        <f ca="1">IF(ISERROR(F491),"",D488)</f>
        <v/>
      </c>
      <c r="E511" s="45" t="str">
        <f ca="1">IF(ISERROR(F491),"",IF(W510,X510,IF(V510="","",_xlfn.TEXTJOIN("",TRUE,"BACK IN ",V510))))</f>
        <v/>
      </c>
      <c r="F511" s="45"/>
      <c r="G511" s="43" t="str">
        <f ca="1">IF(ISERROR(F491),"",G488)</f>
        <v/>
      </c>
      <c r="H511" s="46" t="str">
        <f ca="1">IF(ISERROR(F491),"",M510/F510)</f>
        <v/>
      </c>
      <c r="I511" s="43" t="str">
        <f ca="1">IF(ISERROR(F491),"",I488)</f>
        <v/>
      </c>
      <c r="J511" s="46" t="str">
        <f ca="1">IF(ISERROR(F491),"",VLOOKUP(B491,INDIRECT($F$8),12+(O509-1)*3,0))</f>
        <v/>
      </c>
      <c r="K511" s="45" t="str">
        <f ca="1">IF(ISERROR(F491),"",K488)</f>
        <v/>
      </c>
      <c r="L511" s="43" t="str">
        <f ca="1">IF(ISERROR(F491),"",SUMIF(N496:N508,"&gt;0",F496:F508))</f>
        <v/>
      </c>
      <c r="M511" s="45" t="str">
        <f ca="1">IF(ISERROR(F491),"",M488)</f>
        <v/>
      </c>
      <c r="N511" s="43" t="str">
        <f ca="1">IF(ISERROR(F491),"",VLOOKUP(B491,INDIRECT($F$8),10+(O509-1)*3,0))</f>
        <v/>
      </c>
    </row>
    <row r="512" spans="1:24" ht="11.25" customHeight="1" x14ac:dyDescent="0.2">
      <c r="A512" s="43"/>
      <c r="B512" s="45"/>
      <c r="C512" s="45"/>
      <c r="D512" s="43"/>
      <c r="E512" s="45"/>
      <c r="F512" s="45"/>
      <c r="G512" s="43"/>
      <c r="H512" s="46"/>
      <c r="I512" s="43"/>
      <c r="J512" s="46"/>
      <c r="K512" s="45"/>
      <c r="L512" s="43"/>
      <c r="M512" s="45"/>
      <c r="N512" s="43"/>
    </row>
    <row r="513" spans="1:24" ht="15" x14ac:dyDescent="0.2">
      <c r="A513" s="43"/>
      <c r="B513" s="45"/>
      <c r="C513" s="45"/>
      <c r="D513" s="43"/>
      <c r="E513" s="45"/>
      <c r="F513" s="45"/>
      <c r="G513" s="43"/>
      <c r="H513" s="46"/>
      <c r="I513" s="43"/>
      <c r="J513" s="46"/>
      <c r="K513" s="45"/>
      <c r="L513" s="43"/>
      <c r="M513" s="45"/>
      <c r="N513" s="43"/>
    </row>
    <row r="514" spans="1:24" ht="11.25" customHeight="1" x14ac:dyDescent="0.2">
      <c r="A514" s="11" t="str">
        <f>A491</f>
        <v>MM</v>
      </c>
      <c r="B514" s="11">
        <f>B491+1</f>
        <v>23</v>
      </c>
      <c r="C514" s="11" t="str">
        <f>C491</f>
        <v>SC</v>
      </c>
      <c r="D514" s="11" t="str">
        <f>D491</f>
        <v>SN</v>
      </c>
      <c r="E514" s="11" t="str">
        <f>E491</f>
        <v>C</v>
      </c>
      <c r="F514" s="11" t="e">
        <f ca="1">VLOOKUP(B514,INDIRECT($F$8),4,0)</f>
        <v>#N/A</v>
      </c>
    </row>
    <row r="515" spans="1:24" ht="11.25" customHeight="1" x14ac:dyDescent="0.2">
      <c r="A515" s="47" t="str">
        <f ca="1">IF(ISERROR(F514),"",A492)</f>
        <v/>
      </c>
      <c r="B515" s="47" t="str">
        <f ca="1">IFERROR(VLOOKUP(B514,INDIRECT($F$8),4,0),"")</f>
        <v/>
      </c>
      <c r="C515" s="47"/>
      <c r="D515" s="47" t="str">
        <f ca="1">IF(ISERROR(F514),"",D492)</f>
        <v/>
      </c>
      <c r="E515" s="47" t="str">
        <f ca="1">IFERROR(VLOOKUP(B514,INDIRECT($F$8),5,0),"")</f>
        <v/>
      </c>
      <c r="F515" s="47"/>
      <c r="G515" s="47" t="str">
        <f ca="1">IF(ISERROR(F514),"",G492)</f>
        <v/>
      </c>
      <c r="H515" s="47"/>
      <c r="I515" s="48" t="str">
        <f ca="1">IFERROR(VLOOKUP(B514,INDIRECT($F$8),2,0),"")</f>
        <v/>
      </c>
      <c r="J515" s="48"/>
      <c r="K515" s="47" t="str">
        <f ca="1">IF(ISERROR(F514),"",K492)</f>
        <v/>
      </c>
      <c r="L515" s="47"/>
      <c r="M515" s="48" t="str">
        <f ca="1">IFERROR(VLOOKUP(B514,INDIRECT($F$8),3,0),"")</f>
        <v/>
      </c>
      <c r="N515" s="48"/>
    </row>
    <row r="516" spans="1:24" ht="15" x14ac:dyDescent="0.2">
      <c r="A516" s="47"/>
      <c r="B516" s="47"/>
      <c r="C516" s="47"/>
      <c r="D516" s="47"/>
      <c r="E516" s="47"/>
      <c r="F516" s="47"/>
      <c r="G516" s="47"/>
      <c r="H516" s="47"/>
      <c r="I516" s="48"/>
      <c r="J516" s="48"/>
      <c r="K516" s="47"/>
      <c r="L516" s="47"/>
      <c r="M516" s="48"/>
      <c r="N516" s="48"/>
    </row>
    <row r="517" spans="1:24" ht="11.25" customHeight="1" x14ac:dyDescent="0.2">
      <c r="A517" s="45" t="str">
        <f ca="1">IF(ISERROR(F514),"",A494)</f>
        <v/>
      </c>
      <c r="B517" s="45" t="str">
        <f ca="1">IF(ISERROR(F514),"",B494)</f>
        <v/>
      </c>
      <c r="C517" s="45"/>
      <c r="D517" s="45"/>
      <c r="E517" s="45"/>
      <c r="F517" s="45" t="str">
        <f ca="1">IF(ISERROR(F514),"",F494)</f>
        <v/>
      </c>
      <c r="G517" s="45" t="str">
        <f ca="1">IF(ISERROR(F514),"",G494)</f>
        <v/>
      </c>
      <c r="H517" s="45"/>
      <c r="I517" s="45" t="str">
        <f ca="1">IF(ISERROR(F514),"",I494)</f>
        <v/>
      </c>
      <c r="J517" s="45"/>
      <c r="K517" s="45" t="str">
        <f ca="1">IF(ISERROR(F514),"",K494)</f>
        <v/>
      </c>
      <c r="L517" s="45"/>
      <c r="M517" s="45" t="str">
        <f ca="1">IF(ISERROR(F514),"",M494)</f>
        <v/>
      </c>
      <c r="N517" s="45" t="str">
        <f ca="1">IF(ISERROR(F514),"",N494)</f>
        <v/>
      </c>
    </row>
    <row r="518" spans="1:24" ht="15" x14ac:dyDescent="0.2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W518">
        <f ca="1">IF(ISNUMBER(MATCH($F$8,{"I","III","V","VII"},0)),10,10-INDEX(INDIRECT(_xlfn.TEXTJOIN("",TRUE,"SEM_",$G$8,"!",ADDRESS(6,4+$I$8*3+4),":",ADDRESS(5+$H$8,4+$I$8*3+4))),MATCH(INDIRECT(_xlfn.TEXTJOIN("",TRUE,"TC_",$F$8,"!",ADDRESS(ROW(I515),COLUMN(I515)))),INDIRECT(_xlfn.TEXTJOIN("",TRUE,"SEM_",$G$8,"!",ADDRESS(6,2),":",ADDRESS(5+$H$8,2))))))</f>
        <v>10</v>
      </c>
    </row>
    <row r="519" spans="1:24" ht="11.25" customHeight="1" x14ac:dyDescent="0.2">
      <c r="A519" s="7" t="str">
        <f ca="1">IF(ISERROR(F514),"",VLOOKUP(C514,INDIRECT($F$8),6+(O519-1)*3,0))</f>
        <v/>
      </c>
      <c r="B519" s="41" t="str">
        <f ca="1">IF(ISERROR(F514),"",VLOOKUP(D514,INDIRECT($F$8),6+(O519-1)*3,0))</f>
        <v/>
      </c>
      <c r="C519" s="41"/>
      <c r="D519" s="41"/>
      <c r="E519" s="41"/>
      <c r="F519" s="7" t="str">
        <f ca="1">IF(ISERROR(F514),"",VLOOKUP(E514,INDIRECT($F$8),6+(O519-1)*3,0))</f>
        <v/>
      </c>
      <c r="G519" s="42" t="str">
        <f ca="1">IF(ISERROR(F514),"",_xlfn.TEXTJOIN("/",FALSE,P519,S519))</f>
        <v/>
      </c>
      <c r="H519" s="42"/>
      <c r="I519" s="42" t="str">
        <f ca="1">IF(ISERROR(F514),"",_xlfn.TEXTJOIN("/",FALSE,Q519,T519))</f>
        <v/>
      </c>
      <c r="J519" s="42"/>
      <c r="K519" s="42" t="str">
        <f ca="1">IF(ISERROR(F514),"",_xlfn.TEXTJOIN("/",FALSE,R519,U519))</f>
        <v/>
      </c>
      <c r="L519" s="42"/>
      <c r="M519" s="7" t="str">
        <f ca="1">IF(ISERROR(F514),"",IF(ISTEXT(P519),IF(P519="A","Ab",IF(P519="D","Dt",IF(P519="UFM","UFM",IF(P519="NA","-")))),IF(AND(ISBLANK(P519),ISBLANK(R519)),"",IF(P519&lt;0.3*S519,"F",IF(ISBLANK(R519),"",IF(ISTEXT(R519),R519,IF(R519&gt;=0.95*U519,"O",IF(R519&gt;=0.9*U519,"A+",IF(R519&gt;=0.85*U519,"A",IF(R519&gt;=0.8*U519,"B+",IF(R519&gt;=0.75*U519,"B",IF(R519&gt;=0.7*U519,"C+",IF(R519&gt;=0.65*U519,"C",IF(R519&gt;=0.6*U519,"D+",IF(R519&gt;=0.55*U519,"D",IF(R519&gt;=0.5*U519,"E+",IF(R519&gt;=0.45*U519,"E",IF(R519&gt;=0.4*U519,"P",IF(R519&lt;0.4*U519,"F",R519)))))))))))))))))))</f>
        <v/>
      </c>
      <c r="N519" s="8" t="e">
        <f ca="1">INDEX($Z$2:$Z$18,MATCH(M519,$Y$2:$Y$18,0))</f>
        <v>#N/A</v>
      </c>
      <c r="O519">
        <v>1</v>
      </c>
      <c r="P519" s="1" t="str">
        <f ca="1">IF(ISERROR(F514),"",IF(ISTEXT(VLOOKUP(B514,INDIRECT($F$8),6+(O519-1)*3)),(VLOOKUP(B514,INDIRECT($F$8),6+(O519-1)*3)),SUM(VLOOKUP(B514,INDIRECT($F$8),6+(O519-1)*3),IF(W533,W519,0))))</f>
        <v/>
      </c>
      <c r="Q519" s="1" t="str">
        <f ca="1">IF(ISERROR(F514),"",VLOOKUP(B514,INDIRECT($F$8),7+(O519-1)*3))</f>
        <v/>
      </c>
      <c r="R519" s="1" t="str">
        <f ca="1">IF(ISERROR(F514),"",SUM(P519:Q519))</f>
        <v/>
      </c>
      <c r="S519" s="1" t="str">
        <f ca="1">IF(ISERROR(F514),"",VLOOKUP(A514,INDIRECT($F$8),6+(O519-1)*3))</f>
        <v/>
      </c>
      <c r="T519" s="1" t="str">
        <f ca="1">IF(ISERROR(F514),"",VLOOKUP(A514,INDIRECT($F$8),7+(O519-1)*3))</f>
        <v/>
      </c>
      <c r="U519" s="1" t="str">
        <f ca="1">IF(ISERROR(F514),"",VLOOKUP(A514,INDIRECT($F$8),8+(O519-1)*3))</f>
        <v/>
      </c>
      <c r="V519" s="1" t="str">
        <f ca="1">IF(ISERROR(F514),"",IF(N519=0,A519,""))</f>
        <v/>
      </c>
      <c r="W519" s="1" t="str">
        <f ca="1">IF(ISERROR(F514),"",IF(ISTEXT(VLOOKUP(B514,INDIRECT($F$8),6+(O519-1)*3)),11,IF(VLOOKUP(B514,INDIRECT($F$8),6+(O519-1)*3)&lt;S519*0.3,IF(VLOOKUP(B514,INDIRECT($F$8),8+(O519-1)*3)&lt;U519*0.4,IF(AND(0.4*U519-VLOOKUP(B514,INDIRECT($F$8),8+(O519-1)*3)&lt;=5,0.3*S519-VLOOKUP(B514,INDIRECT($F$8),6+(O519-1)*3)&lt;=5),MAX(0.4*U519-VLOOKUP(B514,INDIRECT($F$8),8+(O519-1)*3),0.3*S519-VLOOKUP(B514,INDIRECT($F$8),6+(O519-1)*3)),11),IF(0.3*S519-VLOOKUP(B514,INDIRECT($F$8),6+(O519-1)*3)&lt;=5,0.3*S519-VLOOKUP(B514,INDIRECT($F$8),6+(O519-1)*3),11)),IF(VLOOKUP(B514,INDIRECT($F$8),8+(O519-1)*3)&lt;U519*0.4,IF(U519*0.4-VLOOKUP(B514,INDIRECT($F$8),8+(O519-1)*3)&lt;=5,U519*0.4-VLOOKUP(B514,INDIRECT($F$8),8+(O519-1)*3),11),0))))</f>
        <v/>
      </c>
      <c r="X519" s="1" t="str">
        <f ca="1">IF(ISERROR(F514),"",IF(W519=0,"",_xlfn.TEXTJOIN("",FALSE," G+",W519," in ",A519)))</f>
        <v/>
      </c>
    </row>
    <row r="520" spans="1:24" ht="11.25" customHeight="1" x14ac:dyDescent="0.2">
      <c r="A520" s="7" t="str">
        <f ca="1">IF(ISERROR(F514),"",VLOOKUP(C514,INDIRECT($F$8),6+(O520-1)*3,0))</f>
        <v/>
      </c>
      <c r="B520" s="41" t="str">
        <f ca="1">IF(ISERROR(F514),"",VLOOKUP(D514,INDIRECT($F$8),6+(O520-1)*3,0))</f>
        <v/>
      </c>
      <c r="C520" s="41"/>
      <c r="D520" s="41"/>
      <c r="E520" s="41"/>
      <c r="F520" s="7" t="str">
        <f ca="1">IF(ISERROR(F514),"",VLOOKUP(E514,INDIRECT($F$8),6+(O520-1)*3,0))</f>
        <v/>
      </c>
      <c r="G520" s="42" t="str">
        <f ca="1">IF(ISERROR(F514),"",_xlfn.TEXTJOIN("/",FALSE,P520,S520))</f>
        <v/>
      </c>
      <c r="H520" s="42"/>
      <c r="I520" s="42" t="str">
        <f ca="1">IF(ISERROR(F514),"",_xlfn.TEXTJOIN("/",FALSE,Q520,T520))</f>
        <v/>
      </c>
      <c r="J520" s="42"/>
      <c r="K520" s="42" t="str">
        <f ca="1">IF(ISERROR(F514),"",_xlfn.TEXTJOIN("/",FALSE,R520,U520))</f>
        <v/>
      </c>
      <c r="L520" s="42"/>
      <c r="M520" s="7" t="str">
        <f ca="1">IF(ISERROR(F514),"",IF(ISTEXT(P520),IF(P520="A","Ab",IF(P520="D","Dt",IF(P520="UFM","UFM",IF(P520="NA","-")))),IF(AND(ISBLANK(P520),ISBLANK(R520)),"",IF(P520&lt;0.3*S520,"F",IF(ISBLANK(R520),"",IF(ISTEXT(R520),R520,IF(R520&gt;=0.95*U520,"O",IF(R520&gt;=0.9*U520,"A+",IF(R520&gt;=0.85*U520,"A",IF(R520&gt;=0.8*U520,"B+",IF(R520&gt;=0.75*U520,"B",IF(R520&gt;=0.7*U520,"C+",IF(R520&gt;=0.65*U520,"C",IF(R520&gt;=0.6*U520,"D+",IF(R520&gt;=0.55*U520,"D",IF(R520&gt;=0.5*U520,"E+",IF(R520&gt;=0.45*U520,"E",IF(R520&gt;=0.4*U520,"P",IF(R520&lt;0.4*U520,"F",R520)))))))))))))))))))</f>
        <v/>
      </c>
      <c r="N520" s="8" t="e">
        <f t="shared" ref="N520:N531" ca="1" si="46">INDEX($Z$2:$Z$18,MATCH(M520,$Y$2:$Y$18,0))</f>
        <v>#N/A</v>
      </c>
      <c r="O520">
        <f>O519+1</f>
        <v>2</v>
      </c>
      <c r="P520" s="1" t="str">
        <f ca="1">IF(ISERROR(F514),"",IF(ISTEXT(VLOOKUP(B514,INDIRECT($F$8),6+(O520-1)*3)),(VLOOKUP(B514,INDIRECT($F$8),6+(O520-1)*3)),SUM(VLOOKUP(B514,INDIRECT($F$8),6+(O520-1)*3),IF(W533,W520,0))))</f>
        <v/>
      </c>
      <c r="Q520" s="1" t="str">
        <f ca="1">IF(ISERROR(F514),"",VLOOKUP(B514,INDIRECT($F$8),7+(O520-1)*3))</f>
        <v/>
      </c>
      <c r="R520" s="1" t="str">
        <f ca="1">IF(ISERROR(F514),"",SUM(P520:Q520))</f>
        <v/>
      </c>
      <c r="S520" s="1" t="str">
        <f ca="1">IF(ISERROR(F514),"",VLOOKUP(A514,INDIRECT($F$8),6+(O520-1)*3))</f>
        <v/>
      </c>
      <c r="T520" s="1" t="str">
        <f ca="1">IF(ISERROR(F514),"",VLOOKUP(A514,INDIRECT($F$8),7+(O520-1)*3))</f>
        <v/>
      </c>
      <c r="U520" s="1" t="str">
        <f ca="1">IF(ISERROR(F514),"",VLOOKUP(A514,INDIRECT($F$8),8+(O520-1)*3))</f>
        <v/>
      </c>
      <c r="V520" s="1" t="str">
        <f ca="1">IF(ISERROR(F514),"",IF(N520=0,A520,""))</f>
        <v/>
      </c>
      <c r="W520" s="1" t="str">
        <f ca="1">IF(ISERROR(F514),"",IF(ISTEXT(VLOOKUP(B514,INDIRECT($F$8),6+(O520-1)*3)),11,IF(VLOOKUP(B514,INDIRECT($F$8),6+(O520-1)*3)&lt;S520*0.3,IF(VLOOKUP(B514,INDIRECT($F$8),8+(O520-1)*3)&lt;U520*0.4,IF(AND(0.4*U520-VLOOKUP(B514,INDIRECT($F$8),8+(O520-1)*3)&lt;=5,0.3*S520-VLOOKUP(B514,INDIRECT($F$8),6+(O520-1)*3)&lt;=5),MAX(0.4*U520-VLOOKUP(B514,INDIRECT($F$8),8+(O520-1)*3),0.3*S520-VLOOKUP(B514,INDIRECT($F$8),6+(O520-1)*3)),11),IF(0.3*S520-VLOOKUP(B514,INDIRECT($F$8),6+(O520-1)*3)&lt;=5,0.3*S520-VLOOKUP(B514,INDIRECT($F$8),6+(O520-1)*3),11)),IF(VLOOKUP(B514,INDIRECT($F$8),8+(O520-1)*3)&lt;U520*0.4,IF(U520*0.4-VLOOKUP(B514,INDIRECT($F$8),8+(O520-1)*3)&lt;=5,U520*0.4-VLOOKUP(B514,INDIRECT($F$8),8+(O520-1)*3),11),0))))</f>
        <v/>
      </c>
      <c r="X520" s="1" t="str">
        <f ca="1">IF(ISERROR(F514),"",IF(W520=0,"",_xlfn.TEXTJOIN("",FALSE," G+",W520," in ",A520)))</f>
        <v/>
      </c>
    </row>
    <row r="521" spans="1:24" ht="11.25" customHeight="1" x14ac:dyDescent="0.2">
      <c r="A521" s="7" t="str">
        <f ca="1">IF(ISERROR(F514),"",VLOOKUP(C514,INDIRECT($F$8),6+(O521-1)*3,0))</f>
        <v/>
      </c>
      <c r="B521" s="41" t="str">
        <f ca="1">IF(ISERROR(F514),"",VLOOKUP(D514,INDIRECT($F$8),6+(O521-1)*3,0))</f>
        <v/>
      </c>
      <c r="C521" s="41"/>
      <c r="D521" s="41"/>
      <c r="E521" s="41"/>
      <c r="F521" s="7" t="str">
        <f ca="1">IF(ISERROR(F514),"",VLOOKUP(E514,INDIRECT($F$8),6+(O521-1)*3,0))</f>
        <v/>
      </c>
      <c r="G521" s="42" t="str">
        <f ca="1">IF(ISERROR(F514),"",_xlfn.TEXTJOIN("/",FALSE,P521,S521))</f>
        <v/>
      </c>
      <c r="H521" s="42"/>
      <c r="I521" s="42" t="str">
        <f ca="1">IF(ISERROR(F514),"",_xlfn.TEXTJOIN("/",FALSE,Q521,T521))</f>
        <v/>
      </c>
      <c r="J521" s="42"/>
      <c r="K521" s="42" t="str">
        <f ca="1">IF(ISERROR(F514),"",_xlfn.TEXTJOIN("/",FALSE,R521,U521))</f>
        <v/>
      </c>
      <c r="L521" s="42"/>
      <c r="M521" s="7" t="str">
        <f ca="1">IF(ISERROR(F514),"",IF(ISTEXT(P521),IF(P521="A","Ab",IF(P521="D","Dt",IF(P521="UFM","UFM",IF(P521="NA","-")))),IF(AND(ISBLANK(P521),ISBLANK(R521)),"",IF(P521&lt;0.3*S521,"F",IF(ISBLANK(R521),"",IF(ISTEXT(R521),R521,IF(R521&gt;=0.95*U521,"O",IF(R521&gt;=0.9*U521,"A+",IF(R521&gt;=0.85*U521,"A",IF(R521&gt;=0.8*U521,"B+",IF(R521&gt;=0.75*U521,"B",IF(R521&gt;=0.7*U521,"C+",IF(R521&gt;=0.65*U521,"C",IF(R521&gt;=0.6*U521,"D+",IF(R521&gt;=0.55*U521,"D",IF(R521&gt;=0.5*U521,"E+",IF(R521&gt;=0.45*U521,"E",IF(R521&gt;=0.4*U521,"P",IF(R521&lt;0.4*U521,"F",R521)))))))))))))))))))</f>
        <v/>
      </c>
      <c r="N521" s="8" t="e">
        <f t="shared" ca="1" si="46"/>
        <v>#N/A</v>
      </c>
      <c r="O521">
        <f>O520+1</f>
        <v>3</v>
      </c>
      <c r="P521" s="1" t="str">
        <f ca="1">IF(ISERROR(F514),"",IF(ISTEXT(VLOOKUP(B514,INDIRECT($F$8),6+(O521-1)*3)),(VLOOKUP(B514,INDIRECT($F$8),6+(O521-1)*3)),SUM(VLOOKUP(B514,INDIRECT($F$8),6+(O521-1)*3),IF(W533,W521,0))))</f>
        <v/>
      </c>
      <c r="Q521" s="1" t="str">
        <f ca="1">IF(ISERROR(F514),"",VLOOKUP(B514,INDIRECT($F$8),7+(O521-1)*3))</f>
        <v/>
      </c>
      <c r="R521" s="1" t="str">
        <f ca="1">IF(ISERROR(F514),"",SUM(P521:Q521))</f>
        <v/>
      </c>
      <c r="S521" s="1" t="str">
        <f ca="1">IF(ISERROR(F514),"",VLOOKUP(A514,INDIRECT($F$8),6+(O521-1)*3))</f>
        <v/>
      </c>
      <c r="T521" s="1" t="str">
        <f ca="1">IF(ISERROR(F514),"",VLOOKUP(A514,INDIRECT($F$8),7+(O521-1)*3))</f>
        <v/>
      </c>
      <c r="U521" s="1" t="str">
        <f ca="1">IF(ISERROR(F514),"",VLOOKUP(A514,INDIRECT($F$8),8+(O521-1)*3))</f>
        <v/>
      </c>
      <c r="V521" s="1" t="str">
        <f ca="1">IF(ISERROR(F514),"",IF(N521=0,A521,""))</f>
        <v/>
      </c>
      <c r="W521" s="1" t="str">
        <f ca="1">IF(ISERROR(F514),"",IF(ISTEXT(VLOOKUP(B514,INDIRECT($F$8),6+(O521-1)*3)),11,IF(VLOOKUP(B514,INDIRECT($F$8),6+(O521-1)*3)&lt;S521*0.3,IF(VLOOKUP(B514,INDIRECT($F$8),8+(O521-1)*3)&lt;U521*0.4,IF(AND(0.4*U521-VLOOKUP(B514,INDIRECT($F$8),8+(O521-1)*3)&lt;=5,0.3*S521-VLOOKUP(B514,INDIRECT($F$8),6+(O521-1)*3)&lt;=5),MAX(0.4*U521-VLOOKUP(B514,INDIRECT($F$8),8+(O521-1)*3),0.3*S521-VLOOKUP(B514,INDIRECT($F$8),6+(O521-1)*3)),11),IF(0.3*S521-VLOOKUP(B514,INDIRECT($F$8),6+(O521-1)*3)&lt;=5,0.3*S521-VLOOKUP(B514,INDIRECT($F$8),6+(O521-1)*3),11)),IF(VLOOKUP(B514,INDIRECT($F$8),8+(O521-1)*3)&lt;U521*0.4,IF(U521*0.4-VLOOKUP(B514,INDIRECT($F$8),8+(O521-1)*3)&lt;=5,U521*0.4-VLOOKUP(B514,INDIRECT($F$8),8+(O521-1)*3),11),0))))</f>
        <v/>
      </c>
      <c r="X521" s="1" t="str">
        <f ca="1">IF(ISERROR(F514),"",IF(W521=0,"",_xlfn.TEXTJOIN("",FALSE," G+",W521," in ",A521)))</f>
        <v/>
      </c>
    </row>
    <row r="522" spans="1:24" ht="11.25" customHeight="1" x14ac:dyDescent="0.2">
      <c r="A522" s="7" t="str">
        <f ca="1">IF(ISERROR(F514),"",VLOOKUP(C514,INDIRECT($F$8),6+(O522-1)*3,0))</f>
        <v/>
      </c>
      <c r="B522" s="41" t="str">
        <f ca="1">IF(ISERROR(F514),"",VLOOKUP(D514,INDIRECT($F$8),6+(O522-1)*3,0))</f>
        <v/>
      </c>
      <c r="C522" s="41"/>
      <c r="D522" s="41"/>
      <c r="E522" s="41"/>
      <c r="F522" s="7" t="str">
        <f ca="1">IF(ISERROR(F514),"",VLOOKUP(E514,INDIRECT($F$8),6+(O522-1)*3,0))</f>
        <v/>
      </c>
      <c r="G522" s="42" t="str">
        <f ca="1">IF(ISERROR(F514),"",_xlfn.TEXTJOIN("/",FALSE,P522,S522))</f>
        <v/>
      </c>
      <c r="H522" s="42"/>
      <c r="I522" s="42" t="str">
        <f ca="1">IF(ISERROR(F514),"",_xlfn.TEXTJOIN("/",FALSE,Q522,T522))</f>
        <v/>
      </c>
      <c r="J522" s="42"/>
      <c r="K522" s="42" t="str">
        <f ca="1">IF(ISERROR(F514),"",_xlfn.TEXTJOIN("/",FALSE,R522,U522))</f>
        <v/>
      </c>
      <c r="L522" s="42"/>
      <c r="M522" s="7" t="str">
        <f ca="1">IF(ISERROR(F514),"",IF(ISTEXT(P522),IF(P522="A","Ab",IF(P522="D","Dt",IF(P522="UFM","UFM",IF(P522="NA","-")))),IF(AND(ISBLANK(P522),ISBLANK(R522)),"",IF(P522&lt;0.3*S522,"F",IF(ISBLANK(R522),"",IF(ISTEXT(R522),R522,IF(R522&gt;=0.95*U522,"O",IF(R522&gt;=0.9*U522,"A+",IF(R522&gt;=0.85*U522,"A",IF(R522&gt;=0.8*U522,"B+",IF(R522&gt;=0.75*U522,"B",IF(R522&gt;=0.7*U522,"C+",IF(R522&gt;=0.65*U522,"C",IF(R522&gt;=0.6*U522,"D+",IF(R522&gt;=0.55*U522,"D",IF(R522&gt;=0.5*U522,"E+",IF(R522&gt;=0.45*U522,"E",IF(R522&gt;=0.4*U522,"P",IF(R522&lt;0.4*U522,"F",R522)))))))))))))))))))</f>
        <v/>
      </c>
      <c r="N522" s="8" t="e">
        <f t="shared" ca="1" si="46"/>
        <v>#N/A</v>
      </c>
      <c r="O522">
        <f>O521+1</f>
        <v>4</v>
      </c>
      <c r="P522" s="1" t="str">
        <f ca="1">IF(ISERROR(F514),"",IF(ISTEXT(VLOOKUP(B514,INDIRECT($F$8),6+(O522-1)*3)),(VLOOKUP(B514,INDIRECT($F$8),6+(O522-1)*3)),SUM(VLOOKUP(B514,INDIRECT($F$8),6+(O522-1)*3),IF(W533,W522,0))))</f>
        <v/>
      </c>
      <c r="Q522" s="1" t="str">
        <f ca="1">IF(ISERROR(F514),"",VLOOKUP(B514,INDIRECT($F$8),7+(O522-1)*3))</f>
        <v/>
      </c>
      <c r="R522" s="1" t="str">
        <f ca="1">IF(ISERROR(F514),"",SUM(P522:Q522))</f>
        <v/>
      </c>
      <c r="S522" s="1" t="str">
        <f ca="1">IF(ISERROR(F514),"",VLOOKUP(A514,INDIRECT($F$8),6+(O522-1)*3))</f>
        <v/>
      </c>
      <c r="T522" s="1" t="str">
        <f ca="1">IF(ISERROR(F514),"",VLOOKUP(A514,INDIRECT($F$8),7+(O522-1)*3))</f>
        <v/>
      </c>
      <c r="U522" s="1" t="str">
        <f ca="1">IF(ISERROR(F514),"",VLOOKUP(A514,INDIRECT($F$8),8+(O522-1)*3))</f>
        <v/>
      </c>
      <c r="V522" s="1" t="str">
        <f ca="1">IF(ISERROR(F514),"",IF(N522=0,A522,""))</f>
        <v/>
      </c>
      <c r="W522" s="1" t="str">
        <f ca="1">IF(ISERROR(F514),"",IF(ISTEXT(VLOOKUP(B514,INDIRECT($F$8),6+(O522-1)*3)),11,IF(VLOOKUP(B514,INDIRECT($F$8),6+(O522-1)*3)&lt;S522*0.3,IF(VLOOKUP(B514,INDIRECT($F$8),8+(O522-1)*3)&lt;U522*0.4,IF(AND(0.4*U522-VLOOKUP(B514,INDIRECT($F$8),8+(O522-1)*3)&lt;=5,0.3*S522-VLOOKUP(B514,INDIRECT($F$8),6+(O522-1)*3)&lt;=5),MAX(0.4*U522-VLOOKUP(B514,INDIRECT($F$8),8+(O522-1)*3),0.3*S522-VLOOKUP(B514,INDIRECT($F$8),6+(O522-1)*3)),11),IF(0.3*S522-VLOOKUP(B514,INDIRECT($F$8),6+(O522-1)*3)&lt;=5,0.3*S522-VLOOKUP(B514,INDIRECT($F$8),6+(O522-1)*3),11)),IF(VLOOKUP(B514,INDIRECT($F$8),8+(O522-1)*3)&lt;U522*0.4,IF(U522*0.4-VLOOKUP(B514,INDIRECT($F$8),8+(O522-1)*3)&lt;=5,U522*0.4-VLOOKUP(B514,INDIRECT($F$8),8+(O522-1)*3),11),0))))</f>
        <v/>
      </c>
      <c r="X522" s="1" t="str">
        <f ca="1">IF(ISERROR(F514),"",IF(W522=0,"",_xlfn.TEXTJOIN("",FALSE," G+",W522," in ",A522)))</f>
        <v/>
      </c>
    </row>
    <row r="523" spans="1:24" ht="11.25" customHeight="1" x14ac:dyDescent="0.2">
      <c r="A523" s="7" t="str">
        <f ca="1">IF(ISERROR(F514),"",VLOOKUP(C514,INDIRECT($F$8),6+(O523-1)*3,0))</f>
        <v/>
      </c>
      <c r="B523" s="41" t="str">
        <f ca="1">IF(ISERROR(F514),"",VLOOKUP(D514,INDIRECT($F$8),6+(O523-1)*3,0))</f>
        <v/>
      </c>
      <c r="C523" s="41"/>
      <c r="D523" s="41"/>
      <c r="E523" s="41"/>
      <c r="F523" s="7" t="str">
        <f ca="1">IF(ISERROR(F514),"",VLOOKUP(E514,INDIRECT($F$8),6+(O523-1)*3,0))</f>
        <v/>
      </c>
      <c r="G523" s="42" t="str">
        <f ca="1">IF(ISERROR(F514),"",_xlfn.TEXTJOIN("/",FALSE,P523,S523))</f>
        <v/>
      </c>
      <c r="H523" s="42"/>
      <c r="I523" s="42" t="str">
        <f ca="1">IF(ISERROR(F514),"",_xlfn.TEXTJOIN("/",FALSE,Q523,T523))</f>
        <v/>
      </c>
      <c r="J523" s="42"/>
      <c r="K523" s="42" t="str">
        <f ca="1">IF(ISERROR(F514),"",_xlfn.TEXTJOIN("/",FALSE,R523,U523))</f>
        <v/>
      </c>
      <c r="L523" s="42"/>
      <c r="M523" s="7" t="str">
        <f ca="1">IF(ISERROR(F514),"",IF(ISTEXT(P523),IF(P523="A","Ab",IF(P523="D","Dt",IF(P523="UFM","UFM",IF(P523="NA","-")))),IF(AND(ISBLANK(P523),ISBLANK(R523)),"",IF(P523&lt;0.3*S523,"F",IF(ISBLANK(R523),"",IF(ISTEXT(R523),R523,IF(R523&gt;=0.95*U523,"O",IF(R523&gt;=0.9*U523,"A+",IF(R523&gt;=0.85*U523,"A",IF(R523&gt;=0.8*U523,"B+",IF(R523&gt;=0.75*U523,"B",IF(R523&gt;=0.7*U523,"C+",IF(R523&gt;=0.65*U523,"C",IF(R523&gt;=0.6*U523,"D+",IF(R523&gt;=0.55*U523,"D",IF(R523&gt;=0.5*U523,"E+",IF(R523&gt;=0.45*U523,"E",IF(R523&gt;=0.4*U523,"P",IF(R523&lt;0.4*U523,"F",R523)))))))))))))))))))</f>
        <v/>
      </c>
      <c r="N523" s="8" t="e">
        <f t="shared" ca="1" si="46"/>
        <v>#N/A</v>
      </c>
      <c r="O523">
        <f t="shared" ref="O523:O532" si="47">O522+1</f>
        <v>5</v>
      </c>
      <c r="P523" s="1" t="str">
        <f ca="1">IF(ISERROR(F514),"",IF(ISTEXT(VLOOKUP(B514,INDIRECT($F$8),6+(O523-1)*3)),(VLOOKUP(B514,INDIRECT($F$8),6+(O523-1)*3)),SUM(VLOOKUP(B514,INDIRECT($F$8),6+(O523-1)*3),IF(W533,W523,0))))</f>
        <v/>
      </c>
      <c r="Q523" s="1" t="str">
        <f ca="1">IF(ISERROR(F514),"",VLOOKUP(B514,INDIRECT($F$8),7+(O523-1)*3))</f>
        <v/>
      </c>
      <c r="R523" s="1" t="str">
        <f ca="1">IF(ISERROR(F514),"",SUM(P523:Q523))</f>
        <v/>
      </c>
      <c r="S523" s="1" t="str">
        <f ca="1">IF(ISERROR(F514),"",VLOOKUP(A514,INDIRECT($F$8),6+(O523-1)*3))</f>
        <v/>
      </c>
      <c r="T523" s="1" t="str">
        <f ca="1">IF(ISERROR(F514),"",VLOOKUP(A514,INDIRECT($F$8),7+(O523-1)*3))</f>
        <v/>
      </c>
      <c r="U523" s="1" t="str">
        <f ca="1">IF(ISERROR(F514),"",VLOOKUP(A514,INDIRECT($F$8),8+(O523-1)*3))</f>
        <v/>
      </c>
      <c r="V523" s="1" t="str">
        <f ca="1">IF(ISERROR(F514),"",IF(N523=0,A523,""))</f>
        <v/>
      </c>
      <c r="W523" s="1" t="str">
        <f ca="1">IF(ISERROR(F514),"",IF(ISTEXT(VLOOKUP(B514,INDIRECT($F$8),6+(O523-1)*3)),11,IF(VLOOKUP(B514,INDIRECT($F$8),6+(O523-1)*3)&lt;S523*0.3,IF(VLOOKUP(B514,INDIRECT($F$8),8+(O523-1)*3)&lt;U523*0.4,IF(AND(0.4*U523-VLOOKUP(B514,INDIRECT($F$8),8+(O523-1)*3)&lt;=5,0.3*S523-VLOOKUP(B514,INDIRECT($F$8),6+(O523-1)*3)&lt;=5),MAX(0.4*U523-VLOOKUP(B514,INDIRECT($F$8),8+(O523-1)*3),0.3*S523-VLOOKUP(B514,INDIRECT($F$8),6+(O523-1)*3)),11),IF(0.3*S523-VLOOKUP(B514,INDIRECT($F$8),6+(O523-1)*3)&lt;=5,0.3*S523-VLOOKUP(B514,INDIRECT($F$8),6+(O523-1)*3),11)),IF(VLOOKUP(B514,INDIRECT($F$8),8+(O523-1)*3)&lt;U523*0.4,IF(U523*0.4-VLOOKUP(B514,INDIRECT($F$8),8+(O523-1)*3)&lt;=5,U523*0.4-VLOOKUP(B514,INDIRECT($F$8),8+(O523-1)*3),11),0))))</f>
        <v/>
      </c>
      <c r="X523" s="1" t="str">
        <f ca="1">IF(ISERROR(F514),"",IF(W523=0,"",_xlfn.TEXTJOIN("",FALSE," G+",W523," in ",A523)))</f>
        <v/>
      </c>
    </row>
    <row r="524" spans="1:24" ht="11.25" customHeight="1" x14ac:dyDescent="0.2">
      <c r="A524" s="7" t="str">
        <f ca="1">IF(ISERROR(F514),"",VLOOKUP(C514,INDIRECT($F$8),6+(O524-1)*3,0))</f>
        <v/>
      </c>
      <c r="B524" s="41" t="str">
        <f ca="1">IF(ISERROR(F514),"",VLOOKUP(D514,INDIRECT($F$8),6+(O524-1)*3,0))</f>
        <v/>
      </c>
      <c r="C524" s="41"/>
      <c r="D524" s="41"/>
      <c r="E524" s="41"/>
      <c r="F524" s="7" t="str">
        <f ca="1">IF(ISERROR(F514),"",VLOOKUP(E514,INDIRECT($F$8),6+(O524-1)*3,0))</f>
        <v/>
      </c>
      <c r="G524" s="42" t="str">
        <f ca="1">IF(ISERROR(F514),"",_xlfn.TEXTJOIN("/",FALSE,P524,S524))</f>
        <v/>
      </c>
      <c r="H524" s="42"/>
      <c r="I524" s="42" t="str">
        <f ca="1">IF(ISERROR(F514),"",_xlfn.TEXTJOIN("/",FALSE,Q524,T524))</f>
        <v/>
      </c>
      <c r="J524" s="42"/>
      <c r="K524" s="42" t="str">
        <f ca="1">IF(ISERROR(F514),"",_xlfn.TEXTJOIN("/",FALSE,R524,U524))</f>
        <v/>
      </c>
      <c r="L524" s="42"/>
      <c r="M524" s="7" t="str">
        <f ca="1">IF(ISERROR(F514),"",IF(ISTEXT(P524),IF(P524="A","Ab",IF(P524="D","Dt",IF(P524="UFM","UFM",IF(P524="NA","-")))),IF(AND(ISBLANK(P524),ISBLANK(R524)),"",IF(P524&lt;0.3*S524,"F",IF(ISBLANK(R524),"",IF(ISTEXT(R524),R524,IF(R524&gt;=0.95*U524,"O",IF(R524&gt;=0.9*U524,"A+",IF(R524&gt;=0.85*U524,"A",IF(R524&gt;=0.8*U524,"B+",IF(R524&gt;=0.75*U524,"B",IF(R524&gt;=0.7*U524,"C+",IF(R524&gt;=0.65*U524,"C",IF(R524&gt;=0.6*U524,"D+",IF(R524&gt;=0.55*U524,"D",IF(R524&gt;=0.5*U524,"E+",IF(R524&gt;=0.45*U524,"E",IF(R524&gt;=0.4*U524,"P",IF(R524&lt;0.4*U524,"F",R524)))))))))))))))))))</f>
        <v/>
      </c>
      <c r="N524" s="8" t="e">
        <f t="shared" ca="1" si="46"/>
        <v>#N/A</v>
      </c>
      <c r="O524">
        <f t="shared" si="47"/>
        <v>6</v>
      </c>
      <c r="P524" s="1" t="str">
        <f ca="1">IF(ISERROR(F514),"",IF(ISTEXT(VLOOKUP(B514,INDIRECT($F$8),6+(O524-1)*3)),(VLOOKUP(B514,INDIRECT($F$8),6+(O524-1)*3)),SUM(VLOOKUP(B514,INDIRECT($F$8),6+(O524-1)*3),IF(W533,W524,0))))</f>
        <v/>
      </c>
      <c r="Q524" s="1" t="str">
        <f ca="1">IF(ISERROR(F514),"",VLOOKUP(B514,INDIRECT($F$8),7+(O524-1)*3))</f>
        <v/>
      </c>
      <c r="R524" s="1" t="str">
        <f ca="1">IF(ISERROR(F514),"",SUM(P524:Q524))</f>
        <v/>
      </c>
      <c r="S524" s="1" t="str">
        <f ca="1">IF(ISERROR(F514),"",VLOOKUP(A514,INDIRECT($F$8),6+(O524-1)*3))</f>
        <v/>
      </c>
      <c r="T524" s="1" t="str">
        <f ca="1">IF(ISERROR(F514),"",VLOOKUP(A514,INDIRECT($F$8),7+(O524-1)*3))</f>
        <v/>
      </c>
      <c r="U524" s="1" t="str">
        <f ca="1">IF(ISERROR(F514),"",VLOOKUP(A514,INDIRECT($F$8),8+(O524-1)*3))</f>
        <v/>
      </c>
      <c r="V524" s="1" t="str">
        <f ca="1">IF(ISERROR(F514),"",IF(N524=0,A524,""))</f>
        <v/>
      </c>
      <c r="W524" s="1" t="str">
        <f ca="1">IF(ISERROR(F514),"",IF(ISTEXT(VLOOKUP(B514,INDIRECT($F$8),6+(O524-1)*3)),11,IF(VLOOKUP(B514,INDIRECT($F$8),6+(O524-1)*3)&lt;S524*0.3,IF(VLOOKUP(B514,INDIRECT($F$8),8+(O524-1)*3)&lt;U524*0.4,IF(AND(0.4*U524-VLOOKUP(B514,INDIRECT($F$8),8+(O524-1)*3)&lt;=5,0.3*S524-VLOOKUP(B514,INDIRECT($F$8),6+(O524-1)*3)&lt;=5),MAX(0.4*U524-VLOOKUP(B514,INDIRECT($F$8),8+(O524-1)*3),0.3*S524-VLOOKUP(B514,INDIRECT($F$8),6+(O524-1)*3)),11),IF(0.3*S524-VLOOKUP(B514,INDIRECT($F$8),6+(O524-1)*3)&lt;=5,0.3*S524-VLOOKUP(B514,INDIRECT($F$8),6+(O524-1)*3),11)),IF(VLOOKUP(B514,INDIRECT($F$8),8+(O524-1)*3)&lt;U524*0.4,IF(U524*0.4-VLOOKUP(B514,INDIRECT($F$8),8+(O524-1)*3)&lt;=5,U524*0.4-VLOOKUP(B514,INDIRECT($F$8),8+(O524-1)*3),11),0))))</f>
        <v/>
      </c>
      <c r="X524" s="1" t="str">
        <f ca="1">IF(ISERROR(F514),"",IF(W524=0,"",_xlfn.TEXTJOIN("",FALSE," G+",W524," in ",A524)))</f>
        <v/>
      </c>
    </row>
    <row r="525" spans="1:24" ht="11.25" customHeight="1" x14ac:dyDescent="0.2">
      <c r="A525" s="7" t="str">
        <f ca="1">IF(ISERROR(F514),"",VLOOKUP(C514,INDIRECT($F$8),6+(O525-1)*3,0))</f>
        <v/>
      </c>
      <c r="B525" s="41" t="str">
        <f ca="1">IF(ISERROR(F514),"",VLOOKUP(D514,INDIRECT($F$8),6+(O525-1)*3,0))</f>
        <v/>
      </c>
      <c r="C525" s="41"/>
      <c r="D525" s="41"/>
      <c r="E525" s="41"/>
      <c r="F525" s="7" t="str">
        <f ca="1">IF(ISERROR(F514),"",VLOOKUP(E514,INDIRECT($F$8),6+(O525-1)*3,0))</f>
        <v/>
      </c>
      <c r="G525" s="42" t="str">
        <f ca="1">IF(ISERROR(F514),"",_xlfn.TEXTJOIN("/",FALSE,P525,S525))</f>
        <v/>
      </c>
      <c r="H525" s="42"/>
      <c r="I525" s="42" t="str">
        <f ca="1">IF(ISERROR(F514),"",_xlfn.TEXTJOIN("/",FALSE,Q525,T525))</f>
        <v/>
      </c>
      <c r="J525" s="42"/>
      <c r="K525" s="42" t="str">
        <f ca="1">IF(ISERROR(F514),"",_xlfn.TEXTJOIN("/",FALSE,R525,U525))</f>
        <v/>
      </c>
      <c r="L525" s="42"/>
      <c r="M525" s="7" t="str">
        <f ca="1">IF(ISERROR(F514),"",IF(ISTEXT(P525),IF(P525="A","Ab",IF(P525="D","Dt",IF(P525="UFM","UFM",IF(P525="NA","-")))),IF(AND(ISBLANK(P525),ISBLANK(R525)),"",IF(P525&lt;0.3*S525,"F",IF(ISBLANK(R525),"",IF(ISTEXT(R525),R525,IF(R525&gt;=0.95*U525,"O",IF(R525&gt;=0.9*U525,"A+",IF(R525&gt;=0.85*U525,"A",IF(R525&gt;=0.8*U525,"B+",IF(R525&gt;=0.75*U525,"B",IF(R525&gt;=0.7*U525,"C+",IF(R525&gt;=0.65*U525,"C",IF(R525&gt;=0.6*U525,"D+",IF(R525&gt;=0.55*U525,"D",IF(R525&gt;=0.5*U525,"E+",IF(R525&gt;=0.45*U525,"E",IF(R525&gt;=0.4*U525,"P",IF(R525&lt;0.4*U525,"F",R525)))))))))))))))))))</f>
        <v/>
      </c>
      <c r="N525" s="8" t="e">
        <f t="shared" ca="1" si="46"/>
        <v>#N/A</v>
      </c>
      <c r="O525">
        <f t="shared" si="47"/>
        <v>7</v>
      </c>
      <c r="P525" s="1" t="str">
        <f ca="1">IF(ISERROR(F514),"",IF(ISTEXT(VLOOKUP(B514,INDIRECT($F$8),6+(O525-1)*3)),(VLOOKUP(B514,INDIRECT($F$8),6+(O525-1)*3)),SUM(VLOOKUP(B514,INDIRECT($F$8),6+(O525-1)*3),IF(W533,W525,0))))</f>
        <v/>
      </c>
      <c r="Q525" s="1" t="str">
        <f ca="1">IF(ISERROR(F514),"",VLOOKUP(B514,INDIRECT($F$8),7+(O525-1)*3))</f>
        <v/>
      </c>
      <c r="R525" s="1" t="str">
        <f ca="1">IF(ISERROR(F514),"",SUM(P525:Q525))</f>
        <v/>
      </c>
      <c r="S525" s="1" t="str">
        <f ca="1">IF(ISERROR(F514),"",VLOOKUP(A514,INDIRECT($F$8),6+(O525-1)*3))</f>
        <v/>
      </c>
      <c r="T525" s="1" t="str">
        <f ca="1">IF(ISERROR(F514),"",VLOOKUP(A514,INDIRECT($F$8),7+(O525-1)*3))</f>
        <v/>
      </c>
      <c r="U525" s="1" t="str">
        <f ca="1">IF(ISERROR(F514),"",VLOOKUP(A514,INDIRECT($F$8),8+(O525-1)*3))</f>
        <v/>
      </c>
      <c r="V525" s="1" t="str">
        <f ca="1">IF(ISERROR(F514),"",IF(N525=0,A525,""))</f>
        <v/>
      </c>
      <c r="W525" s="1" t="str">
        <f ca="1">IF(ISERROR(F514),"",IF(ISTEXT(VLOOKUP(B514,INDIRECT($F$8),6+(O525-1)*3)),11,IF(VLOOKUP(B514,INDIRECT($F$8),6+(O525-1)*3)&lt;S525*0.3,IF(VLOOKUP(B514,INDIRECT($F$8),8+(O525-1)*3)&lt;U525*0.4,IF(AND(0.4*U525-VLOOKUP(B514,INDIRECT($F$8),8+(O525-1)*3)&lt;=5,0.3*S525-VLOOKUP(B514,INDIRECT($F$8),6+(O525-1)*3)&lt;=5),MAX(0.4*U525-VLOOKUP(B514,INDIRECT($F$8),8+(O525-1)*3),0.3*S525-VLOOKUP(B514,INDIRECT($F$8),6+(O525-1)*3)),11),IF(0.3*S525-VLOOKUP(B514,INDIRECT($F$8),6+(O525-1)*3)&lt;=5,0.3*S525-VLOOKUP(B514,INDIRECT($F$8),6+(O525-1)*3),11)),IF(VLOOKUP(B514,INDIRECT($F$8),8+(O525-1)*3)&lt;U525*0.4,IF(U525*0.4-VLOOKUP(B514,INDIRECT($F$8),8+(O525-1)*3)&lt;=5,U525*0.4-VLOOKUP(B514,INDIRECT($F$8),8+(O525-1)*3),11),0))))</f>
        <v/>
      </c>
      <c r="X525" s="1" t="str">
        <f ca="1">IF(ISERROR(F514),"",IF(W525=0,"",_xlfn.TEXTJOIN("",FALSE," G+",W525," in ",A525)))</f>
        <v/>
      </c>
    </row>
    <row r="526" spans="1:24" ht="11.25" customHeight="1" x14ac:dyDescent="0.2">
      <c r="A526" s="7" t="str">
        <f ca="1">IF(ISERROR(F514),"",VLOOKUP(C514,INDIRECT($F$8),6+(O526-1)*3,0))</f>
        <v/>
      </c>
      <c r="B526" s="41" t="str">
        <f ca="1">IF(ISERROR(F514),"",VLOOKUP(D514,INDIRECT($F$8),6+(O526-1)*3,0))</f>
        <v/>
      </c>
      <c r="C526" s="41"/>
      <c r="D526" s="41"/>
      <c r="E526" s="41"/>
      <c r="F526" s="7" t="str">
        <f ca="1">IF(ISERROR(F514),"",VLOOKUP(E514,INDIRECT($F$8),6+(O526-1)*3,0))</f>
        <v/>
      </c>
      <c r="G526" s="42" t="str">
        <f ca="1">IF(ISERROR(F514),"",_xlfn.TEXTJOIN("/",FALSE,P526,S526))</f>
        <v/>
      </c>
      <c r="H526" s="42"/>
      <c r="I526" s="42" t="str">
        <f ca="1">IF(ISERROR(F514),"",_xlfn.TEXTJOIN("/",FALSE,Q526,T526))</f>
        <v/>
      </c>
      <c r="J526" s="42"/>
      <c r="K526" s="42" t="str">
        <f ca="1">IF(ISERROR(F514),"",_xlfn.TEXTJOIN("/",FALSE,R526,U526))</f>
        <v/>
      </c>
      <c r="L526" s="42"/>
      <c r="M526" s="7" t="str">
        <f ca="1">IF(ISERROR(F514),"",IF(ISTEXT(P526),IF(P526="A","Ab",IF(P526="D","Dt",IF(P526="UFM","UFM",IF(P526="NA","-")))),IF(AND(ISBLANK(P526),ISBLANK(R526)),"",IF(P526&lt;0.3*S526,"F",IF(ISBLANK(R526),"",IF(ISTEXT(R526),R526,IF(R526&gt;=0.95*U526,"O",IF(R526&gt;=0.9*U526,"A+",IF(R526&gt;=0.85*U526,"A",IF(R526&gt;=0.8*U526,"B+",IF(R526&gt;=0.75*U526,"B",IF(R526&gt;=0.7*U526,"C+",IF(R526&gt;=0.65*U526,"C",IF(R526&gt;=0.6*U526,"D+",IF(R526&gt;=0.55*U526,"D",IF(R526&gt;=0.5*U526,"E+",IF(R526&gt;=0.45*U526,"E",IF(R526&gt;=0.4*U526,"P",IF(R526&lt;0.4*U526,"F",R526)))))))))))))))))))</f>
        <v/>
      </c>
      <c r="N526" s="8" t="e">
        <f t="shared" ca="1" si="46"/>
        <v>#N/A</v>
      </c>
      <c r="O526">
        <f t="shared" si="47"/>
        <v>8</v>
      </c>
      <c r="P526" s="1" t="str">
        <f ca="1">IF(ISERROR(F514),"",IF(ISTEXT(VLOOKUP(B514,INDIRECT($F$8),6+(O526-1)*3)),(VLOOKUP(B514,INDIRECT($F$8),6+(O526-1)*3)),SUM(VLOOKUP(B514,INDIRECT($F$8),6+(O526-1)*3),IF(W533,W526,0))))</f>
        <v/>
      </c>
      <c r="Q526" s="1" t="str">
        <f ca="1">IF(ISERROR(F514),"",VLOOKUP(B514,INDIRECT($F$8),7+(O526-1)*3))</f>
        <v/>
      </c>
      <c r="R526" s="1" t="str">
        <f ca="1">IF(ISERROR(F514),"",SUM(P526:Q526))</f>
        <v/>
      </c>
      <c r="S526" s="1" t="str">
        <f ca="1">IF(ISERROR(F514),"",VLOOKUP(A514,INDIRECT($F$8),6+(O526-1)*3))</f>
        <v/>
      </c>
      <c r="T526" s="1" t="str">
        <f ca="1">IF(ISERROR(F514),"",VLOOKUP(A514,INDIRECT($F$8),7+(O526-1)*3))</f>
        <v/>
      </c>
      <c r="U526" s="1" t="str">
        <f ca="1">IF(ISERROR(F514),"",VLOOKUP(A514,INDIRECT($F$8),8+(O526-1)*3))</f>
        <v/>
      </c>
      <c r="V526" s="1" t="str">
        <f ca="1">IF(ISERROR(F514),"",IF(N526=0,A526,""))</f>
        <v/>
      </c>
      <c r="W526" s="1" t="str">
        <f ca="1">IF(ISERROR(F514),"",IF(ISTEXT(VLOOKUP(B514,INDIRECT($F$8),6+(O526-1)*3)),11,IF(VLOOKUP(B514,INDIRECT($F$8),6+(O526-1)*3)&lt;S526*0.3,IF(VLOOKUP(B514,INDIRECT($F$8),8+(O526-1)*3)&lt;U526*0.4,IF(AND(0.4*U526-VLOOKUP(B514,INDIRECT($F$8),8+(O526-1)*3)&lt;=5,0.3*S526-VLOOKUP(B514,INDIRECT($F$8),6+(O526-1)*3)&lt;=5),MAX(0.4*U526-VLOOKUP(B514,INDIRECT($F$8),8+(O526-1)*3),0.3*S526-VLOOKUP(B514,INDIRECT($F$8),6+(O526-1)*3)),11),IF(0.3*S526-VLOOKUP(B514,INDIRECT($F$8),6+(O526-1)*3)&lt;=5,0.3*S526-VLOOKUP(B514,INDIRECT($F$8),6+(O526-1)*3),11)),IF(VLOOKUP(B514,INDIRECT($F$8),8+(O526-1)*3)&lt;U526*0.4,IF(U526*0.4-VLOOKUP(B514,INDIRECT($F$8),8+(O526-1)*3)&lt;=5,U526*0.4-VLOOKUP(B514,INDIRECT($F$8),8+(O526-1)*3),11),0))))</f>
        <v/>
      </c>
      <c r="X526" s="1" t="str">
        <f ca="1">IF(ISERROR(F514),"",IF(W526=0,"",_xlfn.TEXTJOIN("",FALSE," G+",W526," in ",A526)))</f>
        <v/>
      </c>
    </row>
    <row r="527" spans="1:24" ht="11.25" customHeight="1" x14ac:dyDescent="0.2">
      <c r="A527" s="7" t="str">
        <f ca="1">IF(ISERROR(F514),"",VLOOKUP(C514,INDIRECT($F$8),6+(O527-1)*3,0))</f>
        <v/>
      </c>
      <c r="B527" s="41" t="str">
        <f ca="1">IF(ISERROR(F514),"",VLOOKUP(D514,INDIRECT($F$8),6+(O527-1)*3-Z527,0))</f>
        <v/>
      </c>
      <c r="C527" s="41"/>
      <c r="D527" s="41"/>
      <c r="E527" s="41"/>
      <c r="F527" s="7" t="str">
        <f ca="1">IF(ISERROR(F514),"",VLOOKUP(E514,INDIRECT($F$8),6+(O527-1)*3,0))</f>
        <v/>
      </c>
      <c r="G527" s="42" t="str">
        <f ca="1">IF(ISERROR(F514),"",_xlfn.TEXTJOIN("/",FALSE,P527,S527))</f>
        <v/>
      </c>
      <c r="H527" s="42"/>
      <c r="I527" s="42" t="str">
        <f ca="1">IF(ISERROR(F514),"",_xlfn.TEXTJOIN("/",FALSE,Q527,T527))</f>
        <v/>
      </c>
      <c r="J527" s="42"/>
      <c r="K527" s="42" t="str">
        <f ca="1">IF(ISERROR(F514),"",_xlfn.TEXTJOIN("/",FALSE,R527,U527))</f>
        <v/>
      </c>
      <c r="L527" s="42"/>
      <c r="M527" s="7" t="str">
        <f ca="1">IF(ISERROR(F514),"",IF(ISTEXT(P527),IF(P527="A","Ab",IF(P527="D","Dt",IF(P527="UFM","UFM",IF(P527="NA","-")))),IF(AND(ISBLANK(P527),ISBLANK(R527)),"",IF(P527&lt;0.3*S527,"F",IF(ISBLANK(R527),"",IF(ISTEXT(R527),R527,IF(R527&gt;=0.95*U527,"O",IF(R527&gt;=0.9*U527,"A+",IF(R527&gt;=0.85*U527,"A",IF(R527&gt;=0.8*U527,"B+",IF(R527&gt;=0.75*U527,"B",IF(R527&gt;=0.7*U527,"C+",IF(R527&gt;=0.65*U527,"C",IF(R527&gt;=0.6*U527,"D+",IF(R527&gt;=0.55*U527,"D",IF(R527&gt;=0.5*U527,"E+",IF(R527&gt;=0.45*U527,"E",IF(R527&gt;=0.4*U527,"P",IF(R527&lt;0.4*U527,"F",R527)))))))))))))))))))</f>
        <v/>
      </c>
      <c r="N527" s="8" t="e">
        <f t="shared" ca="1" si="46"/>
        <v>#N/A</v>
      </c>
      <c r="O527">
        <f t="shared" si="47"/>
        <v>9</v>
      </c>
      <c r="P527" s="1" t="str">
        <f ca="1">IF(ISERROR(F514),"",IF(ISTEXT(VLOOKUP(B514,INDIRECT($F$8),6+(O527-1)*3)),(VLOOKUP(B514,INDIRECT($F$8),6+(O527-1)*3)),SUM(VLOOKUP(B514,INDIRECT($F$8),6+(O527-1)*3),IF(W533,W527,0))))</f>
        <v/>
      </c>
      <c r="Q527" s="1" t="str">
        <f ca="1">IF(ISERROR(F514),"",VLOOKUP(B514,INDIRECT($F$8),7+(O527-1)*3))</f>
        <v/>
      </c>
      <c r="R527" s="1" t="str">
        <f ca="1">IF(ISERROR(F514),"",SUM(P527:Q527))</f>
        <v/>
      </c>
      <c r="S527" s="1" t="str">
        <f ca="1">IF(ISERROR(F514),"",VLOOKUP(A514,INDIRECT($F$8),6+(O527-1)*3))</f>
        <v/>
      </c>
      <c r="T527" s="1" t="str">
        <f ca="1">IF(ISERROR(F514),"",VLOOKUP(A514,INDIRECT($F$8),7+(O527-1)*3))</f>
        <v/>
      </c>
      <c r="U527" s="1" t="str">
        <f ca="1">IF(ISERROR(F514),"",VLOOKUP(A514,INDIRECT($F$8),8+(O527-1)*3))</f>
        <v/>
      </c>
      <c r="V527" s="1" t="str">
        <f ca="1">IF(ISERROR(F514),"",IF(N527=0,A527,""))</f>
        <v/>
      </c>
      <c r="W527" s="1" t="str">
        <f ca="1">IF(ISERROR(F514),"",IF(ISTEXT(VLOOKUP(B514,INDIRECT($F$8),6+(O527-1)*3)),11,IF(VLOOKUP(B514,INDIRECT($F$8),6+(O527-1)*3)&lt;S527*0.3,IF(VLOOKUP(B514,INDIRECT($F$8),8+(O527-1)*3)&lt;U527*0.4,IF(AND(0.4*U527-VLOOKUP(B514,INDIRECT($F$8),8+(O527-1)*3)&lt;=5,0.3*S527-VLOOKUP(B514,INDIRECT($F$8),6+(O527-1)*3)&lt;=5),MAX(0.4*U527-VLOOKUP(B514,INDIRECT($F$8),8+(O527-1)*3),0.3*S527-VLOOKUP(B514,INDIRECT($F$8),6+(O527-1)*3)),11),IF(0.3*S527-VLOOKUP(B514,INDIRECT($F$8),6+(O527-1)*3)&lt;=5,0.3*S527-VLOOKUP(B514,INDIRECT($F$8),6+(O527-1)*3),11)),IF(VLOOKUP(B514,INDIRECT($F$8),8+(O527-1)*3)&lt;U527*0.4,IF(U527*0.4-VLOOKUP(B514,INDIRECT($F$8),8+(O527-1)*3)&lt;=5,U527*0.4-VLOOKUP(B514,INDIRECT($F$8),8+(O527-1)*3),11),0))))</f>
        <v/>
      </c>
      <c r="X527" s="1" t="str">
        <f ca="1">IF(ISERROR(F514),"",IF(W527=0,"",_xlfn.TEXTJOIN("",FALSE," G+",W527," in ",A527)))</f>
        <v/>
      </c>
    </row>
    <row r="528" spans="1:24" ht="11.25" customHeight="1" x14ac:dyDescent="0.2">
      <c r="A528" s="7" t="str">
        <f ca="1">IF(ISERROR(F514),"",VLOOKUP(C514,INDIRECT($F$8),6+(O528-1)*3,0))</f>
        <v/>
      </c>
      <c r="B528" s="41" t="str">
        <f ca="1">IF(ISERROR(F514),"",VLOOKUP(D514,INDIRECT($F$8),6+(O528-1)*3-Z528,0))</f>
        <v/>
      </c>
      <c r="C528" s="41"/>
      <c r="D528" s="41"/>
      <c r="E528" s="41"/>
      <c r="F528" s="7" t="str">
        <f ca="1">IF(ISERROR(F514),"",VLOOKUP(E514,INDIRECT($F$8),6+(O528-1)*3,0))</f>
        <v/>
      </c>
      <c r="G528" s="42" t="str">
        <f ca="1">IF(ISERROR(F514),"",_xlfn.TEXTJOIN("/",FALSE,P528,S528))</f>
        <v/>
      </c>
      <c r="H528" s="42"/>
      <c r="I528" s="42" t="str">
        <f ca="1">IF(ISERROR(F514),"",_xlfn.TEXTJOIN("/",FALSE,Q528,T528))</f>
        <v/>
      </c>
      <c r="J528" s="42"/>
      <c r="K528" s="42" t="str">
        <f ca="1">IF(ISERROR(F514),"",_xlfn.TEXTJOIN("/",FALSE,R528,U528))</f>
        <v/>
      </c>
      <c r="L528" s="42"/>
      <c r="M528" s="7" t="str">
        <f ca="1">IF(ISERROR(F514),"",IF(ISTEXT(P528),IF(P528="A","Ab",IF(P528="D","Dt",IF(P528="UFM","UFM",IF(P528="NA","-")))),IF(AND(ISBLANK(P528),ISBLANK(R528)),"",IF(P528&lt;0.3*S528,"F",IF(ISBLANK(R528),"",IF(ISTEXT(R528),R528,IF(R528&gt;=0.95*U528,"O",IF(R528&gt;=0.9*U528,"A+",IF(R528&gt;=0.85*U528,"A",IF(R528&gt;=0.8*U528,"B+",IF(R528&gt;=0.75*U528,"B",IF(R528&gt;=0.7*U528,"C+",IF(R528&gt;=0.65*U528,"C",IF(R528&gt;=0.6*U528,"D+",IF(R528&gt;=0.55*U528,"D",IF(R528&gt;=0.5*U528,"E+",IF(R528&gt;=0.45*U528,"E",IF(R528&gt;=0.4*U528,"P",IF(R528&lt;0.4*U528,"F",R528)))))))))))))))))))</f>
        <v/>
      </c>
      <c r="N528" s="8" t="e">
        <f t="shared" ca="1" si="46"/>
        <v>#N/A</v>
      </c>
      <c r="O528">
        <f t="shared" si="47"/>
        <v>10</v>
      </c>
      <c r="P528" s="1" t="str">
        <f ca="1">IF(ISERROR(F514),"",IF(ISTEXT(VLOOKUP(B514,INDIRECT($F$8),6+(O528-1)*3)),(VLOOKUP(B514,INDIRECT($F$8),6+(O528-1)*3)),SUM(VLOOKUP(B514,INDIRECT($F$8),6+(O528-1)*3),IF(W533,W528,0))))</f>
        <v/>
      </c>
      <c r="Q528" s="1" t="str">
        <f ca="1">IF(ISERROR(F514),"",VLOOKUP(B514,INDIRECT($F$8),7+(O528-1)*3))</f>
        <v/>
      </c>
      <c r="R528" s="1" t="str">
        <f ca="1">IF(ISERROR(F514),"",SUM(P528:Q528))</f>
        <v/>
      </c>
      <c r="S528" s="1" t="str">
        <f ca="1">IF(ISERROR(F514),"",VLOOKUP(A514,INDIRECT($F$8),6+(O528-1)*3))</f>
        <v/>
      </c>
      <c r="T528" s="1" t="str">
        <f ca="1">IF(ISERROR(F514),"",VLOOKUP(A514,INDIRECT($F$8),7+(O528-1)*3))</f>
        <v/>
      </c>
      <c r="U528" s="1" t="str">
        <f ca="1">IF(ISERROR(F514),"",VLOOKUP(A514,INDIRECT($F$8),8+(O528-1)*3))</f>
        <v/>
      </c>
      <c r="V528" s="1" t="str">
        <f ca="1">IF(ISERROR(F514),"",IF(N528=0,A528,""))</f>
        <v/>
      </c>
      <c r="W528" s="1" t="str">
        <f ca="1">IF(ISERROR(F514),"",IF(ISTEXT(VLOOKUP(B514,INDIRECT($F$8),6+(O528-1)*3)),11,IF(VLOOKUP(B514,INDIRECT($F$8),6+(O528-1)*3)&lt;S528*0.3,IF(VLOOKUP(B514,INDIRECT($F$8),8+(O528-1)*3)&lt;U528*0.4,IF(AND(0.4*U528-VLOOKUP(B514,INDIRECT($F$8),8+(O528-1)*3)&lt;=5,0.3*S528-VLOOKUP(B514,INDIRECT($F$8),6+(O528-1)*3)&lt;=5),MAX(0.4*U528-VLOOKUP(B514,INDIRECT($F$8),8+(O528-1)*3),0.3*S528-VLOOKUP(B514,INDIRECT($F$8),6+(O528-1)*3)),11),IF(0.3*S528-VLOOKUP(B514,INDIRECT($F$8),6+(O528-1)*3)&lt;=5,0.3*S528-VLOOKUP(B514,INDIRECT($F$8),6+(O528-1)*3),11)),IF(VLOOKUP(B514,INDIRECT($F$8),8+(O528-1)*3)&lt;U528*0.4,IF(U528*0.4-VLOOKUP(B514,INDIRECT($F$8),8+(O528-1)*3)&lt;=5,U528*0.4-VLOOKUP(B514,INDIRECT($F$8),8+(O528-1)*3),11),0))))</f>
        <v/>
      </c>
      <c r="X528" s="1" t="str">
        <f ca="1">IF(ISERROR(F514),"",IF(W528=0,"",_xlfn.TEXTJOIN("",FALSE," G+",W528," in ",A528)))</f>
        <v/>
      </c>
    </row>
    <row r="529" spans="1:24" ht="11.25" customHeight="1" x14ac:dyDescent="0.2">
      <c r="A529" s="7" t="str">
        <f ca="1">IF(ISERROR(F514),"",VLOOKUP(C514,INDIRECT($F$8),6+(O529-1)*3,0))</f>
        <v/>
      </c>
      <c r="B529" s="41" t="str">
        <f ca="1">IF(ISERROR(F514),"",VLOOKUP(D514,INDIRECT($F$8),6+(O529-1)*3,0))</f>
        <v/>
      </c>
      <c r="C529" s="41"/>
      <c r="D529" s="41"/>
      <c r="E529" s="41"/>
      <c r="F529" s="7" t="str">
        <f ca="1">IF(ISERROR(F514),"",VLOOKUP(E514,INDIRECT($F$8),6+(O529-1)*3,0))</f>
        <v/>
      </c>
      <c r="G529" s="42" t="str">
        <f ca="1">IF(ISERROR(F514),"",_xlfn.TEXTJOIN("/",FALSE,P529,S529))</f>
        <v/>
      </c>
      <c r="H529" s="42"/>
      <c r="I529" s="42" t="str">
        <f ca="1">IF(ISERROR(F514),"",_xlfn.TEXTJOIN("/",FALSE,Q529,T529))</f>
        <v/>
      </c>
      <c r="J529" s="42"/>
      <c r="K529" s="42" t="str">
        <f ca="1">IF(ISERROR(F514),"",_xlfn.TEXTJOIN("/",FALSE,R529,U529))</f>
        <v/>
      </c>
      <c r="L529" s="42"/>
      <c r="M529" s="7" t="str">
        <f ca="1">IF(ISERROR(F514),"",IF(ISTEXT(P529),IF(P529="A","Ab",IF(P529="D","Dt",IF(P529="UFM","UFM",IF(P529="NA","-")))),IF(AND(ISBLANK(P529),ISBLANK(R529)),"",IF(P529&lt;0.3*S529,"F",IF(ISBLANK(R529),"",IF(ISTEXT(R529),R529,IF(R529&gt;=0.95*U529,"O",IF(R529&gt;=0.9*U529,"A+",IF(R529&gt;=0.85*U529,"A",IF(R529&gt;=0.8*U529,"B+",IF(R529&gt;=0.75*U529,"B",IF(R529&gt;=0.7*U529,"C+",IF(R529&gt;=0.65*U529,"C",IF(R529&gt;=0.6*U529,"D+",IF(R529&gt;=0.55*U529,"D",IF(R529&gt;=0.5*U529,"E+",IF(R529&gt;=0.45*U529,"E",IF(R529&gt;=0.4*U529,"P",IF(R529&lt;0.4*U529,"F",R529)))))))))))))))))))</f>
        <v/>
      </c>
      <c r="N529" s="8" t="e">
        <f t="shared" ca="1" si="46"/>
        <v>#N/A</v>
      </c>
      <c r="O529">
        <f t="shared" si="47"/>
        <v>11</v>
      </c>
      <c r="P529" s="1" t="str">
        <f ca="1">IF(ISERROR(F514),"",IF(ISTEXT(VLOOKUP(B514,INDIRECT($F$8),6+(O529-1)*3)),(VLOOKUP(B514,INDIRECT($F$8),6+(O529-1)*3)),SUM(VLOOKUP(B514,INDIRECT($F$8),6+(O529-1)*3),IF(W533,W529,0))))</f>
        <v/>
      </c>
      <c r="Q529" s="1" t="str">
        <f ca="1">IF(ISERROR(F514),"",VLOOKUP(B514,INDIRECT($F$8),7+(O529-1)*3))</f>
        <v/>
      </c>
      <c r="R529" s="1" t="str">
        <f ca="1">IF(ISERROR(F514),"",SUM(P529:Q529))</f>
        <v/>
      </c>
      <c r="S529" s="1" t="str">
        <f ca="1">IF(ISERROR(F514),"",VLOOKUP(A514,INDIRECT($F$8),6+(O529-1)*3))</f>
        <v/>
      </c>
      <c r="T529" s="1" t="str">
        <f ca="1">IF(ISERROR(F514),"",VLOOKUP(A514,INDIRECT($F$8),7+(O529-1)*3))</f>
        <v/>
      </c>
      <c r="U529" s="1" t="str">
        <f ca="1">IF(ISERROR(F514),"",VLOOKUP(A514,INDIRECT($F$8),8+(O529-1)*3))</f>
        <v/>
      </c>
      <c r="V529" s="1" t="str">
        <f ca="1">IF(ISERROR(F514),"",IF(N529=0,A529,""))</f>
        <v/>
      </c>
      <c r="W529" s="1" t="str">
        <f ca="1">IF(ISERROR(F514),"",IF(ISTEXT(VLOOKUP(B514,INDIRECT($F$8),6+(O529-1)*3)),11,IF(VLOOKUP(B514,INDIRECT($F$8),6+(O529-1)*3)&lt;S529*0.3,IF(VLOOKUP(B514,INDIRECT($F$8),8+(O529-1)*3)&lt;U529*0.4,IF(AND(0.4*U529-VLOOKUP(B514,INDIRECT($F$8),8+(O529-1)*3)&lt;=5,0.3*S529-VLOOKUP(B514,INDIRECT($F$8),6+(O529-1)*3)&lt;=5),MAX(0.4*U529-VLOOKUP(B514,INDIRECT($F$8),8+(O529-1)*3),0.3*S529-VLOOKUP(B514,INDIRECT($F$8),6+(O529-1)*3)),11),IF(0.3*S529-VLOOKUP(B514,INDIRECT($F$8),6+(O529-1)*3)&lt;=5,0.3*S529-VLOOKUP(B514,INDIRECT($F$8),6+(O529-1)*3),11)),IF(VLOOKUP(B514,INDIRECT($F$8),8+(O529-1)*3)&lt;U529*0.4,IF(U529*0.4-VLOOKUP(B514,INDIRECT($F$8),8+(O529-1)*3)&lt;=5,U529*0.4-VLOOKUP(B514,INDIRECT($F$8),8+(O529-1)*3),11),0))))</f>
        <v/>
      </c>
      <c r="X529" s="1" t="str">
        <f ca="1">IF(ISERROR(F514),"",IF(W529=0,"",_xlfn.TEXTJOIN("",FALSE," G+",W529," in ",A529)))</f>
        <v/>
      </c>
    </row>
    <row r="530" spans="1:24" ht="11.25" customHeight="1" x14ac:dyDescent="0.2">
      <c r="A530" s="7" t="str">
        <f ca="1">IF(ISERROR(F514),"",VLOOKUP(C514,INDIRECT($F$8),6+(O530-1)*3,0))</f>
        <v/>
      </c>
      <c r="B530" s="41" t="str">
        <f ca="1">IF(ISERROR(F514),"",VLOOKUP(D514,INDIRECT($F$8),6+(O530-1)*3,0))</f>
        <v/>
      </c>
      <c r="C530" s="41"/>
      <c r="D530" s="41"/>
      <c r="E530" s="41"/>
      <c r="F530" s="7" t="str">
        <f ca="1">IF(ISERROR(F514),"",VLOOKUP(E514,INDIRECT($F$8),6+(O530-1)*3,0))</f>
        <v/>
      </c>
      <c r="G530" s="42" t="str">
        <f ca="1">IF(ISERROR(F514),"",_xlfn.TEXTJOIN("/",FALSE,P530,S530))</f>
        <v/>
      </c>
      <c r="H530" s="42"/>
      <c r="I530" s="42" t="str">
        <f ca="1">IF(ISERROR(F514),"",_xlfn.TEXTJOIN("/",FALSE,Q530,T530))</f>
        <v/>
      </c>
      <c r="J530" s="42"/>
      <c r="K530" s="42" t="str">
        <f ca="1">IF(ISERROR(F514),"",_xlfn.TEXTJOIN("/",FALSE,R530,U530))</f>
        <v/>
      </c>
      <c r="L530" s="42"/>
      <c r="M530" s="7" t="str">
        <f ca="1">IF(ISERROR(F514),"",IF(ISTEXT(P530),IF(P530="A","Ab",IF(P530="D","Dt",IF(P530="UFM","UFM",IF(P530="NA","-")))),IF(AND(ISBLANK(P530),ISBLANK(R530)),"",IF(P530&lt;0.3*S530,"F",IF(ISBLANK(R530),"",IF(ISTEXT(R530),R530,IF(R530&gt;=0.95*U530,"O",IF(R530&gt;=0.9*U530,"A+",IF(R530&gt;=0.85*U530,"A",IF(R530&gt;=0.8*U530,"B+",IF(R530&gt;=0.75*U530,"B",IF(R530&gt;=0.7*U530,"C+",IF(R530&gt;=0.65*U530,"C",IF(R530&gt;=0.6*U530,"D+",IF(R530&gt;=0.55*U530,"D",IF(R530&gt;=0.5*U530,"E+",IF(R530&gt;=0.45*U530,"E",IF(R530&gt;=0.4*U530,"P",IF(R530&lt;0.4*U530,"F",R530)))))))))))))))))))</f>
        <v/>
      </c>
      <c r="N530" s="8" t="e">
        <f t="shared" ca="1" si="46"/>
        <v>#N/A</v>
      </c>
      <c r="O530">
        <f t="shared" si="47"/>
        <v>12</v>
      </c>
      <c r="P530" s="1" t="str">
        <f ca="1">IF(ISERROR(F514),"",IF(ISTEXT(VLOOKUP(B514,INDIRECT($F$8),6+(O530-1)*3)),(VLOOKUP(B514,INDIRECT($F$8),6+(O530-1)*3)),SUM(VLOOKUP(B514,INDIRECT($F$8),6+(O530-1)*3),IF(W533,W530,0))))</f>
        <v/>
      </c>
      <c r="Q530" s="1" t="str">
        <f ca="1">IF(ISERROR(F514),"",VLOOKUP(B514,INDIRECT($F$8),7+(O530-1)*3))</f>
        <v/>
      </c>
      <c r="R530" s="1" t="str">
        <f ca="1">IF(ISERROR(F514),"",SUM(P530:Q530))</f>
        <v/>
      </c>
      <c r="S530" s="1" t="str">
        <f ca="1">IF(ISERROR(F514),"",VLOOKUP(A514,INDIRECT($F$8),6+(O530-1)*3))</f>
        <v/>
      </c>
      <c r="T530" s="1" t="str">
        <f ca="1">IF(ISERROR(F514),"",VLOOKUP(A514,INDIRECT($F$8),7+(O530-1)*3))</f>
        <v/>
      </c>
      <c r="U530" s="1" t="str">
        <f ca="1">IF(ISERROR(F514),"",VLOOKUP(A514,INDIRECT($F$8),8+(O530-1)*3))</f>
        <v/>
      </c>
      <c r="V530" s="1" t="str">
        <f ca="1">IF(ISERROR(F514),"",IF(N530=0,A530,""))</f>
        <v/>
      </c>
      <c r="W530" s="1" t="str">
        <f ca="1">IF(ISERROR(F514),"",IF(ISTEXT(VLOOKUP(B514,INDIRECT($F$8),6+(O530-1)*3)),11,IF(VLOOKUP(B514,INDIRECT($F$8),6+(O530-1)*3)&lt;S530*0.3,IF(VLOOKUP(B514,INDIRECT($F$8),8+(O530-1)*3)&lt;U530*0.4,IF(AND(0.4*U530-VLOOKUP(B514,INDIRECT($F$8),8+(O530-1)*3)&lt;=5,0.3*S530-VLOOKUP(B514,INDIRECT($F$8),6+(O530-1)*3)&lt;=5),MAX(0.4*U530-VLOOKUP(B514,INDIRECT($F$8),8+(O530-1)*3),0.3*S530-VLOOKUP(B514,INDIRECT($F$8),6+(O530-1)*3)),11),IF(0.3*S530-VLOOKUP(B514,INDIRECT($F$8),6+(O530-1)*3)&lt;=5,0.3*S530-VLOOKUP(B514,INDIRECT($F$8),6+(O530-1)*3),11)),IF(VLOOKUP(B514,INDIRECT($F$8),8+(O530-1)*3)&lt;U530*0.4,IF(U530*0.4-VLOOKUP(B514,INDIRECT($F$8),8+(O530-1)*3)&lt;=5,U530*0.4-VLOOKUP(B514,INDIRECT($F$8),8+(O530-1)*3),11),0))))</f>
        <v/>
      </c>
      <c r="X530" s="1" t="str">
        <f ca="1">IF(ISERROR(F514),"",IF(W530=0,"",_xlfn.TEXTJOIN("",FALSE," G+",W530," in ",A530)))</f>
        <v/>
      </c>
    </row>
    <row r="531" spans="1:24" ht="11.25" customHeight="1" x14ac:dyDescent="0.2">
      <c r="A531" s="7" t="str">
        <f ca="1">IF(ISERROR(F514),"",VLOOKUP(C514,INDIRECT($F$8),6+(O531-1)*3,0))</f>
        <v/>
      </c>
      <c r="B531" s="41" t="str">
        <f ca="1">IF(ISERROR(F514),"",VLOOKUP(D514,INDIRECT($F$8),6+(O531-1)*3,0))</f>
        <v/>
      </c>
      <c r="C531" s="41"/>
      <c r="D531" s="41"/>
      <c r="E531" s="41"/>
      <c r="F531" s="7" t="str">
        <f ca="1">IF(ISERROR(F514),"",VLOOKUP(E514,INDIRECT($F$8),6+(O531-1)*3,0))</f>
        <v/>
      </c>
      <c r="G531" s="42" t="str">
        <f ca="1">IF(ISERROR(F514),"",_xlfn.TEXTJOIN("/",FALSE,P531,S531))</f>
        <v/>
      </c>
      <c r="H531" s="42"/>
      <c r="I531" s="42" t="str">
        <f ca="1">IF(ISERROR(F514),"",_xlfn.TEXTJOIN("/",FALSE,Q531,T531))</f>
        <v/>
      </c>
      <c r="J531" s="42"/>
      <c r="K531" s="42" t="str">
        <f ca="1">IF(ISERROR(F514),"",_xlfn.TEXTJOIN("/",FALSE,R531,U531))</f>
        <v/>
      </c>
      <c r="L531" s="42"/>
      <c r="M531" s="7" t="str">
        <f ca="1">IF(ISERROR(F514),"",IF(ISTEXT(P531),IF(P531="A","Ab",IF(P531="D","Dt",IF(P531="UFM","UFM",IF(P531="NA","-")))),IF(AND(ISBLANK(P531),ISBLANK(R531)),"",IF(P531&lt;0.3*S531,"F",IF(ISBLANK(R531),"",IF(ISTEXT(R531),R531,IF(R531&gt;=0.95*U531,"O",IF(R531&gt;=0.9*U531,"A+",IF(R531&gt;=0.85*U531,"A",IF(R531&gt;=0.8*U531,"B+",IF(R531&gt;=0.75*U531,"B",IF(R531&gt;=0.7*U531,"C+",IF(R531&gt;=0.65*U531,"C",IF(R531&gt;=0.6*U531,"D+",IF(R531&gt;=0.55*U531,"D",IF(R531&gt;=0.5*U531,"E+",IF(R531&gt;=0.45*U531,"E",IF(R531&gt;=0.4*U531,"P",IF(R531&lt;0.4*U531,"F",R531)))))))))))))))))))</f>
        <v/>
      </c>
      <c r="N531" s="8" t="e">
        <f t="shared" ca="1" si="46"/>
        <v>#N/A</v>
      </c>
      <c r="O531">
        <f t="shared" si="47"/>
        <v>13</v>
      </c>
      <c r="P531" s="1" t="str">
        <f ca="1">IF(ISERROR(F514),"",IF(ISTEXT(VLOOKUP(B514,INDIRECT($F$8),6+(O531-1)*3)),(VLOOKUP(B514,INDIRECT($F$8),6+(O531-1)*3)),SUM(VLOOKUP(B514,INDIRECT($F$8),6+(O531-1)*3),IF(W533,W531,0))))</f>
        <v/>
      </c>
      <c r="Q531" s="1" t="str">
        <f ca="1">IF(ISERROR(F514),"",VLOOKUP(B514,INDIRECT($F$8),7+(O531-1)*3))</f>
        <v/>
      </c>
      <c r="R531" s="1" t="str">
        <f ca="1">IF(ISERROR(F514),"",SUM(P531:Q531))</f>
        <v/>
      </c>
      <c r="S531" s="1" t="str">
        <f ca="1">IF(ISERROR(F514),"",VLOOKUP(A514,INDIRECT($F$8),6+(O531-1)*3))</f>
        <v/>
      </c>
      <c r="T531" s="1" t="str">
        <f ca="1">IF(ISERROR(F514),"",VLOOKUP(A514,INDIRECT($F$8),7+(O531-1)*3))</f>
        <v/>
      </c>
      <c r="U531" s="1" t="str">
        <f ca="1">IF(ISERROR(F514),"",VLOOKUP(A514,INDIRECT($F$8),8+(O531-1)*3))</f>
        <v/>
      </c>
      <c r="V531" s="1"/>
      <c r="W531" s="1" t="str">
        <f ca="1">IF(ISERROR(F514),"",IF(ISTEXT(VLOOKUP(B514,INDIRECT($F$8),6+(O531-1)*3)),11,IF(VLOOKUP(B514,INDIRECT($F$8),6+(O531-1)*3)&lt;S531*0.3,IF(VLOOKUP(B514,INDIRECT($F$8),8+(O531-1)*3)&lt;U531*0.4,IF(AND(0.4*U531-VLOOKUP(B514,INDIRECT($F$8),8+(O531-1)*3)&lt;=5,0.3*S531-VLOOKUP(B514,INDIRECT($F$8),6+(O531-1)*3)&lt;=5),MAX(0.4*U531-VLOOKUP(B514,INDIRECT($F$8),8+(O531-1)*3),0.3*S531-VLOOKUP(B514,INDIRECT($F$8),6+(O531-1)*3)),11),IF(0.3*S531-VLOOKUP(B514,INDIRECT($F$8),6+(O531-1)*3)&lt;=5,0.3*S531-VLOOKUP(B514,INDIRECT($F$8),6+(O531-1)*3),11)),IF(VLOOKUP(B514,INDIRECT($F$8),8+(O531-1)*3)&lt;U531*0.4,IF(U531*0.4-VLOOKUP(B514,INDIRECT($F$8),8+(O531-1)*3)&lt;=5,U531*0.4-VLOOKUP(B514,INDIRECT($F$8),8+(O531-1)*3),11),0))))</f>
        <v/>
      </c>
      <c r="X531" s="1" t="str">
        <f ca="1">IF(ISERROR(F514),"",IF(W531=0,"",_xlfn.TEXTJOIN("",FALSE," G+",W531," in ",A531)))</f>
        <v/>
      </c>
    </row>
    <row r="532" spans="1:24" s="32" customFormat="1" ht="11.25" customHeight="1" x14ac:dyDescent="0.2">
      <c r="A532" s="31" t="str">
        <f ca="1">IF(ISERROR(F514),"",VLOOKUP(C514,INDIRECT($F$8),6+(O532-1)*3-Y532,0))</f>
        <v/>
      </c>
      <c r="B532" s="49" t="str">
        <f ca="1">IF(ISERROR(F514),"",VLOOKUP(D514,INDIRECT($F$8),6+(O532-1)*3-Z532,0))</f>
        <v/>
      </c>
      <c r="C532" s="49"/>
      <c r="D532" s="49"/>
      <c r="E532" s="49"/>
      <c r="F532" s="31" t="str">
        <f ca="1">IF(ISERROR(F514),"",VLOOKUP(E514,INDIRECT($F$8),6+(O532-1)*3-AA532,0))</f>
        <v/>
      </c>
      <c r="G532" s="50" t="str">
        <f ca="1">IF(ISERROR(F514),"","-")</f>
        <v/>
      </c>
      <c r="H532" s="50"/>
      <c r="I532" s="50" t="str">
        <f ca="1">IF(ISERROR(F514),"",_xlfn.TEXTJOIN("/",FALSE,Q532,T532))</f>
        <v/>
      </c>
      <c r="J532" s="50"/>
      <c r="K532" s="50" t="str">
        <f ca="1">IF(ISERROR(F514),"",_xlfn.TEXTJOIN("/",FALSE,R532,U532))</f>
        <v/>
      </c>
      <c r="L532" s="50"/>
      <c r="M532" s="7" t="b">
        <f ca="1">IF(ISERROR(F515),"",IF(ISTEXT(P532),IF(P532="A","Ab",IF(P532="D","Dt",IF(P532="UFM","UFM",IF(P532="NA","")))),IF(AND(ISBLANK(P532),ISBLANK(R532)),"",IF(P532&lt;0.3*S532,"F",IF(ISBLANK(R532),"",IF(ISTEXT(R532),R532,IF(R532&gt;=0.95*U532,"O",IF(R532&gt;=0.9*U532,"A+",IF(R532&gt;=0.85*U532,"A",IF(R532&gt;=0.8*U532,"B+",IF(R532&gt;=0.75*U532,"B",IF(R532&gt;=0.7*U532,"C+",IF(R532&gt;=0.65*U532,"C",IF(R532&gt;=0.6*U532,"D+",IF(R532&gt;=0.55*U532,"D",IF(R532&gt;=0.5*U532,"E+",IF(R532&gt;=0.45*U532,"E",IF(R532&gt;=0.4*U532,"P",IF(R532&lt;0.4*U532,"F",R532)))))))))))))))))))</f>
        <v>0</v>
      </c>
      <c r="N532" s="8" t="e">
        <f t="shared" ref="N521:N532" ca="1" si="48">INDEX($Z$2:$Z$18,MATCH(M532,$Y$2:$Y$18,0))</f>
        <v>#N/A</v>
      </c>
      <c r="O532" s="32">
        <f t="shared" si="47"/>
        <v>14</v>
      </c>
      <c r="P532" s="33" t="str">
        <f ca="1">IF(ISERROR(F514),"",IF(ISTEXT(VLOOKUP(B\28,INDIRECT($F$8),6+(O532-1)*3)),(VLOOKUP(B514,INDIRECT($F$8),6+(O532-1)*3)),SUM(VLOOKUP(B514,INDIRECT($F$8),6+(O532-1)*3),IF(W533,W532,0))))</f>
        <v/>
      </c>
      <c r="Q532" s="33" t="str">
        <f ca="1">IF(ISERROR(F514),"",VLOOKUP(B514,INDIRECT($F$8),7+(O532-1)*3))</f>
        <v/>
      </c>
      <c r="R532" s="33" t="str">
        <f ca="1">IF(ISERROR(F514),"",SUM(P532:Q532))</f>
        <v/>
      </c>
      <c r="S532" s="33" t="str">
        <f ca="1">IF(ISERROR(F514),"",VLOOKUP(A514,INDIRECT($F$8),6+(O532-1)*3))</f>
        <v/>
      </c>
      <c r="T532" s="33" t="str">
        <f ca="1">IF(ISERROR(F514),"",VLOOKUP(A514,INDIRECT($F$8),7+(O532-1)*3))</f>
        <v/>
      </c>
      <c r="U532" s="33" t="str">
        <f ca="1">IF(ISERROR(F514),"",VLOOKUP(A514,INDIRECT($F$8),8+(O532-1)*3))</f>
        <v/>
      </c>
      <c r="V532" s="33"/>
      <c r="W532" s="33"/>
      <c r="X532" s="33" t="str">
        <f ca="1">IF(ISERROR(F514),"",IF(W532=0,"",_xlfn.TEXTJOIN("",FALSE," G+",W532," in ",A532)))</f>
        <v/>
      </c>
    </row>
    <row r="533" spans="1:24" ht="11.25" customHeight="1" x14ac:dyDescent="0.2">
      <c r="A533" s="43" t="str">
        <f ca="1">IF(ISERROR(F514),"",A510)</f>
        <v/>
      </c>
      <c r="B533" s="43"/>
      <c r="C533" s="43"/>
      <c r="D533" s="43"/>
      <c r="E533" s="43"/>
      <c r="F533" s="10" t="str">
        <f ca="1">IF(ISERROR(F514),"",SUM(F519:F532))</f>
        <v/>
      </c>
      <c r="G533" s="44" t="str">
        <f ca="1">IF(ISERROR(F514),"",_xlfn.TEXTJOIN("/",TRUE,SUMIF(F519:F532,"&gt;0",P519:P532),SUMIF(F519:F532,"&gt;0",S519:S532)))</f>
        <v/>
      </c>
      <c r="H533" s="44"/>
      <c r="I533" s="44" t="str">
        <f ca="1">IF(ISERROR(F514),"",_xlfn.TEXTJOIN("/",TRUE,SUMIF(F519:F532,"&gt;0",Q519:Q532),SUMIF(F519:F532,"&gt;0",T519:T532)))</f>
        <v/>
      </c>
      <c r="J533" s="44"/>
      <c r="K533" s="44" t="str">
        <f ca="1">IF(ISERROR(F514),"",_xlfn.TEXTJOIN("/",TRUE,SUMIF(F519:F532,"&gt;0",R519:R532),SUMIF(F519:F532,"&gt;0",U519:U532)))</f>
        <v/>
      </c>
      <c r="L533" s="44"/>
      <c r="M533" s="43" t="str">
        <f ca="1">IF(ISERROR(F514),"",SUMPRODUCT(N519:N531,F519:F531))</f>
        <v/>
      </c>
      <c r="N533" s="43"/>
      <c r="V533" s="1" t="str">
        <f ca="1">IF(ISERROR(F514),"",_xlfn.TEXTJOIN(", ",TRUE,V519:V532))</f>
        <v/>
      </c>
      <c r="W533" t="str">
        <f ca="1">IF(ISERROR(F514),"",IF(SUM(W519:W532)&lt;=W518,TRUE,FALSE))</f>
        <v/>
      </c>
      <c r="X533" s="1" t="str">
        <f ca="1">_xlfn.TEXTJOIN(",",TRUE,X519:X532)</f>
        <v/>
      </c>
    </row>
    <row r="534" spans="1:24" ht="11.25" customHeight="1" x14ac:dyDescent="0.2">
      <c r="A534" s="43" t="str">
        <f ca="1">IF(ISERROR(F514),"",A511)</f>
        <v/>
      </c>
      <c r="B534" s="45" t="str">
        <f ca="1">IF(ISERROR(F514),"",IF(V533="","PASS","CARRY OVER"))</f>
        <v/>
      </c>
      <c r="C534" s="45"/>
      <c r="D534" s="43" t="str">
        <f ca="1">IF(ISERROR(F514),"",D511)</f>
        <v/>
      </c>
      <c r="E534" s="45" t="str">
        <f ca="1">IF(ISERROR(F514),"",IF(W533,X533,IF(V533="","",_xlfn.TEXTJOIN("",TRUE,"BACK IN ",V533))))</f>
        <v/>
      </c>
      <c r="F534" s="45"/>
      <c r="G534" s="43" t="str">
        <f ca="1">IF(ISERROR(F514),"",G511)</f>
        <v/>
      </c>
      <c r="H534" s="46" t="str">
        <f ca="1">IF(ISERROR(F514),"",M533/F533)</f>
        <v/>
      </c>
      <c r="I534" s="43" t="str">
        <f ca="1">IF(ISERROR(F514),"",I511)</f>
        <v/>
      </c>
      <c r="J534" s="46" t="str">
        <f ca="1">IF(ISERROR(F514),"",VLOOKUP(B514,INDIRECT($F$8),12+(O532-1)*3,0))</f>
        <v/>
      </c>
      <c r="K534" s="45" t="str">
        <f ca="1">IF(ISERROR(F514),"",K511)</f>
        <v/>
      </c>
      <c r="L534" s="43" t="str">
        <f ca="1">IF(ISERROR(F514),"",SUMIF(N519:N531,"&gt;0",F519:F531))</f>
        <v/>
      </c>
      <c r="M534" s="45" t="str">
        <f ca="1">IF(ISERROR(F514),"",M511)</f>
        <v/>
      </c>
      <c r="N534" s="43" t="str">
        <f ca="1">IF(ISERROR(F514),"",VLOOKUP(B514,INDIRECT($F$8),10+(O532-1)*3,0))</f>
        <v/>
      </c>
    </row>
    <row r="535" spans="1:24" ht="11.25" customHeight="1" x14ac:dyDescent="0.2">
      <c r="A535" s="43"/>
      <c r="B535" s="45"/>
      <c r="C535" s="45"/>
      <c r="D535" s="43"/>
      <c r="E535" s="45"/>
      <c r="F535" s="45"/>
      <c r="G535" s="43"/>
      <c r="H535" s="46"/>
      <c r="I535" s="43"/>
      <c r="J535" s="46"/>
      <c r="K535" s="45"/>
      <c r="L535" s="43"/>
      <c r="M535" s="45"/>
      <c r="N535" s="43"/>
    </row>
    <row r="536" spans="1:24" ht="15" x14ac:dyDescent="0.2">
      <c r="A536" s="43"/>
      <c r="B536" s="45"/>
      <c r="C536" s="45"/>
      <c r="D536" s="43"/>
      <c r="E536" s="45"/>
      <c r="F536" s="45"/>
      <c r="G536" s="43"/>
      <c r="H536" s="46"/>
      <c r="I536" s="43"/>
      <c r="J536" s="46"/>
      <c r="K536" s="45"/>
      <c r="L536" s="43"/>
      <c r="M536" s="45"/>
      <c r="N536" s="43"/>
    </row>
    <row r="537" spans="1:24" ht="11.25" customHeight="1" x14ac:dyDescent="0.2">
      <c r="A537" s="11" t="str">
        <f>A514</f>
        <v>MM</v>
      </c>
      <c r="B537" s="11">
        <f>B514+1</f>
        <v>24</v>
      </c>
      <c r="C537" s="11" t="str">
        <f>C514</f>
        <v>SC</v>
      </c>
      <c r="D537" s="11" t="str">
        <f>D514</f>
        <v>SN</v>
      </c>
      <c r="E537" s="11" t="str">
        <f>E514</f>
        <v>C</v>
      </c>
      <c r="F537" s="11" t="e">
        <f ca="1">VLOOKUP(B537,INDIRECT($F$8),4,0)</f>
        <v>#N/A</v>
      </c>
    </row>
    <row r="538" spans="1:24" ht="11.25" customHeight="1" x14ac:dyDescent="0.2">
      <c r="A538" s="47" t="str">
        <f ca="1">IF(ISERROR(F537),"",A515)</f>
        <v/>
      </c>
      <c r="B538" s="47" t="str">
        <f ca="1">IFERROR(VLOOKUP(B537,INDIRECT($F$8),4,0),"")</f>
        <v/>
      </c>
      <c r="C538" s="47"/>
      <c r="D538" s="47" t="str">
        <f ca="1">IF(ISERROR(F537),"",D515)</f>
        <v/>
      </c>
      <c r="E538" s="47" t="str">
        <f ca="1">IFERROR(VLOOKUP(B537,INDIRECT($F$8),5,0),"")</f>
        <v/>
      </c>
      <c r="F538" s="47"/>
      <c r="G538" s="47" t="str">
        <f ca="1">IF(ISERROR(F537),"",G515)</f>
        <v/>
      </c>
      <c r="H538" s="47"/>
      <c r="I538" s="48" t="str">
        <f ca="1">IFERROR(VLOOKUP(B537,INDIRECT($F$8),2,0),"")</f>
        <v/>
      </c>
      <c r="J538" s="48"/>
      <c r="K538" s="47" t="str">
        <f ca="1">IF(ISERROR(F537),"",K515)</f>
        <v/>
      </c>
      <c r="L538" s="47"/>
      <c r="M538" s="48" t="str">
        <f ca="1">IFERROR(VLOOKUP(B537,INDIRECT($F$8),3,0),"")</f>
        <v/>
      </c>
      <c r="N538" s="48"/>
    </row>
    <row r="539" spans="1:24" ht="15" x14ac:dyDescent="0.2">
      <c r="A539" s="47"/>
      <c r="B539" s="47"/>
      <c r="C539" s="47"/>
      <c r="D539" s="47"/>
      <c r="E539" s="47"/>
      <c r="F539" s="47"/>
      <c r="G539" s="47"/>
      <c r="H539" s="47"/>
      <c r="I539" s="48"/>
      <c r="J539" s="48"/>
      <c r="K539" s="47"/>
      <c r="L539" s="47"/>
      <c r="M539" s="48"/>
      <c r="N539" s="48"/>
    </row>
    <row r="540" spans="1:24" ht="11.25" customHeight="1" x14ac:dyDescent="0.2">
      <c r="A540" s="45" t="str">
        <f ca="1">IF(ISERROR(F537),"",A517)</f>
        <v/>
      </c>
      <c r="B540" s="45" t="str">
        <f ca="1">IF(ISERROR(F537),"",B517)</f>
        <v/>
      </c>
      <c r="C540" s="45"/>
      <c r="D540" s="45"/>
      <c r="E540" s="45"/>
      <c r="F540" s="45" t="str">
        <f ca="1">IF(ISERROR(F537),"",F517)</f>
        <v/>
      </c>
      <c r="G540" s="45" t="str">
        <f ca="1">IF(ISERROR(F537),"",G517)</f>
        <v/>
      </c>
      <c r="H540" s="45"/>
      <c r="I540" s="45" t="str">
        <f ca="1">IF(ISERROR(F537),"",I517)</f>
        <v/>
      </c>
      <c r="J540" s="45"/>
      <c r="K540" s="45" t="str">
        <f ca="1">IF(ISERROR(F537),"",K517)</f>
        <v/>
      </c>
      <c r="L540" s="45"/>
      <c r="M540" s="45" t="str">
        <f ca="1">IF(ISERROR(F537),"",M517)</f>
        <v/>
      </c>
      <c r="N540" s="45" t="str">
        <f ca="1">IF(ISERROR(F537),"",N517)</f>
        <v/>
      </c>
    </row>
    <row r="541" spans="1:24" ht="15" x14ac:dyDescent="0.2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W541">
        <f ca="1">IF(ISNUMBER(MATCH($F$8,{"I","III","V","VII"},0)),10,10-INDEX(INDIRECT(_xlfn.TEXTJOIN("",TRUE,"SEM_",$G$8,"!",ADDRESS(6,4+$I$8*3+4),":",ADDRESS(5+$H$8,4+$I$8*3+4))),MATCH(INDIRECT(_xlfn.TEXTJOIN("",TRUE,"TC_",$F$8,"!",ADDRESS(ROW(I538),COLUMN(I538)))),INDIRECT(_xlfn.TEXTJOIN("",TRUE,"SEM_",$G$8,"!",ADDRESS(6,2),":",ADDRESS(5+$H$8,2))))))</f>
        <v>10</v>
      </c>
    </row>
    <row r="542" spans="1:24" ht="11.25" customHeight="1" x14ac:dyDescent="0.2">
      <c r="A542" s="7" t="str">
        <f ca="1">IF(ISERROR(F537),"",VLOOKUP(C537,INDIRECT($F$8),6+(O542-1)*3,0))</f>
        <v/>
      </c>
      <c r="B542" s="41" t="str">
        <f ca="1">IF(ISERROR(F537),"",VLOOKUP(D537,INDIRECT($F$8),6+(O542-1)*3,0))</f>
        <v/>
      </c>
      <c r="C542" s="41"/>
      <c r="D542" s="41"/>
      <c r="E542" s="41"/>
      <c r="F542" s="7" t="str">
        <f ca="1">IF(ISERROR(F537),"",VLOOKUP(E537,INDIRECT($F$8),6+(O542-1)*3,0))</f>
        <v/>
      </c>
      <c r="G542" s="42" t="str">
        <f ca="1">IF(ISERROR(F537),"",_xlfn.TEXTJOIN("/",FALSE,P542,S542))</f>
        <v/>
      </c>
      <c r="H542" s="42"/>
      <c r="I542" s="42" t="str">
        <f ca="1">IF(ISERROR(F537),"",_xlfn.TEXTJOIN("/",FALSE,Q542,T542))</f>
        <v/>
      </c>
      <c r="J542" s="42"/>
      <c r="K542" s="42" t="str">
        <f ca="1">IF(ISERROR(F537),"",_xlfn.TEXTJOIN("/",FALSE,R542,U542))</f>
        <v/>
      </c>
      <c r="L542" s="42"/>
      <c r="M542" s="7" t="str">
        <f ca="1">IF(ISERROR(F537),"",IF(ISTEXT(P542),IF(P542="A","Ab",IF(P542="D","Dt",IF(P542="UFM","UFM",IF(P542="NA","-")))),IF(AND(ISBLANK(P542),ISBLANK(R542)),"",IF(P542&lt;0.3*S542,"F",IF(ISBLANK(R542),"",IF(ISTEXT(R542),R542,IF(R542&gt;=0.95*U542,"O",IF(R542&gt;=0.9*U542,"A+",IF(R542&gt;=0.85*U542,"A",IF(R542&gt;=0.8*U542,"B+",IF(R542&gt;=0.75*U542,"B",IF(R542&gt;=0.7*U542,"C+",IF(R542&gt;=0.65*U542,"C",IF(R542&gt;=0.6*U542,"D+",IF(R542&gt;=0.55*U542,"D",IF(R542&gt;=0.5*U542,"E+",IF(R542&gt;=0.45*U542,"E",IF(R542&gt;=0.4*U542,"P",IF(R542&lt;0.4*U542,"F",R542)))))))))))))))))))</f>
        <v/>
      </c>
      <c r="N542" s="8" t="e">
        <f ca="1">INDEX($Z$2:$Z$18,MATCH(M542,$Y$2:$Y$18,0))</f>
        <v>#N/A</v>
      </c>
      <c r="O542">
        <v>1</v>
      </c>
      <c r="P542" s="1" t="str">
        <f ca="1">IF(ISERROR(F537),"",IF(ISTEXT(VLOOKUP(B537,INDIRECT($F$8),6+(O542-1)*3)),(VLOOKUP(B537,INDIRECT($F$8),6+(O542-1)*3)),SUM(VLOOKUP(B537,INDIRECT($F$8),6+(O542-1)*3),IF(W556,W542,0))))</f>
        <v/>
      </c>
      <c r="Q542" s="1" t="str">
        <f ca="1">IF(ISERROR(F537),"",VLOOKUP(B537,INDIRECT($F$8),7+(O542-1)*3))</f>
        <v/>
      </c>
      <c r="R542" s="1" t="str">
        <f ca="1">IF(ISERROR(F537),"",SUM(P542:Q542))</f>
        <v/>
      </c>
      <c r="S542" s="1" t="str">
        <f ca="1">IF(ISERROR(F537),"",VLOOKUP(A537,INDIRECT($F$8),6+(O542-1)*3))</f>
        <v/>
      </c>
      <c r="T542" s="1" t="str">
        <f ca="1">IF(ISERROR(F537),"",VLOOKUP(A537,INDIRECT($F$8),7+(O542-1)*3))</f>
        <v/>
      </c>
      <c r="U542" s="1" t="str">
        <f ca="1">IF(ISERROR(F537),"",VLOOKUP(A537,INDIRECT($F$8),8+(O542-1)*3))</f>
        <v/>
      </c>
      <c r="V542" s="1" t="str">
        <f ca="1">IF(ISERROR(F537),"",IF(N542=0,A542,""))</f>
        <v/>
      </c>
      <c r="W542" s="1" t="str">
        <f ca="1">IF(ISERROR(F537),"",IF(ISTEXT(VLOOKUP(B537,INDIRECT($F$8),6+(O542-1)*3)),11,IF(VLOOKUP(B537,INDIRECT($F$8),6+(O542-1)*3)&lt;S542*0.3,IF(VLOOKUP(B537,INDIRECT($F$8),8+(O542-1)*3)&lt;U542*0.4,IF(AND(0.4*U542-VLOOKUP(B537,INDIRECT($F$8),8+(O542-1)*3)&lt;=5,0.3*S542-VLOOKUP(B537,INDIRECT($F$8),6+(O542-1)*3)&lt;=5),MAX(0.4*U542-VLOOKUP(B537,INDIRECT($F$8),8+(O542-1)*3),0.3*S542-VLOOKUP(B537,INDIRECT($F$8),6+(O542-1)*3)),11),IF(0.3*S542-VLOOKUP(B537,INDIRECT($F$8),6+(O542-1)*3)&lt;=5,0.3*S542-VLOOKUP(B537,INDIRECT($F$8),6+(O542-1)*3),11)),IF(VLOOKUP(B537,INDIRECT($F$8),8+(O542-1)*3)&lt;U542*0.4,IF(U542*0.4-VLOOKUP(B537,INDIRECT($F$8),8+(O542-1)*3)&lt;=5,U542*0.4-VLOOKUP(B537,INDIRECT($F$8),8+(O542-1)*3),11),0))))</f>
        <v/>
      </c>
      <c r="X542" s="1" t="str">
        <f ca="1">IF(ISERROR(F537),"",IF(W542=0,"",_xlfn.TEXTJOIN("",FALSE," G+",W542," in ",A542)))</f>
        <v/>
      </c>
    </row>
    <row r="543" spans="1:24" ht="11.25" customHeight="1" x14ac:dyDescent="0.2">
      <c r="A543" s="7" t="str">
        <f ca="1">IF(ISERROR(F537),"",VLOOKUP(C537,INDIRECT($F$8),6+(O543-1)*3,0))</f>
        <v/>
      </c>
      <c r="B543" s="41" t="str">
        <f ca="1">IF(ISERROR(F537),"",VLOOKUP(D537,INDIRECT($F$8),6+(O543-1)*3,0))</f>
        <v/>
      </c>
      <c r="C543" s="41"/>
      <c r="D543" s="41"/>
      <c r="E543" s="41"/>
      <c r="F543" s="7" t="str">
        <f ca="1">IF(ISERROR(F537),"",VLOOKUP(E537,INDIRECT($F$8),6+(O543-1)*3,0))</f>
        <v/>
      </c>
      <c r="G543" s="42" t="str">
        <f ca="1">IF(ISERROR(F537),"",_xlfn.TEXTJOIN("/",FALSE,P543,S543))</f>
        <v/>
      </c>
      <c r="H543" s="42"/>
      <c r="I543" s="42" t="str">
        <f ca="1">IF(ISERROR(F537),"",_xlfn.TEXTJOIN("/",FALSE,Q543,T543))</f>
        <v/>
      </c>
      <c r="J543" s="42"/>
      <c r="K543" s="42" t="str">
        <f ca="1">IF(ISERROR(F537),"",_xlfn.TEXTJOIN("/",FALSE,R543,U543))</f>
        <v/>
      </c>
      <c r="L543" s="42"/>
      <c r="M543" s="7" t="str">
        <f ca="1">IF(ISERROR(F537),"",IF(ISTEXT(P543),IF(P543="A","Ab",IF(P543="D","Dt",IF(P543="UFM","UFM",IF(P543="NA","-")))),IF(AND(ISBLANK(P543),ISBLANK(R543)),"",IF(P543&lt;0.3*S543,"F",IF(ISBLANK(R543),"",IF(ISTEXT(R543),R543,IF(R543&gt;=0.95*U543,"O",IF(R543&gt;=0.9*U543,"A+",IF(R543&gt;=0.85*U543,"A",IF(R543&gt;=0.8*U543,"B+",IF(R543&gt;=0.75*U543,"B",IF(R543&gt;=0.7*U543,"C+",IF(R543&gt;=0.65*U543,"C",IF(R543&gt;=0.6*U543,"D+",IF(R543&gt;=0.55*U543,"D",IF(R543&gt;=0.5*U543,"E+",IF(R543&gt;=0.45*U543,"E",IF(R543&gt;=0.4*U543,"P",IF(R543&lt;0.4*U543,"F",R543)))))))))))))))))))</f>
        <v/>
      </c>
      <c r="N543" s="8" t="e">
        <f t="shared" ref="N543:N554" ca="1" si="49">INDEX($Z$2:$Z$18,MATCH(M543,$Y$2:$Y$18,0))</f>
        <v>#N/A</v>
      </c>
      <c r="O543">
        <f>O542+1</f>
        <v>2</v>
      </c>
      <c r="P543" s="1" t="str">
        <f ca="1">IF(ISERROR(F537),"",IF(ISTEXT(VLOOKUP(B537,INDIRECT($F$8),6+(O543-1)*3)),(VLOOKUP(B537,INDIRECT($F$8),6+(O543-1)*3)),SUM(VLOOKUP(B537,INDIRECT($F$8),6+(O543-1)*3),IF(W556,W543,0))))</f>
        <v/>
      </c>
      <c r="Q543" s="1" t="str">
        <f ca="1">IF(ISERROR(F537),"",VLOOKUP(B537,INDIRECT($F$8),7+(O543-1)*3))</f>
        <v/>
      </c>
      <c r="R543" s="1" t="str">
        <f ca="1">IF(ISERROR(F537),"",SUM(P543:Q543))</f>
        <v/>
      </c>
      <c r="S543" s="1" t="str">
        <f ca="1">IF(ISERROR(F537),"",VLOOKUP(A537,INDIRECT($F$8),6+(O543-1)*3))</f>
        <v/>
      </c>
      <c r="T543" s="1" t="str">
        <f ca="1">IF(ISERROR(F537),"",VLOOKUP(A537,INDIRECT($F$8),7+(O543-1)*3))</f>
        <v/>
      </c>
      <c r="U543" s="1" t="str">
        <f ca="1">IF(ISERROR(F537),"",VLOOKUP(A537,INDIRECT($F$8),8+(O543-1)*3))</f>
        <v/>
      </c>
      <c r="V543" s="1" t="str">
        <f ca="1">IF(ISERROR(F537),"",IF(N543=0,A543,""))</f>
        <v/>
      </c>
      <c r="W543" s="1" t="str">
        <f ca="1">IF(ISERROR(F537),"",IF(ISTEXT(VLOOKUP(B537,INDIRECT($F$8),6+(O543-1)*3)),11,IF(VLOOKUP(B537,INDIRECT($F$8),6+(O543-1)*3)&lt;S543*0.3,IF(VLOOKUP(B537,INDIRECT($F$8),8+(O543-1)*3)&lt;U543*0.4,IF(AND(0.4*U543-VLOOKUP(B537,INDIRECT($F$8),8+(O543-1)*3)&lt;=5,0.3*S543-VLOOKUP(B537,INDIRECT($F$8),6+(O543-1)*3)&lt;=5),MAX(0.4*U543-VLOOKUP(B537,INDIRECT($F$8),8+(O543-1)*3),0.3*S543-VLOOKUP(B537,INDIRECT($F$8),6+(O543-1)*3)),11),IF(0.3*S543-VLOOKUP(B537,INDIRECT($F$8),6+(O543-1)*3)&lt;=5,0.3*S543-VLOOKUP(B537,INDIRECT($F$8),6+(O543-1)*3),11)),IF(VLOOKUP(B537,INDIRECT($F$8),8+(O543-1)*3)&lt;U543*0.4,IF(U543*0.4-VLOOKUP(B537,INDIRECT($F$8),8+(O543-1)*3)&lt;=5,U543*0.4-VLOOKUP(B537,INDIRECT($F$8),8+(O543-1)*3),11),0))))</f>
        <v/>
      </c>
      <c r="X543" s="1" t="str">
        <f ca="1">IF(ISERROR(F537),"",IF(W543=0,"",_xlfn.TEXTJOIN("",FALSE," G+",W543," in ",A543)))</f>
        <v/>
      </c>
    </row>
    <row r="544" spans="1:24" ht="11.25" customHeight="1" x14ac:dyDescent="0.2">
      <c r="A544" s="7" t="str">
        <f ca="1">IF(ISERROR(F537),"",VLOOKUP(C537,INDIRECT($F$8),6+(O544-1)*3,0))</f>
        <v/>
      </c>
      <c r="B544" s="41" t="str">
        <f ca="1">IF(ISERROR(F537),"",VLOOKUP(D537,INDIRECT($F$8),6+(O544-1)*3,0))</f>
        <v/>
      </c>
      <c r="C544" s="41"/>
      <c r="D544" s="41"/>
      <c r="E544" s="41"/>
      <c r="F544" s="7" t="str">
        <f ca="1">IF(ISERROR(F537),"",VLOOKUP(E537,INDIRECT($F$8),6+(O544-1)*3,0))</f>
        <v/>
      </c>
      <c r="G544" s="42" t="str">
        <f ca="1">IF(ISERROR(F537),"",_xlfn.TEXTJOIN("/",FALSE,P544,S544))</f>
        <v/>
      </c>
      <c r="H544" s="42"/>
      <c r="I544" s="42" t="str">
        <f ca="1">IF(ISERROR(F537),"",_xlfn.TEXTJOIN("/",FALSE,Q544,T544))</f>
        <v/>
      </c>
      <c r="J544" s="42"/>
      <c r="K544" s="42" t="str">
        <f ca="1">IF(ISERROR(F537),"",_xlfn.TEXTJOIN("/",FALSE,R544,U544))</f>
        <v/>
      </c>
      <c r="L544" s="42"/>
      <c r="M544" s="7" t="str">
        <f ca="1">IF(ISERROR(F537),"",IF(ISTEXT(P544),IF(P544="A","Ab",IF(P544="D","Dt",IF(P544="UFM","UFM",IF(P544="NA","-")))),IF(AND(ISBLANK(P544),ISBLANK(R544)),"",IF(P544&lt;0.3*S544,"F",IF(ISBLANK(R544),"",IF(ISTEXT(R544),R544,IF(R544&gt;=0.95*U544,"O",IF(R544&gt;=0.9*U544,"A+",IF(R544&gt;=0.85*U544,"A",IF(R544&gt;=0.8*U544,"B+",IF(R544&gt;=0.75*U544,"B",IF(R544&gt;=0.7*U544,"C+",IF(R544&gt;=0.65*U544,"C",IF(R544&gt;=0.6*U544,"D+",IF(R544&gt;=0.55*U544,"D",IF(R544&gt;=0.5*U544,"E+",IF(R544&gt;=0.45*U544,"E",IF(R544&gt;=0.4*U544,"P",IF(R544&lt;0.4*U544,"F",R544)))))))))))))))))))</f>
        <v/>
      </c>
      <c r="N544" s="8" t="e">
        <f t="shared" ca="1" si="49"/>
        <v>#N/A</v>
      </c>
      <c r="O544">
        <f>O543+1</f>
        <v>3</v>
      </c>
      <c r="P544" s="1" t="str">
        <f ca="1">IF(ISERROR(F537),"",IF(ISTEXT(VLOOKUP(B537,INDIRECT($F$8),6+(O544-1)*3)),(VLOOKUP(B537,INDIRECT($F$8),6+(O544-1)*3)),SUM(VLOOKUP(B537,INDIRECT($F$8),6+(O544-1)*3),IF(W556,W544,0))))</f>
        <v/>
      </c>
      <c r="Q544" s="1" t="str">
        <f ca="1">IF(ISERROR(F537),"",VLOOKUP(B537,INDIRECT($F$8),7+(O544-1)*3))</f>
        <v/>
      </c>
      <c r="R544" s="1" t="str">
        <f ca="1">IF(ISERROR(F537),"",SUM(P544:Q544))</f>
        <v/>
      </c>
      <c r="S544" s="1" t="str">
        <f ca="1">IF(ISERROR(F537),"",VLOOKUP(A537,INDIRECT($F$8),6+(O544-1)*3))</f>
        <v/>
      </c>
      <c r="T544" s="1" t="str">
        <f ca="1">IF(ISERROR(F537),"",VLOOKUP(A537,INDIRECT($F$8),7+(O544-1)*3))</f>
        <v/>
      </c>
      <c r="U544" s="1" t="str">
        <f ca="1">IF(ISERROR(F537),"",VLOOKUP(A537,INDIRECT($F$8),8+(O544-1)*3))</f>
        <v/>
      </c>
      <c r="V544" s="1" t="str">
        <f ca="1">IF(ISERROR(F537),"",IF(N544=0,A544,""))</f>
        <v/>
      </c>
      <c r="W544" s="1" t="str">
        <f ca="1">IF(ISERROR(F537),"",IF(ISTEXT(VLOOKUP(B537,INDIRECT($F$8),6+(O544-1)*3)),11,IF(VLOOKUP(B537,INDIRECT($F$8),6+(O544-1)*3)&lt;S544*0.3,IF(VLOOKUP(B537,INDIRECT($F$8),8+(O544-1)*3)&lt;U544*0.4,IF(AND(0.4*U544-VLOOKUP(B537,INDIRECT($F$8),8+(O544-1)*3)&lt;=5,0.3*S544-VLOOKUP(B537,INDIRECT($F$8),6+(O544-1)*3)&lt;=5),MAX(0.4*U544-VLOOKUP(B537,INDIRECT($F$8),8+(O544-1)*3),0.3*S544-VLOOKUP(B537,INDIRECT($F$8),6+(O544-1)*3)),11),IF(0.3*S544-VLOOKUP(B537,INDIRECT($F$8),6+(O544-1)*3)&lt;=5,0.3*S544-VLOOKUP(B537,INDIRECT($F$8),6+(O544-1)*3),11)),IF(VLOOKUP(B537,INDIRECT($F$8),8+(O544-1)*3)&lt;U544*0.4,IF(U544*0.4-VLOOKUP(B537,INDIRECT($F$8),8+(O544-1)*3)&lt;=5,U544*0.4-VLOOKUP(B537,INDIRECT($F$8),8+(O544-1)*3),11),0))))</f>
        <v/>
      </c>
      <c r="X544" s="1" t="str">
        <f ca="1">IF(ISERROR(F537),"",IF(W544=0,"",_xlfn.TEXTJOIN("",FALSE," G+",W544," in ",A544)))</f>
        <v/>
      </c>
    </row>
    <row r="545" spans="1:24" ht="11.25" customHeight="1" x14ac:dyDescent="0.2">
      <c r="A545" s="7" t="str">
        <f ca="1">IF(ISERROR(F537),"",VLOOKUP(C537,INDIRECT($F$8),6+(O545-1)*3,0))</f>
        <v/>
      </c>
      <c r="B545" s="41" t="str">
        <f ca="1">IF(ISERROR(F537),"",VLOOKUP(D537,INDIRECT($F$8),6+(O545-1)*3,0))</f>
        <v/>
      </c>
      <c r="C545" s="41"/>
      <c r="D545" s="41"/>
      <c r="E545" s="41"/>
      <c r="F545" s="7" t="str">
        <f ca="1">IF(ISERROR(F537),"",VLOOKUP(E537,INDIRECT($F$8),6+(O545-1)*3,0))</f>
        <v/>
      </c>
      <c r="G545" s="42" t="str">
        <f ca="1">IF(ISERROR(F537),"",_xlfn.TEXTJOIN("/",FALSE,P545,S545))</f>
        <v/>
      </c>
      <c r="H545" s="42"/>
      <c r="I545" s="42" t="str">
        <f ca="1">IF(ISERROR(F537),"",_xlfn.TEXTJOIN("/",FALSE,Q545,T545))</f>
        <v/>
      </c>
      <c r="J545" s="42"/>
      <c r="K545" s="42" t="str">
        <f ca="1">IF(ISERROR(F537),"",_xlfn.TEXTJOIN("/",FALSE,R545,U545))</f>
        <v/>
      </c>
      <c r="L545" s="42"/>
      <c r="M545" s="7" t="str">
        <f ca="1">IF(ISERROR(F537),"",IF(ISTEXT(P545),IF(P545="A","Ab",IF(P545="D","Dt",IF(P545="UFM","UFM",IF(P545="NA","-")))),IF(AND(ISBLANK(P545),ISBLANK(R545)),"",IF(P545&lt;0.3*S545,"F",IF(ISBLANK(R545),"",IF(ISTEXT(R545),R545,IF(R545&gt;=0.95*U545,"O",IF(R545&gt;=0.9*U545,"A+",IF(R545&gt;=0.85*U545,"A",IF(R545&gt;=0.8*U545,"B+",IF(R545&gt;=0.75*U545,"B",IF(R545&gt;=0.7*U545,"C+",IF(R545&gt;=0.65*U545,"C",IF(R545&gt;=0.6*U545,"D+",IF(R545&gt;=0.55*U545,"D",IF(R545&gt;=0.5*U545,"E+",IF(R545&gt;=0.45*U545,"E",IF(R545&gt;=0.4*U545,"P",IF(R545&lt;0.4*U545,"F",R545)))))))))))))))))))</f>
        <v/>
      </c>
      <c r="N545" s="8" t="e">
        <f t="shared" ca="1" si="49"/>
        <v>#N/A</v>
      </c>
      <c r="O545">
        <f>O544+1</f>
        <v>4</v>
      </c>
      <c r="P545" s="1" t="str">
        <f ca="1">IF(ISERROR(F537),"",IF(ISTEXT(VLOOKUP(B537,INDIRECT($F$8),6+(O545-1)*3)),(VLOOKUP(B537,INDIRECT($F$8),6+(O545-1)*3)),SUM(VLOOKUP(B537,INDIRECT($F$8),6+(O545-1)*3),IF(W556,W545,0))))</f>
        <v/>
      </c>
      <c r="Q545" s="1" t="str">
        <f ca="1">IF(ISERROR(F537),"",VLOOKUP(B537,INDIRECT($F$8),7+(O545-1)*3))</f>
        <v/>
      </c>
      <c r="R545" s="1" t="str">
        <f ca="1">IF(ISERROR(F537),"",SUM(P545:Q545))</f>
        <v/>
      </c>
      <c r="S545" s="1" t="str">
        <f ca="1">IF(ISERROR(F537),"",VLOOKUP(A537,INDIRECT($F$8),6+(O545-1)*3))</f>
        <v/>
      </c>
      <c r="T545" s="1" t="str">
        <f ca="1">IF(ISERROR(F537),"",VLOOKUP(A537,INDIRECT($F$8),7+(O545-1)*3))</f>
        <v/>
      </c>
      <c r="U545" s="1" t="str">
        <f ca="1">IF(ISERROR(F537),"",VLOOKUP(A537,INDIRECT($F$8),8+(O545-1)*3))</f>
        <v/>
      </c>
      <c r="V545" s="1" t="str">
        <f ca="1">IF(ISERROR(F537),"",IF(N545=0,A545,""))</f>
        <v/>
      </c>
      <c r="W545" s="1" t="str">
        <f ca="1">IF(ISERROR(F537),"",IF(ISTEXT(VLOOKUP(B537,INDIRECT($F$8),6+(O545-1)*3)),11,IF(VLOOKUP(B537,INDIRECT($F$8),6+(O545-1)*3)&lt;S545*0.3,IF(VLOOKUP(B537,INDIRECT($F$8),8+(O545-1)*3)&lt;U545*0.4,IF(AND(0.4*U545-VLOOKUP(B537,INDIRECT($F$8),8+(O545-1)*3)&lt;=5,0.3*S545-VLOOKUP(B537,INDIRECT($F$8),6+(O545-1)*3)&lt;=5),MAX(0.4*U545-VLOOKUP(B537,INDIRECT($F$8),8+(O545-1)*3),0.3*S545-VLOOKUP(B537,INDIRECT($F$8),6+(O545-1)*3)),11),IF(0.3*S545-VLOOKUP(B537,INDIRECT($F$8),6+(O545-1)*3)&lt;=5,0.3*S545-VLOOKUP(B537,INDIRECT($F$8),6+(O545-1)*3),11)),IF(VLOOKUP(B537,INDIRECT($F$8),8+(O545-1)*3)&lt;U545*0.4,IF(U545*0.4-VLOOKUP(B537,INDIRECT($F$8),8+(O545-1)*3)&lt;=5,U545*0.4-VLOOKUP(B537,INDIRECT($F$8),8+(O545-1)*3),11),0))))</f>
        <v/>
      </c>
      <c r="X545" s="1" t="str">
        <f ca="1">IF(ISERROR(F537),"",IF(W545=0,"",_xlfn.TEXTJOIN("",FALSE," G+",W545," in ",A545)))</f>
        <v/>
      </c>
    </row>
    <row r="546" spans="1:24" ht="11.25" customHeight="1" x14ac:dyDescent="0.2">
      <c r="A546" s="7" t="str">
        <f ca="1">IF(ISERROR(F537),"",VLOOKUP(C537,INDIRECT($F$8),6+(O546-1)*3,0))</f>
        <v/>
      </c>
      <c r="B546" s="41" t="str">
        <f ca="1">IF(ISERROR(F537),"",VLOOKUP(D537,INDIRECT($F$8),6+(O546-1)*3,0))</f>
        <v/>
      </c>
      <c r="C546" s="41"/>
      <c r="D546" s="41"/>
      <c r="E546" s="41"/>
      <c r="F546" s="7" t="str">
        <f ca="1">IF(ISERROR(F537),"",VLOOKUP(E537,INDIRECT($F$8),6+(O546-1)*3,0))</f>
        <v/>
      </c>
      <c r="G546" s="42" t="str">
        <f ca="1">IF(ISERROR(F537),"",_xlfn.TEXTJOIN("/",FALSE,P546,S546))</f>
        <v/>
      </c>
      <c r="H546" s="42"/>
      <c r="I546" s="42" t="str">
        <f ca="1">IF(ISERROR(F537),"",_xlfn.TEXTJOIN("/",FALSE,Q546,T546))</f>
        <v/>
      </c>
      <c r="J546" s="42"/>
      <c r="K546" s="42" t="str">
        <f ca="1">IF(ISERROR(F537),"",_xlfn.TEXTJOIN("/",FALSE,R546,U546))</f>
        <v/>
      </c>
      <c r="L546" s="42"/>
      <c r="M546" s="7" t="str">
        <f ca="1">IF(ISERROR(F537),"",IF(ISTEXT(P546),IF(P546="A","Ab",IF(P546="D","Dt",IF(P546="UFM","UFM",IF(P546="NA","-")))),IF(AND(ISBLANK(P546),ISBLANK(R546)),"",IF(P546&lt;0.3*S546,"F",IF(ISBLANK(R546),"",IF(ISTEXT(R546),R546,IF(R546&gt;=0.95*U546,"O",IF(R546&gt;=0.9*U546,"A+",IF(R546&gt;=0.85*U546,"A",IF(R546&gt;=0.8*U546,"B+",IF(R546&gt;=0.75*U546,"B",IF(R546&gt;=0.7*U546,"C+",IF(R546&gt;=0.65*U546,"C",IF(R546&gt;=0.6*U546,"D+",IF(R546&gt;=0.55*U546,"D",IF(R546&gt;=0.5*U546,"E+",IF(R546&gt;=0.45*U546,"E",IF(R546&gt;=0.4*U546,"P",IF(R546&lt;0.4*U546,"F",R546)))))))))))))))))))</f>
        <v/>
      </c>
      <c r="N546" s="8" t="e">
        <f t="shared" ca="1" si="49"/>
        <v>#N/A</v>
      </c>
      <c r="O546">
        <f t="shared" ref="O546:O555" si="50">O545+1</f>
        <v>5</v>
      </c>
      <c r="P546" s="1" t="str">
        <f ca="1">IF(ISERROR(F537),"",IF(ISTEXT(VLOOKUP(B537,INDIRECT($F$8),6+(O546-1)*3)),(VLOOKUP(B537,INDIRECT($F$8),6+(O546-1)*3)),SUM(VLOOKUP(B537,INDIRECT($F$8),6+(O546-1)*3),IF(W556,W546,0))))</f>
        <v/>
      </c>
      <c r="Q546" s="1" t="str">
        <f ca="1">IF(ISERROR(F537),"",VLOOKUP(B537,INDIRECT($F$8),7+(O546-1)*3))</f>
        <v/>
      </c>
      <c r="R546" s="1" t="str">
        <f ca="1">IF(ISERROR(F537),"",SUM(P546:Q546))</f>
        <v/>
      </c>
      <c r="S546" s="1" t="str">
        <f ca="1">IF(ISERROR(F537),"",VLOOKUP(A537,INDIRECT($F$8),6+(O546-1)*3))</f>
        <v/>
      </c>
      <c r="T546" s="1" t="str">
        <f ca="1">IF(ISERROR(F537),"",VLOOKUP(A537,INDIRECT($F$8),7+(O546-1)*3))</f>
        <v/>
      </c>
      <c r="U546" s="1" t="str">
        <f ca="1">IF(ISERROR(F537),"",VLOOKUP(A537,INDIRECT($F$8),8+(O546-1)*3))</f>
        <v/>
      </c>
      <c r="V546" s="1" t="str">
        <f ca="1">IF(ISERROR(F537),"",IF(N546=0,A546,""))</f>
        <v/>
      </c>
      <c r="W546" s="1" t="str">
        <f ca="1">IF(ISERROR(F537),"",IF(ISTEXT(VLOOKUP(B537,INDIRECT($F$8),6+(O546-1)*3)),11,IF(VLOOKUP(B537,INDIRECT($F$8),6+(O546-1)*3)&lt;S546*0.3,IF(VLOOKUP(B537,INDIRECT($F$8),8+(O546-1)*3)&lt;U546*0.4,IF(AND(0.4*U546-VLOOKUP(B537,INDIRECT($F$8),8+(O546-1)*3)&lt;=5,0.3*S546-VLOOKUP(B537,INDIRECT($F$8),6+(O546-1)*3)&lt;=5),MAX(0.4*U546-VLOOKUP(B537,INDIRECT($F$8),8+(O546-1)*3),0.3*S546-VLOOKUP(B537,INDIRECT($F$8),6+(O546-1)*3)),11),IF(0.3*S546-VLOOKUP(B537,INDIRECT($F$8),6+(O546-1)*3)&lt;=5,0.3*S546-VLOOKUP(B537,INDIRECT($F$8),6+(O546-1)*3),11)),IF(VLOOKUP(B537,INDIRECT($F$8),8+(O546-1)*3)&lt;U546*0.4,IF(U546*0.4-VLOOKUP(B537,INDIRECT($F$8),8+(O546-1)*3)&lt;=5,U546*0.4-VLOOKUP(B537,INDIRECT($F$8),8+(O546-1)*3),11),0))))</f>
        <v/>
      </c>
      <c r="X546" s="1" t="str">
        <f ca="1">IF(ISERROR(F537),"",IF(W546=0,"",_xlfn.TEXTJOIN("",FALSE," G+",W546," in ",A546)))</f>
        <v/>
      </c>
    </row>
    <row r="547" spans="1:24" ht="11.25" customHeight="1" x14ac:dyDescent="0.2">
      <c r="A547" s="7" t="str">
        <f ca="1">IF(ISERROR(F537),"",VLOOKUP(C537,INDIRECT($F$8),6+(O547-1)*3,0))</f>
        <v/>
      </c>
      <c r="B547" s="41" t="str">
        <f ca="1">IF(ISERROR(F537),"",VLOOKUP(D537,INDIRECT($F$8),6+(O547-1)*3,0))</f>
        <v/>
      </c>
      <c r="C547" s="41"/>
      <c r="D547" s="41"/>
      <c r="E547" s="41"/>
      <c r="F547" s="7" t="str">
        <f ca="1">IF(ISERROR(F537),"",VLOOKUP(E537,INDIRECT($F$8),6+(O547-1)*3,0))</f>
        <v/>
      </c>
      <c r="G547" s="42" t="str">
        <f ca="1">IF(ISERROR(F537),"",_xlfn.TEXTJOIN("/",FALSE,P547,S547))</f>
        <v/>
      </c>
      <c r="H547" s="42"/>
      <c r="I547" s="42" t="str">
        <f ca="1">IF(ISERROR(F537),"",_xlfn.TEXTJOIN("/",FALSE,Q547,T547))</f>
        <v/>
      </c>
      <c r="J547" s="42"/>
      <c r="K547" s="42" t="str">
        <f ca="1">IF(ISERROR(F537),"",_xlfn.TEXTJOIN("/",FALSE,R547,U547))</f>
        <v/>
      </c>
      <c r="L547" s="42"/>
      <c r="M547" s="7" t="str">
        <f ca="1">IF(ISERROR(F537),"",IF(ISTEXT(P547),IF(P547="A","Ab",IF(P547="D","Dt",IF(P547="UFM","UFM",IF(P547="NA","-")))),IF(AND(ISBLANK(P547),ISBLANK(R547)),"",IF(P547&lt;0.3*S547,"F",IF(ISBLANK(R547),"",IF(ISTEXT(R547),R547,IF(R547&gt;=0.95*U547,"O",IF(R547&gt;=0.9*U547,"A+",IF(R547&gt;=0.85*U547,"A",IF(R547&gt;=0.8*U547,"B+",IF(R547&gt;=0.75*U547,"B",IF(R547&gt;=0.7*U547,"C+",IF(R547&gt;=0.65*U547,"C",IF(R547&gt;=0.6*U547,"D+",IF(R547&gt;=0.55*U547,"D",IF(R547&gt;=0.5*U547,"E+",IF(R547&gt;=0.45*U547,"E",IF(R547&gt;=0.4*U547,"P",IF(R547&lt;0.4*U547,"F",R547)))))))))))))))))))</f>
        <v/>
      </c>
      <c r="N547" s="8" t="e">
        <f t="shared" ca="1" si="49"/>
        <v>#N/A</v>
      </c>
      <c r="O547">
        <f t="shared" si="50"/>
        <v>6</v>
      </c>
      <c r="P547" s="1" t="str">
        <f ca="1">IF(ISERROR(F537),"",IF(ISTEXT(VLOOKUP(B537,INDIRECT($F$8),6+(O547-1)*3)),(VLOOKUP(B537,INDIRECT($F$8),6+(O547-1)*3)),SUM(VLOOKUP(B537,INDIRECT($F$8),6+(O547-1)*3),IF(W556,W547,0))))</f>
        <v/>
      </c>
      <c r="Q547" s="1" t="str">
        <f ca="1">IF(ISERROR(F537),"",VLOOKUP(B537,INDIRECT($F$8),7+(O547-1)*3))</f>
        <v/>
      </c>
      <c r="R547" s="1" t="str">
        <f ca="1">IF(ISERROR(F537),"",SUM(P547:Q547))</f>
        <v/>
      </c>
      <c r="S547" s="1" t="str">
        <f ca="1">IF(ISERROR(F537),"",VLOOKUP(A537,INDIRECT($F$8),6+(O547-1)*3))</f>
        <v/>
      </c>
      <c r="T547" s="1" t="str">
        <f ca="1">IF(ISERROR(F537),"",VLOOKUP(A537,INDIRECT($F$8),7+(O547-1)*3))</f>
        <v/>
      </c>
      <c r="U547" s="1" t="str">
        <f ca="1">IF(ISERROR(F537),"",VLOOKUP(A537,INDIRECT($F$8),8+(O547-1)*3))</f>
        <v/>
      </c>
      <c r="V547" s="1" t="str">
        <f ca="1">IF(ISERROR(F537),"",IF(N547=0,A547,""))</f>
        <v/>
      </c>
      <c r="W547" s="1" t="str">
        <f ca="1">IF(ISERROR(F537),"",IF(ISTEXT(VLOOKUP(B537,INDIRECT($F$8),6+(O547-1)*3)),11,IF(VLOOKUP(B537,INDIRECT($F$8),6+(O547-1)*3)&lt;S547*0.3,IF(VLOOKUP(B537,INDIRECT($F$8),8+(O547-1)*3)&lt;U547*0.4,IF(AND(0.4*U547-VLOOKUP(B537,INDIRECT($F$8),8+(O547-1)*3)&lt;=5,0.3*S547-VLOOKUP(B537,INDIRECT($F$8),6+(O547-1)*3)&lt;=5),MAX(0.4*U547-VLOOKUP(B537,INDIRECT($F$8),8+(O547-1)*3),0.3*S547-VLOOKUP(B537,INDIRECT($F$8),6+(O547-1)*3)),11),IF(0.3*S547-VLOOKUP(B537,INDIRECT($F$8),6+(O547-1)*3)&lt;=5,0.3*S547-VLOOKUP(B537,INDIRECT($F$8),6+(O547-1)*3),11)),IF(VLOOKUP(B537,INDIRECT($F$8),8+(O547-1)*3)&lt;U547*0.4,IF(U547*0.4-VLOOKUP(B537,INDIRECT($F$8),8+(O547-1)*3)&lt;=5,U547*0.4-VLOOKUP(B537,INDIRECT($F$8),8+(O547-1)*3),11),0))))</f>
        <v/>
      </c>
      <c r="X547" s="1" t="str">
        <f ca="1">IF(ISERROR(F537),"",IF(W547=0,"",_xlfn.TEXTJOIN("",FALSE," G+",W547," in ",A547)))</f>
        <v/>
      </c>
    </row>
    <row r="548" spans="1:24" ht="11.25" customHeight="1" x14ac:dyDescent="0.2">
      <c r="A548" s="7" t="str">
        <f ca="1">IF(ISERROR(F537),"",VLOOKUP(C537,INDIRECT($F$8),6+(O548-1)*3,0))</f>
        <v/>
      </c>
      <c r="B548" s="41" t="str">
        <f ca="1">IF(ISERROR(F537),"",VLOOKUP(D537,INDIRECT($F$8),6+(O548-1)*3,0))</f>
        <v/>
      </c>
      <c r="C548" s="41"/>
      <c r="D548" s="41"/>
      <c r="E548" s="41"/>
      <c r="F548" s="7" t="str">
        <f ca="1">IF(ISERROR(F537),"",VLOOKUP(E537,INDIRECT($F$8),6+(O548-1)*3,0))</f>
        <v/>
      </c>
      <c r="G548" s="42" t="str">
        <f ca="1">IF(ISERROR(F537),"",_xlfn.TEXTJOIN("/",FALSE,P548,S548))</f>
        <v/>
      </c>
      <c r="H548" s="42"/>
      <c r="I548" s="42" t="str">
        <f ca="1">IF(ISERROR(F537),"",_xlfn.TEXTJOIN("/",FALSE,Q548,T548))</f>
        <v/>
      </c>
      <c r="J548" s="42"/>
      <c r="K548" s="42" t="str">
        <f ca="1">IF(ISERROR(F537),"",_xlfn.TEXTJOIN("/",FALSE,R548,U548))</f>
        <v/>
      </c>
      <c r="L548" s="42"/>
      <c r="M548" s="7" t="str">
        <f ca="1">IF(ISERROR(F537),"",IF(ISTEXT(P548),IF(P548="A","Ab",IF(P548="D","Dt",IF(P548="UFM","UFM",IF(P548="NA","-")))),IF(AND(ISBLANK(P548),ISBLANK(R548)),"",IF(P548&lt;0.3*S548,"F",IF(ISBLANK(R548),"",IF(ISTEXT(R548),R548,IF(R548&gt;=0.95*U548,"O",IF(R548&gt;=0.9*U548,"A+",IF(R548&gt;=0.85*U548,"A",IF(R548&gt;=0.8*U548,"B+",IF(R548&gt;=0.75*U548,"B",IF(R548&gt;=0.7*U548,"C+",IF(R548&gt;=0.65*U548,"C",IF(R548&gt;=0.6*U548,"D+",IF(R548&gt;=0.55*U548,"D",IF(R548&gt;=0.5*U548,"E+",IF(R548&gt;=0.45*U548,"E",IF(R548&gt;=0.4*U548,"P",IF(R548&lt;0.4*U548,"F",R548)))))))))))))))))))</f>
        <v/>
      </c>
      <c r="N548" s="8" t="e">
        <f t="shared" ca="1" si="49"/>
        <v>#N/A</v>
      </c>
      <c r="O548">
        <f t="shared" si="50"/>
        <v>7</v>
      </c>
      <c r="P548" s="1" t="str">
        <f ca="1">IF(ISERROR(F537),"",IF(ISTEXT(VLOOKUP(B537,INDIRECT($F$8),6+(O548-1)*3)),(VLOOKUP(B537,INDIRECT($F$8),6+(O548-1)*3)),SUM(VLOOKUP(B537,INDIRECT($F$8),6+(O548-1)*3),IF(W556,W548,0))))</f>
        <v/>
      </c>
      <c r="Q548" s="1" t="str">
        <f ca="1">IF(ISERROR(F537),"",VLOOKUP(B537,INDIRECT($F$8),7+(O548-1)*3))</f>
        <v/>
      </c>
      <c r="R548" s="1" t="str">
        <f ca="1">IF(ISERROR(F537),"",SUM(P548:Q548))</f>
        <v/>
      </c>
      <c r="S548" s="1" t="str">
        <f ca="1">IF(ISERROR(F537),"",VLOOKUP(A537,INDIRECT($F$8),6+(O548-1)*3))</f>
        <v/>
      </c>
      <c r="T548" s="1" t="str">
        <f ca="1">IF(ISERROR(F537),"",VLOOKUP(A537,INDIRECT($F$8),7+(O548-1)*3))</f>
        <v/>
      </c>
      <c r="U548" s="1" t="str">
        <f ca="1">IF(ISERROR(F537),"",VLOOKUP(A537,INDIRECT($F$8),8+(O548-1)*3))</f>
        <v/>
      </c>
      <c r="V548" s="1" t="str">
        <f ca="1">IF(ISERROR(F537),"",IF(N548=0,A548,""))</f>
        <v/>
      </c>
      <c r="W548" s="1" t="str">
        <f ca="1">IF(ISERROR(F537),"",IF(ISTEXT(VLOOKUP(B537,INDIRECT($F$8),6+(O548-1)*3)),11,IF(VLOOKUP(B537,INDIRECT($F$8),6+(O548-1)*3)&lt;S548*0.3,IF(VLOOKUP(B537,INDIRECT($F$8),8+(O548-1)*3)&lt;U548*0.4,IF(AND(0.4*U548-VLOOKUP(B537,INDIRECT($F$8),8+(O548-1)*3)&lt;=5,0.3*S548-VLOOKUP(B537,INDIRECT($F$8),6+(O548-1)*3)&lt;=5),MAX(0.4*U548-VLOOKUP(B537,INDIRECT($F$8),8+(O548-1)*3),0.3*S548-VLOOKUP(B537,INDIRECT($F$8),6+(O548-1)*3)),11),IF(0.3*S548-VLOOKUP(B537,INDIRECT($F$8),6+(O548-1)*3)&lt;=5,0.3*S548-VLOOKUP(B537,INDIRECT($F$8),6+(O548-1)*3),11)),IF(VLOOKUP(B537,INDIRECT($F$8),8+(O548-1)*3)&lt;U548*0.4,IF(U548*0.4-VLOOKUP(B537,INDIRECT($F$8),8+(O548-1)*3)&lt;=5,U548*0.4-VLOOKUP(B537,INDIRECT($F$8),8+(O548-1)*3),11),0))))</f>
        <v/>
      </c>
      <c r="X548" s="1" t="str">
        <f ca="1">IF(ISERROR(F537),"",IF(W548=0,"",_xlfn.TEXTJOIN("",FALSE," G+",W548," in ",A548)))</f>
        <v/>
      </c>
    </row>
    <row r="549" spans="1:24" ht="11.25" customHeight="1" x14ac:dyDescent="0.2">
      <c r="A549" s="7" t="str">
        <f ca="1">IF(ISERROR(F537),"",VLOOKUP(C537,INDIRECT($F$8),6+(O549-1)*3,0))</f>
        <v/>
      </c>
      <c r="B549" s="41" t="str">
        <f ca="1">IF(ISERROR(F537),"",VLOOKUP(D537,INDIRECT($F$8),6+(O549-1)*3,0))</f>
        <v/>
      </c>
      <c r="C549" s="41"/>
      <c r="D549" s="41"/>
      <c r="E549" s="41"/>
      <c r="F549" s="7" t="str">
        <f ca="1">IF(ISERROR(F537),"",VLOOKUP(E537,INDIRECT($F$8),6+(O549-1)*3,0))</f>
        <v/>
      </c>
      <c r="G549" s="42" t="str">
        <f ca="1">IF(ISERROR(F537),"",_xlfn.TEXTJOIN("/",FALSE,P549,S549))</f>
        <v/>
      </c>
      <c r="H549" s="42"/>
      <c r="I549" s="42" t="str">
        <f ca="1">IF(ISERROR(F537),"",_xlfn.TEXTJOIN("/",FALSE,Q549,T549))</f>
        <v/>
      </c>
      <c r="J549" s="42"/>
      <c r="K549" s="42" t="str">
        <f ca="1">IF(ISERROR(F537),"",_xlfn.TEXTJOIN("/",FALSE,R549,U549))</f>
        <v/>
      </c>
      <c r="L549" s="42"/>
      <c r="M549" s="7" t="str">
        <f ca="1">IF(ISERROR(F537),"",IF(ISTEXT(P549),IF(P549="A","Ab",IF(P549="D","Dt",IF(P549="UFM","UFM",IF(P549="NA","-")))),IF(AND(ISBLANK(P549),ISBLANK(R549)),"",IF(P549&lt;0.3*S549,"F",IF(ISBLANK(R549),"",IF(ISTEXT(R549),R549,IF(R549&gt;=0.95*U549,"O",IF(R549&gt;=0.9*U549,"A+",IF(R549&gt;=0.85*U549,"A",IF(R549&gt;=0.8*U549,"B+",IF(R549&gt;=0.75*U549,"B",IF(R549&gt;=0.7*U549,"C+",IF(R549&gt;=0.65*U549,"C",IF(R549&gt;=0.6*U549,"D+",IF(R549&gt;=0.55*U549,"D",IF(R549&gt;=0.5*U549,"E+",IF(R549&gt;=0.45*U549,"E",IF(R549&gt;=0.4*U549,"P",IF(R549&lt;0.4*U549,"F",R549)))))))))))))))))))</f>
        <v/>
      </c>
      <c r="N549" s="8" t="e">
        <f t="shared" ca="1" si="49"/>
        <v>#N/A</v>
      </c>
      <c r="O549">
        <f t="shared" si="50"/>
        <v>8</v>
      </c>
      <c r="P549" s="1" t="str">
        <f ca="1">IF(ISERROR(F537),"",IF(ISTEXT(VLOOKUP(B537,INDIRECT($F$8),6+(O549-1)*3)),(VLOOKUP(B537,INDIRECT($F$8),6+(O549-1)*3)),SUM(VLOOKUP(B537,INDIRECT($F$8),6+(O549-1)*3),IF(W556,W549,0))))</f>
        <v/>
      </c>
      <c r="Q549" s="1" t="str">
        <f ca="1">IF(ISERROR(F537),"",VLOOKUP(B537,INDIRECT($F$8),7+(O549-1)*3))</f>
        <v/>
      </c>
      <c r="R549" s="1" t="str">
        <f ca="1">IF(ISERROR(F537),"",SUM(P549:Q549))</f>
        <v/>
      </c>
      <c r="S549" s="1" t="str">
        <f ca="1">IF(ISERROR(F537),"",VLOOKUP(A537,INDIRECT($F$8),6+(O549-1)*3))</f>
        <v/>
      </c>
      <c r="T549" s="1" t="str">
        <f ca="1">IF(ISERROR(F537),"",VLOOKUP(A537,INDIRECT($F$8),7+(O549-1)*3))</f>
        <v/>
      </c>
      <c r="U549" s="1" t="str">
        <f ca="1">IF(ISERROR(F537),"",VLOOKUP(A537,INDIRECT($F$8),8+(O549-1)*3))</f>
        <v/>
      </c>
      <c r="V549" s="1" t="str">
        <f ca="1">IF(ISERROR(F537),"",IF(N549=0,A549,""))</f>
        <v/>
      </c>
      <c r="W549" s="1" t="str">
        <f ca="1">IF(ISERROR(F537),"",IF(ISTEXT(VLOOKUP(B537,INDIRECT($F$8),6+(O549-1)*3)),11,IF(VLOOKUP(B537,INDIRECT($F$8),6+(O549-1)*3)&lt;S549*0.3,IF(VLOOKUP(B537,INDIRECT($F$8),8+(O549-1)*3)&lt;U549*0.4,IF(AND(0.4*U549-VLOOKUP(B537,INDIRECT($F$8),8+(O549-1)*3)&lt;=5,0.3*S549-VLOOKUP(B537,INDIRECT($F$8),6+(O549-1)*3)&lt;=5),MAX(0.4*U549-VLOOKUP(B537,INDIRECT($F$8),8+(O549-1)*3),0.3*S549-VLOOKUP(B537,INDIRECT($F$8),6+(O549-1)*3)),11),IF(0.3*S549-VLOOKUP(B537,INDIRECT($F$8),6+(O549-1)*3)&lt;=5,0.3*S549-VLOOKUP(B537,INDIRECT($F$8),6+(O549-1)*3),11)),IF(VLOOKUP(B537,INDIRECT($F$8),8+(O549-1)*3)&lt;U549*0.4,IF(U549*0.4-VLOOKUP(B537,INDIRECT($F$8),8+(O549-1)*3)&lt;=5,U549*0.4-VLOOKUP(B537,INDIRECT($F$8),8+(O549-1)*3),11),0))))</f>
        <v/>
      </c>
      <c r="X549" s="1" t="str">
        <f ca="1">IF(ISERROR(F537),"",IF(W549=0,"",_xlfn.TEXTJOIN("",FALSE," G+",W549," in ",A549)))</f>
        <v/>
      </c>
    </row>
    <row r="550" spans="1:24" ht="11.25" customHeight="1" x14ac:dyDescent="0.2">
      <c r="A550" s="7" t="str">
        <f ca="1">IF(ISERROR(F537),"",VLOOKUP(C537,INDIRECT($F$8),6+(O550-1)*3,0))</f>
        <v/>
      </c>
      <c r="B550" s="41" t="str">
        <f ca="1">IF(ISERROR(F537),"",VLOOKUP(D537,INDIRECT($F$8),6+(O550-1)*3-Z550,0))</f>
        <v/>
      </c>
      <c r="C550" s="41"/>
      <c r="D550" s="41"/>
      <c r="E550" s="41"/>
      <c r="F550" s="7" t="str">
        <f ca="1">IF(ISERROR(F537),"",VLOOKUP(E537,INDIRECT($F$8),6+(O550-1)*3,0))</f>
        <v/>
      </c>
      <c r="G550" s="42" t="str">
        <f ca="1">IF(ISERROR(F537),"",_xlfn.TEXTJOIN("/",FALSE,P550,S550))</f>
        <v/>
      </c>
      <c r="H550" s="42"/>
      <c r="I550" s="42" t="str">
        <f ca="1">IF(ISERROR(F537),"",_xlfn.TEXTJOIN("/",FALSE,Q550,T550))</f>
        <v/>
      </c>
      <c r="J550" s="42"/>
      <c r="K550" s="42" t="str">
        <f ca="1">IF(ISERROR(F537),"",_xlfn.TEXTJOIN("/",FALSE,R550,U550))</f>
        <v/>
      </c>
      <c r="L550" s="42"/>
      <c r="M550" s="7" t="str">
        <f ca="1">IF(ISERROR(F537),"",IF(ISTEXT(P550),IF(P550="A","Ab",IF(P550="D","Dt",IF(P550="UFM","UFM",IF(P550="NA","-")))),IF(AND(ISBLANK(P550),ISBLANK(R550)),"",IF(P550&lt;0.3*S550,"F",IF(ISBLANK(R550),"",IF(ISTEXT(R550),R550,IF(R550&gt;=0.95*U550,"O",IF(R550&gt;=0.9*U550,"A+",IF(R550&gt;=0.85*U550,"A",IF(R550&gt;=0.8*U550,"B+",IF(R550&gt;=0.75*U550,"B",IF(R550&gt;=0.7*U550,"C+",IF(R550&gt;=0.65*U550,"C",IF(R550&gt;=0.6*U550,"D+",IF(R550&gt;=0.55*U550,"D",IF(R550&gt;=0.5*U550,"E+",IF(R550&gt;=0.45*U550,"E",IF(R550&gt;=0.4*U550,"P",IF(R550&lt;0.4*U550,"F",R550)))))))))))))))))))</f>
        <v/>
      </c>
      <c r="N550" s="8" t="e">
        <f t="shared" ca="1" si="49"/>
        <v>#N/A</v>
      </c>
      <c r="O550">
        <f t="shared" si="50"/>
        <v>9</v>
      </c>
      <c r="P550" s="1" t="str">
        <f ca="1">IF(ISERROR(F537),"",IF(ISTEXT(VLOOKUP(B537,INDIRECT($F$8),6+(O550-1)*3)),(VLOOKUP(B537,INDIRECT($F$8),6+(O550-1)*3)),SUM(VLOOKUP(B537,INDIRECT($F$8),6+(O550-1)*3),IF(W556,W550,0))))</f>
        <v/>
      </c>
      <c r="Q550" s="1" t="str">
        <f ca="1">IF(ISERROR(F537),"",VLOOKUP(B537,INDIRECT($F$8),7+(O550-1)*3))</f>
        <v/>
      </c>
      <c r="R550" s="1" t="str">
        <f ca="1">IF(ISERROR(F537),"",SUM(P550:Q550))</f>
        <v/>
      </c>
      <c r="S550" s="1" t="str">
        <f ca="1">IF(ISERROR(F537),"",VLOOKUP(A537,INDIRECT($F$8),6+(O550-1)*3))</f>
        <v/>
      </c>
      <c r="T550" s="1" t="str">
        <f ca="1">IF(ISERROR(F537),"",VLOOKUP(A537,INDIRECT($F$8),7+(O550-1)*3))</f>
        <v/>
      </c>
      <c r="U550" s="1" t="str">
        <f ca="1">IF(ISERROR(F537),"",VLOOKUP(A537,INDIRECT($F$8),8+(O550-1)*3))</f>
        <v/>
      </c>
      <c r="V550" s="1" t="str">
        <f ca="1">IF(ISERROR(F537),"",IF(N550=0,A550,""))</f>
        <v/>
      </c>
      <c r="W550" s="1" t="str">
        <f ca="1">IF(ISERROR(F537),"",IF(ISTEXT(VLOOKUP(B537,INDIRECT($F$8),6+(O550-1)*3)),11,IF(VLOOKUP(B537,INDIRECT($F$8),6+(O550-1)*3)&lt;S550*0.3,IF(VLOOKUP(B537,INDIRECT($F$8),8+(O550-1)*3)&lt;U550*0.4,IF(AND(0.4*U550-VLOOKUP(B537,INDIRECT($F$8),8+(O550-1)*3)&lt;=5,0.3*S550-VLOOKUP(B537,INDIRECT($F$8),6+(O550-1)*3)&lt;=5),MAX(0.4*U550-VLOOKUP(B537,INDIRECT($F$8),8+(O550-1)*3),0.3*S550-VLOOKUP(B537,INDIRECT($F$8),6+(O550-1)*3)),11),IF(0.3*S550-VLOOKUP(B537,INDIRECT($F$8),6+(O550-1)*3)&lt;=5,0.3*S550-VLOOKUP(B537,INDIRECT($F$8),6+(O550-1)*3),11)),IF(VLOOKUP(B537,INDIRECT($F$8),8+(O550-1)*3)&lt;U550*0.4,IF(U550*0.4-VLOOKUP(B537,INDIRECT($F$8),8+(O550-1)*3)&lt;=5,U550*0.4-VLOOKUP(B537,INDIRECT($F$8),8+(O550-1)*3),11),0))))</f>
        <v/>
      </c>
      <c r="X550" s="1" t="str">
        <f ca="1">IF(ISERROR(F537),"",IF(W550=0,"",_xlfn.TEXTJOIN("",FALSE," G+",W550," in ",A550)))</f>
        <v/>
      </c>
    </row>
    <row r="551" spans="1:24" ht="11.25" customHeight="1" x14ac:dyDescent="0.2">
      <c r="A551" s="7" t="str">
        <f ca="1">IF(ISERROR(F537),"",VLOOKUP(C537,INDIRECT($F$8),6+(O551-1)*3,0))</f>
        <v/>
      </c>
      <c r="B551" s="41" t="str">
        <f ca="1">IF(ISERROR(F537),"",VLOOKUP(D537,INDIRECT($F$8),6+(O551-1)*3-Z551,0))</f>
        <v/>
      </c>
      <c r="C551" s="41"/>
      <c r="D551" s="41"/>
      <c r="E551" s="41"/>
      <c r="F551" s="7" t="str">
        <f ca="1">IF(ISERROR(F537),"",VLOOKUP(E537,INDIRECT($F$8),6+(O551-1)*3,0))</f>
        <v/>
      </c>
      <c r="G551" s="42" t="str">
        <f ca="1">IF(ISERROR(F537),"",_xlfn.TEXTJOIN("/",FALSE,P551,S551))</f>
        <v/>
      </c>
      <c r="H551" s="42"/>
      <c r="I551" s="42" t="str">
        <f ca="1">IF(ISERROR(F537),"",_xlfn.TEXTJOIN("/",FALSE,Q551,T551))</f>
        <v/>
      </c>
      <c r="J551" s="42"/>
      <c r="K551" s="42" t="str">
        <f ca="1">IF(ISERROR(F537),"",_xlfn.TEXTJOIN("/",FALSE,R551,U551))</f>
        <v/>
      </c>
      <c r="L551" s="42"/>
      <c r="M551" s="7" t="str">
        <f ca="1">IF(ISERROR(F537),"",IF(ISTEXT(P551),IF(P551="A","Ab",IF(P551="D","Dt",IF(P551="UFM","UFM",IF(P551="NA","-")))),IF(AND(ISBLANK(P551),ISBLANK(R551)),"",IF(P551&lt;0.3*S551,"F",IF(ISBLANK(R551),"",IF(ISTEXT(R551),R551,IF(R551&gt;=0.95*U551,"O",IF(R551&gt;=0.9*U551,"A+",IF(R551&gt;=0.85*U551,"A",IF(R551&gt;=0.8*U551,"B+",IF(R551&gt;=0.75*U551,"B",IF(R551&gt;=0.7*U551,"C+",IF(R551&gt;=0.65*U551,"C",IF(R551&gt;=0.6*U551,"D+",IF(R551&gt;=0.55*U551,"D",IF(R551&gt;=0.5*U551,"E+",IF(R551&gt;=0.45*U551,"E",IF(R551&gt;=0.4*U551,"P",IF(R551&lt;0.4*U551,"F",R551)))))))))))))))))))</f>
        <v/>
      </c>
      <c r="N551" s="8" t="e">
        <f t="shared" ca="1" si="49"/>
        <v>#N/A</v>
      </c>
      <c r="O551">
        <f t="shared" si="50"/>
        <v>10</v>
      </c>
      <c r="P551" s="1" t="str">
        <f ca="1">IF(ISERROR(F537),"",IF(ISTEXT(VLOOKUP(B537,INDIRECT($F$8),6+(O551-1)*3)),(VLOOKUP(B537,INDIRECT($F$8),6+(O551-1)*3)),SUM(VLOOKUP(B537,INDIRECT($F$8),6+(O551-1)*3),IF(W556,W551,0))))</f>
        <v/>
      </c>
      <c r="Q551" s="1" t="str">
        <f ca="1">IF(ISERROR(F537),"",VLOOKUP(B537,INDIRECT($F$8),7+(O551-1)*3))</f>
        <v/>
      </c>
      <c r="R551" s="1" t="str">
        <f ca="1">IF(ISERROR(F537),"",SUM(P551:Q551))</f>
        <v/>
      </c>
      <c r="S551" s="1" t="str">
        <f ca="1">IF(ISERROR(F537),"",VLOOKUP(A537,INDIRECT($F$8),6+(O551-1)*3))</f>
        <v/>
      </c>
      <c r="T551" s="1" t="str">
        <f ca="1">IF(ISERROR(F537),"",VLOOKUP(A537,INDIRECT($F$8),7+(O551-1)*3))</f>
        <v/>
      </c>
      <c r="U551" s="1" t="str">
        <f ca="1">IF(ISERROR(F537),"",VLOOKUP(A537,INDIRECT($F$8),8+(O551-1)*3))</f>
        <v/>
      </c>
      <c r="V551" s="1" t="str">
        <f ca="1">IF(ISERROR(F537),"",IF(N551=0,A551,""))</f>
        <v/>
      </c>
      <c r="W551" s="1" t="str">
        <f ca="1">IF(ISERROR(F537),"",IF(ISTEXT(VLOOKUP(B537,INDIRECT($F$8),6+(O551-1)*3)),11,IF(VLOOKUP(B537,INDIRECT($F$8),6+(O551-1)*3)&lt;S551*0.3,IF(VLOOKUP(B537,INDIRECT($F$8),8+(O551-1)*3)&lt;U551*0.4,IF(AND(0.4*U551-VLOOKUP(B537,INDIRECT($F$8),8+(O551-1)*3)&lt;=5,0.3*S551-VLOOKUP(B537,INDIRECT($F$8),6+(O551-1)*3)&lt;=5),MAX(0.4*U551-VLOOKUP(B537,INDIRECT($F$8),8+(O551-1)*3),0.3*S551-VLOOKUP(B537,INDIRECT($F$8),6+(O551-1)*3)),11),IF(0.3*S551-VLOOKUP(B537,INDIRECT($F$8),6+(O551-1)*3)&lt;=5,0.3*S551-VLOOKUP(B537,INDIRECT($F$8),6+(O551-1)*3),11)),IF(VLOOKUP(B537,INDIRECT($F$8),8+(O551-1)*3)&lt;U551*0.4,IF(U551*0.4-VLOOKUP(B537,INDIRECT($F$8),8+(O551-1)*3)&lt;=5,U551*0.4-VLOOKUP(B537,INDIRECT($F$8),8+(O551-1)*3),11),0))))</f>
        <v/>
      </c>
      <c r="X551" s="1" t="str">
        <f ca="1">IF(ISERROR(F537),"",IF(W551=0,"",_xlfn.TEXTJOIN("",FALSE," G+",W551," in ",A551)))</f>
        <v/>
      </c>
    </row>
    <row r="552" spans="1:24" ht="11.25" customHeight="1" x14ac:dyDescent="0.2">
      <c r="A552" s="7" t="str">
        <f ca="1">IF(ISERROR(F537),"",VLOOKUP(C537,INDIRECT($F$8),6+(O552-1)*3,0))</f>
        <v/>
      </c>
      <c r="B552" s="41" t="str">
        <f ca="1">IF(ISERROR(F537),"",VLOOKUP(D537,INDIRECT($F$8),6+(O552-1)*3,0))</f>
        <v/>
      </c>
      <c r="C552" s="41"/>
      <c r="D552" s="41"/>
      <c r="E552" s="41"/>
      <c r="F552" s="7" t="str">
        <f ca="1">IF(ISERROR(F537),"",VLOOKUP(E537,INDIRECT($F$8),6+(O552-1)*3,0))</f>
        <v/>
      </c>
      <c r="G552" s="42" t="str">
        <f ca="1">IF(ISERROR(F537),"",_xlfn.TEXTJOIN("/",FALSE,P552,S552))</f>
        <v/>
      </c>
      <c r="H552" s="42"/>
      <c r="I552" s="42" t="str">
        <f ca="1">IF(ISERROR(F537),"",_xlfn.TEXTJOIN("/",FALSE,Q552,T552))</f>
        <v/>
      </c>
      <c r="J552" s="42"/>
      <c r="K552" s="42" t="str">
        <f ca="1">IF(ISERROR(F537),"",_xlfn.TEXTJOIN("/",FALSE,R552,U552))</f>
        <v/>
      </c>
      <c r="L552" s="42"/>
      <c r="M552" s="7" t="str">
        <f ca="1">IF(ISERROR(F537),"",IF(ISTEXT(P552),IF(P552="A","Ab",IF(P552="D","Dt",IF(P552="UFM","UFM",IF(P552="NA","-")))),IF(AND(ISBLANK(P552),ISBLANK(R552)),"",IF(P552&lt;0.3*S552,"F",IF(ISBLANK(R552),"",IF(ISTEXT(R552),R552,IF(R552&gt;=0.95*U552,"O",IF(R552&gt;=0.9*U552,"A+",IF(R552&gt;=0.85*U552,"A",IF(R552&gt;=0.8*U552,"B+",IF(R552&gt;=0.75*U552,"B",IF(R552&gt;=0.7*U552,"C+",IF(R552&gt;=0.65*U552,"C",IF(R552&gt;=0.6*U552,"D+",IF(R552&gt;=0.55*U552,"D",IF(R552&gt;=0.5*U552,"E+",IF(R552&gt;=0.45*U552,"E",IF(R552&gt;=0.4*U552,"P",IF(R552&lt;0.4*U552,"F",R552)))))))))))))))))))</f>
        <v/>
      </c>
      <c r="N552" s="8" t="e">
        <f t="shared" ca="1" si="49"/>
        <v>#N/A</v>
      </c>
      <c r="O552">
        <f t="shared" si="50"/>
        <v>11</v>
      </c>
      <c r="P552" s="1" t="str">
        <f ca="1">IF(ISERROR(F537),"",IF(ISTEXT(VLOOKUP(B537,INDIRECT($F$8),6+(O552-1)*3)),(VLOOKUP(B537,INDIRECT($F$8),6+(O552-1)*3)),SUM(VLOOKUP(B537,INDIRECT($F$8),6+(O552-1)*3),IF(W556,W552,0))))</f>
        <v/>
      </c>
      <c r="Q552" s="1" t="str">
        <f ca="1">IF(ISERROR(F537),"",VLOOKUP(B537,INDIRECT($F$8),7+(O552-1)*3))</f>
        <v/>
      </c>
      <c r="R552" s="1" t="str">
        <f ca="1">IF(ISERROR(F537),"",SUM(P552:Q552))</f>
        <v/>
      </c>
      <c r="S552" s="1" t="str">
        <f ca="1">IF(ISERROR(F537),"",VLOOKUP(A537,INDIRECT($F$8),6+(O552-1)*3))</f>
        <v/>
      </c>
      <c r="T552" s="1" t="str">
        <f ca="1">IF(ISERROR(F537),"",VLOOKUP(A537,INDIRECT($F$8),7+(O552-1)*3))</f>
        <v/>
      </c>
      <c r="U552" s="1" t="str">
        <f ca="1">IF(ISERROR(F537),"",VLOOKUP(A537,INDIRECT($F$8),8+(O552-1)*3))</f>
        <v/>
      </c>
      <c r="V552" s="1" t="str">
        <f ca="1">IF(ISERROR(F537),"",IF(N552=0,A552,""))</f>
        <v/>
      </c>
      <c r="W552" s="1" t="str">
        <f ca="1">IF(ISERROR(F537),"",IF(ISTEXT(VLOOKUP(B537,INDIRECT($F$8),6+(O552-1)*3)),11,IF(VLOOKUP(B537,INDIRECT($F$8),6+(O552-1)*3)&lt;S552*0.3,IF(VLOOKUP(B537,INDIRECT($F$8),8+(O552-1)*3)&lt;U552*0.4,IF(AND(0.4*U552-VLOOKUP(B537,INDIRECT($F$8),8+(O552-1)*3)&lt;=5,0.3*S552-VLOOKUP(B537,INDIRECT($F$8),6+(O552-1)*3)&lt;=5),MAX(0.4*U552-VLOOKUP(B537,INDIRECT($F$8),8+(O552-1)*3),0.3*S552-VLOOKUP(B537,INDIRECT($F$8),6+(O552-1)*3)),11),IF(0.3*S552-VLOOKUP(B537,INDIRECT($F$8),6+(O552-1)*3)&lt;=5,0.3*S552-VLOOKUP(B537,INDIRECT($F$8),6+(O552-1)*3),11)),IF(VLOOKUP(B537,INDIRECT($F$8),8+(O552-1)*3)&lt;U552*0.4,IF(U552*0.4-VLOOKUP(B537,INDIRECT($F$8),8+(O552-1)*3)&lt;=5,U552*0.4-VLOOKUP(B537,INDIRECT($F$8),8+(O552-1)*3),11),0))))</f>
        <v/>
      </c>
      <c r="X552" s="1" t="str">
        <f ca="1">IF(ISERROR(F537),"",IF(W552=0,"",_xlfn.TEXTJOIN("",FALSE," G+",W552," in ",A552)))</f>
        <v/>
      </c>
    </row>
    <row r="553" spans="1:24" ht="11.25" customHeight="1" x14ac:dyDescent="0.2">
      <c r="A553" s="7" t="str">
        <f ca="1">IF(ISERROR(F537),"",VLOOKUP(C537,INDIRECT($F$8),6+(O553-1)*3,0))</f>
        <v/>
      </c>
      <c r="B553" s="41" t="str">
        <f ca="1">IF(ISERROR(F537),"",VLOOKUP(D537,INDIRECT($F$8),6+(O553-1)*3,0))</f>
        <v/>
      </c>
      <c r="C553" s="41"/>
      <c r="D553" s="41"/>
      <c r="E553" s="41"/>
      <c r="F553" s="7" t="str">
        <f ca="1">IF(ISERROR(F537),"",VLOOKUP(E537,INDIRECT($F$8),6+(O553-1)*3,0))</f>
        <v/>
      </c>
      <c r="G553" s="42" t="str">
        <f ca="1">IF(ISERROR(F537),"",_xlfn.TEXTJOIN("/",FALSE,P553,S553))</f>
        <v/>
      </c>
      <c r="H553" s="42"/>
      <c r="I553" s="42" t="str">
        <f ca="1">IF(ISERROR(F537),"",_xlfn.TEXTJOIN("/",FALSE,Q553,T553))</f>
        <v/>
      </c>
      <c r="J553" s="42"/>
      <c r="K553" s="42" t="str">
        <f ca="1">IF(ISERROR(F537),"",_xlfn.TEXTJOIN("/",FALSE,R553,U553))</f>
        <v/>
      </c>
      <c r="L553" s="42"/>
      <c r="M553" s="7" t="str">
        <f ca="1">IF(ISERROR(F537),"",IF(ISTEXT(P553),IF(P553="A","Ab",IF(P553="D","Dt",IF(P553="UFM","UFM",IF(P553="NA","-")))),IF(AND(ISBLANK(P553),ISBLANK(R553)),"",IF(P553&lt;0.3*S553,"F",IF(ISBLANK(R553),"",IF(ISTEXT(R553),R553,IF(R553&gt;=0.95*U553,"O",IF(R553&gt;=0.9*U553,"A+",IF(R553&gt;=0.85*U553,"A",IF(R553&gt;=0.8*U553,"B+",IF(R553&gt;=0.75*U553,"B",IF(R553&gt;=0.7*U553,"C+",IF(R553&gt;=0.65*U553,"C",IF(R553&gt;=0.6*U553,"D+",IF(R553&gt;=0.55*U553,"D",IF(R553&gt;=0.5*U553,"E+",IF(R553&gt;=0.45*U553,"E",IF(R553&gt;=0.4*U553,"P",IF(R553&lt;0.4*U553,"F",R553)))))))))))))))))))</f>
        <v/>
      </c>
      <c r="N553" s="8" t="e">
        <f t="shared" ca="1" si="49"/>
        <v>#N/A</v>
      </c>
      <c r="O553">
        <f t="shared" si="50"/>
        <v>12</v>
      </c>
      <c r="P553" s="1" t="str">
        <f ca="1">IF(ISERROR(F537),"",IF(ISTEXT(VLOOKUP(B537,INDIRECT($F$8),6+(O553-1)*3)),(VLOOKUP(B537,INDIRECT($F$8),6+(O553-1)*3)),SUM(VLOOKUP(B537,INDIRECT($F$8),6+(O553-1)*3),IF(W556,W553,0))))</f>
        <v/>
      </c>
      <c r="Q553" s="1" t="str">
        <f ca="1">IF(ISERROR(F537),"",VLOOKUP(B537,INDIRECT($F$8),7+(O553-1)*3))</f>
        <v/>
      </c>
      <c r="R553" s="1" t="str">
        <f ca="1">IF(ISERROR(F537),"",SUM(P553:Q553))</f>
        <v/>
      </c>
      <c r="S553" s="1" t="str">
        <f ca="1">IF(ISERROR(F537),"",VLOOKUP(A537,INDIRECT($F$8),6+(O553-1)*3))</f>
        <v/>
      </c>
      <c r="T553" s="1" t="str">
        <f ca="1">IF(ISERROR(F537),"",VLOOKUP(A537,INDIRECT($F$8),7+(O553-1)*3))</f>
        <v/>
      </c>
      <c r="U553" s="1" t="str">
        <f ca="1">IF(ISERROR(F537),"",VLOOKUP(A537,INDIRECT($F$8),8+(O553-1)*3))</f>
        <v/>
      </c>
      <c r="V553" s="1" t="str">
        <f ca="1">IF(ISERROR(F537),"",IF(N553=0,A553,""))</f>
        <v/>
      </c>
      <c r="W553" s="1" t="str">
        <f ca="1">IF(ISERROR(F537),"",IF(ISTEXT(VLOOKUP(B537,INDIRECT($F$8),6+(O553-1)*3)),11,IF(VLOOKUP(B537,INDIRECT($F$8),6+(O553-1)*3)&lt;S553*0.3,IF(VLOOKUP(B537,INDIRECT($F$8),8+(O553-1)*3)&lt;U553*0.4,IF(AND(0.4*U553-VLOOKUP(B537,INDIRECT($F$8),8+(O553-1)*3)&lt;=5,0.3*S553-VLOOKUP(B537,INDIRECT($F$8),6+(O553-1)*3)&lt;=5),MAX(0.4*U553-VLOOKUP(B537,INDIRECT($F$8),8+(O553-1)*3),0.3*S553-VLOOKUP(B537,INDIRECT($F$8),6+(O553-1)*3)),11),IF(0.3*S553-VLOOKUP(B537,INDIRECT($F$8),6+(O553-1)*3)&lt;=5,0.3*S553-VLOOKUP(B537,INDIRECT($F$8),6+(O553-1)*3),11)),IF(VLOOKUP(B537,INDIRECT($F$8),8+(O553-1)*3)&lt;U553*0.4,IF(U553*0.4-VLOOKUP(B537,INDIRECT($F$8),8+(O553-1)*3)&lt;=5,U553*0.4-VLOOKUP(B537,INDIRECT($F$8),8+(O553-1)*3),11),0))))</f>
        <v/>
      </c>
      <c r="X553" s="1" t="str">
        <f ca="1">IF(ISERROR(F537),"",IF(W553=0,"",_xlfn.TEXTJOIN("",FALSE," G+",W553," in ",A553)))</f>
        <v/>
      </c>
    </row>
    <row r="554" spans="1:24" ht="11.25" customHeight="1" x14ac:dyDescent="0.2">
      <c r="A554" s="7" t="str">
        <f ca="1">IF(ISERROR(F537),"",VLOOKUP(C537,INDIRECT($F$8),6+(O554-1)*3,0))</f>
        <v/>
      </c>
      <c r="B554" s="41" t="str">
        <f ca="1">IF(ISERROR(F537),"",VLOOKUP(D537,INDIRECT($F$8),6+(O554-1)*3,0))</f>
        <v/>
      </c>
      <c r="C554" s="41"/>
      <c r="D554" s="41"/>
      <c r="E554" s="41"/>
      <c r="F554" s="7" t="str">
        <f ca="1">IF(ISERROR(F537),"",VLOOKUP(E537,INDIRECT($F$8),6+(O554-1)*3,0))</f>
        <v/>
      </c>
      <c r="G554" s="42" t="str">
        <f ca="1">IF(ISERROR(F537),"",_xlfn.TEXTJOIN("/",FALSE,P554,S554))</f>
        <v/>
      </c>
      <c r="H554" s="42"/>
      <c r="I554" s="42" t="str">
        <f ca="1">IF(ISERROR(F537),"",_xlfn.TEXTJOIN("/",FALSE,Q554,T554))</f>
        <v/>
      </c>
      <c r="J554" s="42"/>
      <c r="K554" s="42" t="str">
        <f ca="1">IF(ISERROR(F537),"",_xlfn.TEXTJOIN("/",FALSE,R554,U554))</f>
        <v/>
      </c>
      <c r="L554" s="42"/>
      <c r="M554" s="7" t="str">
        <f ca="1">IF(ISERROR(F537),"",IF(ISTEXT(P554),IF(P554="A","Ab",IF(P554="D","Dt",IF(P554="UFM","UFM",IF(P554="NA","-")))),IF(AND(ISBLANK(P554),ISBLANK(R554)),"",IF(P554&lt;0.3*S554,"F",IF(ISBLANK(R554),"",IF(ISTEXT(R554),R554,IF(R554&gt;=0.95*U554,"O",IF(R554&gt;=0.9*U554,"A+",IF(R554&gt;=0.85*U554,"A",IF(R554&gt;=0.8*U554,"B+",IF(R554&gt;=0.75*U554,"B",IF(R554&gt;=0.7*U554,"C+",IF(R554&gt;=0.65*U554,"C",IF(R554&gt;=0.6*U554,"D+",IF(R554&gt;=0.55*U554,"D",IF(R554&gt;=0.5*U554,"E+",IF(R554&gt;=0.45*U554,"E",IF(R554&gt;=0.4*U554,"P",IF(R554&lt;0.4*U554,"F",R554)))))))))))))))))))</f>
        <v/>
      </c>
      <c r="N554" s="8" t="e">
        <f t="shared" ca="1" si="49"/>
        <v>#N/A</v>
      </c>
      <c r="O554">
        <f t="shared" si="50"/>
        <v>13</v>
      </c>
      <c r="P554" s="1" t="str">
        <f ca="1">IF(ISERROR(F537),"",IF(ISTEXT(VLOOKUP(B537,INDIRECT($F$8),6+(O554-1)*3)),(VLOOKUP(B537,INDIRECT($F$8),6+(O554-1)*3)),SUM(VLOOKUP(B537,INDIRECT($F$8),6+(O554-1)*3),IF(W556,W554,0))))</f>
        <v/>
      </c>
      <c r="Q554" s="1" t="str">
        <f ca="1">IF(ISERROR(F537),"",VLOOKUP(B537,INDIRECT($F$8),7+(O554-1)*3))</f>
        <v/>
      </c>
      <c r="R554" s="1" t="str">
        <f ca="1">IF(ISERROR(F537),"",SUM(P554:Q554))</f>
        <v/>
      </c>
      <c r="S554" s="1" t="str">
        <f ca="1">IF(ISERROR(F537),"",VLOOKUP(A537,INDIRECT($F$8),6+(O554-1)*3))</f>
        <v/>
      </c>
      <c r="T554" s="1" t="str">
        <f ca="1">IF(ISERROR(F537),"",VLOOKUP(A537,INDIRECT($F$8),7+(O554-1)*3))</f>
        <v/>
      </c>
      <c r="U554" s="1" t="str">
        <f ca="1">IF(ISERROR(F537),"",VLOOKUP(A537,INDIRECT($F$8),8+(O554-1)*3))</f>
        <v/>
      </c>
      <c r="V554" s="1"/>
      <c r="W554" s="1" t="str">
        <f ca="1">IF(ISERROR(F537),"",IF(ISTEXT(VLOOKUP(B537,INDIRECT($F$8),6+(O554-1)*3)),11,IF(VLOOKUP(B537,INDIRECT($F$8),6+(O554-1)*3)&lt;S554*0.3,IF(VLOOKUP(B537,INDIRECT($F$8),8+(O554-1)*3)&lt;U554*0.4,IF(AND(0.4*U554-VLOOKUP(B537,INDIRECT($F$8),8+(O554-1)*3)&lt;=5,0.3*S554-VLOOKUP(B537,INDIRECT($F$8),6+(O554-1)*3)&lt;=5),MAX(0.4*U554-VLOOKUP(B537,INDIRECT($F$8),8+(O554-1)*3),0.3*S554-VLOOKUP(B537,INDIRECT($F$8),6+(O554-1)*3)),11),IF(0.3*S554-VLOOKUP(B537,INDIRECT($F$8),6+(O554-1)*3)&lt;=5,0.3*S554-VLOOKUP(B537,INDIRECT($F$8),6+(O554-1)*3),11)),IF(VLOOKUP(B537,INDIRECT($F$8),8+(O554-1)*3)&lt;U554*0.4,IF(U554*0.4-VLOOKUP(B537,INDIRECT($F$8),8+(O554-1)*3)&lt;=5,U554*0.4-VLOOKUP(B537,INDIRECT($F$8),8+(O554-1)*3),11),0))))</f>
        <v/>
      </c>
      <c r="X554" s="1" t="str">
        <f ca="1">IF(ISERROR(F537),"",IF(W554=0,"",_xlfn.TEXTJOIN("",FALSE," G+",W554," in ",A554)))</f>
        <v/>
      </c>
    </row>
    <row r="555" spans="1:24" s="32" customFormat="1" ht="11.25" customHeight="1" x14ac:dyDescent="0.2">
      <c r="A555" s="31" t="str">
        <f ca="1">IF(ISERROR(F537),"",VLOOKUP(C537,INDIRECT($F$8),6+(O555-1)*3-Y555,0))</f>
        <v/>
      </c>
      <c r="B555" s="49" t="str">
        <f ca="1">IF(ISERROR(F537),"",VLOOKUP(D537,INDIRECT($F$8),6+(O555-1)*3-Z555,0))</f>
        <v/>
      </c>
      <c r="C555" s="49"/>
      <c r="D555" s="49"/>
      <c r="E555" s="49"/>
      <c r="F555" s="31" t="str">
        <f ca="1">IF(ISERROR(F537),"",VLOOKUP(E537,INDIRECT($F$8),6+(O555-1)*3-AA555,0))</f>
        <v/>
      </c>
      <c r="G555" s="50" t="str">
        <f ca="1">IF(ISERROR(F537),"","-")</f>
        <v/>
      </c>
      <c r="H555" s="50"/>
      <c r="I555" s="50" t="str">
        <f ca="1">IF(ISERROR(F537),"",_xlfn.TEXTJOIN("/",FALSE,Q555,T555))</f>
        <v/>
      </c>
      <c r="J555" s="50"/>
      <c r="K555" s="50" t="str">
        <f ca="1">IF(ISERROR(F537),"",_xlfn.TEXTJOIN("/",FALSE,R555,U555))</f>
        <v/>
      </c>
      <c r="L555" s="50"/>
      <c r="M555" s="7" t="b">
        <f ca="1">IF(ISERROR(F538),"",IF(ISTEXT(P555),IF(P555="A","Ab",IF(P555="D","Dt",IF(P555="UFM","UFM",IF(P555="NA","")))),IF(AND(ISBLANK(P555),ISBLANK(R555)),"",IF(P555&lt;0.3*S555,"F",IF(ISBLANK(R555),"",IF(ISTEXT(R555),R555,IF(R555&gt;=0.95*U555,"O",IF(R555&gt;=0.9*U555,"A+",IF(R555&gt;=0.85*U555,"A",IF(R555&gt;=0.8*U555,"B+",IF(R555&gt;=0.75*U555,"B",IF(R555&gt;=0.7*U555,"C+",IF(R555&gt;=0.65*U555,"C",IF(R555&gt;=0.6*U555,"D+",IF(R555&gt;=0.55*U555,"D",IF(R555&gt;=0.5*U555,"E+",IF(R555&gt;=0.45*U555,"E",IF(R555&gt;=0.4*U555,"P",IF(R555&lt;0.4*U555,"F",R555)))))))))))))))))))</f>
        <v>0</v>
      </c>
      <c r="N555" s="8" t="e">
        <f t="shared" ref="N544:N555" ca="1" si="51">INDEX($Z$2:$Z$18,MATCH(M555,$Y$2:$Y$18,0))</f>
        <v>#N/A</v>
      </c>
      <c r="O555" s="32">
        <f t="shared" si="50"/>
        <v>14</v>
      </c>
      <c r="P555" s="33" t="str">
        <f ca="1">IF(ISERROR(F537),"",IF(ISTEXT(VLOOKUP(B\28,INDIRECT($F$8),6+(O555-1)*3)),(VLOOKUP(B537,INDIRECT($F$8),6+(O555-1)*3)),SUM(VLOOKUP(B537,INDIRECT($F$8),6+(O555-1)*3),IF(W556,W555,0))))</f>
        <v/>
      </c>
      <c r="Q555" s="33" t="str">
        <f ca="1">IF(ISERROR(F537),"",VLOOKUP(B537,INDIRECT($F$8),7+(O555-1)*3))</f>
        <v/>
      </c>
      <c r="R555" s="33" t="str">
        <f ca="1">IF(ISERROR(F537),"",SUM(P555:Q555))</f>
        <v/>
      </c>
      <c r="S555" s="33" t="str">
        <f ca="1">IF(ISERROR(F537),"",VLOOKUP(A537,INDIRECT($F$8),6+(O555-1)*3))</f>
        <v/>
      </c>
      <c r="T555" s="33" t="str">
        <f ca="1">IF(ISERROR(F537),"",VLOOKUP(A537,INDIRECT($F$8),7+(O555-1)*3))</f>
        <v/>
      </c>
      <c r="U555" s="33" t="str">
        <f ca="1">IF(ISERROR(F537),"",VLOOKUP(A537,INDIRECT($F$8),8+(O555-1)*3))</f>
        <v/>
      </c>
      <c r="V555" s="33"/>
      <c r="W555" s="33"/>
      <c r="X555" s="33" t="str">
        <f ca="1">IF(ISERROR(F537),"",IF(W555=0,"",_xlfn.TEXTJOIN("",FALSE," G+",W555," in ",A555)))</f>
        <v/>
      </c>
    </row>
    <row r="556" spans="1:24" ht="11.25" customHeight="1" x14ac:dyDescent="0.2">
      <c r="A556" s="43" t="str">
        <f ca="1">IF(ISERROR(F537),"",A533)</f>
        <v/>
      </c>
      <c r="B556" s="43"/>
      <c r="C556" s="43"/>
      <c r="D556" s="43"/>
      <c r="E556" s="43"/>
      <c r="F556" s="10" t="str">
        <f ca="1">IF(ISERROR(F537),"",SUM(F542:F555))</f>
        <v/>
      </c>
      <c r="G556" s="44" t="str">
        <f ca="1">IF(ISERROR(F537),"",_xlfn.TEXTJOIN("/",TRUE,SUMIF(F542:F555,"&gt;0",P542:P555),SUMIF(F542:F555,"&gt;0",S542:S555)))</f>
        <v/>
      </c>
      <c r="H556" s="44"/>
      <c r="I556" s="44" t="str">
        <f ca="1">IF(ISERROR(F537),"",_xlfn.TEXTJOIN("/",TRUE,SUMIF(F542:F555,"&gt;0",Q542:Q555),SUMIF(F542:F555,"&gt;0",T542:T555)))</f>
        <v/>
      </c>
      <c r="J556" s="44"/>
      <c r="K556" s="44" t="str">
        <f ca="1">IF(ISERROR(F537),"",_xlfn.TEXTJOIN("/",TRUE,SUMIF(F542:F555,"&gt;0",R542:R555),SUMIF(F542:F555,"&gt;0",U542:U555)))</f>
        <v/>
      </c>
      <c r="L556" s="44"/>
      <c r="M556" s="43" t="str">
        <f ca="1">IF(ISERROR(F537),"",SUMPRODUCT(N542:N554,F542:F554))</f>
        <v/>
      </c>
      <c r="N556" s="43"/>
      <c r="V556" s="1" t="str">
        <f ca="1">IF(ISERROR(F537),"",_xlfn.TEXTJOIN(", ",TRUE,V542:V555))</f>
        <v/>
      </c>
      <c r="W556" t="str">
        <f ca="1">IF(ISERROR(F537),"",IF(SUM(W542:W555)&lt;=W541,TRUE,FALSE))</f>
        <v/>
      </c>
      <c r="X556" s="1" t="str">
        <f ca="1">_xlfn.TEXTJOIN(",",TRUE,X542:X555)</f>
        <v/>
      </c>
    </row>
    <row r="557" spans="1:24" ht="11.25" customHeight="1" x14ac:dyDescent="0.2">
      <c r="A557" s="43" t="str">
        <f ca="1">IF(ISERROR(F537),"",A534)</f>
        <v/>
      </c>
      <c r="B557" s="45" t="str">
        <f ca="1">IF(ISERROR(F537),"",IF(V556="","PASS","CARRY OVER"))</f>
        <v/>
      </c>
      <c r="C557" s="45"/>
      <c r="D557" s="43" t="str">
        <f ca="1">IF(ISERROR(F537),"",D534)</f>
        <v/>
      </c>
      <c r="E557" s="45" t="str">
        <f ca="1">IF(ISERROR(F537),"",IF(W556,X556,IF(V556="","",_xlfn.TEXTJOIN("",TRUE,"BACK IN ",V556))))</f>
        <v/>
      </c>
      <c r="F557" s="45"/>
      <c r="G557" s="43" t="str">
        <f ca="1">IF(ISERROR(F537),"",G534)</f>
        <v/>
      </c>
      <c r="H557" s="46" t="str">
        <f ca="1">IF(ISERROR(F537),"",M556/F556)</f>
        <v/>
      </c>
      <c r="I557" s="43" t="str">
        <f ca="1">IF(ISERROR(F537),"",I534)</f>
        <v/>
      </c>
      <c r="J557" s="46" t="str">
        <f ca="1">IF(ISERROR(F537),"",VLOOKUP(B537,INDIRECT($F$8),12+(O555-1)*3,0))</f>
        <v/>
      </c>
      <c r="K557" s="45" t="str">
        <f ca="1">IF(ISERROR(F537),"",K534)</f>
        <v/>
      </c>
      <c r="L557" s="43" t="str">
        <f ca="1">IF(ISERROR(F537),"",SUMIF(N542:N554,"&gt;0",F542:F554))</f>
        <v/>
      </c>
      <c r="M557" s="45" t="str">
        <f ca="1">IF(ISERROR(F537),"",M534)</f>
        <v/>
      </c>
      <c r="N557" s="43" t="str">
        <f ca="1">IF(ISERROR(F537),"",VLOOKUP(B537,INDIRECT($F$8),10+(O555-1)*3,0))</f>
        <v/>
      </c>
    </row>
    <row r="558" spans="1:24" ht="11.25" customHeight="1" x14ac:dyDescent="0.2">
      <c r="A558" s="43"/>
      <c r="B558" s="45"/>
      <c r="C558" s="45"/>
      <c r="D558" s="43"/>
      <c r="E558" s="45"/>
      <c r="F558" s="45"/>
      <c r="G558" s="43"/>
      <c r="H558" s="46"/>
      <c r="I558" s="43"/>
      <c r="J558" s="46"/>
      <c r="K558" s="45"/>
      <c r="L558" s="43"/>
      <c r="M558" s="45"/>
      <c r="N558" s="43"/>
    </row>
    <row r="559" spans="1:24" ht="15" x14ac:dyDescent="0.2">
      <c r="A559" s="43"/>
      <c r="B559" s="45"/>
      <c r="C559" s="45"/>
      <c r="D559" s="43"/>
      <c r="E559" s="45"/>
      <c r="F559" s="45"/>
      <c r="G559" s="43"/>
      <c r="H559" s="46"/>
      <c r="I559" s="43"/>
      <c r="J559" s="46"/>
      <c r="K559" s="45"/>
      <c r="L559" s="43"/>
      <c r="M559" s="45"/>
      <c r="N559" s="43"/>
    </row>
    <row r="560" spans="1:24" ht="11.25" customHeight="1" x14ac:dyDescent="0.2">
      <c r="A560" s="11" t="str">
        <f>A537</f>
        <v>MM</v>
      </c>
      <c r="B560" s="11">
        <f>B537+1</f>
        <v>25</v>
      </c>
      <c r="C560" s="11" t="str">
        <f>C537</f>
        <v>SC</v>
      </c>
      <c r="D560" s="11" t="str">
        <f>D537</f>
        <v>SN</v>
      </c>
      <c r="E560" s="11" t="str">
        <f>E537</f>
        <v>C</v>
      </c>
      <c r="F560" s="11" t="e">
        <f ca="1">VLOOKUP(B560,INDIRECT($F$8),4,0)</f>
        <v>#N/A</v>
      </c>
    </row>
    <row r="561" spans="1:24" ht="11.25" customHeight="1" x14ac:dyDescent="0.2">
      <c r="A561" s="47" t="str">
        <f ca="1">IF(ISERROR(F560),"",A538)</f>
        <v/>
      </c>
      <c r="B561" s="47" t="str">
        <f ca="1">IFERROR(VLOOKUP(B560,INDIRECT($F$8),4,0),"")</f>
        <v/>
      </c>
      <c r="C561" s="47"/>
      <c r="D561" s="47" t="str">
        <f ca="1">IF(ISERROR(F560),"",D538)</f>
        <v/>
      </c>
      <c r="E561" s="47" t="str">
        <f ca="1">IFERROR(VLOOKUP(B560,INDIRECT($F$8),5,0),"")</f>
        <v/>
      </c>
      <c r="F561" s="47"/>
      <c r="G561" s="47" t="str">
        <f ca="1">IF(ISERROR(F560),"",G538)</f>
        <v/>
      </c>
      <c r="H561" s="47"/>
      <c r="I561" s="48" t="str">
        <f ca="1">IFERROR(VLOOKUP(B560,INDIRECT($F$8),2,0),"")</f>
        <v/>
      </c>
      <c r="J561" s="48"/>
      <c r="K561" s="47" t="str">
        <f ca="1">IF(ISERROR(F560),"",K538)</f>
        <v/>
      </c>
      <c r="L561" s="47"/>
      <c r="M561" s="48" t="str">
        <f ca="1">IFERROR(VLOOKUP(B560,INDIRECT($F$8),3,0),"")</f>
        <v/>
      </c>
      <c r="N561" s="48"/>
    </row>
    <row r="562" spans="1:24" ht="15" x14ac:dyDescent="0.2">
      <c r="A562" s="47"/>
      <c r="B562" s="47"/>
      <c r="C562" s="47"/>
      <c r="D562" s="47"/>
      <c r="E562" s="47"/>
      <c r="F562" s="47"/>
      <c r="G562" s="47"/>
      <c r="H562" s="47"/>
      <c r="I562" s="48"/>
      <c r="J562" s="48"/>
      <c r="K562" s="47"/>
      <c r="L562" s="47"/>
      <c r="M562" s="48"/>
      <c r="N562" s="48"/>
    </row>
    <row r="563" spans="1:24" ht="11.25" customHeight="1" x14ac:dyDescent="0.2">
      <c r="A563" s="45" t="str">
        <f ca="1">IF(ISERROR(F560),"",A540)</f>
        <v/>
      </c>
      <c r="B563" s="45" t="str">
        <f ca="1">IF(ISERROR(F560),"",B540)</f>
        <v/>
      </c>
      <c r="C563" s="45"/>
      <c r="D563" s="45"/>
      <c r="E563" s="45"/>
      <c r="F563" s="45" t="str">
        <f ca="1">IF(ISERROR(F560),"",F540)</f>
        <v/>
      </c>
      <c r="G563" s="45" t="str">
        <f ca="1">IF(ISERROR(F560),"",G540)</f>
        <v/>
      </c>
      <c r="H563" s="45"/>
      <c r="I563" s="45" t="str">
        <f ca="1">IF(ISERROR(F560),"",I540)</f>
        <v/>
      </c>
      <c r="J563" s="45"/>
      <c r="K563" s="45" t="str">
        <f ca="1">IF(ISERROR(F560),"",K540)</f>
        <v/>
      </c>
      <c r="L563" s="45"/>
      <c r="M563" s="45" t="str">
        <f ca="1">IF(ISERROR(F560),"",M540)</f>
        <v/>
      </c>
      <c r="N563" s="45" t="str">
        <f ca="1">IF(ISERROR(F560),"",N540)</f>
        <v/>
      </c>
    </row>
    <row r="564" spans="1:24" ht="15" x14ac:dyDescent="0.2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W564">
        <f ca="1">IF(ISNUMBER(MATCH($F$8,{"I","III","V","VII"},0)),10,10-INDEX(INDIRECT(_xlfn.TEXTJOIN("",TRUE,"SEM_",$G$8,"!",ADDRESS(6,4+$I$8*3+4),":",ADDRESS(5+$H$8,4+$I$8*3+4))),MATCH(INDIRECT(_xlfn.TEXTJOIN("",TRUE,"TC_",$F$8,"!",ADDRESS(ROW(I561),COLUMN(I561)))),INDIRECT(_xlfn.TEXTJOIN("",TRUE,"SEM_",$G$8,"!",ADDRESS(6,2),":",ADDRESS(5+$H$8,2))))))</f>
        <v>10</v>
      </c>
    </row>
    <row r="565" spans="1:24" ht="11.25" customHeight="1" x14ac:dyDescent="0.2">
      <c r="A565" s="7" t="str">
        <f ca="1">IF(ISERROR(F560),"",VLOOKUP(C560,INDIRECT($F$8),6+(O565-1)*3,0))</f>
        <v/>
      </c>
      <c r="B565" s="41" t="str">
        <f ca="1">IF(ISERROR(F560),"",VLOOKUP(D560,INDIRECT($F$8),6+(O565-1)*3,0))</f>
        <v/>
      </c>
      <c r="C565" s="41"/>
      <c r="D565" s="41"/>
      <c r="E565" s="41"/>
      <c r="F565" s="7" t="str">
        <f ca="1">IF(ISERROR(F560),"",VLOOKUP(E560,INDIRECT($F$8),6+(O565-1)*3,0))</f>
        <v/>
      </c>
      <c r="G565" s="42" t="str">
        <f ca="1">IF(ISERROR(F560),"",_xlfn.TEXTJOIN("/",FALSE,P565,S565))</f>
        <v/>
      </c>
      <c r="H565" s="42"/>
      <c r="I565" s="42" t="str">
        <f ca="1">IF(ISERROR(F560),"",_xlfn.TEXTJOIN("/",FALSE,Q565,T565))</f>
        <v/>
      </c>
      <c r="J565" s="42"/>
      <c r="K565" s="42" t="str">
        <f ca="1">IF(ISERROR(F560),"",_xlfn.TEXTJOIN("/",FALSE,R565,U565))</f>
        <v/>
      </c>
      <c r="L565" s="42"/>
      <c r="M565" s="7" t="str">
        <f ca="1">IF(ISERROR(F560),"",IF(ISTEXT(P565),IF(P565="A","Ab",IF(P565="D","Dt",IF(P565="UFM","UFM",IF(P565="NA","-")))),IF(AND(ISBLANK(P565),ISBLANK(R565)),"",IF(P565&lt;0.3*S565,"F",IF(ISBLANK(R565),"",IF(ISTEXT(R565),R565,IF(R565&gt;=0.95*U565,"O",IF(R565&gt;=0.9*U565,"A+",IF(R565&gt;=0.85*U565,"A",IF(R565&gt;=0.8*U565,"B+",IF(R565&gt;=0.75*U565,"B",IF(R565&gt;=0.7*U565,"C+",IF(R565&gt;=0.65*U565,"C",IF(R565&gt;=0.6*U565,"D+",IF(R565&gt;=0.55*U565,"D",IF(R565&gt;=0.5*U565,"E+",IF(R565&gt;=0.45*U565,"E",IF(R565&gt;=0.4*U565,"P",IF(R565&lt;0.4*U565,"F",R565)))))))))))))))))))</f>
        <v/>
      </c>
      <c r="N565" s="8" t="e">
        <f ca="1">INDEX($Z$2:$Z$18,MATCH(M565,$Y$2:$Y$18,0))</f>
        <v>#N/A</v>
      </c>
      <c r="O565">
        <v>1</v>
      </c>
      <c r="P565" s="1" t="str">
        <f ca="1">IF(ISERROR(F560),"",IF(ISTEXT(VLOOKUP(B560,INDIRECT($F$8),6+(O565-1)*3)),(VLOOKUP(B560,INDIRECT($F$8),6+(O565-1)*3)),SUM(VLOOKUP(B560,INDIRECT($F$8),6+(O565-1)*3),IF(W579,W565,0))))</f>
        <v/>
      </c>
      <c r="Q565" s="1" t="str">
        <f ca="1">IF(ISERROR(F560),"",VLOOKUP(B560,INDIRECT($F$8),7+(O565-1)*3))</f>
        <v/>
      </c>
      <c r="R565" s="1" t="str">
        <f ca="1">IF(ISERROR(F560),"",SUM(P565:Q565))</f>
        <v/>
      </c>
      <c r="S565" s="1" t="str">
        <f ca="1">IF(ISERROR(F560),"",VLOOKUP(A560,INDIRECT($F$8),6+(O565-1)*3))</f>
        <v/>
      </c>
      <c r="T565" s="1" t="str">
        <f ca="1">IF(ISERROR(F560),"",VLOOKUP(A560,INDIRECT($F$8),7+(O565-1)*3))</f>
        <v/>
      </c>
      <c r="U565" s="1" t="str">
        <f ca="1">IF(ISERROR(F560),"",VLOOKUP(A560,INDIRECT($F$8),8+(O565-1)*3))</f>
        <v/>
      </c>
      <c r="V565" s="1" t="str">
        <f ca="1">IF(ISERROR(F560),"",IF(N565=0,A565,""))</f>
        <v/>
      </c>
      <c r="W565" s="1" t="str">
        <f ca="1">IF(ISERROR(F560),"",IF(ISTEXT(VLOOKUP(B560,INDIRECT($F$8),6+(O565-1)*3)),11,IF(VLOOKUP(B560,INDIRECT($F$8),6+(O565-1)*3)&lt;S565*0.3,IF(VLOOKUP(B560,INDIRECT($F$8),8+(O565-1)*3)&lt;U565*0.4,IF(AND(0.4*U565-VLOOKUP(B560,INDIRECT($F$8),8+(O565-1)*3)&lt;=5,0.3*S565-VLOOKUP(B560,INDIRECT($F$8),6+(O565-1)*3)&lt;=5),MAX(0.4*U565-VLOOKUP(B560,INDIRECT($F$8),8+(O565-1)*3),0.3*S565-VLOOKUP(B560,INDIRECT($F$8),6+(O565-1)*3)),11),IF(0.3*S565-VLOOKUP(B560,INDIRECT($F$8),6+(O565-1)*3)&lt;=5,0.3*S565-VLOOKUP(B560,INDIRECT($F$8),6+(O565-1)*3),11)),IF(VLOOKUP(B560,INDIRECT($F$8),8+(O565-1)*3)&lt;U565*0.4,IF(U565*0.4-VLOOKUP(B560,INDIRECT($F$8),8+(O565-1)*3)&lt;=5,U565*0.4-VLOOKUP(B560,INDIRECT($F$8),8+(O565-1)*3),11),0))))</f>
        <v/>
      </c>
      <c r="X565" s="1" t="str">
        <f ca="1">IF(ISERROR(F560),"",IF(W565=0,"",_xlfn.TEXTJOIN("",FALSE," G+",W565," in ",A565)))</f>
        <v/>
      </c>
    </row>
    <row r="566" spans="1:24" ht="11.25" customHeight="1" x14ac:dyDescent="0.2">
      <c r="A566" s="7" t="str">
        <f ca="1">IF(ISERROR(F560),"",VLOOKUP(C560,INDIRECT($F$8),6+(O566-1)*3,0))</f>
        <v/>
      </c>
      <c r="B566" s="41" t="str">
        <f ca="1">IF(ISERROR(F560),"",VLOOKUP(D560,INDIRECT($F$8),6+(O566-1)*3,0))</f>
        <v/>
      </c>
      <c r="C566" s="41"/>
      <c r="D566" s="41"/>
      <c r="E566" s="41"/>
      <c r="F566" s="7" t="str">
        <f ca="1">IF(ISERROR(F560),"",VLOOKUP(E560,INDIRECT($F$8),6+(O566-1)*3,0))</f>
        <v/>
      </c>
      <c r="G566" s="42" t="str">
        <f ca="1">IF(ISERROR(F560),"",_xlfn.TEXTJOIN("/",FALSE,P566,S566))</f>
        <v/>
      </c>
      <c r="H566" s="42"/>
      <c r="I566" s="42" t="str">
        <f ca="1">IF(ISERROR(F560),"",_xlfn.TEXTJOIN("/",FALSE,Q566,T566))</f>
        <v/>
      </c>
      <c r="J566" s="42"/>
      <c r="K566" s="42" t="str">
        <f ca="1">IF(ISERROR(F560),"",_xlfn.TEXTJOIN("/",FALSE,R566,U566))</f>
        <v/>
      </c>
      <c r="L566" s="42"/>
      <c r="M566" s="7" t="str">
        <f ca="1">IF(ISERROR(F560),"",IF(ISTEXT(P566),IF(P566="A","Ab",IF(P566="D","Dt",IF(P566="UFM","UFM",IF(P566="NA","-")))),IF(AND(ISBLANK(P566),ISBLANK(R566)),"",IF(P566&lt;0.3*S566,"F",IF(ISBLANK(R566),"",IF(ISTEXT(R566),R566,IF(R566&gt;=0.95*U566,"O",IF(R566&gt;=0.9*U566,"A+",IF(R566&gt;=0.85*U566,"A",IF(R566&gt;=0.8*U566,"B+",IF(R566&gt;=0.75*U566,"B",IF(R566&gt;=0.7*U566,"C+",IF(R566&gt;=0.65*U566,"C",IF(R566&gt;=0.6*U566,"D+",IF(R566&gt;=0.55*U566,"D",IF(R566&gt;=0.5*U566,"E+",IF(R566&gt;=0.45*U566,"E",IF(R566&gt;=0.4*U566,"P",IF(R566&lt;0.4*U566,"F",R566)))))))))))))))))))</f>
        <v/>
      </c>
      <c r="N566" s="8" t="e">
        <f t="shared" ref="N566:N577" ca="1" si="52">INDEX($Z$2:$Z$18,MATCH(M566,$Y$2:$Y$18,0))</f>
        <v>#N/A</v>
      </c>
      <c r="O566">
        <f>O565+1</f>
        <v>2</v>
      </c>
      <c r="P566" s="1" t="str">
        <f ca="1">IF(ISERROR(F560),"",IF(ISTEXT(VLOOKUP(B560,INDIRECT($F$8),6+(O566-1)*3)),(VLOOKUP(B560,INDIRECT($F$8),6+(O566-1)*3)),SUM(VLOOKUP(B560,INDIRECT($F$8),6+(O566-1)*3),IF(W579,W566,0))))</f>
        <v/>
      </c>
      <c r="Q566" s="1" t="str">
        <f ca="1">IF(ISERROR(F560),"",VLOOKUP(B560,INDIRECT($F$8),7+(O566-1)*3))</f>
        <v/>
      </c>
      <c r="R566" s="1" t="str">
        <f ca="1">IF(ISERROR(F560),"",SUM(P566:Q566))</f>
        <v/>
      </c>
      <c r="S566" s="1" t="str">
        <f ca="1">IF(ISERROR(F560),"",VLOOKUP(A560,INDIRECT($F$8),6+(O566-1)*3))</f>
        <v/>
      </c>
      <c r="T566" s="1" t="str">
        <f ca="1">IF(ISERROR(F560),"",VLOOKUP(A560,INDIRECT($F$8),7+(O566-1)*3))</f>
        <v/>
      </c>
      <c r="U566" s="1" t="str">
        <f ca="1">IF(ISERROR(F560),"",VLOOKUP(A560,INDIRECT($F$8),8+(O566-1)*3))</f>
        <v/>
      </c>
      <c r="V566" s="1" t="str">
        <f ca="1">IF(ISERROR(F560),"",IF(N566=0,A566,""))</f>
        <v/>
      </c>
      <c r="W566" s="1" t="str">
        <f ca="1">IF(ISERROR(F560),"",IF(ISTEXT(VLOOKUP(B560,INDIRECT($F$8),6+(O566-1)*3)),11,IF(VLOOKUP(B560,INDIRECT($F$8),6+(O566-1)*3)&lt;S566*0.3,IF(VLOOKUP(B560,INDIRECT($F$8),8+(O566-1)*3)&lt;U566*0.4,IF(AND(0.4*U566-VLOOKUP(B560,INDIRECT($F$8),8+(O566-1)*3)&lt;=5,0.3*S566-VLOOKUP(B560,INDIRECT($F$8),6+(O566-1)*3)&lt;=5),MAX(0.4*U566-VLOOKUP(B560,INDIRECT($F$8),8+(O566-1)*3),0.3*S566-VLOOKUP(B560,INDIRECT($F$8),6+(O566-1)*3)),11),IF(0.3*S566-VLOOKUP(B560,INDIRECT($F$8),6+(O566-1)*3)&lt;=5,0.3*S566-VLOOKUP(B560,INDIRECT($F$8),6+(O566-1)*3),11)),IF(VLOOKUP(B560,INDIRECT($F$8),8+(O566-1)*3)&lt;U566*0.4,IF(U566*0.4-VLOOKUP(B560,INDIRECT($F$8),8+(O566-1)*3)&lt;=5,U566*0.4-VLOOKUP(B560,INDIRECT($F$8),8+(O566-1)*3),11),0))))</f>
        <v/>
      </c>
      <c r="X566" s="1" t="str">
        <f ca="1">IF(ISERROR(F560),"",IF(W566=0,"",_xlfn.TEXTJOIN("",FALSE," G+",W566," in ",A566)))</f>
        <v/>
      </c>
    </row>
    <row r="567" spans="1:24" ht="11.25" customHeight="1" x14ac:dyDescent="0.2">
      <c r="A567" s="7" t="str">
        <f ca="1">IF(ISERROR(F560),"",VLOOKUP(C560,INDIRECT($F$8),6+(O567-1)*3,0))</f>
        <v/>
      </c>
      <c r="B567" s="41" t="str">
        <f ca="1">IF(ISERROR(F560),"",VLOOKUP(D560,INDIRECT($F$8),6+(O567-1)*3,0))</f>
        <v/>
      </c>
      <c r="C567" s="41"/>
      <c r="D567" s="41"/>
      <c r="E567" s="41"/>
      <c r="F567" s="7" t="str">
        <f ca="1">IF(ISERROR(F560),"",VLOOKUP(E560,INDIRECT($F$8),6+(O567-1)*3,0))</f>
        <v/>
      </c>
      <c r="G567" s="42" t="str">
        <f ca="1">IF(ISERROR(F560),"",_xlfn.TEXTJOIN("/",FALSE,P567,S567))</f>
        <v/>
      </c>
      <c r="H567" s="42"/>
      <c r="I567" s="42" t="str">
        <f ca="1">IF(ISERROR(F560),"",_xlfn.TEXTJOIN("/",FALSE,Q567,T567))</f>
        <v/>
      </c>
      <c r="J567" s="42"/>
      <c r="K567" s="42" t="str">
        <f ca="1">IF(ISERROR(F560),"",_xlfn.TEXTJOIN("/",FALSE,R567,U567))</f>
        <v/>
      </c>
      <c r="L567" s="42"/>
      <c r="M567" s="7" t="str">
        <f ca="1">IF(ISERROR(F560),"",IF(ISTEXT(P567),IF(P567="A","Ab",IF(P567="D","Dt",IF(P567="UFM","UFM",IF(P567="NA","-")))),IF(AND(ISBLANK(P567),ISBLANK(R567)),"",IF(P567&lt;0.3*S567,"F",IF(ISBLANK(R567),"",IF(ISTEXT(R567),R567,IF(R567&gt;=0.95*U567,"O",IF(R567&gt;=0.9*U567,"A+",IF(R567&gt;=0.85*U567,"A",IF(R567&gt;=0.8*U567,"B+",IF(R567&gt;=0.75*U567,"B",IF(R567&gt;=0.7*U567,"C+",IF(R567&gt;=0.65*U567,"C",IF(R567&gt;=0.6*U567,"D+",IF(R567&gt;=0.55*U567,"D",IF(R567&gt;=0.5*U567,"E+",IF(R567&gt;=0.45*U567,"E",IF(R567&gt;=0.4*U567,"P",IF(R567&lt;0.4*U567,"F",R567)))))))))))))))))))</f>
        <v/>
      </c>
      <c r="N567" s="8" t="e">
        <f t="shared" ca="1" si="52"/>
        <v>#N/A</v>
      </c>
      <c r="O567">
        <f>O566+1</f>
        <v>3</v>
      </c>
      <c r="P567" s="1" t="str">
        <f ca="1">IF(ISERROR(F560),"",IF(ISTEXT(VLOOKUP(B560,INDIRECT($F$8),6+(O567-1)*3)),(VLOOKUP(B560,INDIRECT($F$8),6+(O567-1)*3)),SUM(VLOOKUP(B560,INDIRECT($F$8),6+(O567-1)*3),IF(W579,W567,0))))</f>
        <v/>
      </c>
      <c r="Q567" s="1" t="str">
        <f ca="1">IF(ISERROR(F560),"",VLOOKUP(B560,INDIRECT($F$8),7+(O567-1)*3))</f>
        <v/>
      </c>
      <c r="R567" s="1" t="str">
        <f ca="1">IF(ISERROR(F560),"",SUM(P567:Q567))</f>
        <v/>
      </c>
      <c r="S567" s="1" t="str">
        <f ca="1">IF(ISERROR(F560),"",VLOOKUP(A560,INDIRECT($F$8),6+(O567-1)*3))</f>
        <v/>
      </c>
      <c r="T567" s="1" t="str">
        <f ca="1">IF(ISERROR(F560),"",VLOOKUP(A560,INDIRECT($F$8),7+(O567-1)*3))</f>
        <v/>
      </c>
      <c r="U567" s="1" t="str">
        <f ca="1">IF(ISERROR(F560),"",VLOOKUP(A560,INDIRECT($F$8),8+(O567-1)*3))</f>
        <v/>
      </c>
      <c r="V567" s="1" t="str">
        <f ca="1">IF(ISERROR(F560),"",IF(N567=0,A567,""))</f>
        <v/>
      </c>
      <c r="W567" s="1" t="str">
        <f ca="1">IF(ISERROR(F560),"",IF(ISTEXT(VLOOKUP(B560,INDIRECT($F$8),6+(O567-1)*3)),11,IF(VLOOKUP(B560,INDIRECT($F$8),6+(O567-1)*3)&lt;S567*0.3,IF(VLOOKUP(B560,INDIRECT($F$8),8+(O567-1)*3)&lt;U567*0.4,IF(AND(0.4*U567-VLOOKUP(B560,INDIRECT($F$8),8+(O567-1)*3)&lt;=5,0.3*S567-VLOOKUP(B560,INDIRECT($F$8),6+(O567-1)*3)&lt;=5),MAX(0.4*U567-VLOOKUP(B560,INDIRECT($F$8),8+(O567-1)*3),0.3*S567-VLOOKUP(B560,INDIRECT($F$8),6+(O567-1)*3)),11),IF(0.3*S567-VLOOKUP(B560,INDIRECT($F$8),6+(O567-1)*3)&lt;=5,0.3*S567-VLOOKUP(B560,INDIRECT($F$8),6+(O567-1)*3),11)),IF(VLOOKUP(B560,INDIRECT($F$8),8+(O567-1)*3)&lt;U567*0.4,IF(U567*0.4-VLOOKUP(B560,INDIRECT($F$8),8+(O567-1)*3)&lt;=5,U567*0.4-VLOOKUP(B560,INDIRECT($F$8),8+(O567-1)*3),11),0))))</f>
        <v/>
      </c>
      <c r="X567" s="1" t="str">
        <f ca="1">IF(ISERROR(F560),"",IF(W567=0,"",_xlfn.TEXTJOIN("",FALSE," G+",W567," in ",A567)))</f>
        <v/>
      </c>
    </row>
    <row r="568" spans="1:24" ht="11.25" customHeight="1" x14ac:dyDescent="0.2">
      <c r="A568" s="7" t="str">
        <f ca="1">IF(ISERROR(F560),"",VLOOKUP(C560,INDIRECT($F$8),6+(O568-1)*3,0))</f>
        <v/>
      </c>
      <c r="B568" s="41" t="str">
        <f ca="1">IF(ISERROR(F560),"",VLOOKUP(D560,INDIRECT($F$8),6+(O568-1)*3,0))</f>
        <v/>
      </c>
      <c r="C568" s="41"/>
      <c r="D568" s="41"/>
      <c r="E568" s="41"/>
      <c r="F568" s="7" t="str">
        <f ca="1">IF(ISERROR(F560),"",VLOOKUP(E560,INDIRECT($F$8),6+(O568-1)*3,0))</f>
        <v/>
      </c>
      <c r="G568" s="42" t="str">
        <f ca="1">IF(ISERROR(F560),"",_xlfn.TEXTJOIN("/",FALSE,P568,S568))</f>
        <v/>
      </c>
      <c r="H568" s="42"/>
      <c r="I568" s="42" t="str">
        <f ca="1">IF(ISERROR(F560),"",_xlfn.TEXTJOIN("/",FALSE,Q568,T568))</f>
        <v/>
      </c>
      <c r="J568" s="42"/>
      <c r="K568" s="42" t="str">
        <f ca="1">IF(ISERROR(F560),"",_xlfn.TEXTJOIN("/",FALSE,R568,U568))</f>
        <v/>
      </c>
      <c r="L568" s="42"/>
      <c r="M568" s="7" t="str">
        <f ca="1">IF(ISERROR(F560),"",IF(ISTEXT(P568),IF(P568="A","Ab",IF(P568="D","Dt",IF(P568="UFM","UFM",IF(P568="NA","-")))),IF(AND(ISBLANK(P568),ISBLANK(R568)),"",IF(P568&lt;0.3*S568,"F",IF(ISBLANK(R568),"",IF(ISTEXT(R568),R568,IF(R568&gt;=0.95*U568,"O",IF(R568&gt;=0.9*U568,"A+",IF(R568&gt;=0.85*U568,"A",IF(R568&gt;=0.8*U568,"B+",IF(R568&gt;=0.75*U568,"B",IF(R568&gt;=0.7*U568,"C+",IF(R568&gt;=0.65*U568,"C",IF(R568&gt;=0.6*U568,"D+",IF(R568&gt;=0.55*U568,"D",IF(R568&gt;=0.5*U568,"E+",IF(R568&gt;=0.45*U568,"E",IF(R568&gt;=0.4*U568,"P",IF(R568&lt;0.4*U568,"F",R568)))))))))))))))))))</f>
        <v/>
      </c>
      <c r="N568" s="8" t="e">
        <f t="shared" ca="1" si="52"/>
        <v>#N/A</v>
      </c>
      <c r="O568">
        <f>O567+1</f>
        <v>4</v>
      </c>
      <c r="P568" s="1" t="str">
        <f ca="1">IF(ISERROR(F560),"",IF(ISTEXT(VLOOKUP(B560,INDIRECT($F$8),6+(O568-1)*3)),(VLOOKUP(B560,INDIRECT($F$8),6+(O568-1)*3)),SUM(VLOOKUP(B560,INDIRECT($F$8),6+(O568-1)*3),IF(W579,W568,0))))</f>
        <v/>
      </c>
      <c r="Q568" s="1" t="str">
        <f ca="1">IF(ISERROR(F560),"",VLOOKUP(B560,INDIRECT($F$8),7+(O568-1)*3))</f>
        <v/>
      </c>
      <c r="R568" s="1" t="str">
        <f ca="1">IF(ISERROR(F560),"",SUM(P568:Q568))</f>
        <v/>
      </c>
      <c r="S568" s="1" t="str">
        <f ca="1">IF(ISERROR(F560),"",VLOOKUP(A560,INDIRECT($F$8),6+(O568-1)*3))</f>
        <v/>
      </c>
      <c r="T568" s="1" t="str">
        <f ca="1">IF(ISERROR(F560),"",VLOOKUP(A560,INDIRECT($F$8),7+(O568-1)*3))</f>
        <v/>
      </c>
      <c r="U568" s="1" t="str">
        <f ca="1">IF(ISERROR(F560),"",VLOOKUP(A560,INDIRECT($F$8),8+(O568-1)*3))</f>
        <v/>
      </c>
      <c r="V568" s="1" t="str">
        <f ca="1">IF(ISERROR(F560),"",IF(N568=0,A568,""))</f>
        <v/>
      </c>
      <c r="W568" s="1" t="str">
        <f ca="1">IF(ISERROR(F560),"",IF(ISTEXT(VLOOKUP(B560,INDIRECT($F$8),6+(O568-1)*3)),11,IF(VLOOKUP(B560,INDIRECT($F$8),6+(O568-1)*3)&lt;S568*0.3,IF(VLOOKUP(B560,INDIRECT($F$8),8+(O568-1)*3)&lt;U568*0.4,IF(AND(0.4*U568-VLOOKUP(B560,INDIRECT($F$8),8+(O568-1)*3)&lt;=5,0.3*S568-VLOOKUP(B560,INDIRECT($F$8),6+(O568-1)*3)&lt;=5),MAX(0.4*U568-VLOOKUP(B560,INDIRECT($F$8),8+(O568-1)*3),0.3*S568-VLOOKUP(B560,INDIRECT($F$8),6+(O568-1)*3)),11),IF(0.3*S568-VLOOKUP(B560,INDIRECT($F$8),6+(O568-1)*3)&lt;=5,0.3*S568-VLOOKUP(B560,INDIRECT($F$8),6+(O568-1)*3),11)),IF(VLOOKUP(B560,INDIRECT($F$8),8+(O568-1)*3)&lt;U568*0.4,IF(U568*0.4-VLOOKUP(B560,INDIRECT($F$8),8+(O568-1)*3)&lt;=5,U568*0.4-VLOOKUP(B560,INDIRECT($F$8),8+(O568-1)*3),11),0))))</f>
        <v/>
      </c>
      <c r="X568" s="1" t="str">
        <f ca="1">IF(ISERROR(F560),"",IF(W568=0,"",_xlfn.TEXTJOIN("",FALSE," G+",W568," in ",A568)))</f>
        <v/>
      </c>
    </row>
    <row r="569" spans="1:24" ht="11.25" customHeight="1" x14ac:dyDescent="0.2">
      <c r="A569" s="7" t="str">
        <f ca="1">IF(ISERROR(F560),"",VLOOKUP(C560,INDIRECT($F$8),6+(O569-1)*3,0))</f>
        <v/>
      </c>
      <c r="B569" s="41" t="str">
        <f ca="1">IF(ISERROR(F560),"",VLOOKUP(D560,INDIRECT($F$8),6+(O569-1)*3,0))</f>
        <v/>
      </c>
      <c r="C569" s="41"/>
      <c r="D569" s="41"/>
      <c r="E569" s="41"/>
      <c r="F569" s="7" t="str">
        <f ca="1">IF(ISERROR(F560),"",VLOOKUP(E560,INDIRECT($F$8),6+(O569-1)*3,0))</f>
        <v/>
      </c>
      <c r="G569" s="42" t="str">
        <f ca="1">IF(ISERROR(F560),"",_xlfn.TEXTJOIN("/",FALSE,P569,S569))</f>
        <v/>
      </c>
      <c r="H569" s="42"/>
      <c r="I569" s="42" t="str">
        <f ca="1">IF(ISERROR(F560),"",_xlfn.TEXTJOIN("/",FALSE,Q569,T569))</f>
        <v/>
      </c>
      <c r="J569" s="42"/>
      <c r="K569" s="42" t="str">
        <f ca="1">IF(ISERROR(F560),"",_xlfn.TEXTJOIN("/",FALSE,R569,U569))</f>
        <v/>
      </c>
      <c r="L569" s="42"/>
      <c r="M569" s="7" t="str">
        <f ca="1">IF(ISERROR(F560),"",IF(ISTEXT(P569),IF(P569="A","Ab",IF(P569="D","Dt",IF(P569="UFM","UFM",IF(P569="NA","-")))),IF(AND(ISBLANK(P569),ISBLANK(R569)),"",IF(P569&lt;0.3*S569,"F",IF(ISBLANK(R569),"",IF(ISTEXT(R569),R569,IF(R569&gt;=0.95*U569,"O",IF(R569&gt;=0.9*U569,"A+",IF(R569&gt;=0.85*U569,"A",IF(R569&gt;=0.8*U569,"B+",IF(R569&gt;=0.75*U569,"B",IF(R569&gt;=0.7*U569,"C+",IF(R569&gt;=0.65*U569,"C",IF(R569&gt;=0.6*U569,"D+",IF(R569&gt;=0.55*U569,"D",IF(R569&gt;=0.5*U569,"E+",IF(R569&gt;=0.45*U569,"E",IF(R569&gt;=0.4*U569,"P",IF(R569&lt;0.4*U569,"F",R569)))))))))))))))))))</f>
        <v/>
      </c>
      <c r="N569" s="8" t="e">
        <f t="shared" ca="1" si="52"/>
        <v>#N/A</v>
      </c>
      <c r="O569">
        <f t="shared" ref="O569:O578" si="53">O568+1</f>
        <v>5</v>
      </c>
      <c r="P569" s="1" t="str">
        <f ca="1">IF(ISERROR(F560),"",IF(ISTEXT(VLOOKUP(B560,INDIRECT($F$8),6+(O569-1)*3)),(VLOOKUP(B560,INDIRECT($F$8),6+(O569-1)*3)),SUM(VLOOKUP(B560,INDIRECT($F$8),6+(O569-1)*3),IF(W579,W569,0))))</f>
        <v/>
      </c>
      <c r="Q569" s="1" t="str">
        <f ca="1">IF(ISERROR(F560),"",VLOOKUP(B560,INDIRECT($F$8),7+(O569-1)*3))</f>
        <v/>
      </c>
      <c r="R569" s="1" t="str">
        <f ca="1">IF(ISERROR(F560),"",SUM(P569:Q569))</f>
        <v/>
      </c>
      <c r="S569" s="1" t="str">
        <f ca="1">IF(ISERROR(F560),"",VLOOKUP(A560,INDIRECT($F$8),6+(O569-1)*3))</f>
        <v/>
      </c>
      <c r="T569" s="1" t="str">
        <f ca="1">IF(ISERROR(F560),"",VLOOKUP(A560,INDIRECT($F$8),7+(O569-1)*3))</f>
        <v/>
      </c>
      <c r="U569" s="1" t="str">
        <f ca="1">IF(ISERROR(F560),"",VLOOKUP(A560,INDIRECT($F$8),8+(O569-1)*3))</f>
        <v/>
      </c>
      <c r="V569" s="1" t="str">
        <f ca="1">IF(ISERROR(F560),"",IF(N569=0,A569,""))</f>
        <v/>
      </c>
      <c r="W569" s="1" t="str">
        <f ca="1">IF(ISERROR(F560),"",IF(ISTEXT(VLOOKUP(B560,INDIRECT($F$8),6+(O569-1)*3)),11,IF(VLOOKUP(B560,INDIRECT($F$8),6+(O569-1)*3)&lt;S569*0.3,IF(VLOOKUP(B560,INDIRECT($F$8),8+(O569-1)*3)&lt;U569*0.4,IF(AND(0.4*U569-VLOOKUP(B560,INDIRECT($F$8),8+(O569-1)*3)&lt;=5,0.3*S569-VLOOKUP(B560,INDIRECT($F$8),6+(O569-1)*3)&lt;=5),MAX(0.4*U569-VLOOKUP(B560,INDIRECT($F$8),8+(O569-1)*3),0.3*S569-VLOOKUP(B560,INDIRECT($F$8),6+(O569-1)*3)),11),IF(0.3*S569-VLOOKUP(B560,INDIRECT($F$8),6+(O569-1)*3)&lt;=5,0.3*S569-VLOOKUP(B560,INDIRECT($F$8),6+(O569-1)*3),11)),IF(VLOOKUP(B560,INDIRECT($F$8),8+(O569-1)*3)&lt;U569*0.4,IF(U569*0.4-VLOOKUP(B560,INDIRECT($F$8),8+(O569-1)*3)&lt;=5,U569*0.4-VLOOKUP(B560,INDIRECT($F$8),8+(O569-1)*3),11),0))))</f>
        <v/>
      </c>
      <c r="X569" s="1" t="str">
        <f ca="1">IF(ISERROR(F560),"",IF(W569=0,"",_xlfn.TEXTJOIN("",FALSE," G+",W569," in ",A569)))</f>
        <v/>
      </c>
    </row>
    <row r="570" spans="1:24" ht="11.25" customHeight="1" x14ac:dyDescent="0.2">
      <c r="A570" s="7" t="str">
        <f ca="1">IF(ISERROR(F560),"",VLOOKUP(C560,INDIRECT($F$8),6+(O570-1)*3,0))</f>
        <v/>
      </c>
      <c r="B570" s="41" t="str">
        <f ca="1">IF(ISERROR(F560),"",VLOOKUP(D560,INDIRECT($F$8),6+(O570-1)*3,0))</f>
        <v/>
      </c>
      <c r="C570" s="41"/>
      <c r="D570" s="41"/>
      <c r="E570" s="41"/>
      <c r="F570" s="7" t="str">
        <f ca="1">IF(ISERROR(F560),"",VLOOKUP(E560,INDIRECT($F$8),6+(O570-1)*3,0))</f>
        <v/>
      </c>
      <c r="G570" s="42" t="str">
        <f ca="1">IF(ISERROR(F560),"",_xlfn.TEXTJOIN("/",FALSE,P570,S570))</f>
        <v/>
      </c>
      <c r="H570" s="42"/>
      <c r="I570" s="42" t="str">
        <f ca="1">IF(ISERROR(F560),"",_xlfn.TEXTJOIN("/",FALSE,Q570,T570))</f>
        <v/>
      </c>
      <c r="J570" s="42"/>
      <c r="K570" s="42" t="str">
        <f ca="1">IF(ISERROR(F560),"",_xlfn.TEXTJOIN("/",FALSE,R570,U570))</f>
        <v/>
      </c>
      <c r="L570" s="42"/>
      <c r="M570" s="7" t="str">
        <f ca="1">IF(ISERROR(F560),"",IF(ISTEXT(P570),IF(P570="A","Ab",IF(P570="D","Dt",IF(P570="UFM","UFM",IF(P570="NA","-")))),IF(AND(ISBLANK(P570),ISBLANK(R570)),"",IF(P570&lt;0.3*S570,"F",IF(ISBLANK(R570),"",IF(ISTEXT(R570),R570,IF(R570&gt;=0.95*U570,"O",IF(R570&gt;=0.9*U570,"A+",IF(R570&gt;=0.85*U570,"A",IF(R570&gt;=0.8*U570,"B+",IF(R570&gt;=0.75*U570,"B",IF(R570&gt;=0.7*U570,"C+",IF(R570&gt;=0.65*U570,"C",IF(R570&gt;=0.6*U570,"D+",IF(R570&gt;=0.55*U570,"D",IF(R570&gt;=0.5*U570,"E+",IF(R570&gt;=0.45*U570,"E",IF(R570&gt;=0.4*U570,"P",IF(R570&lt;0.4*U570,"F",R570)))))))))))))))))))</f>
        <v/>
      </c>
      <c r="N570" s="8" t="e">
        <f t="shared" ca="1" si="52"/>
        <v>#N/A</v>
      </c>
      <c r="O570">
        <f t="shared" si="53"/>
        <v>6</v>
      </c>
      <c r="P570" s="1" t="str">
        <f ca="1">IF(ISERROR(F560),"",IF(ISTEXT(VLOOKUP(B560,INDIRECT($F$8),6+(O570-1)*3)),(VLOOKUP(B560,INDIRECT($F$8),6+(O570-1)*3)),SUM(VLOOKUP(B560,INDIRECT($F$8),6+(O570-1)*3),IF(W579,W570,0))))</f>
        <v/>
      </c>
      <c r="Q570" s="1" t="str">
        <f ca="1">IF(ISERROR(F560),"",VLOOKUP(B560,INDIRECT($F$8),7+(O570-1)*3))</f>
        <v/>
      </c>
      <c r="R570" s="1" t="str">
        <f ca="1">IF(ISERROR(F560),"",SUM(P570:Q570))</f>
        <v/>
      </c>
      <c r="S570" s="1" t="str">
        <f ca="1">IF(ISERROR(F560),"",VLOOKUP(A560,INDIRECT($F$8),6+(O570-1)*3))</f>
        <v/>
      </c>
      <c r="T570" s="1" t="str">
        <f ca="1">IF(ISERROR(F560),"",VLOOKUP(A560,INDIRECT($F$8),7+(O570-1)*3))</f>
        <v/>
      </c>
      <c r="U570" s="1" t="str">
        <f ca="1">IF(ISERROR(F560),"",VLOOKUP(A560,INDIRECT($F$8),8+(O570-1)*3))</f>
        <v/>
      </c>
      <c r="V570" s="1" t="str">
        <f ca="1">IF(ISERROR(F560),"",IF(N570=0,A570,""))</f>
        <v/>
      </c>
      <c r="W570" s="1" t="str">
        <f ca="1">IF(ISERROR(F560),"",IF(ISTEXT(VLOOKUP(B560,INDIRECT($F$8),6+(O570-1)*3)),11,IF(VLOOKUP(B560,INDIRECT($F$8),6+(O570-1)*3)&lt;S570*0.3,IF(VLOOKUP(B560,INDIRECT($F$8),8+(O570-1)*3)&lt;U570*0.4,IF(AND(0.4*U570-VLOOKUP(B560,INDIRECT($F$8),8+(O570-1)*3)&lt;=5,0.3*S570-VLOOKUP(B560,INDIRECT($F$8),6+(O570-1)*3)&lt;=5),MAX(0.4*U570-VLOOKUP(B560,INDIRECT($F$8),8+(O570-1)*3),0.3*S570-VLOOKUP(B560,INDIRECT($F$8),6+(O570-1)*3)),11),IF(0.3*S570-VLOOKUP(B560,INDIRECT($F$8),6+(O570-1)*3)&lt;=5,0.3*S570-VLOOKUP(B560,INDIRECT($F$8),6+(O570-1)*3),11)),IF(VLOOKUP(B560,INDIRECT($F$8),8+(O570-1)*3)&lt;U570*0.4,IF(U570*0.4-VLOOKUP(B560,INDIRECT($F$8),8+(O570-1)*3)&lt;=5,U570*0.4-VLOOKUP(B560,INDIRECT($F$8),8+(O570-1)*3),11),0))))</f>
        <v/>
      </c>
      <c r="X570" s="1" t="str">
        <f ca="1">IF(ISERROR(F560),"",IF(W570=0,"",_xlfn.TEXTJOIN("",FALSE," G+",W570," in ",A570)))</f>
        <v/>
      </c>
    </row>
    <row r="571" spans="1:24" ht="11.25" customHeight="1" x14ac:dyDescent="0.2">
      <c r="A571" s="7" t="str">
        <f ca="1">IF(ISERROR(F560),"",VLOOKUP(C560,INDIRECT($F$8),6+(O571-1)*3,0))</f>
        <v/>
      </c>
      <c r="B571" s="41" t="str">
        <f ca="1">IF(ISERROR(F560),"",VLOOKUP(D560,INDIRECT($F$8),6+(O571-1)*3,0))</f>
        <v/>
      </c>
      <c r="C571" s="41"/>
      <c r="D571" s="41"/>
      <c r="E571" s="41"/>
      <c r="F571" s="7" t="str">
        <f ca="1">IF(ISERROR(F560),"",VLOOKUP(E560,INDIRECT($F$8),6+(O571-1)*3,0))</f>
        <v/>
      </c>
      <c r="G571" s="42" t="str">
        <f ca="1">IF(ISERROR(F560),"",_xlfn.TEXTJOIN("/",FALSE,P571,S571))</f>
        <v/>
      </c>
      <c r="H571" s="42"/>
      <c r="I571" s="42" t="str">
        <f ca="1">IF(ISERROR(F560),"",_xlfn.TEXTJOIN("/",FALSE,Q571,T571))</f>
        <v/>
      </c>
      <c r="J571" s="42"/>
      <c r="K571" s="42" t="str">
        <f ca="1">IF(ISERROR(F560),"",_xlfn.TEXTJOIN("/",FALSE,R571,U571))</f>
        <v/>
      </c>
      <c r="L571" s="42"/>
      <c r="M571" s="7" t="str">
        <f ca="1">IF(ISERROR(F560),"",IF(ISTEXT(P571),IF(P571="A","Ab",IF(P571="D","Dt",IF(P571="UFM","UFM",IF(P571="NA","-")))),IF(AND(ISBLANK(P571),ISBLANK(R571)),"",IF(P571&lt;0.3*S571,"F",IF(ISBLANK(R571),"",IF(ISTEXT(R571),R571,IF(R571&gt;=0.95*U571,"O",IF(R571&gt;=0.9*U571,"A+",IF(R571&gt;=0.85*U571,"A",IF(R571&gt;=0.8*U571,"B+",IF(R571&gt;=0.75*U571,"B",IF(R571&gt;=0.7*U571,"C+",IF(R571&gt;=0.65*U571,"C",IF(R571&gt;=0.6*U571,"D+",IF(R571&gt;=0.55*U571,"D",IF(R571&gt;=0.5*U571,"E+",IF(R571&gt;=0.45*U571,"E",IF(R571&gt;=0.4*U571,"P",IF(R571&lt;0.4*U571,"F",R571)))))))))))))))))))</f>
        <v/>
      </c>
      <c r="N571" s="8" t="e">
        <f t="shared" ca="1" si="52"/>
        <v>#N/A</v>
      </c>
      <c r="O571">
        <f t="shared" si="53"/>
        <v>7</v>
      </c>
      <c r="P571" s="1" t="str">
        <f ca="1">IF(ISERROR(F560),"",IF(ISTEXT(VLOOKUP(B560,INDIRECT($F$8),6+(O571-1)*3)),(VLOOKUP(B560,INDIRECT($F$8),6+(O571-1)*3)),SUM(VLOOKUP(B560,INDIRECT($F$8),6+(O571-1)*3),IF(W579,W571,0))))</f>
        <v/>
      </c>
      <c r="Q571" s="1" t="str">
        <f ca="1">IF(ISERROR(F560),"",VLOOKUP(B560,INDIRECT($F$8),7+(O571-1)*3))</f>
        <v/>
      </c>
      <c r="R571" s="1" t="str">
        <f ca="1">IF(ISERROR(F560),"",SUM(P571:Q571))</f>
        <v/>
      </c>
      <c r="S571" s="1" t="str">
        <f ca="1">IF(ISERROR(F560),"",VLOOKUP(A560,INDIRECT($F$8),6+(O571-1)*3))</f>
        <v/>
      </c>
      <c r="T571" s="1" t="str">
        <f ca="1">IF(ISERROR(F560),"",VLOOKUP(A560,INDIRECT($F$8),7+(O571-1)*3))</f>
        <v/>
      </c>
      <c r="U571" s="1" t="str">
        <f ca="1">IF(ISERROR(F560),"",VLOOKUP(A560,INDIRECT($F$8),8+(O571-1)*3))</f>
        <v/>
      </c>
      <c r="V571" s="1" t="str">
        <f ca="1">IF(ISERROR(F560),"",IF(N571=0,A571,""))</f>
        <v/>
      </c>
      <c r="W571" s="1" t="str">
        <f ca="1">IF(ISERROR(F560),"",IF(ISTEXT(VLOOKUP(B560,INDIRECT($F$8),6+(O571-1)*3)),11,IF(VLOOKUP(B560,INDIRECT($F$8),6+(O571-1)*3)&lt;S571*0.3,IF(VLOOKUP(B560,INDIRECT($F$8),8+(O571-1)*3)&lt;U571*0.4,IF(AND(0.4*U571-VLOOKUP(B560,INDIRECT($F$8),8+(O571-1)*3)&lt;=5,0.3*S571-VLOOKUP(B560,INDIRECT($F$8),6+(O571-1)*3)&lt;=5),MAX(0.4*U571-VLOOKUP(B560,INDIRECT($F$8),8+(O571-1)*3),0.3*S571-VLOOKUP(B560,INDIRECT($F$8),6+(O571-1)*3)),11),IF(0.3*S571-VLOOKUP(B560,INDIRECT($F$8),6+(O571-1)*3)&lt;=5,0.3*S571-VLOOKUP(B560,INDIRECT($F$8),6+(O571-1)*3),11)),IF(VLOOKUP(B560,INDIRECT($F$8),8+(O571-1)*3)&lt;U571*0.4,IF(U571*0.4-VLOOKUP(B560,INDIRECT($F$8),8+(O571-1)*3)&lt;=5,U571*0.4-VLOOKUP(B560,INDIRECT($F$8),8+(O571-1)*3),11),0))))</f>
        <v/>
      </c>
      <c r="X571" s="1" t="str">
        <f ca="1">IF(ISERROR(F560),"",IF(W571=0,"",_xlfn.TEXTJOIN("",FALSE," G+",W571," in ",A571)))</f>
        <v/>
      </c>
    </row>
    <row r="572" spans="1:24" ht="11.25" customHeight="1" x14ac:dyDescent="0.2">
      <c r="A572" s="7" t="str">
        <f ca="1">IF(ISERROR(F560),"",VLOOKUP(C560,INDIRECT($F$8),6+(O572-1)*3,0))</f>
        <v/>
      </c>
      <c r="B572" s="41" t="str">
        <f ca="1">IF(ISERROR(F560),"",VLOOKUP(D560,INDIRECT($F$8),6+(O572-1)*3,0))</f>
        <v/>
      </c>
      <c r="C572" s="41"/>
      <c r="D572" s="41"/>
      <c r="E572" s="41"/>
      <c r="F572" s="7" t="str">
        <f ca="1">IF(ISERROR(F560),"",VLOOKUP(E560,INDIRECT($F$8),6+(O572-1)*3,0))</f>
        <v/>
      </c>
      <c r="G572" s="42" t="str">
        <f ca="1">IF(ISERROR(F560),"",_xlfn.TEXTJOIN("/",FALSE,P572,S572))</f>
        <v/>
      </c>
      <c r="H572" s="42"/>
      <c r="I572" s="42" t="str">
        <f ca="1">IF(ISERROR(F560),"",_xlfn.TEXTJOIN("/",FALSE,Q572,T572))</f>
        <v/>
      </c>
      <c r="J572" s="42"/>
      <c r="K572" s="42" t="str">
        <f ca="1">IF(ISERROR(F560),"",_xlfn.TEXTJOIN("/",FALSE,R572,U572))</f>
        <v/>
      </c>
      <c r="L572" s="42"/>
      <c r="M572" s="7" t="str">
        <f ca="1">IF(ISERROR(F560),"",IF(ISTEXT(P572),IF(P572="A","Ab",IF(P572="D","Dt",IF(P572="UFM","UFM",IF(P572="NA","-")))),IF(AND(ISBLANK(P572),ISBLANK(R572)),"",IF(P572&lt;0.3*S572,"F",IF(ISBLANK(R572),"",IF(ISTEXT(R572),R572,IF(R572&gt;=0.95*U572,"O",IF(R572&gt;=0.9*U572,"A+",IF(R572&gt;=0.85*U572,"A",IF(R572&gt;=0.8*U572,"B+",IF(R572&gt;=0.75*U572,"B",IF(R572&gt;=0.7*U572,"C+",IF(R572&gt;=0.65*U572,"C",IF(R572&gt;=0.6*U572,"D+",IF(R572&gt;=0.55*U572,"D",IF(R572&gt;=0.5*U572,"E+",IF(R572&gt;=0.45*U572,"E",IF(R572&gt;=0.4*U572,"P",IF(R572&lt;0.4*U572,"F",R572)))))))))))))))))))</f>
        <v/>
      </c>
      <c r="N572" s="8" t="e">
        <f t="shared" ca="1" si="52"/>
        <v>#N/A</v>
      </c>
      <c r="O572">
        <f t="shared" si="53"/>
        <v>8</v>
      </c>
      <c r="P572" s="1" t="str">
        <f ca="1">IF(ISERROR(F560),"",IF(ISTEXT(VLOOKUP(B560,INDIRECT($F$8),6+(O572-1)*3)),(VLOOKUP(B560,INDIRECT($F$8),6+(O572-1)*3)),SUM(VLOOKUP(B560,INDIRECT($F$8),6+(O572-1)*3),IF(W579,W572,0))))</f>
        <v/>
      </c>
      <c r="Q572" s="1" t="str">
        <f ca="1">IF(ISERROR(F560),"",VLOOKUP(B560,INDIRECT($F$8),7+(O572-1)*3))</f>
        <v/>
      </c>
      <c r="R572" s="1" t="str">
        <f ca="1">IF(ISERROR(F560),"",SUM(P572:Q572))</f>
        <v/>
      </c>
      <c r="S572" s="1" t="str">
        <f ca="1">IF(ISERROR(F560),"",VLOOKUP(A560,INDIRECT($F$8),6+(O572-1)*3))</f>
        <v/>
      </c>
      <c r="T572" s="1" t="str">
        <f ca="1">IF(ISERROR(F560),"",VLOOKUP(A560,INDIRECT($F$8),7+(O572-1)*3))</f>
        <v/>
      </c>
      <c r="U572" s="1" t="str">
        <f ca="1">IF(ISERROR(F560),"",VLOOKUP(A560,INDIRECT($F$8),8+(O572-1)*3))</f>
        <v/>
      </c>
      <c r="V572" s="1" t="str">
        <f ca="1">IF(ISERROR(F560),"",IF(N572=0,A572,""))</f>
        <v/>
      </c>
      <c r="W572" s="1" t="str">
        <f ca="1">IF(ISERROR(F560),"",IF(ISTEXT(VLOOKUP(B560,INDIRECT($F$8),6+(O572-1)*3)),11,IF(VLOOKUP(B560,INDIRECT($F$8),6+(O572-1)*3)&lt;S572*0.3,IF(VLOOKUP(B560,INDIRECT($F$8),8+(O572-1)*3)&lt;U572*0.4,IF(AND(0.4*U572-VLOOKUP(B560,INDIRECT($F$8),8+(O572-1)*3)&lt;=5,0.3*S572-VLOOKUP(B560,INDIRECT($F$8),6+(O572-1)*3)&lt;=5),MAX(0.4*U572-VLOOKUP(B560,INDIRECT($F$8),8+(O572-1)*3),0.3*S572-VLOOKUP(B560,INDIRECT($F$8),6+(O572-1)*3)),11),IF(0.3*S572-VLOOKUP(B560,INDIRECT($F$8),6+(O572-1)*3)&lt;=5,0.3*S572-VLOOKUP(B560,INDIRECT($F$8),6+(O572-1)*3),11)),IF(VLOOKUP(B560,INDIRECT($F$8),8+(O572-1)*3)&lt;U572*0.4,IF(U572*0.4-VLOOKUP(B560,INDIRECT($F$8),8+(O572-1)*3)&lt;=5,U572*0.4-VLOOKUP(B560,INDIRECT($F$8),8+(O572-1)*3),11),0))))</f>
        <v/>
      </c>
      <c r="X572" s="1" t="str">
        <f ca="1">IF(ISERROR(F560),"",IF(W572=0,"",_xlfn.TEXTJOIN("",FALSE," G+",W572," in ",A572)))</f>
        <v/>
      </c>
    </row>
    <row r="573" spans="1:24" ht="11.25" customHeight="1" x14ac:dyDescent="0.2">
      <c r="A573" s="7" t="str">
        <f ca="1">IF(ISERROR(F560),"",VLOOKUP(C560,INDIRECT($F$8),6+(O573-1)*3,0))</f>
        <v/>
      </c>
      <c r="B573" s="41" t="str">
        <f ca="1">IF(ISERROR(F560),"",VLOOKUP(D560,INDIRECT($F$8),6+(O573-1)*3-Z573,0))</f>
        <v/>
      </c>
      <c r="C573" s="41"/>
      <c r="D573" s="41"/>
      <c r="E573" s="41"/>
      <c r="F573" s="7" t="str">
        <f ca="1">IF(ISERROR(F560),"",VLOOKUP(E560,INDIRECT($F$8),6+(O573-1)*3,0))</f>
        <v/>
      </c>
      <c r="G573" s="42" t="str">
        <f ca="1">IF(ISERROR(F560),"",_xlfn.TEXTJOIN("/",FALSE,P573,S573))</f>
        <v/>
      </c>
      <c r="H573" s="42"/>
      <c r="I573" s="42" t="str">
        <f ca="1">IF(ISERROR(F560),"",_xlfn.TEXTJOIN("/",FALSE,Q573,T573))</f>
        <v/>
      </c>
      <c r="J573" s="42"/>
      <c r="K573" s="42" t="str">
        <f ca="1">IF(ISERROR(F560),"",_xlfn.TEXTJOIN("/",FALSE,R573,U573))</f>
        <v/>
      </c>
      <c r="L573" s="42"/>
      <c r="M573" s="7" t="str">
        <f ca="1">IF(ISERROR(F560),"",IF(ISTEXT(P573),IF(P573="A","Ab",IF(P573="D","Dt",IF(P573="UFM","UFM",IF(P573="NA","-")))),IF(AND(ISBLANK(P573),ISBLANK(R573)),"",IF(P573&lt;0.3*S573,"F",IF(ISBLANK(R573),"",IF(ISTEXT(R573),R573,IF(R573&gt;=0.95*U573,"O",IF(R573&gt;=0.9*U573,"A+",IF(R573&gt;=0.85*U573,"A",IF(R573&gt;=0.8*U573,"B+",IF(R573&gt;=0.75*U573,"B",IF(R573&gt;=0.7*U573,"C+",IF(R573&gt;=0.65*U573,"C",IF(R573&gt;=0.6*U573,"D+",IF(R573&gt;=0.55*U573,"D",IF(R573&gt;=0.5*U573,"E+",IF(R573&gt;=0.45*U573,"E",IF(R573&gt;=0.4*U573,"P",IF(R573&lt;0.4*U573,"F",R573)))))))))))))))))))</f>
        <v/>
      </c>
      <c r="N573" s="8" t="e">
        <f t="shared" ca="1" si="52"/>
        <v>#N/A</v>
      </c>
      <c r="O573">
        <f t="shared" si="53"/>
        <v>9</v>
      </c>
      <c r="P573" s="1" t="str">
        <f ca="1">IF(ISERROR(F560),"",IF(ISTEXT(VLOOKUP(B560,INDIRECT($F$8),6+(O573-1)*3)),(VLOOKUP(B560,INDIRECT($F$8),6+(O573-1)*3)),SUM(VLOOKUP(B560,INDIRECT($F$8),6+(O573-1)*3),IF(W579,W573,0))))</f>
        <v/>
      </c>
      <c r="Q573" s="1" t="str">
        <f ca="1">IF(ISERROR(F560),"",VLOOKUP(B560,INDIRECT($F$8),7+(O573-1)*3))</f>
        <v/>
      </c>
      <c r="R573" s="1" t="str">
        <f ca="1">IF(ISERROR(F560),"",SUM(P573:Q573))</f>
        <v/>
      </c>
      <c r="S573" s="1" t="str">
        <f ca="1">IF(ISERROR(F560),"",VLOOKUP(A560,INDIRECT($F$8),6+(O573-1)*3))</f>
        <v/>
      </c>
      <c r="T573" s="1" t="str">
        <f ca="1">IF(ISERROR(F560),"",VLOOKUP(A560,INDIRECT($F$8),7+(O573-1)*3))</f>
        <v/>
      </c>
      <c r="U573" s="1" t="str">
        <f ca="1">IF(ISERROR(F560),"",VLOOKUP(A560,INDIRECT($F$8),8+(O573-1)*3))</f>
        <v/>
      </c>
      <c r="V573" s="1" t="str">
        <f ca="1">IF(ISERROR(F560),"",IF(N573=0,A573,""))</f>
        <v/>
      </c>
      <c r="W573" s="1" t="str">
        <f ca="1">IF(ISERROR(F560),"",IF(ISTEXT(VLOOKUP(B560,INDIRECT($F$8),6+(O573-1)*3)),11,IF(VLOOKUP(B560,INDIRECT($F$8),6+(O573-1)*3)&lt;S573*0.3,IF(VLOOKUP(B560,INDIRECT($F$8),8+(O573-1)*3)&lt;U573*0.4,IF(AND(0.4*U573-VLOOKUP(B560,INDIRECT($F$8),8+(O573-1)*3)&lt;=5,0.3*S573-VLOOKUP(B560,INDIRECT($F$8),6+(O573-1)*3)&lt;=5),MAX(0.4*U573-VLOOKUP(B560,INDIRECT($F$8),8+(O573-1)*3),0.3*S573-VLOOKUP(B560,INDIRECT($F$8),6+(O573-1)*3)),11),IF(0.3*S573-VLOOKUP(B560,INDIRECT($F$8),6+(O573-1)*3)&lt;=5,0.3*S573-VLOOKUP(B560,INDIRECT($F$8),6+(O573-1)*3),11)),IF(VLOOKUP(B560,INDIRECT($F$8),8+(O573-1)*3)&lt;U573*0.4,IF(U573*0.4-VLOOKUP(B560,INDIRECT($F$8),8+(O573-1)*3)&lt;=5,U573*0.4-VLOOKUP(B560,INDIRECT($F$8),8+(O573-1)*3),11),0))))</f>
        <v/>
      </c>
      <c r="X573" s="1" t="str">
        <f ca="1">IF(ISERROR(F560),"",IF(W573=0,"",_xlfn.TEXTJOIN("",FALSE," G+",W573," in ",A573)))</f>
        <v/>
      </c>
    </row>
    <row r="574" spans="1:24" ht="11.25" customHeight="1" x14ac:dyDescent="0.2">
      <c r="A574" s="7" t="str">
        <f ca="1">IF(ISERROR(F560),"",VLOOKUP(C560,INDIRECT($F$8),6+(O574-1)*3,0))</f>
        <v/>
      </c>
      <c r="B574" s="41" t="str">
        <f ca="1">IF(ISERROR(F560),"",VLOOKUP(D560,INDIRECT($F$8),6+(O574-1)*3-Z574,0))</f>
        <v/>
      </c>
      <c r="C574" s="41"/>
      <c r="D574" s="41"/>
      <c r="E574" s="41"/>
      <c r="F574" s="7" t="str">
        <f ca="1">IF(ISERROR(F560),"",VLOOKUP(E560,INDIRECT($F$8),6+(O574-1)*3,0))</f>
        <v/>
      </c>
      <c r="G574" s="42" t="str">
        <f ca="1">IF(ISERROR(F560),"",_xlfn.TEXTJOIN("/",FALSE,P574,S574))</f>
        <v/>
      </c>
      <c r="H574" s="42"/>
      <c r="I574" s="42" t="str">
        <f ca="1">IF(ISERROR(F560),"",_xlfn.TEXTJOIN("/",FALSE,Q574,T574))</f>
        <v/>
      </c>
      <c r="J574" s="42"/>
      <c r="K574" s="42" t="str">
        <f ca="1">IF(ISERROR(F560),"",_xlfn.TEXTJOIN("/",FALSE,R574,U574))</f>
        <v/>
      </c>
      <c r="L574" s="42"/>
      <c r="M574" s="7" t="str">
        <f ca="1">IF(ISERROR(F560),"",IF(ISTEXT(P574),IF(P574="A","Ab",IF(P574="D","Dt",IF(P574="UFM","UFM",IF(P574="NA","-")))),IF(AND(ISBLANK(P574),ISBLANK(R574)),"",IF(P574&lt;0.3*S574,"F",IF(ISBLANK(R574),"",IF(ISTEXT(R574),R574,IF(R574&gt;=0.95*U574,"O",IF(R574&gt;=0.9*U574,"A+",IF(R574&gt;=0.85*U574,"A",IF(R574&gt;=0.8*U574,"B+",IF(R574&gt;=0.75*U574,"B",IF(R574&gt;=0.7*U574,"C+",IF(R574&gt;=0.65*U574,"C",IF(R574&gt;=0.6*U574,"D+",IF(R574&gt;=0.55*U574,"D",IF(R574&gt;=0.5*U574,"E+",IF(R574&gt;=0.45*U574,"E",IF(R574&gt;=0.4*U574,"P",IF(R574&lt;0.4*U574,"F",R574)))))))))))))))))))</f>
        <v/>
      </c>
      <c r="N574" s="8" t="e">
        <f t="shared" ca="1" si="52"/>
        <v>#N/A</v>
      </c>
      <c r="O574">
        <f t="shared" si="53"/>
        <v>10</v>
      </c>
      <c r="P574" s="1" t="str">
        <f ca="1">IF(ISERROR(F560),"",IF(ISTEXT(VLOOKUP(B560,INDIRECT($F$8),6+(O574-1)*3)),(VLOOKUP(B560,INDIRECT($F$8),6+(O574-1)*3)),SUM(VLOOKUP(B560,INDIRECT($F$8),6+(O574-1)*3),IF(W579,W574,0))))</f>
        <v/>
      </c>
      <c r="Q574" s="1" t="str">
        <f ca="1">IF(ISERROR(F560),"",VLOOKUP(B560,INDIRECT($F$8),7+(O574-1)*3))</f>
        <v/>
      </c>
      <c r="R574" s="1" t="str">
        <f ca="1">IF(ISERROR(F560),"",SUM(P574:Q574))</f>
        <v/>
      </c>
      <c r="S574" s="1" t="str">
        <f ca="1">IF(ISERROR(F560),"",VLOOKUP(A560,INDIRECT($F$8),6+(O574-1)*3))</f>
        <v/>
      </c>
      <c r="T574" s="1" t="str">
        <f ca="1">IF(ISERROR(F560),"",VLOOKUP(A560,INDIRECT($F$8),7+(O574-1)*3))</f>
        <v/>
      </c>
      <c r="U574" s="1" t="str">
        <f ca="1">IF(ISERROR(F560),"",VLOOKUP(A560,INDIRECT($F$8),8+(O574-1)*3))</f>
        <v/>
      </c>
      <c r="V574" s="1" t="str">
        <f ca="1">IF(ISERROR(F560),"",IF(N574=0,A574,""))</f>
        <v/>
      </c>
      <c r="W574" s="1" t="str">
        <f ca="1">IF(ISERROR(F560),"",IF(ISTEXT(VLOOKUP(B560,INDIRECT($F$8),6+(O574-1)*3)),11,IF(VLOOKUP(B560,INDIRECT($F$8),6+(O574-1)*3)&lt;S574*0.3,IF(VLOOKUP(B560,INDIRECT($F$8),8+(O574-1)*3)&lt;U574*0.4,IF(AND(0.4*U574-VLOOKUP(B560,INDIRECT($F$8),8+(O574-1)*3)&lt;=5,0.3*S574-VLOOKUP(B560,INDIRECT($F$8),6+(O574-1)*3)&lt;=5),MAX(0.4*U574-VLOOKUP(B560,INDIRECT($F$8),8+(O574-1)*3),0.3*S574-VLOOKUP(B560,INDIRECT($F$8),6+(O574-1)*3)),11),IF(0.3*S574-VLOOKUP(B560,INDIRECT($F$8),6+(O574-1)*3)&lt;=5,0.3*S574-VLOOKUP(B560,INDIRECT($F$8),6+(O574-1)*3),11)),IF(VLOOKUP(B560,INDIRECT($F$8),8+(O574-1)*3)&lt;U574*0.4,IF(U574*0.4-VLOOKUP(B560,INDIRECT($F$8),8+(O574-1)*3)&lt;=5,U574*0.4-VLOOKUP(B560,INDIRECT($F$8),8+(O574-1)*3),11),0))))</f>
        <v/>
      </c>
      <c r="X574" s="1" t="str">
        <f ca="1">IF(ISERROR(F560),"",IF(W574=0,"",_xlfn.TEXTJOIN("",FALSE," G+",W574," in ",A574)))</f>
        <v/>
      </c>
    </row>
    <row r="575" spans="1:24" ht="11.25" customHeight="1" x14ac:dyDescent="0.2">
      <c r="A575" s="7" t="str">
        <f ca="1">IF(ISERROR(F560),"",VLOOKUP(C560,INDIRECT($F$8),6+(O575-1)*3,0))</f>
        <v/>
      </c>
      <c r="B575" s="41" t="str">
        <f ca="1">IF(ISERROR(F560),"",VLOOKUP(D560,INDIRECT($F$8),6+(O575-1)*3,0))</f>
        <v/>
      </c>
      <c r="C575" s="41"/>
      <c r="D575" s="41"/>
      <c r="E575" s="41"/>
      <c r="F575" s="7" t="str">
        <f ca="1">IF(ISERROR(F560),"",VLOOKUP(E560,INDIRECT($F$8),6+(O575-1)*3,0))</f>
        <v/>
      </c>
      <c r="G575" s="42" t="str">
        <f ca="1">IF(ISERROR(F560),"",_xlfn.TEXTJOIN("/",FALSE,P575,S575))</f>
        <v/>
      </c>
      <c r="H575" s="42"/>
      <c r="I575" s="42" t="str">
        <f ca="1">IF(ISERROR(F560),"",_xlfn.TEXTJOIN("/",FALSE,Q575,T575))</f>
        <v/>
      </c>
      <c r="J575" s="42"/>
      <c r="K575" s="42" t="str">
        <f ca="1">IF(ISERROR(F560),"",_xlfn.TEXTJOIN("/",FALSE,R575,U575))</f>
        <v/>
      </c>
      <c r="L575" s="42"/>
      <c r="M575" s="7" t="str">
        <f ca="1">IF(ISERROR(F560),"",IF(ISTEXT(P575),IF(P575="A","Ab",IF(P575="D","Dt",IF(P575="UFM","UFM",IF(P575="NA","-")))),IF(AND(ISBLANK(P575),ISBLANK(R575)),"",IF(P575&lt;0.3*S575,"F",IF(ISBLANK(R575),"",IF(ISTEXT(R575),R575,IF(R575&gt;=0.95*U575,"O",IF(R575&gt;=0.9*U575,"A+",IF(R575&gt;=0.85*U575,"A",IF(R575&gt;=0.8*U575,"B+",IF(R575&gt;=0.75*U575,"B",IF(R575&gt;=0.7*U575,"C+",IF(R575&gt;=0.65*U575,"C",IF(R575&gt;=0.6*U575,"D+",IF(R575&gt;=0.55*U575,"D",IF(R575&gt;=0.5*U575,"E+",IF(R575&gt;=0.45*U575,"E",IF(R575&gt;=0.4*U575,"P",IF(R575&lt;0.4*U575,"F",R575)))))))))))))))))))</f>
        <v/>
      </c>
      <c r="N575" s="8" t="e">
        <f t="shared" ca="1" si="52"/>
        <v>#N/A</v>
      </c>
      <c r="O575">
        <f t="shared" si="53"/>
        <v>11</v>
      </c>
      <c r="P575" s="1" t="str">
        <f ca="1">IF(ISERROR(F560),"",IF(ISTEXT(VLOOKUP(B560,INDIRECT($F$8),6+(O575-1)*3)),(VLOOKUP(B560,INDIRECT($F$8),6+(O575-1)*3)),SUM(VLOOKUP(B560,INDIRECT($F$8),6+(O575-1)*3),IF(W579,W575,0))))</f>
        <v/>
      </c>
      <c r="Q575" s="1" t="str">
        <f ca="1">IF(ISERROR(F560),"",VLOOKUP(B560,INDIRECT($F$8),7+(O575-1)*3))</f>
        <v/>
      </c>
      <c r="R575" s="1" t="str">
        <f ca="1">IF(ISERROR(F560),"",SUM(P575:Q575))</f>
        <v/>
      </c>
      <c r="S575" s="1" t="str">
        <f ca="1">IF(ISERROR(F560),"",VLOOKUP(A560,INDIRECT($F$8),6+(O575-1)*3))</f>
        <v/>
      </c>
      <c r="T575" s="1" t="str">
        <f ca="1">IF(ISERROR(F560),"",VLOOKUP(A560,INDIRECT($F$8),7+(O575-1)*3))</f>
        <v/>
      </c>
      <c r="U575" s="1" t="str">
        <f ca="1">IF(ISERROR(F560),"",VLOOKUP(A560,INDIRECT($F$8),8+(O575-1)*3))</f>
        <v/>
      </c>
      <c r="V575" s="1" t="str">
        <f ca="1">IF(ISERROR(F560),"",IF(N575=0,A575,""))</f>
        <v/>
      </c>
      <c r="W575" s="1" t="str">
        <f ca="1">IF(ISERROR(F560),"",IF(ISTEXT(VLOOKUP(B560,INDIRECT($F$8),6+(O575-1)*3)),11,IF(VLOOKUP(B560,INDIRECT($F$8),6+(O575-1)*3)&lt;S575*0.3,IF(VLOOKUP(B560,INDIRECT($F$8),8+(O575-1)*3)&lt;U575*0.4,IF(AND(0.4*U575-VLOOKUP(B560,INDIRECT($F$8),8+(O575-1)*3)&lt;=5,0.3*S575-VLOOKUP(B560,INDIRECT($F$8),6+(O575-1)*3)&lt;=5),MAX(0.4*U575-VLOOKUP(B560,INDIRECT($F$8),8+(O575-1)*3),0.3*S575-VLOOKUP(B560,INDIRECT($F$8),6+(O575-1)*3)),11),IF(0.3*S575-VLOOKUP(B560,INDIRECT($F$8),6+(O575-1)*3)&lt;=5,0.3*S575-VLOOKUP(B560,INDIRECT($F$8),6+(O575-1)*3),11)),IF(VLOOKUP(B560,INDIRECT($F$8),8+(O575-1)*3)&lt;U575*0.4,IF(U575*0.4-VLOOKUP(B560,INDIRECT($F$8),8+(O575-1)*3)&lt;=5,U575*0.4-VLOOKUP(B560,INDIRECT($F$8),8+(O575-1)*3),11),0))))</f>
        <v/>
      </c>
      <c r="X575" s="1" t="str">
        <f ca="1">IF(ISERROR(F560),"",IF(W575=0,"",_xlfn.TEXTJOIN("",FALSE," G+",W575," in ",A575)))</f>
        <v/>
      </c>
    </row>
    <row r="576" spans="1:24" ht="11.25" customHeight="1" x14ac:dyDescent="0.2">
      <c r="A576" s="7" t="str">
        <f ca="1">IF(ISERROR(F560),"",VLOOKUP(C560,INDIRECT($F$8),6+(O576-1)*3,0))</f>
        <v/>
      </c>
      <c r="B576" s="41" t="str">
        <f ca="1">IF(ISERROR(F560),"",VLOOKUP(D560,INDIRECT($F$8),6+(O576-1)*3,0))</f>
        <v/>
      </c>
      <c r="C576" s="41"/>
      <c r="D576" s="41"/>
      <c r="E576" s="41"/>
      <c r="F576" s="7" t="str">
        <f ca="1">IF(ISERROR(F560),"",VLOOKUP(E560,INDIRECT($F$8),6+(O576-1)*3,0))</f>
        <v/>
      </c>
      <c r="G576" s="42" t="str">
        <f ca="1">IF(ISERROR(F560),"",_xlfn.TEXTJOIN("/",FALSE,P576,S576))</f>
        <v/>
      </c>
      <c r="H576" s="42"/>
      <c r="I576" s="42" t="str">
        <f ca="1">IF(ISERROR(F560),"",_xlfn.TEXTJOIN("/",FALSE,Q576,T576))</f>
        <v/>
      </c>
      <c r="J576" s="42"/>
      <c r="K576" s="42" t="str">
        <f ca="1">IF(ISERROR(F560),"",_xlfn.TEXTJOIN("/",FALSE,R576,U576))</f>
        <v/>
      </c>
      <c r="L576" s="42"/>
      <c r="M576" s="7" t="str">
        <f ca="1">IF(ISERROR(F560),"",IF(ISTEXT(P576),IF(P576="A","Ab",IF(P576="D","Dt",IF(P576="UFM","UFM",IF(P576="NA","-")))),IF(AND(ISBLANK(P576),ISBLANK(R576)),"",IF(P576&lt;0.3*S576,"F",IF(ISBLANK(R576),"",IF(ISTEXT(R576),R576,IF(R576&gt;=0.95*U576,"O",IF(R576&gt;=0.9*U576,"A+",IF(R576&gt;=0.85*U576,"A",IF(R576&gt;=0.8*U576,"B+",IF(R576&gt;=0.75*U576,"B",IF(R576&gt;=0.7*U576,"C+",IF(R576&gt;=0.65*U576,"C",IF(R576&gt;=0.6*U576,"D+",IF(R576&gt;=0.55*U576,"D",IF(R576&gt;=0.5*U576,"E+",IF(R576&gt;=0.45*U576,"E",IF(R576&gt;=0.4*U576,"P",IF(R576&lt;0.4*U576,"F",R576)))))))))))))))))))</f>
        <v/>
      </c>
      <c r="N576" s="8" t="e">
        <f t="shared" ca="1" si="52"/>
        <v>#N/A</v>
      </c>
      <c r="O576">
        <f t="shared" si="53"/>
        <v>12</v>
      </c>
      <c r="P576" s="1" t="str">
        <f ca="1">IF(ISERROR(F560),"",IF(ISTEXT(VLOOKUP(B560,INDIRECT($F$8),6+(O576-1)*3)),(VLOOKUP(B560,INDIRECT($F$8),6+(O576-1)*3)),SUM(VLOOKUP(B560,INDIRECT($F$8),6+(O576-1)*3),IF(W579,W576,0))))</f>
        <v/>
      </c>
      <c r="Q576" s="1" t="str">
        <f ca="1">IF(ISERROR(F560),"",VLOOKUP(B560,INDIRECT($F$8),7+(O576-1)*3))</f>
        <v/>
      </c>
      <c r="R576" s="1" t="str">
        <f ca="1">IF(ISERROR(F560),"",SUM(P576:Q576))</f>
        <v/>
      </c>
      <c r="S576" s="1" t="str">
        <f ca="1">IF(ISERROR(F560),"",VLOOKUP(A560,INDIRECT($F$8),6+(O576-1)*3))</f>
        <v/>
      </c>
      <c r="T576" s="1" t="str">
        <f ca="1">IF(ISERROR(F560),"",VLOOKUP(A560,INDIRECT($F$8),7+(O576-1)*3))</f>
        <v/>
      </c>
      <c r="U576" s="1" t="str">
        <f ca="1">IF(ISERROR(F560),"",VLOOKUP(A560,INDIRECT($F$8),8+(O576-1)*3))</f>
        <v/>
      </c>
      <c r="V576" s="1" t="str">
        <f ca="1">IF(ISERROR(F560),"",IF(N576=0,A576,""))</f>
        <v/>
      </c>
      <c r="W576" s="1" t="str">
        <f ca="1">IF(ISERROR(F560),"",IF(ISTEXT(VLOOKUP(B560,INDIRECT($F$8),6+(O576-1)*3)),11,IF(VLOOKUP(B560,INDIRECT($F$8),6+(O576-1)*3)&lt;S576*0.3,IF(VLOOKUP(B560,INDIRECT($F$8),8+(O576-1)*3)&lt;U576*0.4,IF(AND(0.4*U576-VLOOKUP(B560,INDIRECT($F$8),8+(O576-1)*3)&lt;=5,0.3*S576-VLOOKUP(B560,INDIRECT($F$8),6+(O576-1)*3)&lt;=5),MAX(0.4*U576-VLOOKUP(B560,INDIRECT($F$8),8+(O576-1)*3),0.3*S576-VLOOKUP(B560,INDIRECT($F$8),6+(O576-1)*3)),11),IF(0.3*S576-VLOOKUP(B560,INDIRECT($F$8),6+(O576-1)*3)&lt;=5,0.3*S576-VLOOKUP(B560,INDIRECT($F$8),6+(O576-1)*3),11)),IF(VLOOKUP(B560,INDIRECT($F$8),8+(O576-1)*3)&lt;U576*0.4,IF(U576*0.4-VLOOKUP(B560,INDIRECT($F$8),8+(O576-1)*3)&lt;=5,U576*0.4-VLOOKUP(B560,INDIRECT($F$8),8+(O576-1)*3),11),0))))</f>
        <v/>
      </c>
      <c r="X576" s="1" t="str">
        <f ca="1">IF(ISERROR(F560),"",IF(W576=0,"",_xlfn.TEXTJOIN("",FALSE," G+",W576," in ",A576)))</f>
        <v/>
      </c>
    </row>
    <row r="577" spans="1:24" ht="11.25" customHeight="1" x14ac:dyDescent="0.2">
      <c r="A577" s="7" t="str">
        <f ca="1">IF(ISERROR(F560),"",VLOOKUP(C560,INDIRECT($F$8),6+(O577-1)*3,0))</f>
        <v/>
      </c>
      <c r="B577" s="41" t="str">
        <f ca="1">IF(ISERROR(F560),"",VLOOKUP(D560,INDIRECT($F$8),6+(O577-1)*3,0))</f>
        <v/>
      </c>
      <c r="C577" s="41"/>
      <c r="D577" s="41"/>
      <c r="E577" s="41"/>
      <c r="F577" s="7" t="str">
        <f ca="1">IF(ISERROR(F560),"",VLOOKUP(E560,INDIRECT($F$8),6+(O577-1)*3,0))</f>
        <v/>
      </c>
      <c r="G577" s="42" t="str">
        <f ca="1">IF(ISERROR(F560),"",_xlfn.TEXTJOIN("/",FALSE,P577,S577))</f>
        <v/>
      </c>
      <c r="H577" s="42"/>
      <c r="I577" s="42" t="str">
        <f ca="1">IF(ISERROR(F560),"",_xlfn.TEXTJOIN("/",FALSE,Q577,T577))</f>
        <v/>
      </c>
      <c r="J577" s="42"/>
      <c r="K577" s="42" t="str">
        <f ca="1">IF(ISERROR(F560),"",_xlfn.TEXTJOIN("/",FALSE,R577,U577))</f>
        <v/>
      </c>
      <c r="L577" s="42"/>
      <c r="M577" s="7" t="str">
        <f ca="1">IF(ISERROR(F560),"",IF(ISTEXT(P577),IF(P577="A","Ab",IF(P577="D","Dt",IF(P577="UFM","UFM",IF(P577="NA","-")))),IF(AND(ISBLANK(P577),ISBLANK(R577)),"",IF(P577&lt;0.3*S577,"F",IF(ISBLANK(R577),"",IF(ISTEXT(R577),R577,IF(R577&gt;=0.95*U577,"O",IF(R577&gt;=0.9*U577,"A+",IF(R577&gt;=0.85*U577,"A",IF(R577&gt;=0.8*U577,"B+",IF(R577&gt;=0.75*U577,"B",IF(R577&gt;=0.7*U577,"C+",IF(R577&gt;=0.65*U577,"C",IF(R577&gt;=0.6*U577,"D+",IF(R577&gt;=0.55*U577,"D",IF(R577&gt;=0.5*U577,"E+",IF(R577&gt;=0.45*U577,"E",IF(R577&gt;=0.4*U577,"P",IF(R577&lt;0.4*U577,"F",R577)))))))))))))))))))</f>
        <v/>
      </c>
      <c r="N577" s="8" t="e">
        <f t="shared" ca="1" si="52"/>
        <v>#N/A</v>
      </c>
      <c r="O577">
        <f t="shared" si="53"/>
        <v>13</v>
      </c>
      <c r="P577" s="1" t="str">
        <f ca="1">IF(ISERROR(F560),"",IF(ISTEXT(VLOOKUP(B560,INDIRECT($F$8),6+(O577-1)*3)),(VLOOKUP(B560,INDIRECT($F$8),6+(O577-1)*3)),SUM(VLOOKUP(B560,INDIRECT($F$8),6+(O577-1)*3),IF(W579,W577,0))))</f>
        <v/>
      </c>
      <c r="Q577" s="1" t="str">
        <f ca="1">IF(ISERROR(F560),"",VLOOKUP(B560,INDIRECT($F$8),7+(O577-1)*3))</f>
        <v/>
      </c>
      <c r="R577" s="1" t="str">
        <f ca="1">IF(ISERROR(F560),"",SUM(P577:Q577))</f>
        <v/>
      </c>
      <c r="S577" s="1" t="str">
        <f ca="1">IF(ISERROR(F560),"",VLOOKUP(A560,INDIRECT($F$8),6+(O577-1)*3))</f>
        <v/>
      </c>
      <c r="T577" s="1" t="str">
        <f ca="1">IF(ISERROR(F560),"",VLOOKUP(A560,INDIRECT($F$8),7+(O577-1)*3))</f>
        <v/>
      </c>
      <c r="U577" s="1" t="str">
        <f ca="1">IF(ISERROR(F560),"",VLOOKUP(A560,INDIRECT($F$8),8+(O577-1)*3))</f>
        <v/>
      </c>
      <c r="V577" s="1"/>
      <c r="W577" s="1" t="str">
        <f ca="1">IF(ISERROR(F560),"",IF(ISTEXT(VLOOKUP(B560,INDIRECT($F$8),6+(O577-1)*3)),11,IF(VLOOKUP(B560,INDIRECT($F$8),6+(O577-1)*3)&lt;S577*0.3,IF(VLOOKUP(B560,INDIRECT($F$8),8+(O577-1)*3)&lt;U577*0.4,IF(AND(0.4*U577-VLOOKUP(B560,INDIRECT($F$8),8+(O577-1)*3)&lt;=5,0.3*S577-VLOOKUP(B560,INDIRECT($F$8),6+(O577-1)*3)&lt;=5),MAX(0.4*U577-VLOOKUP(B560,INDIRECT($F$8),8+(O577-1)*3),0.3*S577-VLOOKUP(B560,INDIRECT($F$8),6+(O577-1)*3)),11),IF(0.3*S577-VLOOKUP(B560,INDIRECT($F$8),6+(O577-1)*3)&lt;=5,0.3*S577-VLOOKUP(B560,INDIRECT($F$8),6+(O577-1)*3),11)),IF(VLOOKUP(B560,INDIRECT($F$8),8+(O577-1)*3)&lt;U577*0.4,IF(U577*0.4-VLOOKUP(B560,INDIRECT($F$8),8+(O577-1)*3)&lt;=5,U577*0.4-VLOOKUP(B560,INDIRECT($F$8),8+(O577-1)*3),11),0))))</f>
        <v/>
      </c>
      <c r="X577" s="1" t="str">
        <f ca="1">IF(ISERROR(F560),"",IF(W577=0,"",_xlfn.TEXTJOIN("",FALSE," G+",W577," in ",A577)))</f>
        <v/>
      </c>
    </row>
    <row r="578" spans="1:24" s="32" customFormat="1" ht="11.25" customHeight="1" x14ac:dyDescent="0.2">
      <c r="A578" s="31" t="str">
        <f ca="1">IF(ISERROR(F560),"",VLOOKUP(C560,INDIRECT($F$8),6+(O578-1)*3-Y578,0))</f>
        <v/>
      </c>
      <c r="B578" s="49" t="str">
        <f ca="1">IF(ISERROR(F560),"",VLOOKUP(D560,INDIRECT($F$8),6+(O578-1)*3-Z578,0))</f>
        <v/>
      </c>
      <c r="C578" s="49"/>
      <c r="D578" s="49"/>
      <c r="E578" s="49"/>
      <c r="F578" s="31" t="str">
        <f ca="1">IF(ISERROR(F560),"",VLOOKUP(E560,INDIRECT($F$8),6+(O578-1)*3-AA578,0))</f>
        <v/>
      </c>
      <c r="G578" s="50" t="str">
        <f ca="1">IF(ISERROR(F560),"","-")</f>
        <v/>
      </c>
      <c r="H578" s="50"/>
      <c r="I578" s="50" t="str">
        <f ca="1">IF(ISERROR(F560),"",_xlfn.TEXTJOIN("/",FALSE,Q578,T578))</f>
        <v/>
      </c>
      <c r="J578" s="50"/>
      <c r="K578" s="50" t="str">
        <f ca="1">IF(ISERROR(F560),"",_xlfn.TEXTJOIN("/",FALSE,R578,U578))</f>
        <v/>
      </c>
      <c r="L578" s="50"/>
      <c r="M578" s="7" t="b">
        <f ca="1">IF(ISERROR(F561),"",IF(ISTEXT(P578),IF(P578="A","Ab",IF(P578="D","Dt",IF(P578="UFM","UFM",IF(P578="NA","")))),IF(AND(ISBLANK(P578),ISBLANK(R578)),"",IF(P578&lt;0.3*S578,"F",IF(ISBLANK(R578),"",IF(ISTEXT(R578),R578,IF(R578&gt;=0.95*U578,"O",IF(R578&gt;=0.9*U578,"A+",IF(R578&gt;=0.85*U578,"A",IF(R578&gt;=0.8*U578,"B+",IF(R578&gt;=0.75*U578,"B",IF(R578&gt;=0.7*U578,"C+",IF(R578&gt;=0.65*U578,"C",IF(R578&gt;=0.6*U578,"D+",IF(R578&gt;=0.55*U578,"D",IF(R578&gt;=0.5*U578,"E+",IF(R578&gt;=0.45*U578,"E",IF(R578&gt;=0.4*U578,"P",IF(R578&lt;0.4*U578,"F",R578)))))))))))))))))))</f>
        <v>0</v>
      </c>
      <c r="N578" s="8" t="e">
        <f t="shared" ref="N567:N578" ca="1" si="54">INDEX($Z$2:$Z$18,MATCH(M578,$Y$2:$Y$18,0))</f>
        <v>#N/A</v>
      </c>
      <c r="O578" s="32">
        <f t="shared" si="53"/>
        <v>14</v>
      </c>
      <c r="P578" s="33" t="str">
        <f ca="1">IF(ISERROR(F560),"",IF(ISTEXT(VLOOKUP(B\28,INDIRECT($F$8),6+(O578-1)*3)),(VLOOKUP(B560,INDIRECT($F$8),6+(O578-1)*3)),SUM(VLOOKUP(B560,INDIRECT($F$8),6+(O578-1)*3),IF(W579,W578,0))))</f>
        <v/>
      </c>
      <c r="Q578" s="33" t="str">
        <f ca="1">IF(ISERROR(F560),"",VLOOKUP(B560,INDIRECT($F$8),7+(O578-1)*3))</f>
        <v/>
      </c>
      <c r="R578" s="33" t="str">
        <f ca="1">IF(ISERROR(F560),"",SUM(P578:Q578))</f>
        <v/>
      </c>
      <c r="S578" s="33" t="str">
        <f ca="1">IF(ISERROR(F560),"",VLOOKUP(A560,INDIRECT($F$8),6+(O578-1)*3))</f>
        <v/>
      </c>
      <c r="T578" s="33" t="str">
        <f ca="1">IF(ISERROR(F560),"",VLOOKUP(A560,INDIRECT($F$8),7+(O578-1)*3))</f>
        <v/>
      </c>
      <c r="U578" s="33" t="str">
        <f ca="1">IF(ISERROR(F560),"",VLOOKUP(A560,INDIRECT($F$8),8+(O578-1)*3))</f>
        <v/>
      </c>
      <c r="V578" s="33"/>
      <c r="W578" s="33"/>
      <c r="X578" s="33" t="str">
        <f ca="1">IF(ISERROR(F560),"",IF(W578=0,"",_xlfn.TEXTJOIN("",FALSE," G+",W578," in ",A578)))</f>
        <v/>
      </c>
    </row>
    <row r="579" spans="1:24" ht="11.25" customHeight="1" x14ac:dyDescent="0.2">
      <c r="A579" s="43" t="str">
        <f ca="1">IF(ISERROR(F560),"",A556)</f>
        <v/>
      </c>
      <c r="B579" s="43"/>
      <c r="C579" s="43"/>
      <c r="D579" s="43"/>
      <c r="E579" s="43"/>
      <c r="F579" s="10" t="str">
        <f ca="1">IF(ISERROR(F560),"",SUM(F565:F578))</f>
        <v/>
      </c>
      <c r="G579" s="44" t="str">
        <f ca="1">IF(ISERROR(F560),"",_xlfn.TEXTJOIN("/",TRUE,SUMIF(F565:F578,"&gt;0",P565:P578),SUMIF(F565:F578,"&gt;0",S565:S578)))</f>
        <v/>
      </c>
      <c r="H579" s="44"/>
      <c r="I579" s="44" t="str">
        <f ca="1">IF(ISERROR(F560),"",_xlfn.TEXTJOIN("/",TRUE,SUMIF(F565:F578,"&gt;0",Q565:Q578),SUMIF(F565:F578,"&gt;0",T565:T578)))</f>
        <v/>
      </c>
      <c r="J579" s="44"/>
      <c r="K579" s="44" t="str">
        <f ca="1">IF(ISERROR(F560),"",_xlfn.TEXTJOIN("/",TRUE,SUMIF(F565:F578,"&gt;0",R565:R578),SUMIF(F565:F578,"&gt;0",U565:U578)))</f>
        <v/>
      </c>
      <c r="L579" s="44"/>
      <c r="M579" s="43" t="str">
        <f ca="1">IF(ISERROR(F560),"",SUMPRODUCT(N565:N577,F565:F577))</f>
        <v/>
      </c>
      <c r="N579" s="43"/>
      <c r="V579" s="1" t="str">
        <f ca="1">IF(ISERROR(F560),"",_xlfn.TEXTJOIN(", ",TRUE,V565:V578))</f>
        <v/>
      </c>
      <c r="W579" t="str">
        <f ca="1">IF(ISERROR(F560),"",IF(SUM(W565:W578)&lt;=W564,TRUE,FALSE))</f>
        <v/>
      </c>
      <c r="X579" s="1" t="str">
        <f ca="1">_xlfn.TEXTJOIN(",",TRUE,X565:X578)</f>
        <v/>
      </c>
    </row>
    <row r="580" spans="1:24" ht="11.25" customHeight="1" x14ac:dyDescent="0.2">
      <c r="A580" s="43" t="str">
        <f ca="1">IF(ISERROR(F560),"",A557)</f>
        <v/>
      </c>
      <c r="B580" s="45" t="str">
        <f ca="1">IF(ISERROR(F560),"",IF(V579="","PASS","CARRY OVER"))</f>
        <v/>
      </c>
      <c r="C580" s="45"/>
      <c r="D580" s="43" t="str">
        <f ca="1">IF(ISERROR(F560),"",D557)</f>
        <v/>
      </c>
      <c r="E580" s="45" t="str">
        <f ca="1">IF(ISERROR(F560),"",IF(W579,X579,IF(V579="","",_xlfn.TEXTJOIN("",TRUE,"BACK IN ",V579))))</f>
        <v/>
      </c>
      <c r="F580" s="45"/>
      <c r="G580" s="43" t="str">
        <f ca="1">IF(ISERROR(F560),"",G557)</f>
        <v/>
      </c>
      <c r="H580" s="46" t="str">
        <f ca="1">IF(ISERROR(F560),"",M579/F579)</f>
        <v/>
      </c>
      <c r="I580" s="43" t="str">
        <f ca="1">IF(ISERROR(F560),"",I557)</f>
        <v/>
      </c>
      <c r="J580" s="46" t="str">
        <f ca="1">IF(ISERROR(F560),"",VLOOKUP(B560,INDIRECT($F$8),12+(O578-1)*3,0))</f>
        <v/>
      </c>
      <c r="K580" s="45" t="str">
        <f ca="1">IF(ISERROR(F560),"",K557)</f>
        <v/>
      </c>
      <c r="L580" s="43" t="str">
        <f ca="1">IF(ISERROR(F560),"",SUMIF(N565:N577,"&gt;0",F565:F577))</f>
        <v/>
      </c>
      <c r="M580" s="45" t="str">
        <f ca="1">IF(ISERROR(F560),"",M557)</f>
        <v/>
      </c>
      <c r="N580" s="43" t="str">
        <f ca="1">IF(ISERROR(F560),"",VLOOKUP(B560,INDIRECT($F$8),10+(O578-1)*3,0))</f>
        <v/>
      </c>
    </row>
    <row r="581" spans="1:24" ht="11.25" customHeight="1" x14ac:dyDescent="0.2">
      <c r="A581" s="43"/>
      <c r="B581" s="45"/>
      <c r="C581" s="45"/>
      <c r="D581" s="43"/>
      <c r="E581" s="45"/>
      <c r="F581" s="45"/>
      <c r="G581" s="43"/>
      <c r="H581" s="46"/>
      <c r="I581" s="43"/>
      <c r="J581" s="46"/>
      <c r="K581" s="45"/>
      <c r="L581" s="43"/>
      <c r="M581" s="45"/>
      <c r="N581" s="43"/>
    </row>
    <row r="582" spans="1:24" ht="15" x14ac:dyDescent="0.2">
      <c r="A582" s="43"/>
      <c r="B582" s="45"/>
      <c r="C582" s="45"/>
      <c r="D582" s="43"/>
      <c r="E582" s="45"/>
      <c r="F582" s="45"/>
      <c r="G582" s="43"/>
      <c r="H582" s="46"/>
      <c r="I582" s="43"/>
      <c r="J582" s="46"/>
      <c r="K582" s="45"/>
      <c r="L582" s="43"/>
      <c r="M582" s="45"/>
      <c r="N582" s="43"/>
    </row>
    <row r="583" spans="1:24" ht="11.25" customHeight="1" x14ac:dyDescent="0.2">
      <c r="A583" s="11" t="str">
        <f>A560</f>
        <v>MM</v>
      </c>
      <c r="B583" s="11">
        <f>B560+1</f>
        <v>26</v>
      </c>
      <c r="C583" s="11" t="str">
        <f>C560</f>
        <v>SC</v>
      </c>
      <c r="D583" s="11" t="str">
        <f>D560</f>
        <v>SN</v>
      </c>
      <c r="E583" s="11" t="str">
        <f>E560</f>
        <v>C</v>
      </c>
      <c r="F583" s="11" t="e">
        <f ca="1">VLOOKUP(B583,INDIRECT($F$8),4,0)</f>
        <v>#N/A</v>
      </c>
    </row>
    <row r="584" spans="1:24" ht="11.25" customHeight="1" x14ac:dyDescent="0.2">
      <c r="A584" s="47" t="str">
        <f ca="1">IF(ISERROR(F583),"",A561)</f>
        <v/>
      </c>
      <c r="B584" s="47" t="str">
        <f ca="1">IFERROR(VLOOKUP(B583,INDIRECT($F$8),4,0),"")</f>
        <v/>
      </c>
      <c r="C584" s="47"/>
      <c r="D584" s="47" t="str">
        <f ca="1">IF(ISERROR(F583),"",D561)</f>
        <v/>
      </c>
      <c r="E584" s="47" t="str">
        <f ca="1">IFERROR(VLOOKUP(B583,INDIRECT($F$8),5,0),"")</f>
        <v/>
      </c>
      <c r="F584" s="47"/>
      <c r="G584" s="47" t="str">
        <f ca="1">IF(ISERROR(F583),"",G561)</f>
        <v/>
      </c>
      <c r="H584" s="47"/>
      <c r="I584" s="48" t="str">
        <f ca="1">IFERROR(VLOOKUP(B583,INDIRECT($F$8),2,0),"")</f>
        <v/>
      </c>
      <c r="J584" s="48"/>
      <c r="K584" s="47" t="str">
        <f ca="1">IF(ISERROR(F583),"",K561)</f>
        <v/>
      </c>
      <c r="L584" s="47"/>
      <c r="M584" s="48" t="str">
        <f ca="1">IFERROR(VLOOKUP(B583,INDIRECT($F$8),3,0),"")</f>
        <v/>
      </c>
      <c r="N584" s="48"/>
    </row>
    <row r="585" spans="1:24" ht="11.25" customHeight="1" x14ac:dyDescent="0.2">
      <c r="A585" s="47"/>
      <c r="B585" s="47"/>
      <c r="C585" s="47"/>
      <c r="D585" s="47"/>
      <c r="E585" s="47"/>
      <c r="F585" s="47"/>
      <c r="G585" s="47"/>
      <c r="H585" s="47"/>
      <c r="I585" s="48"/>
      <c r="J585" s="48"/>
      <c r="K585" s="47"/>
      <c r="L585" s="47"/>
      <c r="M585" s="48"/>
      <c r="N585" s="48"/>
    </row>
    <row r="586" spans="1:24" ht="11.25" customHeight="1" x14ac:dyDescent="0.2">
      <c r="A586" s="45" t="str">
        <f ca="1">IF(ISERROR(F583),"",A563)</f>
        <v/>
      </c>
      <c r="B586" s="45" t="str">
        <f ca="1">IF(ISERROR(F583),"",B563)</f>
        <v/>
      </c>
      <c r="C586" s="45"/>
      <c r="D586" s="45"/>
      <c r="E586" s="45"/>
      <c r="F586" s="45" t="str">
        <f ca="1">IF(ISERROR(F583),"",F563)</f>
        <v/>
      </c>
      <c r="G586" s="45" t="str">
        <f ca="1">IF(ISERROR(F583),"",G563)</f>
        <v/>
      </c>
      <c r="H586" s="45"/>
      <c r="I586" s="45" t="str">
        <f ca="1">IF(ISERROR(F583),"",I563)</f>
        <v/>
      </c>
      <c r="J586" s="45"/>
      <c r="K586" s="45" t="str">
        <f ca="1">IF(ISERROR(F583),"",K563)</f>
        <v/>
      </c>
      <c r="L586" s="45"/>
      <c r="M586" s="45" t="str">
        <f ca="1">IF(ISERROR(F583),"",M563)</f>
        <v/>
      </c>
      <c r="N586" s="45" t="str">
        <f ca="1">IF(ISERROR(F583),"",N563)</f>
        <v/>
      </c>
    </row>
    <row r="587" spans="1:24" ht="11.25" customHeight="1" x14ac:dyDescent="0.2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W587">
        <f ca="1">IF(ISNUMBER(MATCH($F$8,{"I","III","V","VII"},0)),10,10-INDEX(INDIRECT(_xlfn.TEXTJOIN("",TRUE,"SEM_",$G$8,"!",ADDRESS(6,4+$I$8*3+4),":",ADDRESS(5+$H$8,4+$I$8*3+4))),MATCH(INDIRECT(_xlfn.TEXTJOIN("",TRUE,"TC_",$F$8,"!",ADDRESS(ROW(I584),COLUMN(I584)))),INDIRECT(_xlfn.TEXTJOIN("",TRUE,"SEM_",$G$8,"!",ADDRESS(6,2),":",ADDRESS(5+$H$8,2))))))</f>
        <v>10</v>
      </c>
    </row>
    <row r="588" spans="1:24" ht="11.25" customHeight="1" x14ac:dyDescent="0.2">
      <c r="A588" s="7" t="str">
        <f ca="1">IF(ISERROR(F583),"",VLOOKUP(C583,INDIRECT($F$8),6+(O588-1)*3,0))</f>
        <v/>
      </c>
      <c r="B588" s="41" t="str">
        <f ca="1">IF(ISERROR(F583),"",VLOOKUP(D583,INDIRECT($F$8),6+(O588-1)*3,0))</f>
        <v/>
      </c>
      <c r="C588" s="41"/>
      <c r="D588" s="41"/>
      <c r="E588" s="41"/>
      <c r="F588" s="7" t="str">
        <f ca="1">IF(ISERROR(F583),"",VLOOKUP(E583,INDIRECT($F$8),6+(O588-1)*3,0))</f>
        <v/>
      </c>
      <c r="G588" s="42" t="str">
        <f ca="1">IF(ISERROR(F583),"",_xlfn.TEXTJOIN("/",FALSE,P588,S588))</f>
        <v/>
      </c>
      <c r="H588" s="42"/>
      <c r="I588" s="42" t="str">
        <f ca="1">IF(ISERROR(F583),"",_xlfn.TEXTJOIN("/",FALSE,Q588,T588))</f>
        <v/>
      </c>
      <c r="J588" s="42"/>
      <c r="K588" s="42" t="str">
        <f ca="1">IF(ISERROR(F583),"",_xlfn.TEXTJOIN("/",FALSE,R588,U588))</f>
        <v/>
      </c>
      <c r="L588" s="42"/>
      <c r="M588" s="7" t="str">
        <f ca="1">IF(ISERROR(F583),"",IF(ISTEXT(P588),IF(P588="A","Ab",IF(P588="D","Dt",IF(P588="UFM","UFM",IF(P588="NA","-")))),IF(AND(ISBLANK(P588),ISBLANK(R588)),"",IF(P588&lt;0.3*S588,"F",IF(ISBLANK(R588),"",IF(ISTEXT(R588),R588,IF(R588&gt;=0.95*U588,"O",IF(R588&gt;=0.9*U588,"A+",IF(R588&gt;=0.85*U588,"A",IF(R588&gt;=0.8*U588,"B+",IF(R588&gt;=0.75*U588,"B",IF(R588&gt;=0.7*U588,"C+",IF(R588&gt;=0.65*U588,"C",IF(R588&gt;=0.6*U588,"D+",IF(R588&gt;=0.55*U588,"D",IF(R588&gt;=0.5*U588,"E+",IF(R588&gt;=0.45*U588,"E",IF(R588&gt;=0.4*U588,"P",IF(R588&lt;0.4*U588,"F",R588)))))))))))))))))))</f>
        <v/>
      </c>
      <c r="N588" s="8" t="e">
        <f ca="1">INDEX($Z$2:$Z$18,MATCH(M588,$Y$2:$Y$18,0))</f>
        <v>#N/A</v>
      </c>
      <c r="O588">
        <v>1</v>
      </c>
      <c r="P588" s="1" t="str">
        <f ca="1">IF(ISERROR(F583),"",IF(ISTEXT(VLOOKUP(B583,INDIRECT($F$8),6+(O588-1)*3)),(VLOOKUP(B583,INDIRECT($F$8),6+(O588-1)*3)),SUM(VLOOKUP(B583,INDIRECT($F$8),6+(O588-1)*3),IF(W602,W588,0))))</f>
        <v/>
      </c>
      <c r="Q588" s="1" t="str">
        <f ca="1">IF(ISERROR(F583),"",VLOOKUP(B583,INDIRECT($F$8),7+(O588-1)*3))</f>
        <v/>
      </c>
      <c r="R588" s="1" t="str">
        <f ca="1">IF(ISERROR(F583),"",SUM(P588:Q588))</f>
        <v/>
      </c>
      <c r="S588" s="1" t="str">
        <f ca="1">IF(ISERROR(F583),"",VLOOKUP(A583,INDIRECT($F$8),6+(O588-1)*3))</f>
        <v/>
      </c>
      <c r="T588" s="1" t="str">
        <f ca="1">IF(ISERROR(F583),"",VLOOKUP(A583,INDIRECT($F$8),7+(O588-1)*3))</f>
        <v/>
      </c>
      <c r="U588" s="1" t="str">
        <f ca="1">IF(ISERROR(F583),"",VLOOKUP(A583,INDIRECT($F$8),8+(O588-1)*3))</f>
        <v/>
      </c>
      <c r="V588" s="1" t="str">
        <f ca="1">IF(ISERROR(F583),"",IF(N588=0,A588,""))</f>
        <v/>
      </c>
      <c r="W588" s="1" t="str">
        <f ca="1">IF(ISERROR(F583),"",IF(ISTEXT(VLOOKUP(B583,INDIRECT($F$8),6+(O588-1)*3)),11,IF(VLOOKUP(B583,INDIRECT($F$8),6+(O588-1)*3)&lt;S588*0.3,IF(VLOOKUP(B583,INDIRECT($F$8),8+(O588-1)*3)&lt;U588*0.4,IF(AND(0.4*U588-VLOOKUP(B583,INDIRECT($F$8),8+(O588-1)*3)&lt;=5,0.3*S588-VLOOKUP(B583,INDIRECT($F$8),6+(O588-1)*3)&lt;=5),MAX(0.4*U588-VLOOKUP(B583,INDIRECT($F$8),8+(O588-1)*3),0.3*S588-VLOOKUP(B583,INDIRECT($F$8),6+(O588-1)*3)),11),IF(0.3*S588-VLOOKUP(B583,INDIRECT($F$8),6+(O588-1)*3)&lt;=5,0.3*S588-VLOOKUP(B583,INDIRECT($F$8),6+(O588-1)*3),11)),IF(VLOOKUP(B583,INDIRECT($F$8),8+(O588-1)*3)&lt;U588*0.4,IF(U588*0.4-VLOOKUP(B583,INDIRECT($F$8),8+(O588-1)*3)&lt;=5,U588*0.4-VLOOKUP(B583,INDIRECT($F$8),8+(O588-1)*3),11),0))))</f>
        <v/>
      </c>
      <c r="X588" s="1" t="str">
        <f ca="1">IF(ISERROR(F583),"",IF(W588=0,"",_xlfn.TEXTJOIN("",FALSE," G+",W588," in ",A588)))</f>
        <v/>
      </c>
    </row>
    <row r="589" spans="1:24" ht="11.25" customHeight="1" x14ac:dyDescent="0.2">
      <c r="A589" s="7" t="str">
        <f ca="1">IF(ISERROR(F583),"",VLOOKUP(C583,INDIRECT($F$8),6+(O589-1)*3,0))</f>
        <v/>
      </c>
      <c r="B589" s="41" t="str">
        <f ca="1">IF(ISERROR(F583),"",VLOOKUP(D583,INDIRECT($F$8),6+(O589-1)*3,0))</f>
        <v/>
      </c>
      <c r="C589" s="41"/>
      <c r="D589" s="41"/>
      <c r="E589" s="41"/>
      <c r="F589" s="7" t="str">
        <f ca="1">IF(ISERROR(F583),"",VLOOKUP(E583,INDIRECT($F$8),6+(O589-1)*3,0))</f>
        <v/>
      </c>
      <c r="G589" s="42" t="str">
        <f ca="1">IF(ISERROR(F583),"",_xlfn.TEXTJOIN("/",FALSE,P589,S589))</f>
        <v/>
      </c>
      <c r="H589" s="42"/>
      <c r="I589" s="42" t="str">
        <f ca="1">IF(ISERROR(F583),"",_xlfn.TEXTJOIN("/",FALSE,Q589,T589))</f>
        <v/>
      </c>
      <c r="J589" s="42"/>
      <c r="K589" s="42" t="str">
        <f ca="1">IF(ISERROR(F583),"",_xlfn.TEXTJOIN("/",FALSE,R589,U589))</f>
        <v/>
      </c>
      <c r="L589" s="42"/>
      <c r="M589" s="7" t="str">
        <f ca="1">IF(ISERROR(F583),"",IF(ISTEXT(P589),IF(P589="A","Ab",IF(P589="D","Dt",IF(P589="UFM","UFM",IF(P589="NA","-")))),IF(AND(ISBLANK(P589),ISBLANK(R589)),"",IF(P589&lt;0.3*S589,"F",IF(ISBLANK(R589),"",IF(ISTEXT(R589),R589,IF(R589&gt;=0.95*U589,"O",IF(R589&gt;=0.9*U589,"A+",IF(R589&gt;=0.85*U589,"A",IF(R589&gt;=0.8*U589,"B+",IF(R589&gt;=0.75*U589,"B",IF(R589&gt;=0.7*U589,"C+",IF(R589&gt;=0.65*U589,"C",IF(R589&gt;=0.6*U589,"D+",IF(R589&gt;=0.55*U589,"D",IF(R589&gt;=0.5*U589,"E+",IF(R589&gt;=0.45*U589,"E",IF(R589&gt;=0.4*U589,"P",IF(R589&lt;0.4*U589,"F",R589)))))))))))))))))))</f>
        <v/>
      </c>
      <c r="N589" s="8" t="e">
        <f t="shared" ref="N589:N600" ca="1" si="55">INDEX($Z$2:$Z$18,MATCH(M589,$Y$2:$Y$18,0))</f>
        <v>#N/A</v>
      </c>
      <c r="O589">
        <f>O588+1</f>
        <v>2</v>
      </c>
      <c r="P589" s="1" t="str">
        <f ca="1">IF(ISERROR(F583),"",IF(ISTEXT(VLOOKUP(B583,INDIRECT($F$8),6+(O589-1)*3)),(VLOOKUP(B583,INDIRECT($F$8),6+(O589-1)*3)),SUM(VLOOKUP(B583,INDIRECT($F$8),6+(O589-1)*3),IF(W602,W589,0))))</f>
        <v/>
      </c>
      <c r="Q589" s="1" t="str">
        <f ca="1">IF(ISERROR(F583),"",VLOOKUP(B583,INDIRECT($F$8),7+(O589-1)*3))</f>
        <v/>
      </c>
      <c r="R589" s="1" t="str">
        <f ca="1">IF(ISERROR(F583),"",SUM(P589:Q589))</f>
        <v/>
      </c>
      <c r="S589" s="1" t="str">
        <f ca="1">IF(ISERROR(F583),"",VLOOKUP(A583,INDIRECT($F$8),6+(O589-1)*3))</f>
        <v/>
      </c>
      <c r="T589" s="1" t="str">
        <f ca="1">IF(ISERROR(F583),"",VLOOKUP(A583,INDIRECT($F$8),7+(O589-1)*3))</f>
        <v/>
      </c>
      <c r="U589" s="1" t="str">
        <f ca="1">IF(ISERROR(F583),"",VLOOKUP(A583,INDIRECT($F$8),8+(O589-1)*3))</f>
        <v/>
      </c>
      <c r="V589" s="1" t="str">
        <f ca="1">IF(ISERROR(F583),"",IF(N589=0,A589,""))</f>
        <v/>
      </c>
      <c r="W589" s="1" t="str">
        <f ca="1">IF(ISERROR(F583),"",IF(ISTEXT(VLOOKUP(B583,INDIRECT($F$8),6+(O589-1)*3)),11,IF(VLOOKUP(B583,INDIRECT($F$8),6+(O589-1)*3)&lt;S589*0.3,IF(VLOOKUP(B583,INDIRECT($F$8),8+(O589-1)*3)&lt;U589*0.4,IF(AND(0.4*U589-VLOOKUP(B583,INDIRECT($F$8),8+(O589-1)*3)&lt;=5,0.3*S589-VLOOKUP(B583,INDIRECT($F$8),6+(O589-1)*3)&lt;=5),MAX(0.4*U589-VLOOKUP(B583,INDIRECT($F$8),8+(O589-1)*3),0.3*S589-VLOOKUP(B583,INDIRECT($F$8),6+(O589-1)*3)),11),IF(0.3*S589-VLOOKUP(B583,INDIRECT($F$8),6+(O589-1)*3)&lt;=5,0.3*S589-VLOOKUP(B583,INDIRECT($F$8),6+(O589-1)*3),11)),IF(VLOOKUP(B583,INDIRECT($F$8),8+(O589-1)*3)&lt;U589*0.4,IF(U589*0.4-VLOOKUP(B583,INDIRECT($F$8),8+(O589-1)*3)&lt;=5,U589*0.4-VLOOKUP(B583,INDIRECT($F$8),8+(O589-1)*3),11),0))))</f>
        <v/>
      </c>
      <c r="X589" s="1" t="str">
        <f ca="1">IF(ISERROR(F583),"",IF(W589=0,"",_xlfn.TEXTJOIN("",FALSE," G+",W589," in ",A589)))</f>
        <v/>
      </c>
    </row>
    <row r="590" spans="1:24" ht="11.25" customHeight="1" x14ac:dyDescent="0.2">
      <c r="A590" s="7" t="str">
        <f ca="1">IF(ISERROR(F583),"",VLOOKUP(C583,INDIRECT($F$8),6+(O590-1)*3,0))</f>
        <v/>
      </c>
      <c r="B590" s="41" t="str">
        <f ca="1">IF(ISERROR(F583),"",VLOOKUP(D583,INDIRECT($F$8),6+(O590-1)*3,0))</f>
        <v/>
      </c>
      <c r="C590" s="41"/>
      <c r="D590" s="41"/>
      <c r="E590" s="41"/>
      <c r="F590" s="7" t="str">
        <f ca="1">IF(ISERROR(F583),"",VLOOKUP(E583,INDIRECT($F$8),6+(O590-1)*3,0))</f>
        <v/>
      </c>
      <c r="G590" s="42" t="str">
        <f ca="1">IF(ISERROR(F583),"",_xlfn.TEXTJOIN("/",FALSE,P590,S590))</f>
        <v/>
      </c>
      <c r="H590" s="42"/>
      <c r="I590" s="42" t="str">
        <f ca="1">IF(ISERROR(F583),"",_xlfn.TEXTJOIN("/",FALSE,Q590,T590))</f>
        <v/>
      </c>
      <c r="J590" s="42"/>
      <c r="K590" s="42" t="str">
        <f ca="1">IF(ISERROR(F583),"",_xlfn.TEXTJOIN("/",FALSE,R590,U590))</f>
        <v/>
      </c>
      <c r="L590" s="42"/>
      <c r="M590" s="7" t="str">
        <f ca="1">IF(ISERROR(F583),"",IF(ISTEXT(P590),IF(P590="A","Ab",IF(P590="D","Dt",IF(P590="UFM","UFM",IF(P590="NA","-")))),IF(AND(ISBLANK(P590),ISBLANK(R590)),"",IF(P590&lt;0.3*S590,"F",IF(ISBLANK(R590),"",IF(ISTEXT(R590),R590,IF(R590&gt;=0.95*U590,"O",IF(R590&gt;=0.9*U590,"A+",IF(R590&gt;=0.85*U590,"A",IF(R590&gt;=0.8*U590,"B+",IF(R590&gt;=0.75*U590,"B",IF(R590&gt;=0.7*U590,"C+",IF(R590&gt;=0.65*U590,"C",IF(R590&gt;=0.6*U590,"D+",IF(R590&gt;=0.55*U590,"D",IF(R590&gt;=0.5*U590,"E+",IF(R590&gt;=0.45*U590,"E",IF(R590&gt;=0.4*U590,"P",IF(R590&lt;0.4*U590,"F",R590)))))))))))))))))))</f>
        <v/>
      </c>
      <c r="N590" s="8" t="e">
        <f t="shared" ca="1" si="55"/>
        <v>#N/A</v>
      </c>
      <c r="O590">
        <f>O589+1</f>
        <v>3</v>
      </c>
      <c r="P590" s="1" t="str">
        <f ca="1">IF(ISERROR(F583),"",IF(ISTEXT(VLOOKUP(B583,INDIRECT($F$8),6+(O590-1)*3)),(VLOOKUP(B583,INDIRECT($F$8),6+(O590-1)*3)),SUM(VLOOKUP(B583,INDIRECT($F$8),6+(O590-1)*3),IF(W602,W590,0))))</f>
        <v/>
      </c>
      <c r="Q590" s="1" t="str">
        <f ca="1">IF(ISERROR(F583),"",VLOOKUP(B583,INDIRECT($F$8),7+(O590-1)*3))</f>
        <v/>
      </c>
      <c r="R590" s="1" t="str">
        <f ca="1">IF(ISERROR(F583),"",SUM(P590:Q590))</f>
        <v/>
      </c>
      <c r="S590" s="1" t="str">
        <f ca="1">IF(ISERROR(F583),"",VLOOKUP(A583,INDIRECT($F$8),6+(O590-1)*3))</f>
        <v/>
      </c>
      <c r="T590" s="1" t="str">
        <f ca="1">IF(ISERROR(F583),"",VLOOKUP(A583,INDIRECT($F$8),7+(O590-1)*3))</f>
        <v/>
      </c>
      <c r="U590" s="1" t="str">
        <f ca="1">IF(ISERROR(F583),"",VLOOKUP(A583,INDIRECT($F$8),8+(O590-1)*3))</f>
        <v/>
      </c>
      <c r="V590" s="1" t="str">
        <f ca="1">IF(ISERROR(F583),"",IF(N590=0,A590,""))</f>
        <v/>
      </c>
      <c r="W590" s="1" t="str">
        <f ca="1">IF(ISERROR(F583),"",IF(ISTEXT(VLOOKUP(B583,INDIRECT($F$8),6+(O590-1)*3)),11,IF(VLOOKUP(B583,INDIRECT($F$8),6+(O590-1)*3)&lt;S590*0.3,IF(VLOOKUP(B583,INDIRECT($F$8),8+(O590-1)*3)&lt;U590*0.4,IF(AND(0.4*U590-VLOOKUP(B583,INDIRECT($F$8),8+(O590-1)*3)&lt;=5,0.3*S590-VLOOKUP(B583,INDIRECT($F$8),6+(O590-1)*3)&lt;=5),MAX(0.4*U590-VLOOKUP(B583,INDIRECT($F$8),8+(O590-1)*3),0.3*S590-VLOOKUP(B583,INDIRECT($F$8),6+(O590-1)*3)),11),IF(0.3*S590-VLOOKUP(B583,INDIRECT($F$8),6+(O590-1)*3)&lt;=5,0.3*S590-VLOOKUP(B583,INDIRECT($F$8),6+(O590-1)*3),11)),IF(VLOOKUP(B583,INDIRECT($F$8),8+(O590-1)*3)&lt;U590*0.4,IF(U590*0.4-VLOOKUP(B583,INDIRECT($F$8),8+(O590-1)*3)&lt;=5,U590*0.4-VLOOKUP(B583,INDIRECT($F$8),8+(O590-1)*3),11),0))))</f>
        <v/>
      </c>
      <c r="X590" s="1" t="str">
        <f ca="1">IF(ISERROR(F583),"",IF(W590=0,"",_xlfn.TEXTJOIN("",FALSE," G+",W590," in ",A590)))</f>
        <v/>
      </c>
    </row>
    <row r="591" spans="1:24" ht="11.25" customHeight="1" x14ac:dyDescent="0.2">
      <c r="A591" s="7" t="str">
        <f ca="1">IF(ISERROR(F583),"",VLOOKUP(C583,INDIRECT($F$8),6+(O591-1)*3,0))</f>
        <v/>
      </c>
      <c r="B591" s="41" t="str">
        <f ca="1">IF(ISERROR(F583),"",VLOOKUP(D583,INDIRECT($F$8),6+(O591-1)*3,0))</f>
        <v/>
      </c>
      <c r="C591" s="41"/>
      <c r="D591" s="41"/>
      <c r="E591" s="41"/>
      <c r="F591" s="7" t="str">
        <f ca="1">IF(ISERROR(F583),"",VLOOKUP(E583,INDIRECT($F$8),6+(O591-1)*3,0))</f>
        <v/>
      </c>
      <c r="G591" s="42" t="str">
        <f ca="1">IF(ISERROR(F583),"",_xlfn.TEXTJOIN("/",FALSE,P591,S591))</f>
        <v/>
      </c>
      <c r="H591" s="42"/>
      <c r="I591" s="42" t="str">
        <f ca="1">IF(ISERROR(F583),"",_xlfn.TEXTJOIN("/",FALSE,Q591,T591))</f>
        <v/>
      </c>
      <c r="J591" s="42"/>
      <c r="K591" s="42" t="str">
        <f ca="1">IF(ISERROR(F583),"",_xlfn.TEXTJOIN("/",FALSE,R591,U591))</f>
        <v/>
      </c>
      <c r="L591" s="42"/>
      <c r="M591" s="7" t="str">
        <f ca="1">IF(ISERROR(F583),"",IF(ISTEXT(P591),IF(P591="A","Ab",IF(P591="D","Dt",IF(P591="UFM","UFM",IF(P591="NA","-")))),IF(AND(ISBLANK(P591),ISBLANK(R591)),"",IF(P591&lt;0.3*S591,"F",IF(ISBLANK(R591),"",IF(ISTEXT(R591),R591,IF(R591&gt;=0.95*U591,"O",IF(R591&gt;=0.9*U591,"A+",IF(R591&gt;=0.85*U591,"A",IF(R591&gt;=0.8*U591,"B+",IF(R591&gt;=0.75*U591,"B",IF(R591&gt;=0.7*U591,"C+",IF(R591&gt;=0.65*U591,"C",IF(R591&gt;=0.6*U591,"D+",IF(R591&gt;=0.55*U591,"D",IF(R591&gt;=0.5*U591,"E+",IF(R591&gt;=0.45*U591,"E",IF(R591&gt;=0.4*U591,"P",IF(R591&lt;0.4*U591,"F",R591)))))))))))))))))))</f>
        <v/>
      </c>
      <c r="N591" s="8" t="e">
        <f t="shared" ca="1" si="55"/>
        <v>#N/A</v>
      </c>
      <c r="O591">
        <f>O590+1</f>
        <v>4</v>
      </c>
      <c r="P591" s="1" t="str">
        <f ca="1">IF(ISERROR(F583),"",IF(ISTEXT(VLOOKUP(B583,INDIRECT($F$8),6+(O591-1)*3)),(VLOOKUP(B583,INDIRECT($F$8),6+(O591-1)*3)),SUM(VLOOKUP(B583,INDIRECT($F$8),6+(O591-1)*3),IF(W602,W591,0))))</f>
        <v/>
      </c>
      <c r="Q591" s="1" t="str">
        <f ca="1">IF(ISERROR(F583),"",VLOOKUP(B583,INDIRECT($F$8),7+(O591-1)*3))</f>
        <v/>
      </c>
      <c r="R591" s="1" t="str">
        <f ca="1">IF(ISERROR(F583),"",SUM(P591:Q591))</f>
        <v/>
      </c>
      <c r="S591" s="1" t="str">
        <f ca="1">IF(ISERROR(F583),"",VLOOKUP(A583,INDIRECT($F$8),6+(O591-1)*3))</f>
        <v/>
      </c>
      <c r="T591" s="1" t="str">
        <f ca="1">IF(ISERROR(F583),"",VLOOKUP(A583,INDIRECT($F$8),7+(O591-1)*3))</f>
        <v/>
      </c>
      <c r="U591" s="1" t="str">
        <f ca="1">IF(ISERROR(F583),"",VLOOKUP(A583,INDIRECT($F$8),8+(O591-1)*3))</f>
        <v/>
      </c>
      <c r="V591" s="1" t="str">
        <f ca="1">IF(ISERROR(F583),"",IF(N591=0,A591,""))</f>
        <v/>
      </c>
      <c r="W591" s="1" t="str">
        <f ca="1">IF(ISERROR(F583),"",IF(ISTEXT(VLOOKUP(B583,INDIRECT($F$8),6+(O591-1)*3)),11,IF(VLOOKUP(B583,INDIRECT($F$8),6+(O591-1)*3)&lt;S591*0.3,IF(VLOOKUP(B583,INDIRECT($F$8),8+(O591-1)*3)&lt;U591*0.4,IF(AND(0.4*U591-VLOOKUP(B583,INDIRECT($F$8),8+(O591-1)*3)&lt;=5,0.3*S591-VLOOKUP(B583,INDIRECT($F$8),6+(O591-1)*3)&lt;=5),MAX(0.4*U591-VLOOKUP(B583,INDIRECT($F$8),8+(O591-1)*3),0.3*S591-VLOOKUP(B583,INDIRECT($F$8),6+(O591-1)*3)),11),IF(0.3*S591-VLOOKUP(B583,INDIRECT($F$8),6+(O591-1)*3)&lt;=5,0.3*S591-VLOOKUP(B583,INDIRECT($F$8),6+(O591-1)*3),11)),IF(VLOOKUP(B583,INDIRECT($F$8),8+(O591-1)*3)&lt;U591*0.4,IF(U591*0.4-VLOOKUP(B583,INDIRECT($F$8),8+(O591-1)*3)&lt;=5,U591*0.4-VLOOKUP(B583,INDIRECT($F$8),8+(O591-1)*3),11),0))))</f>
        <v/>
      </c>
      <c r="X591" s="1" t="str">
        <f ca="1">IF(ISERROR(F583),"",IF(W591=0,"",_xlfn.TEXTJOIN("",FALSE," G+",W591," in ",A591)))</f>
        <v/>
      </c>
    </row>
    <row r="592" spans="1:24" ht="11.25" customHeight="1" x14ac:dyDescent="0.2">
      <c r="A592" s="7" t="str">
        <f ca="1">IF(ISERROR(F583),"",VLOOKUP(C583,INDIRECT($F$8),6+(O592-1)*3,0))</f>
        <v/>
      </c>
      <c r="B592" s="41" t="str">
        <f ca="1">IF(ISERROR(F583),"",VLOOKUP(D583,INDIRECT($F$8),6+(O592-1)*3,0))</f>
        <v/>
      </c>
      <c r="C592" s="41"/>
      <c r="D592" s="41"/>
      <c r="E592" s="41"/>
      <c r="F592" s="7" t="str">
        <f ca="1">IF(ISERROR(F583),"",VLOOKUP(E583,INDIRECT($F$8),6+(O592-1)*3,0))</f>
        <v/>
      </c>
      <c r="G592" s="42" t="str">
        <f ca="1">IF(ISERROR(F583),"",_xlfn.TEXTJOIN("/",FALSE,P592,S592))</f>
        <v/>
      </c>
      <c r="H592" s="42"/>
      <c r="I592" s="42" t="str">
        <f ca="1">IF(ISERROR(F583),"",_xlfn.TEXTJOIN("/",FALSE,Q592,T592))</f>
        <v/>
      </c>
      <c r="J592" s="42"/>
      <c r="K592" s="42" t="str">
        <f ca="1">IF(ISERROR(F583),"",_xlfn.TEXTJOIN("/",FALSE,R592,U592))</f>
        <v/>
      </c>
      <c r="L592" s="42"/>
      <c r="M592" s="7" t="str">
        <f ca="1">IF(ISERROR(F583),"",IF(ISTEXT(P592),IF(P592="A","Ab",IF(P592="D","Dt",IF(P592="UFM","UFM",IF(P592="NA","-")))),IF(AND(ISBLANK(P592),ISBLANK(R592)),"",IF(P592&lt;0.3*S592,"F",IF(ISBLANK(R592),"",IF(ISTEXT(R592),R592,IF(R592&gt;=0.95*U592,"O",IF(R592&gt;=0.9*U592,"A+",IF(R592&gt;=0.85*U592,"A",IF(R592&gt;=0.8*U592,"B+",IF(R592&gt;=0.75*U592,"B",IF(R592&gt;=0.7*U592,"C+",IF(R592&gt;=0.65*U592,"C",IF(R592&gt;=0.6*U592,"D+",IF(R592&gt;=0.55*U592,"D",IF(R592&gt;=0.5*U592,"E+",IF(R592&gt;=0.45*U592,"E",IF(R592&gt;=0.4*U592,"P",IF(R592&lt;0.4*U592,"F",R592)))))))))))))))))))</f>
        <v/>
      </c>
      <c r="N592" s="8" t="e">
        <f t="shared" ca="1" si="55"/>
        <v>#N/A</v>
      </c>
      <c r="O592">
        <f t="shared" ref="O592:O601" si="56">O591+1</f>
        <v>5</v>
      </c>
      <c r="P592" s="1" t="str">
        <f ca="1">IF(ISERROR(F583),"",IF(ISTEXT(VLOOKUP(B583,INDIRECT($F$8),6+(O592-1)*3)),(VLOOKUP(B583,INDIRECT($F$8),6+(O592-1)*3)),SUM(VLOOKUP(B583,INDIRECT($F$8),6+(O592-1)*3),IF(W602,W592,0))))</f>
        <v/>
      </c>
      <c r="Q592" s="1" t="str">
        <f ca="1">IF(ISERROR(F583),"",VLOOKUP(B583,INDIRECT($F$8),7+(O592-1)*3))</f>
        <v/>
      </c>
      <c r="R592" s="1" t="str">
        <f ca="1">IF(ISERROR(F583),"",SUM(P592:Q592))</f>
        <v/>
      </c>
      <c r="S592" s="1" t="str">
        <f ca="1">IF(ISERROR(F583),"",VLOOKUP(A583,INDIRECT($F$8),6+(O592-1)*3))</f>
        <v/>
      </c>
      <c r="T592" s="1" t="str">
        <f ca="1">IF(ISERROR(F583),"",VLOOKUP(A583,INDIRECT($F$8),7+(O592-1)*3))</f>
        <v/>
      </c>
      <c r="U592" s="1" t="str">
        <f ca="1">IF(ISERROR(F583),"",VLOOKUP(A583,INDIRECT($F$8),8+(O592-1)*3))</f>
        <v/>
      </c>
      <c r="V592" s="1" t="str">
        <f ca="1">IF(ISERROR(F583),"",IF(N592=0,A592,""))</f>
        <v/>
      </c>
      <c r="W592" s="1" t="str">
        <f ca="1">IF(ISERROR(F583),"",IF(ISTEXT(VLOOKUP(B583,INDIRECT($F$8),6+(O592-1)*3)),11,IF(VLOOKUP(B583,INDIRECT($F$8),6+(O592-1)*3)&lt;S592*0.3,IF(VLOOKUP(B583,INDIRECT($F$8),8+(O592-1)*3)&lt;U592*0.4,IF(AND(0.4*U592-VLOOKUP(B583,INDIRECT($F$8),8+(O592-1)*3)&lt;=5,0.3*S592-VLOOKUP(B583,INDIRECT($F$8),6+(O592-1)*3)&lt;=5),MAX(0.4*U592-VLOOKUP(B583,INDIRECT($F$8),8+(O592-1)*3),0.3*S592-VLOOKUP(B583,INDIRECT($F$8),6+(O592-1)*3)),11),IF(0.3*S592-VLOOKUP(B583,INDIRECT($F$8),6+(O592-1)*3)&lt;=5,0.3*S592-VLOOKUP(B583,INDIRECT($F$8),6+(O592-1)*3),11)),IF(VLOOKUP(B583,INDIRECT($F$8),8+(O592-1)*3)&lt;U592*0.4,IF(U592*0.4-VLOOKUP(B583,INDIRECT($F$8),8+(O592-1)*3)&lt;=5,U592*0.4-VLOOKUP(B583,INDIRECT($F$8),8+(O592-1)*3),11),0))))</f>
        <v/>
      </c>
      <c r="X592" s="1" t="str">
        <f ca="1">IF(ISERROR(F583),"",IF(W592=0,"",_xlfn.TEXTJOIN("",FALSE," G+",W592," in ",A592)))</f>
        <v/>
      </c>
    </row>
    <row r="593" spans="1:24" ht="11.25" customHeight="1" x14ac:dyDescent="0.2">
      <c r="A593" s="7" t="str">
        <f ca="1">IF(ISERROR(F583),"",VLOOKUP(C583,INDIRECT($F$8),6+(O593-1)*3,0))</f>
        <v/>
      </c>
      <c r="B593" s="41" t="str">
        <f ca="1">IF(ISERROR(F583),"",VLOOKUP(D583,INDIRECT($F$8),6+(O593-1)*3,0))</f>
        <v/>
      </c>
      <c r="C593" s="41"/>
      <c r="D593" s="41"/>
      <c r="E593" s="41"/>
      <c r="F593" s="7" t="str">
        <f ca="1">IF(ISERROR(F583),"",VLOOKUP(E583,INDIRECT($F$8),6+(O593-1)*3,0))</f>
        <v/>
      </c>
      <c r="G593" s="42" t="str">
        <f ca="1">IF(ISERROR(F583),"",_xlfn.TEXTJOIN("/",FALSE,P593,S593))</f>
        <v/>
      </c>
      <c r="H593" s="42"/>
      <c r="I593" s="42" t="str">
        <f ca="1">IF(ISERROR(F583),"",_xlfn.TEXTJOIN("/",FALSE,Q593,T593))</f>
        <v/>
      </c>
      <c r="J593" s="42"/>
      <c r="K593" s="42" t="str">
        <f ca="1">IF(ISERROR(F583),"",_xlfn.TEXTJOIN("/",FALSE,R593,U593))</f>
        <v/>
      </c>
      <c r="L593" s="42"/>
      <c r="M593" s="7" t="str">
        <f ca="1">IF(ISERROR(F583),"",IF(ISTEXT(P593),IF(P593="A","Ab",IF(P593="D","Dt",IF(P593="UFM","UFM",IF(P593="NA","-")))),IF(AND(ISBLANK(P593),ISBLANK(R593)),"",IF(P593&lt;0.3*S593,"F",IF(ISBLANK(R593),"",IF(ISTEXT(R593),R593,IF(R593&gt;=0.95*U593,"O",IF(R593&gt;=0.9*U593,"A+",IF(R593&gt;=0.85*U593,"A",IF(R593&gt;=0.8*U593,"B+",IF(R593&gt;=0.75*U593,"B",IF(R593&gt;=0.7*U593,"C+",IF(R593&gt;=0.65*U593,"C",IF(R593&gt;=0.6*U593,"D+",IF(R593&gt;=0.55*U593,"D",IF(R593&gt;=0.5*U593,"E+",IF(R593&gt;=0.45*U593,"E",IF(R593&gt;=0.4*U593,"P",IF(R593&lt;0.4*U593,"F",R593)))))))))))))))))))</f>
        <v/>
      </c>
      <c r="N593" s="8" t="e">
        <f t="shared" ca="1" si="55"/>
        <v>#N/A</v>
      </c>
      <c r="O593">
        <f t="shared" si="56"/>
        <v>6</v>
      </c>
      <c r="P593" s="1" t="str">
        <f ca="1">IF(ISERROR(F583),"",IF(ISTEXT(VLOOKUP(B583,INDIRECT($F$8),6+(O593-1)*3)),(VLOOKUP(B583,INDIRECT($F$8),6+(O593-1)*3)),SUM(VLOOKUP(B583,INDIRECT($F$8),6+(O593-1)*3),IF(W602,W593,0))))</f>
        <v/>
      </c>
      <c r="Q593" s="1" t="str">
        <f ca="1">IF(ISERROR(F583),"",VLOOKUP(B583,INDIRECT($F$8),7+(O593-1)*3))</f>
        <v/>
      </c>
      <c r="R593" s="1" t="str">
        <f ca="1">IF(ISERROR(F583),"",SUM(P593:Q593))</f>
        <v/>
      </c>
      <c r="S593" s="1" t="str">
        <f ca="1">IF(ISERROR(F583),"",VLOOKUP(A583,INDIRECT($F$8),6+(O593-1)*3))</f>
        <v/>
      </c>
      <c r="T593" s="1" t="str">
        <f ca="1">IF(ISERROR(F583),"",VLOOKUP(A583,INDIRECT($F$8),7+(O593-1)*3))</f>
        <v/>
      </c>
      <c r="U593" s="1" t="str">
        <f ca="1">IF(ISERROR(F583),"",VLOOKUP(A583,INDIRECT($F$8),8+(O593-1)*3))</f>
        <v/>
      </c>
      <c r="V593" s="1" t="str">
        <f ca="1">IF(ISERROR(F583),"",IF(N593=0,A593,""))</f>
        <v/>
      </c>
      <c r="W593" s="1" t="str">
        <f ca="1">IF(ISERROR(F583),"",IF(ISTEXT(VLOOKUP(B583,INDIRECT($F$8),6+(O593-1)*3)),11,IF(VLOOKUP(B583,INDIRECT($F$8),6+(O593-1)*3)&lt;S593*0.3,IF(VLOOKUP(B583,INDIRECT($F$8),8+(O593-1)*3)&lt;U593*0.4,IF(AND(0.4*U593-VLOOKUP(B583,INDIRECT($F$8),8+(O593-1)*3)&lt;=5,0.3*S593-VLOOKUP(B583,INDIRECT($F$8),6+(O593-1)*3)&lt;=5),MAX(0.4*U593-VLOOKUP(B583,INDIRECT($F$8),8+(O593-1)*3),0.3*S593-VLOOKUP(B583,INDIRECT($F$8),6+(O593-1)*3)),11),IF(0.3*S593-VLOOKUP(B583,INDIRECT($F$8),6+(O593-1)*3)&lt;=5,0.3*S593-VLOOKUP(B583,INDIRECT($F$8),6+(O593-1)*3),11)),IF(VLOOKUP(B583,INDIRECT($F$8),8+(O593-1)*3)&lt;U593*0.4,IF(U593*0.4-VLOOKUP(B583,INDIRECT($F$8),8+(O593-1)*3)&lt;=5,U593*0.4-VLOOKUP(B583,INDIRECT($F$8),8+(O593-1)*3),11),0))))</f>
        <v/>
      </c>
      <c r="X593" s="1" t="str">
        <f ca="1">IF(ISERROR(F583),"",IF(W593=0,"",_xlfn.TEXTJOIN("",FALSE," G+",W593," in ",A593)))</f>
        <v/>
      </c>
    </row>
    <row r="594" spans="1:24" ht="11.25" customHeight="1" x14ac:dyDescent="0.2">
      <c r="A594" s="7" t="str">
        <f ca="1">IF(ISERROR(F583),"",VLOOKUP(C583,INDIRECT($F$8),6+(O594-1)*3,0))</f>
        <v/>
      </c>
      <c r="B594" s="41" t="str">
        <f ca="1">IF(ISERROR(F583),"",VLOOKUP(D583,INDIRECT($F$8),6+(O594-1)*3,0))</f>
        <v/>
      </c>
      <c r="C594" s="41"/>
      <c r="D594" s="41"/>
      <c r="E594" s="41"/>
      <c r="F594" s="7" t="str">
        <f ca="1">IF(ISERROR(F583),"",VLOOKUP(E583,INDIRECT($F$8),6+(O594-1)*3,0))</f>
        <v/>
      </c>
      <c r="G594" s="42" t="str">
        <f ca="1">IF(ISERROR(F583),"",_xlfn.TEXTJOIN("/",FALSE,P594,S594))</f>
        <v/>
      </c>
      <c r="H594" s="42"/>
      <c r="I594" s="42" t="str">
        <f ca="1">IF(ISERROR(F583),"",_xlfn.TEXTJOIN("/",FALSE,Q594,T594))</f>
        <v/>
      </c>
      <c r="J594" s="42"/>
      <c r="K594" s="42" t="str">
        <f ca="1">IF(ISERROR(F583),"",_xlfn.TEXTJOIN("/",FALSE,R594,U594))</f>
        <v/>
      </c>
      <c r="L594" s="42"/>
      <c r="M594" s="7" t="str">
        <f ca="1">IF(ISERROR(F583),"",IF(ISTEXT(P594),IF(P594="A","Ab",IF(P594="D","Dt",IF(P594="UFM","UFM",IF(P594="NA","-")))),IF(AND(ISBLANK(P594),ISBLANK(R594)),"",IF(P594&lt;0.3*S594,"F",IF(ISBLANK(R594),"",IF(ISTEXT(R594),R594,IF(R594&gt;=0.95*U594,"O",IF(R594&gt;=0.9*U594,"A+",IF(R594&gt;=0.85*U594,"A",IF(R594&gt;=0.8*U594,"B+",IF(R594&gt;=0.75*U594,"B",IF(R594&gt;=0.7*U594,"C+",IF(R594&gt;=0.65*U594,"C",IF(R594&gt;=0.6*U594,"D+",IF(R594&gt;=0.55*U594,"D",IF(R594&gt;=0.5*U594,"E+",IF(R594&gt;=0.45*U594,"E",IF(R594&gt;=0.4*U594,"P",IF(R594&lt;0.4*U594,"F",R594)))))))))))))))))))</f>
        <v/>
      </c>
      <c r="N594" s="8" t="e">
        <f t="shared" ca="1" si="55"/>
        <v>#N/A</v>
      </c>
      <c r="O594">
        <f t="shared" si="56"/>
        <v>7</v>
      </c>
      <c r="P594" s="1" t="str">
        <f ca="1">IF(ISERROR(F583),"",IF(ISTEXT(VLOOKUP(B583,INDIRECT($F$8),6+(O594-1)*3)),(VLOOKUP(B583,INDIRECT($F$8),6+(O594-1)*3)),SUM(VLOOKUP(B583,INDIRECT($F$8),6+(O594-1)*3),IF(W602,W594,0))))</f>
        <v/>
      </c>
      <c r="Q594" s="1" t="str">
        <f ca="1">IF(ISERROR(F583),"",VLOOKUP(B583,INDIRECT($F$8),7+(O594-1)*3))</f>
        <v/>
      </c>
      <c r="R594" s="1" t="str">
        <f ca="1">IF(ISERROR(F583),"",SUM(P594:Q594))</f>
        <v/>
      </c>
      <c r="S594" s="1" t="str">
        <f ca="1">IF(ISERROR(F583),"",VLOOKUP(A583,INDIRECT($F$8),6+(O594-1)*3))</f>
        <v/>
      </c>
      <c r="T594" s="1" t="str">
        <f ca="1">IF(ISERROR(F583),"",VLOOKUP(A583,INDIRECT($F$8),7+(O594-1)*3))</f>
        <v/>
      </c>
      <c r="U594" s="1" t="str">
        <f ca="1">IF(ISERROR(F583),"",VLOOKUP(A583,INDIRECT($F$8),8+(O594-1)*3))</f>
        <v/>
      </c>
      <c r="V594" s="1" t="str">
        <f ca="1">IF(ISERROR(F583),"",IF(N594=0,A594,""))</f>
        <v/>
      </c>
      <c r="W594" s="1" t="str">
        <f ca="1">IF(ISERROR(F583),"",IF(ISTEXT(VLOOKUP(B583,INDIRECT($F$8),6+(O594-1)*3)),11,IF(VLOOKUP(B583,INDIRECT($F$8),6+(O594-1)*3)&lt;S594*0.3,IF(VLOOKUP(B583,INDIRECT($F$8),8+(O594-1)*3)&lt;U594*0.4,IF(AND(0.4*U594-VLOOKUP(B583,INDIRECT($F$8),8+(O594-1)*3)&lt;=5,0.3*S594-VLOOKUP(B583,INDIRECT($F$8),6+(O594-1)*3)&lt;=5),MAX(0.4*U594-VLOOKUP(B583,INDIRECT($F$8),8+(O594-1)*3),0.3*S594-VLOOKUP(B583,INDIRECT($F$8),6+(O594-1)*3)),11),IF(0.3*S594-VLOOKUP(B583,INDIRECT($F$8),6+(O594-1)*3)&lt;=5,0.3*S594-VLOOKUP(B583,INDIRECT($F$8),6+(O594-1)*3),11)),IF(VLOOKUP(B583,INDIRECT($F$8),8+(O594-1)*3)&lt;U594*0.4,IF(U594*0.4-VLOOKUP(B583,INDIRECT($F$8),8+(O594-1)*3)&lt;=5,U594*0.4-VLOOKUP(B583,INDIRECT($F$8),8+(O594-1)*3),11),0))))</f>
        <v/>
      </c>
      <c r="X594" s="1" t="str">
        <f ca="1">IF(ISERROR(F583),"",IF(W594=0,"",_xlfn.TEXTJOIN("",FALSE," G+",W594," in ",A594)))</f>
        <v/>
      </c>
    </row>
    <row r="595" spans="1:24" ht="11.25" customHeight="1" x14ac:dyDescent="0.2">
      <c r="A595" s="7" t="str">
        <f ca="1">IF(ISERROR(F583),"",VLOOKUP(C583,INDIRECT($F$8),6+(O595-1)*3,0))</f>
        <v/>
      </c>
      <c r="B595" s="41" t="str">
        <f ca="1">IF(ISERROR(F583),"",VLOOKUP(D583,INDIRECT($F$8),6+(O595-1)*3,0))</f>
        <v/>
      </c>
      <c r="C595" s="41"/>
      <c r="D595" s="41"/>
      <c r="E595" s="41"/>
      <c r="F595" s="7" t="str">
        <f ca="1">IF(ISERROR(F583),"",VLOOKUP(E583,INDIRECT($F$8),6+(O595-1)*3,0))</f>
        <v/>
      </c>
      <c r="G595" s="42" t="str">
        <f ca="1">IF(ISERROR(F583),"",_xlfn.TEXTJOIN("/",FALSE,P595,S595))</f>
        <v/>
      </c>
      <c r="H595" s="42"/>
      <c r="I595" s="42" t="str">
        <f ca="1">IF(ISERROR(F583),"",_xlfn.TEXTJOIN("/",FALSE,Q595,T595))</f>
        <v/>
      </c>
      <c r="J595" s="42"/>
      <c r="K595" s="42" t="str">
        <f ca="1">IF(ISERROR(F583),"",_xlfn.TEXTJOIN("/",FALSE,R595,U595))</f>
        <v/>
      </c>
      <c r="L595" s="42"/>
      <c r="M595" s="7" t="str">
        <f ca="1">IF(ISERROR(F583),"",IF(ISTEXT(P595),IF(P595="A","Ab",IF(P595="D","Dt",IF(P595="UFM","UFM",IF(P595="NA","-")))),IF(AND(ISBLANK(P595),ISBLANK(R595)),"",IF(P595&lt;0.3*S595,"F",IF(ISBLANK(R595),"",IF(ISTEXT(R595),R595,IF(R595&gt;=0.95*U595,"O",IF(R595&gt;=0.9*U595,"A+",IF(R595&gt;=0.85*U595,"A",IF(R595&gt;=0.8*U595,"B+",IF(R595&gt;=0.75*U595,"B",IF(R595&gt;=0.7*U595,"C+",IF(R595&gt;=0.65*U595,"C",IF(R595&gt;=0.6*U595,"D+",IF(R595&gt;=0.55*U595,"D",IF(R595&gt;=0.5*U595,"E+",IF(R595&gt;=0.45*U595,"E",IF(R595&gt;=0.4*U595,"P",IF(R595&lt;0.4*U595,"F",R595)))))))))))))))))))</f>
        <v/>
      </c>
      <c r="N595" s="8" t="e">
        <f t="shared" ca="1" si="55"/>
        <v>#N/A</v>
      </c>
      <c r="O595">
        <f t="shared" si="56"/>
        <v>8</v>
      </c>
      <c r="P595" s="1" t="str">
        <f ca="1">IF(ISERROR(F583),"",IF(ISTEXT(VLOOKUP(B583,INDIRECT($F$8),6+(O595-1)*3)),(VLOOKUP(B583,INDIRECT($F$8),6+(O595-1)*3)),SUM(VLOOKUP(B583,INDIRECT($F$8),6+(O595-1)*3),IF(W602,W595,0))))</f>
        <v/>
      </c>
      <c r="Q595" s="1" t="str">
        <f ca="1">IF(ISERROR(F583),"",VLOOKUP(B583,INDIRECT($F$8),7+(O595-1)*3))</f>
        <v/>
      </c>
      <c r="R595" s="1" t="str">
        <f ca="1">IF(ISERROR(F583),"",SUM(P595:Q595))</f>
        <v/>
      </c>
      <c r="S595" s="1" t="str">
        <f ca="1">IF(ISERROR(F583),"",VLOOKUP(A583,INDIRECT($F$8),6+(O595-1)*3))</f>
        <v/>
      </c>
      <c r="T595" s="1" t="str">
        <f ca="1">IF(ISERROR(F583),"",VLOOKUP(A583,INDIRECT($F$8),7+(O595-1)*3))</f>
        <v/>
      </c>
      <c r="U595" s="1" t="str">
        <f ca="1">IF(ISERROR(F583),"",VLOOKUP(A583,INDIRECT($F$8),8+(O595-1)*3))</f>
        <v/>
      </c>
      <c r="V595" s="1" t="str">
        <f ca="1">IF(ISERROR(F583),"",IF(N595=0,A595,""))</f>
        <v/>
      </c>
      <c r="W595" s="1" t="str">
        <f ca="1">IF(ISERROR(F583),"",IF(ISTEXT(VLOOKUP(B583,INDIRECT($F$8),6+(O595-1)*3)),11,IF(VLOOKUP(B583,INDIRECT($F$8),6+(O595-1)*3)&lt;S595*0.3,IF(VLOOKUP(B583,INDIRECT($F$8),8+(O595-1)*3)&lt;U595*0.4,IF(AND(0.4*U595-VLOOKUP(B583,INDIRECT($F$8),8+(O595-1)*3)&lt;=5,0.3*S595-VLOOKUP(B583,INDIRECT($F$8),6+(O595-1)*3)&lt;=5),MAX(0.4*U595-VLOOKUP(B583,INDIRECT($F$8),8+(O595-1)*3),0.3*S595-VLOOKUP(B583,INDIRECT($F$8),6+(O595-1)*3)),11),IF(0.3*S595-VLOOKUP(B583,INDIRECT($F$8),6+(O595-1)*3)&lt;=5,0.3*S595-VLOOKUP(B583,INDIRECT($F$8),6+(O595-1)*3),11)),IF(VLOOKUP(B583,INDIRECT($F$8),8+(O595-1)*3)&lt;U595*0.4,IF(U595*0.4-VLOOKUP(B583,INDIRECT($F$8),8+(O595-1)*3)&lt;=5,U595*0.4-VLOOKUP(B583,INDIRECT($F$8),8+(O595-1)*3),11),0))))</f>
        <v/>
      </c>
      <c r="X595" s="1" t="str">
        <f ca="1">IF(ISERROR(F583),"",IF(W595=0,"",_xlfn.TEXTJOIN("",FALSE," G+",W595," in ",A595)))</f>
        <v/>
      </c>
    </row>
    <row r="596" spans="1:24" ht="11.25" customHeight="1" x14ac:dyDescent="0.2">
      <c r="A596" s="7" t="str">
        <f ca="1">IF(ISERROR(F583),"",VLOOKUP(C583,INDIRECT($F$8),6+(O596-1)*3,0))</f>
        <v/>
      </c>
      <c r="B596" s="41" t="str">
        <f ca="1">IF(ISERROR(F583),"",VLOOKUP(D583,INDIRECT($F$8),6+(O596-1)*3-Z596,0))</f>
        <v/>
      </c>
      <c r="C596" s="41"/>
      <c r="D596" s="41"/>
      <c r="E596" s="41"/>
      <c r="F596" s="7" t="str">
        <f ca="1">IF(ISERROR(F583),"",VLOOKUP(E583,INDIRECT($F$8),6+(O596-1)*3,0))</f>
        <v/>
      </c>
      <c r="G596" s="42" t="str">
        <f ca="1">IF(ISERROR(F583),"",_xlfn.TEXTJOIN("/",FALSE,P596,S596))</f>
        <v/>
      </c>
      <c r="H596" s="42"/>
      <c r="I596" s="42" t="str">
        <f ca="1">IF(ISERROR(F583),"",_xlfn.TEXTJOIN("/",FALSE,Q596,T596))</f>
        <v/>
      </c>
      <c r="J596" s="42"/>
      <c r="K596" s="42" t="str">
        <f ca="1">IF(ISERROR(F583),"",_xlfn.TEXTJOIN("/",FALSE,R596,U596))</f>
        <v/>
      </c>
      <c r="L596" s="42"/>
      <c r="M596" s="7" t="str">
        <f ca="1">IF(ISERROR(F583),"",IF(ISTEXT(P596),IF(P596="A","Ab",IF(P596="D","Dt",IF(P596="UFM","UFM",IF(P596="NA","-")))),IF(AND(ISBLANK(P596),ISBLANK(R596)),"",IF(P596&lt;0.3*S596,"F",IF(ISBLANK(R596),"",IF(ISTEXT(R596),R596,IF(R596&gt;=0.95*U596,"O",IF(R596&gt;=0.9*U596,"A+",IF(R596&gt;=0.85*U596,"A",IF(R596&gt;=0.8*U596,"B+",IF(R596&gt;=0.75*U596,"B",IF(R596&gt;=0.7*U596,"C+",IF(R596&gt;=0.65*U596,"C",IF(R596&gt;=0.6*U596,"D+",IF(R596&gt;=0.55*U596,"D",IF(R596&gt;=0.5*U596,"E+",IF(R596&gt;=0.45*U596,"E",IF(R596&gt;=0.4*U596,"P",IF(R596&lt;0.4*U596,"F",R596)))))))))))))))))))</f>
        <v/>
      </c>
      <c r="N596" s="8" t="e">
        <f t="shared" ca="1" si="55"/>
        <v>#N/A</v>
      </c>
      <c r="O596">
        <f t="shared" si="56"/>
        <v>9</v>
      </c>
      <c r="P596" s="1" t="str">
        <f ca="1">IF(ISERROR(F583),"",IF(ISTEXT(VLOOKUP(B583,INDIRECT($F$8),6+(O596-1)*3)),(VLOOKUP(B583,INDIRECT($F$8),6+(O596-1)*3)),SUM(VLOOKUP(B583,INDIRECT($F$8),6+(O596-1)*3),IF(W602,W596,0))))</f>
        <v/>
      </c>
      <c r="Q596" s="1" t="str">
        <f ca="1">IF(ISERROR(F583),"",VLOOKUP(B583,INDIRECT($F$8),7+(O596-1)*3))</f>
        <v/>
      </c>
      <c r="R596" s="1" t="str">
        <f ca="1">IF(ISERROR(F583),"",SUM(P596:Q596))</f>
        <v/>
      </c>
      <c r="S596" s="1" t="str">
        <f ca="1">IF(ISERROR(F583),"",VLOOKUP(A583,INDIRECT($F$8),6+(O596-1)*3))</f>
        <v/>
      </c>
      <c r="T596" s="1" t="str">
        <f ca="1">IF(ISERROR(F583),"",VLOOKUP(A583,INDIRECT($F$8),7+(O596-1)*3))</f>
        <v/>
      </c>
      <c r="U596" s="1" t="str">
        <f ca="1">IF(ISERROR(F583),"",VLOOKUP(A583,INDIRECT($F$8),8+(O596-1)*3))</f>
        <v/>
      </c>
      <c r="V596" s="1" t="str">
        <f ca="1">IF(ISERROR(F583),"",IF(N596=0,A596,""))</f>
        <v/>
      </c>
      <c r="W596" s="1" t="str">
        <f ca="1">IF(ISERROR(F583),"",IF(ISTEXT(VLOOKUP(B583,INDIRECT($F$8),6+(O596-1)*3)),11,IF(VLOOKUP(B583,INDIRECT($F$8),6+(O596-1)*3)&lt;S596*0.3,IF(VLOOKUP(B583,INDIRECT($F$8),8+(O596-1)*3)&lt;U596*0.4,IF(AND(0.4*U596-VLOOKUP(B583,INDIRECT($F$8),8+(O596-1)*3)&lt;=5,0.3*S596-VLOOKUP(B583,INDIRECT($F$8),6+(O596-1)*3)&lt;=5),MAX(0.4*U596-VLOOKUP(B583,INDIRECT($F$8),8+(O596-1)*3),0.3*S596-VLOOKUP(B583,INDIRECT($F$8),6+(O596-1)*3)),11),IF(0.3*S596-VLOOKUP(B583,INDIRECT($F$8),6+(O596-1)*3)&lt;=5,0.3*S596-VLOOKUP(B583,INDIRECT($F$8),6+(O596-1)*3),11)),IF(VLOOKUP(B583,INDIRECT($F$8),8+(O596-1)*3)&lt;U596*0.4,IF(U596*0.4-VLOOKUP(B583,INDIRECT($F$8),8+(O596-1)*3)&lt;=5,U596*0.4-VLOOKUP(B583,INDIRECT($F$8),8+(O596-1)*3),11),0))))</f>
        <v/>
      </c>
      <c r="X596" s="1" t="str">
        <f ca="1">IF(ISERROR(F583),"",IF(W596=0,"",_xlfn.TEXTJOIN("",FALSE," G+",W596," in ",A596)))</f>
        <v/>
      </c>
    </row>
    <row r="597" spans="1:24" ht="11.25" customHeight="1" x14ac:dyDescent="0.2">
      <c r="A597" s="7" t="str">
        <f ca="1">IF(ISERROR(F583),"",VLOOKUP(C583,INDIRECT($F$8),6+(O597-1)*3,0))</f>
        <v/>
      </c>
      <c r="B597" s="41" t="str">
        <f ca="1">IF(ISERROR(F583),"",VLOOKUP(D583,INDIRECT($F$8),6+(O597-1)*3-Z597,0))</f>
        <v/>
      </c>
      <c r="C597" s="41"/>
      <c r="D597" s="41"/>
      <c r="E597" s="41"/>
      <c r="F597" s="7" t="str">
        <f ca="1">IF(ISERROR(F583),"",VLOOKUP(E583,INDIRECT($F$8),6+(O597-1)*3,0))</f>
        <v/>
      </c>
      <c r="G597" s="42" t="str">
        <f ca="1">IF(ISERROR(F583),"",_xlfn.TEXTJOIN("/",FALSE,P597,S597))</f>
        <v/>
      </c>
      <c r="H597" s="42"/>
      <c r="I597" s="42" t="str">
        <f ca="1">IF(ISERROR(F583),"",_xlfn.TEXTJOIN("/",FALSE,Q597,T597))</f>
        <v/>
      </c>
      <c r="J597" s="42"/>
      <c r="K597" s="42" t="str">
        <f ca="1">IF(ISERROR(F583),"",_xlfn.TEXTJOIN("/",FALSE,R597,U597))</f>
        <v/>
      </c>
      <c r="L597" s="42"/>
      <c r="M597" s="7" t="str">
        <f ca="1">IF(ISERROR(F583),"",IF(ISTEXT(P597),IF(P597="A","Ab",IF(P597="D","Dt",IF(P597="UFM","UFM",IF(P597="NA","-")))),IF(AND(ISBLANK(P597),ISBLANK(R597)),"",IF(P597&lt;0.3*S597,"F",IF(ISBLANK(R597),"",IF(ISTEXT(R597),R597,IF(R597&gt;=0.95*U597,"O",IF(R597&gt;=0.9*U597,"A+",IF(R597&gt;=0.85*U597,"A",IF(R597&gt;=0.8*U597,"B+",IF(R597&gt;=0.75*U597,"B",IF(R597&gt;=0.7*U597,"C+",IF(R597&gt;=0.65*U597,"C",IF(R597&gt;=0.6*U597,"D+",IF(R597&gt;=0.55*U597,"D",IF(R597&gt;=0.5*U597,"E+",IF(R597&gt;=0.45*U597,"E",IF(R597&gt;=0.4*U597,"P",IF(R597&lt;0.4*U597,"F",R597)))))))))))))))))))</f>
        <v/>
      </c>
      <c r="N597" s="8" t="e">
        <f t="shared" ca="1" si="55"/>
        <v>#N/A</v>
      </c>
      <c r="O597">
        <f t="shared" si="56"/>
        <v>10</v>
      </c>
      <c r="P597" s="1" t="str">
        <f ca="1">IF(ISERROR(F583),"",IF(ISTEXT(VLOOKUP(B583,INDIRECT($F$8),6+(O597-1)*3)),(VLOOKUP(B583,INDIRECT($F$8),6+(O597-1)*3)),SUM(VLOOKUP(B583,INDIRECT($F$8),6+(O597-1)*3),IF(W602,W597,0))))</f>
        <v/>
      </c>
      <c r="Q597" s="1" t="str">
        <f ca="1">IF(ISERROR(F583),"",VLOOKUP(B583,INDIRECT($F$8),7+(O597-1)*3))</f>
        <v/>
      </c>
      <c r="R597" s="1" t="str">
        <f ca="1">IF(ISERROR(F583),"",SUM(P597:Q597))</f>
        <v/>
      </c>
      <c r="S597" s="1" t="str">
        <f ca="1">IF(ISERROR(F583),"",VLOOKUP(A583,INDIRECT($F$8),6+(O597-1)*3))</f>
        <v/>
      </c>
      <c r="T597" s="1" t="str">
        <f ca="1">IF(ISERROR(F583),"",VLOOKUP(A583,INDIRECT($F$8),7+(O597-1)*3))</f>
        <v/>
      </c>
      <c r="U597" s="1" t="str">
        <f ca="1">IF(ISERROR(F583),"",VLOOKUP(A583,INDIRECT($F$8),8+(O597-1)*3))</f>
        <v/>
      </c>
      <c r="V597" s="1" t="str">
        <f ca="1">IF(ISERROR(F583),"",IF(N597=0,A597,""))</f>
        <v/>
      </c>
      <c r="W597" s="1" t="str">
        <f ca="1">IF(ISERROR(F583),"",IF(ISTEXT(VLOOKUP(B583,INDIRECT($F$8),6+(O597-1)*3)),11,IF(VLOOKUP(B583,INDIRECT($F$8),6+(O597-1)*3)&lt;S597*0.3,IF(VLOOKUP(B583,INDIRECT($F$8),8+(O597-1)*3)&lt;U597*0.4,IF(AND(0.4*U597-VLOOKUP(B583,INDIRECT($F$8),8+(O597-1)*3)&lt;=5,0.3*S597-VLOOKUP(B583,INDIRECT($F$8),6+(O597-1)*3)&lt;=5),MAX(0.4*U597-VLOOKUP(B583,INDIRECT($F$8),8+(O597-1)*3),0.3*S597-VLOOKUP(B583,INDIRECT($F$8),6+(O597-1)*3)),11),IF(0.3*S597-VLOOKUP(B583,INDIRECT($F$8),6+(O597-1)*3)&lt;=5,0.3*S597-VLOOKUP(B583,INDIRECT($F$8),6+(O597-1)*3),11)),IF(VLOOKUP(B583,INDIRECT($F$8),8+(O597-1)*3)&lt;U597*0.4,IF(U597*0.4-VLOOKUP(B583,INDIRECT($F$8),8+(O597-1)*3)&lt;=5,U597*0.4-VLOOKUP(B583,INDIRECT($F$8),8+(O597-1)*3),11),0))))</f>
        <v/>
      </c>
      <c r="X597" s="1" t="str">
        <f ca="1">IF(ISERROR(F583),"",IF(W597=0,"",_xlfn.TEXTJOIN("",FALSE," G+",W597," in ",A597)))</f>
        <v/>
      </c>
    </row>
    <row r="598" spans="1:24" ht="11.25" customHeight="1" x14ac:dyDescent="0.2">
      <c r="A598" s="7" t="str">
        <f ca="1">IF(ISERROR(F583),"",VLOOKUP(C583,INDIRECT($F$8),6+(O598-1)*3,0))</f>
        <v/>
      </c>
      <c r="B598" s="41" t="str">
        <f ca="1">IF(ISERROR(F583),"",VLOOKUP(D583,INDIRECT($F$8),6+(O598-1)*3,0))</f>
        <v/>
      </c>
      <c r="C598" s="41"/>
      <c r="D598" s="41"/>
      <c r="E598" s="41"/>
      <c r="F598" s="7" t="str">
        <f ca="1">IF(ISERROR(F583),"",VLOOKUP(E583,INDIRECT($F$8),6+(O598-1)*3,0))</f>
        <v/>
      </c>
      <c r="G598" s="42" t="str">
        <f ca="1">IF(ISERROR(F583),"",_xlfn.TEXTJOIN("/",FALSE,P598,S598))</f>
        <v/>
      </c>
      <c r="H598" s="42"/>
      <c r="I598" s="42" t="str">
        <f ca="1">IF(ISERROR(F583),"",_xlfn.TEXTJOIN("/",FALSE,Q598,T598))</f>
        <v/>
      </c>
      <c r="J598" s="42"/>
      <c r="K598" s="42" t="str">
        <f ca="1">IF(ISERROR(F583),"",_xlfn.TEXTJOIN("/",FALSE,R598,U598))</f>
        <v/>
      </c>
      <c r="L598" s="42"/>
      <c r="M598" s="7" t="str">
        <f ca="1">IF(ISERROR(F583),"",IF(ISTEXT(P598),IF(P598="A","Ab",IF(P598="D","Dt",IF(P598="UFM","UFM",IF(P598="NA","-")))),IF(AND(ISBLANK(P598),ISBLANK(R598)),"",IF(P598&lt;0.3*S598,"F",IF(ISBLANK(R598),"",IF(ISTEXT(R598),R598,IF(R598&gt;=0.95*U598,"O",IF(R598&gt;=0.9*U598,"A+",IF(R598&gt;=0.85*U598,"A",IF(R598&gt;=0.8*U598,"B+",IF(R598&gt;=0.75*U598,"B",IF(R598&gt;=0.7*U598,"C+",IF(R598&gt;=0.65*U598,"C",IF(R598&gt;=0.6*U598,"D+",IF(R598&gt;=0.55*U598,"D",IF(R598&gt;=0.5*U598,"E+",IF(R598&gt;=0.45*U598,"E",IF(R598&gt;=0.4*U598,"P",IF(R598&lt;0.4*U598,"F",R598)))))))))))))))))))</f>
        <v/>
      </c>
      <c r="N598" s="8" t="e">
        <f t="shared" ca="1" si="55"/>
        <v>#N/A</v>
      </c>
      <c r="O598">
        <f t="shared" si="56"/>
        <v>11</v>
      </c>
      <c r="P598" s="1" t="str">
        <f ca="1">IF(ISERROR(F583),"",IF(ISTEXT(VLOOKUP(B583,INDIRECT($F$8),6+(O598-1)*3)),(VLOOKUP(B583,INDIRECT($F$8),6+(O598-1)*3)),SUM(VLOOKUP(B583,INDIRECT($F$8),6+(O598-1)*3),IF(W602,W598,0))))</f>
        <v/>
      </c>
      <c r="Q598" s="1" t="str">
        <f ca="1">IF(ISERROR(F583),"",VLOOKUP(B583,INDIRECT($F$8),7+(O598-1)*3))</f>
        <v/>
      </c>
      <c r="R598" s="1" t="str">
        <f ca="1">IF(ISERROR(F583),"",SUM(P598:Q598))</f>
        <v/>
      </c>
      <c r="S598" s="1" t="str">
        <f ca="1">IF(ISERROR(F583),"",VLOOKUP(A583,INDIRECT($F$8),6+(O598-1)*3))</f>
        <v/>
      </c>
      <c r="T598" s="1" t="str">
        <f ca="1">IF(ISERROR(F583),"",VLOOKUP(A583,INDIRECT($F$8),7+(O598-1)*3))</f>
        <v/>
      </c>
      <c r="U598" s="1" t="str">
        <f ca="1">IF(ISERROR(F583),"",VLOOKUP(A583,INDIRECT($F$8),8+(O598-1)*3))</f>
        <v/>
      </c>
      <c r="V598" s="1" t="str">
        <f ca="1">IF(ISERROR(F583),"",IF(N598=0,A598,""))</f>
        <v/>
      </c>
      <c r="W598" s="1" t="str">
        <f ca="1">IF(ISERROR(F583),"",IF(ISTEXT(VLOOKUP(B583,INDIRECT($F$8),6+(O598-1)*3)),11,IF(VLOOKUP(B583,INDIRECT($F$8),6+(O598-1)*3)&lt;S598*0.3,IF(VLOOKUP(B583,INDIRECT($F$8),8+(O598-1)*3)&lt;U598*0.4,IF(AND(0.4*U598-VLOOKUP(B583,INDIRECT($F$8),8+(O598-1)*3)&lt;=5,0.3*S598-VLOOKUP(B583,INDIRECT($F$8),6+(O598-1)*3)&lt;=5),MAX(0.4*U598-VLOOKUP(B583,INDIRECT($F$8),8+(O598-1)*3),0.3*S598-VLOOKUP(B583,INDIRECT($F$8),6+(O598-1)*3)),11),IF(0.3*S598-VLOOKUP(B583,INDIRECT($F$8),6+(O598-1)*3)&lt;=5,0.3*S598-VLOOKUP(B583,INDIRECT($F$8),6+(O598-1)*3),11)),IF(VLOOKUP(B583,INDIRECT($F$8),8+(O598-1)*3)&lt;U598*0.4,IF(U598*0.4-VLOOKUP(B583,INDIRECT($F$8),8+(O598-1)*3)&lt;=5,U598*0.4-VLOOKUP(B583,INDIRECT($F$8),8+(O598-1)*3),11),0))))</f>
        <v/>
      </c>
      <c r="X598" s="1" t="str">
        <f ca="1">IF(ISERROR(F583),"",IF(W598=0,"",_xlfn.TEXTJOIN("",FALSE," G+",W598," in ",A598)))</f>
        <v/>
      </c>
    </row>
    <row r="599" spans="1:24" ht="11.25" customHeight="1" x14ac:dyDescent="0.2">
      <c r="A599" s="7" t="str">
        <f ca="1">IF(ISERROR(F583),"",VLOOKUP(C583,INDIRECT($F$8),6+(O599-1)*3,0))</f>
        <v/>
      </c>
      <c r="B599" s="41" t="str">
        <f ca="1">IF(ISERROR(F583),"",VLOOKUP(D583,INDIRECT($F$8),6+(O599-1)*3,0))</f>
        <v/>
      </c>
      <c r="C599" s="41"/>
      <c r="D599" s="41"/>
      <c r="E599" s="41"/>
      <c r="F599" s="7" t="str">
        <f ca="1">IF(ISERROR(F583),"",VLOOKUP(E583,INDIRECT($F$8),6+(O599-1)*3,0))</f>
        <v/>
      </c>
      <c r="G599" s="42" t="str">
        <f ca="1">IF(ISERROR(F583),"",_xlfn.TEXTJOIN("/",FALSE,P599,S599))</f>
        <v/>
      </c>
      <c r="H599" s="42"/>
      <c r="I599" s="42" t="str">
        <f ca="1">IF(ISERROR(F583),"",_xlfn.TEXTJOIN("/",FALSE,Q599,T599))</f>
        <v/>
      </c>
      <c r="J599" s="42"/>
      <c r="K599" s="42" t="str">
        <f ca="1">IF(ISERROR(F583),"",_xlfn.TEXTJOIN("/",FALSE,R599,U599))</f>
        <v/>
      </c>
      <c r="L599" s="42"/>
      <c r="M599" s="7" t="str">
        <f ca="1">IF(ISERROR(F583),"",IF(ISTEXT(P599),IF(P599="A","Ab",IF(P599="D","Dt",IF(P599="UFM","UFM",IF(P599="NA","-")))),IF(AND(ISBLANK(P599),ISBLANK(R599)),"",IF(P599&lt;0.3*S599,"F",IF(ISBLANK(R599),"",IF(ISTEXT(R599),R599,IF(R599&gt;=0.95*U599,"O",IF(R599&gt;=0.9*U599,"A+",IF(R599&gt;=0.85*U599,"A",IF(R599&gt;=0.8*U599,"B+",IF(R599&gt;=0.75*U599,"B",IF(R599&gt;=0.7*U599,"C+",IF(R599&gt;=0.65*U599,"C",IF(R599&gt;=0.6*U599,"D+",IF(R599&gt;=0.55*U599,"D",IF(R599&gt;=0.5*U599,"E+",IF(R599&gt;=0.45*U599,"E",IF(R599&gt;=0.4*U599,"P",IF(R599&lt;0.4*U599,"F",R599)))))))))))))))))))</f>
        <v/>
      </c>
      <c r="N599" s="8" t="e">
        <f t="shared" ca="1" si="55"/>
        <v>#N/A</v>
      </c>
      <c r="O599">
        <f t="shared" si="56"/>
        <v>12</v>
      </c>
      <c r="P599" s="1" t="str">
        <f ca="1">IF(ISERROR(F583),"",IF(ISTEXT(VLOOKUP(B583,INDIRECT($F$8),6+(O599-1)*3)),(VLOOKUP(B583,INDIRECT($F$8),6+(O599-1)*3)),SUM(VLOOKUP(B583,INDIRECT($F$8),6+(O599-1)*3),IF(W602,W599,0))))</f>
        <v/>
      </c>
      <c r="Q599" s="1" t="str">
        <f ca="1">IF(ISERROR(F583),"",VLOOKUP(B583,INDIRECT($F$8),7+(O599-1)*3))</f>
        <v/>
      </c>
      <c r="R599" s="1" t="str">
        <f ca="1">IF(ISERROR(F583),"",SUM(P599:Q599))</f>
        <v/>
      </c>
      <c r="S599" s="1" t="str">
        <f ca="1">IF(ISERROR(F583),"",VLOOKUP(A583,INDIRECT($F$8),6+(O599-1)*3))</f>
        <v/>
      </c>
      <c r="T599" s="1" t="str">
        <f ca="1">IF(ISERROR(F583),"",VLOOKUP(A583,INDIRECT($F$8),7+(O599-1)*3))</f>
        <v/>
      </c>
      <c r="U599" s="1" t="str">
        <f ca="1">IF(ISERROR(F583),"",VLOOKUP(A583,INDIRECT($F$8),8+(O599-1)*3))</f>
        <v/>
      </c>
      <c r="V599" s="1" t="str">
        <f ca="1">IF(ISERROR(F583),"",IF(N599=0,A599,""))</f>
        <v/>
      </c>
      <c r="W599" s="1" t="str">
        <f ca="1">IF(ISERROR(F583),"",IF(ISTEXT(VLOOKUP(B583,INDIRECT($F$8),6+(O599-1)*3)),11,IF(VLOOKUP(B583,INDIRECT($F$8),6+(O599-1)*3)&lt;S599*0.3,IF(VLOOKUP(B583,INDIRECT($F$8),8+(O599-1)*3)&lt;U599*0.4,IF(AND(0.4*U599-VLOOKUP(B583,INDIRECT($F$8),8+(O599-1)*3)&lt;=5,0.3*S599-VLOOKUP(B583,INDIRECT($F$8),6+(O599-1)*3)&lt;=5),MAX(0.4*U599-VLOOKUP(B583,INDIRECT($F$8),8+(O599-1)*3),0.3*S599-VLOOKUP(B583,INDIRECT($F$8),6+(O599-1)*3)),11),IF(0.3*S599-VLOOKUP(B583,INDIRECT($F$8),6+(O599-1)*3)&lt;=5,0.3*S599-VLOOKUP(B583,INDIRECT($F$8),6+(O599-1)*3),11)),IF(VLOOKUP(B583,INDIRECT($F$8),8+(O599-1)*3)&lt;U599*0.4,IF(U599*0.4-VLOOKUP(B583,INDIRECT($F$8),8+(O599-1)*3)&lt;=5,U599*0.4-VLOOKUP(B583,INDIRECT($F$8),8+(O599-1)*3),11),0))))</f>
        <v/>
      </c>
      <c r="X599" s="1" t="str">
        <f ca="1">IF(ISERROR(F583),"",IF(W599=0,"",_xlfn.TEXTJOIN("",FALSE," G+",W599," in ",A599)))</f>
        <v/>
      </c>
    </row>
    <row r="600" spans="1:24" ht="11.25" customHeight="1" x14ac:dyDescent="0.2">
      <c r="A600" s="7" t="str">
        <f ca="1">IF(ISERROR(F583),"",VLOOKUP(C583,INDIRECT($F$8),6+(O600-1)*3,0))</f>
        <v/>
      </c>
      <c r="B600" s="41" t="str">
        <f ca="1">IF(ISERROR(F583),"",VLOOKUP(D583,INDIRECT($F$8),6+(O600-1)*3,0))</f>
        <v/>
      </c>
      <c r="C600" s="41"/>
      <c r="D600" s="41"/>
      <c r="E600" s="41"/>
      <c r="F600" s="7" t="str">
        <f ca="1">IF(ISERROR(F583),"",VLOOKUP(E583,INDIRECT($F$8),6+(O600-1)*3,0))</f>
        <v/>
      </c>
      <c r="G600" s="42" t="str">
        <f ca="1">IF(ISERROR(F583),"",_xlfn.TEXTJOIN("/",FALSE,P600,S600))</f>
        <v/>
      </c>
      <c r="H600" s="42"/>
      <c r="I600" s="42" t="str">
        <f ca="1">IF(ISERROR(F583),"",_xlfn.TEXTJOIN("/",FALSE,Q600,T600))</f>
        <v/>
      </c>
      <c r="J600" s="42"/>
      <c r="K600" s="42" t="str">
        <f ca="1">IF(ISERROR(F583),"",_xlfn.TEXTJOIN("/",FALSE,R600,U600))</f>
        <v/>
      </c>
      <c r="L600" s="42"/>
      <c r="M600" s="7" t="str">
        <f ca="1">IF(ISERROR(F583),"",IF(ISTEXT(P600),IF(P600="A","Ab",IF(P600="D","Dt",IF(P600="UFM","UFM",IF(P600="NA","-")))),IF(AND(ISBLANK(P600),ISBLANK(R600)),"",IF(P600&lt;0.3*S600,"F",IF(ISBLANK(R600),"",IF(ISTEXT(R600),R600,IF(R600&gt;=0.95*U600,"O",IF(R600&gt;=0.9*U600,"A+",IF(R600&gt;=0.85*U600,"A",IF(R600&gt;=0.8*U600,"B+",IF(R600&gt;=0.75*U600,"B",IF(R600&gt;=0.7*U600,"C+",IF(R600&gt;=0.65*U600,"C",IF(R600&gt;=0.6*U600,"D+",IF(R600&gt;=0.55*U600,"D",IF(R600&gt;=0.5*U600,"E+",IF(R600&gt;=0.45*U600,"E",IF(R600&gt;=0.4*U600,"P",IF(R600&lt;0.4*U600,"F",R600)))))))))))))))))))</f>
        <v/>
      </c>
      <c r="N600" s="8" t="e">
        <f t="shared" ca="1" si="55"/>
        <v>#N/A</v>
      </c>
      <c r="O600">
        <f t="shared" si="56"/>
        <v>13</v>
      </c>
      <c r="P600" s="1" t="str">
        <f ca="1">IF(ISERROR(F583),"",IF(ISTEXT(VLOOKUP(B583,INDIRECT($F$8),6+(O600-1)*3)),(VLOOKUP(B583,INDIRECT($F$8),6+(O600-1)*3)),SUM(VLOOKUP(B583,INDIRECT($F$8),6+(O600-1)*3),IF(W602,W600,0))))</f>
        <v/>
      </c>
      <c r="Q600" s="1" t="str">
        <f ca="1">IF(ISERROR(F583),"",VLOOKUP(B583,INDIRECT($F$8),7+(O600-1)*3))</f>
        <v/>
      </c>
      <c r="R600" s="1" t="str">
        <f ca="1">IF(ISERROR(F583),"",SUM(P600:Q600))</f>
        <v/>
      </c>
      <c r="S600" s="1" t="str">
        <f ca="1">IF(ISERROR(F583),"",VLOOKUP(A583,INDIRECT($F$8),6+(O600-1)*3))</f>
        <v/>
      </c>
      <c r="T600" s="1" t="str">
        <f ca="1">IF(ISERROR(F583),"",VLOOKUP(A583,INDIRECT($F$8),7+(O600-1)*3))</f>
        <v/>
      </c>
      <c r="U600" s="1" t="str">
        <f ca="1">IF(ISERROR(F583),"",VLOOKUP(A583,INDIRECT($F$8),8+(O600-1)*3))</f>
        <v/>
      </c>
      <c r="V600" s="1"/>
      <c r="W600" s="1" t="str">
        <f ca="1">IF(ISERROR(F583),"",IF(ISTEXT(VLOOKUP(B583,INDIRECT($F$8),6+(O600-1)*3)),11,IF(VLOOKUP(B583,INDIRECT($F$8),6+(O600-1)*3)&lt;S600*0.3,IF(VLOOKUP(B583,INDIRECT($F$8),8+(O600-1)*3)&lt;U600*0.4,IF(AND(0.4*U600-VLOOKUP(B583,INDIRECT($F$8),8+(O600-1)*3)&lt;=5,0.3*S600-VLOOKUP(B583,INDIRECT($F$8),6+(O600-1)*3)&lt;=5),MAX(0.4*U600-VLOOKUP(B583,INDIRECT($F$8),8+(O600-1)*3),0.3*S600-VLOOKUP(B583,INDIRECT($F$8),6+(O600-1)*3)),11),IF(0.3*S600-VLOOKUP(B583,INDIRECT($F$8),6+(O600-1)*3)&lt;=5,0.3*S600-VLOOKUP(B583,INDIRECT($F$8),6+(O600-1)*3),11)),IF(VLOOKUP(B583,INDIRECT($F$8),8+(O600-1)*3)&lt;U600*0.4,IF(U600*0.4-VLOOKUP(B583,INDIRECT($F$8),8+(O600-1)*3)&lt;=5,U600*0.4-VLOOKUP(B583,INDIRECT($F$8),8+(O600-1)*3),11),0))))</f>
        <v/>
      </c>
      <c r="X600" s="1" t="str">
        <f ca="1">IF(ISERROR(F583),"",IF(W600=0,"",_xlfn.TEXTJOIN("",FALSE," G+",W600," in ",A600)))</f>
        <v/>
      </c>
    </row>
    <row r="601" spans="1:24" s="32" customFormat="1" ht="11.25" customHeight="1" x14ac:dyDescent="0.2">
      <c r="A601" s="31" t="str">
        <f ca="1">IF(ISERROR(F583),"",VLOOKUP(C583,INDIRECT($F$8),6+(O601-1)*3-Y601,0))</f>
        <v/>
      </c>
      <c r="B601" s="49" t="str">
        <f ca="1">IF(ISERROR(F583),"",VLOOKUP(D583,INDIRECT($F$8),6+(O601-1)*3-Z601,0))</f>
        <v/>
      </c>
      <c r="C601" s="49"/>
      <c r="D601" s="49"/>
      <c r="E601" s="49"/>
      <c r="F601" s="31" t="str">
        <f ca="1">IF(ISERROR(F583),"",VLOOKUP(E583,INDIRECT($F$8),6+(O601-1)*3-AA601,0))</f>
        <v/>
      </c>
      <c r="G601" s="50" t="str">
        <f ca="1">IF(ISERROR(F583),"","-")</f>
        <v/>
      </c>
      <c r="H601" s="50"/>
      <c r="I601" s="50" t="str">
        <f ca="1">IF(ISERROR(F583),"",_xlfn.TEXTJOIN("/",FALSE,Q601,T601))</f>
        <v/>
      </c>
      <c r="J601" s="50"/>
      <c r="K601" s="50" t="str">
        <f ca="1">IF(ISERROR(F583),"",_xlfn.TEXTJOIN("/",FALSE,R601,U601))</f>
        <v/>
      </c>
      <c r="L601" s="50"/>
      <c r="M601" s="7" t="b">
        <f ca="1">IF(ISERROR(F584),"",IF(ISTEXT(P601),IF(P601="A","Ab",IF(P601="D","Dt",IF(P601="UFM","UFM",IF(P601="NA","")))),IF(AND(ISBLANK(P601),ISBLANK(R601)),"",IF(P601&lt;0.3*S601,"F",IF(ISBLANK(R601),"",IF(ISTEXT(R601),R601,IF(R601&gt;=0.95*U601,"O",IF(R601&gt;=0.9*U601,"A+",IF(R601&gt;=0.85*U601,"A",IF(R601&gt;=0.8*U601,"B+",IF(R601&gt;=0.75*U601,"B",IF(R601&gt;=0.7*U601,"C+",IF(R601&gt;=0.65*U601,"C",IF(R601&gt;=0.6*U601,"D+",IF(R601&gt;=0.55*U601,"D",IF(R601&gt;=0.5*U601,"E+",IF(R601&gt;=0.45*U601,"E",IF(R601&gt;=0.4*U601,"P",IF(R601&lt;0.4*U601,"F",R601)))))))))))))))))))</f>
        <v>0</v>
      </c>
      <c r="N601" s="8" t="e">
        <f t="shared" ref="N590:N601" ca="1" si="57">INDEX($Z$2:$Z$18,MATCH(M601,$Y$2:$Y$18,0))</f>
        <v>#N/A</v>
      </c>
      <c r="O601" s="32">
        <f t="shared" si="56"/>
        <v>14</v>
      </c>
      <c r="P601" s="33" t="str">
        <f ca="1">IF(ISERROR(F583),"",IF(ISTEXT(VLOOKUP(B\28,INDIRECT($F$8),6+(O601-1)*3)),(VLOOKUP(B583,INDIRECT($F$8),6+(O601-1)*3)),SUM(VLOOKUP(B583,INDIRECT($F$8),6+(O601-1)*3),IF(W602,W601,0))))</f>
        <v/>
      </c>
      <c r="Q601" s="33" t="str">
        <f ca="1">IF(ISERROR(F583),"",VLOOKUP(B583,INDIRECT($F$8),7+(O601-1)*3))</f>
        <v/>
      </c>
      <c r="R601" s="33" t="str">
        <f ca="1">IF(ISERROR(F583),"",SUM(P601:Q601))</f>
        <v/>
      </c>
      <c r="S601" s="33" t="str">
        <f ca="1">IF(ISERROR(F583),"",VLOOKUP(A583,INDIRECT($F$8),6+(O601-1)*3))</f>
        <v/>
      </c>
      <c r="T601" s="33" t="str">
        <f ca="1">IF(ISERROR(F583),"",VLOOKUP(A583,INDIRECT($F$8),7+(O601-1)*3))</f>
        <v/>
      </c>
      <c r="U601" s="33" t="str">
        <f ca="1">IF(ISERROR(F583),"",VLOOKUP(A583,INDIRECT($F$8),8+(O601-1)*3))</f>
        <v/>
      </c>
      <c r="V601" s="33"/>
      <c r="W601" s="33"/>
      <c r="X601" s="33" t="str">
        <f ca="1">IF(ISERROR(F583),"",IF(W601=0,"",_xlfn.TEXTJOIN("",FALSE," G+",W601," in ",A601)))</f>
        <v/>
      </c>
    </row>
    <row r="602" spans="1:24" ht="11.25" customHeight="1" x14ac:dyDescent="0.2">
      <c r="A602" s="43" t="str">
        <f ca="1">IF(ISERROR(F583),"",A579)</f>
        <v/>
      </c>
      <c r="B602" s="43"/>
      <c r="C602" s="43"/>
      <c r="D602" s="43"/>
      <c r="E602" s="43"/>
      <c r="F602" s="10" t="str">
        <f ca="1">IF(ISERROR(F583),"",SUM(F588:F601))</f>
        <v/>
      </c>
      <c r="G602" s="44" t="str">
        <f ca="1">IF(ISERROR(F583),"",_xlfn.TEXTJOIN("/",TRUE,SUMIF(F588:F601,"&gt;0",P588:P601),SUMIF(F588:F601,"&gt;0",S588:S601)))</f>
        <v/>
      </c>
      <c r="H602" s="44"/>
      <c r="I602" s="44" t="str">
        <f ca="1">IF(ISERROR(F583),"",_xlfn.TEXTJOIN("/",TRUE,SUMIF(F588:F601,"&gt;0",Q588:Q601),SUMIF(F588:F601,"&gt;0",T588:T601)))</f>
        <v/>
      </c>
      <c r="J602" s="44"/>
      <c r="K602" s="44" t="str">
        <f ca="1">IF(ISERROR(F583),"",_xlfn.TEXTJOIN("/",TRUE,SUMIF(F588:F601,"&gt;0",R588:R601),SUMIF(F588:F601,"&gt;0",U588:U601)))</f>
        <v/>
      </c>
      <c r="L602" s="44"/>
      <c r="M602" s="43" t="str">
        <f ca="1">IF(ISERROR(F583),"",SUMPRODUCT(N588:N600,F588:F600))</f>
        <v/>
      </c>
      <c r="N602" s="43"/>
      <c r="V602" s="1" t="str">
        <f ca="1">IF(ISERROR(F583),"",_xlfn.TEXTJOIN(", ",TRUE,V588:V601))</f>
        <v/>
      </c>
      <c r="W602" t="str">
        <f ca="1">IF(ISERROR(F583),"",IF(SUM(W588:W601)&lt;=W587,TRUE,FALSE))</f>
        <v/>
      </c>
      <c r="X602" s="1" t="str">
        <f ca="1">_xlfn.TEXTJOIN(",",TRUE,X588:X601)</f>
        <v/>
      </c>
    </row>
    <row r="603" spans="1:24" ht="11.25" customHeight="1" x14ac:dyDescent="0.2">
      <c r="A603" s="43" t="str">
        <f ca="1">IF(ISERROR(F583),"",A580)</f>
        <v/>
      </c>
      <c r="B603" s="45" t="str">
        <f ca="1">IF(ISERROR(F583),"",IF(V602="","PASS","CARRY OVER"))</f>
        <v/>
      </c>
      <c r="C603" s="45"/>
      <c r="D603" s="43" t="str">
        <f ca="1">IF(ISERROR(F583),"",D580)</f>
        <v/>
      </c>
      <c r="E603" s="45" t="str">
        <f ca="1">IF(ISERROR(F583),"",IF(W602,X602,IF(V602="","",_xlfn.TEXTJOIN("",TRUE,"BACK IN ",V602))))</f>
        <v/>
      </c>
      <c r="F603" s="45"/>
      <c r="G603" s="43" t="str">
        <f ca="1">IF(ISERROR(F583),"",G580)</f>
        <v/>
      </c>
      <c r="H603" s="46" t="str">
        <f ca="1">IF(ISERROR(F583),"",M602/F602)</f>
        <v/>
      </c>
      <c r="I603" s="43" t="str">
        <f ca="1">IF(ISERROR(F583),"",I580)</f>
        <v/>
      </c>
      <c r="J603" s="46" t="str">
        <f ca="1">IF(ISERROR(F583),"",VLOOKUP(B583,INDIRECT($F$8),12+(O601-1)*3,0))</f>
        <v/>
      </c>
      <c r="K603" s="45" t="str">
        <f ca="1">IF(ISERROR(F583),"",K580)</f>
        <v/>
      </c>
      <c r="L603" s="43" t="str">
        <f ca="1">IF(ISERROR(F583),"",SUMIF(N588:N600,"&gt;0",F588:F600))</f>
        <v/>
      </c>
      <c r="M603" s="45" t="str">
        <f ca="1">IF(ISERROR(F583),"",M580)</f>
        <v/>
      </c>
      <c r="N603" s="43" t="str">
        <f ca="1">IF(ISERROR(F583),"",VLOOKUP(B583,INDIRECT($F$8),10+(O601-1)*3,0))</f>
        <v/>
      </c>
    </row>
    <row r="604" spans="1:24" ht="11.25" customHeight="1" x14ac:dyDescent="0.2">
      <c r="A604" s="43"/>
      <c r="B604" s="45"/>
      <c r="C604" s="45"/>
      <c r="D604" s="43"/>
      <c r="E604" s="45"/>
      <c r="F604" s="45"/>
      <c r="G604" s="43"/>
      <c r="H604" s="46"/>
      <c r="I604" s="43"/>
      <c r="J604" s="46"/>
      <c r="K604" s="45"/>
      <c r="L604" s="43"/>
      <c r="M604" s="45"/>
      <c r="N604" s="43"/>
    </row>
    <row r="605" spans="1:24" ht="11.25" customHeight="1" x14ac:dyDescent="0.2">
      <c r="A605" s="43"/>
      <c r="B605" s="45"/>
      <c r="C605" s="45"/>
      <c r="D605" s="43"/>
      <c r="E605" s="45"/>
      <c r="F605" s="45"/>
      <c r="G605" s="43"/>
      <c r="H605" s="46"/>
      <c r="I605" s="43"/>
      <c r="J605" s="46"/>
      <c r="K605" s="45"/>
      <c r="L605" s="43"/>
      <c r="M605" s="45"/>
      <c r="N605" s="43"/>
    </row>
    <row r="606" spans="1:24" ht="11.25" customHeight="1" x14ac:dyDescent="0.2">
      <c r="A606" s="11" t="str">
        <f>A583</f>
        <v>MM</v>
      </c>
      <c r="B606" s="11">
        <f>B583+1</f>
        <v>27</v>
      </c>
      <c r="C606" s="11" t="str">
        <f>C583</f>
        <v>SC</v>
      </c>
      <c r="D606" s="11" t="str">
        <f>D583</f>
        <v>SN</v>
      </c>
      <c r="E606" s="11" t="str">
        <f>E583</f>
        <v>C</v>
      </c>
      <c r="F606" s="11" t="e">
        <f ca="1">VLOOKUP(B606,INDIRECT($F$8),4,0)</f>
        <v>#N/A</v>
      </c>
    </row>
    <row r="607" spans="1:24" ht="11.25" customHeight="1" x14ac:dyDescent="0.2">
      <c r="A607" s="47" t="str">
        <f ca="1">IF(ISERROR(F606),"",A584)</f>
        <v/>
      </c>
      <c r="B607" s="47" t="str">
        <f ca="1">IFERROR(VLOOKUP(B606,INDIRECT($F$8),4,0),"")</f>
        <v/>
      </c>
      <c r="C607" s="47"/>
      <c r="D607" s="47" t="str">
        <f ca="1">IF(ISERROR(F606),"",D584)</f>
        <v/>
      </c>
      <c r="E607" s="47" t="str">
        <f ca="1">IFERROR(VLOOKUP(B606,INDIRECT($F$8),5,0),"")</f>
        <v/>
      </c>
      <c r="F607" s="47"/>
      <c r="G607" s="47" t="str">
        <f ca="1">IF(ISERROR(F606),"",G584)</f>
        <v/>
      </c>
      <c r="H607" s="47"/>
      <c r="I607" s="48" t="str">
        <f ca="1">IFERROR(VLOOKUP(B606,INDIRECT($F$8),2,0),"")</f>
        <v/>
      </c>
      <c r="J607" s="48"/>
      <c r="K607" s="47" t="str">
        <f ca="1">IF(ISERROR(F606),"",K584)</f>
        <v/>
      </c>
      <c r="L607" s="47"/>
      <c r="M607" s="48" t="str">
        <f ca="1">IFERROR(VLOOKUP(B606,INDIRECT($F$8),3,0),"")</f>
        <v/>
      </c>
      <c r="N607" s="48"/>
    </row>
    <row r="608" spans="1:24" ht="11.25" customHeight="1" x14ac:dyDescent="0.2">
      <c r="A608" s="47"/>
      <c r="B608" s="47"/>
      <c r="C608" s="47"/>
      <c r="D608" s="47"/>
      <c r="E608" s="47"/>
      <c r="F608" s="47"/>
      <c r="G608" s="47"/>
      <c r="H608" s="47"/>
      <c r="I608" s="48"/>
      <c r="J608" s="48"/>
      <c r="K608" s="47"/>
      <c r="L608" s="47"/>
      <c r="M608" s="48"/>
      <c r="N608" s="48"/>
    </row>
    <row r="609" spans="1:24" ht="11.25" customHeight="1" x14ac:dyDescent="0.2">
      <c r="A609" s="45" t="str">
        <f ca="1">IF(ISERROR(F606),"",A586)</f>
        <v/>
      </c>
      <c r="B609" s="45" t="str">
        <f ca="1">IF(ISERROR(F606),"",B586)</f>
        <v/>
      </c>
      <c r="C609" s="45"/>
      <c r="D609" s="45"/>
      <c r="E609" s="45"/>
      <c r="F609" s="45" t="str">
        <f ca="1">IF(ISERROR(F606),"",F586)</f>
        <v/>
      </c>
      <c r="G609" s="45" t="str">
        <f ca="1">IF(ISERROR(F606),"",G586)</f>
        <v/>
      </c>
      <c r="H609" s="45"/>
      <c r="I609" s="45" t="str">
        <f ca="1">IF(ISERROR(F606),"",I586)</f>
        <v/>
      </c>
      <c r="J609" s="45"/>
      <c r="K609" s="45" t="str">
        <f ca="1">IF(ISERROR(F606),"",K586)</f>
        <v/>
      </c>
      <c r="L609" s="45"/>
      <c r="M609" s="45" t="str">
        <f ca="1">IF(ISERROR(F606),"",M586)</f>
        <v/>
      </c>
      <c r="N609" s="45" t="str">
        <f ca="1">IF(ISERROR(F606),"",N586)</f>
        <v/>
      </c>
    </row>
    <row r="610" spans="1:24" ht="11.25" customHeight="1" x14ac:dyDescent="0.2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W610">
        <f ca="1">IF(ISNUMBER(MATCH($F$8,{"I","III","V","VII"},0)),10,10-INDEX(INDIRECT(_xlfn.TEXTJOIN("",TRUE,"SEM_",$G$8,"!",ADDRESS(6,4+$I$8*3+4),":",ADDRESS(5+$H$8,4+$I$8*3+4))),MATCH(INDIRECT(_xlfn.TEXTJOIN("",TRUE,"TC_",$F$8,"!",ADDRESS(ROW(I607),COLUMN(I607)))),INDIRECT(_xlfn.TEXTJOIN("",TRUE,"SEM_",$G$8,"!",ADDRESS(6,2),":",ADDRESS(5+$H$8,2))))))</f>
        <v>10</v>
      </c>
    </row>
    <row r="611" spans="1:24" ht="11.25" customHeight="1" x14ac:dyDescent="0.2">
      <c r="A611" s="7" t="str">
        <f ca="1">IF(ISERROR(F606),"",VLOOKUP(C606,INDIRECT($F$8),6+(O611-1)*3,0))</f>
        <v/>
      </c>
      <c r="B611" s="41" t="str">
        <f ca="1">IF(ISERROR(F606),"",VLOOKUP(D606,INDIRECT($F$8),6+(O611-1)*3,0))</f>
        <v/>
      </c>
      <c r="C611" s="41"/>
      <c r="D611" s="41"/>
      <c r="E611" s="41"/>
      <c r="F611" s="7" t="str">
        <f ca="1">IF(ISERROR(F606),"",VLOOKUP(E606,INDIRECT($F$8),6+(O611-1)*3,0))</f>
        <v/>
      </c>
      <c r="G611" s="42" t="str">
        <f ca="1">IF(ISERROR(F606),"",_xlfn.TEXTJOIN("/",FALSE,P611,S611))</f>
        <v/>
      </c>
      <c r="H611" s="42"/>
      <c r="I611" s="42" t="str">
        <f ca="1">IF(ISERROR(F606),"",_xlfn.TEXTJOIN("/",FALSE,Q611,T611))</f>
        <v/>
      </c>
      <c r="J611" s="42"/>
      <c r="K611" s="42" t="str">
        <f ca="1">IF(ISERROR(F606),"",_xlfn.TEXTJOIN("/",FALSE,R611,U611))</f>
        <v/>
      </c>
      <c r="L611" s="42"/>
      <c r="M611" s="7" t="str">
        <f ca="1">IF(ISERROR(F606),"",IF(ISTEXT(P611),IF(P611="A","Ab",IF(P611="D","Dt",IF(P611="UFM","UFM",IF(P611="NA","-")))),IF(AND(ISBLANK(P611),ISBLANK(R611)),"",IF(P611&lt;0.3*S611,"F",IF(ISBLANK(R611),"",IF(ISTEXT(R611),R611,IF(R611&gt;=0.95*U611,"O",IF(R611&gt;=0.9*U611,"A+",IF(R611&gt;=0.85*U611,"A",IF(R611&gt;=0.8*U611,"B+",IF(R611&gt;=0.75*U611,"B",IF(R611&gt;=0.7*U611,"C+",IF(R611&gt;=0.65*U611,"C",IF(R611&gt;=0.6*U611,"D+",IF(R611&gt;=0.55*U611,"D",IF(R611&gt;=0.5*U611,"E+",IF(R611&gt;=0.45*U611,"E",IF(R611&gt;=0.4*U611,"P",IF(R611&lt;0.4*U611,"F",R611)))))))))))))))))))</f>
        <v/>
      </c>
      <c r="N611" s="8" t="e">
        <f ca="1">INDEX($Z$2:$Z$18,MATCH(M611,$Y$2:$Y$18,0))</f>
        <v>#N/A</v>
      </c>
      <c r="O611">
        <v>1</v>
      </c>
      <c r="P611" s="1" t="str">
        <f ca="1">IF(ISERROR(F606),"",IF(ISTEXT(VLOOKUP(B606,INDIRECT($F$8),6+(O611-1)*3)),(VLOOKUP(B606,INDIRECT($F$8),6+(O611-1)*3)),SUM(VLOOKUP(B606,INDIRECT($F$8),6+(O611-1)*3),IF(W625,W611,0))))</f>
        <v/>
      </c>
      <c r="Q611" s="1" t="str">
        <f ca="1">IF(ISERROR(F606),"",VLOOKUP(B606,INDIRECT($F$8),7+(O611-1)*3))</f>
        <v/>
      </c>
      <c r="R611" s="1" t="str">
        <f ca="1">IF(ISERROR(F606),"",SUM(P611:Q611))</f>
        <v/>
      </c>
      <c r="S611" s="1" t="str">
        <f ca="1">IF(ISERROR(F606),"",VLOOKUP(A606,INDIRECT($F$8),6+(O611-1)*3))</f>
        <v/>
      </c>
      <c r="T611" s="1" t="str">
        <f ca="1">IF(ISERROR(F606),"",VLOOKUP(A606,INDIRECT($F$8),7+(O611-1)*3))</f>
        <v/>
      </c>
      <c r="U611" s="1" t="str">
        <f ca="1">IF(ISERROR(F606),"",VLOOKUP(A606,INDIRECT($F$8),8+(O611-1)*3))</f>
        <v/>
      </c>
      <c r="V611" s="1" t="str">
        <f ca="1">IF(ISERROR(F606),"",IF(N611=0,A611,""))</f>
        <v/>
      </c>
      <c r="W611" s="1" t="str">
        <f ca="1">IF(ISERROR(F606),"",IF(ISTEXT(VLOOKUP(B606,INDIRECT($F$8),6+(O611-1)*3)),11,IF(VLOOKUP(B606,INDIRECT($F$8),6+(O611-1)*3)&lt;S611*0.3,IF(VLOOKUP(B606,INDIRECT($F$8),8+(O611-1)*3)&lt;U611*0.4,IF(AND(0.4*U611-VLOOKUP(B606,INDIRECT($F$8),8+(O611-1)*3)&lt;=5,0.3*S611-VLOOKUP(B606,INDIRECT($F$8),6+(O611-1)*3)&lt;=5),MAX(0.4*U611-VLOOKUP(B606,INDIRECT($F$8),8+(O611-1)*3),0.3*S611-VLOOKUP(B606,INDIRECT($F$8),6+(O611-1)*3)),11),IF(0.3*S611-VLOOKUP(B606,INDIRECT($F$8),6+(O611-1)*3)&lt;=5,0.3*S611-VLOOKUP(B606,INDIRECT($F$8),6+(O611-1)*3),11)),IF(VLOOKUP(B606,INDIRECT($F$8),8+(O611-1)*3)&lt;U611*0.4,IF(U611*0.4-VLOOKUP(B606,INDIRECT($F$8),8+(O611-1)*3)&lt;=5,U611*0.4-VLOOKUP(B606,INDIRECT($F$8),8+(O611-1)*3),11),0))))</f>
        <v/>
      </c>
      <c r="X611" s="1" t="str">
        <f ca="1">IF(ISERROR(F606),"",IF(W611=0,"",_xlfn.TEXTJOIN("",FALSE," G+",W611," in ",A611)))</f>
        <v/>
      </c>
    </row>
    <row r="612" spans="1:24" ht="11.25" customHeight="1" x14ac:dyDescent="0.2">
      <c r="A612" s="7" t="str">
        <f ca="1">IF(ISERROR(F606),"",VLOOKUP(C606,INDIRECT($F$8),6+(O612-1)*3,0))</f>
        <v/>
      </c>
      <c r="B612" s="41" t="str">
        <f ca="1">IF(ISERROR(F606),"",VLOOKUP(D606,INDIRECT($F$8),6+(O612-1)*3,0))</f>
        <v/>
      </c>
      <c r="C612" s="41"/>
      <c r="D612" s="41"/>
      <c r="E612" s="41"/>
      <c r="F612" s="7" t="str">
        <f ca="1">IF(ISERROR(F606),"",VLOOKUP(E606,INDIRECT($F$8),6+(O612-1)*3,0))</f>
        <v/>
      </c>
      <c r="G612" s="42" t="str">
        <f ca="1">IF(ISERROR(F606),"",_xlfn.TEXTJOIN("/",FALSE,P612,S612))</f>
        <v/>
      </c>
      <c r="H612" s="42"/>
      <c r="I612" s="42" t="str">
        <f ca="1">IF(ISERROR(F606),"",_xlfn.TEXTJOIN("/",FALSE,Q612,T612))</f>
        <v/>
      </c>
      <c r="J612" s="42"/>
      <c r="K612" s="42" t="str">
        <f ca="1">IF(ISERROR(F606),"",_xlfn.TEXTJOIN("/",FALSE,R612,U612))</f>
        <v/>
      </c>
      <c r="L612" s="42"/>
      <c r="M612" s="7" t="str">
        <f ca="1">IF(ISERROR(F606),"",IF(ISTEXT(P612),IF(P612="A","Ab",IF(P612="D","Dt",IF(P612="UFM","UFM",IF(P612="NA","-")))),IF(AND(ISBLANK(P612),ISBLANK(R612)),"",IF(P612&lt;0.3*S612,"F",IF(ISBLANK(R612),"",IF(ISTEXT(R612),R612,IF(R612&gt;=0.95*U612,"O",IF(R612&gt;=0.9*U612,"A+",IF(R612&gt;=0.85*U612,"A",IF(R612&gt;=0.8*U612,"B+",IF(R612&gt;=0.75*U612,"B",IF(R612&gt;=0.7*U612,"C+",IF(R612&gt;=0.65*U612,"C",IF(R612&gt;=0.6*U612,"D+",IF(R612&gt;=0.55*U612,"D",IF(R612&gt;=0.5*U612,"E+",IF(R612&gt;=0.45*U612,"E",IF(R612&gt;=0.4*U612,"P",IF(R612&lt;0.4*U612,"F",R612)))))))))))))))))))</f>
        <v/>
      </c>
      <c r="N612" s="8" t="e">
        <f t="shared" ref="N612:N623" ca="1" si="58">INDEX($Z$2:$Z$18,MATCH(M612,$Y$2:$Y$18,0))</f>
        <v>#N/A</v>
      </c>
      <c r="O612">
        <f>O611+1</f>
        <v>2</v>
      </c>
      <c r="P612" s="1" t="str">
        <f ca="1">IF(ISERROR(F606),"",IF(ISTEXT(VLOOKUP(B606,INDIRECT($F$8),6+(O612-1)*3)),(VLOOKUP(B606,INDIRECT($F$8),6+(O612-1)*3)),SUM(VLOOKUP(B606,INDIRECT($F$8),6+(O612-1)*3),IF(W625,W612,0))))</f>
        <v/>
      </c>
      <c r="Q612" s="1" t="str">
        <f ca="1">IF(ISERROR(F606),"",VLOOKUP(B606,INDIRECT($F$8),7+(O612-1)*3))</f>
        <v/>
      </c>
      <c r="R612" s="1" t="str">
        <f ca="1">IF(ISERROR(F606),"",SUM(P612:Q612))</f>
        <v/>
      </c>
      <c r="S612" s="1" t="str">
        <f ca="1">IF(ISERROR(F606),"",VLOOKUP(A606,INDIRECT($F$8),6+(O612-1)*3))</f>
        <v/>
      </c>
      <c r="T612" s="1" t="str">
        <f ca="1">IF(ISERROR(F606),"",VLOOKUP(A606,INDIRECT($F$8),7+(O612-1)*3))</f>
        <v/>
      </c>
      <c r="U612" s="1" t="str">
        <f ca="1">IF(ISERROR(F606),"",VLOOKUP(A606,INDIRECT($F$8),8+(O612-1)*3))</f>
        <v/>
      </c>
      <c r="V612" s="1" t="str">
        <f ca="1">IF(ISERROR(F606),"",IF(N612=0,A612,""))</f>
        <v/>
      </c>
      <c r="W612" s="1" t="str">
        <f ca="1">IF(ISERROR(F606),"",IF(ISTEXT(VLOOKUP(B606,INDIRECT($F$8),6+(O612-1)*3)),11,IF(VLOOKUP(B606,INDIRECT($F$8),6+(O612-1)*3)&lt;S612*0.3,IF(VLOOKUP(B606,INDIRECT($F$8),8+(O612-1)*3)&lt;U612*0.4,IF(AND(0.4*U612-VLOOKUP(B606,INDIRECT($F$8),8+(O612-1)*3)&lt;=5,0.3*S612-VLOOKUP(B606,INDIRECT($F$8),6+(O612-1)*3)&lt;=5),MAX(0.4*U612-VLOOKUP(B606,INDIRECT($F$8),8+(O612-1)*3),0.3*S612-VLOOKUP(B606,INDIRECT($F$8),6+(O612-1)*3)),11),IF(0.3*S612-VLOOKUP(B606,INDIRECT($F$8),6+(O612-1)*3)&lt;=5,0.3*S612-VLOOKUP(B606,INDIRECT($F$8),6+(O612-1)*3),11)),IF(VLOOKUP(B606,INDIRECT($F$8),8+(O612-1)*3)&lt;U612*0.4,IF(U612*0.4-VLOOKUP(B606,INDIRECT($F$8),8+(O612-1)*3)&lt;=5,U612*0.4-VLOOKUP(B606,INDIRECT($F$8),8+(O612-1)*3),11),0))))</f>
        <v/>
      </c>
      <c r="X612" s="1" t="str">
        <f ca="1">IF(ISERROR(F606),"",IF(W612=0,"",_xlfn.TEXTJOIN("",FALSE," G+",W612," in ",A612)))</f>
        <v/>
      </c>
    </row>
    <row r="613" spans="1:24" ht="11.25" customHeight="1" x14ac:dyDescent="0.2">
      <c r="A613" s="7" t="str">
        <f ca="1">IF(ISERROR(F606),"",VLOOKUP(C606,INDIRECT($F$8),6+(O613-1)*3,0))</f>
        <v/>
      </c>
      <c r="B613" s="41" t="str">
        <f ca="1">IF(ISERROR(F606),"",VLOOKUP(D606,INDIRECT($F$8),6+(O613-1)*3,0))</f>
        <v/>
      </c>
      <c r="C613" s="41"/>
      <c r="D613" s="41"/>
      <c r="E613" s="41"/>
      <c r="F613" s="7" t="str">
        <f ca="1">IF(ISERROR(F606),"",VLOOKUP(E606,INDIRECT($F$8),6+(O613-1)*3,0))</f>
        <v/>
      </c>
      <c r="G613" s="42" t="str">
        <f ca="1">IF(ISERROR(F606),"",_xlfn.TEXTJOIN("/",FALSE,P613,S613))</f>
        <v/>
      </c>
      <c r="H613" s="42"/>
      <c r="I613" s="42" t="str">
        <f ca="1">IF(ISERROR(F606),"",_xlfn.TEXTJOIN("/",FALSE,Q613,T613))</f>
        <v/>
      </c>
      <c r="J613" s="42"/>
      <c r="K613" s="42" t="str">
        <f ca="1">IF(ISERROR(F606),"",_xlfn.TEXTJOIN("/",FALSE,R613,U613))</f>
        <v/>
      </c>
      <c r="L613" s="42"/>
      <c r="M613" s="7" t="str">
        <f ca="1">IF(ISERROR(F606),"",IF(ISTEXT(P613),IF(P613="A","Ab",IF(P613="D","Dt",IF(P613="UFM","UFM",IF(P613="NA","-")))),IF(AND(ISBLANK(P613),ISBLANK(R613)),"",IF(P613&lt;0.3*S613,"F",IF(ISBLANK(R613),"",IF(ISTEXT(R613),R613,IF(R613&gt;=0.95*U613,"O",IF(R613&gt;=0.9*U613,"A+",IF(R613&gt;=0.85*U613,"A",IF(R613&gt;=0.8*U613,"B+",IF(R613&gt;=0.75*U613,"B",IF(R613&gt;=0.7*U613,"C+",IF(R613&gt;=0.65*U613,"C",IF(R613&gt;=0.6*U613,"D+",IF(R613&gt;=0.55*U613,"D",IF(R613&gt;=0.5*U613,"E+",IF(R613&gt;=0.45*U613,"E",IF(R613&gt;=0.4*U613,"P",IF(R613&lt;0.4*U613,"F",R613)))))))))))))))))))</f>
        <v/>
      </c>
      <c r="N613" s="8" t="e">
        <f t="shared" ca="1" si="58"/>
        <v>#N/A</v>
      </c>
      <c r="O613">
        <f>O612+1</f>
        <v>3</v>
      </c>
      <c r="P613" s="1" t="str">
        <f ca="1">IF(ISERROR(F606),"",IF(ISTEXT(VLOOKUP(B606,INDIRECT($F$8),6+(O613-1)*3)),(VLOOKUP(B606,INDIRECT($F$8),6+(O613-1)*3)),SUM(VLOOKUP(B606,INDIRECT($F$8),6+(O613-1)*3),IF(W625,W613,0))))</f>
        <v/>
      </c>
      <c r="Q613" s="1" t="str">
        <f ca="1">IF(ISERROR(F606),"",VLOOKUP(B606,INDIRECT($F$8),7+(O613-1)*3))</f>
        <v/>
      </c>
      <c r="R613" s="1" t="str">
        <f ca="1">IF(ISERROR(F606),"",SUM(P613:Q613))</f>
        <v/>
      </c>
      <c r="S613" s="1" t="str">
        <f ca="1">IF(ISERROR(F606),"",VLOOKUP(A606,INDIRECT($F$8),6+(O613-1)*3))</f>
        <v/>
      </c>
      <c r="T613" s="1" t="str">
        <f ca="1">IF(ISERROR(F606),"",VLOOKUP(A606,INDIRECT($F$8),7+(O613-1)*3))</f>
        <v/>
      </c>
      <c r="U613" s="1" t="str">
        <f ca="1">IF(ISERROR(F606),"",VLOOKUP(A606,INDIRECT($F$8),8+(O613-1)*3))</f>
        <v/>
      </c>
      <c r="V613" s="1" t="str">
        <f ca="1">IF(ISERROR(F606),"",IF(N613=0,A613,""))</f>
        <v/>
      </c>
      <c r="W613" s="1" t="str">
        <f ca="1">IF(ISERROR(F606),"",IF(ISTEXT(VLOOKUP(B606,INDIRECT($F$8),6+(O613-1)*3)),11,IF(VLOOKUP(B606,INDIRECT($F$8),6+(O613-1)*3)&lt;S613*0.3,IF(VLOOKUP(B606,INDIRECT($F$8),8+(O613-1)*3)&lt;U613*0.4,IF(AND(0.4*U613-VLOOKUP(B606,INDIRECT($F$8),8+(O613-1)*3)&lt;=5,0.3*S613-VLOOKUP(B606,INDIRECT($F$8),6+(O613-1)*3)&lt;=5),MAX(0.4*U613-VLOOKUP(B606,INDIRECT($F$8),8+(O613-1)*3),0.3*S613-VLOOKUP(B606,INDIRECT($F$8),6+(O613-1)*3)),11),IF(0.3*S613-VLOOKUP(B606,INDIRECT($F$8),6+(O613-1)*3)&lt;=5,0.3*S613-VLOOKUP(B606,INDIRECT($F$8),6+(O613-1)*3),11)),IF(VLOOKUP(B606,INDIRECT($F$8),8+(O613-1)*3)&lt;U613*0.4,IF(U613*0.4-VLOOKUP(B606,INDIRECT($F$8),8+(O613-1)*3)&lt;=5,U613*0.4-VLOOKUP(B606,INDIRECT($F$8),8+(O613-1)*3),11),0))))</f>
        <v/>
      </c>
      <c r="X613" s="1" t="str">
        <f ca="1">IF(ISERROR(F606),"",IF(W613=0,"",_xlfn.TEXTJOIN("",FALSE," G+",W613," in ",A613)))</f>
        <v/>
      </c>
    </row>
    <row r="614" spans="1:24" ht="11.25" customHeight="1" x14ac:dyDescent="0.2">
      <c r="A614" s="7" t="str">
        <f ca="1">IF(ISERROR(F606),"",VLOOKUP(C606,INDIRECT($F$8),6+(O614-1)*3,0))</f>
        <v/>
      </c>
      <c r="B614" s="41" t="str">
        <f ca="1">IF(ISERROR(F606),"",VLOOKUP(D606,INDIRECT($F$8),6+(O614-1)*3,0))</f>
        <v/>
      </c>
      <c r="C614" s="41"/>
      <c r="D614" s="41"/>
      <c r="E614" s="41"/>
      <c r="F614" s="7" t="str">
        <f ca="1">IF(ISERROR(F606),"",VLOOKUP(E606,INDIRECT($F$8),6+(O614-1)*3,0))</f>
        <v/>
      </c>
      <c r="G614" s="42" t="str">
        <f ca="1">IF(ISERROR(F606),"",_xlfn.TEXTJOIN("/",FALSE,P614,S614))</f>
        <v/>
      </c>
      <c r="H614" s="42"/>
      <c r="I614" s="42" t="str">
        <f ca="1">IF(ISERROR(F606),"",_xlfn.TEXTJOIN("/",FALSE,Q614,T614))</f>
        <v/>
      </c>
      <c r="J614" s="42"/>
      <c r="K614" s="42" t="str">
        <f ca="1">IF(ISERROR(F606),"",_xlfn.TEXTJOIN("/",FALSE,R614,U614))</f>
        <v/>
      </c>
      <c r="L614" s="42"/>
      <c r="M614" s="7" t="str">
        <f ca="1">IF(ISERROR(F606),"",IF(ISTEXT(P614),IF(P614="A","Ab",IF(P614="D","Dt",IF(P614="UFM","UFM",IF(P614="NA","-")))),IF(AND(ISBLANK(P614),ISBLANK(R614)),"",IF(P614&lt;0.3*S614,"F",IF(ISBLANK(R614),"",IF(ISTEXT(R614),R614,IF(R614&gt;=0.95*U614,"O",IF(R614&gt;=0.9*U614,"A+",IF(R614&gt;=0.85*U614,"A",IF(R614&gt;=0.8*U614,"B+",IF(R614&gt;=0.75*U614,"B",IF(R614&gt;=0.7*U614,"C+",IF(R614&gt;=0.65*U614,"C",IF(R614&gt;=0.6*U614,"D+",IF(R614&gt;=0.55*U614,"D",IF(R614&gt;=0.5*U614,"E+",IF(R614&gt;=0.45*U614,"E",IF(R614&gt;=0.4*U614,"P",IF(R614&lt;0.4*U614,"F",R614)))))))))))))))))))</f>
        <v/>
      </c>
      <c r="N614" s="8" t="e">
        <f t="shared" ca="1" si="58"/>
        <v>#N/A</v>
      </c>
      <c r="O614">
        <f>O613+1</f>
        <v>4</v>
      </c>
      <c r="P614" s="1" t="str">
        <f ca="1">IF(ISERROR(F606),"",IF(ISTEXT(VLOOKUP(B606,INDIRECT($F$8),6+(O614-1)*3)),(VLOOKUP(B606,INDIRECT($F$8),6+(O614-1)*3)),SUM(VLOOKUP(B606,INDIRECT($F$8),6+(O614-1)*3),IF(W625,W614,0))))</f>
        <v/>
      </c>
      <c r="Q614" s="1" t="str">
        <f ca="1">IF(ISERROR(F606),"",VLOOKUP(B606,INDIRECT($F$8),7+(O614-1)*3))</f>
        <v/>
      </c>
      <c r="R614" s="1" t="str">
        <f ca="1">IF(ISERROR(F606),"",SUM(P614:Q614))</f>
        <v/>
      </c>
      <c r="S614" s="1" t="str">
        <f ca="1">IF(ISERROR(F606),"",VLOOKUP(A606,INDIRECT($F$8),6+(O614-1)*3))</f>
        <v/>
      </c>
      <c r="T614" s="1" t="str">
        <f ca="1">IF(ISERROR(F606),"",VLOOKUP(A606,INDIRECT($F$8),7+(O614-1)*3))</f>
        <v/>
      </c>
      <c r="U614" s="1" t="str">
        <f ca="1">IF(ISERROR(F606),"",VLOOKUP(A606,INDIRECT($F$8),8+(O614-1)*3))</f>
        <v/>
      </c>
      <c r="V614" s="1" t="str">
        <f ca="1">IF(ISERROR(F606),"",IF(N614=0,A614,""))</f>
        <v/>
      </c>
      <c r="W614" s="1" t="str">
        <f ca="1">IF(ISERROR(F606),"",IF(ISTEXT(VLOOKUP(B606,INDIRECT($F$8),6+(O614-1)*3)),11,IF(VLOOKUP(B606,INDIRECT($F$8),6+(O614-1)*3)&lt;S614*0.3,IF(VLOOKUP(B606,INDIRECT($F$8),8+(O614-1)*3)&lt;U614*0.4,IF(AND(0.4*U614-VLOOKUP(B606,INDIRECT($F$8),8+(O614-1)*3)&lt;=5,0.3*S614-VLOOKUP(B606,INDIRECT($F$8),6+(O614-1)*3)&lt;=5),MAX(0.4*U614-VLOOKUP(B606,INDIRECT($F$8),8+(O614-1)*3),0.3*S614-VLOOKUP(B606,INDIRECT($F$8),6+(O614-1)*3)),11),IF(0.3*S614-VLOOKUP(B606,INDIRECT($F$8),6+(O614-1)*3)&lt;=5,0.3*S614-VLOOKUP(B606,INDIRECT($F$8),6+(O614-1)*3),11)),IF(VLOOKUP(B606,INDIRECT($F$8),8+(O614-1)*3)&lt;U614*0.4,IF(U614*0.4-VLOOKUP(B606,INDIRECT($F$8),8+(O614-1)*3)&lt;=5,U614*0.4-VLOOKUP(B606,INDIRECT($F$8),8+(O614-1)*3),11),0))))</f>
        <v/>
      </c>
      <c r="X614" s="1" t="str">
        <f ca="1">IF(ISERROR(F606),"",IF(W614=0,"",_xlfn.TEXTJOIN("",FALSE," G+",W614," in ",A614)))</f>
        <v/>
      </c>
    </row>
    <row r="615" spans="1:24" ht="11.25" customHeight="1" x14ac:dyDescent="0.2">
      <c r="A615" s="7" t="str">
        <f ca="1">IF(ISERROR(F606),"",VLOOKUP(C606,INDIRECT($F$8),6+(O615-1)*3,0))</f>
        <v/>
      </c>
      <c r="B615" s="41" t="str">
        <f ca="1">IF(ISERROR(F606),"",VLOOKUP(D606,INDIRECT($F$8),6+(O615-1)*3,0))</f>
        <v/>
      </c>
      <c r="C615" s="41"/>
      <c r="D615" s="41"/>
      <c r="E615" s="41"/>
      <c r="F615" s="7" t="str">
        <f ca="1">IF(ISERROR(F606),"",VLOOKUP(E606,INDIRECT($F$8),6+(O615-1)*3,0))</f>
        <v/>
      </c>
      <c r="G615" s="42" t="str">
        <f ca="1">IF(ISERROR(F606),"",_xlfn.TEXTJOIN("/",FALSE,P615,S615))</f>
        <v/>
      </c>
      <c r="H615" s="42"/>
      <c r="I615" s="42" t="str">
        <f ca="1">IF(ISERROR(F606),"",_xlfn.TEXTJOIN("/",FALSE,Q615,T615))</f>
        <v/>
      </c>
      <c r="J615" s="42"/>
      <c r="K615" s="42" t="str">
        <f ca="1">IF(ISERROR(F606),"",_xlfn.TEXTJOIN("/",FALSE,R615,U615))</f>
        <v/>
      </c>
      <c r="L615" s="42"/>
      <c r="M615" s="7" t="str">
        <f ca="1">IF(ISERROR(F606),"",IF(ISTEXT(P615),IF(P615="A","Ab",IF(P615="D","Dt",IF(P615="UFM","UFM",IF(P615="NA","-")))),IF(AND(ISBLANK(P615),ISBLANK(R615)),"",IF(P615&lt;0.3*S615,"F",IF(ISBLANK(R615),"",IF(ISTEXT(R615),R615,IF(R615&gt;=0.95*U615,"O",IF(R615&gt;=0.9*U615,"A+",IF(R615&gt;=0.85*U615,"A",IF(R615&gt;=0.8*U615,"B+",IF(R615&gt;=0.75*U615,"B",IF(R615&gt;=0.7*U615,"C+",IF(R615&gt;=0.65*U615,"C",IF(R615&gt;=0.6*U615,"D+",IF(R615&gt;=0.55*U615,"D",IF(R615&gt;=0.5*U615,"E+",IF(R615&gt;=0.45*U615,"E",IF(R615&gt;=0.4*U615,"P",IF(R615&lt;0.4*U615,"F",R615)))))))))))))))))))</f>
        <v/>
      </c>
      <c r="N615" s="8" t="e">
        <f t="shared" ca="1" si="58"/>
        <v>#N/A</v>
      </c>
      <c r="O615">
        <f t="shared" ref="O615:O624" si="59">O614+1</f>
        <v>5</v>
      </c>
      <c r="P615" s="1" t="str">
        <f ca="1">IF(ISERROR(F606),"",IF(ISTEXT(VLOOKUP(B606,INDIRECT($F$8),6+(O615-1)*3)),(VLOOKUP(B606,INDIRECT($F$8),6+(O615-1)*3)),SUM(VLOOKUP(B606,INDIRECT($F$8),6+(O615-1)*3),IF(W625,W615,0))))</f>
        <v/>
      </c>
      <c r="Q615" s="1" t="str">
        <f ca="1">IF(ISERROR(F606),"",VLOOKUP(B606,INDIRECT($F$8),7+(O615-1)*3))</f>
        <v/>
      </c>
      <c r="R615" s="1" t="str">
        <f ca="1">IF(ISERROR(F606),"",SUM(P615:Q615))</f>
        <v/>
      </c>
      <c r="S615" s="1" t="str">
        <f ca="1">IF(ISERROR(F606),"",VLOOKUP(A606,INDIRECT($F$8),6+(O615-1)*3))</f>
        <v/>
      </c>
      <c r="T615" s="1" t="str">
        <f ca="1">IF(ISERROR(F606),"",VLOOKUP(A606,INDIRECT($F$8),7+(O615-1)*3))</f>
        <v/>
      </c>
      <c r="U615" s="1" t="str">
        <f ca="1">IF(ISERROR(F606),"",VLOOKUP(A606,INDIRECT($F$8),8+(O615-1)*3))</f>
        <v/>
      </c>
      <c r="V615" s="1" t="str">
        <f ca="1">IF(ISERROR(F606),"",IF(N615=0,A615,""))</f>
        <v/>
      </c>
      <c r="W615" s="1" t="str">
        <f ca="1">IF(ISERROR(F606),"",IF(ISTEXT(VLOOKUP(B606,INDIRECT($F$8),6+(O615-1)*3)),11,IF(VLOOKUP(B606,INDIRECT($F$8),6+(O615-1)*3)&lt;S615*0.3,IF(VLOOKUP(B606,INDIRECT($F$8),8+(O615-1)*3)&lt;U615*0.4,IF(AND(0.4*U615-VLOOKUP(B606,INDIRECT($F$8),8+(O615-1)*3)&lt;=5,0.3*S615-VLOOKUP(B606,INDIRECT($F$8),6+(O615-1)*3)&lt;=5),MAX(0.4*U615-VLOOKUP(B606,INDIRECT($F$8),8+(O615-1)*3),0.3*S615-VLOOKUP(B606,INDIRECT($F$8),6+(O615-1)*3)),11),IF(0.3*S615-VLOOKUP(B606,INDIRECT($F$8),6+(O615-1)*3)&lt;=5,0.3*S615-VLOOKUP(B606,INDIRECT($F$8),6+(O615-1)*3),11)),IF(VLOOKUP(B606,INDIRECT($F$8),8+(O615-1)*3)&lt;U615*0.4,IF(U615*0.4-VLOOKUP(B606,INDIRECT($F$8),8+(O615-1)*3)&lt;=5,U615*0.4-VLOOKUP(B606,INDIRECT($F$8),8+(O615-1)*3),11),0))))</f>
        <v/>
      </c>
      <c r="X615" s="1" t="str">
        <f ca="1">IF(ISERROR(F606),"",IF(W615=0,"",_xlfn.TEXTJOIN("",FALSE," G+",W615," in ",A615)))</f>
        <v/>
      </c>
    </row>
    <row r="616" spans="1:24" ht="11.25" customHeight="1" x14ac:dyDescent="0.2">
      <c r="A616" s="7" t="str">
        <f ca="1">IF(ISERROR(F606),"",VLOOKUP(C606,INDIRECT($F$8),6+(O616-1)*3,0))</f>
        <v/>
      </c>
      <c r="B616" s="41" t="str">
        <f ca="1">IF(ISERROR(F606),"",VLOOKUP(D606,INDIRECT($F$8),6+(O616-1)*3,0))</f>
        <v/>
      </c>
      <c r="C616" s="41"/>
      <c r="D616" s="41"/>
      <c r="E616" s="41"/>
      <c r="F616" s="7" t="str">
        <f ca="1">IF(ISERROR(F606),"",VLOOKUP(E606,INDIRECT($F$8),6+(O616-1)*3,0))</f>
        <v/>
      </c>
      <c r="G616" s="42" t="str">
        <f ca="1">IF(ISERROR(F606),"",_xlfn.TEXTJOIN("/",FALSE,P616,S616))</f>
        <v/>
      </c>
      <c r="H616" s="42"/>
      <c r="I616" s="42" t="str">
        <f ca="1">IF(ISERROR(F606),"",_xlfn.TEXTJOIN("/",FALSE,Q616,T616))</f>
        <v/>
      </c>
      <c r="J616" s="42"/>
      <c r="K616" s="42" t="str">
        <f ca="1">IF(ISERROR(F606),"",_xlfn.TEXTJOIN("/",FALSE,R616,U616))</f>
        <v/>
      </c>
      <c r="L616" s="42"/>
      <c r="M616" s="7" t="str">
        <f ca="1">IF(ISERROR(F606),"",IF(ISTEXT(P616),IF(P616="A","Ab",IF(P616="D","Dt",IF(P616="UFM","UFM",IF(P616="NA","-")))),IF(AND(ISBLANK(P616),ISBLANK(R616)),"",IF(P616&lt;0.3*S616,"F",IF(ISBLANK(R616),"",IF(ISTEXT(R616),R616,IF(R616&gt;=0.95*U616,"O",IF(R616&gt;=0.9*U616,"A+",IF(R616&gt;=0.85*U616,"A",IF(R616&gt;=0.8*U616,"B+",IF(R616&gt;=0.75*U616,"B",IF(R616&gt;=0.7*U616,"C+",IF(R616&gt;=0.65*U616,"C",IF(R616&gt;=0.6*U616,"D+",IF(R616&gt;=0.55*U616,"D",IF(R616&gt;=0.5*U616,"E+",IF(R616&gt;=0.45*U616,"E",IF(R616&gt;=0.4*U616,"P",IF(R616&lt;0.4*U616,"F",R616)))))))))))))))))))</f>
        <v/>
      </c>
      <c r="N616" s="8" t="e">
        <f t="shared" ca="1" si="58"/>
        <v>#N/A</v>
      </c>
      <c r="O616">
        <f t="shared" si="59"/>
        <v>6</v>
      </c>
      <c r="P616" s="1" t="str">
        <f ca="1">IF(ISERROR(F606),"",IF(ISTEXT(VLOOKUP(B606,INDIRECT($F$8),6+(O616-1)*3)),(VLOOKUP(B606,INDIRECT($F$8),6+(O616-1)*3)),SUM(VLOOKUP(B606,INDIRECT($F$8),6+(O616-1)*3),IF(W625,W616,0))))</f>
        <v/>
      </c>
      <c r="Q616" s="1" t="str">
        <f ca="1">IF(ISERROR(F606),"",VLOOKUP(B606,INDIRECT($F$8),7+(O616-1)*3))</f>
        <v/>
      </c>
      <c r="R616" s="1" t="str">
        <f ca="1">IF(ISERROR(F606),"",SUM(P616:Q616))</f>
        <v/>
      </c>
      <c r="S616" s="1" t="str">
        <f ca="1">IF(ISERROR(F606),"",VLOOKUP(A606,INDIRECT($F$8),6+(O616-1)*3))</f>
        <v/>
      </c>
      <c r="T616" s="1" t="str">
        <f ca="1">IF(ISERROR(F606),"",VLOOKUP(A606,INDIRECT($F$8),7+(O616-1)*3))</f>
        <v/>
      </c>
      <c r="U616" s="1" t="str">
        <f ca="1">IF(ISERROR(F606),"",VLOOKUP(A606,INDIRECT($F$8),8+(O616-1)*3))</f>
        <v/>
      </c>
      <c r="V616" s="1" t="str">
        <f ca="1">IF(ISERROR(F606),"",IF(N616=0,A616,""))</f>
        <v/>
      </c>
      <c r="W616" s="1" t="str">
        <f ca="1">IF(ISERROR(F606),"",IF(ISTEXT(VLOOKUP(B606,INDIRECT($F$8),6+(O616-1)*3)),11,IF(VLOOKUP(B606,INDIRECT($F$8),6+(O616-1)*3)&lt;S616*0.3,IF(VLOOKUP(B606,INDIRECT($F$8),8+(O616-1)*3)&lt;U616*0.4,IF(AND(0.4*U616-VLOOKUP(B606,INDIRECT($F$8),8+(O616-1)*3)&lt;=5,0.3*S616-VLOOKUP(B606,INDIRECT($F$8),6+(O616-1)*3)&lt;=5),MAX(0.4*U616-VLOOKUP(B606,INDIRECT($F$8),8+(O616-1)*3),0.3*S616-VLOOKUP(B606,INDIRECT($F$8),6+(O616-1)*3)),11),IF(0.3*S616-VLOOKUP(B606,INDIRECT($F$8),6+(O616-1)*3)&lt;=5,0.3*S616-VLOOKUP(B606,INDIRECT($F$8),6+(O616-1)*3),11)),IF(VLOOKUP(B606,INDIRECT($F$8),8+(O616-1)*3)&lt;U616*0.4,IF(U616*0.4-VLOOKUP(B606,INDIRECT($F$8),8+(O616-1)*3)&lt;=5,U616*0.4-VLOOKUP(B606,INDIRECT($F$8),8+(O616-1)*3),11),0))))</f>
        <v/>
      </c>
      <c r="X616" s="1" t="str">
        <f ca="1">IF(ISERROR(F606),"",IF(W616=0,"",_xlfn.TEXTJOIN("",FALSE," G+",W616," in ",A616)))</f>
        <v/>
      </c>
    </row>
    <row r="617" spans="1:24" ht="11.25" customHeight="1" x14ac:dyDescent="0.2">
      <c r="A617" s="7" t="str">
        <f ca="1">IF(ISERROR(F606),"",VLOOKUP(C606,INDIRECT($F$8),6+(O617-1)*3,0))</f>
        <v/>
      </c>
      <c r="B617" s="41" t="str">
        <f ca="1">IF(ISERROR(F606),"",VLOOKUP(D606,INDIRECT($F$8),6+(O617-1)*3,0))</f>
        <v/>
      </c>
      <c r="C617" s="41"/>
      <c r="D617" s="41"/>
      <c r="E617" s="41"/>
      <c r="F617" s="7" t="str">
        <f ca="1">IF(ISERROR(F606),"",VLOOKUP(E606,INDIRECT($F$8),6+(O617-1)*3,0))</f>
        <v/>
      </c>
      <c r="G617" s="42" t="str">
        <f ca="1">IF(ISERROR(F606),"",_xlfn.TEXTJOIN("/",FALSE,P617,S617))</f>
        <v/>
      </c>
      <c r="H617" s="42"/>
      <c r="I617" s="42" t="str">
        <f ca="1">IF(ISERROR(F606),"",_xlfn.TEXTJOIN("/",FALSE,Q617,T617))</f>
        <v/>
      </c>
      <c r="J617" s="42"/>
      <c r="K617" s="42" t="str">
        <f ca="1">IF(ISERROR(F606),"",_xlfn.TEXTJOIN("/",FALSE,R617,U617))</f>
        <v/>
      </c>
      <c r="L617" s="42"/>
      <c r="M617" s="7" t="str">
        <f ca="1">IF(ISERROR(F606),"",IF(ISTEXT(P617),IF(P617="A","Ab",IF(P617="D","Dt",IF(P617="UFM","UFM",IF(P617="NA","-")))),IF(AND(ISBLANK(P617),ISBLANK(R617)),"",IF(P617&lt;0.3*S617,"F",IF(ISBLANK(R617),"",IF(ISTEXT(R617),R617,IF(R617&gt;=0.95*U617,"O",IF(R617&gt;=0.9*U617,"A+",IF(R617&gt;=0.85*U617,"A",IF(R617&gt;=0.8*U617,"B+",IF(R617&gt;=0.75*U617,"B",IF(R617&gt;=0.7*U617,"C+",IF(R617&gt;=0.65*U617,"C",IF(R617&gt;=0.6*U617,"D+",IF(R617&gt;=0.55*U617,"D",IF(R617&gt;=0.5*U617,"E+",IF(R617&gt;=0.45*U617,"E",IF(R617&gt;=0.4*U617,"P",IF(R617&lt;0.4*U617,"F",R617)))))))))))))))))))</f>
        <v/>
      </c>
      <c r="N617" s="8" t="e">
        <f t="shared" ca="1" si="58"/>
        <v>#N/A</v>
      </c>
      <c r="O617">
        <f t="shared" si="59"/>
        <v>7</v>
      </c>
      <c r="P617" s="1" t="str">
        <f ca="1">IF(ISERROR(F606),"",IF(ISTEXT(VLOOKUP(B606,INDIRECT($F$8),6+(O617-1)*3)),(VLOOKUP(B606,INDIRECT($F$8),6+(O617-1)*3)),SUM(VLOOKUP(B606,INDIRECT($F$8),6+(O617-1)*3),IF(W625,W617,0))))</f>
        <v/>
      </c>
      <c r="Q617" s="1" t="str">
        <f ca="1">IF(ISERROR(F606),"",VLOOKUP(B606,INDIRECT($F$8),7+(O617-1)*3))</f>
        <v/>
      </c>
      <c r="R617" s="1" t="str">
        <f ca="1">IF(ISERROR(F606),"",SUM(P617:Q617))</f>
        <v/>
      </c>
      <c r="S617" s="1" t="str">
        <f ca="1">IF(ISERROR(F606),"",VLOOKUP(A606,INDIRECT($F$8),6+(O617-1)*3))</f>
        <v/>
      </c>
      <c r="T617" s="1" t="str">
        <f ca="1">IF(ISERROR(F606),"",VLOOKUP(A606,INDIRECT($F$8),7+(O617-1)*3))</f>
        <v/>
      </c>
      <c r="U617" s="1" t="str">
        <f ca="1">IF(ISERROR(F606),"",VLOOKUP(A606,INDIRECT($F$8),8+(O617-1)*3))</f>
        <v/>
      </c>
      <c r="V617" s="1" t="str">
        <f ca="1">IF(ISERROR(F606),"",IF(N617=0,A617,""))</f>
        <v/>
      </c>
      <c r="W617" s="1" t="str">
        <f ca="1">IF(ISERROR(F606),"",IF(ISTEXT(VLOOKUP(B606,INDIRECT($F$8),6+(O617-1)*3)),11,IF(VLOOKUP(B606,INDIRECT($F$8),6+(O617-1)*3)&lt;S617*0.3,IF(VLOOKUP(B606,INDIRECT($F$8),8+(O617-1)*3)&lt;U617*0.4,IF(AND(0.4*U617-VLOOKUP(B606,INDIRECT($F$8),8+(O617-1)*3)&lt;=5,0.3*S617-VLOOKUP(B606,INDIRECT($F$8),6+(O617-1)*3)&lt;=5),MAX(0.4*U617-VLOOKUP(B606,INDIRECT($F$8),8+(O617-1)*3),0.3*S617-VLOOKUP(B606,INDIRECT($F$8),6+(O617-1)*3)),11),IF(0.3*S617-VLOOKUP(B606,INDIRECT($F$8),6+(O617-1)*3)&lt;=5,0.3*S617-VLOOKUP(B606,INDIRECT($F$8),6+(O617-1)*3),11)),IF(VLOOKUP(B606,INDIRECT($F$8),8+(O617-1)*3)&lt;U617*0.4,IF(U617*0.4-VLOOKUP(B606,INDIRECT($F$8),8+(O617-1)*3)&lt;=5,U617*0.4-VLOOKUP(B606,INDIRECT($F$8),8+(O617-1)*3),11),0))))</f>
        <v/>
      </c>
      <c r="X617" s="1" t="str">
        <f ca="1">IF(ISERROR(F606),"",IF(W617=0,"",_xlfn.TEXTJOIN("",FALSE," G+",W617," in ",A617)))</f>
        <v/>
      </c>
    </row>
    <row r="618" spans="1:24" ht="11.25" customHeight="1" x14ac:dyDescent="0.2">
      <c r="A618" s="7" t="str">
        <f ca="1">IF(ISERROR(F606),"",VLOOKUP(C606,INDIRECT($F$8),6+(O618-1)*3,0))</f>
        <v/>
      </c>
      <c r="B618" s="41" t="str">
        <f ca="1">IF(ISERROR(F606),"",VLOOKUP(D606,INDIRECT($F$8),6+(O618-1)*3,0))</f>
        <v/>
      </c>
      <c r="C618" s="41"/>
      <c r="D618" s="41"/>
      <c r="E618" s="41"/>
      <c r="F618" s="7" t="str">
        <f ca="1">IF(ISERROR(F606),"",VLOOKUP(E606,INDIRECT($F$8),6+(O618-1)*3,0))</f>
        <v/>
      </c>
      <c r="G618" s="42" t="str">
        <f ca="1">IF(ISERROR(F606),"",_xlfn.TEXTJOIN("/",FALSE,P618,S618))</f>
        <v/>
      </c>
      <c r="H618" s="42"/>
      <c r="I618" s="42" t="str">
        <f ca="1">IF(ISERROR(F606),"",_xlfn.TEXTJOIN("/",FALSE,Q618,T618))</f>
        <v/>
      </c>
      <c r="J618" s="42"/>
      <c r="K618" s="42" t="str">
        <f ca="1">IF(ISERROR(F606),"",_xlfn.TEXTJOIN("/",FALSE,R618,U618))</f>
        <v/>
      </c>
      <c r="L618" s="42"/>
      <c r="M618" s="7" t="str">
        <f ca="1">IF(ISERROR(F606),"",IF(ISTEXT(P618),IF(P618="A","Ab",IF(P618="D","Dt",IF(P618="UFM","UFM",IF(P618="NA","-")))),IF(AND(ISBLANK(P618),ISBLANK(R618)),"",IF(P618&lt;0.3*S618,"F",IF(ISBLANK(R618),"",IF(ISTEXT(R618),R618,IF(R618&gt;=0.95*U618,"O",IF(R618&gt;=0.9*U618,"A+",IF(R618&gt;=0.85*U618,"A",IF(R618&gt;=0.8*U618,"B+",IF(R618&gt;=0.75*U618,"B",IF(R618&gt;=0.7*U618,"C+",IF(R618&gt;=0.65*U618,"C",IF(R618&gt;=0.6*U618,"D+",IF(R618&gt;=0.55*U618,"D",IF(R618&gt;=0.5*U618,"E+",IF(R618&gt;=0.45*U618,"E",IF(R618&gt;=0.4*U618,"P",IF(R618&lt;0.4*U618,"F",R618)))))))))))))))))))</f>
        <v/>
      </c>
      <c r="N618" s="8" t="e">
        <f t="shared" ca="1" si="58"/>
        <v>#N/A</v>
      </c>
      <c r="O618">
        <f t="shared" si="59"/>
        <v>8</v>
      </c>
      <c r="P618" s="1" t="str">
        <f ca="1">IF(ISERROR(F606),"",IF(ISTEXT(VLOOKUP(B606,INDIRECT($F$8),6+(O618-1)*3)),(VLOOKUP(B606,INDIRECT($F$8),6+(O618-1)*3)),SUM(VLOOKUP(B606,INDIRECT($F$8),6+(O618-1)*3),IF(W625,W618,0))))</f>
        <v/>
      </c>
      <c r="Q618" s="1" t="str">
        <f ca="1">IF(ISERROR(F606),"",VLOOKUP(B606,INDIRECT($F$8),7+(O618-1)*3))</f>
        <v/>
      </c>
      <c r="R618" s="1" t="str">
        <f ca="1">IF(ISERROR(F606),"",SUM(P618:Q618))</f>
        <v/>
      </c>
      <c r="S618" s="1" t="str">
        <f ca="1">IF(ISERROR(F606),"",VLOOKUP(A606,INDIRECT($F$8),6+(O618-1)*3))</f>
        <v/>
      </c>
      <c r="T618" s="1" t="str">
        <f ca="1">IF(ISERROR(F606),"",VLOOKUP(A606,INDIRECT($F$8),7+(O618-1)*3))</f>
        <v/>
      </c>
      <c r="U618" s="1" t="str">
        <f ca="1">IF(ISERROR(F606),"",VLOOKUP(A606,INDIRECT($F$8),8+(O618-1)*3))</f>
        <v/>
      </c>
      <c r="V618" s="1" t="str">
        <f ca="1">IF(ISERROR(F606),"",IF(N618=0,A618,""))</f>
        <v/>
      </c>
      <c r="W618" s="1" t="str">
        <f ca="1">IF(ISERROR(F606),"",IF(ISTEXT(VLOOKUP(B606,INDIRECT($F$8),6+(O618-1)*3)),11,IF(VLOOKUP(B606,INDIRECT($F$8),6+(O618-1)*3)&lt;S618*0.3,IF(VLOOKUP(B606,INDIRECT($F$8),8+(O618-1)*3)&lt;U618*0.4,IF(AND(0.4*U618-VLOOKUP(B606,INDIRECT($F$8),8+(O618-1)*3)&lt;=5,0.3*S618-VLOOKUP(B606,INDIRECT($F$8),6+(O618-1)*3)&lt;=5),MAX(0.4*U618-VLOOKUP(B606,INDIRECT($F$8),8+(O618-1)*3),0.3*S618-VLOOKUP(B606,INDIRECT($F$8),6+(O618-1)*3)),11),IF(0.3*S618-VLOOKUP(B606,INDIRECT($F$8),6+(O618-1)*3)&lt;=5,0.3*S618-VLOOKUP(B606,INDIRECT($F$8),6+(O618-1)*3),11)),IF(VLOOKUP(B606,INDIRECT($F$8),8+(O618-1)*3)&lt;U618*0.4,IF(U618*0.4-VLOOKUP(B606,INDIRECT($F$8),8+(O618-1)*3)&lt;=5,U618*0.4-VLOOKUP(B606,INDIRECT($F$8),8+(O618-1)*3),11),0))))</f>
        <v/>
      </c>
      <c r="X618" s="1" t="str">
        <f ca="1">IF(ISERROR(F606),"",IF(W618=0,"",_xlfn.TEXTJOIN("",FALSE," G+",W618," in ",A618)))</f>
        <v/>
      </c>
    </row>
    <row r="619" spans="1:24" ht="11.25" customHeight="1" x14ac:dyDescent="0.2">
      <c r="A619" s="7" t="str">
        <f ca="1">IF(ISERROR(F606),"",VLOOKUP(C606,INDIRECT($F$8),6+(O619-1)*3,0))</f>
        <v/>
      </c>
      <c r="B619" s="41" t="str">
        <f ca="1">IF(ISERROR(F606),"",VLOOKUP(D606,INDIRECT($F$8),6+(O619-1)*3-Z619,0))</f>
        <v/>
      </c>
      <c r="C619" s="41"/>
      <c r="D619" s="41"/>
      <c r="E619" s="41"/>
      <c r="F619" s="7" t="str">
        <f ca="1">IF(ISERROR(F606),"",VLOOKUP(E606,INDIRECT($F$8),6+(O619-1)*3,0))</f>
        <v/>
      </c>
      <c r="G619" s="42" t="str">
        <f ca="1">IF(ISERROR(F606),"",_xlfn.TEXTJOIN("/",FALSE,P619,S619))</f>
        <v/>
      </c>
      <c r="H619" s="42"/>
      <c r="I619" s="42" t="str">
        <f ca="1">IF(ISERROR(F606),"",_xlfn.TEXTJOIN("/",FALSE,Q619,T619))</f>
        <v/>
      </c>
      <c r="J619" s="42"/>
      <c r="K619" s="42" t="str">
        <f ca="1">IF(ISERROR(F606),"",_xlfn.TEXTJOIN("/",FALSE,R619,U619))</f>
        <v/>
      </c>
      <c r="L619" s="42"/>
      <c r="M619" s="7" t="str">
        <f ca="1">IF(ISERROR(F606),"",IF(ISTEXT(P619),IF(P619="A","Ab",IF(P619="D","Dt",IF(P619="UFM","UFM",IF(P619="NA","-")))),IF(AND(ISBLANK(P619),ISBLANK(R619)),"",IF(P619&lt;0.3*S619,"F",IF(ISBLANK(R619),"",IF(ISTEXT(R619),R619,IF(R619&gt;=0.95*U619,"O",IF(R619&gt;=0.9*U619,"A+",IF(R619&gt;=0.85*U619,"A",IF(R619&gt;=0.8*U619,"B+",IF(R619&gt;=0.75*U619,"B",IF(R619&gt;=0.7*U619,"C+",IF(R619&gt;=0.65*U619,"C",IF(R619&gt;=0.6*U619,"D+",IF(R619&gt;=0.55*U619,"D",IF(R619&gt;=0.5*U619,"E+",IF(R619&gt;=0.45*U619,"E",IF(R619&gt;=0.4*U619,"P",IF(R619&lt;0.4*U619,"F",R619)))))))))))))))))))</f>
        <v/>
      </c>
      <c r="N619" s="8" t="e">
        <f t="shared" ca="1" si="58"/>
        <v>#N/A</v>
      </c>
      <c r="O619">
        <f t="shared" si="59"/>
        <v>9</v>
      </c>
      <c r="P619" s="1" t="str">
        <f ca="1">IF(ISERROR(F606),"",IF(ISTEXT(VLOOKUP(B606,INDIRECT($F$8),6+(O619-1)*3)),(VLOOKUP(B606,INDIRECT($F$8),6+(O619-1)*3)),SUM(VLOOKUP(B606,INDIRECT($F$8),6+(O619-1)*3),IF(W625,W619,0))))</f>
        <v/>
      </c>
      <c r="Q619" s="1" t="str">
        <f ca="1">IF(ISERROR(F606),"",VLOOKUP(B606,INDIRECT($F$8),7+(O619-1)*3))</f>
        <v/>
      </c>
      <c r="R619" s="1" t="str">
        <f ca="1">IF(ISERROR(F606),"",SUM(P619:Q619))</f>
        <v/>
      </c>
      <c r="S619" s="1" t="str">
        <f ca="1">IF(ISERROR(F606),"",VLOOKUP(A606,INDIRECT($F$8),6+(O619-1)*3))</f>
        <v/>
      </c>
      <c r="T619" s="1" t="str">
        <f ca="1">IF(ISERROR(F606),"",VLOOKUP(A606,INDIRECT($F$8),7+(O619-1)*3))</f>
        <v/>
      </c>
      <c r="U619" s="1" t="str">
        <f ca="1">IF(ISERROR(F606),"",VLOOKUP(A606,INDIRECT($F$8),8+(O619-1)*3))</f>
        <v/>
      </c>
      <c r="V619" s="1" t="str">
        <f ca="1">IF(ISERROR(F606),"",IF(N619=0,A619,""))</f>
        <v/>
      </c>
      <c r="W619" s="1" t="str">
        <f ca="1">IF(ISERROR(F606),"",IF(ISTEXT(VLOOKUP(B606,INDIRECT($F$8),6+(O619-1)*3)),11,IF(VLOOKUP(B606,INDIRECT($F$8),6+(O619-1)*3)&lt;S619*0.3,IF(VLOOKUP(B606,INDIRECT($F$8),8+(O619-1)*3)&lt;U619*0.4,IF(AND(0.4*U619-VLOOKUP(B606,INDIRECT($F$8),8+(O619-1)*3)&lt;=5,0.3*S619-VLOOKUP(B606,INDIRECT($F$8),6+(O619-1)*3)&lt;=5),MAX(0.4*U619-VLOOKUP(B606,INDIRECT($F$8),8+(O619-1)*3),0.3*S619-VLOOKUP(B606,INDIRECT($F$8),6+(O619-1)*3)),11),IF(0.3*S619-VLOOKUP(B606,INDIRECT($F$8),6+(O619-1)*3)&lt;=5,0.3*S619-VLOOKUP(B606,INDIRECT($F$8),6+(O619-1)*3),11)),IF(VLOOKUP(B606,INDIRECT($F$8),8+(O619-1)*3)&lt;U619*0.4,IF(U619*0.4-VLOOKUP(B606,INDIRECT($F$8),8+(O619-1)*3)&lt;=5,U619*0.4-VLOOKUP(B606,INDIRECT($F$8),8+(O619-1)*3),11),0))))</f>
        <v/>
      </c>
      <c r="X619" s="1" t="str">
        <f ca="1">IF(ISERROR(F606),"",IF(W619=0,"",_xlfn.TEXTJOIN("",FALSE," G+",W619," in ",A619)))</f>
        <v/>
      </c>
    </row>
    <row r="620" spans="1:24" ht="11.25" customHeight="1" x14ac:dyDescent="0.2">
      <c r="A620" s="7" t="str">
        <f ca="1">IF(ISERROR(F606),"",VLOOKUP(C606,INDIRECT($F$8),6+(O620-1)*3,0))</f>
        <v/>
      </c>
      <c r="B620" s="41" t="str">
        <f ca="1">IF(ISERROR(F606),"",VLOOKUP(D606,INDIRECT($F$8),6+(O620-1)*3-Z620,0))</f>
        <v/>
      </c>
      <c r="C620" s="41"/>
      <c r="D620" s="41"/>
      <c r="E620" s="41"/>
      <c r="F620" s="7" t="str">
        <f ca="1">IF(ISERROR(F606),"",VLOOKUP(E606,INDIRECT($F$8),6+(O620-1)*3,0))</f>
        <v/>
      </c>
      <c r="G620" s="42" t="str">
        <f ca="1">IF(ISERROR(F606),"",_xlfn.TEXTJOIN("/",FALSE,P620,S620))</f>
        <v/>
      </c>
      <c r="H620" s="42"/>
      <c r="I620" s="42" t="str">
        <f ca="1">IF(ISERROR(F606),"",_xlfn.TEXTJOIN("/",FALSE,Q620,T620))</f>
        <v/>
      </c>
      <c r="J620" s="42"/>
      <c r="K620" s="42" t="str">
        <f ca="1">IF(ISERROR(F606),"",_xlfn.TEXTJOIN("/",FALSE,R620,U620))</f>
        <v/>
      </c>
      <c r="L620" s="42"/>
      <c r="M620" s="7" t="str">
        <f ca="1">IF(ISERROR(F606),"",IF(ISTEXT(P620),IF(P620="A","Ab",IF(P620="D","Dt",IF(P620="UFM","UFM",IF(P620="NA","-")))),IF(AND(ISBLANK(P620),ISBLANK(R620)),"",IF(P620&lt;0.3*S620,"F",IF(ISBLANK(R620),"",IF(ISTEXT(R620),R620,IF(R620&gt;=0.95*U620,"O",IF(R620&gt;=0.9*U620,"A+",IF(R620&gt;=0.85*U620,"A",IF(R620&gt;=0.8*U620,"B+",IF(R620&gt;=0.75*U620,"B",IF(R620&gt;=0.7*U620,"C+",IF(R620&gt;=0.65*U620,"C",IF(R620&gt;=0.6*U620,"D+",IF(R620&gt;=0.55*U620,"D",IF(R620&gt;=0.5*U620,"E+",IF(R620&gt;=0.45*U620,"E",IF(R620&gt;=0.4*U620,"P",IF(R620&lt;0.4*U620,"F",R620)))))))))))))))))))</f>
        <v/>
      </c>
      <c r="N620" s="8" t="e">
        <f t="shared" ca="1" si="58"/>
        <v>#N/A</v>
      </c>
      <c r="O620">
        <f t="shared" si="59"/>
        <v>10</v>
      </c>
      <c r="P620" s="1" t="str">
        <f ca="1">IF(ISERROR(F606),"",IF(ISTEXT(VLOOKUP(B606,INDIRECT($F$8),6+(O620-1)*3)),(VLOOKUP(B606,INDIRECT($F$8),6+(O620-1)*3)),SUM(VLOOKUP(B606,INDIRECT($F$8),6+(O620-1)*3),IF(W625,W620,0))))</f>
        <v/>
      </c>
      <c r="Q620" s="1" t="str">
        <f ca="1">IF(ISERROR(F606),"",VLOOKUP(B606,INDIRECT($F$8),7+(O620-1)*3))</f>
        <v/>
      </c>
      <c r="R620" s="1" t="str">
        <f ca="1">IF(ISERROR(F606),"",SUM(P620:Q620))</f>
        <v/>
      </c>
      <c r="S620" s="1" t="str">
        <f ca="1">IF(ISERROR(F606),"",VLOOKUP(A606,INDIRECT($F$8),6+(O620-1)*3))</f>
        <v/>
      </c>
      <c r="T620" s="1" t="str">
        <f ca="1">IF(ISERROR(F606),"",VLOOKUP(A606,INDIRECT($F$8),7+(O620-1)*3))</f>
        <v/>
      </c>
      <c r="U620" s="1" t="str">
        <f ca="1">IF(ISERROR(F606),"",VLOOKUP(A606,INDIRECT($F$8),8+(O620-1)*3))</f>
        <v/>
      </c>
      <c r="V620" s="1" t="str">
        <f ca="1">IF(ISERROR(F606),"",IF(N620=0,A620,""))</f>
        <v/>
      </c>
      <c r="W620" s="1" t="str">
        <f ca="1">IF(ISERROR(F606),"",IF(ISTEXT(VLOOKUP(B606,INDIRECT($F$8),6+(O620-1)*3)),11,IF(VLOOKUP(B606,INDIRECT($F$8),6+(O620-1)*3)&lt;S620*0.3,IF(VLOOKUP(B606,INDIRECT($F$8),8+(O620-1)*3)&lt;U620*0.4,IF(AND(0.4*U620-VLOOKUP(B606,INDIRECT($F$8),8+(O620-1)*3)&lt;=5,0.3*S620-VLOOKUP(B606,INDIRECT($F$8),6+(O620-1)*3)&lt;=5),MAX(0.4*U620-VLOOKUP(B606,INDIRECT($F$8),8+(O620-1)*3),0.3*S620-VLOOKUP(B606,INDIRECT($F$8),6+(O620-1)*3)),11),IF(0.3*S620-VLOOKUP(B606,INDIRECT($F$8),6+(O620-1)*3)&lt;=5,0.3*S620-VLOOKUP(B606,INDIRECT($F$8),6+(O620-1)*3),11)),IF(VLOOKUP(B606,INDIRECT($F$8),8+(O620-1)*3)&lt;U620*0.4,IF(U620*0.4-VLOOKUP(B606,INDIRECT($F$8),8+(O620-1)*3)&lt;=5,U620*0.4-VLOOKUP(B606,INDIRECT($F$8),8+(O620-1)*3),11),0))))</f>
        <v/>
      </c>
      <c r="X620" s="1" t="str">
        <f ca="1">IF(ISERROR(F606),"",IF(W620=0,"",_xlfn.TEXTJOIN("",FALSE," G+",W620," in ",A620)))</f>
        <v/>
      </c>
    </row>
    <row r="621" spans="1:24" ht="11.25" customHeight="1" x14ac:dyDescent="0.2">
      <c r="A621" s="7" t="str">
        <f ca="1">IF(ISERROR(F606),"",VLOOKUP(C606,INDIRECT($F$8),6+(O621-1)*3,0))</f>
        <v/>
      </c>
      <c r="B621" s="41" t="str">
        <f ca="1">IF(ISERROR(F606),"",VLOOKUP(D606,INDIRECT($F$8),6+(O621-1)*3,0))</f>
        <v/>
      </c>
      <c r="C621" s="41"/>
      <c r="D621" s="41"/>
      <c r="E621" s="41"/>
      <c r="F621" s="7" t="str">
        <f ca="1">IF(ISERROR(F606),"",VLOOKUP(E606,INDIRECT($F$8),6+(O621-1)*3,0))</f>
        <v/>
      </c>
      <c r="G621" s="42" t="str">
        <f ca="1">IF(ISERROR(F606),"",_xlfn.TEXTJOIN("/",FALSE,P621,S621))</f>
        <v/>
      </c>
      <c r="H621" s="42"/>
      <c r="I621" s="42" t="str">
        <f ca="1">IF(ISERROR(F606),"",_xlfn.TEXTJOIN("/",FALSE,Q621,T621))</f>
        <v/>
      </c>
      <c r="J621" s="42"/>
      <c r="K621" s="42" t="str">
        <f ca="1">IF(ISERROR(F606),"",_xlfn.TEXTJOIN("/",FALSE,R621,U621))</f>
        <v/>
      </c>
      <c r="L621" s="42"/>
      <c r="M621" s="7" t="str">
        <f ca="1">IF(ISERROR(F606),"",IF(ISTEXT(P621),IF(P621="A","Ab",IF(P621="D","Dt",IF(P621="UFM","UFM",IF(P621="NA","-")))),IF(AND(ISBLANK(P621),ISBLANK(R621)),"",IF(P621&lt;0.3*S621,"F",IF(ISBLANK(R621),"",IF(ISTEXT(R621),R621,IF(R621&gt;=0.95*U621,"O",IF(R621&gt;=0.9*U621,"A+",IF(R621&gt;=0.85*U621,"A",IF(R621&gt;=0.8*U621,"B+",IF(R621&gt;=0.75*U621,"B",IF(R621&gt;=0.7*U621,"C+",IF(R621&gt;=0.65*U621,"C",IF(R621&gt;=0.6*U621,"D+",IF(R621&gt;=0.55*U621,"D",IF(R621&gt;=0.5*U621,"E+",IF(R621&gt;=0.45*U621,"E",IF(R621&gt;=0.4*U621,"P",IF(R621&lt;0.4*U621,"F",R621)))))))))))))))))))</f>
        <v/>
      </c>
      <c r="N621" s="8" t="e">
        <f t="shared" ca="1" si="58"/>
        <v>#N/A</v>
      </c>
      <c r="O621">
        <f t="shared" si="59"/>
        <v>11</v>
      </c>
      <c r="P621" s="1" t="str">
        <f ca="1">IF(ISERROR(F606),"",IF(ISTEXT(VLOOKUP(B606,INDIRECT($F$8),6+(O621-1)*3)),(VLOOKUP(B606,INDIRECT($F$8),6+(O621-1)*3)),SUM(VLOOKUP(B606,INDIRECT($F$8),6+(O621-1)*3),IF(W625,W621,0))))</f>
        <v/>
      </c>
      <c r="Q621" s="1" t="str">
        <f ca="1">IF(ISERROR(F606),"",VLOOKUP(B606,INDIRECT($F$8),7+(O621-1)*3))</f>
        <v/>
      </c>
      <c r="R621" s="1" t="str">
        <f ca="1">IF(ISERROR(F606),"",SUM(P621:Q621))</f>
        <v/>
      </c>
      <c r="S621" s="1" t="str">
        <f ca="1">IF(ISERROR(F606),"",VLOOKUP(A606,INDIRECT($F$8),6+(O621-1)*3))</f>
        <v/>
      </c>
      <c r="T621" s="1" t="str">
        <f ca="1">IF(ISERROR(F606),"",VLOOKUP(A606,INDIRECT($F$8),7+(O621-1)*3))</f>
        <v/>
      </c>
      <c r="U621" s="1" t="str">
        <f ca="1">IF(ISERROR(F606),"",VLOOKUP(A606,INDIRECT($F$8),8+(O621-1)*3))</f>
        <v/>
      </c>
      <c r="V621" s="1" t="str">
        <f ca="1">IF(ISERROR(F606),"",IF(N621=0,A621,""))</f>
        <v/>
      </c>
      <c r="W621" s="1" t="str">
        <f ca="1">IF(ISERROR(F606),"",IF(ISTEXT(VLOOKUP(B606,INDIRECT($F$8),6+(O621-1)*3)),11,IF(VLOOKUP(B606,INDIRECT($F$8),6+(O621-1)*3)&lt;S621*0.3,IF(VLOOKUP(B606,INDIRECT($F$8),8+(O621-1)*3)&lt;U621*0.4,IF(AND(0.4*U621-VLOOKUP(B606,INDIRECT($F$8),8+(O621-1)*3)&lt;=5,0.3*S621-VLOOKUP(B606,INDIRECT($F$8),6+(O621-1)*3)&lt;=5),MAX(0.4*U621-VLOOKUP(B606,INDIRECT($F$8),8+(O621-1)*3),0.3*S621-VLOOKUP(B606,INDIRECT($F$8),6+(O621-1)*3)),11),IF(0.3*S621-VLOOKUP(B606,INDIRECT($F$8),6+(O621-1)*3)&lt;=5,0.3*S621-VLOOKUP(B606,INDIRECT($F$8),6+(O621-1)*3),11)),IF(VLOOKUP(B606,INDIRECT($F$8),8+(O621-1)*3)&lt;U621*0.4,IF(U621*0.4-VLOOKUP(B606,INDIRECT($F$8),8+(O621-1)*3)&lt;=5,U621*0.4-VLOOKUP(B606,INDIRECT($F$8),8+(O621-1)*3),11),0))))</f>
        <v/>
      </c>
      <c r="X621" s="1" t="str">
        <f ca="1">IF(ISERROR(F606),"",IF(W621=0,"",_xlfn.TEXTJOIN("",FALSE," G+",W621," in ",A621)))</f>
        <v/>
      </c>
    </row>
    <row r="622" spans="1:24" ht="11.25" customHeight="1" x14ac:dyDescent="0.2">
      <c r="A622" s="7" t="str">
        <f ca="1">IF(ISERROR(F606),"",VLOOKUP(C606,INDIRECT($F$8),6+(O622-1)*3,0))</f>
        <v/>
      </c>
      <c r="B622" s="41" t="str">
        <f ca="1">IF(ISERROR(F606),"",VLOOKUP(D606,INDIRECT($F$8),6+(O622-1)*3,0))</f>
        <v/>
      </c>
      <c r="C622" s="41"/>
      <c r="D622" s="41"/>
      <c r="E622" s="41"/>
      <c r="F622" s="7" t="str">
        <f ca="1">IF(ISERROR(F606),"",VLOOKUP(E606,INDIRECT($F$8),6+(O622-1)*3,0))</f>
        <v/>
      </c>
      <c r="G622" s="42" t="str">
        <f ca="1">IF(ISERROR(F606),"",_xlfn.TEXTJOIN("/",FALSE,P622,S622))</f>
        <v/>
      </c>
      <c r="H622" s="42"/>
      <c r="I622" s="42" t="str">
        <f ca="1">IF(ISERROR(F606),"",_xlfn.TEXTJOIN("/",FALSE,Q622,T622))</f>
        <v/>
      </c>
      <c r="J622" s="42"/>
      <c r="K622" s="42" t="str">
        <f ca="1">IF(ISERROR(F606),"",_xlfn.TEXTJOIN("/",FALSE,R622,U622))</f>
        <v/>
      </c>
      <c r="L622" s="42"/>
      <c r="M622" s="7" t="str">
        <f ca="1">IF(ISERROR(F606),"",IF(ISTEXT(P622),IF(P622="A","Ab",IF(P622="D","Dt",IF(P622="UFM","UFM",IF(P622="NA","-")))),IF(AND(ISBLANK(P622),ISBLANK(R622)),"",IF(P622&lt;0.3*S622,"F",IF(ISBLANK(R622),"",IF(ISTEXT(R622),R622,IF(R622&gt;=0.95*U622,"O",IF(R622&gt;=0.9*U622,"A+",IF(R622&gt;=0.85*U622,"A",IF(R622&gt;=0.8*U622,"B+",IF(R622&gt;=0.75*U622,"B",IF(R622&gt;=0.7*U622,"C+",IF(R622&gt;=0.65*U622,"C",IF(R622&gt;=0.6*U622,"D+",IF(R622&gt;=0.55*U622,"D",IF(R622&gt;=0.5*U622,"E+",IF(R622&gt;=0.45*U622,"E",IF(R622&gt;=0.4*U622,"P",IF(R622&lt;0.4*U622,"F",R622)))))))))))))))))))</f>
        <v/>
      </c>
      <c r="N622" s="8" t="e">
        <f t="shared" ca="1" si="58"/>
        <v>#N/A</v>
      </c>
      <c r="O622">
        <f t="shared" si="59"/>
        <v>12</v>
      </c>
      <c r="P622" s="1" t="str">
        <f ca="1">IF(ISERROR(F606),"",IF(ISTEXT(VLOOKUP(B606,INDIRECT($F$8),6+(O622-1)*3)),(VLOOKUP(B606,INDIRECT($F$8),6+(O622-1)*3)),SUM(VLOOKUP(B606,INDIRECT($F$8),6+(O622-1)*3),IF(W625,W622,0))))</f>
        <v/>
      </c>
      <c r="Q622" s="1" t="str">
        <f ca="1">IF(ISERROR(F606),"",VLOOKUP(B606,INDIRECT($F$8),7+(O622-1)*3))</f>
        <v/>
      </c>
      <c r="R622" s="1" t="str">
        <f ca="1">IF(ISERROR(F606),"",SUM(P622:Q622))</f>
        <v/>
      </c>
      <c r="S622" s="1" t="str">
        <f ca="1">IF(ISERROR(F606),"",VLOOKUP(A606,INDIRECT($F$8),6+(O622-1)*3))</f>
        <v/>
      </c>
      <c r="T622" s="1" t="str">
        <f ca="1">IF(ISERROR(F606),"",VLOOKUP(A606,INDIRECT($F$8),7+(O622-1)*3))</f>
        <v/>
      </c>
      <c r="U622" s="1" t="str">
        <f ca="1">IF(ISERROR(F606),"",VLOOKUP(A606,INDIRECT($F$8),8+(O622-1)*3))</f>
        <v/>
      </c>
      <c r="V622" s="1" t="str">
        <f ca="1">IF(ISERROR(F606),"",IF(N622=0,A622,""))</f>
        <v/>
      </c>
      <c r="W622" s="1" t="str">
        <f ca="1">IF(ISERROR(F606),"",IF(ISTEXT(VLOOKUP(B606,INDIRECT($F$8),6+(O622-1)*3)),11,IF(VLOOKUP(B606,INDIRECT($F$8),6+(O622-1)*3)&lt;S622*0.3,IF(VLOOKUP(B606,INDIRECT($F$8),8+(O622-1)*3)&lt;U622*0.4,IF(AND(0.4*U622-VLOOKUP(B606,INDIRECT($F$8),8+(O622-1)*3)&lt;=5,0.3*S622-VLOOKUP(B606,INDIRECT($F$8),6+(O622-1)*3)&lt;=5),MAX(0.4*U622-VLOOKUP(B606,INDIRECT($F$8),8+(O622-1)*3),0.3*S622-VLOOKUP(B606,INDIRECT($F$8),6+(O622-1)*3)),11),IF(0.3*S622-VLOOKUP(B606,INDIRECT($F$8),6+(O622-1)*3)&lt;=5,0.3*S622-VLOOKUP(B606,INDIRECT($F$8),6+(O622-1)*3),11)),IF(VLOOKUP(B606,INDIRECT($F$8),8+(O622-1)*3)&lt;U622*0.4,IF(U622*0.4-VLOOKUP(B606,INDIRECT($F$8),8+(O622-1)*3)&lt;=5,U622*0.4-VLOOKUP(B606,INDIRECT($F$8),8+(O622-1)*3),11),0))))</f>
        <v/>
      </c>
      <c r="X622" s="1" t="str">
        <f ca="1">IF(ISERROR(F606),"",IF(W622=0,"",_xlfn.TEXTJOIN("",FALSE," G+",W622," in ",A622)))</f>
        <v/>
      </c>
    </row>
    <row r="623" spans="1:24" ht="11.25" customHeight="1" x14ac:dyDescent="0.2">
      <c r="A623" s="7" t="str">
        <f ca="1">IF(ISERROR(F606),"",VLOOKUP(C606,INDIRECT($F$8),6+(O623-1)*3,0))</f>
        <v/>
      </c>
      <c r="B623" s="41" t="str">
        <f ca="1">IF(ISERROR(F606),"",VLOOKUP(D606,INDIRECT($F$8),6+(O623-1)*3,0))</f>
        <v/>
      </c>
      <c r="C623" s="41"/>
      <c r="D623" s="41"/>
      <c r="E623" s="41"/>
      <c r="F623" s="7" t="str">
        <f ca="1">IF(ISERROR(F606),"",VLOOKUP(E606,INDIRECT($F$8),6+(O623-1)*3,0))</f>
        <v/>
      </c>
      <c r="G623" s="42" t="str">
        <f ca="1">IF(ISERROR(F606),"",_xlfn.TEXTJOIN("/",FALSE,P623,S623))</f>
        <v/>
      </c>
      <c r="H623" s="42"/>
      <c r="I623" s="42" t="str">
        <f ca="1">IF(ISERROR(F606),"",_xlfn.TEXTJOIN("/",FALSE,Q623,T623))</f>
        <v/>
      </c>
      <c r="J623" s="42"/>
      <c r="K623" s="42" t="str">
        <f ca="1">IF(ISERROR(F606),"",_xlfn.TEXTJOIN("/",FALSE,R623,U623))</f>
        <v/>
      </c>
      <c r="L623" s="42"/>
      <c r="M623" s="7" t="str">
        <f ca="1">IF(ISERROR(F606),"",IF(ISTEXT(P623),IF(P623="A","Ab",IF(P623="D","Dt",IF(P623="UFM","UFM",IF(P623="NA","-")))),IF(AND(ISBLANK(P623),ISBLANK(R623)),"",IF(P623&lt;0.3*S623,"F",IF(ISBLANK(R623),"",IF(ISTEXT(R623),R623,IF(R623&gt;=0.95*U623,"O",IF(R623&gt;=0.9*U623,"A+",IF(R623&gt;=0.85*U623,"A",IF(R623&gt;=0.8*U623,"B+",IF(R623&gt;=0.75*U623,"B",IF(R623&gt;=0.7*U623,"C+",IF(R623&gt;=0.65*U623,"C",IF(R623&gt;=0.6*U623,"D+",IF(R623&gt;=0.55*U623,"D",IF(R623&gt;=0.5*U623,"E+",IF(R623&gt;=0.45*U623,"E",IF(R623&gt;=0.4*U623,"P",IF(R623&lt;0.4*U623,"F",R623)))))))))))))))))))</f>
        <v/>
      </c>
      <c r="N623" s="8" t="e">
        <f t="shared" ca="1" si="58"/>
        <v>#N/A</v>
      </c>
      <c r="O623">
        <f t="shared" si="59"/>
        <v>13</v>
      </c>
      <c r="P623" s="1" t="str">
        <f ca="1">IF(ISERROR(F606),"",IF(ISTEXT(VLOOKUP(B606,INDIRECT($F$8),6+(O623-1)*3)),(VLOOKUP(B606,INDIRECT($F$8),6+(O623-1)*3)),SUM(VLOOKUP(B606,INDIRECT($F$8),6+(O623-1)*3),IF(W625,W623,0))))</f>
        <v/>
      </c>
      <c r="Q623" s="1" t="str">
        <f ca="1">IF(ISERROR(F606),"",VLOOKUP(B606,INDIRECT($F$8),7+(O623-1)*3))</f>
        <v/>
      </c>
      <c r="R623" s="1" t="str">
        <f ca="1">IF(ISERROR(F606),"",SUM(P623:Q623))</f>
        <v/>
      </c>
      <c r="S623" s="1" t="str">
        <f ca="1">IF(ISERROR(F606),"",VLOOKUP(A606,INDIRECT($F$8),6+(O623-1)*3))</f>
        <v/>
      </c>
      <c r="T623" s="1" t="str">
        <f ca="1">IF(ISERROR(F606),"",VLOOKUP(A606,INDIRECT($F$8),7+(O623-1)*3))</f>
        <v/>
      </c>
      <c r="U623" s="1" t="str">
        <f ca="1">IF(ISERROR(F606),"",VLOOKUP(A606,INDIRECT($F$8),8+(O623-1)*3))</f>
        <v/>
      </c>
      <c r="V623" s="1"/>
      <c r="W623" s="1" t="str">
        <f ca="1">IF(ISERROR(F606),"",IF(ISTEXT(VLOOKUP(B606,INDIRECT($F$8),6+(O623-1)*3)),11,IF(VLOOKUP(B606,INDIRECT($F$8),6+(O623-1)*3)&lt;S623*0.3,IF(VLOOKUP(B606,INDIRECT($F$8),8+(O623-1)*3)&lt;U623*0.4,IF(AND(0.4*U623-VLOOKUP(B606,INDIRECT($F$8),8+(O623-1)*3)&lt;=5,0.3*S623-VLOOKUP(B606,INDIRECT($F$8),6+(O623-1)*3)&lt;=5),MAX(0.4*U623-VLOOKUP(B606,INDIRECT($F$8),8+(O623-1)*3),0.3*S623-VLOOKUP(B606,INDIRECT($F$8),6+(O623-1)*3)),11),IF(0.3*S623-VLOOKUP(B606,INDIRECT($F$8),6+(O623-1)*3)&lt;=5,0.3*S623-VLOOKUP(B606,INDIRECT($F$8),6+(O623-1)*3),11)),IF(VLOOKUP(B606,INDIRECT($F$8),8+(O623-1)*3)&lt;U623*0.4,IF(U623*0.4-VLOOKUP(B606,INDIRECT($F$8),8+(O623-1)*3)&lt;=5,U623*0.4-VLOOKUP(B606,INDIRECT($F$8),8+(O623-1)*3),11),0))))</f>
        <v/>
      </c>
      <c r="X623" s="1" t="str">
        <f ca="1">IF(ISERROR(F606),"",IF(W623=0,"",_xlfn.TEXTJOIN("",FALSE," G+",W623," in ",A623)))</f>
        <v/>
      </c>
    </row>
    <row r="624" spans="1:24" s="32" customFormat="1" ht="11.25" customHeight="1" x14ac:dyDescent="0.2">
      <c r="A624" s="31" t="str">
        <f ca="1">IF(ISERROR(F606),"",VLOOKUP(C606,INDIRECT($F$8),6+(O624-1)*3-Y624,0))</f>
        <v/>
      </c>
      <c r="B624" s="49" t="str">
        <f ca="1">IF(ISERROR(F606),"",VLOOKUP(D606,INDIRECT($F$8),6+(O624-1)*3-Z624,0))</f>
        <v/>
      </c>
      <c r="C624" s="49"/>
      <c r="D624" s="49"/>
      <c r="E624" s="49"/>
      <c r="F624" s="31" t="str">
        <f ca="1">IF(ISERROR(F606),"",VLOOKUP(E606,INDIRECT($F$8),6+(O624-1)*3-AA624,0))</f>
        <v/>
      </c>
      <c r="G624" s="50" t="str">
        <f ca="1">IF(ISERROR(F606),"","-")</f>
        <v/>
      </c>
      <c r="H624" s="50"/>
      <c r="I624" s="50" t="str">
        <f ca="1">IF(ISERROR(F606),"",_xlfn.TEXTJOIN("/",FALSE,Q624,T624))</f>
        <v/>
      </c>
      <c r="J624" s="50"/>
      <c r="K624" s="50" t="str">
        <f ca="1">IF(ISERROR(F606),"",_xlfn.TEXTJOIN("/",FALSE,R624,U624))</f>
        <v/>
      </c>
      <c r="L624" s="50"/>
      <c r="M624" s="7" t="b">
        <f ca="1">IF(ISERROR(F607),"",IF(ISTEXT(P624),IF(P624="A","Ab",IF(P624="D","Dt",IF(P624="UFM","UFM",IF(P624="NA","")))),IF(AND(ISBLANK(P624),ISBLANK(R624)),"",IF(P624&lt;0.3*S624,"F",IF(ISBLANK(R624),"",IF(ISTEXT(R624),R624,IF(R624&gt;=0.95*U624,"O",IF(R624&gt;=0.9*U624,"A+",IF(R624&gt;=0.85*U624,"A",IF(R624&gt;=0.8*U624,"B+",IF(R624&gt;=0.75*U624,"B",IF(R624&gt;=0.7*U624,"C+",IF(R624&gt;=0.65*U624,"C",IF(R624&gt;=0.6*U624,"D+",IF(R624&gt;=0.55*U624,"D",IF(R624&gt;=0.5*U624,"E+",IF(R624&gt;=0.45*U624,"E",IF(R624&gt;=0.4*U624,"P",IF(R624&lt;0.4*U624,"F",R624)))))))))))))))))))</f>
        <v>0</v>
      </c>
      <c r="N624" s="8" t="e">
        <f t="shared" ref="N613:N624" ca="1" si="60">INDEX($Z$2:$Z$18,MATCH(M624,$Y$2:$Y$18,0))</f>
        <v>#N/A</v>
      </c>
      <c r="O624" s="32">
        <f t="shared" si="59"/>
        <v>14</v>
      </c>
      <c r="P624" s="33" t="str">
        <f ca="1">IF(ISERROR(F606),"",IF(ISTEXT(VLOOKUP(B\28,INDIRECT($F$8),6+(O624-1)*3)),(VLOOKUP(B606,INDIRECT($F$8),6+(O624-1)*3)),SUM(VLOOKUP(B606,INDIRECT($F$8),6+(O624-1)*3),IF(W625,W624,0))))</f>
        <v/>
      </c>
      <c r="Q624" s="33" t="str">
        <f ca="1">IF(ISERROR(F606),"",VLOOKUP(B606,INDIRECT($F$8),7+(O624-1)*3))</f>
        <v/>
      </c>
      <c r="R624" s="33" t="str">
        <f ca="1">IF(ISERROR(F606),"",SUM(P624:Q624))</f>
        <v/>
      </c>
      <c r="S624" s="33" t="str">
        <f ca="1">IF(ISERROR(F606),"",VLOOKUP(A606,INDIRECT($F$8),6+(O624-1)*3))</f>
        <v/>
      </c>
      <c r="T624" s="33" t="str">
        <f ca="1">IF(ISERROR(F606),"",VLOOKUP(A606,INDIRECT($F$8),7+(O624-1)*3))</f>
        <v/>
      </c>
      <c r="U624" s="33" t="str">
        <f ca="1">IF(ISERROR(F606),"",VLOOKUP(A606,INDIRECT($F$8),8+(O624-1)*3))</f>
        <v/>
      </c>
      <c r="V624" s="33"/>
      <c r="W624" s="33"/>
      <c r="X624" s="33" t="str">
        <f ca="1">IF(ISERROR(F606),"",IF(W624=0,"",_xlfn.TEXTJOIN("",FALSE," G+",W624," in ",A624)))</f>
        <v/>
      </c>
    </row>
    <row r="625" spans="1:24" ht="11.25" customHeight="1" x14ac:dyDescent="0.2">
      <c r="A625" s="43" t="str">
        <f ca="1">IF(ISERROR(F606),"",A602)</f>
        <v/>
      </c>
      <c r="B625" s="43"/>
      <c r="C625" s="43"/>
      <c r="D625" s="43"/>
      <c r="E625" s="43"/>
      <c r="F625" s="10" t="str">
        <f ca="1">IF(ISERROR(F606),"",SUM(F611:F624))</f>
        <v/>
      </c>
      <c r="G625" s="44" t="str">
        <f ca="1">IF(ISERROR(F606),"",_xlfn.TEXTJOIN("/",TRUE,SUMIF(F611:F624,"&gt;0",P611:P624),SUMIF(F611:F624,"&gt;0",S611:S624)))</f>
        <v/>
      </c>
      <c r="H625" s="44"/>
      <c r="I625" s="44" t="str">
        <f ca="1">IF(ISERROR(F606),"",_xlfn.TEXTJOIN("/",TRUE,SUMIF(F611:F624,"&gt;0",Q611:Q624),SUMIF(F611:F624,"&gt;0",T611:T624)))</f>
        <v/>
      </c>
      <c r="J625" s="44"/>
      <c r="K625" s="44" t="str">
        <f ca="1">IF(ISERROR(F606),"",_xlfn.TEXTJOIN("/",TRUE,SUMIF(F611:F624,"&gt;0",R611:R624),SUMIF(F611:F624,"&gt;0",U611:U624)))</f>
        <v/>
      </c>
      <c r="L625" s="44"/>
      <c r="M625" s="43" t="str">
        <f ca="1">IF(ISERROR(F606),"",SUMPRODUCT(N611:N623,F611:F623))</f>
        <v/>
      </c>
      <c r="N625" s="43"/>
      <c r="V625" s="1" t="str">
        <f ca="1">IF(ISERROR(F606),"",_xlfn.TEXTJOIN(", ",TRUE,V611:V624))</f>
        <v/>
      </c>
      <c r="W625" t="str">
        <f ca="1">IF(ISERROR(F606),"",IF(SUM(W611:W624)&lt;=W610,TRUE,FALSE))</f>
        <v/>
      </c>
      <c r="X625" s="1" t="str">
        <f ca="1">_xlfn.TEXTJOIN(",",TRUE,X611:X624)</f>
        <v/>
      </c>
    </row>
    <row r="626" spans="1:24" ht="11.25" customHeight="1" x14ac:dyDescent="0.2">
      <c r="A626" s="43" t="str">
        <f ca="1">IF(ISERROR(F606),"",A603)</f>
        <v/>
      </c>
      <c r="B626" s="45" t="str">
        <f ca="1">IF(ISERROR(F606),"",IF(V625="","PASS","CARRY OVER"))</f>
        <v/>
      </c>
      <c r="C626" s="45"/>
      <c r="D626" s="43" t="str">
        <f ca="1">IF(ISERROR(F606),"",D603)</f>
        <v/>
      </c>
      <c r="E626" s="45" t="str">
        <f ca="1">IF(ISERROR(F606),"",IF(W625,X625,IF(V625="","",_xlfn.TEXTJOIN("",TRUE,"BACK IN ",V625))))</f>
        <v/>
      </c>
      <c r="F626" s="45"/>
      <c r="G626" s="43" t="str">
        <f ca="1">IF(ISERROR(F606),"",G603)</f>
        <v/>
      </c>
      <c r="H626" s="46" t="str">
        <f ca="1">IF(ISERROR(F606),"",M625/F625)</f>
        <v/>
      </c>
      <c r="I626" s="43" t="str">
        <f ca="1">IF(ISERROR(F606),"",I603)</f>
        <v/>
      </c>
      <c r="J626" s="46" t="str">
        <f ca="1">IF(ISERROR(F606),"",VLOOKUP(B606,INDIRECT($F$8),12+(O624-1)*3,0))</f>
        <v/>
      </c>
      <c r="K626" s="45" t="str">
        <f ca="1">IF(ISERROR(F606),"",K603)</f>
        <v/>
      </c>
      <c r="L626" s="43" t="str">
        <f ca="1">IF(ISERROR(F606),"",SUMIF(N611:N623,"&gt;0",F611:F623))</f>
        <v/>
      </c>
      <c r="M626" s="45" t="str">
        <f ca="1">IF(ISERROR(F606),"",M603)</f>
        <v/>
      </c>
      <c r="N626" s="43" t="str">
        <f ca="1">IF(ISERROR(F606),"",VLOOKUP(B606,INDIRECT($F$8),10+(O624-1)*3,0))</f>
        <v/>
      </c>
    </row>
    <row r="627" spans="1:24" ht="11.25" customHeight="1" x14ac:dyDescent="0.2">
      <c r="A627" s="43"/>
      <c r="B627" s="45"/>
      <c r="C627" s="45"/>
      <c r="D627" s="43"/>
      <c r="E627" s="45"/>
      <c r="F627" s="45"/>
      <c r="G627" s="43"/>
      <c r="H627" s="46"/>
      <c r="I627" s="43"/>
      <c r="J627" s="46"/>
      <c r="K627" s="45"/>
      <c r="L627" s="43"/>
      <c r="M627" s="45"/>
      <c r="N627" s="43"/>
    </row>
    <row r="628" spans="1:24" ht="11.25" customHeight="1" x14ac:dyDescent="0.2">
      <c r="A628" s="43"/>
      <c r="B628" s="45"/>
      <c r="C628" s="45"/>
      <c r="D628" s="43"/>
      <c r="E628" s="45"/>
      <c r="F628" s="45"/>
      <c r="G628" s="43"/>
      <c r="H628" s="46"/>
      <c r="I628" s="43"/>
      <c r="J628" s="46"/>
      <c r="K628" s="45"/>
      <c r="L628" s="43"/>
      <c r="M628" s="45"/>
      <c r="N628" s="43"/>
    </row>
    <row r="629" spans="1:24" ht="11.25" customHeight="1" x14ac:dyDescent="0.2">
      <c r="A629" s="11" t="str">
        <f>A606</f>
        <v>MM</v>
      </c>
      <c r="B629" s="11">
        <f>B606+1</f>
        <v>28</v>
      </c>
      <c r="C629" s="11" t="str">
        <f>C606</f>
        <v>SC</v>
      </c>
      <c r="D629" s="11" t="str">
        <f>D606</f>
        <v>SN</v>
      </c>
      <c r="E629" s="11" t="str">
        <f>E606</f>
        <v>C</v>
      </c>
      <c r="F629" s="11" t="e">
        <f ca="1">VLOOKUP(B629,INDIRECT($F$8),4,0)</f>
        <v>#N/A</v>
      </c>
    </row>
    <row r="630" spans="1:24" ht="11.25" customHeight="1" x14ac:dyDescent="0.2">
      <c r="A630" s="47" t="str">
        <f ca="1">IF(ISERROR(F629),"",A607)</f>
        <v/>
      </c>
      <c r="B630" s="47" t="str">
        <f ca="1">IFERROR(VLOOKUP(B629,INDIRECT($F$8),4,0),"")</f>
        <v/>
      </c>
      <c r="C630" s="47"/>
      <c r="D630" s="47" t="str">
        <f ca="1">IF(ISERROR(F629),"",D607)</f>
        <v/>
      </c>
      <c r="E630" s="47" t="str">
        <f ca="1">IFERROR(VLOOKUP(B629,INDIRECT($F$8),5,0),"")</f>
        <v/>
      </c>
      <c r="F630" s="47"/>
      <c r="G630" s="47" t="str">
        <f ca="1">IF(ISERROR(F629),"",G607)</f>
        <v/>
      </c>
      <c r="H630" s="47"/>
      <c r="I630" s="48" t="str">
        <f ca="1">IFERROR(VLOOKUP(B629,INDIRECT($F$8),2,0),"")</f>
        <v/>
      </c>
      <c r="J630" s="48"/>
      <c r="K630" s="47" t="str">
        <f ca="1">IF(ISERROR(F629),"",K607)</f>
        <v/>
      </c>
      <c r="L630" s="47"/>
      <c r="M630" s="48" t="str">
        <f ca="1">IFERROR(VLOOKUP(B629,INDIRECT($F$8),3,0),"")</f>
        <v/>
      </c>
      <c r="N630" s="48"/>
    </row>
    <row r="631" spans="1:24" ht="11.25" customHeight="1" x14ac:dyDescent="0.2">
      <c r="A631" s="47"/>
      <c r="B631" s="47"/>
      <c r="C631" s="47"/>
      <c r="D631" s="47"/>
      <c r="E631" s="47"/>
      <c r="F631" s="47"/>
      <c r="G631" s="47"/>
      <c r="H631" s="47"/>
      <c r="I631" s="48"/>
      <c r="J631" s="48"/>
      <c r="K631" s="47"/>
      <c r="L631" s="47"/>
      <c r="M631" s="48"/>
      <c r="N631" s="48"/>
    </row>
    <row r="632" spans="1:24" ht="11.25" customHeight="1" x14ac:dyDescent="0.2">
      <c r="A632" s="45" t="str">
        <f ca="1">IF(ISERROR(F629),"",A609)</f>
        <v/>
      </c>
      <c r="B632" s="45" t="str">
        <f ca="1">IF(ISERROR(F629),"",B609)</f>
        <v/>
      </c>
      <c r="C632" s="45"/>
      <c r="D632" s="45"/>
      <c r="E632" s="45"/>
      <c r="F632" s="45" t="str">
        <f ca="1">IF(ISERROR(F629),"",F609)</f>
        <v/>
      </c>
      <c r="G632" s="45" t="str">
        <f ca="1">IF(ISERROR(F629),"",G609)</f>
        <v/>
      </c>
      <c r="H632" s="45"/>
      <c r="I632" s="45" t="str">
        <f ca="1">IF(ISERROR(F629),"",I609)</f>
        <v/>
      </c>
      <c r="J632" s="45"/>
      <c r="K632" s="45" t="str">
        <f ca="1">IF(ISERROR(F629),"",K609)</f>
        <v/>
      </c>
      <c r="L632" s="45"/>
      <c r="M632" s="45" t="str">
        <f ca="1">IF(ISERROR(F629),"",M609)</f>
        <v/>
      </c>
      <c r="N632" s="45" t="str">
        <f ca="1">IF(ISERROR(F629),"",N609)</f>
        <v/>
      </c>
    </row>
    <row r="633" spans="1:24" ht="11.25" customHeight="1" x14ac:dyDescent="0.2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W633">
        <f ca="1">IF(ISNUMBER(MATCH($F$8,{"I","III","V","VII"},0)),10,10-INDEX(INDIRECT(_xlfn.TEXTJOIN("",TRUE,"SEM_",$G$8,"!",ADDRESS(6,4+$I$8*3+4),":",ADDRESS(5+$H$8,4+$I$8*3+4))),MATCH(INDIRECT(_xlfn.TEXTJOIN("",TRUE,"TC_",$F$8,"!",ADDRESS(ROW(I630),COLUMN(I630)))),INDIRECT(_xlfn.TEXTJOIN("",TRUE,"SEM_",$G$8,"!",ADDRESS(6,2),":",ADDRESS(5+$H$8,2))))))</f>
        <v>10</v>
      </c>
    </row>
    <row r="634" spans="1:24" ht="11.25" customHeight="1" x14ac:dyDescent="0.2">
      <c r="A634" s="7" t="str">
        <f ca="1">IF(ISERROR(F629),"",VLOOKUP(C629,INDIRECT($F$8),6+(O634-1)*3,0))</f>
        <v/>
      </c>
      <c r="B634" s="41" t="str">
        <f ca="1">IF(ISERROR(F629),"",VLOOKUP(D629,INDIRECT($F$8),6+(O634-1)*3,0))</f>
        <v/>
      </c>
      <c r="C634" s="41"/>
      <c r="D634" s="41"/>
      <c r="E634" s="41"/>
      <c r="F634" s="7" t="str">
        <f ca="1">IF(ISERROR(F629),"",VLOOKUP(E629,INDIRECT($F$8),6+(O634-1)*3,0))</f>
        <v/>
      </c>
      <c r="G634" s="42" t="str">
        <f ca="1">IF(ISERROR(F629),"",_xlfn.TEXTJOIN("/",FALSE,P634,S634))</f>
        <v/>
      </c>
      <c r="H634" s="42"/>
      <c r="I634" s="42" t="str">
        <f ca="1">IF(ISERROR(F629),"",_xlfn.TEXTJOIN("/",FALSE,Q634,T634))</f>
        <v/>
      </c>
      <c r="J634" s="42"/>
      <c r="K634" s="42" t="str">
        <f ca="1">IF(ISERROR(F629),"",_xlfn.TEXTJOIN("/",FALSE,R634,U634))</f>
        <v/>
      </c>
      <c r="L634" s="42"/>
      <c r="M634" s="7" t="str">
        <f ca="1">IF(ISERROR(F629),"",IF(ISTEXT(P634),IF(P634="A","Ab",IF(P634="D","Dt",IF(P634="UFM","UFM",IF(P634="NA","-")))),IF(AND(ISBLANK(P634),ISBLANK(R634)),"",IF(P634&lt;0.3*S634,"F",IF(ISBLANK(R634),"",IF(ISTEXT(R634),R634,IF(R634&gt;=0.95*U634,"O",IF(R634&gt;=0.9*U634,"A+",IF(R634&gt;=0.85*U634,"A",IF(R634&gt;=0.8*U634,"B+",IF(R634&gt;=0.75*U634,"B",IF(R634&gt;=0.7*U634,"C+",IF(R634&gt;=0.65*U634,"C",IF(R634&gt;=0.6*U634,"D+",IF(R634&gt;=0.55*U634,"D",IF(R634&gt;=0.5*U634,"E+",IF(R634&gt;=0.45*U634,"E",IF(R634&gt;=0.4*U634,"P",IF(R634&lt;0.4*U634,"F",R634)))))))))))))))))))</f>
        <v/>
      </c>
      <c r="N634" s="8" t="e">
        <f ca="1">INDEX($Z$2:$Z$18,MATCH(M634,$Y$2:$Y$18,0))</f>
        <v>#N/A</v>
      </c>
      <c r="O634">
        <v>1</v>
      </c>
      <c r="P634" s="1" t="str">
        <f ca="1">IF(ISERROR(F629),"",IF(ISTEXT(VLOOKUP(B629,INDIRECT($F$8),6+(O634-1)*3)),(VLOOKUP(B629,INDIRECT($F$8),6+(O634-1)*3)),SUM(VLOOKUP(B629,INDIRECT($F$8),6+(O634-1)*3),IF(W648,W634,0))))</f>
        <v/>
      </c>
      <c r="Q634" s="1" t="str">
        <f ca="1">IF(ISERROR(F629),"",VLOOKUP(B629,INDIRECT($F$8),7+(O634-1)*3))</f>
        <v/>
      </c>
      <c r="R634" s="1" t="str">
        <f ca="1">IF(ISERROR(F629),"",SUM(P634:Q634))</f>
        <v/>
      </c>
      <c r="S634" s="1" t="str">
        <f ca="1">IF(ISERROR(F629),"",VLOOKUP(A629,INDIRECT($F$8),6+(O634-1)*3))</f>
        <v/>
      </c>
      <c r="T634" s="1" t="str">
        <f ca="1">IF(ISERROR(F629),"",VLOOKUP(A629,INDIRECT($F$8),7+(O634-1)*3))</f>
        <v/>
      </c>
      <c r="U634" s="1" t="str">
        <f ca="1">IF(ISERROR(F629),"",VLOOKUP(A629,INDIRECT($F$8),8+(O634-1)*3))</f>
        <v/>
      </c>
      <c r="V634" s="1" t="str">
        <f ca="1">IF(ISERROR(F629),"",IF(N634=0,A634,""))</f>
        <v/>
      </c>
      <c r="W634" s="1" t="str">
        <f ca="1">IF(ISERROR(F629),"",IF(ISTEXT(VLOOKUP(B629,INDIRECT($F$8),6+(O634-1)*3)),11,IF(VLOOKUP(B629,INDIRECT($F$8),6+(O634-1)*3)&lt;S634*0.3,IF(VLOOKUP(B629,INDIRECT($F$8),8+(O634-1)*3)&lt;U634*0.4,IF(AND(0.4*U634-VLOOKUP(B629,INDIRECT($F$8),8+(O634-1)*3)&lt;=5,0.3*S634-VLOOKUP(B629,INDIRECT($F$8),6+(O634-1)*3)&lt;=5),MAX(0.4*U634-VLOOKUP(B629,INDIRECT($F$8),8+(O634-1)*3),0.3*S634-VLOOKUP(B629,INDIRECT($F$8),6+(O634-1)*3)),11),IF(0.3*S634-VLOOKUP(B629,INDIRECT($F$8),6+(O634-1)*3)&lt;=5,0.3*S634-VLOOKUP(B629,INDIRECT($F$8),6+(O634-1)*3),11)),IF(VLOOKUP(B629,INDIRECT($F$8),8+(O634-1)*3)&lt;U634*0.4,IF(U634*0.4-VLOOKUP(B629,INDIRECT($F$8),8+(O634-1)*3)&lt;=5,U634*0.4-VLOOKUP(B629,INDIRECT($F$8),8+(O634-1)*3),11),0))))</f>
        <v/>
      </c>
      <c r="X634" s="1" t="str">
        <f ca="1">IF(ISERROR(F629),"",IF(W634=0,"",_xlfn.TEXTJOIN("",FALSE," G+",W634," in ",A634)))</f>
        <v/>
      </c>
    </row>
    <row r="635" spans="1:24" ht="11.25" customHeight="1" x14ac:dyDescent="0.2">
      <c r="A635" s="7" t="str">
        <f ca="1">IF(ISERROR(F629),"",VLOOKUP(C629,INDIRECT($F$8),6+(O635-1)*3,0))</f>
        <v/>
      </c>
      <c r="B635" s="41" t="str">
        <f ca="1">IF(ISERROR(F629),"",VLOOKUP(D629,INDIRECT($F$8),6+(O635-1)*3,0))</f>
        <v/>
      </c>
      <c r="C635" s="41"/>
      <c r="D635" s="41"/>
      <c r="E635" s="41"/>
      <c r="F635" s="7" t="str">
        <f ca="1">IF(ISERROR(F629),"",VLOOKUP(E629,INDIRECT($F$8),6+(O635-1)*3,0))</f>
        <v/>
      </c>
      <c r="G635" s="42" t="str">
        <f ca="1">IF(ISERROR(F629),"",_xlfn.TEXTJOIN("/",FALSE,P635,S635))</f>
        <v/>
      </c>
      <c r="H635" s="42"/>
      <c r="I635" s="42" t="str">
        <f ca="1">IF(ISERROR(F629),"",_xlfn.TEXTJOIN("/",FALSE,Q635,T635))</f>
        <v/>
      </c>
      <c r="J635" s="42"/>
      <c r="K635" s="42" t="str">
        <f ca="1">IF(ISERROR(F629),"",_xlfn.TEXTJOIN("/",FALSE,R635,U635))</f>
        <v/>
      </c>
      <c r="L635" s="42"/>
      <c r="M635" s="7" t="str">
        <f ca="1">IF(ISERROR(F629),"",IF(ISTEXT(P635),IF(P635="A","Ab",IF(P635="D","Dt",IF(P635="UFM","UFM",IF(P635="NA","-")))),IF(AND(ISBLANK(P635),ISBLANK(R635)),"",IF(P635&lt;0.3*S635,"F",IF(ISBLANK(R635),"",IF(ISTEXT(R635),R635,IF(R635&gt;=0.95*U635,"O",IF(R635&gt;=0.9*U635,"A+",IF(R635&gt;=0.85*U635,"A",IF(R635&gt;=0.8*U635,"B+",IF(R635&gt;=0.75*U635,"B",IF(R635&gt;=0.7*U635,"C+",IF(R635&gt;=0.65*U635,"C",IF(R635&gt;=0.6*U635,"D+",IF(R635&gt;=0.55*U635,"D",IF(R635&gt;=0.5*U635,"E+",IF(R635&gt;=0.45*U635,"E",IF(R635&gt;=0.4*U635,"P",IF(R635&lt;0.4*U635,"F",R635)))))))))))))))))))</f>
        <v/>
      </c>
      <c r="N635" s="8" t="e">
        <f t="shared" ref="N635:N646" ca="1" si="61">INDEX($Z$2:$Z$18,MATCH(M635,$Y$2:$Y$18,0))</f>
        <v>#N/A</v>
      </c>
      <c r="O635">
        <f>O634+1</f>
        <v>2</v>
      </c>
      <c r="P635" s="1" t="str">
        <f ca="1">IF(ISERROR(F629),"",IF(ISTEXT(VLOOKUP(B629,INDIRECT($F$8),6+(O635-1)*3)),(VLOOKUP(B629,INDIRECT($F$8),6+(O635-1)*3)),SUM(VLOOKUP(B629,INDIRECT($F$8),6+(O635-1)*3),IF(W648,W635,0))))</f>
        <v/>
      </c>
      <c r="Q635" s="1" t="str">
        <f ca="1">IF(ISERROR(F629),"",VLOOKUP(B629,INDIRECT($F$8),7+(O635-1)*3))</f>
        <v/>
      </c>
      <c r="R635" s="1" t="str">
        <f ca="1">IF(ISERROR(F629),"",SUM(P635:Q635))</f>
        <v/>
      </c>
      <c r="S635" s="1" t="str">
        <f ca="1">IF(ISERROR(F629),"",VLOOKUP(A629,INDIRECT($F$8),6+(O635-1)*3))</f>
        <v/>
      </c>
      <c r="T635" s="1" t="str">
        <f ca="1">IF(ISERROR(F629),"",VLOOKUP(A629,INDIRECT($F$8),7+(O635-1)*3))</f>
        <v/>
      </c>
      <c r="U635" s="1" t="str">
        <f ca="1">IF(ISERROR(F629),"",VLOOKUP(A629,INDIRECT($F$8),8+(O635-1)*3))</f>
        <v/>
      </c>
      <c r="V635" s="1" t="str">
        <f ca="1">IF(ISERROR(F629),"",IF(N635=0,A635,""))</f>
        <v/>
      </c>
      <c r="W635" s="1" t="str">
        <f ca="1">IF(ISERROR(F629),"",IF(ISTEXT(VLOOKUP(B629,INDIRECT($F$8),6+(O635-1)*3)),11,IF(VLOOKUP(B629,INDIRECT($F$8),6+(O635-1)*3)&lt;S635*0.3,IF(VLOOKUP(B629,INDIRECT($F$8),8+(O635-1)*3)&lt;U635*0.4,IF(AND(0.4*U635-VLOOKUP(B629,INDIRECT($F$8),8+(O635-1)*3)&lt;=5,0.3*S635-VLOOKUP(B629,INDIRECT($F$8),6+(O635-1)*3)&lt;=5),MAX(0.4*U635-VLOOKUP(B629,INDIRECT($F$8),8+(O635-1)*3),0.3*S635-VLOOKUP(B629,INDIRECT($F$8),6+(O635-1)*3)),11),IF(0.3*S635-VLOOKUP(B629,INDIRECT($F$8),6+(O635-1)*3)&lt;=5,0.3*S635-VLOOKUP(B629,INDIRECT($F$8),6+(O635-1)*3),11)),IF(VLOOKUP(B629,INDIRECT($F$8),8+(O635-1)*3)&lt;U635*0.4,IF(U635*0.4-VLOOKUP(B629,INDIRECT($F$8),8+(O635-1)*3)&lt;=5,U635*0.4-VLOOKUP(B629,INDIRECT($F$8),8+(O635-1)*3),11),0))))</f>
        <v/>
      </c>
      <c r="X635" s="1" t="str">
        <f ca="1">IF(ISERROR(F629),"",IF(W635=0,"",_xlfn.TEXTJOIN("",FALSE," G+",W635," in ",A635)))</f>
        <v/>
      </c>
    </row>
    <row r="636" spans="1:24" ht="11.25" customHeight="1" x14ac:dyDescent="0.2">
      <c r="A636" s="7" t="str">
        <f ca="1">IF(ISERROR(F629),"",VLOOKUP(C629,INDIRECT($F$8),6+(O636-1)*3,0))</f>
        <v/>
      </c>
      <c r="B636" s="41" t="str">
        <f ca="1">IF(ISERROR(F629),"",VLOOKUP(D629,INDIRECT($F$8),6+(O636-1)*3,0))</f>
        <v/>
      </c>
      <c r="C636" s="41"/>
      <c r="D636" s="41"/>
      <c r="E636" s="41"/>
      <c r="F636" s="7" t="str">
        <f ca="1">IF(ISERROR(F629),"",VLOOKUP(E629,INDIRECT($F$8),6+(O636-1)*3,0))</f>
        <v/>
      </c>
      <c r="G636" s="42" t="str">
        <f ca="1">IF(ISERROR(F629),"",_xlfn.TEXTJOIN("/",FALSE,P636,S636))</f>
        <v/>
      </c>
      <c r="H636" s="42"/>
      <c r="I636" s="42" t="str">
        <f ca="1">IF(ISERROR(F629),"",_xlfn.TEXTJOIN("/",FALSE,Q636,T636))</f>
        <v/>
      </c>
      <c r="J636" s="42"/>
      <c r="K636" s="42" t="str">
        <f ca="1">IF(ISERROR(F629),"",_xlfn.TEXTJOIN("/",FALSE,R636,U636))</f>
        <v/>
      </c>
      <c r="L636" s="42"/>
      <c r="M636" s="7" t="str">
        <f ca="1">IF(ISERROR(F629),"",IF(ISTEXT(P636),IF(P636="A","Ab",IF(P636="D","Dt",IF(P636="UFM","UFM",IF(P636="NA","-")))),IF(AND(ISBLANK(P636),ISBLANK(R636)),"",IF(P636&lt;0.3*S636,"F",IF(ISBLANK(R636),"",IF(ISTEXT(R636),R636,IF(R636&gt;=0.95*U636,"O",IF(R636&gt;=0.9*U636,"A+",IF(R636&gt;=0.85*U636,"A",IF(R636&gt;=0.8*U636,"B+",IF(R636&gt;=0.75*U636,"B",IF(R636&gt;=0.7*U636,"C+",IF(R636&gt;=0.65*U636,"C",IF(R636&gt;=0.6*U636,"D+",IF(R636&gt;=0.55*U636,"D",IF(R636&gt;=0.5*U636,"E+",IF(R636&gt;=0.45*U636,"E",IF(R636&gt;=0.4*U636,"P",IF(R636&lt;0.4*U636,"F",R636)))))))))))))))))))</f>
        <v/>
      </c>
      <c r="N636" s="8" t="e">
        <f t="shared" ca="1" si="61"/>
        <v>#N/A</v>
      </c>
      <c r="O636">
        <f>O635+1</f>
        <v>3</v>
      </c>
      <c r="P636" s="1" t="str">
        <f ca="1">IF(ISERROR(F629),"",IF(ISTEXT(VLOOKUP(B629,INDIRECT($F$8),6+(O636-1)*3)),(VLOOKUP(B629,INDIRECT($F$8),6+(O636-1)*3)),SUM(VLOOKUP(B629,INDIRECT($F$8),6+(O636-1)*3),IF(W648,W636,0))))</f>
        <v/>
      </c>
      <c r="Q636" s="1" t="str">
        <f ca="1">IF(ISERROR(F629),"",VLOOKUP(B629,INDIRECT($F$8),7+(O636-1)*3))</f>
        <v/>
      </c>
      <c r="R636" s="1" t="str">
        <f ca="1">IF(ISERROR(F629),"",SUM(P636:Q636))</f>
        <v/>
      </c>
      <c r="S636" s="1" t="str">
        <f ca="1">IF(ISERROR(F629),"",VLOOKUP(A629,INDIRECT($F$8),6+(O636-1)*3))</f>
        <v/>
      </c>
      <c r="T636" s="1" t="str">
        <f ca="1">IF(ISERROR(F629),"",VLOOKUP(A629,INDIRECT($F$8),7+(O636-1)*3))</f>
        <v/>
      </c>
      <c r="U636" s="1" t="str">
        <f ca="1">IF(ISERROR(F629),"",VLOOKUP(A629,INDIRECT($F$8),8+(O636-1)*3))</f>
        <v/>
      </c>
      <c r="V636" s="1" t="str">
        <f ca="1">IF(ISERROR(F629),"",IF(N636=0,A636,""))</f>
        <v/>
      </c>
      <c r="W636" s="1" t="str">
        <f ca="1">IF(ISERROR(F629),"",IF(ISTEXT(VLOOKUP(B629,INDIRECT($F$8),6+(O636-1)*3)),11,IF(VLOOKUP(B629,INDIRECT($F$8),6+(O636-1)*3)&lt;S636*0.3,IF(VLOOKUP(B629,INDIRECT($F$8),8+(O636-1)*3)&lt;U636*0.4,IF(AND(0.4*U636-VLOOKUP(B629,INDIRECT($F$8),8+(O636-1)*3)&lt;=5,0.3*S636-VLOOKUP(B629,INDIRECT($F$8),6+(O636-1)*3)&lt;=5),MAX(0.4*U636-VLOOKUP(B629,INDIRECT($F$8),8+(O636-1)*3),0.3*S636-VLOOKUP(B629,INDIRECT($F$8),6+(O636-1)*3)),11),IF(0.3*S636-VLOOKUP(B629,INDIRECT($F$8),6+(O636-1)*3)&lt;=5,0.3*S636-VLOOKUP(B629,INDIRECT($F$8),6+(O636-1)*3),11)),IF(VLOOKUP(B629,INDIRECT($F$8),8+(O636-1)*3)&lt;U636*0.4,IF(U636*0.4-VLOOKUP(B629,INDIRECT($F$8),8+(O636-1)*3)&lt;=5,U636*0.4-VLOOKUP(B629,INDIRECT($F$8),8+(O636-1)*3),11),0))))</f>
        <v/>
      </c>
      <c r="X636" s="1" t="str">
        <f ca="1">IF(ISERROR(F629),"",IF(W636=0,"",_xlfn.TEXTJOIN("",FALSE," G+",W636," in ",A636)))</f>
        <v/>
      </c>
    </row>
    <row r="637" spans="1:24" ht="11.25" customHeight="1" x14ac:dyDescent="0.2">
      <c r="A637" s="7" t="str">
        <f ca="1">IF(ISERROR(F629),"",VLOOKUP(C629,INDIRECT($F$8),6+(O637-1)*3,0))</f>
        <v/>
      </c>
      <c r="B637" s="41" t="str">
        <f ca="1">IF(ISERROR(F629),"",VLOOKUP(D629,INDIRECT($F$8),6+(O637-1)*3,0))</f>
        <v/>
      </c>
      <c r="C637" s="41"/>
      <c r="D637" s="41"/>
      <c r="E637" s="41"/>
      <c r="F637" s="7" t="str">
        <f ca="1">IF(ISERROR(F629),"",VLOOKUP(E629,INDIRECT($F$8),6+(O637-1)*3,0))</f>
        <v/>
      </c>
      <c r="G637" s="42" t="str">
        <f ca="1">IF(ISERROR(F629),"",_xlfn.TEXTJOIN("/",FALSE,P637,S637))</f>
        <v/>
      </c>
      <c r="H637" s="42"/>
      <c r="I637" s="42" t="str">
        <f ca="1">IF(ISERROR(F629),"",_xlfn.TEXTJOIN("/",FALSE,Q637,T637))</f>
        <v/>
      </c>
      <c r="J637" s="42"/>
      <c r="K637" s="42" t="str">
        <f ca="1">IF(ISERROR(F629),"",_xlfn.TEXTJOIN("/",FALSE,R637,U637))</f>
        <v/>
      </c>
      <c r="L637" s="42"/>
      <c r="M637" s="7" t="str">
        <f ca="1">IF(ISERROR(F629),"",IF(ISTEXT(P637),IF(P637="A","Ab",IF(P637="D","Dt",IF(P637="UFM","UFM",IF(P637="NA","-")))),IF(AND(ISBLANK(P637),ISBLANK(R637)),"",IF(P637&lt;0.3*S637,"F",IF(ISBLANK(R637),"",IF(ISTEXT(R637),R637,IF(R637&gt;=0.95*U637,"O",IF(R637&gt;=0.9*U637,"A+",IF(R637&gt;=0.85*U637,"A",IF(R637&gt;=0.8*U637,"B+",IF(R637&gt;=0.75*U637,"B",IF(R637&gt;=0.7*U637,"C+",IF(R637&gt;=0.65*U637,"C",IF(R637&gt;=0.6*U637,"D+",IF(R637&gt;=0.55*U637,"D",IF(R637&gt;=0.5*U637,"E+",IF(R637&gt;=0.45*U637,"E",IF(R637&gt;=0.4*U637,"P",IF(R637&lt;0.4*U637,"F",R637)))))))))))))))))))</f>
        <v/>
      </c>
      <c r="N637" s="8" t="e">
        <f t="shared" ca="1" si="61"/>
        <v>#N/A</v>
      </c>
      <c r="O637">
        <f>O636+1</f>
        <v>4</v>
      </c>
      <c r="P637" s="1" t="str">
        <f ca="1">IF(ISERROR(F629),"",IF(ISTEXT(VLOOKUP(B629,INDIRECT($F$8),6+(O637-1)*3)),(VLOOKUP(B629,INDIRECT($F$8),6+(O637-1)*3)),SUM(VLOOKUP(B629,INDIRECT($F$8),6+(O637-1)*3),IF(W648,W637,0))))</f>
        <v/>
      </c>
      <c r="Q637" s="1" t="str">
        <f ca="1">IF(ISERROR(F629),"",VLOOKUP(B629,INDIRECT($F$8),7+(O637-1)*3))</f>
        <v/>
      </c>
      <c r="R637" s="1" t="str">
        <f ca="1">IF(ISERROR(F629),"",SUM(P637:Q637))</f>
        <v/>
      </c>
      <c r="S637" s="1" t="str">
        <f ca="1">IF(ISERROR(F629),"",VLOOKUP(A629,INDIRECT($F$8),6+(O637-1)*3))</f>
        <v/>
      </c>
      <c r="T637" s="1" t="str">
        <f ca="1">IF(ISERROR(F629),"",VLOOKUP(A629,INDIRECT($F$8),7+(O637-1)*3))</f>
        <v/>
      </c>
      <c r="U637" s="1" t="str">
        <f ca="1">IF(ISERROR(F629),"",VLOOKUP(A629,INDIRECT($F$8),8+(O637-1)*3))</f>
        <v/>
      </c>
      <c r="V637" s="1" t="str">
        <f ca="1">IF(ISERROR(F629),"",IF(N637=0,A637,""))</f>
        <v/>
      </c>
      <c r="W637" s="1" t="str">
        <f ca="1">IF(ISERROR(F629),"",IF(ISTEXT(VLOOKUP(B629,INDIRECT($F$8),6+(O637-1)*3)),11,IF(VLOOKUP(B629,INDIRECT($F$8),6+(O637-1)*3)&lt;S637*0.3,IF(VLOOKUP(B629,INDIRECT($F$8),8+(O637-1)*3)&lt;U637*0.4,IF(AND(0.4*U637-VLOOKUP(B629,INDIRECT($F$8),8+(O637-1)*3)&lt;=5,0.3*S637-VLOOKUP(B629,INDIRECT($F$8),6+(O637-1)*3)&lt;=5),MAX(0.4*U637-VLOOKUP(B629,INDIRECT($F$8),8+(O637-1)*3),0.3*S637-VLOOKUP(B629,INDIRECT($F$8),6+(O637-1)*3)),11),IF(0.3*S637-VLOOKUP(B629,INDIRECT($F$8),6+(O637-1)*3)&lt;=5,0.3*S637-VLOOKUP(B629,INDIRECT($F$8),6+(O637-1)*3),11)),IF(VLOOKUP(B629,INDIRECT($F$8),8+(O637-1)*3)&lt;U637*0.4,IF(U637*0.4-VLOOKUP(B629,INDIRECT($F$8),8+(O637-1)*3)&lt;=5,U637*0.4-VLOOKUP(B629,INDIRECT($F$8),8+(O637-1)*3),11),0))))</f>
        <v/>
      </c>
      <c r="X637" s="1" t="str">
        <f ca="1">IF(ISERROR(F629),"",IF(W637=0,"",_xlfn.TEXTJOIN("",FALSE," G+",W637," in ",A637)))</f>
        <v/>
      </c>
    </row>
    <row r="638" spans="1:24" ht="11.25" customHeight="1" x14ac:dyDescent="0.2">
      <c r="A638" s="7" t="str">
        <f ca="1">IF(ISERROR(F629),"",VLOOKUP(C629,INDIRECT($F$8),6+(O638-1)*3,0))</f>
        <v/>
      </c>
      <c r="B638" s="41" t="str">
        <f ca="1">IF(ISERROR(F629),"",VLOOKUP(D629,INDIRECT($F$8),6+(O638-1)*3,0))</f>
        <v/>
      </c>
      <c r="C638" s="41"/>
      <c r="D638" s="41"/>
      <c r="E638" s="41"/>
      <c r="F638" s="7" t="str">
        <f ca="1">IF(ISERROR(F629),"",VLOOKUP(E629,INDIRECT($F$8),6+(O638-1)*3,0))</f>
        <v/>
      </c>
      <c r="G638" s="42" t="str">
        <f ca="1">IF(ISERROR(F629),"",_xlfn.TEXTJOIN("/",FALSE,P638,S638))</f>
        <v/>
      </c>
      <c r="H638" s="42"/>
      <c r="I638" s="42" t="str">
        <f ca="1">IF(ISERROR(F629),"",_xlfn.TEXTJOIN("/",FALSE,Q638,T638))</f>
        <v/>
      </c>
      <c r="J638" s="42"/>
      <c r="K638" s="42" t="str">
        <f ca="1">IF(ISERROR(F629),"",_xlfn.TEXTJOIN("/",FALSE,R638,U638))</f>
        <v/>
      </c>
      <c r="L638" s="42"/>
      <c r="M638" s="7" t="str">
        <f ca="1">IF(ISERROR(F629),"",IF(ISTEXT(P638),IF(P638="A","Ab",IF(P638="D","Dt",IF(P638="UFM","UFM",IF(P638="NA","-")))),IF(AND(ISBLANK(P638),ISBLANK(R638)),"",IF(P638&lt;0.3*S638,"F",IF(ISBLANK(R638),"",IF(ISTEXT(R638),R638,IF(R638&gt;=0.95*U638,"O",IF(R638&gt;=0.9*U638,"A+",IF(R638&gt;=0.85*U638,"A",IF(R638&gt;=0.8*U638,"B+",IF(R638&gt;=0.75*U638,"B",IF(R638&gt;=0.7*U638,"C+",IF(R638&gt;=0.65*U638,"C",IF(R638&gt;=0.6*U638,"D+",IF(R638&gt;=0.55*U638,"D",IF(R638&gt;=0.5*U638,"E+",IF(R638&gt;=0.45*U638,"E",IF(R638&gt;=0.4*U638,"P",IF(R638&lt;0.4*U638,"F",R638)))))))))))))))))))</f>
        <v/>
      </c>
      <c r="N638" s="8" t="e">
        <f t="shared" ca="1" si="61"/>
        <v>#N/A</v>
      </c>
      <c r="O638">
        <f t="shared" ref="O638:O647" si="62">O637+1</f>
        <v>5</v>
      </c>
      <c r="P638" s="1" t="str">
        <f ca="1">IF(ISERROR(F629),"",IF(ISTEXT(VLOOKUP(B629,INDIRECT($F$8),6+(O638-1)*3)),(VLOOKUP(B629,INDIRECT($F$8),6+(O638-1)*3)),SUM(VLOOKUP(B629,INDIRECT($F$8),6+(O638-1)*3),IF(W648,W638,0))))</f>
        <v/>
      </c>
      <c r="Q638" s="1" t="str">
        <f ca="1">IF(ISERROR(F629),"",VLOOKUP(B629,INDIRECT($F$8),7+(O638-1)*3))</f>
        <v/>
      </c>
      <c r="R638" s="1" t="str">
        <f ca="1">IF(ISERROR(F629),"",SUM(P638:Q638))</f>
        <v/>
      </c>
      <c r="S638" s="1" t="str">
        <f ca="1">IF(ISERROR(F629),"",VLOOKUP(A629,INDIRECT($F$8),6+(O638-1)*3))</f>
        <v/>
      </c>
      <c r="T638" s="1" t="str">
        <f ca="1">IF(ISERROR(F629),"",VLOOKUP(A629,INDIRECT($F$8),7+(O638-1)*3))</f>
        <v/>
      </c>
      <c r="U638" s="1" t="str">
        <f ca="1">IF(ISERROR(F629),"",VLOOKUP(A629,INDIRECT($F$8),8+(O638-1)*3))</f>
        <v/>
      </c>
      <c r="V638" s="1" t="str">
        <f ca="1">IF(ISERROR(F629),"",IF(N638=0,A638,""))</f>
        <v/>
      </c>
      <c r="W638" s="1" t="str">
        <f ca="1">IF(ISERROR(F629),"",IF(ISTEXT(VLOOKUP(B629,INDIRECT($F$8),6+(O638-1)*3)),11,IF(VLOOKUP(B629,INDIRECT($F$8),6+(O638-1)*3)&lt;S638*0.3,IF(VLOOKUP(B629,INDIRECT($F$8),8+(O638-1)*3)&lt;U638*0.4,IF(AND(0.4*U638-VLOOKUP(B629,INDIRECT($F$8),8+(O638-1)*3)&lt;=5,0.3*S638-VLOOKUP(B629,INDIRECT($F$8),6+(O638-1)*3)&lt;=5),MAX(0.4*U638-VLOOKUP(B629,INDIRECT($F$8),8+(O638-1)*3),0.3*S638-VLOOKUP(B629,INDIRECT($F$8),6+(O638-1)*3)),11),IF(0.3*S638-VLOOKUP(B629,INDIRECT($F$8),6+(O638-1)*3)&lt;=5,0.3*S638-VLOOKUP(B629,INDIRECT($F$8),6+(O638-1)*3),11)),IF(VLOOKUP(B629,INDIRECT($F$8),8+(O638-1)*3)&lt;U638*0.4,IF(U638*0.4-VLOOKUP(B629,INDIRECT($F$8),8+(O638-1)*3)&lt;=5,U638*0.4-VLOOKUP(B629,INDIRECT($F$8),8+(O638-1)*3),11),0))))</f>
        <v/>
      </c>
      <c r="X638" s="1" t="str">
        <f ca="1">IF(ISERROR(F629),"",IF(W638=0,"",_xlfn.TEXTJOIN("",FALSE," G+",W638," in ",A638)))</f>
        <v/>
      </c>
    </row>
    <row r="639" spans="1:24" ht="11.25" customHeight="1" x14ac:dyDescent="0.2">
      <c r="A639" s="7" t="str">
        <f ca="1">IF(ISERROR(F629),"",VLOOKUP(C629,INDIRECT($F$8),6+(O639-1)*3,0))</f>
        <v/>
      </c>
      <c r="B639" s="41" t="str">
        <f ca="1">IF(ISERROR(F629),"",VLOOKUP(D629,INDIRECT($F$8),6+(O639-1)*3,0))</f>
        <v/>
      </c>
      <c r="C639" s="41"/>
      <c r="D639" s="41"/>
      <c r="E639" s="41"/>
      <c r="F639" s="7" t="str">
        <f ca="1">IF(ISERROR(F629),"",VLOOKUP(E629,INDIRECT($F$8),6+(O639-1)*3,0))</f>
        <v/>
      </c>
      <c r="G639" s="42" t="str">
        <f ca="1">IF(ISERROR(F629),"",_xlfn.TEXTJOIN("/",FALSE,P639,S639))</f>
        <v/>
      </c>
      <c r="H639" s="42"/>
      <c r="I639" s="42" t="str">
        <f ca="1">IF(ISERROR(F629),"",_xlfn.TEXTJOIN("/",FALSE,Q639,T639))</f>
        <v/>
      </c>
      <c r="J639" s="42"/>
      <c r="K639" s="42" t="str">
        <f ca="1">IF(ISERROR(F629),"",_xlfn.TEXTJOIN("/",FALSE,R639,U639))</f>
        <v/>
      </c>
      <c r="L639" s="42"/>
      <c r="M639" s="7" t="str">
        <f ca="1">IF(ISERROR(F629),"",IF(ISTEXT(P639),IF(P639="A","Ab",IF(P639="D","Dt",IF(P639="UFM","UFM",IF(P639="NA","-")))),IF(AND(ISBLANK(P639),ISBLANK(R639)),"",IF(P639&lt;0.3*S639,"F",IF(ISBLANK(R639),"",IF(ISTEXT(R639),R639,IF(R639&gt;=0.95*U639,"O",IF(R639&gt;=0.9*U639,"A+",IF(R639&gt;=0.85*U639,"A",IF(R639&gt;=0.8*U639,"B+",IF(R639&gt;=0.75*U639,"B",IF(R639&gt;=0.7*U639,"C+",IF(R639&gt;=0.65*U639,"C",IF(R639&gt;=0.6*U639,"D+",IF(R639&gt;=0.55*U639,"D",IF(R639&gt;=0.5*U639,"E+",IF(R639&gt;=0.45*U639,"E",IF(R639&gt;=0.4*U639,"P",IF(R639&lt;0.4*U639,"F",R639)))))))))))))))))))</f>
        <v/>
      </c>
      <c r="N639" s="8" t="e">
        <f t="shared" ca="1" si="61"/>
        <v>#N/A</v>
      </c>
      <c r="O639">
        <f t="shared" si="62"/>
        <v>6</v>
      </c>
      <c r="P639" s="1" t="str">
        <f ca="1">IF(ISERROR(F629),"",IF(ISTEXT(VLOOKUP(B629,INDIRECT($F$8),6+(O639-1)*3)),(VLOOKUP(B629,INDIRECT($F$8),6+(O639-1)*3)),SUM(VLOOKUP(B629,INDIRECT($F$8),6+(O639-1)*3),IF(W648,W639,0))))</f>
        <v/>
      </c>
      <c r="Q639" s="1" t="str">
        <f ca="1">IF(ISERROR(F629),"",VLOOKUP(B629,INDIRECT($F$8),7+(O639-1)*3))</f>
        <v/>
      </c>
      <c r="R639" s="1" t="str">
        <f ca="1">IF(ISERROR(F629),"",SUM(P639:Q639))</f>
        <v/>
      </c>
      <c r="S639" s="1" t="str">
        <f ca="1">IF(ISERROR(F629),"",VLOOKUP(A629,INDIRECT($F$8),6+(O639-1)*3))</f>
        <v/>
      </c>
      <c r="T639" s="1" t="str">
        <f ca="1">IF(ISERROR(F629),"",VLOOKUP(A629,INDIRECT($F$8),7+(O639-1)*3))</f>
        <v/>
      </c>
      <c r="U639" s="1" t="str">
        <f ca="1">IF(ISERROR(F629),"",VLOOKUP(A629,INDIRECT($F$8),8+(O639-1)*3))</f>
        <v/>
      </c>
      <c r="V639" s="1" t="str">
        <f ca="1">IF(ISERROR(F629),"",IF(N639=0,A639,""))</f>
        <v/>
      </c>
      <c r="W639" s="1" t="str">
        <f ca="1">IF(ISERROR(F629),"",IF(ISTEXT(VLOOKUP(B629,INDIRECT($F$8),6+(O639-1)*3)),11,IF(VLOOKUP(B629,INDIRECT($F$8),6+(O639-1)*3)&lt;S639*0.3,IF(VLOOKUP(B629,INDIRECT($F$8),8+(O639-1)*3)&lt;U639*0.4,IF(AND(0.4*U639-VLOOKUP(B629,INDIRECT($F$8),8+(O639-1)*3)&lt;=5,0.3*S639-VLOOKUP(B629,INDIRECT($F$8),6+(O639-1)*3)&lt;=5),MAX(0.4*U639-VLOOKUP(B629,INDIRECT($F$8),8+(O639-1)*3),0.3*S639-VLOOKUP(B629,INDIRECT($F$8),6+(O639-1)*3)),11),IF(0.3*S639-VLOOKUP(B629,INDIRECT($F$8),6+(O639-1)*3)&lt;=5,0.3*S639-VLOOKUP(B629,INDIRECT($F$8),6+(O639-1)*3),11)),IF(VLOOKUP(B629,INDIRECT($F$8),8+(O639-1)*3)&lt;U639*0.4,IF(U639*0.4-VLOOKUP(B629,INDIRECT($F$8),8+(O639-1)*3)&lt;=5,U639*0.4-VLOOKUP(B629,INDIRECT($F$8),8+(O639-1)*3),11),0))))</f>
        <v/>
      </c>
      <c r="X639" s="1" t="str">
        <f ca="1">IF(ISERROR(F629),"",IF(W639=0,"",_xlfn.TEXTJOIN("",FALSE," G+",W639," in ",A639)))</f>
        <v/>
      </c>
    </row>
    <row r="640" spans="1:24" ht="11.25" customHeight="1" x14ac:dyDescent="0.2">
      <c r="A640" s="7" t="str">
        <f ca="1">IF(ISERROR(F629),"",VLOOKUP(C629,INDIRECT($F$8),6+(O640-1)*3,0))</f>
        <v/>
      </c>
      <c r="B640" s="41" t="str">
        <f ca="1">IF(ISERROR(F629),"",VLOOKUP(D629,INDIRECT($F$8),6+(O640-1)*3,0))</f>
        <v/>
      </c>
      <c r="C640" s="41"/>
      <c r="D640" s="41"/>
      <c r="E640" s="41"/>
      <c r="F640" s="7" t="str">
        <f ca="1">IF(ISERROR(F629),"",VLOOKUP(E629,INDIRECT($F$8),6+(O640-1)*3,0))</f>
        <v/>
      </c>
      <c r="G640" s="42" t="str">
        <f ca="1">IF(ISERROR(F629),"",_xlfn.TEXTJOIN("/",FALSE,P640,S640))</f>
        <v/>
      </c>
      <c r="H640" s="42"/>
      <c r="I640" s="42" t="str">
        <f ca="1">IF(ISERROR(F629),"",_xlfn.TEXTJOIN("/",FALSE,Q640,T640))</f>
        <v/>
      </c>
      <c r="J640" s="42"/>
      <c r="K640" s="42" t="str">
        <f ca="1">IF(ISERROR(F629),"",_xlfn.TEXTJOIN("/",FALSE,R640,U640))</f>
        <v/>
      </c>
      <c r="L640" s="42"/>
      <c r="M640" s="7" t="str">
        <f ca="1">IF(ISERROR(F629),"",IF(ISTEXT(P640),IF(P640="A","Ab",IF(P640="D","Dt",IF(P640="UFM","UFM",IF(P640="NA","-")))),IF(AND(ISBLANK(P640),ISBLANK(R640)),"",IF(P640&lt;0.3*S640,"F",IF(ISBLANK(R640),"",IF(ISTEXT(R640),R640,IF(R640&gt;=0.95*U640,"O",IF(R640&gt;=0.9*U640,"A+",IF(R640&gt;=0.85*U640,"A",IF(R640&gt;=0.8*U640,"B+",IF(R640&gt;=0.75*U640,"B",IF(R640&gt;=0.7*U640,"C+",IF(R640&gt;=0.65*U640,"C",IF(R640&gt;=0.6*U640,"D+",IF(R640&gt;=0.55*U640,"D",IF(R640&gt;=0.5*U640,"E+",IF(R640&gt;=0.45*U640,"E",IF(R640&gt;=0.4*U640,"P",IF(R640&lt;0.4*U640,"F",R640)))))))))))))))))))</f>
        <v/>
      </c>
      <c r="N640" s="8" t="e">
        <f t="shared" ca="1" si="61"/>
        <v>#N/A</v>
      </c>
      <c r="O640">
        <f t="shared" si="62"/>
        <v>7</v>
      </c>
      <c r="P640" s="1" t="str">
        <f ca="1">IF(ISERROR(F629),"",IF(ISTEXT(VLOOKUP(B629,INDIRECT($F$8),6+(O640-1)*3)),(VLOOKUP(B629,INDIRECT($F$8),6+(O640-1)*3)),SUM(VLOOKUP(B629,INDIRECT($F$8),6+(O640-1)*3),IF(W648,W640,0))))</f>
        <v/>
      </c>
      <c r="Q640" s="1" t="str">
        <f ca="1">IF(ISERROR(F629),"",VLOOKUP(B629,INDIRECT($F$8),7+(O640-1)*3))</f>
        <v/>
      </c>
      <c r="R640" s="1" t="str">
        <f ca="1">IF(ISERROR(F629),"",SUM(P640:Q640))</f>
        <v/>
      </c>
      <c r="S640" s="1" t="str">
        <f ca="1">IF(ISERROR(F629),"",VLOOKUP(A629,INDIRECT($F$8),6+(O640-1)*3))</f>
        <v/>
      </c>
      <c r="T640" s="1" t="str">
        <f ca="1">IF(ISERROR(F629),"",VLOOKUP(A629,INDIRECT($F$8),7+(O640-1)*3))</f>
        <v/>
      </c>
      <c r="U640" s="1" t="str">
        <f ca="1">IF(ISERROR(F629),"",VLOOKUP(A629,INDIRECT($F$8),8+(O640-1)*3))</f>
        <v/>
      </c>
      <c r="V640" s="1" t="str">
        <f ca="1">IF(ISERROR(F629),"",IF(N640=0,A640,""))</f>
        <v/>
      </c>
      <c r="W640" s="1" t="str">
        <f ca="1">IF(ISERROR(F629),"",IF(ISTEXT(VLOOKUP(B629,INDIRECT($F$8),6+(O640-1)*3)),11,IF(VLOOKUP(B629,INDIRECT($F$8),6+(O640-1)*3)&lt;S640*0.3,IF(VLOOKUP(B629,INDIRECT($F$8),8+(O640-1)*3)&lt;U640*0.4,IF(AND(0.4*U640-VLOOKUP(B629,INDIRECT($F$8),8+(O640-1)*3)&lt;=5,0.3*S640-VLOOKUP(B629,INDIRECT($F$8),6+(O640-1)*3)&lt;=5),MAX(0.4*U640-VLOOKUP(B629,INDIRECT($F$8),8+(O640-1)*3),0.3*S640-VLOOKUP(B629,INDIRECT($F$8),6+(O640-1)*3)),11),IF(0.3*S640-VLOOKUP(B629,INDIRECT($F$8),6+(O640-1)*3)&lt;=5,0.3*S640-VLOOKUP(B629,INDIRECT($F$8),6+(O640-1)*3),11)),IF(VLOOKUP(B629,INDIRECT($F$8),8+(O640-1)*3)&lt;U640*0.4,IF(U640*0.4-VLOOKUP(B629,INDIRECT($F$8),8+(O640-1)*3)&lt;=5,U640*0.4-VLOOKUP(B629,INDIRECT($F$8),8+(O640-1)*3),11),0))))</f>
        <v/>
      </c>
      <c r="X640" s="1" t="str">
        <f ca="1">IF(ISERROR(F629),"",IF(W640=0,"",_xlfn.TEXTJOIN("",FALSE," G+",W640," in ",A640)))</f>
        <v/>
      </c>
    </row>
    <row r="641" spans="1:24" ht="11.25" customHeight="1" x14ac:dyDescent="0.2">
      <c r="A641" s="7" t="str">
        <f ca="1">IF(ISERROR(F629),"",VLOOKUP(C629,INDIRECT($F$8),6+(O641-1)*3,0))</f>
        <v/>
      </c>
      <c r="B641" s="41" t="str">
        <f ca="1">IF(ISERROR(F629),"",VLOOKUP(D629,INDIRECT($F$8),6+(O641-1)*3,0))</f>
        <v/>
      </c>
      <c r="C641" s="41"/>
      <c r="D641" s="41"/>
      <c r="E641" s="41"/>
      <c r="F641" s="7" t="str">
        <f ca="1">IF(ISERROR(F629),"",VLOOKUP(E629,INDIRECT($F$8),6+(O641-1)*3,0))</f>
        <v/>
      </c>
      <c r="G641" s="42" t="str">
        <f ca="1">IF(ISERROR(F629),"",_xlfn.TEXTJOIN("/",FALSE,P641,S641))</f>
        <v/>
      </c>
      <c r="H641" s="42"/>
      <c r="I641" s="42" t="str">
        <f ca="1">IF(ISERROR(F629),"",_xlfn.TEXTJOIN("/",FALSE,Q641,T641))</f>
        <v/>
      </c>
      <c r="J641" s="42"/>
      <c r="K641" s="42" t="str">
        <f ca="1">IF(ISERROR(F629),"",_xlfn.TEXTJOIN("/",FALSE,R641,U641))</f>
        <v/>
      </c>
      <c r="L641" s="42"/>
      <c r="M641" s="7" t="str">
        <f ca="1">IF(ISERROR(F629),"",IF(ISTEXT(P641),IF(P641="A","Ab",IF(P641="D","Dt",IF(P641="UFM","UFM",IF(P641="NA","-")))),IF(AND(ISBLANK(P641),ISBLANK(R641)),"",IF(P641&lt;0.3*S641,"F",IF(ISBLANK(R641),"",IF(ISTEXT(R641),R641,IF(R641&gt;=0.95*U641,"O",IF(R641&gt;=0.9*U641,"A+",IF(R641&gt;=0.85*U641,"A",IF(R641&gt;=0.8*U641,"B+",IF(R641&gt;=0.75*U641,"B",IF(R641&gt;=0.7*U641,"C+",IF(R641&gt;=0.65*U641,"C",IF(R641&gt;=0.6*U641,"D+",IF(R641&gt;=0.55*U641,"D",IF(R641&gt;=0.5*U641,"E+",IF(R641&gt;=0.45*U641,"E",IF(R641&gt;=0.4*U641,"P",IF(R641&lt;0.4*U641,"F",R641)))))))))))))))))))</f>
        <v/>
      </c>
      <c r="N641" s="8" t="e">
        <f t="shared" ca="1" si="61"/>
        <v>#N/A</v>
      </c>
      <c r="O641">
        <f t="shared" si="62"/>
        <v>8</v>
      </c>
      <c r="P641" s="1" t="str">
        <f ca="1">IF(ISERROR(F629),"",IF(ISTEXT(VLOOKUP(B629,INDIRECT($F$8),6+(O641-1)*3)),(VLOOKUP(B629,INDIRECT($F$8),6+(O641-1)*3)),SUM(VLOOKUP(B629,INDIRECT($F$8),6+(O641-1)*3),IF(W648,W641,0))))</f>
        <v/>
      </c>
      <c r="Q641" s="1" t="str">
        <f ca="1">IF(ISERROR(F629),"",VLOOKUP(B629,INDIRECT($F$8),7+(O641-1)*3))</f>
        <v/>
      </c>
      <c r="R641" s="1" t="str">
        <f ca="1">IF(ISERROR(F629),"",SUM(P641:Q641))</f>
        <v/>
      </c>
      <c r="S641" s="1" t="str">
        <f ca="1">IF(ISERROR(F629),"",VLOOKUP(A629,INDIRECT($F$8),6+(O641-1)*3))</f>
        <v/>
      </c>
      <c r="T641" s="1" t="str">
        <f ca="1">IF(ISERROR(F629),"",VLOOKUP(A629,INDIRECT($F$8),7+(O641-1)*3))</f>
        <v/>
      </c>
      <c r="U641" s="1" t="str">
        <f ca="1">IF(ISERROR(F629),"",VLOOKUP(A629,INDIRECT($F$8),8+(O641-1)*3))</f>
        <v/>
      </c>
      <c r="V641" s="1" t="str">
        <f ca="1">IF(ISERROR(F629),"",IF(N641=0,A641,""))</f>
        <v/>
      </c>
      <c r="W641" s="1" t="str">
        <f ca="1">IF(ISERROR(F629),"",IF(ISTEXT(VLOOKUP(B629,INDIRECT($F$8),6+(O641-1)*3)),11,IF(VLOOKUP(B629,INDIRECT($F$8),6+(O641-1)*3)&lt;S641*0.3,IF(VLOOKUP(B629,INDIRECT($F$8),8+(O641-1)*3)&lt;U641*0.4,IF(AND(0.4*U641-VLOOKUP(B629,INDIRECT($F$8),8+(O641-1)*3)&lt;=5,0.3*S641-VLOOKUP(B629,INDIRECT($F$8),6+(O641-1)*3)&lt;=5),MAX(0.4*U641-VLOOKUP(B629,INDIRECT($F$8),8+(O641-1)*3),0.3*S641-VLOOKUP(B629,INDIRECT($F$8),6+(O641-1)*3)),11),IF(0.3*S641-VLOOKUP(B629,INDIRECT($F$8),6+(O641-1)*3)&lt;=5,0.3*S641-VLOOKUP(B629,INDIRECT($F$8),6+(O641-1)*3),11)),IF(VLOOKUP(B629,INDIRECT($F$8),8+(O641-1)*3)&lt;U641*0.4,IF(U641*0.4-VLOOKUP(B629,INDIRECT($F$8),8+(O641-1)*3)&lt;=5,U641*0.4-VLOOKUP(B629,INDIRECT($F$8),8+(O641-1)*3),11),0))))</f>
        <v/>
      </c>
      <c r="X641" s="1" t="str">
        <f ca="1">IF(ISERROR(F629),"",IF(W641=0,"",_xlfn.TEXTJOIN("",FALSE," G+",W641," in ",A641)))</f>
        <v/>
      </c>
    </row>
    <row r="642" spans="1:24" ht="11.25" customHeight="1" x14ac:dyDescent="0.2">
      <c r="A642" s="7" t="str">
        <f ca="1">IF(ISERROR(F629),"",VLOOKUP(C629,INDIRECT($F$8),6+(O642-1)*3,0))</f>
        <v/>
      </c>
      <c r="B642" s="41" t="str">
        <f ca="1">IF(ISERROR(F629),"",VLOOKUP(D629,INDIRECT($F$8),6+(O642-1)*3-Z642,0))</f>
        <v/>
      </c>
      <c r="C642" s="41"/>
      <c r="D642" s="41"/>
      <c r="E642" s="41"/>
      <c r="F642" s="7" t="str">
        <f ca="1">IF(ISERROR(F629),"",VLOOKUP(E629,INDIRECT($F$8),6+(O642-1)*3,0))</f>
        <v/>
      </c>
      <c r="G642" s="42" t="str">
        <f ca="1">IF(ISERROR(F629),"",_xlfn.TEXTJOIN("/",FALSE,P642,S642))</f>
        <v/>
      </c>
      <c r="H642" s="42"/>
      <c r="I642" s="42" t="str">
        <f ca="1">IF(ISERROR(F629),"",_xlfn.TEXTJOIN("/",FALSE,Q642,T642))</f>
        <v/>
      </c>
      <c r="J642" s="42"/>
      <c r="K642" s="42" t="str">
        <f ca="1">IF(ISERROR(F629),"",_xlfn.TEXTJOIN("/",FALSE,R642,U642))</f>
        <v/>
      </c>
      <c r="L642" s="42"/>
      <c r="M642" s="7" t="str">
        <f ca="1">IF(ISERROR(F629),"",IF(ISTEXT(P642),IF(P642="A","Ab",IF(P642="D","Dt",IF(P642="UFM","UFM",IF(P642="NA","-")))),IF(AND(ISBLANK(P642),ISBLANK(R642)),"",IF(P642&lt;0.3*S642,"F",IF(ISBLANK(R642),"",IF(ISTEXT(R642),R642,IF(R642&gt;=0.95*U642,"O",IF(R642&gt;=0.9*U642,"A+",IF(R642&gt;=0.85*U642,"A",IF(R642&gt;=0.8*U642,"B+",IF(R642&gt;=0.75*U642,"B",IF(R642&gt;=0.7*U642,"C+",IF(R642&gt;=0.65*U642,"C",IF(R642&gt;=0.6*U642,"D+",IF(R642&gt;=0.55*U642,"D",IF(R642&gt;=0.5*U642,"E+",IF(R642&gt;=0.45*U642,"E",IF(R642&gt;=0.4*U642,"P",IF(R642&lt;0.4*U642,"F",R642)))))))))))))))))))</f>
        <v/>
      </c>
      <c r="N642" s="8" t="e">
        <f t="shared" ca="1" si="61"/>
        <v>#N/A</v>
      </c>
      <c r="O642">
        <f t="shared" si="62"/>
        <v>9</v>
      </c>
      <c r="P642" s="1" t="str">
        <f ca="1">IF(ISERROR(F629),"",IF(ISTEXT(VLOOKUP(B629,INDIRECT($F$8),6+(O642-1)*3)),(VLOOKUP(B629,INDIRECT($F$8),6+(O642-1)*3)),SUM(VLOOKUP(B629,INDIRECT($F$8),6+(O642-1)*3),IF(W648,W642,0))))</f>
        <v/>
      </c>
      <c r="Q642" s="1" t="str">
        <f ca="1">IF(ISERROR(F629),"",VLOOKUP(B629,INDIRECT($F$8),7+(O642-1)*3))</f>
        <v/>
      </c>
      <c r="R642" s="1" t="str">
        <f ca="1">IF(ISERROR(F629),"",SUM(P642:Q642))</f>
        <v/>
      </c>
      <c r="S642" s="1" t="str">
        <f ca="1">IF(ISERROR(F629),"",VLOOKUP(A629,INDIRECT($F$8),6+(O642-1)*3))</f>
        <v/>
      </c>
      <c r="T642" s="1" t="str">
        <f ca="1">IF(ISERROR(F629),"",VLOOKUP(A629,INDIRECT($F$8),7+(O642-1)*3))</f>
        <v/>
      </c>
      <c r="U642" s="1" t="str">
        <f ca="1">IF(ISERROR(F629),"",VLOOKUP(A629,INDIRECT($F$8),8+(O642-1)*3))</f>
        <v/>
      </c>
      <c r="V642" s="1" t="str">
        <f ca="1">IF(ISERROR(F629),"",IF(N642=0,A642,""))</f>
        <v/>
      </c>
      <c r="W642" s="1" t="str">
        <f ca="1">IF(ISERROR(F629),"",IF(ISTEXT(VLOOKUP(B629,INDIRECT($F$8),6+(O642-1)*3)),11,IF(VLOOKUP(B629,INDIRECT($F$8),6+(O642-1)*3)&lt;S642*0.3,IF(VLOOKUP(B629,INDIRECT($F$8),8+(O642-1)*3)&lt;U642*0.4,IF(AND(0.4*U642-VLOOKUP(B629,INDIRECT($F$8),8+(O642-1)*3)&lt;=5,0.3*S642-VLOOKUP(B629,INDIRECT($F$8),6+(O642-1)*3)&lt;=5),MAX(0.4*U642-VLOOKUP(B629,INDIRECT($F$8),8+(O642-1)*3),0.3*S642-VLOOKUP(B629,INDIRECT($F$8),6+(O642-1)*3)),11),IF(0.3*S642-VLOOKUP(B629,INDIRECT($F$8),6+(O642-1)*3)&lt;=5,0.3*S642-VLOOKUP(B629,INDIRECT($F$8),6+(O642-1)*3),11)),IF(VLOOKUP(B629,INDIRECT($F$8),8+(O642-1)*3)&lt;U642*0.4,IF(U642*0.4-VLOOKUP(B629,INDIRECT($F$8),8+(O642-1)*3)&lt;=5,U642*0.4-VLOOKUP(B629,INDIRECT($F$8),8+(O642-1)*3),11),0))))</f>
        <v/>
      </c>
      <c r="X642" s="1" t="str">
        <f ca="1">IF(ISERROR(F629),"",IF(W642=0,"",_xlfn.TEXTJOIN("",FALSE," G+",W642," in ",A642)))</f>
        <v/>
      </c>
    </row>
    <row r="643" spans="1:24" ht="11.25" customHeight="1" x14ac:dyDescent="0.2">
      <c r="A643" s="7" t="str">
        <f ca="1">IF(ISERROR(F629),"",VLOOKUP(C629,INDIRECT($F$8),6+(O643-1)*3,0))</f>
        <v/>
      </c>
      <c r="B643" s="41" t="str">
        <f ca="1">IF(ISERROR(F629),"",VLOOKUP(D629,INDIRECT($F$8),6+(O643-1)*3-Z643,0))</f>
        <v/>
      </c>
      <c r="C643" s="41"/>
      <c r="D643" s="41"/>
      <c r="E643" s="41"/>
      <c r="F643" s="7" t="str">
        <f ca="1">IF(ISERROR(F629),"",VLOOKUP(E629,INDIRECT($F$8),6+(O643-1)*3,0))</f>
        <v/>
      </c>
      <c r="G643" s="42" t="str">
        <f ca="1">IF(ISERROR(F629),"",_xlfn.TEXTJOIN("/",FALSE,P643,S643))</f>
        <v/>
      </c>
      <c r="H643" s="42"/>
      <c r="I643" s="42" t="str">
        <f ca="1">IF(ISERROR(F629),"",_xlfn.TEXTJOIN("/",FALSE,Q643,T643))</f>
        <v/>
      </c>
      <c r="J643" s="42"/>
      <c r="K643" s="42" t="str">
        <f ca="1">IF(ISERROR(F629),"",_xlfn.TEXTJOIN("/",FALSE,R643,U643))</f>
        <v/>
      </c>
      <c r="L643" s="42"/>
      <c r="M643" s="7" t="str">
        <f ca="1">IF(ISERROR(F629),"",IF(ISTEXT(P643),IF(P643="A","Ab",IF(P643="D","Dt",IF(P643="UFM","UFM",IF(P643="NA","-")))),IF(AND(ISBLANK(P643),ISBLANK(R643)),"",IF(P643&lt;0.3*S643,"F",IF(ISBLANK(R643),"",IF(ISTEXT(R643),R643,IF(R643&gt;=0.95*U643,"O",IF(R643&gt;=0.9*U643,"A+",IF(R643&gt;=0.85*U643,"A",IF(R643&gt;=0.8*U643,"B+",IF(R643&gt;=0.75*U643,"B",IF(R643&gt;=0.7*U643,"C+",IF(R643&gt;=0.65*U643,"C",IF(R643&gt;=0.6*U643,"D+",IF(R643&gt;=0.55*U643,"D",IF(R643&gt;=0.5*U643,"E+",IF(R643&gt;=0.45*U643,"E",IF(R643&gt;=0.4*U643,"P",IF(R643&lt;0.4*U643,"F",R643)))))))))))))))))))</f>
        <v/>
      </c>
      <c r="N643" s="8" t="e">
        <f t="shared" ca="1" si="61"/>
        <v>#N/A</v>
      </c>
      <c r="O643">
        <f t="shared" si="62"/>
        <v>10</v>
      </c>
      <c r="P643" s="1" t="str">
        <f ca="1">IF(ISERROR(F629),"",IF(ISTEXT(VLOOKUP(B629,INDIRECT($F$8),6+(O643-1)*3)),(VLOOKUP(B629,INDIRECT($F$8),6+(O643-1)*3)),SUM(VLOOKUP(B629,INDIRECT($F$8),6+(O643-1)*3),IF(W648,W643,0))))</f>
        <v/>
      </c>
      <c r="Q643" s="1" t="str">
        <f ca="1">IF(ISERROR(F629),"",VLOOKUP(B629,INDIRECT($F$8),7+(O643-1)*3))</f>
        <v/>
      </c>
      <c r="R643" s="1" t="str">
        <f ca="1">IF(ISERROR(F629),"",SUM(P643:Q643))</f>
        <v/>
      </c>
      <c r="S643" s="1" t="str">
        <f ca="1">IF(ISERROR(F629),"",VLOOKUP(A629,INDIRECT($F$8),6+(O643-1)*3))</f>
        <v/>
      </c>
      <c r="T643" s="1" t="str">
        <f ca="1">IF(ISERROR(F629),"",VLOOKUP(A629,INDIRECT($F$8),7+(O643-1)*3))</f>
        <v/>
      </c>
      <c r="U643" s="1" t="str">
        <f ca="1">IF(ISERROR(F629),"",VLOOKUP(A629,INDIRECT($F$8),8+(O643-1)*3))</f>
        <v/>
      </c>
      <c r="V643" s="1" t="str">
        <f ca="1">IF(ISERROR(F629),"",IF(N643=0,A643,""))</f>
        <v/>
      </c>
      <c r="W643" s="1" t="str">
        <f ca="1">IF(ISERROR(F629),"",IF(ISTEXT(VLOOKUP(B629,INDIRECT($F$8),6+(O643-1)*3)),11,IF(VLOOKUP(B629,INDIRECT($F$8),6+(O643-1)*3)&lt;S643*0.3,IF(VLOOKUP(B629,INDIRECT($F$8),8+(O643-1)*3)&lt;U643*0.4,IF(AND(0.4*U643-VLOOKUP(B629,INDIRECT($F$8),8+(O643-1)*3)&lt;=5,0.3*S643-VLOOKUP(B629,INDIRECT($F$8),6+(O643-1)*3)&lt;=5),MAX(0.4*U643-VLOOKUP(B629,INDIRECT($F$8),8+(O643-1)*3),0.3*S643-VLOOKUP(B629,INDIRECT($F$8),6+(O643-1)*3)),11),IF(0.3*S643-VLOOKUP(B629,INDIRECT($F$8),6+(O643-1)*3)&lt;=5,0.3*S643-VLOOKUP(B629,INDIRECT($F$8),6+(O643-1)*3),11)),IF(VLOOKUP(B629,INDIRECT($F$8),8+(O643-1)*3)&lt;U643*0.4,IF(U643*0.4-VLOOKUP(B629,INDIRECT($F$8),8+(O643-1)*3)&lt;=5,U643*0.4-VLOOKUP(B629,INDIRECT($F$8),8+(O643-1)*3),11),0))))</f>
        <v/>
      </c>
      <c r="X643" s="1" t="str">
        <f ca="1">IF(ISERROR(F629),"",IF(W643=0,"",_xlfn.TEXTJOIN("",FALSE," G+",W643," in ",A643)))</f>
        <v/>
      </c>
    </row>
    <row r="644" spans="1:24" ht="11.25" customHeight="1" x14ac:dyDescent="0.2">
      <c r="A644" s="7" t="str">
        <f ca="1">IF(ISERROR(F629),"",VLOOKUP(C629,INDIRECT($F$8),6+(O644-1)*3,0))</f>
        <v/>
      </c>
      <c r="B644" s="41" t="str">
        <f ca="1">IF(ISERROR(F629),"",VLOOKUP(D629,INDIRECT($F$8),6+(O644-1)*3,0))</f>
        <v/>
      </c>
      <c r="C644" s="41"/>
      <c r="D644" s="41"/>
      <c r="E644" s="41"/>
      <c r="F644" s="7" t="str">
        <f ca="1">IF(ISERROR(F629),"",VLOOKUP(E629,INDIRECT($F$8),6+(O644-1)*3,0))</f>
        <v/>
      </c>
      <c r="G644" s="42" t="str">
        <f ca="1">IF(ISERROR(F629),"",_xlfn.TEXTJOIN("/",FALSE,P644,S644))</f>
        <v/>
      </c>
      <c r="H644" s="42"/>
      <c r="I644" s="42" t="str">
        <f ca="1">IF(ISERROR(F629),"",_xlfn.TEXTJOIN("/",FALSE,Q644,T644))</f>
        <v/>
      </c>
      <c r="J644" s="42"/>
      <c r="K644" s="42" t="str">
        <f ca="1">IF(ISERROR(F629),"",_xlfn.TEXTJOIN("/",FALSE,R644,U644))</f>
        <v/>
      </c>
      <c r="L644" s="42"/>
      <c r="M644" s="7" t="str">
        <f ca="1">IF(ISERROR(F629),"",IF(ISTEXT(P644),IF(P644="A","Ab",IF(P644="D","Dt",IF(P644="UFM","UFM",IF(P644="NA","-")))),IF(AND(ISBLANK(P644),ISBLANK(R644)),"",IF(P644&lt;0.3*S644,"F",IF(ISBLANK(R644),"",IF(ISTEXT(R644),R644,IF(R644&gt;=0.95*U644,"O",IF(R644&gt;=0.9*U644,"A+",IF(R644&gt;=0.85*U644,"A",IF(R644&gt;=0.8*U644,"B+",IF(R644&gt;=0.75*U644,"B",IF(R644&gt;=0.7*U644,"C+",IF(R644&gt;=0.65*U644,"C",IF(R644&gt;=0.6*U644,"D+",IF(R644&gt;=0.55*U644,"D",IF(R644&gt;=0.5*U644,"E+",IF(R644&gt;=0.45*U644,"E",IF(R644&gt;=0.4*U644,"P",IF(R644&lt;0.4*U644,"F",R644)))))))))))))))))))</f>
        <v/>
      </c>
      <c r="N644" s="8" t="e">
        <f t="shared" ca="1" si="61"/>
        <v>#N/A</v>
      </c>
      <c r="O644">
        <f t="shared" si="62"/>
        <v>11</v>
      </c>
      <c r="P644" s="1" t="str">
        <f ca="1">IF(ISERROR(F629),"",IF(ISTEXT(VLOOKUP(B629,INDIRECT($F$8),6+(O644-1)*3)),(VLOOKUP(B629,INDIRECT($F$8),6+(O644-1)*3)),SUM(VLOOKUP(B629,INDIRECT($F$8),6+(O644-1)*3),IF(W648,W644,0))))</f>
        <v/>
      </c>
      <c r="Q644" s="1" t="str">
        <f ca="1">IF(ISERROR(F629),"",VLOOKUP(B629,INDIRECT($F$8),7+(O644-1)*3))</f>
        <v/>
      </c>
      <c r="R644" s="1" t="str">
        <f ca="1">IF(ISERROR(F629),"",SUM(P644:Q644))</f>
        <v/>
      </c>
      <c r="S644" s="1" t="str">
        <f ca="1">IF(ISERROR(F629),"",VLOOKUP(A629,INDIRECT($F$8),6+(O644-1)*3))</f>
        <v/>
      </c>
      <c r="T644" s="1" t="str">
        <f ca="1">IF(ISERROR(F629),"",VLOOKUP(A629,INDIRECT($F$8),7+(O644-1)*3))</f>
        <v/>
      </c>
      <c r="U644" s="1" t="str">
        <f ca="1">IF(ISERROR(F629),"",VLOOKUP(A629,INDIRECT($F$8),8+(O644-1)*3))</f>
        <v/>
      </c>
      <c r="V644" s="1" t="str">
        <f ca="1">IF(ISERROR(F629),"",IF(N644=0,A644,""))</f>
        <v/>
      </c>
      <c r="W644" s="1" t="str">
        <f ca="1">IF(ISERROR(F629),"",IF(ISTEXT(VLOOKUP(B629,INDIRECT($F$8),6+(O644-1)*3)),11,IF(VLOOKUP(B629,INDIRECT($F$8),6+(O644-1)*3)&lt;S644*0.3,IF(VLOOKUP(B629,INDIRECT($F$8),8+(O644-1)*3)&lt;U644*0.4,IF(AND(0.4*U644-VLOOKUP(B629,INDIRECT($F$8),8+(O644-1)*3)&lt;=5,0.3*S644-VLOOKUP(B629,INDIRECT($F$8),6+(O644-1)*3)&lt;=5),MAX(0.4*U644-VLOOKUP(B629,INDIRECT($F$8),8+(O644-1)*3),0.3*S644-VLOOKUP(B629,INDIRECT($F$8),6+(O644-1)*3)),11),IF(0.3*S644-VLOOKUP(B629,INDIRECT($F$8),6+(O644-1)*3)&lt;=5,0.3*S644-VLOOKUP(B629,INDIRECT($F$8),6+(O644-1)*3),11)),IF(VLOOKUP(B629,INDIRECT($F$8),8+(O644-1)*3)&lt;U644*0.4,IF(U644*0.4-VLOOKUP(B629,INDIRECT($F$8),8+(O644-1)*3)&lt;=5,U644*0.4-VLOOKUP(B629,INDIRECT($F$8),8+(O644-1)*3),11),0))))</f>
        <v/>
      </c>
      <c r="X644" s="1" t="str">
        <f ca="1">IF(ISERROR(F629),"",IF(W644=0,"",_xlfn.TEXTJOIN("",FALSE," G+",W644," in ",A644)))</f>
        <v/>
      </c>
    </row>
    <row r="645" spans="1:24" ht="11.25" customHeight="1" x14ac:dyDescent="0.2">
      <c r="A645" s="7" t="str">
        <f ca="1">IF(ISERROR(F629),"",VLOOKUP(C629,INDIRECT($F$8),6+(O645-1)*3,0))</f>
        <v/>
      </c>
      <c r="B645" s="41" t="str">
        <f ca="1">IF(ISERROR(F629),"",VLOOKUP(D629,INDIRECT($F$8),6+(O645-1)*3,0))</f>
        <v/>
      </c>
      <c r="C645" s="41"/>
      <c r="D645" s="41"/>
      <c r="E645" s="41"/>
      <c r="F645" s="7" t="str">
        <f ca="1">IF(ISERROR(F629),"",VLOOKUP(E629,INDIRECT($F$8),6+(O645-1)*3,0))</f>
        <v/>
      </c>
      <c r="G645" s="42" t="str">
        <f ca="1">IF(ISERROR(F629),"",_xlfn.TEXTJOIN("/",FALSE,P645,S645))</f>
        <v/>
      </c>
      <c r="H645" s="42"/>
      <c r="I645" s="42" t="str">
        <f ca="1">IF(ISERROR(F629),"",_xlfn.TEXTJOIN("/",FALSE,Q645,T645))</f>
        <v/>
      </c>
      <c r="J645" s="42"/>
      <c r="K645" s="42" t="str">
        <f ca="1">IF(ISERROR(F629),"",_xlfn.TEXTJOIN("/",FALSE,R645,U645))</f>
        <v/>
      </c>
      <c r="L645" s="42"/>
      <c r="M645" s="7" t="str">
        <f ca="1">IF(ISERROR(F629),"",IF(ISTEXT(P645),IF(P645="A","Ab",IF(P645="D","Dt",IF(P645="UFM","UFM",IF(P645="NA","-")))),IF(AND(ISBLANK(P645),ISBLANK(R645)),"",IF(P645&lt;0.3*S645,"F",IF(ISBLANK(R645),"",IF(ISTEXT(R645),R645,IF(R645&gt;=0.95*U645,"O",IF(R645&gt;=0.9*U645,"A+",IF(R645&gt;=0.85*U645,"A",IF(R645&gt;=0.8*U645,"B+",IF(R645&gt;=0.75*U645,"B",IF(R645&gt;=0.7*U645,"C+",IF(R645&gt;=0.65*U645,"C",IF(R645&gt;=0.6*U645,"D+",IF(R645&gt;=0.55*U645,"D",IF(R645&gt;=0.5*U645,"E+",IF(R645&gt;=0.45*U645,"E",IF(R645&gt;=0.4*U645,"P",IF(R645&lt;0.4*U645,"F",R645)))))))))))))))))))</f>
        <v/>
      </c>
      <c r="N645" s="8" t="e">
        <f t="shared" ca="1" si="61"/>
        <v>#N/A</v>
      </c>
      <c r="O645">
        <f t="shared" si="62"/>
        <v>12</v>
      </c>
      <c r="P645" s="1" t="str">
        <f ca="1">IF(ISERROR(F629),"",IF(ISTEXT(VLOOKUP(B629,INDIRECT($F$8),6+(O645-1)*3)),(VLOOKUP(B629,INDIRECT($F$8),6+(O645-1)*3)),SUM(VLOOKUP(B629,INDIRECT($F$8),6+(O645-1)*3),IF(W648,W645,0))))</f>
        <v/>
      </c>
      <c r="Q645" s="1" t="str">
        <f ca="1">IF(ISERROR(F629),"",VLOOKUP(B629,INDIRECT($F$8),7+(O645-1)*3))</f>
        <v/>
      </c>
      <c r="R645" s="1" t="str">
        <f ca="1">IF(ISERROR(F629),"",SUM(P645:Q645))</f>
        <v/>
      </c>
      <c r="S645" s="1" t="str">
        <f ca="1">IF(ISERROR(F629),"",VLOOKUP(A629,INDIRECT($F$8),6+(O645-1)*3))</f>
        <v/>
      </c>
      <c r="T645" s="1" t="str">
        <f ca="1">IF(ISERROR(F629),"",VLOOKUP(A629,INDIRECT($F$8),7+(O645-1)*3))</f>
        <v/>
      </c>
      <c r="U645" s="1" t="str">
        <f ca="1">IF(ISERROR(F629),"",VLOOKUP(A629,INDIRECT($F$8),8+(O645-1)*3))</f>
        <v/>
      </c>
      <c r="V645" s="1" t="str">
        <f ca="1">IF(ISERROR(F629),"",IF(N645=0,A645,""))</f>
        <v/>
      </c>
      <c r="W645" s="1" t="str">
        <f ca="1">IF(ISERROR(F629),"",IF(ISTEXT(VLOOKUP(B629,INDIRECT($F$8),6+(O645-1)*3)),11,IF(VLOOKUP(B629,INDIRECT($F$8),6+(O645-1)*3)&lt;S645*0.3,IF(VLOOKUP(B629,INDIRECT($F$8),8+(O645-1)*3)&lt;U645*0.4,IF(AND(0.4*U645-VLOOKUP(B629,INDIRECT($F$8),8+(O645-1)*3)&lt;=5,0.3*S645-VLOOKUP(B629,INDIRECT($F$8),6+(O645-1)*3)&lt;=5),MAX(0.4*U645-VLOOKUP(B629,INDIRECT($F$8),8+(O645-1)*3),0.3*S645-VLOOKUP(B629,INDIRECT($F$8),6+(O645-1)*3)),11),IF(0.3*S645-VLOOKUP(B629,INDIRECT($F$8),6+(O645-1)*3)&lt;=5,0.3*S645-VLOOKUP(B629,INDIRECT($F$8),6+(O645-1)*3),11)),IF(VLOOKUP(B629,INDIRECT($F$8),8+(O645-1)*3)&lt;U645*0.4,IF(U645*0.4-VLOOKUP(B629,INDIRECT($F$8),8+(O645-1)*3)&lt;=5,U645*0.4-VLOOKUP(B629,INDIRECT($F$8),8+(O645-1)*3),11),0))))</f>
        <v/>
      </c>
      <c r="X645" s="1" t="str">
        <f ca="1">IF(ISERROR(F629),"",IF(W645=0,"",_xlfn.TEXTJOIN("",FALSE," G+",W645," in ",A645)))</f>
        <v/>
      </c>
    </row>
    <row r="646" spans="1:24" ht="11.25" customHeight="1" x14ac:dyDescent="0.2">
      <c r="A646" s="7" t="str">
        <f ca="1">IF(ISERROR(F629),"",VLOOKUP(C629,INDIRECT($F$8),6+(O646-1)*3,0))</f>
        <v/>
      </c>
      <c r="B646" s="41" t="str">
        <f ca="1">IF(ISERROR(F629),"",VLOOKUP(D629,INDIRECT($F$8),6+(O646-1)*3,0))</f>
        <v/>
      </c>
      <c r="C646" s="41"/>
      <c r="D646" s="41"/>
      <c r="E646" s="41"/>
      <c r="F646" s="7" t="str">
        <f ca="1">IF(ISERROR(F629),"",VLOOKUP(E629,INDIRECT($F$8),6+(O646-1)*3,0))</f>
        <v/>
      </c>
      <c r="G646" s="42" t="str">
        <f ca="1">IF(ISERROR(F629),"",_xlfn.TEXTJOIN("/",FALSE,P646,S646))</f>
        <v/>
      </c>
      <c r="H646" s="42"/>
      <c r="I646" s="42" t="str">
        <f ca="1">IF(ISERROR(F629),"",_xlfn.TEXTJOIN("/",FALSE,Q646,T646))</f>
        <v/>
      </c>
      <c r="J646" s="42"/>
      <c r="K646" s="42" t="str">
        <f ca="1">IF(ISERROR(F629),"",_xlfn.TEXTJOIN("/",FALSE,R646,U646))</f>
        <v/>
      </c>
      <c r="L646" s="42"/>
      <c r="M646" s="7" t="str">
        <f ca="1">IF(ISERROR(F629),"",IF(ISTEXT(P646),IF(P646="A","Ab",IF(P646="D","Dt",IF(P646="UFM","UFM",IF(P646="NA","-")))),IF(AND(ISBLANK(P646),ISBLANK(R646)),"",IF(P646&lt;0.3*S646,"F",IF(ISBLANK(R646),"",IF(ISTEXT(R646),R646,IF(R646&gt;=0.95*U646,"O",IF(R646&gt;=0.9*U646,"A+",IF(R646&gt;=0.85*U646,"A",IF(R646&gt;=0.8*U646,"B+",IF(R646&gt;=0.75*U646,"B",IF(R646&gt;=0.7*U646,"C+",IF(R646&gt;=0.65*U646,"C",IF(R646&gt;=0.6*U646,"D+",IF(R646&gt;=0.55*U646,"D",IF(R646&gt;=0.5*U646,"E+",IF(R646&gt;=0.45*U646,"E",IF(R646&gt;=0.4*U646,"P",IF(R646&lt;0.4*U646,"F",R646)))))))))))))))))))</f>
        <v/>
      </c>
      <c r="N646" s="8" t="e">
        <f t="shared" ca="1" si="61"/>
        <v>#N/A</v>
      </c>
      <c r="O646">
        <f t="shared" si="62"/>
        <v>13</v>
      </c>
      <c r="P646" s="1" t="str">
        <f ca="1">IF(ISERROR(F629),"",IF(ISTEXT(VLOOKUP(B629,INDIRECT($F$8),6+(O646-1)*3)),(VLOOKUP(B629,INDIRECT($F$8),6+(O646-1)*3)),SUM(VLOOKUP(B629,INDIRECT($F$8),6+(O646-1)*3),IF(W648,W646,0))))</f>
        <v/>
      </c>
      <c r="Q646" s="1" t="str">
        <f ca="1">IF(ISERROR(F629),"",VLOOKUP(B629,INDIRECT($F$8),7+(O646-1)*3))</f>
        <v/>
      </c>
      <c r="R646" s="1" t="str">
        <f ca="1">IF(ISERROR(F629),"",SUM(P646:Q646))</f>
        <v/>
      </c>
      <c r="S646" s="1" t="str">
        <f ca="1">IF(ISERROR(F629),"",VLOOKUP(A629,INDIRECT($F$8),6+(O646-1)*3))</f>
        <v/>
      </c>
      <c r="T646" s="1" t="str">
        <f ca="1">IF(ISERROR(F629),"",VLOOKUP(A629,INDIRECT($F$8),7+(O646-1)*3))</f>
        <v/>
      </c>
      <c r="U646" s="1" t="str">
        <f ca="1">IF(ISERROR(F629),"",VLOOKUP(A629,INDIRECT($F$8),8+(O646-1)*3))</f>
        <v/>
      </c>
      <c r="V646" s="1"/>
      <c r="W646" s="1" t="str">
        <f ca="1">IF(ISERROR(F629),"",IF(ISTEXT(VLOOKUP(B629,INDIRECT($F$8),6+(O646-1)*3)),11,IF(VLOOKUP(B629,INDIRECT($F$8),6+(O646-1)*3)&lt;S646*0.3,IF(VLOOKUP(B629,INDIRECT($F$8),8+(O646-1)*3)&lt;U646*0.4,IF(AND(0.4*U646-VLOOKUP(B629,INDIRECT($F$8),8+(O646-1)*3)&lt;=5,0.3*S646-VLOOKUP(B629,INDIRECT($F$8),6+(O646-1)*3)&lt;=5),MAX(0.4*U646-VLOOKUP(B629,INDIRECT($F$8),8+(O646-1)*3),0.3*S646-VLOOKUP(B629,INDIRECT($F$8),6+(O646-1)*3)),11),IF(0.3*S646-VLOOKUP(B629,INDIRECT($F$8),6+(O646-1)*3)&lt;=5,0.3*S646-VLOOKUP(B629,INDIRECT($F$8),6+(O646-1)*3),11)),IF(VLOOKUP(B629,INDIRECT($F$8),8+(O646-1)*3)&lt;U646*0.4,IF(U646*0.4-VLOOKUP(B629,INDIRECT($F$8),8+(O646-1)*3)&lt;=5,U646*0.4-VLOOKUP(B629,INDIRECT($F$8),8+(O646-1)*3),11),0))))</f>
        <v/>
      </c>
      <c r="X646" s="1" t="str">
        <f ca="1">IF(ISERROR(F629),"",IF(W646=0,"",_xlfn.TEXTJOIN("",FALSE," G+",W646," in ",A646)))</f>
        <v/>
      </c>
    </row>
    <row r="647" spans="1:24" s="32" customFormat="1" ht="11.25" customHeight="1" x14ac:dyDescent="0.2">
      <c r="A647" s="31" t="str">
        <f ca="1">IF(ISERROR(F629),"",VLOOKUP(C629,INDIRECT($F$8),6+(O647-1)*3-Y647,0))</f>
        <v/>
      </c>
      <c r="B647" s="49" t="str">
        <f ca="1">IF(ISERROR(F629),"",VLOOKUP(D629,INDIRECT($F$8),6+(O647-1)*3-Z647,0))</f>
        <v/>
      </c>
      <c r="C647" s="49"/>
      <c r="D647" s="49"/>
      <c r="E647" s="49"/>
      <c r="F647" s="31" t="str">
        <f ca="1">IF(ISERROR(F629),"",VLOOKUP(E629,INDIRECT($F$8),6+(O647-1)*3-AA647,0))</f>
        <v/>
      </c>
      <c r="G647" s="50" t="str">
        <f ca="1">IF(ISERROR(F629),"","-")</f>
        <v/>
      </c>
      <c r="H647" s="50"/>
      <c r="I647" s="50" t="str">
        <f ca="1">IF(ISERROR(F629),"",_xlfn.TEXTJOIN("/",FALSE,Q647,T647))</f>
        <v/>
      </c>
      <c r="J647" s="50"/>
      <c r="K647" s="50" t="str">
        <f ca="1">IF(ISERROR(F629),"",_xlfn.TEXTJOIN("/",FALSE,R647,U647))</f>
        <v/>
      </c>
      <c r="L647" s="50"/>
      <c r="M647" s="7" t="b">
        <f ca="1">IF(ISERROR(F630),"",IF(ISTEXT(P647),IF(P647="A","Ab",IF(P647="D","Dt",IF(P647="UFM","UFM",IF(P647="NA","")))),IF(AND(ISBLANK(P647),ISBLANK(R647)),"",IF(P647&lt;0.3*S647,"F",IF(ISBLANK(R647),"",IF(ISTEXT(R647),R647,IF(R647&gt;=0.95*U647,"O",IF(R647&gt;=0.9*U647,"A+",IF(R647&gt;=0.85*U647,"A",IF(R647&gt;=0.8*U647,"B+",IF(R647&gt;=0.75*U647,"B",IF(R647&gt;=0.7*U647,"C+",IF(R647&gt;=0.65*U647,"C",IF(R647&gt;=0.6*U647,"D+",IF(R647&gt;=0.55*U647,"D",IF(R647&gt;=0.5*U647,"E+",IF(R647&gt;=0.45*U647,"E",IF(R647&gt;=0.4*U647,"P",IF(R647&lt;0.4*U647,"F",R647)))))))))))))))))))</f>
        <v>0</v>
      </c>
      <c r="N647" s="8" t="e">
        <f t="shared" ref="N636:N647" ca="1" si="63">INDEX($Z$2:$Z$18,MATCH(M647,$Y$2:$Y$18,0))</f>
        <v>#N/A</v>
      </c>
      <c r="O647" s="32">
        <f t="shared" si="62"/>
        <v>14</v>
      </c>
      <c r="P647" s="33" t="str">
        <f ca="1">IF(ISERROR(F629),"",IF(ISTEXT(VLOOKUP(B\28,INDIRECT($F$8),6+(O647-1)*3)),(VLOOKUP(B629,INDIRECT($F$8),6+(O647-1)*3)),SUM(VLOOKUP(B629,INDIRECT($F$8),6+(O647-1)*3),IF(W648,W647,0))))</f>
        <v/>
      </c>
      <c r="Q647" s="33" t="str">
        <f ca="1">IF(ISERROR(F629),"",VLOOKUP(B629,INDIRECT($F$8),7+(O647-1)*3))</f>
        <v/>
      </c>
      <c r="R647" s="33" t="str">
        <f ca="1">IF(ISERROR(F629),"",SUM(P647:Q647))</f>
        <v/>
      </c>
      <c r="S647" s="33" t="str">
        <f ca="1">IF(ISERROR(F629),"",VLOOKUP(A629,INDIRECT($F$8),6+(O647-1)*3))</f>
        <v/>
      </c>
      <c r="T647" s="33" t="str">
        <f ca="1">IF(ISERROR(F629),"",VLOOKUP(A629,INDIRECT($F$8),7+(O647-1)*3))</f>
        <v/>
      </c>
      <c r="U647" s="33" t="str">
        <f ca="1">IF(ISERROR(F629),"",VLOOKUP(A629,INDIRECT($F$8),8+(O647-1)*3))</f>
        <v/>
      </c>
      <c r="V647" s="33"/>
      <c r="W647" s="33"/>
      <c r="X647" s="33" t="str">
        <f ca="1">IF(ISERROR(F629),"",IF(W647=0,"",_xlfn.TEXTJOIN("",FALSE," G+",W647," in ",A647)))</f>
        <v/>
      </c>
    </row>
    <row r="648" spans="1:24" ht="11.25" customHeight="1" x14ac:dyDescent="0.2">
      <c r="A648" s="43" t="str">
        <f ca="1">IF(ISERROR(F629),"",A625)</f>
        <v/>
      </c>
      <c r="B648" s="43"/>
      <c r="C648" s="43"/>
      <c r="D648" s="43"/>
      <c r="E648" s="43"/>
      <c r="F648" s="10" t="str">
        <f ca="1">IF(ISERROR(F629),"",SUM(F634:F647))</f>
        <v/>
      </c>
      <c r="G648" s="44" t="str">
        <f ca="1">IF(ISERROR(F629),"",_xlfn.TEXTJOIN("/",TRUE,SUMIF(F634:F647,"&gt;0",P634:P647),SUMIF(F634:F647,"&gt;0",S634:S647)))</f>
        <v/>
      </c>
      <c r="H648" s="44"/>
      <c r="I648" s="44" t="str">
        <f ca="1">IF(ISERROR(F629),"",_xlfn.TEXTJOIN("/",TRUE,SUMIF(F634:F647,"&gt;0",Q634:Q647),SUMIF(F634:F647,"&gt;0",T634:T647)))</f>
        <v/>
      </c>
      <c r="J648" s="44"/>
      <c r="K648" s="44" t="str">
        <f ca="1">IF(ISERROR(F629),"",_xlfn.TEXTJOIN("/",TRUE,SUMIF(F634:F647,"&gt;0",R634:R647),SUMIF(F634:F647,"&gt;0",U634:U647)))</f>
        <v/>
      </c>
      <c r="L648" s="44"/>
      <c r="M648" s="43" t="str">
        <f ca="1">IF(ISERROR(F629),"",SUMPRODUCT(N634:N646,F634:F646))</f>
        <v/>
      </c>
      <c r="N648" s="43"/>
      <c r="V648" s="1" t="str">
        <f ca="1">IF(ISERROR(F629),"",_xlfn.TEXTJOIN(", ",TRUE,V634:V647))</f>
        <v/>
      </c>
      <c r="W648" t="str">
        <f ca="1">IF(ISERROR(F629),"",IF(SUM(W634:W647)&lt;=W633,TRUE,FALSE))</f>
        <v/>
      </c>
      <c r="X648" s="1" t="str">
        <f ca="1">_xlfn.TEXTJOIN(",",TRUE,X634:X647)</f>
        <v/>
      </c>
    </row>
    <row r="649" spans="1:24" ht="11.25" customHeight="1" x14ac:dyDescent="0.2">
      <c r="A649" s="43" t="str">
        <f ca="1">IF(ISERROR(F629),"",A626)</f>
        <v/>
      </c>
      <c r="B649" s="45" t="str">
        <f ca="1">IF(ISERROR(F629),"",IF(V648="","PASS","CARRY OVER"))</f>
        <v/>
      </c>
      <c r="C649" s="45"/>
      <c r="D649" s="43" t="str">
        <f ca="1">IF(ISERROR(F629),"",D626)</f>
        <v/>
      </c>
      <c r="E649" s="45" t="str">
        <f ca="1">IF(ISERROR(F629),"",IF(W648,X648,IF(V648="","",_xlfn.TEXTJOIN("",TRUE,"BACK IN ",V648))))</f>
        <v/>
      </c>
      <c r="F649" s="45"/>
      <c r="G649" s="43" t="str">
        <f ca="1">IF(ISERROR(F629),"",G626)</f>
        <v/>
      </c>
      <c r="H649" s="46" t="str">
        <f ca="1">IF(ISERROR(F629),"",M648/F648)</f>
        <v/>
      </c>
      <c r="I649" s="43" t="str">
        <f ca="1">IF(ISERROR(F629),"",I626)</f>
        <v/>
      </c>
      <c r="J649" s="46" t="str">
        <f ca="1">IF(ISERROR(F629),"",VLOOKUP(B629,INDIRECT($F$8),12+(O647-1)*3,0))</f>
        <v/>
      </c>
      <c r="K649" s="45" t="str">
        <f ca="1">IF(ISERROR(F629),"",K626)</f>
        <v/>
      </c>
      <c r="L649" s="43" t="str">
        <f ca="1">IF(ISERROR(F629),"",SUMIF(N634:N646,"&gt;0",F634:F646))</f>
        <v/>
      </c>
      <c r="M649" s="45" t="str">
        <f ca="1">IF(ISERROR(F629),"",M626)</f>
        <v/>
      </c>
      <c r="N649" s="43" t="str">
        <f ca="1">IF(ISERROR(F629),"",VLOOKUP(B629,INDIRECT($F$8),10+(O647-1)*3,0))</f>
        <v/>
      </c>
    </row>
    <row r="650" spans="1:24" ht="11.25" customHeight="1" x14ac:dyDescent="0.2">
      <c r="A650" s="43"/>
      <c r="B650" s="45"/>
      <c r="C650" s="45"/>
      <c r="D650" s="43"/>
      <c r="E650" s="45"/>
      <c r="F650" s="45"/>
      <c r="G650" s="43"/>
      <c r="H650" s="46"/>
      <c r="I650" s="43"/>
      <c r="J650" s="46"/>
      <c r="K650" s="45"/>
      <c r="L650" s="43"/>
      <c r="M650" s="45"/>
      <c r="N650" s="43"/>
    </row>
    <row r="651" spans="1:24" ht="11.25" customHeight="1" x14ac:dyDescent="0.2">
      <c r="A651" s="43"/>
      <c r="B651" s="45"/>
      <c r="C651" s="45"/>
      <c r="D651" s="43"/>
      <c r="E651" s="45"/>
      <c r="F651" s="45"/>
      <c r="G651" s="43"/>
      <c r="H651" s="46"/>
      <c r="I651" s="43"/>
      <c r="J651" s="46"/>
      <c r="K651" s="45"/>
      <c r="L651" s="43"/>
      <c r="M651" s="45"/>
      <c r="N651" s="43"/>
    </row>
    <row r="652" spans="1:24" ht="11.25" customHeight="1" x14ac:dyDescent="0.2">
      <c r="A652" s="11" t="str">
        <f>A629</f>
        <v>MM</v>
      </c>
      <c r="B652" s="11">
        <f>B629+1</f>
        <v>29</v>
      </c>
      <c r="C652" s="11" t="str">
        <f>C629</f>
        <v>SC</v>
      </c>
      <c r="D652" s="11" t="str">
        <f>D629</f>
        <v>SN</v>
      </c>
      <c r="E652" s="11" t="str">
        <f>E629</f>
        <v>C</v>
      </c>
      <c r="F652" s="11" t="e">
        <f ca="1">VLOOKUP(B652,INDIRECT($F$8),4,0)</f>
        <v>#N/A</v>
      </c>
    </row>
    <row r="653" spans="1:24" ht="11.25" customHeight="1" x14ac:dyDescent="0.2">
      <c r="A653" s="47" t="str">
        <f ca="1">IF(ISERROR(F652),"",A630)</f>
        <v/>
      </c>
      <c r="B653" s="47" t="str">
        <f ca="1">IFERROR(VLOOKUP(B652,INDIRECT($F$8),4,0),"")</f>
        <v/>
      </c>
      <c r="C653" s="47"/>
      <c r="D653" s="47" t="str">
        <f ca="1">IF(ISERROR(F652),"",D630)</f>
        <v/>
      </c>
      <c r="E653" s="47" t="str">
        <f ca="1">IFERROR(VLOOKUP(B652,INDIRECT($F$8),5,0),"")</f>
        <v/>
      </c>
      <c r="F653" s="47"/>
      <c r="G653" s="47" t="str">
        <f ca="1">IF(ISERROR(F652),"",G630)</f>
        <v/>
      </c>
      <c r="H653" s="47"/>
      <c r="I653" s="48" t="str">
        <f ca="1">IFERROR(VLOOKUP(B652,INDIRECT($F$8),2,0),"")</f>
        <v/>
      </c>
      <c r="J653" s="48"/>
      <c r="K653" s="47" t="str">
        <f ca="1">IF(ISERROR(F652),"",K630)</f>
        <v/>
      </c>
      <c r="L653" s="47"/>
      <c r="M653" s="48" t="str">
        <f ca="1">IFERROR(VLOOKUP(B652,INDIRECT($F$8),3,0),"")</f>
        <v/>
      </c>
      <c r="N653" s="48"/>
    </row>
    <row r="654" spans="1:24" ht="11.25" customHeight="1" x14ac:dyDescent="0.2">
      <c r="A654" s="47"/>
      <c r="B654" s="47"/>
      <c r="C654" s="47"/>
      <c r="D654" s="47"/>
      <c r="E654" s="47"/>
      <c r="F654" s="47"/>
      <c r="G654" s="47"/>
      <c r="H654" s="47"/>
      <c r="I654" s="48"/>
      <c r="J654" s="48"/>
      <c r="K654" s="47"/>
      <c r="L654" s="47"/>
      <c r="M654" s="48"/>
      <c r="N654" s="48"/>
    </row>
    <row r="655" spans="1:24" ht="11.25" customHeight="1" x14ac:dyDescent="0.2">
      <c r="A655" s="45" t="str">
        <f ca="1">IF(ISERROR(F652),"",A632)</f>
        <v/>
      </c>
      <c r="B655" s="45" t="str">
        <f ca="1">IF(ISERROR(F652),"",B632)</f>
        <v/>
      </c>
      <c r="C655" s="45"/>
      <c r="D655" s="45"/>
      <c r="E655" s="45"/>
      <c r="F655" s="45" t="str">
        <f ca="1">IF(ISERROR(F652),"",F632)</f>
        <v/>
      </c>
      <c r="G655" s="45" t="str">
        <f ca="1">IF(ISERROR(F652),"",G632)</f>
        <v/>
      </c>
      <c r="H655" s="45"/>
      <c r="I655" s="45" t="str">
        <f ca="1">IF(ISERROR(F652),"",I632)</f>
        <v/>
      </c>
      <c r="J655" s="45"/>
      <c r="K655" s="45" t="str">
        <f ca="1">IF(ISERROR(F652),"",K632)</f>
        <v/>
      </c>
      <c r="L655" s="45"/>
      <c r="M655" s="45" t="str">
        <f ca="1">IF(ISERROR(F652),"",M632)</f>
        <v/>
      </c>
      <c r="N655" s="45" t="str">
        <f ca="1">IF(ISERROR(F652),"",N632)</f>
        <v/>
      </c>
    </row>
    <row r="656" spans="1:24" ht="11.25" customHeight="1" x14ac:dyDescent="0.2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W656">
        <f ca="1">IF(ISNUMBER(MATCH($F$8,{"I","III","V","VII"},0)),10,10-INDEX(INDIRECT(_xlfn.TEXTJOIN("",TRUE,"SEM_",$G$8,"!",ADDRESS(6,4+$I$8*3+4),":",ADDRESS(5+$H$8,4+$I$8*3+4))),MATCH(INDIRECT(_xlfn.TEXTJOIN("",TRUE,"TC_",$F$8,"!",ADDRESS(ROW(I653),COLUMN(I653)))),INDIRECT(_xlfn.TEXTJOIN("",TRUE,"SEM_",$G$8,"!",ADDRESS(6,2),":",ADDRESS(5+$H$8,2))))))</f>
        <v>10</v>
      </c>
    </row>
    <row r="657" spans="1:24" ht="11.25" customHeight="1" x14ac:dyDescent="0.2">
      <c r="A657" s="7" t="str">
        <f ca="1">IF(ISERROR(F652),"",VLOOKUP(C652,INDIRECT($F$8),6+(O657-1)*3,0))</f>
        <v/>
      </c>
      <c r="B657" s="41" t="str">
        <f ca="1">IF(ISERROR(F652),"",VLOOKUP(D652,INDIRECT($F$8),6+(O657-1)*3,0))</f>
        <v/>
      </c>
      <c r="C657" s="41"/>
      <c r="D657" s="41"/>
      <c r="E657" s="41"/>
      <c r="F657" s="7" t="str">
        <f ca="1">IF(ISERROR(F652),"",VLOOKUP(E652,INDIRECT($F$8),6+(O657-1)*3,0))</f>
        <v/>
      </c>
      <c r="G657" s="42" t="str">
        <f ca="1">IF(ISERROR(F652),"",_xlfn.TEXTJOIN("/",FALSE,P657,S657))</f>
        <v/>
      </c>
      <c r="H657" s="42"/>
      <c r="I657" s="42" t="str">
        <f ca="1">IF(ISERROR(F652),"",_xlfn.TEXTJOIN("/",FALSE,Q657,T657))</f>
        <v/>
      </c>
      <c r="J657" s="42"/>
      <c r="K657" s="42" t="str">
        <f ca="1">IF(ISERROR(F652),"",_xlfn.TEXTJOIN("/",FALSE,R657,U657))</f>
        <v/>
      </c>
      <c r="L657" s="42"/>
      <c r="M657" s="7" t="str">
        <f ca="1">IF(ISERROR(F652),"",IF(ISTEXT(P657),IF(P657="A","Ab",IF(P657="D","Dt",IF(P657="UFM","UFM",IF(P657="NA","-")))),IF(AND(ISBLANK(P657),ISBLANK(R657)),"",IF(P657&lt;0.3*S657,"F",IF(ISBLANK(R657),"",IF(ISTEXT(R657),R657,IF(R657&gt;=0.95*U657,"O",IF(R657&gt;=0.9*U657,"A+",IF(R657&gt;=0.85*U657,"A",IF(R657&gt;=0.8*U657,"B+",IF(R657&gt;=0.75*U657,"B",IF(R657&gt;=0.7*U657,"C+",IF(R657&gt;=0.65*U657,"C",IF(R657&gt;=0.6*U657,"D+",IF(R657&gt;=0.55*U657,"D",IF(R657&gt;=0.5*U657,"E+",IF(R657&gt;=0.45*U657,"E",IF(R657&gt;=0.4*U657,"P",IF(R657&lt;0.4*U657,"F",R657)))))))))))))))))))</f>
        <v/>
      </c>
      <c r="N657" s="8" t="e">
        <f ca="1">INDEX($Z$2:$Z$18,MATCH(M657,$Y$2:$Y$18,0))</f>
        <v>#N/A</v>
      </c>
      <c r="O657">
        <v>1</v>
      </c>
      <c r="P657" s="1" t="str">
        <f ca="1">IF(ISERROR(F652),"",IF(ISTEXT(VLOOKUP(B652,INDIRECT($F$8),6+(O657-1)*3)),(VLOOKUP(B652,INDIRECT($F$8),6+(O657-1)*3)),SUM(VLOOKUP(B652,INDIRECT($F$8),6+(O657-1)*3),IF(W671,W657,0))))</f>
        <v/>
      </c>
      <c r="Q657" s="1" t="str">
        <f ca="1">IF(ISERROR(F652),"",VLOOKUP(B652,INDIRECT($F$8),7+(O657-1)*3))</f>
        <v/>
      </c>
      <c r="R657" s="1" t="str">
        <f ca="1">IF(ISERROR(F652),"",SUM(P657:Q657))</f>
        <v/>
      </c>
      <c r="S657" s="1" t="str">
        <f ca="1">IF(ISERROR(F652),"",VLOOKUP(A652,INDIRECT($F$8),6+(O657-1)*3))</f>
        <v/>
      </c>
      <c r="T657" s="1" t="str">
        <f ca="1">IF(ISERROR(F652),"",VLOOKUP(A652,INDIRECT($F$8),7+(O657-1)*3))</f>
        <v/>
      </c>
      <c r="U657" s="1" t="str">
        <f ca="1">IF(ISERROR(F652),"",VLOOKUP(A652,INDIRECT($F$8),8+(O657-1)*3))</f>
        <v/>
      </c>
      <c r="V657" s="1" t="str">
        <f ca="1">IF(ISERROR(F652),"",IF(N657=0,A657,""))</f>
        <v/>
      </c>
      <c r="W657" s="1" t="str">
        <f ca="1">IF(ISERROR(F652),"",IF(ISTEXT(VLOOKUP(B652,INDIRECT($F$8),6+(O657-1)*3)),11,IF(VLOOKUP(B652,INDIRECT($F$8),6+(O657-1)*3)&lt;S657*0.3,IF(VLOOKUP(B652,INDIRECT($F$8),8+(O657-1)*3)&lt;U657*0.4,IF(AND(0.4*U657-VLOOKUP(B652,INDIRECT($F$8),8+(O657-1)*3)&lt;=5,0.3*S657-VLOOKUP(B652,INDIRECT($F$8),6+(O657-1)*3)&lt;=5),MAX(0.4*U657-VLOOKUP(B652,INDIRECT($F$8),8+(O657-1)*3),0.3*S657-VLOOKUP(B652,INDIRECT($F$8),6+(O657-1)*3)),11),IF(0.3*S657-VLOOKUP(B652,INDIRECT($F$8),6+(O657-1)*3)&lt;=5,0.3*S657-VLOOKUP(B652,INDIRECT($F$8),6+(O657-1)*3),11)),IF(VLOOKUP(B652,INDIRECT($F$8),8+(O657-1)*3)&lt;U657*0.4,IF(U657*0.4-VLOOKUP(B652,INDIRECT($F$8),8+(O657-1)*3)&lt;=5,U657*0.4-VLOOKUP(B652,INDIRECT($F$8),8+(O657-1)*3),11),0))))</f>
        <v/>
      </c>
      <c r="X657" s="1" t="str">
        <f ca="1">IF(ISERROR(F652),"",IF(W657=0,"",_xlfn.TEXTJOIN("",FALSE," G+",W657," in ",A657)))</f>
        <v/>
      </c>
    </row>
    <row r="658" spans="1:24" ht="11.25" customHeight="1" x14ac:dyDescent="0.2">
      <c r="A658" s="7" t="str">
        <f ca="1">IF(ISERROR(F652),"",VLOOKUP(C652,INDIRECT($F$8),6+(O658-1)*3,0))</f>
        <v/>
      </c>
      <c r="B658" s="41" t="str">
        <f ca="1">IF(ISERROR(F652),"",VLOOKUP(D652,INDIRECT($F$8),6+(O658-1)*3,0))</f>
        <v/>
      </c>
      <c r="C658" s="41"/>
      <c r="D658" s="41"/>
      <c r="E658" s="41"/>
      <c r="F658" s="7" t="str">
        <f ca="1">IF(ISERROR(F652),"",VLOOKUP(E652,INDIRECT($F$8),6+(O658-1)*3,0))</f>
        <v/>
      </c>
      <c r="G658" s="42" t="str">
        <f ca="1">IF(ISERROR(F652),"",_xlfn.TEXTJOIN("/",FALSE,P658,S658))</f>
        <v/>
      </c>
      <c r="H658" s="42"/>
      <c r="I658" s="42" t="str">
        <f ca="1">IF(ISERROR(F652),"",_xlfn.TEXTJOIN("/",FALSE,Q658,T658))</f>
        <v/>
      </c>
      <c r="J658" s="42"/>
      <c r="K658" s="42" t="str">
        <f ca="1">IF(ISERROR(F652),"",_xlfn.TEXTJOIN("/",FALSE,R658,U658))</f>
        <v/>
      </c>
      <c r="L658" s="42"/>
      <c r="M658" s="7" t="str">
        <f ca="1">IF(ISERROR(F652),"",IF(ISTEXT(P658),IF(P658="A","Ab",IF(P658="D","Dt",IF(P658="UFM","UFM",IF(P658="NA","-")))),IF(AND(ISBLANK(P658),ISBLANK(R658)),"",IF(P658&lt;0.3*S658,"F",IF(ISBLANK(R658),"",IF(ISTEXT(R658),R658,IF(R658&gt;=0.95*U658,"O",IF(R658&gt;=0.9*U658,"A+",IF(R658&gt;=0.85*U658,"A",IF(R658&gt;=0.8*U658,"B+",IF(R658&gt;=0.75*U658,"B",IF(R658&gt;=0.7*U658,"C+",IF(R658&gt;=0.65*U658,"C",IF(R658&gt;=0.6*U658,"D+",IF(R658&gt;=0.55*U658,"D",IF(R658&gt;=0.5*U658,"E+",IF(R658&gt;=0.45*U658,"E",IF(R658&gt;=0.4*U658,"P",IF(R658&lt;0.4*U658,"F",R658)))))))))))))))))))</f>
        <v/>
      </c>
      <c r="N658" s="8" t="e">
        <f t="shared" ref="N658:N669" ca="1" si="64">INDEX($Z$2:$Z$18,MATCH(M658,$Y$2:$Y$18,0))</f>
        <v>#N/A</v>
      </c>
      <c r="O658">
        <f>O657+1</f>
        <v>2</v>
      </c>
      <c r="P658" s="1" t="str">
        <f ca="1">IF(ISERROR(F652),"",IF(ISTEXT(VLOOKUP(B652,INDIRECT($F$8),6+(O658-1)*3)),(VLOOKUP(B652,INDIRECT($F$8),6+(O658-1)*3)),SUM(VLOOKUP(B652,INDIRECT($F$8),6+(O658-1)*3),IF(W671,W658,0))))</f>
        <v/>
      </c>
      <c r="Q658" s="1" t="str">
        <f ca="1">IF(ISERROR(F652),"",VLOOKUP(B652,INDIRECT($F$8),7+(O658-1)*3))</f>
        <v/>
      </c>
      <c r="R658" s="1" t="str">
        <f ca="1">IF(ISERROR(F652),"",SUM(P658:Q658))</f>
        <v/>
      </c>
      <c r="S658" s="1" t="str">
        <f ca="1">IF(ISERROR(F652),"",VLOOKUP(A652,INDIRECT($F$8),6+(O658-1)*3))</f>
        <v/>
      </c>
      <c r="T658" s="1" t="str">
        <f ca="1">IF(ISERROR(F652),"",VLOOKUP(A652,INDIRECT($F$8),7+(O658-1)*3))</f>
        <v/>
      </c>
      <c r="U658" s="1" t="str">
        <f ca="1">IF(ISERROR(F652),"",VLOOKUP(A652,INDIRECT($F$8),8+(O658-1)*3))</f>
        <v/>
      </c>
      <c r="V658" s="1" t="str">
        <f ca="1">IF(ISERROR(F652),"",IF(N658=0,A658,""))</f>
        <v/>
      </c>
      <c r="W658" s="1" t="str">
        <f ca="1">IF(ISERROR(F652),"",IF(ISTEXT(VLOOKUP(B652,INDIRECT($F$8),6+(O658-1)*3)),11,IF(VLOOKUP(B652,INDIRECT($F$8),6+(O658-1)*3)&lt;S658*0.3,IF(VLOOKUP(B652,INDIRECT($F$8),8+(O658-1)*3)&lt;U658*0.4,IF(AND(0.4*U658-VLOOKUP(B652,INDIRECT($F$8),8+(O658-1)*3)&lt;=5,0.3*S658-VLOOKUP(B652,INDIRECT($F$8),6+(O658-1)*3)&lt;=5),MAX(0.4*U658-VLOOKUP(B652,INDIRECT($F$8),8+(O658-1)*3),0.3*S658-VLOOKUP(B652,INDIRECT($F$8),6+(O658-1)*3)),11),IF(0.3*S658-VLOOKUP(B652,INDIRECT($F$8),6+(O658-1)*3)&lt;=5,0.3*S658-VLOOKUP(B652,INDIRECT($F$8),6+(O658-1)*3),11)),IF(VLOOKUP(B652,INDIRECT($F$8),8+(O658-1)*3)&lt;U658*0.4,IF(U658*0.4-VLOOKUP(B652,INDIRECT($F$8),8+(O658-1)*3)&lt;=5,U658*0.4-VLOOKUP(B652,INDIRECT($F$8),8+(O658-1)*3),11),0))))</f>
        <v/>
      </c>
      <c r="X658" s="1" t="str">
        <f ca="1">IF(ISERROR(F652),"",IF(W658=0,"",_xlfn.TEXTJOIN("",FALSE," G+",W658," in ",A658)))</f>
        <v/>
      </c>
    </row>
    <row r="659" spans="1:24" ht="11.25" customHeight="1" x14ac:dyDescent="0.2">
      <c r="A659" s="7" t="str">
        <f ca="1">IF(ISERROR(F652),"",VLOOKUP(C652,INDIRECT($F$8),6+(O659-1)*3,0))</f>
        <v/>
      </c>
      <c r="B659" s="41" t="str">
        <f ca="1">IF(ISERROR(F652),"",VLOOKUP(D652,INDIRECT($F$8),6+(O659-1)*3,0))</f>
        <v/>
      </c>
      <c r="C659" s="41"/>
      <c r="D659" s="41"/>
      <c r="E659" s="41"/>
      <c r="F659" s="7" t="str">
        <f ca="1">IF(ISERROR(F652),"",VLOOKUP(E652,INDIRECT($F$8),6+(O659-1)*3,0))</f>
        <v/>
      </c>
      <c r="G659" s="42" t="str">
        <f ca="1">IF(ISERROR(F652),"",_xlfn.TEXTJOIN("/",FALSE,P659,S659))</f>
        <v/>
      </c>
      <c r="H659" s="42"/>
      <c r="I659" s="42" t="str">
        <f ca="1">IF(ISERROR(F652),"",_xlfn.TEXTJOIN("/",FALSE,Q659,T659))</f>
        <v/>
      </c>
      <c r="J659" s="42"/>
      <c r="K659" s="42" t="str">
        <f ca="1">IF(ISERROR(F652),"",_xlfn.TEXTJOIN("/",FALSE,R659,U659))</f>
        <v/>
      </c>
      <c r="L659" s="42"/>
      <c r="M659" s="7" t="str">
        <f ca="1">IF(ISERROR(F652),"",IF(ISTEXT(P659),IF(P659="A","Ab",IF(P659="D","Dt",IF(P659="UFM","UFM",IF(P659="NA","-")))),IF(AND(ISBLANK(P659),ISBLANK(R659)),"",IF(P659&lt;0.3*S659,"F",IF(ISBLANK(R659),"",IF(ISTEXT(R659),R659,IF(R659&gt;=0.95*U659,"O",IF(R659&gt;=0.9*U659,"A+",IF(R659&gt;=0.85*U659,"A",IF(R659&gt;=0.8*U659,"B+",IF(R659&gt;=0.75*U659,"B",IF(R659&gt;=0.7*U659,"C+",IF(R659&gt;=0.65*U659,"C",IF(R659&gt;=0.6*U659,"D+",IF(R659&gt;=0.55*U659,"D",IF(R659&gt;=0.5*U659,"E+",IF(R659&gt;=0.45*U659,"E",IF(R659&gt;=0.4*U659,"P",IF(R659&lt;0.4*U659,"F",R659)))))))))))))))))))</f>
        <v/>
      </c>
      <c r="N659" s="8" t="e">
        <f t="shared" ca="1" si="64"/>
        <v>#N/A</v>
      </c>
      <c r="O659">
        <f>O658+1</f>
        <v>3</v>
      </c>
      <c r="P659" s="1" t="str">
        <f ca="1">IF(ISERROR(F652),"",IF(ISTEXT(VLOOKUP(B652,INDIRECT($F$8),6+(O659-1)*3)),(VLOOKUP(B652,INDIRECT($F$8),6+(O659-1)*3)),SUM(VLOOKUP(B652,INDIRECT($F$8),6+(O659-1)*3),IF(W671,W659,0))))</f>
        <v/>
      </c>
      <c r="Q659" s="1" t="str">
        <f ca="1">IF(ISERROR(F652),"",VLOOKUP(B652,INDIRECT($F$8),7+(O659-1)*3))</f>
        <v/>
      </c>
      <c r="R659" s="1" t="str">
        <f ca="1">IF(ISERROR(F652),"",SUM(P659:Q659))</f>
        <v/>
      </c>
      <c r="S659" s="1" t="str">
        <f ca="1">IF(ISERROR(F652),"",VLOOKUP(A652,INDIRECT($F$8),6+(O659-1)*3))</f>
        <v/>
      </c>
      <c r="T659" s="1" t="str">
        <f ca="1">IF(ISERROR(F652),"",VLOOKUP(A652,INDIRECT($F$8),7+(O659-1)*3))</f>
        <v/>
      </c>
      <c r="U659" s="1" t="str">
        <f ca="1">IF(ISERROR(F652),"",VLOOKUP(A652,INDIRECT($F$8),8+(O659-1)*3))</f>
        <v/>
      </c>
      <c r="V659" s="1" t="str">
        <f ca="1">IF(ISERROR(F652),"",IF(N659=0,A659,""))</f>
        <v/>
      </c>
      <c r="W659" s="1" t="str">
        <f ca="1">IF(ISERROR(F652),"",IF(ISTEXT(VLOOKUP(B652,INDIRECT($F$8),6+(O659-1)*3)),11,IF(VLOOKUP(B652,INDIRECT($F$8),6+(O659-1)*3)&lt;S659*0.3,IF(VLOOKUP(B652,INDIRECT($F$8),8+(O659-1)*3)&lt;U659*0.4,IF(AND(0.4*U659-VLOOKUP(B652,INDIRECT($F$8),8+(O659-1)*3)&lt;=5,0.3*S659-VLOOKUP(B652,INDIRECT($F$8),6+(O659-1)*3)&lt;=5),MAX(0.4*U659-VLOOKUP(B652,INDIRECT($F$8),8+(O659-1)*3),0.3*S659-VLOOKUP(B652,INDIRECT($F$8),6+(O659-1)*3)),11),IF(0.3*S659-VLOOKUP(B652,INDIRECT($F$8),6+(O659-1)*3)&lt;=5,0.3*S659-VLOOKUP(B652,INDIRECT($F$8),6+(O659-1)*3),11)),IF(VLOOKUP(B652,INDIRECT($F$8),8+(O659-1)*3)&lt;U659*0.4,IF(U659*0.4-VLOOKUP(B652,INDIRECT($F$8),8+(O659-1)*3)&lt;=5,U659*0.4-VLOOKUP(B652,INDIRECT($F$8),8+(O659-1)*3),11),0))))</f>
        <v/>
      </c>
      <c r="X659" s="1" t="str">
        <f ca="1">IF(ISERROR(F652),"",IF(W659=0,"",_xlfn.TEXTJOIN("",FALSE," G+",W659," in ",A659)))</f>
        <v/>
      </c>
    </row>
    <row r="660" spans="1:24" ht="11.25" customHeight="1" x14ac:dyDescent="0.2">
      <c r="A660" s="7" t="str">
        <f ca="1">IF(ISERROR(F652),"",VLOOKUP(C652,INDIRECT($F$8),6+(O660-1)*3,0))</f>
        <v/>
      </c>
      <c r="B660" s="41" t="str">
        <f ca="1">IF(ISERROR(F652),"",VLOOKUP(D652,INDIRECT($F$8),6+(O660-1)*3,0))</f>
        <v/>
      </c>
      <c r="C660" s="41"/>
      <c r="D660" s="41"/>
      <c r="E660" s="41"/>
      <c r="F660" s="7" t="str">
        <f ca="1">IF(ISERROR(F652),"",VLOOKUP(E652,INDIRECT($F$8),6+(O660-1)*3,0))</f>
        <v/>
      </c>
      <c r="G660" s="42" t="str">
        <f ca="1">IF(ISERROR(F652),"",_xlfn.TEXTJOIN("/",FALSE,P660,S660))</f>
        <v/>
      </c>
      <c r="H660" s="42"/>
      <c r="I660" s="42" t="str">
        <f ca="1">IF(ISERROR(F652),"",_xlfn.TEXTJOIN("/",FALSE,Q660,T660))</f>
        <v/>
      </c>
      <c r="J660" s="42"/>
      <c r="K660" s="42" t="str">
        <f ca="1">IF(ISERROR(F652),"",_xlfn.TEXTJOIN("/",FALSE,R660,U660))</f>
        <v/>
      </c>
      <c r="L660" s="42"/>
      <c r="M660" s="7" t="str">
        <f ca="1">IF(ISERROR(F652),"",IF(ISTEXT(P660),IF(P660="A","Ab",IF(P660="D","Dt",IF(P660="UFM","UFM",IF(P660="NA","-")))),IF(AND(ISBLANK(P660),ISBLANK(R660)),"",IF(P660&lt;0.3*S660,"F",IF(ISBLANK(R660),"",IF(ISTEXT(R660),R660,IF(R660&gt;=0.95*U660,"O",IF(R660&gt;=0.9*U660,"A+",IF(R660&gt;=0.85*U660,"A",IF(R660&gt;=0.8*U660,"B+",IF(R660&gt;=0.75*U660,"B",IF(R660&gt;=0.7*U660,"C+",IF(R660&gt;=0.65*U660,"C",IF(R660&gt;=0.6*U660,"D+",IF(R660&gt;=0.55*U660,"D",IF(R660&gt;=0.5*U660,"E+",IF(R660&gt;=0.45*U660,"E",IF(R660&gt;=0.4*U660,"P",IF(R660&lt;0.4*U660,"F",R660)))))))))))))))))))</f>
        <v/>
      </c>
      <c r="N660" s="8" t="e">
        <f t="shared" ca="1" si="64"/>
        <v>#N/A</v>
      </c>
      <c r="O660">
        <f>O659+1</f>
        <v>4</v>
      </c>
      <c r="P660" s="1" t="str">
        <f ca="1">IF(ISERROR(F652),"",IF(ISTEXT(VLOOKUP(B652,INDIRECT($F$8),6+(O660-1)*3)),(VLOOKUP(B652,INDIRECT($F$8),6+(O660-1)*3)),SUM(VLOOKUP(B652,INDIRECT($F$8),6+(O660-1)*3),IF(W671,W660,0))))</f>
        <v/>
      </c>
      <c r="Q660" s="1" t="str">
        <f ca="1">IF(ISERROR(F652),"",VLOOKUP(B652,INDIRECT($F$8),7+(O660-1)*3))</f>
        <v/>
      </c>
      <c r="R660" s="1" t="str">
        <f ca="1">IF(ISERROR(F652),"",SUM(P660:Q660))</f>
        <v/>
      </c>
      <c r="S660" s="1" t="str">
        <f ca="1">IF(ISERROR(F652),"",VLOOKUP(A652,INDIRECT($F$8),6+(O660-1)*3))</f>
        <v/>
      </c>
      <c r="T660" s="1" t="str">
        <f ca="1">IF(ISERROR(F652),"",VLOOKUP(A652,INDIRECT($F$8),7+(O660-1)*3))</f>
        <v/>
      </c>
      <c r="U660" s="1" t="str">
        <f ca="1">IF(ISERROR(F652),"",VLOOKUP(A652,INDIRECT($F$8),8+(O660-1)*3))</f>
        <v/>
      </c>
      <c r="V660" s="1" t="str">
        <f ca="1">IF(ISERROR(F652),"",IF(N660=0,A660,""))</f>
        <v/>
      </c>
      <c r="W660" s="1" t="str">
        <f ca="1">IF(ISERROR(F652),"",IF(ISTEXT(VLOOKUP(B652,INDIRECT($F$8),6+(O660-1)*3)),11,IF(VLOOKUP(B652,INDIRECT($F$8),6+(O660-1)*3)&lt;S660*0.3,IF(VLOOKUP(B652,INDIRECT($F$8),8+(O660-1)*3)&lt;U660*0.4,IF(AND(0.4*U660-VLOOKUP(B652,INDIRECT($F$8),8+(O660-1)*3)&lt;=5,0.3*S660-VLOOKUP(B652,INDIRECT($F$8),6+(O660-1)*3)&lt;=5),MAX(0.4*U660-VLOOKUP(B652,INDIRECT($F$8),8+(O660-1)*3),0.3*S660-VLOOKUP(B652,INDIRECT($F$8),6+(O660-1)*3)),11),IF(0.3*S660-VLOOKUP(B652,INDIRECT($F$8),6+(O660-1)*3)&lt;=5,0.3*S660-VLOOKUP(B652,INDIRECT($F$8),6+(O660-1)*3),11)),IF(VLOOKUP(B652,INDIRECT($F$8),8+(O660-1)*3)&lt;U660*0.4,IF(U660*0.4-VLOOKUP(B652,INDIRECT($F$8),8+(O660-1)*3)&lt;=5,U660*0.4-VLOOKUP(B652,INDIRECT($F$8),8+(O660-1)*3),11),0))))</f>
        <v/>
      </c>
      <c r="X660" s="1" t="str">
        <f ca="1">IF(ISERROR(F652),"",IF(W660=0,"",_xlfn.TEXTJOIN("",FALSE," G+",W660," in ",A660)))</f>
        <v/>
      </c>
    </row>
    <row r="661" spans="1:24" ht="11.25" customHeight="1" x14ac:dyDescent="0.2">
      <c r="A661" s="7" t="str">
        <f ca="1">IF(ISERROR(F652),"",VLOOKUP(C652,INDIRECT($F$8),6+(O661-1)*3,0))</f>
        <v/>
      </c>
      <c r="B661" s="41" t="str">
        <f ca="1">IF(ISERROR(F652),"",VLOOKUP(D652,INDIRECT($F$8),6+(O661-1)*3,0))</f>
        <v/>
      </c>
      <c r="C661" s="41"/>
      <c r="D661" s="41"/>
      <c r="E661" s="41"/>
      <c r="F661" s="7" t="str">
        <f ca="1">IF(ISERROR(F652),"",VLOOKUP(E652,INDIRECT($F$8),6+(O661-1)*3,0))</f>
        <v/>
      </c>
      <c r="G661" s="42" t="str">
        <f ca="1">IF(ISERROR(F652),"",_xlfn.TEXTJOIN("/",FALSE,P661,S661))</f>
        <v/>
      </c>
      <c r="H661" s="42"/>
      <c r="I661" s="42" t="str">
        <f ca="1">IF(ISERROR(F652),"",_xlfn.TEXTJOIN("/",FALSE,Q661,T661))</f>
        <v/>
      </c>
      <c r="J661" s="42"/>
      <c r="K661" s="42" t="str">
        <f ca="1">IF(ISERROR(F652),"",_xlfn.TEXTJOIN("/",FALSE,R661,U661))</f>
        <v/>
      </c>
      <c r="L661" s="42"/>
      <c r="M661" s="7" t="str">
        <f ca="1">IF(ISERROR(F652),"",IF(ISTEXT(P661),IF(P661="A","Ab",IF(P661="D","Dt",IF(P661="UFM","UFM",IF(P661="NA","-")))),IF(AND(ISBLANK(P661),ISBLANK(R661)),"",IF(P661&lt;0.3*S661,"F",IF(ISBLANK(R661),"",IF(ISTEXT(R661),R661,IF(R661&gt;=0.95*U661,"O",IF(R661&gt;=0.9*U661,"A+",IF(R661&gt;=0.85*U661,"A",IF(R661&gt;=0.8*U661,"B+",IF(R661&gt;=0.75*U661,"B",IF(R661&gt;=0.7*U661,"C+",IF(R661&gt;=0.65*U661,"C",IF(R661&gt;=0.6*U661,"D+",IF(R661&gt;=0.55*U661,"D",IF(R661&gt;=0.5*U661,"E+",IF(R661&gt;=0.45*U661,"E",IF(R661&gt;=0.4*U661,"P",IF(R661&lt;0.4*U661,"F",R661)))))))))))))))))))</f>
        <v/>
      </c>
      <c r="N661" s="8" t="e">
        <f t="shared" ca="1" si="64"/>
        <v>#N/A</v>
      </c>
      <c r="O661">
        <f t="shared" ref="O661:O670" si="65">O660+1</f>
        <v>5</v>
      </c>
      <c r="P661" s="1" t="str">
        <f ca="1">IF(ISERROR(F652),"",IF(ISTEXT(VLOOKUP(B652,INDIRECT($F$8),6+(O661-1)*3)),(VLOOKUP(B652,INDIRECT($F$8),6+(O661-1)*3)),SUM(VLOOKUP(B652,INDIRECT($F$8),6+(O661-1)*3),IF(W671,W661,0))))</f>
        <v/>
      </c>
      <c r="Q661" s="1" t="str">
        <f ca="1">IF(ISERROR(F652),"",VLOOKUP(B652,INDIRECT($F$8),7+(O661-1)*3))</f>
        <v/>
      </c>
      <c r="R661" s="1" t="str">
        <f ca="1">IF(ISERROR(F652),"",SUM(P661:Q661))</f>
        <v/>
      </c>
      <c r="S661" s="1" t="str">
        <f ca="1">IF(ISERROR(F652),"",VLOOKUP(A652,INDIRECT($F$8),6+(O661-1)*3))</f>
        <v/>
      </c>
      <c r="T661" s="1" t="str">
        <f ca="1">IF(ISERROR(F652),"",VLOOKUP(A652,INDIRECT($F$8),7+(O661-1)*3))</f>
        <v/>
      </c>
      <c r="U661" s="1" t="str">
        <f ca="1">IF(ISERROR(F652),"",VLOOKUP(A652,INDIRECT($F$8),8+(O661-1)*3))</f>
        <v/>
      </c>
      <c r="V661" s="1" t="str">
        <f ca="1">IF(ISERROR(F652),"",IF(N661=0,A661,""))</f>
        <v/>
      </c>
      <c r="W661" s="1" t="str">
        <f ca="1">IF(ISERROR(F652),"",IF(ISTEXT(VLOOKUP(B652,INDIRECT($F$8),6+(O661-1)*3)),11,IF(VLOOKUP(B652,INDIRECT($F$8),6+(O661-1)*3)&lt;S661*0.3,IF(VLOOKUP(B652,INDIRECT($F$8),8+(O661-1)*3)&lt;U661*0.4,IF(AND(0.4*U661-VLOOKUP(B652,INDIRECT($F$8),8+(O661-1)*3)&lt;=5,0.3*S661-VLOOKUP(B652,INDIRECT($F$8),6+(O661-1)*3)&lt;=5),MAX(0.4*U661-VLOOKUP(B652,INDIRECT($F$8),8+(O661-1)*3),0.3*S661-VLOOKUP(B652,INDIRECT($F$8),6+(O661-1)*3)),11),IF(0.3*S661-VLOOKUP(B652,INDIRECT($F$8),6+(O661-1)*3)&lt;=5,0.3*S661-VLOOKUP(B652,INDIRECT($F$8),6+(O661-1)*3),11)),IF(VLOOKUP(B652,INDIRECT($F$8),8+(O661-1)*3)&lt;U661*0.4,IF(U661*0.4-VLOOKUP(B652,INDIRECT($F$8),8+(O661-1)*3)&lt;=5,U661*0.4-VLOOKUP(B652,INDIRECT($F$8),8+(O661-1)*3),11),0))))</f>
        <v/>
      </c>
      <c r="X661" s="1" t="str">
        <f ca="1">IF(ISERROR(F652),"",IF(W661=0,"",_xlfn.TEXTJOIN("",FALSE," G+",W661," in ",A661)))</f>
        <v/>
      </c>
    </row>
    <row r="662" spans="1:24" ht="11.25" customHeight="1" x14ac:dyDescent="0.2">
      <c r="A662" s="7" t="str">
        <f ca="1">IF(ISERROR(F652),"",VLOOKUP(C652,INDIRECT($F$8),6+(O662-1)*3,0))</f>
        <v/>
      </c>
      <c r="B662" s="41" t="str">
        <f ca="1">IF(ISERROR(F652),"",VLOOKUP(D652,INDIRECT($F$8),6+(O662-1)*3,0))</f>
        <v/>
      </c>
      <c r="C662" s="41"/>
      <c r="D662" s="41"/>
      <c r="E662" s="41"/>
      <c r="F662" s="7" t="str">
        <f ca="1">IF(ISERROR(F652),"",VLOOKUP(E652,INDIRECT($F$8),6+(O662-1)*3,0))</f>
        <v/>
      </c>
      <c r="G662" s="42" t="str">
        <f ca="1">IF(ISERROR(F652),"",_xlfn.TEXTJOIN("/",FALSE,P662,S662))</f>
        <v/>
      </c>
      <c r="H662" s="42"/>
      <c r="I662" s="42" t="str">
        <f ca="1">IF(ISERROR(F652),"",_xlfn.TEXTJOIN("/",FALSE,Q662,T662))</f>
        <v/>
      </c>
      <c r="J662" s="42"/>
      <c r="K662" s="42" t="str">
        <f ca="1">IF(ISERROR(F652),"",_xlfn.TEXTJOIN("/",FALSE,R662,U662))</f>
        <v/>
      </c>
      <c r="L662" s="42"/>
      <c r="M662" s="7" t="str">
        <f ca="1">IF(ISERROR(F652),"",IF(ISTEXT(P662),IF(P662="A","Ab",IF(P662="D","Dt",IF(P662="UFM","UFM",IF(P662="NA","-")))),IF(AND(ISBLANK(P662),ISBLANK(R662)),"",IF(P662&lt;0.3*S662,"F",IF(ISBLANK(R662),"",IF(ISTEXT(R662),R662,IF(R662&gt;=0.95*U662,"O",IF(R662&gt;=0.9*U662,"A+",IF(R662&gt;=0.85*U662,"A",IF(R662&gt;=0.8*U662,"B+",IF(R662&gt;=0.75*U662,"B",IF(R662&gt;=0.7*U662,"C+",IF(R662&gt;=0.65*U662,"C",IF(R662&gt;=0.6*U662,"D+",IF(R662&gt;=0.55*U662,"D",IF(R662&gt;=0.5*U662,"E+",IF(R662&gt;=0.45*U662,"E",IF(R662&gt;=0.4*U662,"P",IF(R662&lt;0.4*U662,"F",R662)))))))))))))))))))</f>
        <v/>
      </c>
      <c r="N662" s="8" t="e">
        <f t="shared" ca="1" si="64"/>
        <v>#N/A</v>
      </c>
      <c r="O662">
        <f t="shared" si="65"/>
        <v>6</v>
      </c>
      <c r="P662" s="1" t="str">
        <f ca="1">IF(ISERROR(F652),"",IF(ISTEXT(VLOOKUP(B652,INDIRECT($F$8),6+(O662-1)*3)),(VLOOKUP(B652,INDIRECT($F$8),6+(O662-1)*3)),SUM(VLOOKUP(B652,INDIRECT($F$8),6+(O662-1)*3),IF(W671,W662,0))))</f>
        <v/>
      </c>
      <c r="Q662" s="1" t="str">
        <f ca="1">IF(ISERROR(F652),"",VLOOKUP(B652,INDIRECT($F$8),7+(O662-1)*3))</f>
        <v/>
      </c>
      <c r="R662" s="1" t="str">
        <f ca="1">IF(ISERROR(F652),"",SUM(P662:Q662))</f>
        <v/>
      </c>
      <c r="S662" s="1" t="str">
        <f ca="1">IF(ISERROR(F652),"",VLOOKUP(A652,INDIRECT($F$8),6+(O662-1)*3))</f>
        <v/>
      </c>
      <c r="T662" s="1" t="str">
        <f ca="1">IF(ISERROR(F652),"",VLOOKUP(A652,INDIRECT($F$8),7+(O662-1)*3))</f>
        <v/>
      </c>
      <c r="U662" s="1" t="str">
        <f ca="1">IF(ISERROR(F652),"",VLOOKUP(A652,INDIRECT($F$8),8+(O662-1)*3))</f>
        <v/>
      </c>
      <c r="V662" s="1" t="str">
        <f ca="1">IF(ISERROR(F652),"",IF(N662=0,A662,""))</f>
        <v/>
      </c>
      <c r="W662" s="1" t="str">
        <f ca="1">IF(ISERROR(F652),"",IF(ISTEXT(VLOOKUP(B652,INDIRECT($F$8),6+(O662-1)*3)),11,IF(VLOOKUP(B652,INDIRECT($F$8),6+(O662-1)*3)&lt;S662*0.3,IF(VLOOKUP(B652,INDIRECT($F$8),8+(O662-1)*3)&lt;U662*0.4,IF(AND(0.4*U662-VLOOKUP(B652,INDIRECT($F$8),8+(O662-1)*3)&lt;=5,0.3*S662-VLOOKUP(B652,INDIRECT($F$8),6+(O662-1)*3)&lt;=5),MAX(0.4*U662-VLOOKUP(B652,INDIRECT($F$8),8+(O662-1)*3),0.3*S662-VLOOKUP(B652,INDIRECT($F$8),6+(O662-1)*3)),11),IF(0.3*S662-VLOOKUP(B652,INDIRECT($F$8),6+(O662-1)*3)&lt;=5,0.3*S662-VLOOKUP(B652,INDIRECT($F$8),6+(O662-1)*3),11)),IF(VLOOKUP(B652,INDIRECT($F$8),8+(O662-1)*3)&lt;U662*0.4,IF(U662*0.4-VLOOKUP(B652,INDIRECT($F$8),8+(O662-1)*3)&lt;=5,U662*0.4-VLOOKUP(B652,INDIRECT($F$8),8+(O662-1)*3),11),0))))</f>
        <v/>
      </c>
      <c r="X662" s="1" t="str">
        <f ca="1">IF(ISERROR(F652),"",IF(W662=0,"",_xlfn.TEXTJOIN("",FALSE," G+",W662," in ",A662)))</f>
        <v/>
      </c>
    </row>
    <row r="663" spans="1:24" ht="11.25" customHeight="1" x14ac:dyDescent="0.2">
      <c r="A663" s="7" t="str">
        <f ca="1">IF(ISERROR(F652),"",VLOOKUP(C652,INDIRECT($F$8),6+(O663-1)*3,0))</f>
        <v/>
      </c>
      <c r="B663" s="41" t="str">
        <f ca="1">IF(ISERROR(F652),"",VLOOKUP(D652,INDIRECT($F$8),6+(O663-1)*3,0))</f>
        <v/>
      </c>
      <c r="C663" s="41"/>
      <c r="D663" s="41"/>
      <c r="E663" s="41"/>
      <c r="F663" s="7" t="str">
        <f ca="1">IF(ISERROR(F652),"",VLOOKUP(E652,INDIRECT($F$8),6+(O663-1)*3,0))</f>
        <v/>
      </c>
      <c r="G663" s="42" t="str">
        <f ca="1">IF(ISERROR(F652),"",_xlfn.TEXTJOIN("/",FALSE,P663,S663))</f>
        <v/>
      </c>
      <c r="H663" s="42"/>
      <c r="I663" s="42" t="str">
        <f ca="1">IF(ISERROR(F652),"",_xlfn.TEXTJOIN("/",FALSE,Q663,T663))</f>
        <v/>
      </c>
      <c r="J663" s="42"/>
      <c r="K663" s="42" t="str">
        <f ca="1">IF(ISERROR(F652),"",_xlfn.TEXTJOIN("/",FALSE,R663,U663))</f>
        <v/>
      </c>
      <c r="L663" s="42"/>
      <c r="M663" s="7" t="str">
        <f ca="1">IF(ISERROR(F652),"",IF(ISTEXT(P663),IF(P663="A","Ab",IF(P663="D","Dt",IF(P663="UFM","UFM",IF(P663="NA","-")))),IF(AND(ISBLANK(P663),ISBLANK(R663)),"",IF(P663&lt;0.3*S663,"F",IF(ISBLANK(R663),"",IF(ISTEXT(R663),R663,IF(R663&gt;=0.95*U663,"O",IF(R663&gt;=0.9*U663,"A+",IF(R663&gt;=0.85*U663,"A",IF(R663&gt;=0.8*U663,"B+",IF(R663&gt;=0.75*U663,"B",IF(R663&gt;=0.7*U663,"C+",IF(R663&gt;=0.65*U663,"C",IF(R663&gt;=0.6*U663,"D+",IF(R663&gt;=0.55*U663,"D",IF(R663&gt;=0.5*U663,"E+",IF(R663&gt;=0.45*U663,"E",IF(R663&gt;=0.4*U663,"P",IF(R663&lt;0.4*U663,"F",R663)))))))))))))))))))</f>
        <v/>
      </c>
      <c r="N663" s="8" t="e">
        <f t="shared" ca="1" si="64"/>
        <v>#N/A</v>
      </c>
      <c r="O663">
        <f t="shared" si="65"/>
        <v>7</v>
      </c>
      <c r="P663" s="1" t="str">
        <f ca="1">IF(ISERROR(F652),"",IF(ISTEXT(VLOOKUP(B652,INDIRECT($F$8),6+(O663-1)*3)),(VLOOKUP(B652,INDIRECT($F$8),6+(O663-1)*3)),SUM(VLOOKUP(B652,INDIRECT($F$8),6+(O663-1)*3),IF(W671,W663,0))))</f>
        <v/>
      </c>
      <c r="Q663" s="1" t="str">
        <f ca="1">IF(ISERROR(F652),"",VLOOKUP(B652,INDIRECT($F$8),7+(O663-1)*3))</f>
        <v/>
      </c>
      <c r="R663" s="1" t="str">
        <f ca="1">IF(ISERROR(F652),"",SUM(P663:Q663))</f>
        <v/>
      </c>
      <c r="S663" s="1" t="str">
        <f ca="1">IF(ISERROR(F652),"",VLOOKUP(A652,INDIRECT($F$8),6+(O663-1)*3))</f>
        <v/>
      </c>
      <c r="T663" s="1" t="str">
        <f ca="1">IF(ISERROR(F652),"",VLOOKUP(A652,INDIRECT($F$8),7+(O663-1)*3))</f>
        <v/>
      </c>
      <c r="U663" s="1" t="str">
        <f ca="1">IF(ISERROR(F652),"",VLOOKUP(A652,INDIRECT($F$8),8+(O663-1)*3))</f>
        <v/>
      </c>
      <c r="V663" s="1" t="str">
        <f ca="1">IF(ISERROR(F652),"",IF(N663=0,A663,""))</f>
        <v/>
      </c>
      <c r="W663" s="1" t="str">
        <f ca="1">IF(ISERROR(F652),"",IF(ISTEXT(VLOOKUP(B652,INDIRECT($F$8),6+(O663-1)*3)),11,IF(VLOOKUP(B652,INDIRECT($F$8),6+(O663-1)*3)&lt;S663*0.3,IF(VLOOKUP(B652,INDIRECT($F$8),8+(O663-1)*3)&lt;U663*0.4,IF(AND(0.4*U663-VLOOKUP(B652,INDIRECT($F$8),8+(O663-1)*3)&lt;=5,0.3*S663-VLOOKUP(B652,INDIRECT($F$8),6+(O663-1)*3)&lt;=5),MAX(0.4*U663-VLOOKUP(B652,INDIRECT($F$8),8+(O663-1)*3),0.3*S663-VLOOKUP(B652,INDIRECT($F$8),6+(O663-1)*3)),11),IF(0.3*S663-VLOOKUP(B652,INDIRECT($F$8),6+(O663-1)*3)&lt;=5,0.3*S663-VLOOKUP(B652,INDIRECT($F$8),6+(O663-1)*3),11)),IF(VLOOKUP(B652,INDIRECT($F$8),8+(O663-1)*3)&lt;U663*0.4,IF(U663*0.4-VLOOKUP(B652,INDIRECT($F$8),8+(O663-1)*3)&lt;=5,U663*0.4-VLOOKUP(B652,INDIRECT($F$8),8+(O663-1)*3),11),0))))</f>
        <v/>
      </c>
      <c r="X663" s="1" t="str">
        <f ca="1">IF(ISERROR(F652),"",IF(W663=0,"",_xlfn.TEXTJOIN("",FALSE," G+",W663," in ",A663)))</f>
        <v/>
      </c>
    </row>
    <row r="664" spans="1:24" ht="11.25" customHeight="1" x14ac:dyDescent="0.2">
      <c r="A664" s="7" t="str">
        <f ca="1">IF(ISERROR(F652),"",VLOOKUP(C652,INDIRECT($F$8),6+(O664-1)*3,0))</f>
        <v/>
      </c>
      <c r="B664" s="41" t="str">
        <f ca="1">IF(ISERROR(F652),"",VLOOKUP(D652,INDIRECT($F$8),6+(O664-1)*3,0))</f>
        <v/>
      </c>
      <c r="C664" s="41"/>
      <c r="D664" s="41"/>
      <c r="E664" s="41"/>
      <c r="F664" s="7" t="str">
        <f ca="1">IF(ISERROR(F652),"",VLOOKUP(E652,INDIRECT($F$8),6+(O664-1)*3,0))</f>
        <v/>
      </c>
      <c r="G664" s="42" t="str">
        <f ca="1">IF(ISERROR(F652),"",_xlfn.TEXTJOIN("/",FALSE,P664,S664))</f>
        <v/>
      </c>
      <c r="H664" s="42"/>
      <c r="I664" s="42" t="str">
        <f ca="1">IF(ISERROR(F652),"",_xlfn.TEXTJOIN("/",FALSE,Q664,T664))</f>
        <v/>
      </c>
      <c r="J664" s="42"/>
      <c r="K664" s="42" t="str">
        <f ca="1">IF(ISERROR(F652),"",_xlfn.TEXTJOIN("/",FALSE,R664,U664))</f>
        <v/>
      </c>
      <c r="L664" s="42"/>
      <c r="M664" s="7" t="str">
        <f ca="1">IF(ISERROR(F652),"",IF(ISTEXT(P664),IF(P664="A","Ab",IF(P664="D","Dt",IF(P664="UFM","UFM",IF(P664="NA","-")))),IF(AND(ISBLANK(P664),ISBLANK(R664)),"",IF(P664&lt;0.3*S664,"F",IF(ISBLANK(R664),"",IF(ISTEXT(R664),R664,IF(R664&gt;=0.95*U664,"O",IF(R664&gt;=0.9*U664,"A+",IF(R664&gt;=0.85*U664,"A",IF(R664&gt;=0.8*U664,"B+",IF(R664&gt;=0.75*U664,"B",IF(R664&gt;=0.7*U664,"C+",IF(R664&gt;=0.65*U664,"C",IF(R664&gt;=0.6*U664,"D+",IF(R664&gt;=0.55*U664,"D",IF(R664&gt;=0.5*U664,"E+",IF(R664&gt;=0.45*U664,"E",IF(R664&gt;=0.4*U664,"P",IF(R664&lt;0.4*U664,"F",R664)))))))))))))))))))</f>
        <v/>
      </c>
      <c r="N664" s="8" t="e">
        <f t="shared" ca="1" si="64"/>
        <v>#N/A</v>
      </c>
      <c r="O664">
        <f t="shared" si="65"/>
        <v>8</v>
      </c>
      <c r="P664" s="1" t="str">
        <f ca="1">IF(ISERROR(F652),"",IF(ISTEXT(VLOOKUP(B652,INDIRECT($F$8),6+(O664-1)*3)),(VLOOKUP(B652,INDIRECT($F$8),6+(O664-1)*3)),SUM(VLOOKUP(B652,INDIRECT($F$8),6+(O664-1)*3),IF(W671,W664,0))))</f>
        <v/>
      </c>
      <c r="Q664" s="1" t="str">
        <f ca="1">IF(ISERROR(F652),"",VLOOKUP(B652,INDIRECT($F$8),7+(O664-1)*3))</f>
        <v/>
      </c>
      <c r="R664" s="1" t="str">
        <f ca="1">IF(ISERROR(F652),"",SUM(P664:Q664))</f>
        <v/>
      </c>
      <c r="S664" s="1" t="str">
        <f ca="1">IF(ISERROR(F652),"",VLOOKUP(A652,INDIRECT($F$8),6+(O664-1)*3))</f>
        <v/>
      </c>
      <c r="T664" s="1" t="str">
        <f ca="1">IF(ISERROR(F652),"",VLOOKUP(A652,INDIRECT($F$8),7+(O664-1)*3))</f>
        <v/>
      </c>
      <c r="U664" s="1" t="str">
        <f ca="1">IF(ISERROR(F652),"",VLOOKUP(A652,INDIRECT($F$8),8+(O664-1)*3))</f>
        <v/>
      </c>
      <c r="V664" s="1" t="str">
        <f ca="1">IF(ISERROR(F652),"",IF(N664=0,A664,""))</f>
        <v/>
      </c>
      <c r="W664" s="1" t="str">
        <f ca="1">IF(ISERROR(F652),"",IF(ISTEXT(VLOOKUP(B652,INDIRECT($F$8),6+(O664-1)*3)),11,IF(VLOOKUP(B652,INDIRECT($F$8),6+(O664-1)*3)&lt;S664*0.3,IF(VLOOKUP(B652,INDIRECT($F$8),8+(O664-1)*3)&lt;U664*0.4,IF(AND(0.4*U664-VLOOKUP(B652,INDIRECT($F$8),8+(O664-1)*3)&lt;=5,0.3*S664-VLOOKUP(B652,INDIRECT($F$8),6+(O664-1)*3)&lt;=5),MAX(0.4*U664-VLOOKUP(B652,INDIRECT($F$8),8+(O664-1)*3),0.3*S664-VLOOKUP(B652,INDIRECT($F$8),6+(O664-1)*3)),11),IF(0.3*S664-VLOOKUP(B652,INDIRECT($F$8),6+(O664-1)*3)&lt;=5,0.3*S664-VLOOKUP(B652,INDIRECT($F$8),6+(O664-1)*3),11)),IF(VLOOKUP(B652,INDIRECT($F$8),8+(O664-1)*3)&lt;U664*0.4,IF(U664*0.4-VLOOKUP(B652,INDIRECT($F$8),8+(O664-1)*3)&lt;=5,U664*0.4-VLOOKUP(B652,INDIRECT($F$8),8+(O664-1)*3),11),0))))</f>
        <v/>
      </c>
      <c r="X664" s="1" t="str">
        <f ca="1">IF(ISERROR(F652),"",IF(W664=0,"",_xlfn.TEXTJOIN("",FALSE," G+",W664," in ",A664)))</f>
        <v/>
      </c>
    </row>
    <row r="665" spans="1:24" ht="11.25" customHeight="1" x14ac:dyDescent="0.2">
      <c r="A665" s="7" t="str">
        <f ca="1">IF(ISERROR(F652),"",VLOOKUP(C652,INDIRECT($F$8),6+(O665-1)*3,0))</f>
        <v/>
      </c>
      <c r="B665" s="41" t="str">
        <f ca="1">IF(ISERROR(F652),"",VLOOKUP(D652,INDIRECT($F$8),6+(O665-1)*3-Z665,0))</f>
        <v/>
      </c>
      <c r="C665" s="41"/>
      <c r="D665" s="41"/>
      <c r="E665" s="41"/>
      <c r="F665" s="7" t="str">
        <f ca="1">IF(ISERROR(F652),"",VLOOKUP(E652,INDIRECT($F$8),6+(O665-1)*3,0))</f>
        <v/>
      </c>
      <c r="G665" s="42" t="str">
        <f ca="1">IF(ISERROR(F652),"",_xlfn.TEXTJOIN("/",FALSE,P665,S665))</f>
        <v/>
      </c>
      <c r="H665" s="42"/>
      <c r="I665" s="42" t="str">
        <f ca="1">IF(ISERROR(F652),"",_xlfn.TEXTJOIN("/",FALSE,Q665,T665))</f>
        <v/>
      </c>
      <c r="J665" s="42"/>
      <c r="K665" s="42" t="str">
        <f ca="1">IF(ISERROR(F652),"",_xlfn.TEXTJOIN("/",FALSE,R665,U665))</f>
        <v/>
      </c>
      <c r="L665" s="42"/>
      <c r="M665" s="7" t="str">
        <f ca="1">IF(ISERROR(F652),"",IF(ISTEXT(P665),IF(P665="A","Ab",IF(P665="D","Dt",IF(P665="UFM","UFM",IF(P665="NA","-")))),IF(AND(ISBLANK(P665),ISBLANK(R665)),"",IF(P665&lt;0.3*S665,"F",IF(ISBLANK(R665),"",IF(ISTEXT(R665),R665,IF(R665&gt;=0.95*U665,"O",IF(R665&gt;=0.9*U665,"A+",IF(R665&gt;=0.85*U665,"A",IF(R665&gt;=0.8*U665,"B+",IF(R665&gt;=0.75*U665,"B",IF(R665&gt;=0.7*U665,"C+",IF(R665&gt;=0.65*U665,"C",IF(R665&gt;=0.6*U665,"D+",IF(R665&gt;=0.55*U665,"D",IF(R665&gt;=0.5*U665,"E+",IF(R665&gt;=0.45*U665,"E",IF(R665&gt;=0.4*U665,"P",IF(R665&lt;0.4*U665,"F",R665)))))))))))))))))))</f>
        <v/>
      </c>
      <c r="N665" s="8" t="e">
        <f t="shared" ca="1" si="64"/>
        <v>#N/A</v>
      </c>
      <c r="O665">
        <f t="shared" si="65"/>
        <v>9</v>
      </c>
      <c r="P665" s="1" t="str">
        <f ca="1">IF(ISERROR(F652),"",IF(ISTEXT(VLOOKUP(B652,INDIRECT($F$8),6+(O665-1)*3)),(VLOOKUP(B652,INDIRECT($F$8),6+(O665-1)*3)),SUM(VLOOKUP(B652,INDIRECT($F$8),6+(O665-1)*3),IF(W671,W665,0))))</f>
        <v/>
      </c>
      <c r="Q665" s="1" t="str">
        <f ca="1">IF(ISERROR(F652),"",VLOOKUP(B652,INDIRECT($F$8),7+(O665-1)*3))</f>
        <v/>
      </c>
      <c r="R665" s="1" t="str">
        <f ca="1">IF(ISERROR(F652),"",SUM(P665:Q665))</f>
        <v/>
      </c>
      <c r="S665" s="1" t="str">
        <f ca="1">IF(ISERROR(F652),"",VLOOKUP(A652,INDIRECT($F$8),6+(O665-1)*3))</f>
        <v/>
      </c>
      <c r="T665" s="1" t="str">
        <f ca="1">IF(ISERROR(F652),"",VLOOKUP(A652,INDIRECT($F$8),7+(O665-1)*3))</f>
        <v/>
      </c>
      <c r="U665" s="1" t="str">
        <f ca="1">IF(ISERROR(F652),"",VLOOKUP(A652,INDIRECT($F$8),8+(O665-1)*3))</f>
        <v/>
      </c>
      <c r="V665" s="1" t="str">
        <f ca="1">IF(ISERROR(F652),"",IF(N665=0,A665,""))</f>
        <v/>
      </c>
      <c r="W665" s="1" t="str">
        <f ca="1">IF(ISERROR(F652),"",IF(ISTEXT(VLOOKUP(B652,INDIRECT($F$8),6+(O665-1)*3)),11,IF(VLOOKUP(B652,INDIRECT($F$8),6+(O665-1)*3)&lt;S665*0.3,IF(VLOOKUP(B652,INDIRECT($F$8),8+(O665-1)*3)&lt;U665*0.4,IF(AND(0.4*U665-VLOOKUP(B652,INDIRECT($F$8),8+(O665-1)*3)&lt;=5,0.3*S665-VLOOKUP(B652,INDIRECT($F$8),6+(O665-1)*3)&lt;=5),MAX(0.4*U665-VLOOKUP(B652,INDIRECT($F$8),8+(O665-1)*3),0.3*S665-VLOOKUP(B652,INDIRECT($F$8),6+(O665-1)*3)),11),IF(0.3*S665-VLOOKUP(B652,INDIRECT($F$8),6+(O665-1)*3)&lt;=5,0.3*S665-VLOOKUP(B652,INDIRECT($F$8),6+(O665-1)*3),11)),IF(VLOOKUP(B652,INDIRECT($F$8),8+(O665-1)*3)&lt;U665*0.4,IF(U665*0.4-VLOOKUP(B652,INDIRECT($F$8),8+(O665-1)*3)&lt;=5,U665*0.4-VLOOKUP(B652,INDIRECT($F$8),8+(O665-1)*3),11),0))))</f>
        <v/>
      </c>
      <c r="X665" s="1" t="str">
        <f ca="1">IF(ISERROR(F652),"",IF(W665=0,"",_xlfn.TEXTJOIN("",FALSE," G+",W665," in ",A665)))</f>
        <v/>
      </c>
    </row>
    <row r="666" spans="1:24" ht="11.25" customHeight="1" x14ac:dyDescent="0.2">
      <c r="A666" s="7" t="str">
        <f ca="1">IF(ISERROR(F652),"",VLOOKUP(C652,INDIRECT($F$8),6+(O666-1)*3,0))</f>
        <v/>
      </c>
      <c r="B666" s="41" t="str">
        <f ca="1">IF(ISERROR(F652),"",VLOOKUP(D652,INDIRECT($F$8),6+(O666-1)*3-Z666,0))</f>
        <v/>
      </c>
      <c r="C666" s="41"/>
      <c r="D666" s="41"/>
      <c r="E666" s="41"/>
      <c r="F666" s="7" t="str">
        <f ca="1">IF(ISERROR(F652),"",VLOOKUP(E652,INDIRECT($F$8),6+(O666-1)*3,0))</f>
        <v/>
      </c>
      <c r="G666" s="42" t="str">
        <f ca="1">IF(ISERROR(F652),"",_xlfn.TEXTJOIN("/",FALSE,P666,S666))</f>
        <v/>
      </c>
      <c r="H666" s="42"/>
      <c r="I666" s="42" t="str">
        <f ca="1">IF(ISERROR(F652),"",_xlfn.TEXTJOIN("/",FALSE,Q666,T666))</f>
        <v/>
      </c>
      <c r="J666" s="42"/>
      <c r="K666" s="42" t="str">
        <f ca="1">IF(ISERROR(F652),"",_xlfn.TEXTJOIN("/",FALSE,R666,U666))</f>
        <v/>
      </c>
      <c r="L666" s="42"/>
      <c r="M666" s="7" t="str">
        <f ca="1">IF(ISERROR(F652),"",IF(ISTEXT(P666),IF(P666="A","Ab",IF(P666="D","Dt",IF(P666="UFM","UFM",IF(P666="NA","-")))),IF(AND(ISBLANK(P666),ISBLANK(R666)),"",IF(P666&lt;0.3*S666,"F",IF(ISBLANK(R666),"",IF(ISTEXT(R666),R666,IF(R666&gt;=0.95*U666,"O",IF(R666&gt;=0.9*U666,"A+",IF(R666&gt;=0.85*U666,"A",IF(R666&gt;=0.8*U666,"B+",IF(R666&gt;=0.75*U666,"B",IF(R666&gt;=0.7*U666,"C+",IF(R666&gt;=0.65*U666,"C",IF(R666&gt;=0.6*U666,"D+",IF(R666&gt;=0.55*U666,"D",IF(R666&gt;=0.5*U666,"E+",IF(R666&gt;=0.45*U666,"E",IF(R666&gt;=0.4*U666,"P",IF(R666&lt;0.4*U666,"F",R666)))))))))))))))))))</f>
        <v/>
      </c>
      <c r="N666" s="8" t="e">
        <f t="shared" ca="1" si="64"/>
        <v>#N/A</v>
      </c>
      <c r="O666">
        <f t="shared" si="65"/>
        <v>10</v>
      </c>
      <c r="P666" s="1" t="str">
        <f ca="1">IF(ISERROR(F652),"",IF(ISTEXT(VLOOKUP(B652,INDIRECT($F$8),6+(O666-1)*3)),(VLOOKUP(B652,INDIRECT($F$8),6+(O666-1)*3)),SUM(VLOOKUP(B652,INDIRECT($F$8),6+(O666-1)*3),IF(W671,W666,0))))</f>
        <v/>
      </c>
      <c r="Q666" s="1" t="str">
        <f ca="1">IF(ISERROR(F652),"",VLOOKUP(B652,INDIRECT($F$8),7+(O666-1)*3))</f>
        <v/>
      </c>
      <c r="R666" s="1" t="str">
        <f ca="1">IF(ISERROR(F652),"",SUM(P666:Q666))</f>
        <v/>
      </c>
      <c r="S666" s="1" t="str">
        <f ca="1">IF(ISERROR(F652),"",VLOOKUP(A652,INDIRECT($F$8),6+(O666-1)*3))</f>
        <v/>
      </c>
      <c r="T666" s="1" t="str">
        <f ca="1">IF(ISERROR(F652),"",VLOOKUP(A652,INDIRECT($F$8),7+(O666-1)*3))</f>
        <v/>
      </c>
      <c r="U666" s="1" t="str">
        <f ca="1">IF(ISERROR(F652),"",VLOOKUP(A652,INDIRECT($F$8),8+(O666-1)*3))</f>
        <v/>
      </c>
      <c r="V666" s="1" t="str">
        <f ca="1">IF(ISERROR(F652),"",IF(N666=0,A666,""))</f>
        <v/>
      </c>
      <c r="W666" s="1" t="str">
        <f ca="1">IF(ISERROR(F652),"",IF(ISTEXT(VLOOKUP(B652,INDIRECT($F$8),6+(O666-1)*3)),11,IF(VLOOKUP(B652,INDIRECT($F$8),6+(O666-1)*3)&lt;S666*0.3,IF(VLOOKUP(B652,INDIRECT($F$8),8+(O666-1)*3)&lt;U666*0.4,IF(AND(0.4*U666-VLOOKUP(B652,INDIRECT($F$8),8+(O666-1)*3)&lt;=5,0.3*S666-VLOOKUP(B652,INDIRECT($F$8),6+(O666-1)*3)&lt;=5),MAX(0.4*U666-VLOOKUP(B652,INDIRECT($F$8),8+(O666-1)*3),0.3*S666-VLOOKUP(B652,INDIRECT($F$8),6+(O666-1)*3)),11),IF(0.3*S666-VLOOKUP(B652,INDIRECT($F$8),6+(O666-1)*3)&lt;=5,0.3*S666-VLOOKUP(B652,INDIRECT($F$8),6+(O666-1)*3),11)),IF(VLOOKUP(B652,INDIRECT($F$8),8+(O666-1)*3)&lt;U666*0.4,IF(U666*0.4-VLOOKUP(B652,INDIRECT($F$8),8+(O666-1)*3)&lt;=5,U666*0.4-VLOOKUP(B652,INDIRECT($F$8),8+(O666-1)*3),11),0))))</f>
        <v/>
      </c>
      <c r="X666" s="1" t="str">
        <f ca="1">IF(ISERROR(F652),"",IF(W666=0,"",_xlfn.TEXTJOIN("",FALSE," G+",W666," in ",A666)))</f>
        <v/>
      </c>
    </row>
    <row r="667" spans="1:24" ht="11.25" customHeight="1" x14ac:dyDescent="0.2">
      <c r="A667" s="7" t="str">
        <f ca="1">IF(ISERROR(F652),"",VLOOKUP(C652,INDIRECT($F$8),6+(O667-1)*3,0))</f>
        <v/>
      </c>
      <c r="B667" s="41" t="str">
        <f ca="1">IF(ISERROR(F652),"",VLOOKUP(D652,INDIRECT($F$8),6+(O667-1)*3,0))</f>
        <v/>
      </c>
      <c r="C667" s="41"/>
      <c r="D667" s="41"/>
      <c r="E667" s="41"/>
      <c r="F667" s="7" t="str">
        <f ca="1">IF(ISERROR(F652),"",VLOOKUP(E652,INDIRECT($F$8),6+(O667-1)*3,0))</f>
        <v/>
      </c>
      <c r="G667" s="42" t="str">
        <f ca="1">IF(ISERROR(F652),"",_xlfn.TEXTJOIN("/",FALSE,P667,S667))</f>
        <v/>
      </c>
      <c r="H667" s="42"/>
      <c r="I667" s="42" t="str">
        <f ca="1">IF(ISERROR(F652),"",_xlfn.TEXTJOIN("/",FALSE,Q667,T667))</f>
        <v/>
      </c>
      <c r="J667" s="42"/>
      <c r="K667" s="42" t="str">
        <f ca="1">IF(ISERROR(F652),"",_xlfn.TEXTJOIN("/",FALSE,R667,U667))</f>
        <v/>
      </c>
      <c r="L667" s="42"/>
      <c r="M667" s="7" t="str">
        <f ca="1">IF(ISERROR(F652),"",IF(ISTEXT(P667),IF(P667="A","Ab",IF(P667="D","Dt",IF(P667="UFM","UFM",IF(P667="NA","-")))),IF(AND(ISBLANK(P667),ISBLANK(R667)),"",IF(P667&lt;0.3*S667,"F",IF(ISBLANK(R667),"",IF(ISTEXT(R667),R667,IF(R667&gt;=0.95*U667,"O",IF(R667&gt;=0.9*U667,"A+",IF(R667&gt;=0.85*U667,"A",IF(R667&gt;=0.8*U667,"B+",IF(R667&gt;=0.75*U667,"B",IF(R667&gt;=0.7*U667,"C+",IF(R667&gt;=0.65*U667,"C",IF(R667&gt;=0.6*U667,"D+",IF(R667&gt;=0.55*U667,"D",IF(R667&gt;=0.5*U667,"E+",IF(R667&gt;=0.45*U667,"E",IF(R667&gt;=0.4*U667,"P",IF(R667&lt;0.4*U667,"F",R667)))))))))))))))))))</f>
        <v/>
      </c>
      <c r="N667" s="8" t="e">
        <f t="shared" ca="1" si="64"/>
        <v>#N/A</v>
      </c>
      <c r="O667">
        <f t="shared" si="65"/>
        <v>11</v>
      </c>
      <c r="P667" s="1" t="str">
        <f ca="1">IF(ISERROR(F652),"",IF(ISTEXT(VLOOKUP(B652,INDIRECT($F$8),6+(O667-1)*3)),(VLOOKUP(B652,INDIRECT($F$8),6+(O667-1)*3)),SUM(VLOOKUP(B652,INDIRECT($F$8),6+(O667-1)*3),IF(W671,W667,0))))</f>
        <v/>
      </c>
      <c r="Q667" s="1" t="str">
        <f ca="1">IF(ISERROR(F652),"",VLOOKUP(B652,INDIRECT($F$8),7+(O667-1)*3))</f>
        <v/>
      </c>
      <c r="R667" s="1" t="str">
        <f ca="1">IF(ISERROR(F652),"",SUM(P667:Q667))</f>
        <v/>
      </c>
      <c r="S667" s="1" t="str">
        <f ca="1">IF(ISERROR(F652),"",VLOOKUP(A652,INDIRECT($F$8),6+(O667-1)*3))</f>
        <v/>
      </c>
      <c r="T667" s="1" t="str">
        <f ca="1">IF(ISERROR(F652),"",VLOOKUP(A652,INDIRECT($F$8),7+(O667-1)*3))</f>
        <v/>
      </c>
      <c r="U667" s="1" t="str">
        <f ca="1">IF(ISERROR(F652),"",VLOOKUP(A652,INDIRECT($F$8),8+(O667-1)*3))</f>
        <v/>
      </c>
      <c r="V667" s="1" t="str">
        <f ca="1">IF(ISERROR(F652),"",IF(N667=0,A667,""))</f>
        <v/>
      </c>
      <c r="W667" s="1" t="str">
        <f ca="1">IF(ISERROR(F652),"",IF(ISTEXT(VLOOKUP(B652,INDIRECT($F$8),6+(O667-1)*3)),11,IF(VLOOKUP(B652,INDIRECT($F$8),6+(O667-1)*3)&lt;S667*0.3,IF(VLOOKUP(B652,INDIRECT($F$8),8+(O667-1)*3)&lt;U667*0.4,IF(AND(0.4*U667-VLOOKUP(B652,INDIRECT($F$8),8+(O667-1)*3)&lt;=5,0.3*S667-VLOOKUP(B652,INDIRECT($F$8),6+(O667-1)*3)&lt;=5),MAX(0.4*U667-VLOOKUP(B652,INDIRECT($F$8),8+(O667-1)*3),0.3*S667-VLOOKUP(B652,INDIRECT($F$8),6+(O667-1)*3)),11),IF(0.3*S667-VLOOKUP(B652,INDIRECT($F$8),6+(O667-1)*3)&lt;=5,0.3*S667-VLOOKUP(B652,INDIRECT($F$8),6+(O667-1)*3),11)),IF(VLOOKUP(B652,INDIRECT($F$8),8+(O667-1)*3)&lt;U667*0.4,IF(U667*0.4-VLOOKUP(B652,INDIRECT($F$8),8+(O667-1)*3)&lt;=5,U667*0.4-VLOOKUP(B652,INDIRECT($F$8),8+(O667-1)*3),11),0))))</f>
        <v/>
      </c>
      <c r="X667" s="1" t="str">
        <f ca="1">IF(ISERROR(F652),"",IF(W667=0,"",_xlfn.TEXTJOIN("",FALSE," G+",W667," in ",A667)))</f>
        <v/>
      </c>
    </row>
    <row r="668" spans="1:24" ht="11.25" customHeight="1" x14ac:dyDescent="0.2">
      <c r="A668" s="7" t="str">
        <f ca="1">IF(ISERROR(F652),"",VLOOKUP(C652,INDIRECT($F$8),6+(O668-1)*3,0))</f>
        <v/>
      </c>
      <c r="B668" s="41" t="str">
        <f ca="1">IF(ISERROR(F652),"",VLOOKUP(D652,INDIRECT($F$8),6+(O668-1)*3,0))</f>
        <v/>
      </c>
      <c r="C668" s="41"/>
      <c r="D668" s="41"/>
      <c r="E668" s="41"/>
      <c r="F668" s="7" t="str">
        <f ca="1">IF(ISERROR(F652),"",VLOOKUP(E652,INDIRECT($F$8),6+(O668-1)*3,0))</f>
        <v/>
      </c>
      <c r="G668" s="42" t="str">
        <f ca="1">IF(ISERROR(F652),"",_xlfn.TEXTJOIN("/",FALSE,P668,S668))</f>
        <v/>
      </c>
      <c r="H668" s="42"/>
      <c r="I668" s="42" t="str">
        <f ca="1">IF(ISERROR(F652),"",_xlfn.TEXTJOIN("/",FALSE,Q668,T668))</f>
        <v/>
      </c>
      <c r="J668" s="42"/>
      <c r="K668" s="42" t="str">
        <f ca="1">IF(ISERROR(F652),"",_xlfn.TEXTJOIN("/",FALSE,R668,U668))</f>
        <v/>
      </c>
      <c r="L668" s="42"/>
      <c r="M668" s="7" t="str">
        <f ca="1">IF(ISERROR(F652),"",IF(ISTEXT(P668),IF(P668="A","Ab",IF(P668="D","Dt",IF(P668="UFM","UFM",IF(P668="NA","-")))),IF(AND(ISBLANK(P668),ISBLANK(R668)),"",IF(P668&lt;0.3*S668,"F",IF(ISBLANK(R668),"",IF(ISTEXT(R668),R668,IF(R668&gt;=0.95*U668,"O",IF(R668&gt;=0.9*U668,"A+",IF(R668&gt;=0.85*U668,"A",IF(R668&gt;=0.8*U668,"B+",IF(R668&gt;=0.75*U668,"B",IF(R668&gt;=0.7*U668,"C+",IF(R668&gt;=0.65*U668,"C",IF(R668&gt;=0.6*U668,"D+",IF(R668&gt;=0.55*U668,"D",IF(R668&gt;=0.5*U668,"E+",IF(R668&gt;=0.45*U668,"E",IF(R668&gt;=0.4*U668,"P",IF(R668&lt;0.4*U668,"F",R668)))))))))))))))))))</f>
        <v/>
      </c>
      <c r="N668" s="8" t="e">
        <f t="shared" ca="1" si="64"/>
        <v>#N/A</v>
      </c>
      <c r="O668">
        <f t="shared" si="65"/>
        <v>12</v>
      </c>
      <c r="P668" s="1" t="str">
        <f ca="1">IF(ISERROR(F652),"",IF(ISTEXT(VLOOKUP(B652,INDIRECT($F$8),6+(O668-1)*3)),(VLOOKUP(B652,INDIRECT($F$8),6+(O668-1)*3)),SUM(VLOOKUP(B652,INDIRECT($F$8),6+(O668-1)*3),IF(W671,W668,0))))</f>
        <v/>
      </c>
      <c r="Q668" s="1" t="str">
        <f ca="1">IF(ISERROR(F652),"",VLOOKUP(B652,INDIRECT($F$8),7+(O668-1)*3))</f>
        <v/>
      </c>
      <c r="R668" s="1" t="str">
        <f ca="1">IF(ISERROR(F652),"",SUM(P668:Q668))</f>
        <v/>
      </c>
      <c r="S668" s="1" t="str">
        <f ca="1">IF(ISERROR(F652),"",VLOOKUP(A652,INDIRECT($F$8),6+(O668-1)*3))</f>
        <v/>
      </c>
      <c r="T668" s="1" t="str">
        <f ca="1">IF(ISERROR(F652),"",VLOOKUP(A652,INDIRECT($F$8),7+(O668-1)*3))</f>
        <v/>
      </c>
      <c r="U668" s="1" t="str">
        <f ca="1">IF(ISERROR(F652),"",VLOOKUP(A652,INDIRECT($F$8),8+(O668-1)*3))</f>
        <v/>
      </c>
      <c r="V668" s="1" t="str">
        <f ca="1">IF(ISERROR(F652),"",IF(N668=0,A668,""))</f>
        <v/>
      </c>
      <c r="W668" s="1" t="str">
        <f ca="1">IF(ISERROR(F652),"",IF(ISTEXT(VLOOKUP(B652,INDIRECT($F$8),6+(O668-1)*3)),11,IF(VLOOKUP(B652,INDIRECT($F$8),6+(O668-1)*3)&lt;S668*0.3,IF(VLOOKUP(B652,INDIRECT($F$8),8+(O668-1)*3)&lt;U668*0.4,IF(AND(0.4*U668-VLOOKUP(B652,INDIRECT($F$8),8+(O668-1)*3)&lt;=5,0.3*S668-VLOOKUP(B652,INDIRECT($F$8),6+(O668-1)*3)&lt;=5),MAX(0.4*U668-VLOOKUP(B652,INDIRECT($F$8),8+(O668-1)*3),0.3*S668-VLOOKUP(B652,INDIRECT($F$8),6+(O668-1)*3)),11),IF(0.3*S668-VLOOKUP(B652,INDIRECT($F$8),6+(O668-1)*3)&lt;=5,0.3*S668-VLOOKUP(B652,INDIRECT($F$8),6+(O668-1)*3),11)),IF(VLOOKUP(B652,INDIRECT($F$8),8+(O668-1)*3)&lt;U668*0.4,IF(U668*0.4-VLOOKUP(B652,INDIRECT($F$8),8+(O668-1)*3)&lt;=5,U668*0.4-VLOOKUP(B652,INDIRECT($F$8),8+(O668-1)*3),11),0))))</f>
        <v/>
      </c>
      <c r="X668" s="1" t="str">
        <f ca="1">IF(ISERROR(F652),"",IF(W668=0,"",_xlfn.TEXTJOIN("",FALSE," G+",W668," in ",A668)))</f>
        <v/>
      </c>
    </row>
    <row r="669" spans="1:24" ht="11.25" customHeight="1" x14ac:dyDescent="0.2">
      <c r="A669" s="7" t="str">
        <f ca="1">IF(ISERROR(F652),"",VLOOKUP(C652,INDIRECT($F$8),6+(O669-1)*3,0))</f>
        <v/>
      </c>
      <c r="B669" s="41" t="str">
        <f ca="1">IF(ISERROR(F652),"",VLOOKUP(D652,INDIRECT($F$8),6+(O669-1)*3,0))</f>
        <v/>
      </c>
      <c r="C669" s="41"/>
      <c r="D669" s="41"/>
      <c r="E669" s="41"/>
      <c r="F669" s="7" t="str">
        <f ca="1">IF(ISERROR(F652),"",VLOOKUP(E652,INDIRECT($F$8),6+(O669-1)*3,0))</f>
        <v/>
      </c>
      <c r="G669" s="42" t="str">
        <f ca="1">IF(ISERROR(F652),"",_xlfn.TEXTJOIN("/",FALSE,P669,S669))</f>
        <v/>
      </c>
      <c r="H669" s="42"/>
      <c r="I669" s="42" t="str">
        <f ca="1">IF(ISERROR(F652),"",_xlfn.TEXTJOIN("/",FALSE,Q669,T669))</f>
        <v/>
      </c>
      <c r="J669" s="42"/>
      <c r="K669" s="42" t="str">
        <f ca="1">IF(ISERROR(F652),"",_xlfn.TEXTJOIN("/",FALSE,R669,U669))</f>
        <v/>
      </c>
      <c r="L669" s="42"/>
      <c r="M669" s="7" t="str">
        <f ca="1">IF(ISERROR(F652),"",IF(ISTEXT(P669),IF(P669="A","Ab",IF(P669="D","Dt",IF(P669="UFM","UFM",IF(P669="NA","-")))),IF(AND(ISBLANK(P669),ISBLANK(R669)),"",IF(P669&lt;0.3*S669,"F",IF(ISBLANK(R669),"",IF(ISTEXT(R669),R669,IF(R669&gt;=0.95*U669,"O",IF(R669&gt;=0.9*U669,"A+",IF(R669&gt;=0.85*U669,"A",IF(R669&gt;=0.8*U669,"B+",IF(R669&gt;=0.75*U669,"B",IF(R669&gt;=0.7*U669,"C+",IF(R669&gt;=0.65*U669,"C",IF(R669&gt;=0.6*U669,"D+",IF(R669&gt;=0.55*U669,"D",IF(R669&gt;=0.5*U669,"E+",IF(R669&gt;=0.45*U669,"E",IF(R669&gt;=0.4*U669,"P",IF(R669&lt;0.4*U669,"F",R669)))))))))))))))))))</f>
        <v/>
      </c>
      <c r="N669" s="8" t="e">
        <f t="shared" ca="1" si="64"/>
        <v>#N/A</v>
      </c>
      <c r="O669">
        <f t="shared" si="65"/>
        <v>13</v>
      </c>
      <c r="P669" s="1" t="str">
        <f ca="1">IF(ISERROR(F652),"",IF(ISTEXT(VLOOKUP(B652,INDIRECT($F$8),6+(O669-1)*3)),(VLOOKUP(B652,INDIRECT($F$8),6+(O669-1)*3)),SUM(VLOOKUP(B652,INDIRECT($F$8),6+(O669-1)*3),IF(W671,W669,0))))</f>
        <v/>
      </c>
      <c r="Q669" s="1" t="str">
        <f ca="1">IF(ISERROR(F652),"",VLOOKUP(B652,INDIRECT($F$8),7+(O669-1)*3))</f>
        <v/>
      </c>
      <c r="R669" s="1" t="str">
        <f ca="1">IF(ISERROR(F652),"",SUM(P669:Q669))</f>
        <v/>
      </c>
      <c r="S669" s="1" t="str">
        <f ca="1">IF(ISERROR(F652),"",VLOOKUP(A652,INDIRECT($F$8),6+(O669-1)*3))</f>
        <v/>
      </c>
      <c r="T669" s="1" t="str">
        <f ca="1">IF(ISERROR(F652),"",VLOOKUP(A652,INDIRECT($F$8),7+(O669-1)*3))</f>
        <v/>
      </c>
      <c r="U669" s="1" t="str">
        <f ca="1">IF(ISERROR(F652),"",VLOOKUP(A652,INDIRECT($F$8),8+(O669-1)*3))</f>
        <v/>
      </c>
      <c r="V669" s="1"/>
      <c r="W669" s="1" t="str">
        <f ca="1">IF(ISERROR(F652),"",IF(ISTEXT(VLOOKUP(B652,INDIRECT($F$8),6+(O669-1)*3)),11,IF(VLOOKUP(B652,INDIRECT($F$8),6+(O669-1)*3)&lt;S669*0.3,IF(VLOOKUP(B652,INDIRECT($F$8),8+(O669-1)*3)&lt;U669*0.4,IF(AND(0.4*U669-VLOOKUP(B652,INDIRECT($F$8),8+(O669-1)*3)&lt;=5,0.3*S669-VLOOKUP(B652,INDIRECT($F$8),6+(O669-1)*3)&lt;=5),MAX(0.4*U669-VLOOKUP(B652,INDIRECT($F$8),8+(O669-1)*3),0.3*S669-VLOOKUP(B652,INDIRECT($F$8),6+(O669-1)*3)),11),IF(0.3*S669-VLOOKUP(B652,INDIRECT($F$8),6+(O669-1)*3)&lt;=5,0.3*S669-VLOOKUP(B652,INDIRECT($F$8),6+(O669-1)*3),11)),IF(VLOOKUP(B652,INDIRECT($F$8),8+(O669-1)*3)&lt;U669*0.4,IF(U669*0.4-VLOOKUP(B652,INDIRECT($F$8),8+(O669-1)*3)&lt;=5,U669*0.4-VLOOKUP(B652,INDIRECT($F$8),8+(O669-1)*3),11),0))))</f>
        <v/>
      </c>
      <c r="X669" s="1" t="str">
        <f ca="1">IF(ISERROR(F652),"",IF(W669=0,"",_xlfn.TEXTJOIN("",FALSE," G+",W669," in ",A669)))</f>
        <v/>
      </c>
    </row>
    <row r="670" spans="1:24" s="32" customFormat="1" ht="11.25" customHeight="1" x14ac:dyDescent="0.2">
      <c r="A670" s="31" t="str">
        <f ca="1">IF(ISERROR(F652),"",VLOOKUP(C652,INDIRECT($F$8),6+(O670-1)*3-Y670,0))</f>
        <v/>
      </c>
      <c r="B670" s="49" t="str">
        <f ca="1">IF(ISERROR(F652),"",VLOOKUP(D652,INDIRECT($F$8),6+(O670-1)*3-Z670,0))</f>
        <v/>
      </c>
      <c r="C670" s="49"/>
      <c r="D670" s="49"/>
      <c r="E670" s="49"/>
      <c r="F670" s="31" t="str">
        <f ca="1">IF(ISERROR(F652),"",VLOOKUP(E652,INDIRECT($F$8),6+(O670-1)*3-AA670,0))</f>
        <v/>
      </c>
      <c r="G670" s="50" t="str">
        <f ca="1">IF(ISERROR(F652),"","-")</f>
        <v/>
      </c>
      <c r="H670" s="50"/>
      <c r="I670" s="50" t="str">
        <f ca="1">IF(ISERROR(F652),"",_xlfn.TEXTJOIN("/",FALSE,Q670,T670))</f>
        <v/>
      </c>
      <c r="J670" s="50"/>
      <c r="K670" s="50" t="str">
        <f ca="1">IF(ISERROR(F652),"",_xlfn.TEXTJOIN("/",FALSE,R670,U670))</f>
        <v/>
      </c>
      <c r="L670" s="50"/>
      <c r="M670" s="7" t="b">
        <f ca="1">IF(ISERROR(F653),"",IF(ISTEXT(P670),IF(P670="A","Ab",IF(P670="D","Dt",IF(P670="UFM","UFM",IF(P670="NA","")))),IF(AND(ISBLANK(P670),ISBLANK(R670)),"",IF(P670&lt;0.3*S670,"F",IF(ISBLANK(R670),"",IF(ISTEXT(R670),R670,IF(R670&gt;=0.95*U670,"O",IF(R670&gt;=0.9*U670,"A+",IF(R670&gt;=0.85*U670,"A",IF(R670&gt;=0.8*U670,"B+",IF(R670&gt;=0.75*U670,"B",IF(R670&gt;=0.7*U670,"C+",IF(R670&gt;=0.65*U670,"C",IF(R670&gt;=0.6*U670,"D+",IF(R670&gt;=0.55*U670,"D",IF(R670&gt;=0.5*U670,"E+",IF(R670&gt;=0.45*U670,"E",IF(R670&gt;=0.4*U670,"P",IF(R670&lt;0.4*U670,"F",R670)))))))))))))))))))</f>
        <v>0</v>
      </c>
      <c r="N670" s="8" t="e">
        <f t="shared" ref="N659:N670" ca="1" si="66">INDEX($Z$2:$Z$18,MATCH(M670,$Y$2:$Y$18,0))</f>
        <v>#N/A</v>
      </c>
      <c r="O670" s="32">
        <f t="shared" si="65"/>
        <v>14</v>
      </c>
      <c r="P670" s="33" t="str">
        <f ca="1">IF(ISERROR(F652),"",IF(ISTEXT(VLOOKUP(B\28,INDIRECT($F$8),6+(O670-1)*3)),(VLOOKUP(B652,INDIRECT($F$8),6+(O670-1)*3)),SUM(VLOOKUP(B652,INDIRECT($F$8),6+(O670-1)*3),IF(W671,W670,0))))</f>
        <v/>
      </c>
      <c r="Q670" s="33" t="str">
        <f ca="1">IF(ISERROR(F652),"",VLOOKUP(B652,INDIRECT($F$8),7+(O670-1)*3))</f>
        <v/>
      </c>
      <c r="R670" s="33" t="str">
        <f ca="1">IF(ISERROR(F652),"",SUM(P670:Q670))</f>
        <v/>
      </c>
      <c r="S670" s="33" t="str">
        <f ca="1">IF(ISERROR(F652),"",VLOOKUP(A652,INDIRECT($F$8),6+(O670-1)*3))</f>
        <v/>
      </c>
      <c r="T670" s="33" t="str">
        <f ca="1">IF(ISERROR(F652),"",VLOOKUP(A652,INDIRECT($F$8),7+(O670-1)*3))</f>
        <v/>
      </c>
      <c r="U670" s="33" t="str">
        <f ca="1">IF(ISERROR(F652),"",VLOOKUP(A652,INDIRECT($F$8),8+(O670-1)*3))</f>
        <v/>
      </c>
      <c r="V670" s="33"/>
      <c r="W670" s="33"/>
      <c r="X670" s="33" t="str">
        <f ca="1">IF(ISERROR(F652),"",IF(W670=0,"",_xlfn.TEXTJOIN("",FALSE," G+",W670," in ",A670)))</f>
        <v/>
      </c>
    </row>
    <row r="671" spans="1:24" ht="11.25" customHeight="1" x14ac:dyDescent="0.2">
      <c r="A671" s="43" t="str">
        <f ca="1">IF(ISERROR(F652),"",A648)</f>
        <v/>
      </c>
      <c r="B671" s="43"/>
      <c r="C671" s="43"/>
      <c r="D671" s="43"/>
      <c r="E671" s="43"/>
      <c r="F671" s="10" t="str">
        <f ca="1">IF(ISERROR(F652),"",SUM(F657:F670))</f>
        <v/>
      </c>
      <c r="G671" s="44" t="str">
        <f ca="1">IF(ISERROR(F652),"",_xlfn.TEXTJOIN("/",TRUE,SUMIF(F657:F670,"&gt;0",P657:P670),SUMIF(F657:F670,"&gt;0",S657:S670)))</f>
        <v/>
      </c>
      <c r="H671" s="44"/>
      <c r="I671" s="44" t="str">
        <f ca="1">IF(ISERROR(F652),"",_xlfn.TEXTJOIN("/",TRUE,SUMIF(F657:F670,"&gt;0",Q657:Q670),SUMIF(F657:F670,"&gt;0",T657:T670)))</f>
        <v/>
      </c>
      <c r="J671" s="44"/>
      <c r="K671" s="44" t="str">
        <f ca="1">IF(ISERROR(F652),"",_xlfn.TEXTJOIN("/",TRUE,SUMIF(F657:F670,"&gt;0",R657:R670),SUMIF(F657:F670,"&gt;0",U657:U670)))</f>
        <v/>
      </c>
      <c r="L671" s="44"/>
      <c r="M671" s="43" t="str">
        <f ca="1">IF(ISERROR(F652),"",SUMPRODUCT(N657:N669,F657:F669))</f>
        <v/>
      </c>
      <c r="N671" s="43"/>
      <c r="V671" s="1" t="str">
        <f ca="1">IF(ISERROR(F652),"",_xlfn.TEXTJOIN(", ",TRUE,V657:V670))</f>
        <v/>
      </c>
      <c r="W671" t="str">
        <f ca="1">IF(ISERROR(F652),"",IF(SUM(W657:W670)&lt;=W656,TRUE,FALSE))</f>
        <v/>
      </c>
      <c r="X671" s="1" t="str">
        <f ca="1">_xlfn.TEXTJOIN(",",TRUE,X657:X670)</f>
        <v/>
      </c>
    </row>
    <row r="672" spans="1:24" ht="11.25" customHeight="1" x14ac:dyDescent="0.2">
      <c r="A672" s="43" t="str">
        <f ca="1">IF(ISERROR(F652),"",A649)</f>
        <v/>
      </c>
      <c r="B672" s="45" t="str">
        <f ca="1">IF(ISERROR(F652),"",IF(V671="","PASS","CARRY OVER"))</f>
        <v/>
      </c>
      <c r="C672" s="45"/>
      <c r="D672" s="43" t="str">
        <f ca="1">IF(ISERROR(F652),"",D649)</f>
        <v/>
      </c>
      <c r="E672" s="45" t="str">
        <f ca="1">IF(ISERROR(F652),"",IF(W671,X671,IF(V671="","",_xlfn.TEXTJOIN("",TRUE,"BACK IN ",V671))))</f>
        <v/>
      </c>
      <c r="F672" s="45"/>
      <c r="G672" s="43" t="str">
        <f ca="1">IF(ISERROR(F652),"",G649)</f>
        <v/>
      </c>
      <c r="H672" s="46" t="str">
        <f ca="1">IF(ISERROR(F652),"",M671/F671)</f>
        <v/>
      </c>
      <c r="I672" s="43" t="str">
        <f ca="1">IF(ISERROR(F652),"",I649)</f>
        <v/>
      </c>
      <c r="J672" s="46" t="str">
        <f ca="1">IF(ISERROR(F652),"",VLOOKUP(B652,INDIRECT($F$8),12+(O670-1)*3,0))</f>
        <v/>
      </c>
      <c r="K672" s="45" t="str">
        <f ca="1">IF(ISERROR(F652),"",K649)</f>
        <v/>
      </c>
      <c r="L672" s="43" t="str">
        <f ca="1">IF(ISERROR(F652),"",SUMIF(N657:N669,"&gt;0",F657:F669))</f>
        <v/>
      </c>
      <c r="M672" s="45" t="str">
        <f ca="1">IF(ISERROR(F652),"",M649)</f>
        <v/>
      </c>
      <c r="N672" s="43" t="str">
        <f ca="1">IF(ISERROR(F652),"",VLOOKUP(B652,INDIRECT($F$8),10+(O670-1)*3,0))</f>
        <v/>
      </c>
    </row>
    <row r="673" spans="1:24" ht="11.25" customHeight="1" x14ac:dyDescent="0.2">
      <c r="A673" s="43"/>
      <c r="B673" s="45"/>
      <c r="C673" s="45"/>
      <c r="D673" s="43"/>
      <c r="E673" s="45"/>
      <c r="F673" s="45"/>
      <c r="G673" s="43"/>
      <c r="H673" s="46"/>
      <c r="I673" s="43"/>
      <c r="J673" s="46"/>
      <c r="K673" s="45"/>
      <c r="L673" s="43"/>
      <c r="M673" s="45"/>
      <c r="N673" s="43"/>
    </row>
    <row r="674" spans="1:24" ht="11.25" customHeight="1" x14ac:dyDescent="0.2">
      <c r="A674" s="43"/>
      <c r="B674" s="45"/>
      <c r="C674" s="45"/>
      <c r="D674" s="43"/>
      <c r="E674" s="45"/>
      <c r="F674" s="45"/>
      <c r="G674" s="43"/>
      <c r="H674" s="46"/>
      <c r="I674" s="43"/>
      <c r="J674" s="46"/>
      <c r="K674" s="45"/>
      <c r="L674" s="43"/>
      <c r="M674" s="45"/>
      <c r="N674" s="43"/>
    </row>
    <row r="675" spans="1:24" ht="11.25" customHeight="1" x14ac:dyDescent="0.2">
      <c r="A675" s="11" t="str">
        <f>A652</f>
        <v>MM</v>
      </c>
      <c r="B675" s="11">
        <f>B652+1</f>
        <v>30</v>
      </c>
      <c r="C675" s="11" t="str">
        <f>C652</f>
        <v>SC</v>
      </c>
      <c r="D675" s="11" t="str">
        <f>D652</f>
        <v>SN</v>
      </c>
      <c r="E675" s="11" t="str">
        <f>E652</f>
        <v>C</v>
      </c>
      <c r="F675" s="11" t="e">
        <f ca="1">VLOOKUP(B675,INDIRECT($F$8),4,0)</f>
        <v>#N/A</v>
      </c>
    </row>
    <row r="676" spans="1:24" ht="11.25" customHeight="1" x14ac:dyDescent="0.2">
      <c r="A676" s="47" t="str">
        <f ca="1">IF(ISERROR(F675),"",A653)</f>
        <v/>
      </c>
      <c r="B676" s="47" t="str">
        <f ca="1">IFERROR(VLOOKUP(B675,INDIRECT($F$8),4,0),"")</f>
        <v/>
      </c>
      <c r="C676" s="47"/>
      <c r="D676" s="47" t="str">
        <f ca="1">IF(ISERROR(F675),"",D653)</f>
        <v/>
      </c>
      <c r="E676" s="47" t="str">
        <f ca="1">IFERROR(VLOOKUP(B675,INDIRECT($F$8),5,0),"")</f>
        <v/>
      </c>
      <c r="F676" s="47"/>
      <c r="G676" s="47" t="str">
        <f ca="1">IF(ISERROR(F675),"",G653)</f>
        <v/>
      </c>
      <c r="H676" s="47"/>
      <c r="I676" s="48" t="str">
        <f ca="1">IFERROR(VLOOKUP(B675,INDIRECT($F$8),2,0),"")</f>
        <v/>
      </c>
      <c r="J676" s="48"/>
      <c r="K676" s="47" t="str">
        <f ca="1">IF(ISERROR(F675),"",K653)</f>
        <v/>
      </c>
      <c r="L676" s="47"/>
      <c r="M676" s="48" t="str">
        <f ca="1">IFERROR(VLOOKUP(B675,INDIRECT($F$8),3,0),"")</f>
        <v/>
      </c>
      <c r="N676" s="48"/>
    </row>
    <row r="677" spans="1:24" ht="11.25" customHeight="1" x14ac:dyDescent="0.2">
      <c r="A677" s="47"/>
      <c r="B677" s="47"/>
      <c r="C677" s="47"/>
      <c r="D677" s="47"/>
      <c r="E677" s="47"/>
      <c r="F677" s="47"/>
      <c r="G677" s="47"/>
      <c r="H677" s="47"/>
      <c r="I677" s="48"/>
      <c r="J677" s="48"/>
      <c r="K677" s="47"/>
      <c r="L677" s="47"/>
      <c r="M677" s="48"/>
      <c r="N677" s="48"/>
    </row>
    <row r="678" spans="1:24" ht="11.25" customHeight="1" x14ac:dyDescent="0.2">
      <c r="A678" s="45" t="str">
        <f ca="1">IF(ISERROR(F675),"",A655)</f>
        <v/>
      </c>
      <c r="B678" s="45" t="str">
        <f ca="1">IF(ISERROR(F675),"",B655)</f>
        <v/>
      </c>
      <c r="C678" s="45"/>
      <c r="D678" s="45"/>
      <c r="E678" s="45"/>
      <c r="F678" s="45" t="str">
        <f ca="1">IF(ISERROR(F675),"",F655)</f>
        <v/>
      </c>
      <c r="G678" s="45" t="str">
        <f ca="1">IF(ISERROR(F675),"",G655)</f>
        <v/>
      </c>
      <c r="H678" s="45"/>
      <c r="I678" s="45" t="str">
        <f ca="1">IF(ISERROR(F675),"",I655)</f>
        <v/>
      </c>
      <c r="J678" s="45"/>
      <c r="K678" s="45" t="str">
        <f ca="1">IF(ISERROR(F675),"",K655)</f>
        <v/>
      </c>
      <c r="L678" s="45"/>
      <c r="M678" s="45" t="str">
        <f ca="1">IF(ISERROR(F675),"",M655)</f>
        <v/>
      </c>
      <c r="N678" s="45" t="str">
        <f ca="1">IF(ISERROR(F675),"",N655)</f>
        <v/>
      </c>
    </row>
    <row r="679" spans="1:24" ht="11.25" customHeight="1" x14ac:dyDescent="0.2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W679">
        <f ca="1">IF(ISNUMBER(MATCH($F$8,{"I","III","V","VII"},0)),10,10-INDEX(INDIRECT(_xlfn.TEXTJOIN("",TRUE,"SEM_",$G$8,"!",ADDRESS(6,4+$I$8*3+4),":",ADDRESS(5+$H$8,4+$I$8*3+4))),MATCH(INDIRECT(_xlfn.TEXTJOIN("",TRUE,"TC_",$F$8,"!",ADDRESS(ROW(I676),COLUMN(I676)))),INDIRECT(_xlfn.TEXTJOIN("",TRUE,"SEM_",$G$8,"!",ADDRESS(6,2),":",ADDRESS(5+$H$8,2))))))</f>
        <v>10</v>
      </c>
    </row>
    <row r="680" spans="1:24" ht="11.25" customHeight="1" x14ac:dyDescent="0.2">
      <c r="A680" s="7" t="str">
        <f ca="1">IF(ISERROR(F675),"",VLOOKUP(C675,INDIRECT($F$8),6+(O680-1)*3,0))</f>
        <v/>
      </c>
      <c r="B680" s="41" t="str">
        <f ca="1">IF(ISERROR(F675),"",VLOOKUP(D675,INDIRECT($F$8),6+(O680-1)*3,0))</f>
        <v/>
      </c>
      <c r="C680" s="41"/>
      <c r="D680" s="41"/>
      <c r="E680" s="41"/>
      <c r="F680" s="7" t="str">
        <f ca="1">IF(ISERROR(F675),"",VLOOKUP(E675,INDIRECT($F$8),6+(O680-1)*3,0))</f>
        <v/>
      </c>
      <c r="G680" s="42" t="str">
        <f ca="1">IF(ISERROR(F675),"",_xlfn.TEXTJOIN("/",FALSE,P680,S680))</f>
        <v/>
      </c>
      <c r="H680" s="42"/>
      <c r="I680" s="42" t="str">
        <f ca="1">IF(ISERROR(F675),"",_xlfn.TEXTJOIN("/",FALSE,Q680,T680))</f>
        <v/>
      </c>
      <c r="J680" s="42"/>
      <c r="K680" s="42" t="str">
        <f ca="1">IF(ISERROR(F675),"",_xlfn.TEXTJOIN("/",FALSE,R680,U680))</f>
        <v/>
      </c>
      <c r="L680" s="42"/>
      <c r="M680" s="7" t="str">
        <f ca="1">IF(ISERROR(F675),"",IF(ISTEXT(P680),IF(P680="A","Ab",IF(P680="D","Dt",IF(P680="UFM","UFM",IF(P680="NA","-")))),IF(AND(ISBLANK(P680),ISBLANK(R680)),"",IF(P680&lt;0.3*S680,"F",IF(ISBLANK(R680),"",IF(ISTEXT(R680),R680,IF(R680&gt;=0.95*U680,"O",IF(R680&gt;=0.9*U680,"A+",IF(R680&gt;=0.85*U680,"A",IF(R680&gt;=0.8*U680,"B+",IF(R680&gt;=0.75*U680,"B",IF(R680&gt;=0.7*U680,"C+",IF(R680&gt;=0.65*U680,"C",IF(R680&gt;=0.6*U680,"D+",IF(R680&gt;=0.55*U680,"D",IF(R680&gt;=0.5*U680,"E+",IF(R680&gt;=0.45*U680,"E",IF(R680&gt;=0.4*U680,"P",IF(R680&lt;0.4*U680,"F",R680)))))))))))))))))))</f>
        <v/>
      </c>
      <c r="N680" s="8" t="e">
        <f ca="1">INDEX($Z$2:$Z$18,MATCH(M680,$Y$2:$Y$18,0))</f>
        <v>#N/A</v>
      </c>
      <c r="O680">
        <v>1</v>
      </c>
      <c r="P680" s="1" t="str">
        <f ca="1">IF(ISERROR(F675),"",IF(ISTEXT(VLOOKUP(B675,INDIRECT($F$8),6+(O680-1)*3)),(VLOOKUP(B675,INDIRECT($F$8),6+(O680-1)*3)),SUM(VLOOKUP(B675,INDIRECT($F$8),6+(O680-1)*3),IF(W694,W680,0))))</f>
        <v/>
      </c>
      <c r="Q680" s="1" t="str">
        <f ca="1">IF(ISERROR(F675),"",VLOOKUP(B675,INDIRECT($F$8),7+(O680-1)*3))</f>
        <v/>
      </c>
      <c r="R680" s="1" t="str">
        <f ca="1">IF(ISERROR(F675),"",SUM(P680:Q680))</f>
        <v/>
      </c>
      <c r="S680" s="1" t="str">
        <f ca="1">IF(ISERROR(F675),"",VLOOKUP(A675,INDIRECT($F$8),6+(O680-1)*3))</f>
        <v/>
      </c>
      <c r="T680" s="1" t="str">
        <f ca="1">IF(ISERROR(F675),"",VLOOKUP(A675,INDIRECT($F$8),7+(O680-1)*3))</f>
        <v/>
      </c>
      <c r="U680" s="1" t="str">
        <f ca="1">IF(ISERROR(F675),"",VLOOKUP(A675,INDIRECT($F$8),8+(O680-1)*3))</f>
        <v/>
      </c>
      <c r="V680" s="1" t="str">
        <f ca="1">IF(ISERROR(F675),"",IF(N680=0,A680,""))</f>
        <v/>
      </c>
      <c r="W680" s="1" t="str">
        <f ca="1">IF(ISERROR(F675),"",IF(ISTEXT(VLOOKUP(B675,INDIRECT($F$8),6+(O680-1)*3)),11,IF(VLOOKUP(B675,INDIRECT($F$8),6+(O680-1)*3)&lt;S680*0.3,IF(VLOOKUP(B675,INDIRECT($F$8),8+(O680-1)*3)&lt;U680*0.4,IF(AND(0.4*U680-VLOOKUP(B675,INDIRECT($F$8),8+(O680-1)*3)&lt;=5,0.3*S680-VLOOKUP(B675,INDIRECT($F$8),6+(O680-1)*3)&lt;=5),MAX(0.4*U680-VLOOKUP(B675,INDIRECT($F$8),8+(O680-1)*3),0.3*S680-VLOOKUP(B675,INDIRECT($F$8),6+(O680-1)*3)),11),IF(0.3*S680-VLOOKUP(B675,INDIRECT($F$8),6+(O680-1)*3)&lt;=5,0.3*S680-VLOOKUP(B675,INDIRECT($F$8),6+(O680-1)*3),11)),IF(VLOOKUP(B675,INDIRECT($F$8),8+(O680-1)*3)&lt;U680*0.4,IF(U680*0.4-VLOOKUP(B675,INDIRECT($F$8),8+(O680-1)*3)&lt;=5,U680*0.4-VLOOKUP(B675,INDIRECT($F$8),8+(O680-1)*3),11),0))))</f>
        <v/>
      </c>
      <c r="X680" s="1" t="str">
        <f ca="1">IF(ISERROR(F675),"",IF(W680=0,"",_xlfn.TEXTJOIN("",FALSE," G+",W680," in ",A680)))</f>
        <v/>
      </c>
    </row>
    <row r="681" spans="1:24" ht="11.25" customHeight="1" x14ac:dyDescent="0.2">
      <c r="A681" s="7" t="str">
        <f ca="1">IF(ISERROR(F675),"",VLOOKUP(C675,INDIRECT($F$8),6+(O681-1)*3,0))</f>
        <v/>
      </c>
      <c r="B681" s="41" t="str">
        <f ca="1">IF(ISERROR(F675),"",VLOOKUP(D675,INDIRECT($F$8),6+(O681-1)*3,0))</f>
        <v/>
      </c>
      <c r="C681" s="41"/>
      <c r="D681" s="41"/>
      <c r="E681" s="41"/>
      <c r="F681" s="7" t="str">
        <f ca="1">IF(ISERROR(F675),"",VLOOKUP(E675,INDIRECT($F$8),6+(O681-1)*3,0))</f>
        <v/>
      </c>
      <c r="G681" s="42" t="str">
        <f ca="1">IF(ISERROR(F675),"",_xlfn.TEXTJOIN("/",FALSE,P681,S681))</f>
        <v/>
      </c>
      <c r="H681" s="42"/>
      <c r="I681" s="42" t="str">
        <f ca="1">IF(ISERROR(F675),"",_xlfn.TEXTJOIN("/",FALSE,Q681,T681))</f>
        <v/>
      </c>
      <c r="J681" s="42"/>
      <c r="K681" s="42" t="str">
        <f ca="1">IF(ISERROR(F675),"",_xlfn.TEXTJOIN("/",FALSE,R681,U681))</f>
        <v/>
      </c>
      <c r="L681" s="42"/>
      <c r="M681" s="7" t="str">
        <f ca="1">IF(ISERROR(F675),"",IF(ISTEXT(P681),IF(P681="A","Ab",IF(P681="D","Dt",IF(P681="UFM","UFM",IF(P681="NA","-")))),IF(AND(ISBLANK(P681),ISBLANK(R681)),"",IF(P681&lt;0.3*S681,"F",IF(ISBLANK(R681),"",IF(ISTEXT(R681),R681,IF(R681&gt;=0.95*U681,"O",IF(R681&gt;=0.9*U681,"A+",IF(R681&gt;=0.85*U681,"A",IF(R681&gt;=0.8*U681,"B+",IF(R681&gt;=0.75*U681,"B",IF(R681&gt;=0.7*U681,"C+",IF(R681&gt;=0.65*U681,"C",IF(R681&gt;=0.6*U681,"D+",IF(R681&gt;=0.55*U681,"D",IF(R681&gt;=0.5*U681,"E+",IF(R681&gt;=0.45*U681,"E",IF(R681&gt;=0.4*U681,"P",IF(R681&lt;0.4*U681,"F",R681)))))))))))))))))))</f>
        <v/>
      </c>
      <c r="N681" s="8" t="e">
        <f t="shared" ref="N681:N692" ca="1" si="67">INDEX($Z$2:$Z$18,MATCH(M681,$Y$2:$Y$18,0))</f>
        <v>#N/A</v>
      </c>
      <c r="O681">
        <f>O680+1</f>
        <v>2</v>
      </c>
      <c r="P681" s="1" t="str">
        <f ca="1">IF(ISERROR(F675),"",IF(ISTEXT(VLOOKUP(B675,INDIRECT($F$8),6+(O681-1)*3)),(VLOOKUP(B675,INDIRECT($F$8),6+(O681-1)*3)),SUM(VLOOKUP(B675,INDIRECT($F$8),6+(O681-1)*3),IF(W694,W681,0))))</f>
        <v/>
      </c>
      <c r="Q681" s="1" t="str">
        <f ca="1">IF(ISERROR(F675),"",VLOOKUP(B675,INDIRECT($F$8),7+(O681-1)*3))</f>
        <v/>
      </c>
      <c r="R681" s="1" t="str">
        <f ca="1">IF(ISERROR(F675),"",SUM(P681:Q681))</f>
        <v/>
      </c>
      <c r="S681" s="1" t="str">
        <f ca="1">IF(ISERROR(F675),"",VLOOKUP(A675,INDIRECT($F$8),6+(O681-1)*3))</f>
        <v/>
      </c>
      <c r="T681" s="1" t="str">
        <f ca="1">IF(ISERROR(F675),"",VLOOKUP(A675,INDIRECT($F$8),7+(O681-1)*3))</f>
        <v/>
      </c>
      <c r="U681" s="1" t="str">
        <f ca="1">IF(ISERROR(F675),"",VLOOKUP(A675,INDIRECT($F$8),8+(O681-1)*3))</f>
        <v/>
      </c>
      <c r="V681" s="1" t="str">
        <f ca="1">IF(ISERROR(F675),"",IF(N681=0,A681,""))</f>
        <v/>
      </c>
      <c r="W681" s="1" t="str">
        <f ca="1">IF(ISERROR(F675),"",IF(ISTEXT(VLOOKUP(B675,INDIRECT($F$8),6+(O681-1)*3)),11,IF(VLOOKUP(B675,INDIRECT($F$8),6+(O681-1)*3)&lt;S681*0.3,IF(VLOOKUP(B675,INDIRECT($F$8),8+(O681-1)*3)&lt;U681*0.4,IF(AND(0.4*U681-VLOOKUP(B675,INDIRECT($F$8),8+(O681-1)*3)&lt;=5,0.3*S681-VLOOKUP(B675,INDIRECT($F$8),6+(O681-1)*3)&lt;=5),MAX(0.4*U681-VLOOKUP(B675,INDIRECT($F$8),8+(O681-1)*3),0.3*S681-VLOOKUP(B675,INDIRECT($F$8),6+(O681-1)*3)),11),IF(0.3*S681-VLOOKUP(B675,INDIRECT($F$8),6+(O681-1)*3)&lt;=5,0.3*S681-VLOOKUP(B675,INDIRECT($F$8),6+(O681-1)*3),11)),IF(VLOOKUP(B675,INDIRECT($F$8),8+(O681-1)*3)&lt;U681*0.4,IF(U681*0.4-VLOOKUP(B675,INDIRECT($F$8),8+(O681-1)*3)&lt;=5,U681*0.4-VLOOKUP(B675,INDIRECT($F$8),8+(O681-1)*3),11),0))))</f>
        <v/>
      </c>
      <c r="X681" s="1" t="str">
        <f ca="1">IF(ISERROR(F675),"",IF(W681=0,"",_xlfn.TEXTJOIN("",FALSE," G+",W681," in ",A681)))</f>
        <v/>
      </c>
    </row>
    <row r="682" spans="1:24" ht="11.25" customHeight="1" x14ac:dyDescent="0.2">
      <c r="A682" s="7" t="str">
        <f ca="1">IF(ISERROR(F675),"",VLOOKUP(C675,INDIRECT($F$8),6+(O682-1)*3,0))</f>
        <v/>
      </c>
      <c r="B682" s="41" t="str">
        <f ca="1">IF(ISERROR(F675),"",VLOOKUP(D675,INDIRECT($F$8),6+(O682-1)*3,0))</f>
        <v/>
      </c>
      <c r="C682" s="41"/>
      <c r="D682" s="41"/>
      <c r="E682" s="41"/>
      <c r="F682" s="7" t="str">
        <f ca="1">IF(ISERROR(F675),"",VLOOKUP(E675,INDIRECT($F$8),6+(O682-1)*3,0))</f>
        <v/>
      </c>
      <c r="G682" s="42" t="str">
        <f ca="1">IF(ISERROR(F675),"",_xlfn.TEXTJOIN("/",FALSE,P682,S682))</f>
        <v/>
      </c>
      <c r="H682" s="42"/>
      <c r="I682" s="42" t="str">
        <f ca="1">IF(ISERROR(F675),"",_xlfn.TEXTJOIN("/",FALSE,Q682,T682))</f>
        <v/>
      </c>
      <c r="J682" s="42"/>
      <c r="K682" s="42" t="str">
        <f ca="1">IF(ISERROR(F675),"",_xlfn.TEXTJOIN("/",FALSE,R682,U682))</f>
        <v/>
      </c>
      <c r="L682" s="42"/>
      <c r="M682" s="7" t="str">
        <f ca="1">IF(ISERROR(F675),"",IF(ISTEXT(P682),IF(P682="A","Ab",IF(P682="D","Dt",IF(P682="UFM","UFM",IF(P682="NA","-")))),IF(AND(ISBLANK(P682),ISBLANK(R682)),"",IF(P682&lt;0.3*S682,"F",IF(ISBLANK(R682),"",IF(ISTEXT(R682),R682,IF(R682&gt;=0.95*U682,"O",IF(R682&gt;=0.9*U682,"A+",IF(R682&gt;=0.85*U682,"A",IF(R682&gt;=0.8*U682,"B+",IF(R682&gt;=0.75*U682,"B",IF(R682&gt;=0.7*U682,"C+",IF(R682&gt;=0.65*U682,"C",IF(R682&gt;=0.6*U682,"D+",IF(R682&gt;=0.55*U682,"D",IF(R682&gt;=0.5*U682,"E+",IF(R682&gt;=0.45*U682,"E",IF(R682&gt;=0.4*U682,"P",IF(R682&lt;0.4*U682,"F",R682)))))))))))))))))))</f>
        <v/>
      </c>
      <c r="N682" s="8" t="e">
        <f t="shared" ca="1" si="67"/>
        <v>#N/A</v>
      </c>
      <c r="O682">
        <f>O681+1</f>
        <v>3</v>
      </c>
      <c r="P682" s="1" t="str">
        <f ca="1">IF(ISERROR(F675),"",IF(ISTEXT(VLOOKUP(B675,INDIRECT($F$8),6+(O682-1)*3)),(VLOOKUP(B675,INDIRECT($F$8),6+(O682-1)*3)),SUM(VLOOKUP(B675,INDIRECT($F$8),6+(O682-1)*3),IF(W694,W682,0))))</f>
        <v/>
      </c>
      <c r="Q682" s="1" t="str">
        <f ca="1">IF(ISERROR(F675),"",VLOOKUP(B675,INDIRECT($F$8),7+(O682-1)*3))</f>
        <v/>
      </c>
      <c r="R682" s="1" t="str">
        <f ca="1">IF(ISERROR(F675),"",SUM(P682:Q682))</f>
        <v/>
      </c>
      <c r="S682" s="1" t="str">
        <f ca="1">IF(ISERROR(F675),"",VLOOKUP(A675,INDIRECT($F$8),6+(O682-1)*3))</f>
        <v/>
      </c>
      <c r="T682" s="1" t="str">
        <f ca="1">IF(ISERROR(F675),"",VLOOKUP(A675,INDIRECT($F$8),7+(O682-1)*3))</f>
        <v/>
      </c>
      <c r="U682" s="1" t="str">
        <f ca="1">IF(ISERROR(F675),"",VLOOKUP(A675,INDIRECT($F$8),8+(O682-1)*3))</f>
        <v/>
      </c>
      <c r="V682" s="1" t="str">
        <f ca="1">IF(ISERROR(F675),"",IF(N682=0,A682,""))</f>
        <v/>
      </c>
      <c r="W682" s="1" t="str">
        <f ca="1">IF(ISERROR(F675),"",IF(ISTEXT(VLOOKUP(B675,INDIRECT($F$8),6+(O682-1)*3)),11,IF(VLOOKUP(B675,INDIRECT($F$8),6+(O682-1)*3)&lt;S682*0.3,IF(VLOOKUP(B675,INDIRECT($F$8),8+(O682-1)*3)&lt;U682*0.4,IF(AND(0.4*U682-VLOOKUP(B675,INDIRECT($F$8),8+(O682-1)*3)&lt;=5,0.3*S682-VLOOKUP(B675,INDIRECT($F$8),6+(O682-1)*3)&lt;=5),MAX(0.4*U682-VLOOKUP(B675,INDIRECT($F$8),8+(O682-1)*3),0.3*S682-VLOOKUP(B675,INDIRECT($F$8),6+(O682-1)*3)),11),IF(0.3*S682-VLOOKUP(B675,INDIRECT($F$8),6+(O682-1)*3)&lt;=5,0.3*S682-VLOOKUP(B675,INDIRECT($F$8),6+(O682-1)*3),11)),IF(VLOOKUP(B675,INDIRECT($F$8),8+(O682-1)*3)&lt;U682*0.4,IF(U682*0.4-VLOOKUP(B675,INDIRECT($F$8),8+(O682-1)*3)&lt;=5,U682*0.4-VLOOKUP(B675,INDIRECT($F$8),8+(O682-1)*3),11),0))))</f>
        <v/>
      </c>
      <c r="X682" s="1" t="str">
        <f ca="1">IF(ISERROR(F675),"",IF(W682=0,"",_xlfn.TEXTJOIN("",FALSE," G+",W682," in ",A682)))</f>
        <v/>
      </c>
    </row>
    <row r="683" spans="1:24" ht="11.25" customHeight="1" x14ac:dyDescent="0.2">
      <c r="A683" s="7" t="str">
        <f ca="1">IF(ISERROR(F675),"",VLOOKUP(C675,INDIRECT($F$8),6+(O683-1)*3,0))</f>
        <v/>
      </c>
      <c r="B683" s="41" t="str">
        <f ca="1">IF(ISERROR(F675),"",VLOOKUP(D675,INDIRECT($F$8),6+(O683-1)*3,0))</f>
        <v/>
      </c>
      <c r="C683" s="41"/>
      <c r="D683" s="41"/>
      <c r="E683" s="41"/>
      <c r="F683" s="7" t="str">
        <f ca="1">IF(ISERROR(F675),"",VLOOKUP(E675,INDIRECT($F$8),6+(O683-1)*3,0))</f>
        <v/>
      </c>
      <c r="G683" s="42" t="str">
        <f ca="1">IF(ISERROR(F675),"",_xlfn.TEXTJOIN("/",FALSE,P683,S683))</f>
        <v/>
      </c>
      <c r="H683" s="42"/>
      <c r="I683" s="42" t="str">
        <f ca="1">IF(ISERROR(F675),"",_xlfn.TEXTJOIN("/",FALSE,Q683,T683))</f>
        <v/>
      </c>
      <c r="J683" s="42"/>
      <c r="K683" s="42" t="str">
        <f ca="1">IF(ISERROR(F675),"",_xlfn.TEXTJOIN("/",FALSE,R683,U683))</f>
        <v/>
      </c>
      <c r="L683" s="42"/>
      <c r="M683" s="7" t="str">
        <f ca="1">IF(ISERROR(F675),"",IF(ISTEXT(P683),IF(P683="A","Ab",IF(P683="D","Dt",IF(P683="UFM","UFM",IF(P683="NA","-")))),IF(AND(ISBLANK(P683),ISBLANK(R683)),"",IF(P683&lt;0.3*S683,"F",IF(ISBLANK(R683),"",IF(ISTEXT(R683),R683,IF(R683&gt;=0.95*U683,"O",IF(R683&gt;=0.9*U683,"A+",IF(R683&gt;=0.85*U683,"A",IF(R683&gt;=0.8*U683,"B+",IF(R683&gt;=0.75*U683,"B",IF(R683&gt;=0.7*U683,"C+",IF(R683&gt;=0.65*U683,"C",IF(R683&gt;=0.6*U683,"D+",IF(R683&gt;=0.55*U683,"D",IF(R683&gt;=0.5*U683,"E+",IF(R683&gt;=0.45*U683,"E",IF(R683&gt;=0.4*U683,"P",IF(R683&lt;0.4*U683,"F",R683)))))))))))))))))))</f>
        <v/>
      </c>
      <c r="N683" s="8" t="e">
        <f t="shared" ca="1" si="67"/>
        <v>#N/A</v>
      </c>
      <c r="O683">
        <f>O682+1</f>
        <v>4</v>
      </c>
      <c r="P683" s="1" t="str">
        <f ca="1">IF(ISERROR(F675),"",IF(ISTEXT(VLOOKUP(B675,INDIRECT($F$8),6+(O683-1)*3)),(VLOOKUP(B675,INDIRECT($F$8),6+(O683-1)*3)),SUM(VLOOKUP(B675,INDIRECT($F$8),6+(O683-1)*3),IF(W694,W683,0))))</f>
        <v/>
      </c>
      <c r="Q683" s="1" t="str">
        <f ca="1">IF(ISERROR(F675),"",VLOOKUP(B675,INDIRECT($F$8),7+(O683-1)*3))</f>
        <v/>
      </c>
      <c r="R683" s="1" t="str">
        <f ca="1">IF(ISERROR(F675),"",SUM(P683:Q683))</f>
        <v/>
      </c>
      <c r="S683" s="1" t="str">
        <f ca="1">IF(ISERROR(F675),"",VLOOKUP(A675,INDIRECT($F$8),6+(O683-1)*3))</f>
        <v/>
      </c>
      <c r="T683" s="1" t="str">
        <f ca="1">IF(ISERROR(F675),"",VLOOKUP(A675,INDIRECT($F$8),7+(O683-1)*3))</f>
        <v/>
      </c>
      <c r="U683" s="1" t="str">
        <f ca="1">IF(ISERROR(F675),"",VLOOKUP(A675,INDIRECT($F$8),8+(O683-1)*3))</f>
        <v/>
      </c>
      <c r="V683" s="1" t="str">
        <f ca="1">IF(ISERROR(F675),"",IF(N683=0,A683,""))</f>
        <v/>
      </c>
      <c r="W683" s="1" t="str">
        <f ca="1">IF(ISERROR(F675),"",IF(ISTEXT(VLOOKUP(B675,INDIRECT($F$8),6+(O683-1)*3)),11,IF(VLOOKUP(B675,INDIRECT($F$8),6+(O683-1)*3)&lt;S683*0.3,IF(VLOOKUP(B675,INDIRECT($F$8),8+(O683-1)*3)&lt;U683*0.4,IF(AND(0.4*U683-VLOOKUP(B675,INDIRECT($F$8),8+(O683-1)*3)&lt;=5,0.3*S683-VLOOKUP(B675,INDIRECT($F$8),6+(O683-1)*3)&lt;=5),MAX(0.4*U683-VLOOKUP(B675,INDIRECT($F$8),8+(O683-1)*3),0.3*S683-VLOOKUP(B675,INDIRECT($F$8),6+(O683-1)*3)),11),IF(0.3*S683-VLOOKUP(B675,INDIRECT($F$8),6+(O683-1)*3)&lt;=5,0.3*S683-VLOOKUP(B675,INDIRECT($F$8),6+(O683-1)*3),11)),IF(VLOOKUP(B675,INDIRECT($F$8),8+(O683-1)*3)&lt;U683*0.4,IF(U683*0.4-VLOOKUP(B675,INDIRECT($F$8),8+(O683-1)*3)&lt;=5,U683*0.4-VLOOKUP(B675,INDIRECT($F$8),8+(O683-1)*3),11),0))))</f>
        <v/>
      </c>
      <c r="X683" s="1" t="str">
        <f ca="1">IF(ISERROR(F675),"",IF(W683=0,"",_xlfn.TEXTJOIN("",FALSE," G+",W683," in ",A683)))</f>
        <v/>
      </c>
    </row>
    <row r="684" spans="1:24" ht="11.25" customHeight="1" x14ac:dyDescent="0.2">
      <c r="A684" s="7" t="str">
        <f ca="1">IF(ISERROR(F675),"",VLOOKUP(C675,INDIRECT($F$8),6+(O684-1)*3,0))</f>
        <v/>
      </c>
      <c r="B684" s="41" t="str">
        <f ca="1">IF(ISERROR(F675),"",VLOOKUP(D675,INDIRECT($F$8),6+(O684-1)*3,0))</f>
        <v/>
      </c>
      <c r="C684" s="41"/>
      <c r="D684" s="41"/>
      <c r="E684" s="41"/>
      <c r="F684" s="7" t="str">
        <f ca="1">IF(ISERROR(F675),"",VLOOKUP(E675,INDIRECT($F$8),6+(O684-1)*3,0))</f>
        <v/>
      </c>
      <c r="G684" s="42" t="str">
        <f ca="1">IF(ISERROR(F675),"",_xlfn.TEXTJOIN("/",FALSE,P684,S684))</f>
        <v/>
      </c>
      <c r="H684" s="42"/>
      <c r="I684" s="42" t="str">
        <f ca="1">IF(ISERROR(F675),"",_xlfn.TEXTJOIN("/",FALSE,Q684,T684))</f>
        <v/>
      </c>
      <c r="J684" s="42"/>
      <c r="K684" s="42" t="str">
        <f ca="1">IF(ISERROR(F675),"",_xlfn.TEXTJOIN("/",FALSE,R684,U684))</f>
        <v/>
      </c>
      <c r="L684" s="42"/>
      <c r="M684" s="7" t="str">
        <f ca="1">IF(ISERROR(F675),"",IF(ISTEXT(P684),IF(P684="A","Ab",IF(P684="D","Dt",IF(P684="UFM","UFM",IF(P684="NA","-")))),IF(AND(ISBLANK(P684),ISBLANK(R684)),"",IF(P684&lt;0.3*S684,"F",IF(ISBLANK(R684),"",IF(ISTEXT(R684),R684,IF(R684&gt;=0.95*U684,"O",IF(R684&gt;=0.9*U684,"A+",IF(R684&gt;=0.85*U684,"A",IF(R684&gt;=0.8*U684,"B+",IF(R684&gt;=0.75*U684,"B",IF(R684&gt;=0.7*U684,"C+",IF(R684&gt;=0.65*U684,"C",IF(R684&gt;=0.6*U684,"D+",IF(R684&gt;=0.55*U684,"D",IF(R684&gt;=0.5*U684,"E+",IF(R684&gt;=0.45*U684,"E",IF(R684&gt;=0.4*U684,"P",IF(R684&lt;0.4*U684,"F",R684)))))))))))))))))))</f>
        <v/>
      </c>
      <c r="N684" s="8" t="e">
        <f t="shared" ca="1" si="67"/>
        <v>#N/A</v>
      </c>
      <c r="O684">
        <f t="shared" ref="O684:O693" si="68">O683+1</f>
        <v>5</v>
      </c>
      <c r="P684" s="1" t="str">
        <f ca="1">IF(ISERROR(F675),"",IF(ISTEXT(VLOOKUP(B675,INDIRECT($F$8),6+(O684-1)*3)),(VLOOKUP(B675,INDIRECT($F$8),6+(O684-1)*3)),SUM(VLOOKUP(B675,INDIRECT($F$8),6+(O684-1)*3),IF(W694,W684,0))))</f>
        <v/>
      </c>
      <c r="Q684" s="1" t="str">
        <f ca="1">IF(ISERROR(F675),"",VLOOKUP(B675,INDIRECT($F$8),7+(O684-1)*3))</f>
        <v/>
      </c>
      <c r="R684" s="1" t="str">
        <f ca="1">IF(ISERROR(F675),"",SUM(P684:Q684))</f>
        <v/>
      </c>
      <c r="S684" s="1" t="str">
        <f ca="1">IF(ISERROR(F675),"",VLOOKUP(A675,INDIRECT($F$8),6+(O684-1)*3))</f>
        <v/>
      </c>
      <c r="T684" s="1" t="str">
        <f ca="1">IF(ISERROR(F675),"",VLOOKUP(A675,INDIRECT($F$8),7+(O684-1)*3))</f>
        <v/>
      </c>
      <c r="U684" s="1" t="str">
        <f ca="1">IF(ISERROR(F675),"",VLOOKUP(A675,INDIRECT($F$8),8+(O684-1)*3))</f>
        <v/>
      </c>
      <c r="V684" s="1" t="str">
        <f ca="1">IF(ISERROR(F675),"",IF(N684=0,A684,""))</f>
        <v/>
      </c>
      <c r="W684" s="1" t="str">
        <f ca="1">IF(ISERROR(F675),"",IF(ISTEXT(VLOOKUP(B675,INDIRECT($F$8),6+(O684-1)*3)),11,IF(VLOOKUP(B675,INDIRECT($F$8),6+(O684-1)*3)&lt;S684*0.3,IF(VLOOKUP(B675,INDIRECT($F$8),8+(O684-1)*3)&lt;U684*0.4,IF(AND(0.4*U684-VLOOKUP(B675,INDIRECT($F$8),8+(O684-1)*3)&lt;=5,0.3*S684-VLOOKUP(B675,INDIRECT($F$8),6+(O684-1)*3)&lt;=5),MAX(0.4*U684-VLOOKUP(B675,INDIRECT($F$8),8+(O684-1)*3),0.3*S684-VLOOKUP(B675,INDIRECT($F$8),6+(O684-1)*3)),11),IF(0.3*S684-VLOOKUP(B675,INDIRECT($F$8),6+(O684-1)*3)&lt;=5,0.3*S684-VLOOKUP(B675,INDIRECT($F$8),6+(O684-1)*3),11)),IF(VLOOKUP(B675,INDIRECT($F$8),8+(O684-1)*3)&lt;U684*0.4,IF(U684*0.4-VLOOKUP(B675,INDIRECT($F$8),8+(O684-1)*3)&lt;=5,U684*0.4-VLOOKUP(B675,INDIRECT($F$8),8+(O684-1)*3),11),0))))</f>
        <v/>
      </c>
      <c r="X684" s="1" t="str">
        <f ca="1">IF(ISERROR(F675),"",IF(W684=0,"",_xlfn.TEXTJOIN("",FALSE," G+",W684," in ",A684)))</f>
        <v/>
      </c>
    </row>
    <row r="685" spans="1:24" ht="11.25" customHeight="1" x14ac:dyDescent="0.2">
      <c r="A685" s="7" t="str">
        <f ca="1">IF(ISERROR(F675),"",VLOOKUP(C675,INDIRECT($F$8),6+(O685-1)*3,0))</f>
        <v/>
      </c>
      <c r="B685" s="41" t="str">
        <f ca="1">IF(ISERROR(F675),"",VLOOKUP(D675,INDIRECT($F$8),6+(O685-1)*3,0))</f>
        <v/>
      </c>
      <c r="C685" s="41"/>
      <c r="D685" s="41"/>
      <c r="E685" s="41"/>
      <c r="F685" s="7" t="str">
        <f ca="1">IF(ISERROR(F675),"",VLOOKUP(E675,INDIRECT($F$8),6+(O685-1)*3,0))</f>
        <v/>
      </c>
      <c r="G685" s="42" t="str">
        <f ca="1">IF(ISERROR(F675),"",_xlfn.TEXTJOIN("/",FALSE,P685,S685))</f>
        <v/>
      </c>
      <c r="H685" s="42"/>
      <c r="I685" s="42" t="str">
        <f ca="1">IF(ISERROR(F675),"",_xlfn.TEXTJOIN("/",FALSE,Q685,T685))</f>
        <v/>
      </c>
      <c r="J685" s="42"/>
      <c r="K685" s="42" t="str">
        <f ca="1">IF(ISERROR(F675),"",_xlfn.TEXTJOIN("/",FALSE,R685,U685))</f>
        <v/>
      </c>
      <c r="L685" s="42"/>
      <c r="M685" s="7" t="str">
        <f ca="1">IF(ISERROR(F675),"",IF(ISTEXT(P685),IF(P685="A","Ab",IF(P685="D","Dt",IF(P685="UFM","UFM",IF(P685="NA","-")))),IF(AND(ISBLANK(P685),ISBLANK(R685)),"",IF(P685&lt;0.3*S685,"F",IF(ISBLANK(R685),"",IF(ISTEXT(R685),R685,IF(R685&gt;=0.95*U685,"O",IF(R685&gt;=0.9*U685,"A+",IF(R685&gt;=0.85*U685,"A",IF(R685&gt;=0.8*U685,"B+",IF(R685&gt;=0.75*U685,"B",IF(R685&gt;=0.7*U685,"C+",IF(R685&gt;=0.65*U685,"C",IF(R685&gt;=0.6*U685,"D+",IF(R685&gt;=0.55*U685,"D",IF(R685&gt;=0.5*U685,"E+",IF(R685&gt;=0.45*U685,"E",IF(R685&gt;=0.4*U685,"P",IF(R685&lt;0.4*U685,"F",R685)))))))))))))))))))</f>
        <v/>
      </c>
      <c r="N685" s="8" t="e">
        <f t="shared" ca="1" si="67"/>
        <v>#N/A</v>
      </c>
      <c r="O685">
        <f t="shared" si="68"/>
        <v>6</v>
      </c>
      <c r="P685" s="1" t="str">
        <f ca="1">IF(ISERROR(F675),"",IF(ISTEXT(VLOOKUP(B675,INDIRECT($F$8),6+(O685-1)*3)),(VLOOKUP(B675,INDIRECT($F$8),6+(O685-1)*3)),SUM(VLOOKUP(B675,INDIRECT($F$8),6+(O685-1)*3),IF(W694,W685,0))))</f>
        <v/>
      </c>
      <c r="Q685" s="1" t="str">
        <f ca="1">IF(ISERROR(F675),"",VLOOKUP(B675,INDIRECT($F$8),7+(O685-1)*3))</f>
        <v/>
      </c>
      <c r="R685" s="1" t="str">
        <f ca="1">IF(ISERROR(F675),"",SUM(P685:Q685))</f>
        <v/>
      </c>
      <c r="S685" s="1" t="str">
        <f ca="1">IF(ISERROR(F675),"",VLOOKUP(A675,INDIRECT($F$8),6+(O685-1)*3))</f>
        <v/>
      </c>
      <c r="T685" s="1" t="str">
        <f ca="1">IF(ISERROR(F675),"",VLOOKUP(A675,INDIRECT($F$8),7+(O685-1)*3))</f>
        <v/>
      </c>
      <c r="U685" s="1" t="str">
        <f ca="1">IF(ISERROR(F675),"",VLOOKUP(A675,INDIRECT($F$8),8+(O685-1)*3))</f>
        <v/>
      </c>
      <c r="V685" s="1" t="str">
        <f ca="1">IF(ISERROR(F675),"",IF(N685=0,A685,""))</f>
        <v/>
      </c>
      <c r="W685" s="1" t="str">
        <f ca="1">IF(ISERROR(F675),"",IF(ISTEXT(VLOOKUP(B675,INDIRECT($F$8),6+(O685-1)*3)),11,IF(VLOOKUP(B675,INDIRECT($F$8),6+(O685-1)*3)&lt;S685*0.3,IF(VLOOKUP(B675,INDIRECT($F$8),8+(O685-1)*3)&lt;U685*0.4,IF(AND(0.4*U685-VLOOKUP(B675,INDIRECT($F$8),8+(O685-1)*3)&lt;=5,0.3*S685-VLOOKUP(B675,INDIRECT($F$8),6+(O685-1)*3)&lt;=5),MAX(0.4*U685-VLOOKUP(B675,INDIRECT($F$8),8+(O685-1)*3),0.3*S685-VLOOKUP(B675,INDIRECT($F$8),6+(O685-1)*3)),11),IF(0.3*S685-VLOOKUP(B675,INDIRECT($F$8),6+(O685-1)*3)&lt;=5,0.3*S685-VLOOKUP(B675,INDIRECT($F$8),6+(O685-1)*3),11)),IF(VLOOKUP(B675,INDIRECT($F$8),8+(O685-1)*3)&lt;U685*0.4,IF(U685*0.4-VLOOKUP(B675,INDIRECT($F$8),8+(O685-1)*3)&lt;=5,U685*0.4-VLOOKUP(B675,INDIRECT($F$8),8+(O685-1)*3),11),0))))</f>
        <v/>
      </c>
      <c r="X685" s="1" t="str">
        <f ca="1">IF(ISERROR(F675),"",IF(W685=0,"",_xlfn.TEXTJOIN("",FALSE," G+",W685," in ",A685)))</f>
        <v/>
      </c>
    </row>
    <row r="686" spans="1:24" ht="11.25" customHeight="1" x14ac:dyDescent="0.2">
      <c r="A686" s="7" t="str">
        <f ca="1">IF(ISERROR(F675),"",VLOOKUP(C675,INDIRECT($F$8),6+(O686-1)*3,0))</f>
        <v/>
      </c>
      <c r="B686" s="41" t="str">
        <f ca="1">IF(ISERROR(F675),"",VLOOKUP(D675,INDIRECT($F$8),6+(O686-1)*3,0))</f>
        <v/>
      </c>
      <c r="C686" s="41"/>
      <c r="D686" s="41"/>
      <c r="E686" s="41"/>
      <c r="F686" s="7" t="str">
        <f ca="1">IF(ISERROR(F675),"",VLOOKUP(E675,INDIRECT($F$8),6+(O686-1)*3,0))</f>
        <v/>
      </c>
      <c r="G686" s="42" t="str">
        <f ca="1">IF(ISERROR(F675),"",_xlfn.TEXTJOIN("/",FALSE,P686,S686))</f>
        <v/>
      </c>
      <c r="H686" s="42"/>
      <c r="I686" s="42" t="str">
        <f ca="1">IF(ISERROR(F675),"",_xlfn.TEXTJOIN("/",FALSE,Q686,T686))</f>
        <v/>
      </c>
      <c r="J686" s="42"/>
      <c r="K686" s="42" t="str">
        <f ca="1">IF(ISERROR(F675),"",_xlfn.TEXTJOIN("/",FALSE,R686,U686))</f>
        <v/>
      </c>
      <c r="L686" s="42"/>
      <c r="M686" s="7" t="str">
        <f ca="1">IF(ISERROR(F675),"",IF(ISTEXT(P686),IF(P686="A","Ab",IF(P686="D","Dt",IF(P686="UFM","UFM",IF(P686="NA","-")))),IF(AND(ISBLANK(P686),ISBLANK(R686)),"",IF(P686&lt;0.3*S686,"F",IF(ISBLANK(R686),"",IF(ISTEXT(R686),R686,IF(R686&gt;=0.95*U686,"O",IF(R686&gt;=0.9*U686,"A+",IF(R686&gt;=0.85*U686,"A",IF(R686&gt;=0.8*U686,"B+",IF(R686&gt;=0.75*U686,"B",IF(R686&gt;=0.7*U686,"C+",IF(R686&gt;=0.65*U686,"C",IF(R686&gt;=0.6*U686,"D+",IF(R686&gt;=0.55*U686,"D",IF(R686&gt;=0.5*U686,"E+",IF(R686&gt;=0.45*U686,"E",IF(R686&gt;=0.4*U686,"P",IF(R686&lt;0.4*U686,"F",R686)))))))))))))))))))</f>
        <v/>
      </c>
      <c r="N686" s="8" t="e">
        <f t="shared" ca="1" si="67"/>
        <v>#N/A</v>
      </c>
      <c r="O686">
        <f t="shared" si="68"/>
        <v>7</v>
      </c>
      <c r="P686" s="1" t="str">
        <f ca="1">IF(ISERROR(F675),"",IF(ISTEXT(VLOOKUP(B675,INDIRECT($F$8),6+(O686-1)*3)),(VLOOKUP(B675,INDIRECT($F$8),6+(O686-1)*3)),SUM(VLOOKUP(B675,INDIRECT($F$8),6+(O686-1)*3),IF(W694,W686,0))))</f>
        <v/>
      </c>
      <c r="Q686" s="1" t="str">
        <f ca="1">IF(ISERROR(F675),"",VLOOKUP(B675,INDIRECT($F$8),7+(O686-1)*3))</f>
        <v/>
      </c>
      <c r="R686" s="1" t="str">
        <f ca="1">IF(ISERROR(F675),"",SUM(P686:Q686))</f>
        <v/>
      </c>
      <c r="S686" s="1" t="str">
        <f ca="1">IF(ISERROR(F675),"",VLOOKUP(A675,INDIRECT($F$8),6+(O686-1)*3))</f>
        <v/>
      </c>
      <c r="T686" s="1" t="str">
        <f ca="1">IF(ISERROR(F675),"",VLOOKUP(A675,INDIRECT($F$8),7+(O686-1)*3))</f>
        <v/>
      </c>
      <c r="U686" s="1" t="str">
        <f ca="1">IF(ISERROR(F675),"",VLOOKUP(A675,INDIRECT($F$8),8+(O686-1)*3))</f>
        <v/>
      </c>
      <c r="V686" s="1" t="str">
        <f ca="1">IF(ISERROR(F675),"",IF(N686=0,A686,""))</f>
        <v/>
      </c>
      <c r="W686" s="1" t="str">
        <f ca="1">IF(ISERROR(F675),"",IF(ISTEXT(VLOOKUP(B675,INDIRECT($F$8),6+(O686-1)*3)),11,IF(VLOOKUP(B675,INDIRECT($F$8),6+(O686-1)*3)&lt;S686*0.3,IF(VLOOKUP(B675,INDIRECT($F$8),8+(O686-1)*3)&lt;U686*0.4,IF(AND(0.4*U686-VLOOKUP(B675,INDIRECT($F$8),8+(O686-1)*3)&lt;=5,0.3*S686-VLOOKUP(B675,INDIRECT($F$8),6+(O686-1)*3)&lt;=5),MAX(0.4*U686-VLOOKUP(B675,INDIRECT($F$8),8+(O686-1)*3),0.3*S686-VLOOKUP(B675,INDIRECT($F$8),6+(O686-1)*3)),11),IF(0.3*S686-VLOOKUP(B675,INDIRECT($F$8),6+(O686-1)*3)&lt;=5,0.3*S686-VLOOKUP(B675,INDIRECT($F$8),6+(O686-1)*3),11)),IF(VLOOKUP(B675,INDIRECT($F$8),8+(O686-1)*3)&lt;U686*0.4,IF(U686*0.4-VLOOKUP(B675,INDIRECT($F$8),8+(O686-1)*3)&lt;=5,U686*0.4-VLOOKUP(B675,INDIRECT($F$8),8+(O686-1)*3),11),0))))</f>
        <v/>
      </c>
      <c r="X686" s="1" t="str">
        <f ca="1">IF(ISERROR(F675),"",IF(W686=0,"",_xlfn.TEXTJOIN("",FALSE," G+",W686," in ",A686)))</f>
        <v/>
      </c>
    </row>
    <row r="687" spans="1:24" ht="11.25" customHeight="1" x14ac:dyDescent="0.2">
      <c r="A687" s="7" t="str">
        <f ca="1">IF(ISERROR(F675),"",VLOOKUP(C675,INDIRECT($F$8),6+(O687-1)*3,0))</f>
        <v/>
      </c>
      <c r="B687" s="41" t="str">
        <f ca="1">IF(ISERROR(F675),"",VLOOKUP(D675,INDIRECT($F$8),6+(O687-1)*3,0))</f>
        <v/>
      </c>
      <c r="C687" s="41"/>
      <c r="D687" s="41"/>
      <c r="E687" s="41"/>
      <c r="F687" s="7" t="str">
        <f ca="1">IF(ISERROR(F675),"",VLOOKUP(E675,INDIRECT($F$8),6+(O687-1)*3,0))</f>
        <v/>
      </c>
      <c r="G687" s="42" t="str">
        <f ca="1">IF(ISERROR(F675),"",_xlfn.TEXTJOIN("/",FALSE,P687,S687))</f>
        <v/>
      </c>
      <c r="H687" s="42"/>
      <c r="I687" s="42" t="str">
        <f ca="1">IF(ISERROR(F675),"",_xlfn.TEXTJOIN("/",FALSE,Q687,T687))</f>
        <v/>
      </c>
      <c r="J687" s="42"/>
      <c r="K687" s="42" t="str">
        <f ca="1">IF(ISERROR(F675),"",_xlfn.TEXTJOIN("/",FALSE,R687,U687))</f>
        <v/>
      </c>
      <c r="L687" s="42"/>
      <c r="M687" s="7" t="str">
        <f ca="1">IF(ISERROR(F675),"",IF(ISTEXT(P687),IF(P687="A","Ab",IF(P687="D","Dt",IF(P687="UFM","UFM",IF(P687="NA","-")))),IF(AND(ISBLANK(P687),ISBLANK(R687)),"",IF(P687&lt;0.3*S687,"F",IF(ISBLANK(R687),"",IF(ISTEXT(R687),R687,IF(R687&gt;=0.95*U687,"O",IF(R687&gt;=0.9*U687,"A+",IF(R687&gt;=0.85*U687,"A",IF(R687&gt;=0.8*U687,"B+",IF(R687&gt;=0.75*U687,"B",IF(R687&gt;=0.7*U687,"C+",IF(R687&gt;=0.65*U687,"C",IF(R687&gt;=0.6*U687,"D+",IF(R687&gt;=0.55*U687,"D",IF(R687&gt;=0.5*U687,"E+",IF(R687&gt;=0.45*U687,"E",IF(R687&gt;=0.4*U687,"P",IF(R687&lt;0.4*U687,"F",R687)))))))))))))))))))</f>
        <v/>
      </c>
      <c r="N687" s="8" t="e">
        <f t="shared" ca="1" si="67"/>
        <v>#N/A</v>
      </c>
      <c r="O687">
        <f t="shared" si="68"/>
        <v>8</v>
      </c>
      <c r="P687" s="1" t="str">
        <f ca="1">IF(ISERROR(F675),"",IF(ISTEXT(VLOOKUP(B675,INDIRECT($F$8),6+(O687-1)*3)),(VLOOKUP(B675,INDIRECT($F$8),6+(O687-1)*3)),SUM(VLOOKUP(B675,INDIRECT($F$8),6+(O687-1)*3),IF(W694,W687,0))))</f>
        <v/>
      </c>
      <c r="Q687" s="1" t="str">
        <f ca="1">IF(ISERROR(F675),"",VLOOKUP(B675,INDIRECT($F$8),7+(O687-1)*3))</f>
        <v/>
      </c>
      <c r="R687" s="1" t="str">
        <f ca="1">IF(ISERROR(F675),"",SUM(P687:Q687))</f>
        <v/>
      </c>
      <c r="S687" s="1" t="str">
        <f ca="1">IF(ISERROR(F675),"",VLOOKUP(A675,INDIRECT($F$8),6+(O687-1)*3))</f>
        <v/>
      </c>
      <c r="T687" s="1" t="str">
        <f ca="1">IF(ISERROR(F675),"",VLOOKUP(A675,INDIRECT($F$8),7+(O687-1)*3))</f>
        <v/>
      </c>
      <c r="U687" s="1" t="str">
        <f ca="1">IF(ISERROR(F675),"",VLOOKUP(A675,INDIRECT($F$8),8+(O687-1)*3))</f>
        <v/>
      </c>
      <c r="V687" s="1" t="str">
        <f ca="1">IF(ISERROR(F675),"",IF(N687=0,A687,""))</f>
        <v/>
      </c>
      <c r="W687" s="1" t="str">
        <f ca="1">IF(ISERROR(F675),"",IF(ISTEXT(VLOOKUP(B675,INDIRECT($F$8),6+(O687-1)*3)),11,IF(VLOOKUP(B675,INDIRECT($F$8),6+(O687-1)*3)&lt;S687*0.3,IF(VLOOKUP(B675,INDIRECT($F$8),8+(O687-1)*3)&lt;U687*0.4,IF(AND(0.4*U687-VLOOKUP(B675,INDIRECT($F$8),8+(O687-1)*3)&lt;=5,0.3*S687-VLOOKUP(B675,INDIRECT($F$8),6+(O687-1)*3)&lt;=5),MAX(0.4*U687-VLOOKUP(B675,INDIRECT($F$8),8+(O687-1)*3),0.3*S687-VLOOKUP(B675,INDIRECT($F$8),6+(O687-1)*3)),11),IF(0.3*S687-VLOOKUP(B675,INDIRECT($F$8),6+(O687-1)*3)&lt;=5,0.3*S687-VLOOKUP(B675,INDIRECT($F$8),6+(O687-1)*3),11)),IF(VLOOKUP(B675,INDIRECT($F$8),8+(O687-1)*3)&lt;U687*0.4,IF(U687*0.4-VLOOKUP(B675,INDIRECT($F$8),8+(O687-1)*3)&lt;=5,U687*0.4-VLOOKUP(B675,INDIRECT($F$8),8+(O687-1)*3),11),0))))</f>
        <v/>
      </c>
      <c r="X687" s="1" t="str">
        <f ca="1">IF(ISERROR(F675),"",IF(W687=0,"",_xlfn.TEXTJOIN("",FALSE," G+",W687," in ",A687)))</f>
        <v/>
      </c>
    </row>
    <row r="688" spans="1:24" ht="11.25" customHeight="1" x14ac:dyDescent="0.2">
      <c r="A688" s="7" t="str">
        <f ca="1">IF(ISERROR(F675),"",VLOOKUP(C675,INDIRECT($F$8),6+(O688-1)*3,0))</f>
        <v/>
      </c>
      <c r="B688" s="41" t="str">
        <f ca="1">IF(ISERROR(F675),"",VLOOKUP(D675,INDIRECT($F$8),6+(O688-1)*3-Z688,0))</f>
        <v/>
      </c>
      <c r="C688" s="41"/>
      <c r="D688" s="41"/>
      <c r="E688" s="41"/>
      <c r="F688" s="7" t="str">
        <f ca="1">IF(ISERROR(F675),"",VLOOKUP(E675,INDIRECT($F$8),6+(O688-1)*3,0))</f>
        <v/>
      </c>
      <c r="G688" s="42" t="str">
        <f ca="1">IF(ISERROR(F675),"",_xlfn.TEXTJOIN("/",FALSE,P688,S688))</f>
        <v/>
      </c>
      <c r="H688" s="42"/>
      <c r="I688" s="42" t="str">
        <f ca="1">IF(ISERROR(F675),"",_xlfn.TEXTJOIN("/",FALSE,Q688,T688))</f>
        <v/>
      </c>
      <c r="J688" s="42"/>
      <c r="K688" s="42" t="str">
        <f ca="1">IF(ISERROR(F675),"",_xlfn.TEXTJOIN("/",FALSE,R688,U688))</f>
        <v/>
      </c>
      <c r="L688" s="42"/>
      <c r="M688" s="7" t="str">
        <f ca="1">IF(ISERROR(F675),"",IF(ISTEXT(P688),IF(P688="A","Ab",IF(P688="D","Dt",IF(P688="UFM","UFM",IF(P688="NA","-")))),IF(AND(ISBLANK(P688),ISBLANK(R688)),"",IF(P688&lt;0.3*S688,"F",IF(ISBLANK(R688),"",IF(ISTEXT(R688),R688,IF(R688&gt;=0.95*U688,"O",IF(R688&gt;=0.9*U688,"A+",IF(R688&gt;=0.85*U688,"A",IF(R688&gt;=0.8*U688,"B+",IF(R688&gt;=0.75*U688,"B",IF(R688&gt;=0.7*U688,"C+",IF(R688&gt;=0.65*U688,"C",IF(R688&gt;=0.6*U688,"D+",IF(R688&gt;=0.55*U688,"D",IF(R688&gt;=0.5*U688,"E+",IF(R688&gt;=0.45*U688,"E",IF(R688&gt;=0.4*U688,"P",IF(R688&lt;0.4*U688,"F",R688)))))))))))))))))))</f>
        <v/>
      </c>
      <c r="N688" s="8" t="e">
        <f t="shared" ca="1" si="67"/>
        <v>#N/A</v>
      </c>
      <c r="O688">
        <f t="shared" si="68"/>
        <v>9</v>
      </c>
      <c r="P688" s="1" t="str">
        <f ca="1">IF(ISERROR(F675),"",IF(ISTEXT(VLOOKUP(B675,INDIRECT($F$8),6+(O688-1)*3)),(VLOOKUP(B675,INDIRECT($F$8),6+(O688-1)*3)),SUM(VLOOKUP(B675,INDIRECT($F$8),6+(O688-1)*3),IF(W694,W688,0))))</f>
        <v/>
      </c>
      <c r="Q688" s="1" t="str">
        <f ca="1">IF(ISERROR(F675),"",VLOOKUP(B675,INDIRECT($F$8),7+(O688-1)*3))</f>
        <v/>
      </c>
      <c r="R688" s="1" t="str">
        <f ca="1">IF(ISERROR(F675),"",SUM(P688:Q688))</f>
        <v/>
      </c>
      <c r="S688" s="1" t="str">
        <f ca="1">IF(ISERROR(F675),"",VLOOKUP(A675,INDIRECT($F$8),6+(O688-1)*3))</f>
        <v/>
      </c>
      <c r="T688" s="1" t="str">
        <f ca="1">IF(ISERROR(F675),"",VLOOKUP(A675,INDIRECT($F$8),7+(O688-1)*3))</f>
        <v/>
      </c>
      <c r="U688" s="1" t="str">
        <f ca="1">IF(ISERROR(F675),"",VLOOKUP(A675,INDIRECT($F$8),8+(O688-1)*3))</f>
        <v/>
      </c>
      <c r="V688" s="1" t="str">
        <f ca="1">IF(ISERROR(F675),"",IF(N688=0,A688,""))</f>
        <v/>
      </c>
      <c r="W688" s="1" t="str">
        <f ca="1">IF(ISERROR(F675),"",IF(ISTEXT(VLOOKUP(B675,INDIRECT($F$8),6+(O688-1)*3)),11,IF(VLOOKUP(B675,INDIRECT($F$8),6+(O688-1)*3)&lt;S688*0.3,IF(VLOOKUP(B675,INDIRECT($F$8),8+(O688-1)*3)&lt;U688*0.4,IF(AND(0.4*U688-VLOOKUP(B675,INDIRECT($F$8),8+(O688-1)*3)&lt;=5,0.3*S688-VLOOKUP(B675,INDIRECT($F$8),6+(O688-1)*3)&lt;=5),MAX(0.4*U688-VLOOKUP(B675,INDIRECT($F$8),8+(O688-1)*3),0.3*S688-VLOOKUP(B675,INDIRECT($F$8),6+(O688-1)*3)),11),IF(0.3*S688-VLOOKUP(B675,INDIRECT($F$8),6+(O688-1)*3)&lt;=5,0.3*S688-VLOOKUP(B675,INDIRECT($F$8),6+(O688-1)*3),11)),IF(VLOOKUP(B675,INDIRECT($F$8),8+(O688-1)*3)&lt;U688*0.4,IF(U688*0.4-VLOOKUP(B675,INDIRECT($F$8),8+(O688-1)*3)&lt;=5,U688*0.4-VLOOKUP(B675,INDIRECT($F$8),8+(O688-1)*3),11),0))))</f>
        <v/>
      </c>
      <c r="X688" s="1" t="str">
        <f ca="1">IF(ISERROR(F675),"",IF(W688=0,"",_xlfn.TEXTJOIN("",FALSE," G+",W688," in ",A688)))</f>
        <v/>
      </c>
    </row>
    <row r="689" spans="1:24" ht="11.25" customHeight="1" x14ac:dyDescent="0.2">
      <c r="A689" s="7" t="str">
        <f ca="1">IF(ISERROR(F675),"",VLOOKUP(C675,INDIRECT($F$8),6+(O689-1)*3,0))</f>
        <v/>
      </c>
      <c r="B689" s="41" t="str">
        <f ca="1">IF(ISERROR(F675),"",VLOOKUP(D675,INDIRECT($F$8),6+(O689-1)*3-Z689,0))</f>
        <v/>
      </c>
      <c r="C689" s="41"/>
      <c r="D689" s="41"/>
      <c r="E689" s="41"/>
      <c r="F689" s="7" t="str">
        <f ca="1">IF(ISERROR(F675),"",VLOOKUP(E675,INDIRECT($F$8),6+(O689-1)*3,0))</f>
        <v/>
      </c>
      <c r="G689" s="42" t="str">
        <f ca="1">IF(ISERROR(F675),"",_xlfn.TEXTJOIN("/",FALSE,P689,S689))</f>
        <v/>
      </c>
      <c r="H689" s="42"/>
      <c r="I689" s="42" t="str">
        <f ca="1">IF(ISERROR(F675),"",_xlfn.TEXTJOIN("/",FALSE,Q689,T689))</f>
        <v/>
      </c>
      <c r="J689" s="42"/>
      <c r="K689" s="42" t="str">
        <f ca="1">IF(ISERROR(F675),"",_xlfn.TEXTJOIN("/",FALSE,R689,U689))</f>
        <v/>
      </c>
      <c r="L689" s="42"/>
      <c r="M689" s="7" t="str">
        <f ca="1">IF(ISERROR(F675),"",IF(ISTEXT(P689),IF(P689="A","Ab",IF(P689="D","Dt",IF(P689="UFM","UFM",IF(P689="NA","-")))),IF(AND(ISBLANK(P689),ISBLANK(R689)),"",IF(P689&lt;0.3*S689,"F",IF(ISBLANK(R689),"",IF(ISTEXT(R689),R689,IF(R689&gt;=0.95*U689,"O",IF(R689&gt;=0.9*U689,"A+",IF(R689&gt;=0.85*U689,"A",IF(R689&gt;=0.8*U689,"B+",IF(R689&gt;=0.75*U689,"B",IF(R689&gt;=0.7*U689,"C+",IF(R689&gt;=0.65*U689,"C",IF(R689&gt;=0.6*U689,"D+",IF(R689&gt;=0.55*U689,"D",IF(R689&gt;=0.5*U689,"E+",IF(R689&gt;=0.45*U689,"E",IF(R689&gt;=0.4*U689,"P",IF(R689&lt;0.4*U689,"F",R689)))))))))))))))))))</f>
        <v/>
      </c>
      <c r="N689" s="8" t="e">
        <f t="shared" ca="1" si="67"/>
        <v>#N/A</v>
      </c>
      <c r="O689">
        <f t="shared" si="68"/>
        <v>10</v>
      </c>
      <c r="P689" s="1" t="str">
        <f ca="1">IF(ISERROR(F675),"",IF(ISTEXT(VLOOKUP(B675,INDIRECT($F$8),6+(O689-1)*3)),(VLOOKUP(B675,INDIRECT($F$8),6+(O689-1)*3)),SUM(VLOOKUP(B675,INDIRECT($F$8),6+(O689-1)*3),IF(W694,W689,0))))</f>
        <v/>
      </c>
      <c r="Q689" s="1" t="str">
        <f ca="1">IF(ISERROR(F675),"",VLOOKUP(B675,INDIRECT($F$8),7+(O689-1)*3))</f>
        <v/>
      </c>
      <c r="R689" s="1" t="str">
        <f ca="1">IF(ISERROR(F675),"",SUM(P689:Q689))</f>
        <v/>
      </c>
      <c r="S689" s="1" t="str">
        <f ca="1">IF(ISERROR(F675),"",VLOOKUP(A675,INDIRECT($F$8),6+(O689-1)*3))</f>
        <v/>
      </c>
      <c r="T689" s="1" t="str">
        <f ca="1">IF(ISERROR(F675),"",VLOOKUP(A675,INDIRECT($F$8),7+(O689-1)*3))</f>
        <v/>
      </c>
      <c r="U689" s="1" t="str">
        <f ca="1">IF(ISERROR(F675),"",VLOOKUP(A675,INDIRECT($F$8),8+(O689-1)*3))</f>
        <v/>
      </c>
      <c r="V689" s="1" t="str">
        <f ca="1">IF(ISERROR(F675),"",IF(N689=0,A689,""))</f>
        <v/>
      </c>
      <c r="W689" s="1" t="str">
        <f ca="1">IF(ISERROR(F675),"",IF(ISTEXT(VLOOKUP(B675,INDIRECT($F$8),6+(O689-1)*3)),11,IF(VLOOKUP(B675,INDIRECT($F$8),6+(O689-1)*3)&lt;S689*0.3,IF(VLOOKUP(B675,INDIRECT($F$8),8+(O689-1)*3)&lt;U689*0.4,IF(AND(0.4*U689-VLOOKUP(B675,INDIRECT($F$8),8+(O689-1)*3)&lt;=5,0.3*S689-VLOOKUP(B675,INDIRECT($F$8),6+(O689-1)*3)&lt;=5),MAX(0.4*U689-VLOOKUP(B675,INDIRECT($F$8),8+(O689-1)*3),0.3*S689-VLOOKUP(B675,INDIRECT($F$8),6+(O689-1)*3)),11),IF(0.3*S689-VLOOKUP(B675,INDIRECT($F$8),6+(O689-1)*3)&lt;=5,0.3*S689-VLOOKUP(B675,INDIRECT($F$8),6+(O689-1)*3),11)),IF(VLOOKUP(B675,INDIRECT($F$8),8+(O689-1)*3)&lt;U689*0.4,IF(U689*0.4-VLOOKUP(B675,INDIRECT($F$8),8+(O689-1)*3)&lt;=5,U689*0.4-VLOOKUP(B675,INDIRECT($F$8),8+(O689-1)*3),11),0))))</f>
        <v/>
      </c>
      <c r="X689" s="1" t="str">
        <f ca="1">IF(ISERROR(F675),"",IF(W689=0,"",_xlfn.TEXTJOIN("",FALSE," G+",W689," in ",A689)))</f>
        <v/>
      </c>
    </row>
    <row r="690" spans="1:24" ht="11.25" customHeight="1" x14ac:dyDescent="0.2">
      <c r="A690" s="7" t="str">
        <f ca="1">IF(ISERROR(F675),"",VLOOKUP(C675,INDIRECT($F$8),6+(O690-1)*3,0))</f>
        <v/>
      </c>
      <c r="B690" s="41" t="str">
        <f ca="1">IF(ISERROR(F675),"",VLOOKUP(D675,INDIRECT($F$8),6+(O690-1)*3,0))</f>
        <v/>
      </c>
      <c r="C690" s="41"/>
      <c r="D690" s="41"/>
      <c r="E690" s="41"/>
      <c r="F690" s="7" t="str">
        <f ca="1">IF(ISERROR(F675),"",VLOOKUP(E675,INDIRECT($F$8),6+(O690-1)*3,0))</f>
        <v/>
      </c>
      <c r="G690" s="42" t="str">
        <f ca="1">IF(ISERROR(F675),"",_xlfn.TEXTJOIN("/",FALSE,P690,S690))</f>
        <v/>
      </c>
      <c r="H690" s="42"/>
      <c r="I690" s="42" t="str">
        <f ca="1">IF(ISERROR(F675),"",_xlfn.TEXTJOIN("/",FALSE,Q690,T690))</f>
        <v/>
      </c>
      <c r="J690" s="42"/>
      <c r="K690" s="42" t="str">
        <f ca="1">IF(ISERROR(F675),"",_xlfn.TEXTJOIN("/",FALSE,R690,U690))</f>
        <v/>
      </c>
      <c r="L690" s="42"/>
      <c r="M690" s="7" t="str">
        <f ca="1">IF(ISERROR(F675),"",IF(ISTEXT(P690),IF(P690="A","Ab",IF(P690="D","Dt",IF(P690="UFM","UFM",IF(P690="NA","-")))),IF(AND(ISBLANK(P690),ISBLANK(R690)),"",IF(P690&lt;0.3*S690,"F",IF(ISBLANK(R690),"",IF(ISTEXT(R690),R690,IF(R690&gt;=0.95*U690,"O",IF(R690&gt;=0.9*U690,"A+",IF(R690&gt;=0.85*U690,"A",IF(R690&gt;=0.8*U690,"B+",IF(R690&gt;=0.75*U690,"B",IF(R690&gt;=0.7*U690,"C+",IF(R690&gt;=0.65*U690,"C",IF(R690&gt;=0.6*U690,"D+",IF(R690&gt;=0.55*U690,"D",IF(R690&gt;=0.5*U690,"E+",IF(R690&gt;=0.45*U690,"E",IF(R690&gt;=0.4*U690,"P",IF(R690&lt;0.4*U690,"F",R690)))))))))))))))))))</f>
        <v/>
      </c>
      <c r="N690" s="8" t="e">
        <f t="shared" ca="1" si="67"/>
        <v>#N/A</v>
      </c>
      <c r="O690">
        <f t="shared" si="68"/>
        <v>11</v>
      </c>
      <c r="P690" s="1" t="str">
        <f ca="1">IF(ISERROR(F675),"",IF(ISTEXT(VLOOKUP(B675,INDIRECT($F$8),6+(O690-1)*3)),(VLOOKUP(B675,INDIRECT($F$8),6+(O690-1)*3)),SUM(VLOOKUP(B675,INDIRECT($F$8),6+(O690-1)*3),IF(W694,W690,0))))</f>
        <v/>
      </c>
      <c r="Q690" s="1" t="str">
        <f ca="1">IF(ISERROR(F675),"",VLOOKUP(B675,INDIRECT($F$8),7+(O690-1)*3))</f>
        <v/>
      </c>
      <c r="R690" s="1" t="str">
        <f ca="1">IF(ISERROR(F675),"",SUM(P690:Q690))</f>
        <v/>
      </c>
      <c r="S690" s="1" t="str">
        <f ca="1">IF(ISERROR(F675),"",VLOOKUP(A675,INDIRECT($F$8),6+(O690-1)*3))</f>
        <v/>
      </c>
      <c r="T690" s="1" t="str">
        <f ca="1">IF(ISERROR(F675),"",VLOOKUP(A675,INDIRECT($F$8),7+(O690-1)*3))</f>
        <v/>
      </c>
      <c r="U690" s="1" t="str">
        <f ca="1">IF(ISERROR(F675),"",VLOOKUP(A675,INDIRECT($F$8),8+(O690-1)*3))</f>
        <v/>
      </c>
      <c r="V690" s="1" t="str">
        <f ca="1">IF(ISERROR(F675),"",IF(N690=0,A690,""))</f>
        <v/>
      </c>
      <c r="W690" s="1" t="str">
        <f ca="1">IF(ISERROR(F675),"",IF(ISTEXT(VLOOKUP(B675,INDIRECT($F$8),6+(O690-1)*3)),11,IF(VLOOKUP(B675,INDIRECT($F$8),6+(O690-1)*3)&lt;S690*0.3,IF(VLOOKUP(B675,INDIRECT($F$8),8+(O690-1)*3)&lt;U690*0.4,IF(AND(0.4*U690-VLOOKUP(B675,INDIRECT($F$8),8+(O690-1)*3)&lt;=5,0.3*S690-VLOOKUP(B675,INDIRECT($F$8),6+(O690-1)*3)&lt;=5),MAX(0.4*U690-VLOOKUP(B675,INDIRECT($F$8),8+(O690-1)*3),0.3*S690-VLOOKUP(B675,INDIRECT($F$8),6+(O690-1)*3)),11),IF(0.3*S690-VLOOKUP(B675,INDIRECT($F$8),6+(O690-1)*3)&lt;=5,0.3*S690-VLOOKUP(B675,INDIRECT($F$8),6+(O690-1)*3),11)),IF(VLOOKUP(B675,INDIRECT($F$8),8+(O690-1)*3)&lt;U690*0.4,IF(U690*0.4-VLOOKUP(B675,INDIRECT($F$8),8+(O690-1)*3)&lt;=5,U690*0.4-VLOOKUP(B675,INDIRECT($F$8),8+(O690-1)*3),11),0))))</f>
        <v/>
      </c>
      <c r="X690" s="1" t="str">
        <f ca="1">IF(ISERROR(F675),"",IF(W690=0,"",_xlfn.TEXTJOIN("",FALSE," G+",W690," in ",A690)))</f>
        <v/>
      </c>
    </row>
    <row r="691" spans="1:24" ht="11.25" customHeight="1" x14ac:dyDescent="0.2">
      <c r="A691" s="7" t="str">
        <f ca="1">IF(ISERROR(F675),"",VLOOKUP(C675,INDIRECT($F$8),6+(O691-1)*3,0))</f>
        <v/>
      </c>
      <c r="B691" s="41" t="str">
        <f ca="1">IF(ISERROR(F675),"",VLOOKUP(D675,INDIRECT($F$8),6+(O691-1)*3,0))</f>
        <v/>
      </c>
      <c r="C691" s="41"/>
      <c r="D691" s="41"/>
      <c r="E691" s="41"/>
      <c r="F691" s="7" t="str">
        <f ca="1">IF(ISERROR(F675),"",VLOOKUP(E675,INDIRECT($F$8),6+(O691-1)*3,0))</f>
        <v/>
      </c>
      <c r="G691" s="42" t="str">
        <f ca="1">IF(ISERROR(F675),"",_xlfn.TEXTJOIN("/",FALSE,P691,S691))</f>
        <v/>
      </c>
      <c r="H691" s="42"/>
      <c r="I691" s="42" t="str">
        <f ca="1">IF(ISERROR(F675),"",_xlfn.TEXTJOIN("/",FALSE,Q691,T691))</f>
        <v/>
      </c>
      <c r="J691" s="42"/>
      <c r="K691" s="42" t="str">
        <f ca="1">IF(ISERROR(F675),"",_xlfn.TEXTJOIN("/",FALSE,R691,U691))</f>
        <v/>
      </c>
      <c r="L691" s="42"/>
      <c r="M691" s="7" t="str">
        <f ca="1">IF(ISERROR(F675),"",IF(ISTEXT(P691),IF(P691="A","Ab",IF(P691="D","Dt",IF(P691="UFM","UFM",IF(P691="NA","-")))),IF(AND(ISBLANK(P691),ISBLANK(R691)),"",IF(P691&lt;0.3*S691,"F",IF(ISBLANK(R691),"",IF(ISTEXT(R691),R691,IF(R691&gt;=0.95*U691,"O",IF(R691&gt;=0.9*U691,"A+",IF(R691&gt;=0.85*U691,"A",IF(R691&gt;=0.8*U691,"B+",IF(R691&gt;=0.75*U691,"B",IF(R691&gt;=0.7*U691,"C+",IF(R691&gt;=0.65*U691,"C",IF(R691&gt;=0.6*U691,"D+",IF(R691&gt;=0.55*U691,"D",IF(R691&gt;=0.5*U691,"E+",IF(R691&gt;=0.45*U691,"E",IF(R691&gt;=0.4*U691,"P",IF(R691&lt;0.4*U691,"F",R691)))))))))))))))))))</f>
        <v/>
      </c>
      <c r="N691" s="8" t="e">
        <f t="shared" ca="1" si="67"/>
        <v>#N/A</v>
      </c>
      <c r="O691">
        <f t="shared" si="68"/>
        <v>12</v>
      </c>
      <c r="P691" s="1" t="str">
        <f ca="1">IF(ISERROR(F675),"",IF(ISTEXT(VLOOKUP(B675,INDIRECT($F$8),6+(O691-1)*3)),(VLOOKUP(B675,INDIRECT($F$8),6+(O691-1)*3)),SUM(VLOOKUP(B675,INDIRECT($F$8),6+(O691-1)*3),IF(W694,W691,0))))</f>
        <v/>
      </c>
      <c r="Q691" s="1" t="str">
        <f ca="1">IF(ISERROR(F675),"",VLOOKUP(B675,INDIRECT($F$8),7+(O691-1)*3))</f>
        <v/>
      </c>
      <c r="R691" s="1" t="str">
        <f ca="1">IF(ISERROR(F675),"",SUM(P691:Q691))</f>
        <v/>
      </c>
      <c r="S691" s="1" t="str">
        <f ca="1">IF(ISERROR(F675),"",VLOOKUP(A675,INDIRECT($F$8),6+(O691-1)*3))</f>
        <v/>
      </c>
      <c r="T691" s="1" t="str">
        <f ca="1">IF(ISERROR(F675),"",VLOOKUP(A675,INDIRECT($F$8),7+(O691-1)*3))</f>
        <v/>
      </c>
      <c r="U691" s="1" t="str">
        <f ca="1">IF(ISERROR(F675),"",VLOOKUP(A675,INDIRECT($F$8),8+(O691-1)*3))</f>
        <v/>
      </c>
      <c r="V691" s="1" t="str">
        <f ca="1">IF(ISERROR(F675),"",IF(N691=0,A691,""))</f>
        <v/>
      </c>
      <c r="W691" s="1" t="str">
        <f ca="1">IF(ISERROR(F675),"",IF(ISTEXT(VLOOKUP(B675,INDIRECT($F$8),6+(O691-1)*3)),11,IF(VLOOKUP(B675,INDIRECT($F$8),6+(O691-1)*3)&lt;S691*0.3,IF(VLOOKUP(B675,INDIRECT($F$8),8+(O691-1)*3)&lt;U691*0.4,IF(AND(0.4*U691-VLOOKUP(B675,INDIRECT($F$8),8+(O691-1)*3)&lt;=5,0.3*S691-VLOOKUP(B675,INDIRECT($F$8),6+(O691-1)*3)&lt;=5),MAX(0.4*U691-VLOOKUP(B675,INDIRECT($F$8),8+(O691-1)*3),0.3*S691-VLOOKUP(B675,INDIRECT($F$8),6+(O691-1)*3)),11),IF(0.3*S691-VLOOKUP(B675,INDIRECT($F$8),6+(O691-1)*3)&lt;=5,0.3*S691-VLOOKUP(B675,INDIRECT($F$8),6+(O691-1)*3),11)),IF(VLOOKUP(B675,INDIRECT($F$8),8+(O691-1)*3)&lt;U691*0.4,IF(U691*0.4-VLOOKUP(B675,INDIRECT($F$8),8+(O691-1)*3)&lt;=5,U691*0.4-VLOOKUP(B675,INDIRECT($F$8),8+(O691-1)*3),11),0))))</f>
        <v/>
      </c>
      <c r="X691" s="1" t="str">
        <f ca="1">IF(ISERROR(F675),"",IF(W691=0,"",_xlfn.TEXTJOIN("",FALSE," G+",W691," in ",A691)))</f>
        <v/>
      </c>
    </row>
    <row r="692" spans="1:24" ht="11.25" customHeight="1" x14ac:dyDescent="0.2">
      <c r="A692" s="7" t="str">
        <f ca="1">IF(ISERROR(F675),"",VLOOKUP(C675,INDIRECT($F$8),6+(O692-1)*3,0))</f>
        <v/>
      </c>
      <c r="B692" s="41" t="str">
        <f ca="1">IF(ISERROR(F675),"",VLOOKUP(D675,INDIRECT($F$8),6+(O692-1)*3,0))</f>
        <v/>
      </c>
      <c r="C692" s="41"/>
      <c r="D692" s="41"/>
      <c r="E692" s="41"/>
      <c r="F692" s="7" t="str">
        <f ca="1">IF(ISERROR(F675),"",VLOOKUP(E675,INDIRECT($F$8),6+(O692-1)*3,0))</f>
        <v/>
      </c>
      <c r="G692" s="42" t="str">
        <f ca="1">IF(ISERROR(F675),"",_xlfn.TEXTJOIN("/",FALSE,P692,S692))</f>
        <v/>
      </c>
      <c r="H692" s="42"/>
      <c r="I692" s="42" t="str">
        <f ca="1">IF(ISERROR(F675),"",_xlfn.TEXTJOIN("/",FALSE,Q692,T692))</f>
        <v/>
      </c>
      <c r="J692" s="42"/>
      <c r="K692" s="42" t="str">
        <f ca="1">IF(ISERROR(F675),"",_xlfn.TEXTJOIN("/",FALSE,R692,U692))</f>
        <v/>
      </c>
      <c r="L692" s="42"/>
      <c r="M692" s="7" t="str">
        <f ca="1">IF(ISERROR(F675),"",IF(ISTEXT(P692),IF(P692="A","Ab",IF(P692="D","Dt",IF(P692="UFM","UFM",IF(P692="NA","-")))),IF(AND(ISBLANK(P692),ISBLANK(R692)),"",IF(P692&lt;0.3*S692,"F",IF(ISBLANK(R692),"",IF(ISTEXT(R692),R692,IF(R692&gt;=0.95*U692,"O",IF(R692&gt;=0.9*U692,"A+",IF(R692&gt;=0.85*U692,"A",IF(R692&gt;=0.8*U692,"B+",IF(R692&gt;=0.75*U692,"B",IF(R692&gt;=0.7*U692,"C+",IF(R692&gt;=0.65*U692,"C",IF(R692&gt;=0.6*U692,"D+",IF(R692&gt;=0.55*U692,"D",IF(R692&gt;=0.5*U692,"E+",IF(R692&gt;=0.45*U692,"E",IF(R692&gt;=0.4*U692,"P",IF(R692&lt;0.4*U692,"F",R692)))))))))))))))))))</f>
        <v/>
      </c>
      <c r="N692" s="8" t="e">
        <f t="shared" ca="1" si="67"/>
        <v>#N/A</v>
      </c>
      <c r="O692">
        <f t="shared" si="68"/>
        <v>13</v>
      </c>
      <c r="P692" s="1" t="str">
        <f ca="1">IF(ISERROR(F675),"",IF(ISTEXT(VLOOKUP(B675,INDIRECT($F$8),6+(O692-1)*3)),(VLOOKUP(B675,INDIRECT($F$8),6+(O692-1)*3)),SUM(VLOOKUP(B675,INDIRECT($F$8),6+(O692-1)*3),IF(W694,W692,0))))</f>
        <v/>
      </c>
      <c r="Q692" s="1" t="str">
        <f ca="1">IF(ISERROR(F675),"",VLOOKUP(B675,INDIRECT($F$8),7+(O692-1)*3))</f>
        <v/>
      </c>
      <c r="R692" s="1" t="str">
        <f ca="1">IF(ISERROR(F675),"",SUM(P692:Q692))</f>
        <v/>
      </c>
      <c r="S692" s="1" t="str">
        <f ca="1">IF(ISERROR(F675),"",VLOOKUP(A675,INDIRECT($F$8),6+(O692-1)*3))</f>
        <v/>
      </c>
      <c r="T692" s="1" t="str">
        <f ca="1">IF(ISERROR(F675),"",VLOOKUP(A675,INDIRECT($F$8),7+(O692-1)*3))</f>
        <v/>
      </c>
      <c r="U692" s="1" t="str">
        <f ca="1">IF(ISERROR(F675),"",VLOOKUP(A675,INDIRECT($F$8),8+(O692-1)*3))</f>
        <v/>
      </c>
      <c r="V692" s="1"/>
      <c r="W692" s="1" t="str">
        <f ca="1">IF(ISERROR(F675),"",IF(ISTEXT(VLOOKUP(B675,INDIRECT($F$8),6+(O692-1)*3)),11,IF(VLOOKUP(B675,INDIRECT($F$8),6+(O692-1)*3)&lt;S692*0.3,IF(VLOOKUP(B675,INDIRECT($F$8),8+(O692-1)*3)&lt;U692*0.4,IF(AND(0.4*U692-VLOOKUP(B675,INDIRECT($F$8),8+(O692-1)*3)&lt;=5,0.3*S692-VLOOKUP(B675,INDIRECT($F$8),6+(O692-1)*3)&lt;=5),MAX(0.4*U692-VLOOKUP(B675,INDIRECT($F$8),8+(O692-1)*3),0.3*S692-VLOOKUP(B675,INDIRECT($F$8),6+(O692-1)*3)),11),IF(0.3*S692-VLOOKUP(B675,INDIRECT($F$8),6+(O692-1)*3)&lt;=5,0.3*S692-VLOOKUP(B675,INDIRECT($F$8),6+(O692-1)*3),11)),IF(VLOOKUP(B675,INDIRECT($F$8),8+(O692-1)*3)&lt;U692*0.4,IF(U692*0.4-VLOOKUP(B675,INDIRECT($F$8),8+(O692-1)*3)&lt;=5,U692*0.4-VLOOKUP(B675,INDIRECT($F$8),8+(O692-1)*3),11),0))))</f>
        <v/>
      </c>
      <c r="X692" s="1" t="str">
        <f ca="1">IF(ISERROR(F675),"",IF(W692=0,"",_xlfn.TEXTJOIN("",FALSE," G+",W692," in ",A692)))</f>
        <v/>
      </c>
    </row>
    <row r="693" spans="1:24" s="32" customFormat="1" ht="11.25" customHeight="1" x14ac:dyDescent="0.2">
      <c r="A693" s="31" t="str">
        <f ca="1">IF(ISERROR(F675),"",VLOOKUP(C675,INDIRECT($F$8),6+(O693-1)*3-Y693,0))</f>
        <v/>
      </c>
      <c r="B693" s="49" t="str">
        <f ca="1">IF(ISERROR(F675),"",VLOOKUP(D675,INDIRECT($F$8),6+(O693-1)*3-Z693,0))</f>
        <v/>
      </c>
      <c r="C693" s="49"/>
      <c r="D693" s="49"/>
      <c r="E693" s="49"/>
      <c r="F693" s="31" t="str">
        <f ca="1">IF(ISERROR(F675),"",VLOOKUP(E675,INDIRECT($F$8),6+(O693-1)*3-AA693,0))</f>
        <v/>
      </c>
      <c r="G693" s="50" t="str">
        <f ca="1">IF(ISERROR(F675),"","-")</f>
        <v/>
      </c>
      <c r="H693" s="50"/>
      <c r="I693" s="50" t="str">
        <f ca="1">IF(ISERROR(F675),"",_xlfn.TEXTJOIN("/",FALSE,Q693,T693))</f>
        <v/>
      </c>
      <c r="J693" s="50"/>
      <c r="K693" s="50" t="str">
        <f ca="1">IF(ISERROR(F675),"",_xlfn.TEXTJOIN("/",FALSE,R693,U693))</f>
        <v/>
      </c>
      <c r="L693" s="50"/>
      <c r="M693" s="7" t="b">
        <f ca="1">IF(ISERROR(F676),"",IF(ISTEXT(P693),IF(P693="A","Ab",IF(P693="D","Dt",IF(P693="UFM","UFM",IF(P693="NA","")))),IF(AND(ISBLANK(P693),ISBLANK(R693)),"",IF(P693&lt;0.3*S693,"F",IF(ISBLANK(R693),"",IF(ISTEXT(R693),R693,IF(R693&gt;=0.95*U693,"O",IF(R693&gt;=0.9*U693,"A+",IF(R693&gt;=0.85*U693,"A",IF(R693&gt;=0.8*U693,"B+",IF(R693&gt;=0.75*U693,"B",IF(R693&gt;=0.7*U693,"C+",IF(R693&gt;=0.65*U693,"C",IF(R693&gt;=0.6*U693,"D+",IF(R693&gt;=0.55*U693,"D",IF(R693&gt;=0.5*U693,"E+",IF(R693&gt;=0.45*U693,"E",IF(R693&gt;=0.4*U693,"P",IF(R693&lt;0.4*U693,"F",R693)))))))))))))))))))</f>
        <v>0</v>
      </c>
      <c r="N693" s="8" t="e">
        <f t="shared" ref="N682:N693" ca="1" si="69">INDEX($Z$2:$Z$18,MATCH(M693,$Y$2:$Y$18,0))</f>
        <v>#N/A</v>
      </c>
      <c r="O693" s="32">
        <f t="shared" si="68"/>
        <v>14</v>
      </c>
      <c r="P693" s="33" t="str">
        <f ca="1">IF(ISERROR(F675),"",IF(ISTEXT(VLOOKUP(B\28,INDIRECT($F$8),6+(O693-1)*3)),(VLOOKUP(B675,INDIRECT($F$8),6+(O693-1)*3)),SUM(VLOOKUP(B675,INDIRECT($F$8),6+(O693-1)*3),IF(W694,W693,0))))</f>
        <v/>
      </c>
      <c r="Q693" s="33" t="str">
        <f ca="1">IF(ISERROR(F675),"",VLOOKUP(B675,INDIRECT($F$8),7+(O693-1)*3))</f>
        <v/>
      </c>
      <c r="R693" s="33" t="str">
        <f ca="1">IF(ISERROR(F675),"",SUM(P693:Q693))</f>
        <v/>
      </c>
      <c r="S693" s="33" t="str">
        <f ca="1">IF(ISERROR(F675),"",VLOOKUP(A675,INDIRECT($F$8),6+(O693-1)*3))</f>
        <v/>
      </c>
      <c r="T693" s="33" t="str">
        <f ca="1">IF(ISERROR(F675),"",VLOOKUP(A675,INDIRECT($F$8),7+(O693-1)*3))</f>
        <v/>
      </c>
      <c r="U693" s="33" t="str">
        <f ca="1">IF(ISERROR(F675),"",VLOOKUP(A675,INDIRECT($F$8),8+(O693-1)*3))</f>
        <v/>
      </c>
      <c r="V693" s="33"/>
      <c r="W693" s="33"/>
      <c r="X693" s="33" t="str">
        <f ca="1">IF(ISERROR(F675),"",IF(W693=0,"",_xlfn.TEXTJOIN("",FALSE," G+",W693," in ",A693)))</f>
        <v/>
      </c>
    </row>
    <row r="694" spans="1:24" ht="11.25" customHeight="1" x14ac:dyDescent="0.2">
      <c r="A694" s="43" t="str">
        <f ca="1">IF(ISERROR(F675),"",A671)</f>
        <v/>
      </c>
      <c r="B694" s="43"/>
      <c r="C694" s="43"/>
      <c r="D694" s="43"/>
      <c r="E694" s="43"/>
      <c r="F694" s="10" t="str">
        <f ca="1">IF(ISERROR(F675),"",SUM(F680:F693))</f>
        <v/>
      </c>
      <c r="G694" s="44" t="str">
        <f ca="1">IF(ISERROR(F675),"",_xlfn.TEXTJOIN("/",TRUE,SUMIF(F680:F693,"&gt;0",P680:P693),SUMIF(F680:F693,"&gt;0",S680:S693)))</f>
        <v/>
      </c>
      <c r="H694" s="44"/>
      <c r="I694" s="44" t="str">
        <f ca="1">IF(ISERROR(F675),"",_xlfn.TEXTJOIN("/",TRUE,SUMIF(F680:F693,"&gt;0",Q680:Q693),SUMIF(F680:F693,"&gt;0",T680:T693)))</f>
        <v/>
      </c>
      <c r="J694" s="44"/>
      <c r="K694" s="44" t="str">
        <f ca="1">IF(ISERROR(F675),"",_xlfn.TEXTJOIN("/",TRUE,SUMIF(F680:F693,"&gt;0",R680:R693),SUMIF(F680:F693,"&gt;0",U680:U693)))</f>
        <v/>
      </c>
      <c r="L694" s="44"/>
      <c r="M694" s="43" t="str">
        <f ca="1">IF(ISERROR(F675),"",SUMPRODUCT(N680:N692,F680:F692))</f>
        <v/>
      </c>
      <c r="N694" s="43"/>
      <c r="V694" s="1" t="str">
        <f ca="1">IF(ISERROR(F675),"",_xlfn.TEXTJOIN(", ",TRUE,V680:V693))</f>
        <v/>
      </c>
      <c r="W694" t="str">
        <f ca="1">IF(ISERROR(F675),"",IF(SUM(W680:W693)&lt;=W679,TRUE,FALSE))</f>
        <v/>
      </c>
      <c r="X694" s="1" t="str">
        <f ca="1">_xlfn.TEXTJOIN(",",TRUE,X680:X693)</f>
        <v/>
      </c>
    </row>
    <row r="695" spans="1:24" ht="11.25" customHeight="1" x14ac:dyDescent="0.2">
      <c r="A695" s="43" t="str">
        <f ca="1">IF(ISERROR(F675),"",A672)</f>
        <v/>
      </c>
      <c r="B695" s="45" t="str">
        <f ca="1">IF(ISERROR(F675),"",IF(V694="","PASS","CARRY OVER"))</f>
        <v/>
      </c>
      <c r="C695" s="45"/>
      <c r="D695" s="43" t="str">
        <f ca="1">IF(ISERROR(F675),"",D672)</f>
        <v/>
      </c>
      <c r="E695" s="45" t="str">
        <f ca="1">IF(ISERROR(F675),"",IF(W694,X694,IF(V694="","",_xlfn.TEXTJOIN("",TRUE,"BACK IN ",V694))))</f>
        <v/>
      </c>
      <c r="F695" s="45"/>
      <c r="G695" s="43" t="str">
        <f ca="1">IF(ISERROR(F675),"",G672)</f>
        <v/>
      </c>
      <c r="H695" s="46" t="str">
        <f ca="1">IF(ISERROR(F675),"",M694/F694)</f>
        <v/>
      </c>
      <c r="I695" s="43" t="str">
        <f ca="1">IF(ISERROR(F675),"",I672)</f>
        <v/>
      </c>
      <c r="J695" s="46" t="str">
        <f ca="1">IF(ISERROR(F675),"",VLOOKUP(B675,INDIRECT($F$8),12+(O693-1)*3,0))</f>
        <v/>
      </c>
      <c r="K695" s="45" t="str">
        <f ca="1">IF(ISERROR(F675),"",K672)</f>
        <v/>
      </c>
      <c r="L695" s="43" t="str">
        <f ca="1">IF(ISERROR(F675),"",SUMIF(N680:N692,"&gt;0",F680:F692))</f>
        <v/>
      </c>
      <c r="M695" s="45" t="str">
        <f ca="1">IF(ISERROR(F675),"",M672)</f>
        <v/>
      </c>
      <c r="N695" s="43" t="str">
        <f ca="1">IF(ISERROR(F675),"",VLOOKUP(B675,INDIRECT($F$8),10+(O693-1)*3,0))</f>
        <v/>
      </c>
    </row>
    <row r="696" spans="1:24" ht="11.25" customHeight="1" x14ac:dyDescent="0.2">
      <c r="A696" s="43"/>
      <c r="B696" s="45"/>
      <c r="C696" s="45"/>
      <c r="D696" s="43"/>
      <c r="E696" s="45"/>
      <c r="F696" s="45"/>
      <c r="G696" s="43"/>
      <c r="H696" s="46"/>
      <c r="I696" s="43"/>
      <c r="J696" s="46"/>
      <c r="K696" s="45"/>
      <c r="L696" s="43"/>
      <c r="M696" s="45"/>
      <c r="N696" s="43"/>
    </row>
    <row r="697" spans="1:24" ht="11.25" customHeight="1" x14ac:dyDescent="0.2">
      <c r="A697" s="43"/>
      <c r="B697" s="45"/>
      <c r="C697" s="45"/>
      <c r="D697" s="43"/>
      <c r="E697" s="45"/>
      <c r="F697" s="45"/>
      <c r="G697" s="43"/>
      <c r="H697" s="46"/>
      <c r="I697" s="43"/>
      <c r="J697" s="46"/>
      <c r="K697" s="45"/>
      <c r="L697" s="43"/>
      <c r="M697" s="45"/>
      <c r="N697" s="43"/>
    </row>
    <row r="698" spans="1:24" ht="11.25" customHeight="1" x14ac:dyDescent="0.2">
      <c r="A698" s="11" t="str">
        <f>A675</f>
        <v>MM</v>
      </c>
      <c r="B698" s="11">
        <f>B675+1</f>
        <v>31</v>
      </c>
      <c r="C698" s="11" t="str">
        <f>C675</f>
        <v>SC</v>
      </c>
      <c r="D698" s="11" t="str">
        <f>D675</f>
        <v>SN</v>
      </c>
      <c r="E698" s="11" t="str">
        <f>E675</f>
        <v>C</v>
      </c>
      <c r="F698" s="11" t="e">
        <f ca="1">VLOOKUP(B698,INDIRECT($F$8),4,0)</f>
        <v>#N/A</v>
      </c>
    </row>
    <row r="699" spans="1:24" ht="11.25" customHeight="1" x14ac:dyDescent="0.2">
      <c r="A699" s="47" t="str">
        <f ca="1">IF(ISERROR(F698),"",A676)</f>
        <v/>
      </c>
      <c r="B699" s="47" t="str">
        <f ca="1">IFERROR(VLOOKUP(B698,INDIRECT($F$8),4,0),"")</f>
        <v/>
      </c>
      <c r="C699" s="47"/>
      <c r="D699" s="47" t="str">
        <f ca="1">IF(ISERROR(F698),"",D676)</f>
        <v/>
      </c>
      <c r="E699" s="47" t="str">
        <f ca="1">IFERROR(VLOOKUP(B698,INDIRECT($F$8),5,0),"")</f>
        <v/>
      </c>
      <c r="F699" s="47"/>
      <c r="G699" s="47" t="str">
        <f ca="1">IF(ISERROR(F698),"",G676)</f>
        <v/>
      </c>
      <c r="H699" s="47"/>
      <c r="I699" s="48" t="str">
        <f ca="1">IFERROR(VLOOKUP(B698,INDIRECT($F$8),2,0),"")</f>
        <v/>
      </c>
      <c r="J699" s="48"/>
      <c r="K699" s="47" t="str">
        <f ca="1">IF(ISERROR(F698),"",K676)</f>
        <v/>
      </c>
      <c r="L699" s="47"/>
      <c r="M699" s="48" t="str">
        <f ca="1">IFERROR(VLOOKUP(B698,INDIRECT($F$8),3,0),"")</f>
        <v/>
      </c>
      <c r="N699" s="48"/>
    </row>
    <row r="700" spans="1:24" ht="11.25" customHeight="1" x14ac:dyDescent="0.2">
      <c r="A700" s="47"/>
      <c r="B700" s="47"/>
      <c r="C700" s="47"/>
      <c r="D700" s="47"/>
      <c r="E700" s="47"/>
      <c r="F700" s="47"/>
      <c r="G700" s="47"/>
      <c r="H700" s="47"/>
      <c r="I700" s="48"/>
      <c r="J700" s="48"/>
      <c r="K700" s="47"/>
      <c r="L700" s="47"/>
      <c r="M700" s="48"/>
      <c r="N700" s="48"/>
    </row>
    <row r="701" spans="1:24" ht="11.25" customHeight="1" x14ac:dyDescent="0.2">
      <c r="A701" s="45" t="str">
        <f ca="1">IF(ISERROR(F698),"",A678)</f>
        <v/>
      </c>
      <c r="B701" s="45" t="str">
        <f ca="1">IF(ISERROR(F698),"",B678)</f>
        <v/>
      </c>
      <c r="C701" s="45"/>
      <c r="D701" s="45"/>
      <c r="E701" s="45"/>
      <c r="F701" s="45" t="str">
        <f ca="1">IF(ISERROR(F698),"",F678)</f>
        <v/>
      </c>
      <c r="G701" s="45" t="str">
        <f ca="1">IF(ISERROR(F698),"",G678)</f>
        <v/>
      </c>
      <c r="H701" s="45"/>
      <c r="I701" s="45" t="str">
        <f ca="1">IF(ISERROR(F698),"",I678)</f>
        <v/>
      </c>
      <c r="J701" s="45"/>
      <c r="K701" s="45" t="str">
        <f ca="1">IF(ISERROR(F698),"",K678)</f>
        <v/>
      </c>
      <c r="L701" s="45"/>
      <c r="M701" s="45" t="str">
        <f ca="1">IF(ISERROR(F698),"",M678)</f>
        <v/>
      </c>
      <c r="N701" s="45" t="str">
        <f ca="1">IF(ISERROR(F698),"",N678)</f>
        <v/>
      </c>
    </row>
    <row r="702" spans="1:24" ht="11.25" customHeight="1" x14ac:dyDescent="0.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W702">
        <f ca="1">IF(ISNUMBER(MATCH($F$8,{"I","III","V","VII"},0)),10,10-INDEX(INDIRECT(_xlfn.TEXTJOIN("",TRUE,"SEM_",$G$8,"!",ADDRESS(6,4+$I$8*3+4),":",ADDRESS(5+$H$8,4+$I$8*3+4))),MATCH(INDIRECT(_xlfn.TEXTJOIN("",TRUE,"TC_",$F$8,"!",ADDRESS(ROW(I699),COLUMN(I699)))),INDIRECT(_xlfn.TEXTJOIN("",TRUE,"SEM_",$G$8,"!",ADDRESS(6,2),":",ADDRESS(5+$H$8,2))))))</f>
        <v>10</v>
      </c>
    </row>
    <row r="703" spans="1:24" ht="11.25" customHeight="1" x14ac:dyDescent="0.2">
      <c r="A703" s="7" t="str">
        <f ca="1">IF(ISERROR(F698),"",VLOOKUP(C698,INDIRECT($F$8),6+(O703-1)*3,0))</f>
        <v/>
      </c>
      <c r="B703" s="41" t="str">
        <f ca="1">IF(ISERROR(F698),"",VLOOKUP(D698,INDIRECT($F$8),6+(O703-1)*3,0))</f>
        <v/>
      </c>
      <c r="C703" s="41"/>
      <c r="D703" s="41"/>
      <c r="E703" s="41"/>
      <c r="F703" s="7" t="str">
        <f ca="1">IF(ISERROR(F698),"",VLOOKUP(E698,INDIRECT($F$8),6+(O703-1)*3,0))</f>
        <v/>
      </c>
      <c r="G703" s="42" t="str">
        <f ca="1">IF(ISERROR(F698),"",_xlfn.TEXTJOIN("/",FALSE,P703,S703))</f>
        <v/>
      </c>
      <c r="H703" s="42"/>
      <c r="I703" s="42" t="str">
        <f ca="1">IF(ISERROR(F698),"",_xlfn.TEXTJOIN("/",FALSE,Q703,T703))</f>
        <v/>
      </c>
      <c r="J703" s="42"/>
      <c r="K703" s="42" t="str">
        <f ca="1">IF(ISERROR(F698),"",_xlfn.TEXTJOIN("/",FALSE,R703,U703))</f>
        <v/>
      </c>
      <c r="L703" s="42"/>
      <c r="M703" s="7" t="str">
        <f ca="1">IF(ISERROR(F698),"",IF(ISTEXT(P703),IF(P703="A","Ab",IF(P703="D","Dt",IF(P703="UFM","UFM",IF(P703="NA","-")))),IF(AND(ISBLANK(P703),ISBLANK(R703)),"",IF(P703&lt;0.3*S703,"F",IF(ISBLANK(R703),"",IF(ISTEXT(R703),R703,IF(R703&gt;=0.95*U703,"O",IF(R703&gt;=0.9*U703,"A+",IF(R703&gt;=0.85*U703,"A",IF(R703&gt;=0.8*U703,"B+",IF(R703&gt;=0.75*U703,"B",IF(R703&gt;=0.7*U703,"C+",IF(R703&gt;=0.65*U703,"C",IF(R703&gt;=0.6*U703,"D+",IF(R703&gt;=0.55*U703,"D",IF(R703&gt;=0.5*U703,"E+",IF(R703&gt;=0.45*U703,"E",IF(R703&gt;=0.4*U703,"P",IF(R703&lt;0.4*U703,"F",R703)))))))))))))))))))</f>
        <v/>
      </c>
      <c r="N703" s="8" t="e">
        <f ca="1">INDEX($Z$2:$Z$18,MATCH(M703,$Y$2:$Y$18,0))</f>
        <v>#N/A</v>
      </c>
      <c r="O703">
        <v>1</v>
      </c>
      <c r="P703" s="1" t="str">
        <f ca="1">IF(ISERROR(F698),"",IF(ISTEXT(VLOOKUP(B698,INDIRECT($F$8),6+(O703-1)*3)),(VLOOKUP(B698,INDIRECT($F$8),6+(O703-1)*3)),SUM(VLOOKUP(B698,INDIRECT($F$8),6+(O703-1)*3),IF(W717,W703,0))))</f>
        <v/>
      </c>
      <c r="Q703" s="1" t="str">
        <f ca="1">IF(ISERROR(F698),"",VLOOKUP(B698,INDIRECT($F$8),7+(O703-1)*3))</f>
        <v/>
      </c>
      <c r="R703" s="1" t="str">
        <f ca="1">IF(ISERROR(F698),"",SUM(P703:Q703))</f>
        <v/>
      </c>
      <c r="S703" s="1" t="str">
        <f ca="1">IF(ISERROR(F698),"",VLOOKUP(A698,INDIRECT($F$8),6+(O703-1)*3))</f>
        <v/>
      </c>
      <c r="T703" s="1" t="str">
        <f ca="1">IF(ISERROR(F698),"",VLOOKUP(A698,INDIRECT($F$8),7+(O703-1)*3))</f>
        <v/>
      </c>
      <c r="U703" s="1" t="str">
        <f ca="1">IF(ISERROR(F698),"",VLOOKUP(A698,INDIRECT($F$8),8+(O703-1)*3))</f>
        <v/>
      </c>
      <c r="V703" s="1" t="str">
        <f ca="1">IF(ISERROR(F698),"",IF(N703=0,A703,""))</f>
        <v/>
      </c>
      <c r="W703" s="1" t="str">
        <f ca="1">IF(ISERROR(F698),"",IF(ISTEXT(VLOOKUP(B698,INDIRECT($F$8),6+(O703-1)*3)),11,IF(VLOOKUP(B698,INDIRECT($F$8),6+(O703-1)*3)&lt;S703*0.3,IF(VLOOKUP(B698,INDIRECT($F$8),8+(O703-1)*3)&lt;U703*0.4,IF(AND(0.4*U703-VLOOKUP(B698,INDIRECT($F$8),8+(O703-1)*3)&lt;=5,0.3*S703-VLOOKUP(B698,INDIRECT($F$8),6+(O703-1)*3)&lt;=5),MAX(0.4*U703-VLOOKUP(B698,INDIRECT($F$8),8+(O703-1)*3),0.3*S703-VLOOKUP(B698,INDIRECT($F$8),6+(O703-1)*3)),11),IF(0.3*S703-VLOOKUP(B698,INDIRECT($F$8),6+(O703-1)*3)&lt;=5,0.3*S703-VLOOKUP(B698,INDIRECT($F$8),6+(O703-1)*3),11)),IF(VLOOKUP(B698,INDIRECT($F$8),8+(O703-1)*3)&lt;U703*0.4,IF(U703*0.4-VLOOKUP(B698,INDIRECT($F$8),8+(O703-1)*3)&lt;=5,U703*0.4-VLOOKUP(B698,INDIRECT($F$8),8+(O703-1)*3),11),0))))</f>
        <v/>
      </c>
      <c r="X703" s="1" t="str">
        <f ca="1">IF(ISERROR(F698),"",IF(W703=0,"",_xlfn.TEXTJOIN("",FALSE," G+",W703," in ",A703)))</f>
        <v/>
      </c>
    </row>
    <row r="704" spans="1:24" ht="11.25" customHeight="1" x14ac:dyDescent="0.2">
      <c r="A704" s="7" t="str">
        <f ca="1">IF(ISERROR(F698),"",VLOOKUP(C698,INDIRECT($F$8),6+(O704-1)*3,0))</f>
        <v/>
      </c>
      <c r="B704" s="41" t="str">
        <f ca="1">IF(ISERROR(F698),"",VLOOKUP(D698,INDIRECT($F$8),6+(O704-1)*3,0))</f>
        <v/>
      </c>
      <c r="C704" s="41"/>
      <c r="D704" s="41"/>
      <c r="E704" s="41"/>
      <c r="F704" s="7" t="str">
        <f ca="1">IF(ISERROR(F698),"",VLOOKUP(E698,INDIRECT($F$8),6+(O704-1)*3,0))</f>
        <v/>
      </c>
      <c r="G704" s="42" t="str">
        <f ca="1">IF(ISERROR(F698),"",_xlfn.TEXTJOIN("/",FALSE,P704,S704))</f>
        <v/>
      </c>
      <c r="H704" s="42"/>
      <c r="I704" s="42" t="str">
        <f ca="1">IF(ISERROR(F698),"",_xlfn.TEXTJOIN("/",FALSE,Q704,T704))</f>
        <v/>
      </c>
      <c r="J704" s="42"/>
      <c r="K704" s="42" t="str">
        <f ca="1">IF(ISERROR(F698),"",_xlfn.TEXTJOIN("/",FALSE,R704,U704))</f>
        <v/>
      </c>
      <c r="L704" s="42"/>
      <c r="M704" s="7" t="str">
        <f ca="1">IF(ISERROR(F698),"",IF(ISTEXT(P704),IF(P704="A","Ab",IF(P704="D","Dt",IF(P704="UFM","UFM",IF(P704="NA","-")))),IF(AND(ISBLANK(P704),ISBLANK(R704)),"",IF(P704&lt;0.3*S704,"F",IF(ISBLANK(R704),"",IF(ISTEXT(R704),R704,IF(R704&gt;=0.95*U704,"O",IF(R704&gt;=0.9*U704,"A+",IF(R704&gt;=0.85*U704,"A",IF(R704&gt;=0.8*U704,"B+",IF(R704&gt;=0.75*U704,"B",IF(R704&gt;=0.7*U704,"C+",IF(R704&gt;=0.65*U704,"C",IF(R704&gt;=0.6*U704,"D+",IF(R704&gt;=0.55*U704,"D",IF(R704&gt;=0.5*U704,"E+",IF(R704&gt;=0.45*U704,"E",IF(R704&gt;=0.4*U704,"P",IF(R704&lt;0.4*U704,"F",R704)))))))))))))))))))</f>
        <v/>
      </c>
      <c r="N704" s="8" t="e">
        <f t="shared" ref="N704:N715" ca="1" si="70">INDEX($Z$2:$Z$18,MATCH(M704,$Y$2:$Y$18,0))</f>
        <v>#N/A</v>
      </c>
      <c r="O704">
        <f>O703+1</f>
        <v>2</v>
      </c>
      <c r="P704" s="1" t="str">
        <f ca="1">IF(ISERROR(F698),"",IF(ISTEXT(VLOOKUP(B698,INDIRECT($F$8),6+(O704-1)*3)),(VLOOKUP(B698,INDIRECT($F$8),6+(O704-1)*3)),SUM(VLOOKUP(B698,INDIRECT($F$8),6+(O704-1)*3),IF(W717,W704,0))))</f>
        <v/>
      </c>
      <c r="Q704" s="1" t="str">
        <f ca="1">IF(ISERROR(F698),"",VLOOKUP(B698,INDIRECT($F$8),7+(O704-1)*3))</f>
        <v/>
      </c>
      <c r="R704" s="1" t="str">
        <f ca="1">IF(ISERROR(F698),"",SUM(P704:Q704))</f>
        <v/>
      </c>
      <c r="S704" s="1" t="str">
        <f ca="1">IF(ISERROR(F698),"",VLOOKUP(A698,INDIRECT($F$8),6+(O704-1)*3))</f>
        <v/>
      </c>
      <c r="T704" s="1" t="str">
        <f ca="1">IF(ISERROR(F698),"",VLOOKUP(A698,INDIRECT($F$8),7+(O704-1)*3))</f>
        <v/>
      </c>
      <c r="U704" s="1" t="str">
        <f ca="1">IF(ISERROR(F698),"",VLOOKUP(A698,INDIRECT($F$8),8+(O704-1)*3))</f>
        <v/>
      </c>
      <c r="V704" s="1" t="str">
        <f ca="1">IF(ISERROR(F698),"",IF(N704=0,A704,""))</f>
        <v/>
      </c>
      <c r="W704" s="1" t="str">
        <f ca="1">IF(ISERROR(F698),"",IF(ISTEXT(VLOOKUP(B698,INDIRECT($F$8),6+(O704-1)*3)),11,IF(VLOOKUP(B698,INDIRECT($F$8),6+(O704-1)*3)&lt;S704*0.3,IF(VLOOKUP(B698,INDIRECT($F$8),8+(O704-1)*3)&lt;U704*0.4,IF(AND(0.4*U704-VLOOKUP(B698,INDIRECT($F$8),8+(O704-1)*3)&lt;=5,0.3*S704-VLOOKUP(B698,INDIRECT($F$8),6+(O704-1)*3)&lt;=5),MAX(0.4*U704-VLOOKUP(B698,INDIRECT($F$8),8+(O704-1)*3),0.3*S704-VLOOKUP(B698,INDIRECT($F$8),6+(O704-1)*3)),11),IF(0.3*S704-VLOOKUP(B698,INDIRECT($F$8),6+(O704-1)*3)&lt;=5,0.3*S704-VLOOKUP(B698,INDIRECT($F$8),6+(O704-1)*3),11)),IF(VLOOKUP(B698,INDIRECT($F$8),8+(O704-1)*3)&lt;U704*0.4,IF(U704*0.4-VLOOKUP(B698,INDIRECT($F$8),8+(O704-1)*3)&lt;=5,U704*0.4-VLOOKUP(B698,INDIRECT($F$8),8+(O704-1)*3),11),0))))</f>
        <v/>
      </c>
      <c r="X704" s="1" t="str">
        <f ca="1">IF(ISERROR(F698),"",IF(W704=0,"",_xlfn.TEXTJOIN("",FALSE," G+",W704," in ",A704)))</f>
        <v/>
      </c>
    </row>
    <row r="705" spans="1:24" ht="11.25" customHeight="1" x14ac:dyDescent="0.2">
      <c r="A705" s="7" t="str">
        <f ca="1">IF(ISERROR(F698),"",VLOOKUP(C698,INDIRECT($F$8),6+(O705-1)*3,0))</f>
        <v/>
      </c>
      <c r="B705" s="41" t="str">
        <f ca="1">IF(ISERROR(F698),"",VLOOKUP(D698,INDIRECT($F$8),6+(O705-1)*3,0))</f>
        <v/>
      </c>
      <c r="C705" s="41"/>
      <c r="D705" s="41"/>
      <c r="E705" s="41"/>
      <c r="F705" s="7" t="str">
        <f ca="1">IF(ISERROR(F698),"",VLOOKUP(E698,INDIRECT($F$8),6+(O705-1)*3,0))</f>
        <v/>
      </c>
      <c r="G705" s="42" t="str">
        <f ca="1">IF(ISERROR(F698),"",_xlfn.TEXTJOIN("/",FALSE,P705,S705))</f>
        <v/>
      </c>
      <c r="H705" s="42"/>
      <c r="I705" s="42" t="str">
        <f ca="1">IF(ISERROR(F698),"",_xlfn.TEXTJOIN("/",FALSE,Q705,T705))</f>
        <v/>
      </c>
      <c r="J705" s="42"/>
      <c r="K705" s="42" t="str">
        <f ca="1">IF(ISERROR(F698),"",_xlfn.TEXTJOIN("/",FALSE,R705,U705))</f>
        <v/>
      </c>
      <c r="L705" s="42"/>
      <c r="M705" s="7" t="str">
        <f ca="1">IF(ISERROR(F698),"",IF(ISTEXT(P705),IF(P705="A","Ab",IF(P705="D","Dt",IF(P705="UFM","UFM",IF(P705="NA","-")))),IF(AND(ISBLANK(P705),ISBLANK(R705)),"",IF(P705&lt;0.3*S705,"F",IF(ISBLANK(R705),"",IF(ISTEXT(R705),R705,IF(R705&gt;=0.95*U705,"O",IF(R705&gt;=0.9*U705,"A+",IF(R705&gt;=0.85*U705,"A",IF(R705&gt;=0.8*U705,"B+",IF(R705&gt;=0.75*U705,"B",IF(R705&gt;=0.7*U705,"C+",IF(R705&gt;=0.65*U705,"C",IF(R705&gt;=0.6*U705,"D+",IF(R705&gt;=0.55*U705,"D",IF(R705&gt;=0.5*U705,"E+",IF(R705&gt;=0.45*U705,"E",IF(R705&gt;=0.4*U705,"P",IF(R705&lt;0.4*U705,"F",R705)))))))))))))))))))</f>
        <v/>
      </c>
      <c r="N705" s="8" t="e">
        <f t="shared" ca="1" si="70"/>
        <v>#N/A</v>
      </c>
      <c r="O705">
        <f>O704+1</f>
        <v>3</v>
      </c>
      <c r="P705" s="1" t="str">
        <f ca="1">IF(ISERROR(F698),"",IF(ISTEXT(VLOOKUP(B698,INDIRECT($F$8),6+(O705-1)*3)),(VLOOKUP(B698,INDIRECT($F$8),6+(O705-1)*3)),SUM(VLOOKUP(B698,INDIRECT($F$8),6+(O705-1)*3),IF(W717,W705,0))))</f>
        <v/>
      </c>
      <c r="Q705" s="1" t="str">
        <f ca="1">IF(ISERROR(F698),"",VLOOKUP(B698,INDIRECT($F$8),7+(O705-1)*3))</f>
        <v/>
      </c>
      <c r="R705" s="1" t="str">
        <f ca="1">IF(ISERROR(F698),"",SUM(P705:Q705))</f>
        <v/>
      </c>
      <c r="S705" s="1" t="str">
        <f ca="1">IF(ISERROR(F698),"",VLOOKUP(A698,INDIRECT($F$8),6+(O705-1)*3))</f>
        <v/>
      </c>
      <c r="T705" s="1" t="str">
        <f ca="1">IF(ISERROR(F698),"",VLOOKUP(A698,INDIRECT($F$8),7+(O705-1)*3))</f>
        <v/>
      </c>
      <c r="U705" s="1" t="str">
        <f ca="1">IF(ISERROR(F698),"",VLOOKUP(A698,INDIRECT($F$8),8+(O705-1)*3))</f>
        <v/>
      </c>
      <c r="V705" s="1" t="str">
        <f ca="1">IF(ISERROR(F698),"",IF(N705=0,A705,""))</f>
        <v/>
      </c>
      <c r="W705" s="1" t="str">
        <f ca="1">IF(ISERROR(F698),"",IF(ISTEXT(VLOOKUP(B698,INDIRECT($F$8),6+(O705-1)*3)),11,IF(VLOOKUP(B698,INDIRECT($F$8),6+(O705-1)*3)&lt;S705*0.3,IF(VLOOKUP(B698,INDIRECT($F$8),8+(O705-1)*3)&lt;U705*0.4,IF(AND(0.4*U705-VLOOKUP(B698,INDIRECT($F$8),8+(O705-1)*3)&lt;=5,0.3*S705-VLOOKUP(B698,INDIRECT($F$8),6+(O705-1)*3)&lt;=5),MAX(0.4*U705-VLOOKUP(B698,INDIRECT($F$8),8+(O705-1)*3),0.3*S705-VLOOKUP(B698,INDIRECT($F$8),6+(O705-1)*3)),11),IF(0.3*S705-VLOOKUP(B698,INDIRECT($F$8),6+(O705-1)*3)&lt;=5,0.3*S705-VLOOKUP(B698,INDIRECT($F$8),6+(O705-1)*3),11)),IF(VLOOKUP(B698,INDIRECT($F$8),8+(O705-1)*3)&lt;U705*0.4,IF(U705*0.4-VLOOKUP(B698,INDIRECT($F$8),8+(O705-1)*3)&lt;=5,U705*0.4-VLOOKUP(B698,INDIRECT($F$8),8+(O705-1)*3),11),0))))</f>
        <v/>
      </c>
      <c r="X705" s="1" t="str">
        <f ca="1">IF(ISERROR(F698),"",IF(W705=0,"",_xlfn.TEXTJOIN("",FALSE," G+",W705," in ",A705)))</f>
        <v/>
      </c>
    </row>
    <row r="706" spans="1:24" ht="11.25" customHeight="1" x14ac:dyDescent="0.2">
      <c r="A706" s="7" t="str">
        <f ca="1">IF(ISERROR(F698),"",VLOOKUP(C698,INDIRECT($F$8),6+(O706-1)*3,0))</f>
        <v/>
      </c>
      <c r="B706" s="41" t="str">
        <f ca="1">IF(ISERROR(F698),"",VLOOKUP(D698,INDIRECT($F$8),6+(O706-1)*3,0))</f>
        <v/>
      </c>
      <c r="C706" s="41"/>
      <c r="D706" s="41"/>
      <c r="E706" s="41"/>
      <c r="F706" s="7" t="str">
        <f ca="1">IF(ISERROR(F698),"",VLOOKUP(E698,INDIRECT($F$8),6+(O706-1)*3,0))</f>
        <v/>
      </c>
      <c r="G706" s="42" t="str">
        <f ca="1">IF(ISERROR(F698),"",_xlfn.TEXTJOIN("/",FALSE,P706,S706))</f>
        <v/>
      </c>
      <c r="H706" s="42"/>
      <c r="I706" s="42" t="str">
        <f ca="1">IF(ISERROR(F698),"",_xlfn.TEXTJOIN("/",FALSE,Q706,T706))</f>
        <v/>
      </c>
      <c r="J706" s="42"/>
      <c r="K706" s="42" t="str">
        <f ca="1">IF(ISERROR(F698),"",_xlfn.TEXTJOIN("/",FALSE,R706,U706))</f>
        <v/>
      </c>
      <c r="L706" s="42"/>
      <c r="M706" s="7" t="str">
        <f ca="1">IF(ISERROR(F698),"",IF(ISTEXT(P706),IF(P706="A","Ab",IF(P706="D","Dt",IF(P706="UFM","UFM",IF(P706="NA","-")))),IF(AND(ISBLANK(P706),ISBLANK(R706)),"",IF(P706&lt;0.3*S706,"F",IF(ISBLANK(R706),"",IF(ISTEXT(R706),R706,IF(R706&gt;=0.95*U706,"O",IF(R706&gt;=0.9*U706,"A+",IF(R706&gt;=0.85*U706,"A",IF(R706&gt;=0.8*U706,"B+",IF(R706&gt;=0.75*U706,"B",IF(R706&gt;=0.7*U706,"C+",IF(R706&gt;=0.65*U706,"C",IF(R706&gt;=0.6*U706,"D+",IF(R706&gt;=0.55*U706,"D",IF(R706&gt;=0.5*U706,"E+",IF(R706&gt;=0.45*U706,"E",IF(R706&gt;=0.4*U706,"P",IF(R706&lt;0.4*U706,"F",R706)))))))))))))))))))</f>
        <v/>
      </c>
      <c r="N706" s="8" t="e">
        <f t="shared" ca="1" si="70"/>
        <v>#N/A</v>
      </c>
      <c r="O706">
        <f>O705+1</f>
        <v>4</v>
      </c>
      <c r="P706" s="1" t="str">
        <f ca="1">IF(ISERROR(F698),"",IF(ISTEXT(VLOOKUP(B698,INDIRECT($F$8),6+(O706-1)*3)),(VLOOKUP(B698,INDIRECT($F$8),6+(O706-1)*3)),SUM(VLOOKUP(B698,INDIRECT($F$8),6+(O706-1)*3),IF(W717,W706,0))))</f>
        <v/>
      </c>
      <c r="Q706" s="1" t="str">
        <f ca="1">IF(ISERROR(F698),"",VLOOKUP(B698,INDIRECT($F$8),7+(O706-1)*3))</f>
        <v/>
      </c>
      <c r="R706" s="1" t="str">
        <f ca="1">IF(ISERROR(F698),"",SUM(P706:Q706))</f>
        <v/>
      </c>
      <c r="S706" s="1" t="str">
        <f ca="1">IF(ISERROR(F698),"",VLOOKUP(A698,INDIRECT($F$8),6+(O706-1)*3))</f>
        <v/>
      </c>
      <c r="T706" s="1" t="str">
        <f ca="1">IF(ISERROR(F698),"",VLOOKUP(A698,INDIRECT($F$8),7+(O706-1)*3))</f>
        <v/>
      </c>
      <c r="U706" s="1" t="str">
        <f ca="1">IF(ISERROR(F698),"",VLOOKUP(A698,INDIRECT($F$8),8+(O706-1)*3))</f>
        <v/>
      </c>
      <c r="V706" s="1" t="str">
        <f ca="1">IF(ISERROR(F698),"",IF(N706=0,A706,""))</f>
        <v/>
      </c>
      <c r="W706" s="1" t="str">
        <f ca="1">IF(ISERROR(F698),"",IF(ISTEXT(VLOOKUP(B698,INDIRECT($F$8),6+(O706-1)*3)),11,IF(VLOOKUP(B698,INDIRECT($F$8),6+(O706-1)*3)&lt;S706*0.3,IF(VLOOKUP(B698,INDIRECT($F$8),8+(O706-1)*3)&lt;U706*0.4,IF(AND(0.4*U706-VLOOKUP(B698,INDIRECT($F$8),8+(O706-1)*3)&lt;=5,0.3*S706-VLOOKUP(B698,INDIRECT($F$8),6+(O706-1)*3)&lt;=5),MAX(0.4*U706-VLOOKUP(B698,INDIRECT($F$8),8+(O706-1)*3),0.3*S706-VLOOKUP(B698,INDIRECT($F$8),6+(O706-1)*3)),11),IF(0.3*S706-VLOOKUP(B698,INDIRECT($F$8),6+(O706-1)*3)&lt;=5,0.3*S706-VLOOKUP(B698,INDIRECT($F$8),6+(O706-1)*3),11)),IF(VLOOKUP(B698,INDIRECT($F$8),8+(O706-1)*3)&lt;U706*0.4,IF(U706*0.4-VLOOKUP(B698,INDIRECT($F$8),8+(O706-1)*3)&lt;=5,U706*0.4-VLOOKUP(B698,INDIRECT($F$8),8+(O706-1)*3),11),0))))</f>
        <v/>
      </c>
      <c r="X706" s="1" t="str">
        <f ca="1">IF(ISERROR(F698),"",IF(W706=0,"",_xlfn.TEXTJOIN("",FALSE," G+",W706," in ",A706)))</f>
        <v/>
      </c>
    </row>
    <row r="707" spans="1:24" ht="11.25" customHeight="1" x14ac:dyDescent="0.2">
      <c r="A707" s="7" t="str">
        <f ca="1">IF(ISERROR(F698),"",VLOOKUP(C698,INDIRECT($F$8),6+(O707-1)*3,0))</f>
        <v/>
      </c>
      <c r="B707" s="41" t="str">
        <f ca="1">IF(ISERROR(F698),"",VLOOKUP(D698,INDIRECT($F$8),6+(O707-1)*3,0))</f>
        <v/>
      </c>
      <c r="C707" s="41"/>
      <c r="D707" s="41"/>
      <c r="E707" s="41"/>
      <c r="F707" s="7" t="str">
        <f ca="1">IF(ISERROR(F698),"",VLOOKUP(E698,INDIRECT($F$8),6+(O707-1)*3,0))</f>
        <v/>
      </c>
      <c r="G707" s="42" t="str">
        <f ca="1">IF(ISERROR(F698),"",_xlfn.TEXTJOIN("/",FALSE,P707,S707))</f>
        <v/>
      </c>
      <c r="H707" s="42"/>
      <c r="I707" s="42" t="str">
        <f ca="1">IF(ISERROR(F698),"",_xlfn.TEXTJOIN("/",FALSE,Q707,T707))</f>
        <v/>
      </c>
      <c r="J707" s="42"/>
      <c r="K707" s="42" t="str">
        <f ca="1">IF(ISERROR(F698),"",_xlfn.TEXTJOIN("/",FALSE,R707,U707))</f>
        <v/>
      </c>
      <c r="L707" s="42"/>
      <c r="M707" s="7" t="str">
        <f ca="1">IF(ISERROR(F698),"",IF(ISTEXT(P707),IF(P707="A","Ab",IF(P707="D","Dt",IF(P707="UFM","UFM",IF(P707="NA","-")))),IF(AND(ISBLANK(P707),ISBLANK(R707)),"",IF(P707&lt;0.3*S707,"F",IF(ISBLANK(R707),"",IF(ISTEXT(R707),R707,IF(R707&gt;=0.95*U707,"O",IF(R707&gt;=0.9*U707,"A+",IF(R707&gt;=0.85*U707,"A",IF(R707&gt;=0.8*U707,"B+",IF(R707&gt;=0.75*U707,"B",IF(R707&gt;=0.7*U707,"C+",IF(R707&gt;=0.65*U707,"C",IF(R707&gt;=0.6*U707,"D+",IF(R707&gt;=0.55*U707,"D",IF(R707&gt;=0.5*U707,"E+",IF(R707&gt;=0.45*U707,"E",IF(R707&gt;=0.4*U707,"P",IF(R707&lt;0.4*U707,"F",R707)))))))))))))))))))</f>
        <v/>
      </c>
      <c r="N707" s="8" t="e">
        <f t="shared" ca="1" si="70"/>
        <v>#N/A</v>
      </c>
      <c r="O707">
        <f t="shared" ref="O707:O716" si="71">O706+1</f>
        <v>5</v>
      </c>
      <c r="P707" s="1" t="str">
        <f ca="1">IF(ISERROR(F698),"",IF(ISTEXT(VLOOKUP(B698,INDIRECT($F$8),6+(O707-1)*3)),(VLOOKUP(B698,INDIRECT($F$8),6+(O707-1)*3)),SUM(VLOOKUP(B698,INDIRECT($F$8),6+(O707-1)*3),IF(W717,W707,0))))</f>
        <v/>
      </c>
      <c r="Q707" s="1" t="str">
        <f ca="1">IF(ISERROR(F698),"",VLOOKUP(B698,INDIRECT($F$8),7+(O707-1)*3))</f>
        <v/>
      </c>
      <c r="R707" s="1" t="str">
        <f ca="1">IF(ISERROR(F698),"",SUM(P707:Q707))</f>
        <v/>
      </c>
      <c r="S707" s="1" t="str">
        <f ca="1">IF(ISERROR(F698),"",VLOOKUP(A698,INDIRECT($F$8),6+(O707-1)*3))</f>
        <v/>
      </c>
      <c r="T707" s="1" t="str">
        <f ca="1">IF(ISERROR(F698),"",VLOOKUP(A698,INDIRECT($F$8),7+(O707-1)*3))</f>
        <v/>
      </c>
      <c r="U707" s="1" t="str">
        <f ca="1">IF(ISERROR(F698),"",VLOOKUP(A698,INDIRECT($F$8),8+(O707-1)*3))</f>
        <v/>
      </c>
      <c r="V707" s="1" t="str">
        <f ca="1">IF(ISERROR(F698),"",IF(N707=0,A707,""))</f>
        <v/>
      </c>
      <c r="W707" s="1" t="str">
        <f ca="1">IF(ISERROR(F698),"",IF(ISTEXT(VLOOKUP(B698,INDIRECT($F$8),6+(O707-1)*3)),11,IF(VLOOKUP(B698,INDIRECT($F$8),6+(O707-1)*3)&lt;S707*0.3,IF(VLOOKUP(B698,INDIRECT($F$8),8+(O707-1)*3)&lt;U707*0.4,IF(AND(0.4*U707-VLOOKUP(B698,INDIRECT($F$8),8+(O707-1)*3)&lt;=5,0.3*S707-VLOOKUP(B698,INDIRECT($F$8),6+(O707-1)*3)&lt;=5),MAX(0.4*U707-VLOOKUP(B698,INDIRECT($F$8),8+(O707-1)*3),0.3*S707-VLOOKUP(B698,INDIRECT($F$8),6+(O707-1)*3)),11),IF(0.3*S707-VLOOKUP(B698,INDIRECT($F$8),6+(O707-1)*3)&lt;=5,0.3*S707-VLOOKUP(B698,INDIRECT($F$8),6+(O707-1)*3),11)),IF(VLOOKUP(B698,INDIRECT($F$8),8+(O707-1)*3)&lt;U707*0.4,IF(U707*0.4-VLOOKUP(B698,INDIRECT($F$8),8+(O707-1)*3)&lt;=5,U707*0.4-VLOOKUP(B698,INDIRECT($F$8),8+(O707-1)*3),11),0))))</f>
        <v/>
      </c>
      <c r="X707" s="1" t="str">
        <f ca="1">IF(ISERROR(F698),"",IF(W707=0,"",_xlfn.TEXTJOIN("",FALSE," G+",W707," in ",A707)))</f>
        <v/>
      </c>
    </row>
    <row r="708" spans="1:24" ht="11.25" customHeight="1" x14ac:dyDescent="0.2">
      <c r="A708" s="7" t="str">
        <f ca="1">IF(ISERROR(F698),"",VLOOKUP(C698,INDIRECT($F$8),6+(O708-1)*3,0))</f>
        <v/>
      </c>
      <c r="B708" s="41" t="str">
        <f ca="1">IF(ISERROR(F698),"",VLOOKUP(D698,INDIRECT($F$8),6+(O708-1)*3,0))</f>
        <v/>
      </c>
      <c r="C708" s="41"/>
      <c r="D708" s="41"/>
      <c r="E708" s="41"/>
      <c r="F708" s="7" t="str">
        <f ca="1">IF(ISERROR(F698),"",VLOOKUP(E698,INDIRECT($F$8),6+(O708-1)*3,0))</f>
        <v/>
      </c>
      <c r="G708" s="42" t="str">
        <f ca="1">IF(ISERROR(F698),"",_xlfn.TEXTJOIN("/",FALSE,P708,S708))</f>
        <v/>
      </c>
      <c r="H708" s="42"/>
      <c r="I708" s="42" t="str">
        <f ca="1">IF(ISERROR(F698),"",_xlfn.TEXTJOIN("/",FALSE,Q708,T708))</f>
        <v/>
      </c>
      <c r="J708" s="42"/>
      <c r="K708" s="42" t="str">
        <f ca="1">IF(ISERROR(F698),"",_xlfn.TEXTJOIN("/",FALSE,R708,U708))</f>
        <v/>
      </c>
      <c r="L708" s="42"/>
      <c r="M708" s="7" t="str">
        <f ca="1">IF(ISERROR(F698),"",IF(ISTEXT(P708),IF(P708="A","Ab",IF(P708="D","Dt",IF(P708="UFM","UFM",IF(P708="NA","-")))),IF(AND(ISBLANK(P708),ISBLANK(R708)),"",IF(P708&lt;0.3*S708,"F",IF(ISBLANK(R708),"",IF(ISTEXT(R708),R708,IF(R708&gt;=0.95*U708,"O",IF(R708&gt;=0.9*U708,"A+",IF(R708&gt;=0.85*U708,"A",IF(R708&gt;=0.8*U708,"B+",IF(R708&gt;=0.75*U708,"B",IF(R708&gt;=0.7*U708,"C+",IF(R708&gt;=0.65*U708,"C",IF(R708&gt;=0.6*U708,"D+",IF(R708&gt;=0.55*U708,"D",IF(R708&gt;=0.5*U708,"E+",IF(R708&gt;=0.45*U708,"E",IF(R708&gt;=0.4*U708,"P",IF(R708&lt;0.4*U708,"F",R708)))))))))))))))))))</f>
        <v/>
      </c>
      <c r="N708" s="8" t="e">
        <f t="shared" ca="1" si="70"/>
        <v>#N/A</v>
      </c>
      <c r="O708">
        <f t="shared" si="71"/>
        <v>6</v>
      </c>
      <c r="P708" s="1" t="str">
        <f ca="1">IF(ISERROR(F698),"",IF(ISTEXT(VLOOKUP(B698,INDIRECT($F$8),6+(O708-1)*3)),(VLOOKUP(B698,INDIRECT($F$8),6+(O708-1)*3)),SUM(VLOOKUP(B698,INDIRECT($F$8),6+(O708-1)*3),IF(W717,W708,0))))</f>
        <v/>
      </c>
      <c r="Q708" s="1" t="str">
        <f ca="1">IF(ISERROR(F698),"",VLOOKUP(B698,INDIRECT($F$8),7+(O708-1)*3))</f>
        <v/>
      </c>
      <c r="R708" s="1" t="str">
        <f ca="1">IF(ISERROR(F698),"",SUM(P708:Q708))</f>
        <v/>
      </c>
      <c r="S708" s="1" t="str">
        <f ca="1">IF(ISERROR(F698),"",VLOOKUP(A698,INDIRECT($F$8),6+(O708-1)*3))</f>
        <v/>
      </c>
      <c r="T708" s="1" t="str">
        <f ca="1">IF(ISERROR(F698),"",VLOOKUP(A698,INDIRECT($F$8),7+(O708-1)*3))</f>
        <v/>
      </c>
      <c r="U708" s="1" t="str">
        <f ca="1">IF(ISERROR(F698),"",VLOOKUP(A698,INDIRECT($F$8),8+(O708-1)*3))</f>
        <v/>
      </c>
      <c r="V708" s="1" t="str">
        <f ca="1">IF(ISERROR(F698),"",IF(N708=0,A708,""))</f>
        <v/>
      </c>
      <c r="W708" s="1" t="str">
        <f ca="1">IF(ISERROR(F698),"",IF(ISTEXT(VLOOKUP(B698,INDIRECT($F$8),6+(O708-1)*3)),11,IF(VLOOKUP(B698,INDIRECT($F$8),6+(O708-1)*3)&lt;S708*0.3,IF(VLOOKUP(B698,INDIRECT($F$8),8+(O708-1)*3)&lt;U708*0.4,IF(AND(0.4*U708-VLOOKUP(B698,INDIRECT($F$8),8+(O708-1)*3)&lt;=5,0.3*S708-VLOOKUP(B698,INDIRECT($F$8),6+(O708-1)*3)&lt;=5),MAX(0.4*U708-VLOOKUP(B698,INDIRECT($F$8),8+(O708-1)*3),0.3*S708-VLOOKUP(B698,INDIRECT($F$8),6+(O708-1)*3)),11),IF(0.3*S708-VLOOKUP(B698,INDIRECT($F$8),6+(O708-1)*3)&lt;=5,0.3*S708-VLOOKUP(B698,INDIRECT($F$8),6+(O708-1)*3),11)),IF(VLOOKUP(B698,INDIRECT($F$8),8+(O708-1)*3)&lt;U708*0.4,IF(U708*0.4-VLOOKUP(B698,INDIRECT($F$8),8+(O708-1)*3)&lt;=5,U708*0.4-VLOOKUP(B698,INDIRECT($F$8),8+(O708-1)*3),11),0))))</f>
        <v/>
      </c>
      <c r="X708" s="1" t="str">
        <f ca="1">IF(ISERROR(F698),"",IF(W708=0,"",_xlfn.TEXTJOIN("",FALSE," G+",W708," in ",A708)))</f>
        <v/>
      </c>
    </row>
    <row r="709" spans="1:24" ht="11.25" customHeight="1" x14ac:dyDescent="0.2">
      <c r="A709" s="7" t="str">
        <f ca="1">IF(ISERROR(F698),"",VLOOKUP(C698,INDIRECT($F$8),6+(O709-1)*3,0))</f>
        <v/>
      </c>
      <c r="B709" s="41" t="str">
        <f ca="1">IF(ISERROR(F698),"",VLOOKUP(D698,INDIRECT($F$8),6+(O709-1)*3,0))</f>
        <v/>
      </c>
      <c r="C709" s="41"/>
      <c r="D709" s="41"/>
      <c r="E709" s="41"/>
      <c r="F709" s="7" t="str">
        <f ca="1">IF(ISERROR(F698),"",VLOOKUP(E698,INDIRECT($F$8),6+(O709-1)*3,0))</f>
        <v/>
      </c>
      <c r="G709" s="42" t="str">
        <f ca="1">IF(ISERROR(F698),"",_xlfn.TEXTJOIN("/",FALSE,P709,S709))</f>
        <v/>
      </c>
      <c r="H709" s="42"/>
      <c r="I709" s="42" t="str">
        <f ca="1">IF(ISERROR(F698),"",_xlfn.TEXTJOIN("/",FALSE,Q709,T709))</f>
        <v/>
      </c>
      <c r="J709" s="42"/>
      <c r="K709" s="42" t="str">
        <f ca="1">IF(ISERROR(F698),"",_xlfn.TEXTJOIN("/",FALSE,R709,U709))</f>
        <v/>
      </c>
      <c r="L709" s="42"/>
      <c r="M709" s="7" t="str">
        <f ca="1">IF(ISERROR(F698),"",IF(ISTEXT(P709),IF(P709="A","Ab",IF(P709="D","Dt",IF(P709="UFM","UFM",IF(P709="NA","-")))),IF(AND(ISBLANK(P709),ISBLANK(R709)),"",IF(P709&lt;0.3*S709,"F",IF(ISBLANK(R709),"",IF(ISTEXT(R709),R709,IF(R709&gt;=0.95*U709,"O",IF(R709&gt;=0.9*U709,"A+",IF(R709&gt;=0.85*U709,"A",IF(R709&gt;=0.8*U709,"B+",IF(R709&gt;=0.75*U709,"B",IF(R709&gt;=0.7*U709,"C+",IF(R709&gt;=0.65*U709,"C",IF(R709&gt;=0.6*U709,"D+",IF(R709&gt;=0.55*U709,"D",IF(R709&gt;=0.5*U709,"E+",IF(R709&gt;=0.45*U709,"E",IF(R709&gt;=0.4*U709,"P",IF(R709&lt;0.4*U709,"F",R709)))))))))))))))))))</f>
        <v/>
      </c>
      <c r="N709" s="8" t="e">
        <f t="shared" ca="1" si="70"/>
        <v>#N/A</v>
      </c>
      <c r="O709">
        <f t="shared" si="71"/>
        <v>7</v>
      </c>
      <c r="P709" s="1" t="str">
        <f ca="1">IF(ISERROR(F698),"",IF(ISTEXT(VLOOKUP(B698,INDIRECT($F$8),6+(O709-1)*3)),(VLOOKUP(B698,INDIRECT($F$8),6+(O709-1)*3)),SUM(VLOOKUP(B698,INDIRECT($F$8),6+(O709-1)*3),IF(W717,W709,0))))</f>
        <v/>
      </c>
      <c r="Q709" s="1" t="str">
        <f ca="1">IF(ISERROR(F698),"",VLOOKUP(B698,INDIRECT($F$8),7+(O709-1)*3))</f>
        <v/>
      </c>
      <c r="R709" s="1" t="str">
        <f ca="1">IF(ISERROR(F698),"",SUM(P709:Q709))</f>
        <v/>
      </c>
      <c r="S709" s="1" t="str">
        <f ca="1">IF(ISERROR(F698),"",VLOOKUP(A698,INDIRECT($F$8),6+(O709-1)*3))</f>
        <v/>
      </c>
      <c r="T709" s="1" t="str">
        <f ca="1">IF(ISERROR(F698),"",VLOOKUP(A698,INDIRECT($F$8),7+(O709-1)*3))</f>
        <v/>
      </c>
      <c r="U709" s="1" t="str">
        <f ca="1">IF(ISERROR(F698),"",VLOOKUP(A698,INDIRECT($F$8),8+(O709-1)*3))</f>
        <v/>
      </c>
      <c r="V709" s="1" t="str">
        <f ca="1">IF(ISERROR(F698),"",IF(N709=0,A709,""))</f>
        <v/>
      </c>
      <c r="W709" s="1" t="str">
        <f ca="1">IF(ISERROR(F698),"",IF(ISTEXT(VLOOKUP(B698,INDIRECT($F$8),6+(O709-1)*3)),11,IF(VLOOKUP(B698,INDIRECT($F$8),6+(O709-1)*3)&lt;S709*0.3,IF(VLOOKUP(B698,INDIRECT($F$8),8+(O709-1)*3)&lt;U709*0.4,IF(AND(0.4*U709-VLOOKUP(B698,INDIRECT($F$8),8+(O709-1)*3)&lt;=5,0.3*S709-VLOOKUP(B698,INDIRECT($F$8),6+(O709-1)*3)&lt;=5),MAX(0.4*U709-VLOOKUP(B698,INDIRECT($F$8),8+(O709-1)*3),0.3*S709-VLOOKUP(B698,INDIRECT($F$8),6+(O709-1)*3)),11),IF(0.3*S709-VLOOKUP(B698,INDIRECT($F$8),6+(O709-1)*3)&lt;=5,0.3*S709-VLOOKUP(B698,INDIRECT($F$8),6+(O709-1)*3),11)),IF(VLOOKUP(B698,INDIRECT($F$8),8+(O709-1)*3)&lt;U709*0.4,IF(U709*0.4-VLOOKUP(B698,INDIRECT($F$8),8+(O709-1)*3)&lt;=5,U709*0.4-VLOOKUP(B698,INDIRECT($F$8),8+(O709-1)*3),11),0))))</f>
        <v/>
      </c>
      <c r="X709" s="1" t="str">
        <f ca="1">IF(ISERROR(F698),"",IF(W709=0,"",_xlfn.TEXTJOIN("",FALSE," G+",W709," in ",A709)))</f>
        <v/>
      </c>
    </row>
    <row r="710" spans="1:24" ht="11.25" customHeight="1" x14ac:dyDescent="0.2">
      <c r="A710" s="7" t="str">
        <f ca="1">IF(ISERROR(F698),"",VLOOKUP(C698,INDIRECT($F$8),6+(O710-1)*3,0))</f>
        <v/>
      </c>
      <c r="B710" s="41" t="str">
        <f ca="1">IF(ISERROR(F698),"",VLOOKUP(D698,INDIRECT($F$8),6+(O710-1)*3,0))</f>
        <v/>
      </c>
      <c r="C710" s="41"/>
      <c r="D710" s="41"/>
      <c r="E710" s="41"/>
      <c r="F710" s="7" t="str">
        <f ca="1">IF(ISERROR(F698),"",VLOOKUP(E698,INDIRECT($F$8),6+(O710-1)*3,0))</f>
        <v/>
      </c>
      <c r="G710" s="42" t="str">
        <f ca="1">IF(ISERROR(F698),"",_xlfn.TEXTJOIN("/",FALSE,P710,S710))</f>
        <v/>
      </c>
      <c r="H710" s="42"/>
      <c r="I710" s="42" t="str">
        <f ca="1">IF(ISERROR(F698),"",_xlfn.TEXTJOIN("/",FALSE,Q710,T710))</f>
        <v/>
      </c>
      <c r="J710" s="42"/>
      <c r="K710" s="42" t="str">
        <f ca="1">IF(ISERROR(F698),"",_xlfn.TEXTJOIN("/",FALSE,R710,U710))</f>
        <v/>
      </c>
      <c r="L710" s="42"/>
      <c r="M710" s="7" t="str">
        <f ca="1">IF(ISERROR(F698),"",IF(ISTEXT(P710),IF(P710="A","Ab",IF(P710="D","Dt",IF(P710="UFM","UFM",IF(P710="NA","-")))),IF(AND(ISBLANK(P710),ISBLANK(R710)),"",IF(P710&lt;0.3*S710,"F",IF(ISBLANK(R710),"",IF(ISTEXT(R710),R710,IF(R710&gt;=0.95*U710,"O",IF(R710&gt;=0.9*U710,"A+",IF(R710&gt;=0.85*U710,"A",IF(R710&gt;=0.8*U710,"B+",IF(R710&gt;=0.75*U710,"B",IF(R710&gt;=0.7*U710,"C+",IF(R710&gt;=0.65*U710,"C",IF(R710&gt;=0.6*U710,"D+",IF(R710&gt;=0.55*U710,"D",IF(R710&gt;=0.5*U710,"E+",IF(R710&gt;=0.45*U710,"E",IF(R710&gt;=0.4*U710,"P",IF(R710&lt;0.4*U710,"F",R710)))))))))))))))))))</f>
        <v/>
      </c>
      <c r="N710" s="8" t="e">
        <f t="shared" ca="1" si="70"/>
        <v>#N/A</v>
      </c>
      <c r="O710">
        <f t="shared" si="71"/>
        <v>8</v>
      </c>
      <c r="P710" s="1" t="str">
        <f ca="1">IF(ISERROR(F698),"",IF(ISTEXT(VLOOKUP(B698,INDIRECT($F$8),6+(O710-1)*3)),(VLOOKUP(B698,INDIRECT($F$8),6+(O710-1)*3)),SUM(VLOOKUP(B698,INDIRECT($F$8),6+(O710-1)*3),IF(W717,W710,0))))</f>
        <v/>
      </c>
      <c r="Q710" s="1" t="str">
        <f ca="1">IF(ISERROR(F698),"",VLOOKUP(B698,INDIRECT($F$8),7+(O710-1)*3))</f>
        <v/>
      </c>
      <c r="R710" s="1" t="str">
        <f ca="1">IF(ISERROR(F698),"",SUM(P710:Q710))</f>
        <v/>
      </c>
      <c r="S710" s="1" t="str">
        <f ca="1">IF(ISERROR(F698),"",VLOOKUP(A698,INDIRECT($F$8),6+(O710-1)*3))</f>
        <v/>
      </c>
      <c r="T710" s="1" t="str">
        <f ca="1">IF(ISERROR(F698),"",VLOOKUP(A698,INDIRECT($F$8),7+(O710-1)*3))</f>
        <v/>
      </c>
      <c r="U710" s="1" t="str">
        <f ca="1">IF(ISERROR(F698),"",VLOOKUP(A698,INDIRECT($F$8),8+(O710-1)*3))</f>
        <v/>
      </c>
      <c r="V710" s="1" t="str">
        <f ca="1">IF(ISERROR(F698),"",IF(N710=0,A710,""))</f>
        <v/>
      </c>
      <c r="W710" s="1" t="str">
        <f ca="1">IF(ISERROR(F698),"",IF(ISTEXT(VLOOKUP(B698,INDIRECT($F$8),6+(O710-1)*3)),11,IF(VLOOKUP(B698,INDIRECT($F$8),6+(O710-1)*3)&lt;S710*0.3,IF(VLOOKUP(B698,INDIRECT($F$8),8+(O710-1)*3)&lt;U710*0.4,IF(AND(0.4*U710-VLOOKUP(B698,INDIRECT($F$8),8+(O710-1)*3)&lt;=5,0.3*S710-VLOOKUP(B698,INDIRECT($F$8),6+(O710-1)*3)&lt;=5),MAX(0.4*U710-VLOOKUP(B698,INDIRECT($F$8),8+(O710-1)*3),0.3*S710-VLOOKUP(B698,INDIRECT($F$8),6+(O710-1)*3)),11),IF(0.3*S710-VLOOKUP(B698,INDIRECT($F$8),6+(O710-1)*3)&lt;=5,0.3*S710-VLOOKUP(B698,INDIRECT($F$8),6+(O710-1)*3),11)),IF(VLOOKUP(B698,INDIRECT($F$8),8+(O710-1)*3)&lt;U710*0.4,IF(U710*0.4-VLOOKUP(B698,INDIRECT($F$8),8+(O710-1)*3)&lt;=5,U710*0.4-VLOOKUP(B698,INDIRECT($F$8),8+(O710-1)*3),11),0))))</f>
        <v/>
      </c>
      <c r="X710" s="1" t="str">
        <f ca="1">IF(ISERROR(F698),"",IF(W710=0,"",_xlfn.TEXTJOIN("",FALSE," G+",W710," in ",A710)))</f>
        <v/>
      </c>
    </row>
    <row r="711" spans="1:24" ht="11.25" customHeight="1" x14ac:dyDescent="0.2">
      <c r="A711" s="7" t="str">
        <f ca="1">IF(ISERROR(F698),"",VLOOKUP(C698,INDIRECT($F$8),6+(O711-1)*3,0))</f>
        <v/>
      </c>
      <c r="B711" s="41" t="str">
        <f ca="1">IF(ISERROR(F698),"",VLOOKUP(D698,INDIRECT($F$8),6+(O711-1)*3-Z711,0))</f>
        <v/>
      </c>
      <c r="C711" s="41"/>
      <c r="D711" s="41"/>
      <c r="E711" s="41"/>
      <c r="F711" s="7" t="str">
        <f ca="1">IF(ISERROR(F698),"",VLOOKUP(E698,INDIRECT($F$8),6+(O711-1)*3,0))</f>
        <v/>
      </c>
      <c r="G711" s="42" t="str">
        <f ca="1">IF(ISERROR(F698),"",_xlfn.TEXTJOIN("/",FALSE,P711,S711))</f>
        <v/>
      </c>
      <c r="H711" s="42"/>
      <c r="I711" s="42" t="str">
        <f ca="1">IF(ISERROR(F698),"",_xlfn.TEXTJOIN("/",FALSE,Q711,T711))</f>
        <v/>
      </c>
      <c r="J711" s="42"/>
      <c r="K711" s="42" t="str">
        <f ca="1">IF(ISERROR(F698),"",_xlfn.TEXTJOIN("/",FALSE,R711,U711))</f>
        <v/>
      </c>
      <c r="L711" s="42"/>
      <c r="M711" s="7" t="str">
        <f ca="1">IF(ISERROR(F698),"",IF(ISTEXT(P711),IF(P711="A","Ab",IF(P711="D","Dt",IF(P711="UFM","UFM",IF(P711="NA","-")))),IF(AND(ISBLANK(P711),ISBLANK(R711)),"",IF(P711&lt;0.3*S711,"F",IF(ISBLANK(R711),"",IF(ISTEXT(R711),R711,IF(R711&gt;=0.95*U711,"O",IF(R711&gt;=0.9*U711,"A+",IF(R711&gt;=0.85*U711,"A",IF(R711&gt;=0.8*U711,"B+",IF(R711&gt;=0.75*U711,"B",IF(R711&gt;=0.7*U711,"C+",IF(R711&gt;=0.65*U711,"C",IF(R711&gt;=0.6*U711,"D+",IF(R711&gt;=0.55*U711,"D",IF(R711&gt;=0.5*U711,"E+",IF(R711&gt;=0.45*U711,"E",IF(R711&gt;=0.4*U711,"P",IF(R711&lt;0.4*U711,"F",R711)))))))))))))))))))</f>
        <v/>
      </c>
      <c r="N711" s="8" t="e">
        <f t="shared" ca="1" si="70"/>
        <v>#N/A</v>
      </c>
      <c r="O711">
        <f t="shared" si="71"/>
        <v>9</v>
      </c>
      <c r="P711" s="1" t="str">
        <f ca="1">IF(ISERROR(F698),"",IF(ISTEXT(VLOOKUP(B698,INDIRECT($F$8),6+(O711-1)*3)),(VLOOKUP(B698,INDIRECT($F$8),6+(O711-1)*3)),SUM(VLOOKUP(B698,INDIRECT($F$8),6+(O711-1)*3),IF(W717,W711,0))))</f>
        <v/>
      </c>
      <c r="Q711" s="1" t="str">
        <f ca="1">IF(ISERROR(F698),"",VLOOKUP(B698,INDIRECT($F$8),7+(O711-1)*3))</f>
        <v/>
      </c>
      <c r="R711" s="1" t="str">
        <f ca="1">IF(ISERROR(F698),"",SUM(P711:Q711))</f>
        <v/>
      </c>
      <c r="S711" s="1" t="str">
        <f ca="1">IF(ISERROR(F698),"",VLOOKUP(A698,INDIRECT($F$8),6+(O711-1)*3))</f>
        <v/>
      </c>
      <c r="T711" s="1" t="str">
        <f ca="1">IF(ISERROR(F698),"",VLOOKUP(A698,INDIRECT($F$8),7+(O711-1)*3))</f>
        <v/>
      </c>
      <c r="U711" s="1" t="str">
        <f ca="1">IF(ISERROR(F698),"",VLOOKUP(A698,INDIRECT($F$8),8+(O711-1)*3))</f>
        <v/>
      </c>
      <c r="V711" s="1" t="str">
        <f ca="1">IF(ISERROR(F698),"",IF(N711=0,A711,""))</f>
        <v/>
      </c>
      <c r="W711" s="1" t="str">
        <f ca="1">IF(ISERROR(F698),"",IF(ISTEXT(VLOOKUP(B698,INDIRECT($F$8),6+(O711-1)*3)),11,IF(VLOOKUP(B698,INDIRECT($F$8),6+(O711-1)*3)&lt;S711*0.3,IF(VLOOKUP(B698,INDIRECT($F$8),8+(O711-1)*3)&lt;U711*0.4,IF(AND(0.4*U711-VLOOKUP(B698,INDIRECT($F$8),8+(O711-1)*3)&lt;=5,0.3*S711-VLOOKUP(B698,INDIRECT($F$8),6+(O711-1)*3)&lt;=5),MAX(0.4*U711-VLOOKUP(B698,INDIRECT($F$8),8+(O711-1)*3),0.3*S711-VLOOKUP(B698,INDIRECT($F$8),6+(O711-1)*3)),11),IF(0.3*S711-VLOOKUP(B698,INDIRECT($F$8),6+(O711-1)*3)&lt;=5,0.3*S711-VLOOKUP(B698,INDIRECT($F$8),6+(O711-1)*3),11)),IF(VLOOKUP(B698,INDIRECT($F$8),8+(O711-1)*3)&lt;U711*0.4,IF(U711*0.4-VLOOKUP(B698,INDIRECT($F$8),8+(O711-1)*3)&lt;=5,U711*0.4-VLOOKUP(B698,INDIRECT($F$8),8+(O711-1)*3),11),0))))</f>
        <v/>
      </c>
      <c r="X711" s="1" t="str">
        <f ca="1">IF(ISERROR(F698),"",IF(W711=0,"",_xlfn.TEXTJOIN("",FALSE," G+",W711," in ",A711)))</f>
        <v/>
      </c>
    </row>
    <row r="712" spans="1:24" ht="11.25" customHeight="1" x14ac:dyDescent="0.2">
      <c r="A712" s="7" t="str">
        <f ca="1">IF(ISERROR(F698),"",VLOOKUP(C698,INDIRECT($F$8),6+(O712-1)*3,0))</f>
        <v/>
      </c>
      <c r="B712" s="41" t="str">
        <f ca="1">IF(ISERROR(F698),"",VLOOKUP(D698,INDIRECT($F$8),6+(O712-1)*3-Z712,0))</f>
        <v/>
      </c>
      <c r="C712" s="41"/>
      <c r="D712" s="41"/>
      <c r="E712" s="41"/>
      <c r="F712" s="7" t="str">
        <f ca="1">IF(ISERROR(F698),"",VLOOKUP(E698,INDIRECT($F$8),6+(O712-1)*3,0))</f>
        <v/>
      </c>
      <c r="G712" s="42" t="str">
        <f ca="1">IF(ISERROR(F698),"",_xlfn.TEXTJOIN("/",FALSE,P712,S712))</f>
        <v/>
      </c>
      <c r="H712" s="42"/>
      <c r="I712" s="42" t="str">
        <f ca="1">IF(ISERROR(F698),"",_xlfn.TEXTJOIN("/",FALSE,Q712,T712))</f>
        <v/>
      </c>
      <c r="J712" s="42"/>
      <c r="K712" s="42" t="str">
        <f ca="1">IF(ISERROR(F698),"",_xlfn.TEXTJOIN("/",FALSE,R712,U712))</f>
        <v/>
      </c>
      <c r="L712" s="42"/>
      <c r="M712" s="7" t="str">
        <f ca="1">IF(ISERROR(F698),"",IF(ISTEXT(P712),IF(P712="A","Ab",IF(P712="D","Dt",IF(P712="UFM","UFM",IF(P712="NA","-")))),IF(AND(ISBLANK(P712),ISBLANK(R712)),"",IF(P712&lt;0.3*S712,"F",IF(ISBLANK(R712),"",IF(ISTEXT(R712),R712,IF(R712&gt;=0.95*U712,"O",IF(R712&gt;=0.9*U712,"A+",IF(R712&gt;=0.85*U712,"A",IF(R712&gt;=0.8*U712,"B+",IF(R712&gt;=0.75*U712,"B",IF(R712&gt;=0.7*U712,"C+",IF(R712&gt;=0.65*U712,"C",IF(R712&gt;=0.6*U712,"D+",IF(R712&gt;=0.55*U712,"D",IF(R712&gt;=0.5*U712,"E+",IF(R712&gt;=0.45*U712,"E",IF(R712&gt;=0.4*U712,"P",IF(R712&lt;0.4*U712,"F",R712)))))))))))))))))))</f>
        <v/>
      </c>
      <c r="N712" s="8" t="e">
        <f t="shared" ca="1" si="70"/>
        <v>#N/A</v>
      </c>
      <c r="O712">
        <f t="shared" si="71"/>
        <v>10</v>
      </c>
      <c r="P712" s="1" t="str">
        <f ca="1">IF(ISERROR(F698),"",IF(ISTEXT(VLOOKUP(B698,INDIRECT($F$8),6+(O712-1)*3)),(VLOOKUP(B698,INDIRECT($F$8),6+(O712-1)*3)),SUM(VLOOKUP(B698,INDIRECT($F$8),6+(O712-1)*3),IF(W717,W712,0))))</f>
        <v/>
      </c>
      <c r="Q712" s="1" t="str">
        <f ca="1">IF(ISERROR(F698),"",VLOOKUP(B698,INDIRECT($F$8),7+(O712-1)*3))</f>
        <v/>
      </c>
      <c r="R712" s="1" t="str">
        <f ca="1">IF(ISERROR(F698),"",SUM(P712:Q712))</f>
        <v/>
      </c>
      <c r="S712" s="1" t="str">
        <f ca="1">IF(ISERROR(F698),"",VLOOKUP(A698,INDIRECT($F$8),6+(O712-1)*3))</f>
        <v/>
      </c>
      <c r="T712" s="1" t="str">
        <f ca="1">IF(ISERROR(F698),"",VLOOKUP(A698,INDIRECT($F$8),7+(O712-1)*3))</f>
        <v/>
      </c>
      <c r="U712" s="1" t="str">
        <f ca="1">IF(ISERROR(F698),"",VLOOKUP(A698,INDIRECT($F$8),8+(O712-1)*3))</f>
        <v/>
      </c>
      <c r="V712" s="1" t="str">
        <f ca="1">IF(ISERROR(F698),"",IF(N712=0,A712,""))</f>
        <v/>
      </c>
      <c r="W712" s="1" t="str">
        <f ca="1">IF(ISERROR(F698),"",IF(ISTEXT(VLOOKUP(B698,INDIRECT($F$8),6+(O712-1)*3)),11,IF(VLOOKUP(B698,INDIRECT($F$8),6+(O712-1)*3)&lt;S712*0.3,IF(VLOOKUP(B698,INDIRECT($F$8),8+(O712-1)*3)&lt;U712*0.4,IF(AND(0.4*U712-VLOOKUP(B698,INDIRECT($F$8),8+(O712-1)*3)&lt;=5,0.3*S712-VLOOKUP(B698,INDIRECT($F$8),6+(O712-1)*3)&lt;=5),MAX(0.4*U712-VLOOKUP(B698,INDIRECT($F$8),8+(O712-1)*3),0.3*S712-VLOOKUP(B698,INDIRECT($F$8),6+(O712-1)*3)),11),IF(0.3*S712-VLOOKUP(B698,INDIRECT($F$8),6+(O712-1)*3)&lt;=5,0.3*S712-VLOOKUP(B698,INDIRECT($F$8),6+(O712-1)*3),11)),IF(VLOOKUP(B698,INDIRECT($F$8),8+(O712-1)*3)&lt;U712*0.4,IF(U712*0.4-VLOOKUP(B698,INDIRECT($F$8),8+(O712-1)*3)&lt;=5,U712*0.4-VLOOKUP(B698,INDIRECT($F$8),8+(O712-1)*3),11),0))))</f>
        <v/>
      </c>
      <c r="X712" s="1" t="str">
        <f ca="1">IF(ISERROR(F698),"",IF(W712=0,"",_xlfn.TEXTJOIN("",FALSE," G+",W712," in ",A712)))</f>
        <v/>
      </c>
    </row>
    <row r="713" spans="1:24" ht="11.25" customHeight="1" x14ac:dyDescent="0.2">
      <c r="A713" s="7" t="str">
        <f ca="1">IF(ISERROR(F698),"",VLOOKUP(C698,INDIRECT($F$8),6+(O713-1)*3,0))</f>
        <v/>
      </c>
      <c r="B713" s="41" t="str">
        <f ca="1">IF(ISERROR(F698),"",VLOOKUP(D698,INDIRECT($F$8),6+(O713-1)*3,0))</f>
        <v/>
      </c>
      <c r="C713" s="41"/>
      <c r="D713" s="41"/>
      <c r="E713" s="41"/>
      <c r="F713" s="7" t="str">
        <f ca="1">IF(ISERROR(F698),"",VLOOKUP(E698,INDIRECT($F$8),6+(O713-1)*3,0))</f>
        <v/>
      </c>
      <c r="G713" s="42" t="str">
        <f ca="1">IF(ISERROR(F698),"",_xlfn.TEXTJOIN("/",FALSE,P713,S713))</f>
        <v/>
      </c>
      <c r="H713" s="42"/>
      <c r="I713" s="42" t="str">
        <f ca="1">IF(ISERROR(F698),"",_xlfn.TEXTJOIN("/",FALSE,Q713,T713))</f>
        <v/>
      </c>
      <c r="J713" s="42"/>
      <c r="K713" s="42" t="str">
        <f ca="1">IF(ISERROR(F698),"",_xlfn.TEXTJOIN("/",FALSE,R713,U713))</f>
        <v/>
      </c>
      <c r="L713" s="42"/>
      <c r="M713" s="7" t="str">
        <f ca="1">IF(ISERROR(F698),"",IF(ISTEXT(P713),IF(P713="A","Ab",IF(P713="D","Dt",IF(P713="UFM","UFM",IF(P713="NA","-")))),IF(AND(ISBLANK(P713),ISBLANK(R713)),"",IF(P713&lt;0.3*S713,"F",IF(ISBLANK(R713),"",IF(ISTEXT(R713),R713,IF(R713&gt;=0.95*U713,"O",IF(R713&gt;=0.9*U713,"A+",IF(R713&gt;=0.85*U713,"A",IF(R713&gt;=0.8*U713,"B+",IF(R713&gt;=0.75*U713,"B",IF(R713&gt;=0.7*U713,"C+",IF(R713&gt;=0.65*U713,"C",IF(R713&gt;=0.6*U713,"D+",IF(R713&gt;=0.55*U713,"D",IF(R713&gt;=0.5*U713,"E+",IF(R713&gt;=0.45*U713,"E",IF(R713&gt;=0.4*U713,"P",IF(R713&lt;0.4*U713,"F",R713)))))))))))))))))))</f>
        <v/>
      </c>
      <c r="N713" s="8" t="e">
        <f t="shared" ca="1" si="70"/>
        <v>#N/A</v>
      </c>
      <c r="O713">
        <f t="shared" si="71"/>
        <v>11</v>
      </c>
      <c r="P713" s="1" t="str">
        <f ca="1">IF(ISERROR(F698),"",IF(ISTEXT(VLOOKUP(B698,INDIRECT($F$8),6+(O713-1)*3)),(VLOOKUP(B698,INDIRECT($F$8),6+(O713-1)*3)),SUM(VLOOKUP(B698,INDIRECT($F$8),6+(O713-1)*3),IF(W717,W713,0))))</f>
        <v/>
      </c>
      <c r="Q713" s="1" t="str">
        <f ca="1">IF(ISERROR(F698),"",VLOOKUP(B698,INDIRECT($F$8),7+(O713-1)*3))</f>
        <v/>
      </c>
      <c r="R713" s="1" t="str">
        <f ca="1">IF(ISERROR(F698),"",SUM(P713:Q713))</f>
        <v/>
      </c>
      <c r="S713" s="1" t="str">
        <f ca="1">IF(ISERROR(F698),"",VLOOKUP(A698,INDIRECT($F$8),6+(O713-1)*3))</f>
        <v/>
      </c>
      <c r="T713" s="1" t="str">
        <f ca="1">IF(ISERROR(F698),"",VLOOKUP(A698,INDIRECT($F$8),7+(O713-1)*3))</f>
        <v/>
      </c>
      <c r="U713" s="1" t="str">
        <f ca="1">IF(ISERROR(F698),"",VLOOKUP(A698,INDIRECT($F$8),8+(O713-1)*3))</f>
        <v/>
      </c>
      <c r="V713" s="1" t="str">
        <f ca="1">IF(ISERROR(F698),"",IF(N713=0,A713,""))</f>
        <v/>
      </c>
      <c r="W713" s="1" t="str">
        <f ca="1">IF(ISERROR(F698),"",IF(ISTEXT(VLOOKUP(B698,INDIRECT($F$8),6+(O713-1)*3)),11,IF(VLOOKUP(B698,INDIRECT($F$8),6+(O713-1)*3)&lt;S713*0.3,IF(VLOOKUP(B698,INDIRECT($F$8),8+(O713-1)*3)&lt;U713*0.4,IF(AND(0.4*U713-VLOOKUP(B698,INDIRECT($F$8),8+(O713-1)*3)&lt;=5,0.3*S713-VLOOKUP(B698,INDIRECT($F$8),6+(O713-1)*3)&lt;=5),MAX(0.4*U713-VLOOKUP(B698,INDIRECT($F$8),8+(O713-1)*3),0.3*S713-VLOOKUP(B698,INDIRECT($F$8),6+(O713-1)*3)),11),IF(0.3*S713-VLOOKUP(B698,INDIRECT($F$8),6+(O713-1)*3)&lt;=5,0.3*S713-VLOOKUP(B698,INDIRECT($F$8),6+(O713-1)*3),11)),IF(VLOOKUP(B698,INDIRECT($F$8),8+(O713-1)*3)&lt;U713*0.4,IF(U713*0.4-VLOOKUP(B698,INDIRECT($F$8),8+(O713-1)*3)&lt;=5,U713*0.4-VLOOKUP(B698,INDIRECT($F$8),8+(O713-1)*3),11),0))))</f>
        <v/>
      </c>
      <c r="X713" s="1" t="str">
        <f ca="1">IF(ISERROR(F698),"",IF(W713=0,"",_xlfn.TEXTJOIN("",FALSE," G+",W713," in ",A713)))</f>
        <v/>
      </c>
    </row>
    <row r="714" spans="1:24" ht="11.25" customHeight="1" x14ac:dyDescent="0.2">
      <c r="A714" s="7" t="str">
        <f ca="1">IF(ISERROR(F698),"",VLOOKUP(C698,INDIRECT($F$8),6+(O714-1)*3,0))</f>
        <v/>
      </c>
      <c r="B714" s="41" t="str">
        <f ca="1">IF(ISERROR(F698),"",VLOOKUP(D698,INDIRECT($F$8),6+(O714-1)*3,0))</f>
        <v/>
      </c>
      <c r="C714" s="41"/>
      <c r="D714" s="41"/>
      <c r="E714" s="41"/>
      <c r="F714" s="7" t="str">
        <f ca="1">IF(ISERROR(F698),"",VLOOKUP(E698,INDIRECT($F$8),6+(O714-1)*3,0))</f>
        <v/>
      </c>
      <c r="G714" s="42" t="str">
        <f ca="1">IF(ISERROR(F698),"",_xlfn.TEXTJOIN("/",FALSE,P714,S714))</f>
        <v/>
      </c>
      <c r="H714" s="42"/>
      <c r="I714" s="42" t="str">
        <f ca="1">IF(ISERROR(F698),"",_xlfn.TEXTJOIN("/",FALSE,Q714,T714))</f>
        <v/>
      </c>
      <c r="J714" s="42"/>
      <c r="K714" s="42" t="str">
        <f ca="1">IF(ISERROR(F698),"",_xlfn.TEXTJOIN("/",FALSE,R714,U714))</f>
        <v/>
      </c>
      <c r="L714" s="42"/>
      <c r="M714" s="7" t="str">
        <f ca="1">IF(ISERROR(F698),"",IF(ISTEXT(P714),IF(P714="A","Ab",IF(P714="D","Dt",IF(P714="UFM","UFM",IF(P714="NA","-")))),IF(AND(ISBLANK(P714),ISBLANK(R714)),"",IF(P714&lt;0.3*S714,"F",IF(ISBLANK(R714),"",IF(ISTEXT(R714),R714,IF(R714&gt;=0.95*U714,"O",IF(R714&gt;=0.9*U714,"A+",IF(R714&gt;=0.85*U714,"A",IF(R714&gt;=0.8*U714,"B+",IF(R714&gt;=0.75*U714,"B",IF(R714&gt;=0.7*U714,"C+",IF(R714&gt;=0.65*U714,"C",IF(R714&gt;=0.6*U714,"D+",IF(R714&gt;=0.55*U714,"D",IF(R714&gt;=0.5*U714,"E+",IF(R714&gt;=0.45*U714,"E",IF(R714&gt;=0.4*U714,"P",IF(R714&lt;0.4*U714,"F",R714)))))))))))))))))))</f>
        <v/>
      </c>
      <c r="N714" s="8" t="e">
        <f t="shared" ca="1" si="70"/>
        <v>#N/A</v>
      </c>
      <c r="O714">
        <f t="shared" si="71"/>
        <v>12</v>
      </c>
      <c r="P714" s="1" t="str">
        <f ca="1">IF(ISERROR(F698),"",IF(ISTEXT(VLOOKUP(B698,INDIRECT($F$8),6+(O714-1)*3)),(VLOOKUP(B698,INDIRECT($F$8),6+(O714-1)*3)),SUM(VLOOKUP(B698,INDIRECT($F$8),6+(O714-1)*3),IF(W717,W714,0))))</f>
        <v/>
      </c>
      <c r="Q714" s="1" t="str">
        <f ca="1">IF(ISERROR(F698),"",VLOOKUP(B698,INDIRECT($F$8),7+(O714-1)*3))</f>
        <v/>
      </c>
      <c r="R714" s="1" t="str">
        <f ca="1">IF(ISERROR(F698),"",SUM(P714:Q714))</f>
        <v/>
      </c>
      <c r="S714" s="1" t="str">
        <f ca="1">IF(ISERROR(F698),"",VLOOKUP(A698,INDIRECT($F$8),6+(O714-1)*3))</f>
        <v/>
      </c>
      <c r="T714" s="1" t="str">
        <f ca="1">IF(ISERROR(F698),"",VLOOKUP(A698,INDIRECT($F$8),7+(O714-1)*3))</f>
        <v/>
      </c>
      <c r="U714" s="1" t="str">
        <f ca="1">IF(ISERROR(F698),"",VLOOKUP(A698,INDIRECT($F$8),8+(O714-1)*3))</f>
        <v/>
      </c>
      <c r="V714" s="1" t="str">
        <f ca="1">IF(ISERROR(F698),"",IF(N714=0,A714,""))</f>
        <v/>
      </c>
      <c r="W714" s="1" t="str">
        <f ca="1">IF(ISERROR(F698),"",IF(ISTEXT(VLOOKUP(B698,INDIRECT($F$8),6+(O714-1)*3)),11,IF(VLOOKUP(B698,INDIRECT($F$8),6+(O714-1)*3)&lt;S714*0.3,IF(VLOOKUP(B698,INDIRECT($F$8),8+(O714-1)*3)&lt;U714*0.4,IF(AND(0.4*U714-VLOOKUP(B698,INDIRECT($F$8),8+(O714-1)*3)&lt;=5,0.3*S714-VLOOKUP(B698,INDIRECT($F$8),6+(O714-1)*3)&lt;=5),MAX(0.4*U714-VLOOKUP(B698,INDIRECT($F$8),8+(O714-1)*3),0.3*S714-VLOOKUP(B698,INDIRECT($F$8),6+(O714-1)*3)),11),IF(0.3*S714-VLOOKUP(B698,INDIRECT($F$8),6+(O714-1)*3)&lt;=5,0.3*S714-VLOOKUP(B698,INDIRECT($F$8),6+(O714-1)*3),11)),IF(VLOOKUP(B698,INDIRECT($F$8),8+(O714-1)*3)&lt;U714*0.4,IF(U714*0.4-VLOOKUP(B698,INDIRECT($F$8),8+(O714-1)*3)&lt;=5,U714*0.4-VLOOKUP(B698,INDIRECT($F$8),8+(O714-1)*3),11),0))))</f>
        <v/>
      </c>
      <c r="X714" s="1" t="str">
        <f ca="1">IF(ISERROR(F698),"",IF(W714=0,"",_xlfn.TEXTJOIN("",FALSE," G+",W714," in ",A714)))</f>
        <v/>
      </c>
    </row>
    <row r="715" spans="1:24" ht="11.25" customHeight="1" x14ac:dyDescent="0.2">
      <c r="A715" s="7" t="str">
        <f ca="1">IF(ISERROR(F698),"",VLOOKUP(C698,INDIRECT($F$8),6+(O715-1)*3,0))</f>
        <v/>
      </c>
      <c r="B715" s="41" t="str">
        <f ca="1">IF(ISERROR(F698),"",VLOOKUP(D698,INDIRECT($F$8),6+(O715-1)*3,0))</f>
        <v/>
      </c>
      <c r="C715" s="41"/>
      <c r="D715" s="41"/>
      <c r="E715" s="41"/>
      <c r="F715" s="7" t="str">
        <f ca="1">IF(ISERROR(F698),"",VLOOKUP(E698,INDIRECT($F$8),6+(O715-1)*3,0))</f>
        <v/>
      </c>
      <c r="G715" s="42" t="str">
        <f ca="1">IF(ISERROR(F698),"",_xlfn.TEXTJOIN("/",FALSE,P715,S715))</f>
        <v/>
      </c>
      <c r="H715" s="42"/>
      <c r="I715" s="42" t="str">
        <f ca="1">IF(ISERROR(F698),"",_xlfn.TEXTJOIN("/",FALSE,Q715,T715))</f>
        <v/>
      </c>
      <c r="J715" s="42"/>
      <c r="K715" s="42" t="str">
        <f ca="1">IF(ISERROR(F698),"",_xlfn.TEXTJOIN("/",FALSE,R715,U715))</f>
        <v/>
      </c>
      <c r="L715" s="42"/>
      <c r="M715" s="7" t="str">
        <f ca="1">IF(ISERROR(F698),"",IF(ISTEXT(P715),IF(P715="A","Ab",IF(P715="D","Dt",IF(P715="UFM","UFM",IF(P715="NA","-")))),IF(AND(ISBLANK(P715),ISBLANK(R715)),"",IF(P715&lt;0.3*S715,"F",IF(ISBLANK(R715),"",IF(ISTEXT(R715),R715,IF(R715&gt;=0.95*U715,"O",IF(R715&gt;=0.9*U715,"A+",IF(R715&gt;=0.85*U715,"A",IF(R715&gt;=0.8*U715,"B+",IF(R715&gt;=0.75*U715,"B",IF(R715&gt;=0.7*U715,"C+",IF(R715&gt;=0.65*U715,"C",IF(R715&gt;=0.6*U715,"D+",IF(R715&gt;=0.55*U715,"D",IF(R715&gt;=0.5*U715,"E+",IF(R715&gt;=0.45*U715,"E",IF(R715&gt;=0.4*U715,"P",IF(R715&lt;0.4*U715,"F",R715)))))))))))))))))))</f>
        <v/>
      </c>
      <c r="N715" s="8" t="e">
        <f t="shared" ca="1" si="70"/>
        <v>#N/A</v>
      </c>
      <c r="O715">
        <f t="shared" si="71"/>
        <v>13</v>
      </c>
      <c r="P715" s="1" t="str">
        <f ca="1">IF(ISERROR(F698),"",IF(ISTEXT(VLOOKUP(B698,INDIRECT($F$8),6+(O715-1)*3)),(VLOOKUP(B698,INDIRECT($F$8),6+(O715-1)*3)),SUM(VLOOKUP(B698,INDIRECT($F$8),6+(O715-1)*3),IF(W717,W715,0))))</f>
        <v/>
      </c>
      <c r="Q715" s="1" t="str">
        <f ca="1">IF(ISERROR(F698),"",VLOOKUP(B698,INDIRECT($F$8),7+(O715-1)*3))</f>
        <v/>
      </c>
      <c r="R715" s="1" t="str">
        <f ca="1">IF(ISERROR(F698),"",SUM(P715:Q715))</f>
        <v/>
      </c>
      <c r="S715" s="1" t="str">
        <f ca="1">IF(ISERROR(F698),"",VLOOKUP(A698,INDIRECT($F$8),6+(O715-1)*3))</f>
        <v/>
      </c>
      <c r="T715" s="1" t="str">
        <f ca="1">IF(ISERROR(F698),"",VLOOKUP(A698,INDIRECT($F$8),7+(O715-1)*3))</f>
        <v/>
      </c>
      <c r="U715" s="1" t="str">
        <f ca="1">IF(ISERROR(F698),"",VLOOKUP(A698,INDIRECT($F$8),8+(O715-1)*3))</f>
        <v/>
      </c>
      <c r="V715" s="1"/>
      <c r="W715" s="1" t="str">
        <f ca="1">IF(ISERROR(F698),"",IF(ISTEXT(VLOOKUP(B698,INDIRECT($F$8),6+(O715-1)*3)),11,IF(VLOOKUP(B698,INDIRECT($F$8),6+(O715-1)*3)&lt;S715*0.3,IF(VLOOKUP(B698,INDIRECT($F$8),8+(O715-1)*3)&lt;U715*0.4,IF(AND(0.4*U715-VLOOKUP(B698,INDIRECT($F$8),8+(O715-1)*3)&lt;=5,0.3*S715-VLOOKUP(B698,INDIRECT($F$8),6+(O715-1)*3)&lt;=5),MAX(0.4*U715-VLOOKUP(B698,INDIRECT($F$8),8+(O715-1)*3),0.3*S715-VLOOKUP(B698,INDIRECT($F$8),6+(O715-1)*3)),11),IF(0.3*S715-VLOOKUP(B698,INDIRECT($F$8),6+(O715-1)*3)&lt;=5,0.3*S715-VLOOKUP(B698,INDIRECT($F$8),6+(O715-1)*3),11)),IF(VLOOKUP(B698,INDIRECT($F$8),8+(O715-1)*3)&lt;U715*0.4,IF(U715*0.4-VLOOKUP(B698,INDIRECT($F$8),8+(O715-1)*3)&lt;=5,U715*0.4-VLOOKUP(B698,INDIRECT($F$8),8+(O715-1)*3),11),0))))</f>
        <v/>
      </c>
      <c r="X715" s="1" t="str">
        <f ca="1">IF(ISERROR(F698),"",IF(W715=0,"",_xlfn.TEXTJOIN("",FALSE," G+",W715," in ",A715)))</f>
        <v/>
      </c>
    </row>
    <row r="716" spans="1:24" s="32" customFormat="1" ht="11.25" customHeight="1" x14ac:dyDescent="0.2">
      <c r="A716" s="31" t="str">
        <f ca="1">IF(ISERROR(F698),"",VLOOKUP(C698,INDIRECT($F$8),6+(O716-1)*3-Y716,0))</f>
        <v/>
      </c>
      <c r="B716" s="49" t="str">
        <f ca="1">IF(ISERROR(F698),"",VLOOKUP(D698,INDIRECT($F$8),6+(O716-1)*3-Z716,0))</f>
        <v/>
      </c>
      <c r="C716" s="49"/>
      <c r="D716" s="49"/>
      <c r="E716" s="49"/>
      <c r="F716" s="31" t="str">
        <f ca="1">IF(ISERROR(F698),"",VLOOKUP(E698,INDIRECT($F$8),6+(O716-1)*3-AA716,0))</f>
        <v/>
      </c>
      <c r="G716" s="50" t="str">
        <f ca="1">IF(ISERROR(F698),"","-")</f>
        <v/>
      </c>
      <c r="H716" s="50"/>
      <c r="I716" s="50" t="str">
        <f ca="1">IF(ISERROR(F698),"",_xlfn.TEXTJOIN("/",FALSE,Q716,T716))</f>
        <v/>
      </c>
      <c r="J716" s="50"/>
      <c r="K716" s="50" t="str">
        <f ca="1">IF(ISERROR(F698),"",_xlfn.TEXTJOIN("/",FALSE,R716,U716))</f>
        <v/>
      </c>
      <c r="L716" s="50"/>
      <c r="M716" s="7" t="b">
        <f ca="1">IF(ISERROR(F699),"",IF(ISTEXT(P716),IF(P716="A","Ab",IF(P716="D","Dt",IF(P716="UFM","UFM",IF(P716="NA","")))),IF(AND(ISBLANK(P716),ISBLANK(R716)),"",IF(P716&lt;0.3*S716,"F",IF(ISBLANK(R716),"",IF(ISTEXT(R716),R716,IF(R716&gt;=0.95*U716,"O",IF(R716&gt;=0.9*U716,"A+",IF(R716&gt;=0.85*U716,"A",IF(R716&gt;=0.8*U716,"B+",IF(R716&gt;=0.75*U716,"B",IF(R716&gt;=0.7*U716,"C+",IF(R716&gt;=0.65*U716,"C",IF(R716&gt;=0.6*U716,"D+",IF(R716&gt;=0.55*U716,"D",IF(R716&gt;=0.5*U716,"E+",IF(R716&gt;=0.45*U716,"E",IF(R716&gt;=0.4*U716,"P",IF(R716&lt;0.4*U716,"F",R716)))))))))))))))))))</f>
        <v>0</v>
      </c>
      <c r="N716" s="8" t="e">
        <f t="shared" ref="N705:N716" ca="1" si="72">INDEX($Z$2:$Z$18,MATCH(M716,$Y$2:$Y$18,0))</f>
        <v>#N/A</v>
      </c>
      <c r="O716" s="32">
        <f t="shared" si="71"/>
        <v>14</v>
      </c>
      <c r="P716" s="33" t="str">
        <f ca="1">IF(ISERROR(F698),"",IF(ISTEXT(VLOOKUP(B\28,INDIRECT($F$8),6+(O716-1)*3)),(VLOOKUP(B698,INDIRECT($F$8),6+(O716-1)*3)),SUM(VLOOKUP(B698,INDIRECT($F$8),6+(O716-1)*3),IF(W717,W716,0))))</f>
        <v/>
      </c>
      <c r="Q716" s="33" t="str">
        <f ca="1">IF(ISERROR(F698),"",VLOOKUP(B698,INDIRECT($F$8),7+(O716-1)*3))</f>
        <v/>
      </c>
      <c r="R716" s="33" t="str">
        <f ca="1">IF(ISERROR(F698),"",SUM(P716:Q716))</f>
        <v/>
      </c>
      <c r="S716" s="33" t="str">
        <f ca="1">IF(ISERROR(F698),"",VLOOKUP(A698,INDIRECT($F$8),6+(O716-1)*3))</f>
        <v/>
      </c>
      <c r="T716" s="33" t="str">
        <f ca="1">IF(ISERROR(F698),"",VLOOKUP(A698,INDIRECT($F$8),7+(O716-1)*3))</f>
        <v/>
      </c>
      <c r="U716" s="33" t="str">
        <f ca="1">IF(ISERROR(F698),"",VLOOKUP(A698,INDIRECT($F$8),8+(O716-1)*3))</f>
        <v/>
      </c>
      <c r="V716" s="33"/>
      <c r="W716" s="33"/>
      <c r="X716" s="33" t="str">
        <f ca="1">IF(ISERROR(F698),"",IF(W716=0,"",_xlfn.TEXTJOIN("",FALSE," G+",W716," in ",A716)))</f>
        <v/>
      </c>
    </row>
    <row r="717" spans="1:24" ht="11.25" customHeight="1" x14ac:dyDescent="0.2">
      <c r="A717" s="43" t="str">
        <f ca="1">IF(ISERROR(F698),"",A694)</f>
        <v/>
      </c>
      <c r="B717" s="43"/>
      <c r="C717" s="43"/>
      <c r="D717" s="43"/>
      <c r="E717" s="43"/>
      <c r="F717" s="10" t="str">
        <f ca="1">IF(ISERROR(F698),"",SUM(F703:F716))</f>
        <v/>
      </c>
      <c r="G717" s="44" t="str">
        <f ca="1">IF(ISERROR(F698),"",_xlfn.TEXTJOIN("/",TRUE,SUMIF(F703:F716,"&gt;0",P703:P716),SUMIF(F703:F716,"&gt;0",S703:S716)))</f>
        <v/>
      </c>
      <c r="H717" s="44"/>
      <c r="I717" s="44" t="str">
        <f ca="1">IF(ISERROR(F698),"",_xlfn.TEXTJOIN("/",TRUE,SUMIF(F703:F716,"&gt;0",Q703:Q716),SUMIF(F703:F716,"&gt;0",T703:T716)))</f>
        <v/>
      </c>
      <c r="J717" s="44"/>
      <c r="K717" s="44" t="str">
        <f ca="1">IF(ISERROR(F698),"",_xlfn.TEXTJOIN("/",TRUE,SUMIF(F703:F716,"&gt;0",R703:R716),SUMIF(F703:F716,"&gt;0",U703:U716)))</f>
        <v/>
      </c>
      <c r="L717" s="44"/>
      <c r="M717" s="43" t="str">
        <f ca="1">IF(ISERROR(F698),"",SUMPRODUCT(N703:N715,F703:F715))</f>
        <v/>
      </c>
      <c r="N717" s="43"/>
      <c r="V717" s="1" t="str">
        <f ca="1">IF(ISERROR(F698),"",_xlfn.TEXTJOIN(", ",TRUE,V703:V716))</f>
        <v/>
      </c>
      <c r="W717" t="str">
        <f ca="1">IF(ISERROR(F698),"",IF(SUM(W703:W716)&lt;=W702,TRUE,FALSE))</f>
        <v/>
      </c>
      <c r="X717" s="1" t="str">
        <f ca="1">_xlfn.TEXTJOIN(",",TRUE,X703:X716)</f>
        <v/>
      </c>
    </row>
    <row r="718" spans="1:24" ht="11.25" customHeight="1" x14ac:dyDescent="0.2">
      <c r="A718" s="43" t="str">
        <f ca="1">IF(ISERROR(F698),"",A695)</f>
        <v/>
      </c>
      <c r="B718" s="45" t="str">
        <f ca="1">IF(ISERROR(F698),"",IF(V717="","PASS","CARRY OVER"))</f>
        <v/>
      </c>
      <c r="C718" s="45"/>
      <c r="D718" s="43" t="str">
        <f ca="1">IF(ISERROR(F698),"",D695)</f>
        <v/>
      </c>
      <c r="E718" s="45" t="str">
        <f ca="1">IF(ISERROR(F698),"",IF(W717,X717,IF(V717="","",_xlfn.TEXTJOIN("",TRUE,"BACK IN ",V717))))</f>
        <v/>
      </c>
      <c r="F718" s="45"/>
      <c r="G718" s="43" t="str">
        <f ca="1">IF(ISERROR(F698),"",G695)</f>
        <v/>
      </c>
      <c r="H718" s="46" t="str">
        <f ca="1">IF(ISERROR(F698),"",M717/F717)</f>
        <v/>
      </c>
      <c r="I718" s="43" t="str">
        <f ca="1">IF(ISERROR(F698),"",I695)</f>
        <v/>
      </c>
      <c r="J718" s="46" t="str">
        <f ca="1">IF(ISERROR(F698),"",VLOOKUP(B698,INDIRECT($F$8),12+(O716-1)*3,0))</f>
        <v/>
      </c>
      <c r="K718" s="45" t="str">
        <f ca="1">IF(ISERROR(F698),"",K695)</f>
        <v/>
      </c>
      <c r="L718" s="43" t="str">
        <f ca="1">IF(ISERROR(F698),"",SUMIF(N703:N715,"&gt;0",F703:F715))</f>
        <v/>
      </c>
      <c r="M718" s="45" t="str">
        <f ca="1">IF(ISERROR(F698),"",M695)</f>
        <v/>
      </c>
      <c r="N718" s="43" t="str">
        <f ca="1">IF(ISERROR(F698),"",VLOOKUP(B698,INDIRECT($F$8),10+(O716-1)*3,0))</f>
        <v/>
      </c>
    </row>
    <row r="719" spans="1:24" ht="11.25" customHeight="1" x14ac:dyDescent="0.2">
      <c r="A719" s="43"/>
      <c r="B719" s="45"/>
      <c r="C719" s="45"/>
      <c r="D719" s="43"/>
      <c r="E719" s="45"/>
      <c r="F719" s="45"/>
      <c r="G719" s="43"/>
      <c r="H719" s="46"/>
      <c r="I719" s="43"/>
      <c r="J719" s="46"/>
      <c r="K719" s="45"/>
      <c r="L719" s="43"/>
      <c r="M719" s="45"/>
      <c r="N719" s="43"/>
    </row>
    <row r="720" spans="1:24" ht="11.25" customHeight="1" x14ac:dyDescent="0.2">
      <c r="A720" s="43"/>
      <c r="B720" s="45"/>
      <c r="C720" s="45"/>
      <c r="D720" s="43"/>
      <c r="E720" s="45"/>
      <c r="F720" s="45"/>
      <c r="G720" s="43"/>
      <c r="H720" s="46"/>
      <c r="I720" s="43"/>
      <c r="J720" s="46"/>
      <c r="K720" s="45"/>
      <c r="L720" s="43"/>
      <c r="M720" s="45"/>
      <c r="N720" s="43"/>
    </row>
    <row r="721" spans="1:24" ht="11.25" customHeight="1" x14ac:dyDescent="0.2">
      <c r="A721" s="11" t="str">
        <f>A698</f>
        <v>MM</v>
      </c>
      <c r="B721" s="11">
        <f>B698+1</f>
        <v>32</v>
      </c>
      <c r="C721" s="11" t="str">
        <f>C698</f>
        <v>SC</v>
      </c>
      <c r="D721" s="11" t="str">
        <f>D698</f>
        <v>SN</v>
      </c>
      <c r="E721" s="11" t="str">
        <f>E698</f>
        <v>C</v>
      </c>
      <c r="F721" s="11" t="e">
        <f ca="1">VLOOKUP(B721,INDIRECT($F$8),4,0)</f>
        <v>#N/A</v>
      </c>
    </row>
    <row r="722" spans="1:24" ht="11.25" customHeight="1" x14ac:dyDescent="0.2">
      <c r="A722" s="47" t="str">
        <f ca="1">IF(ISERROR(F721),"",A699)</f>
        <v/>
      </c>
      <c r="B722" s="47" t="str">
        <f ca="1">IFERROR(VLOOKUP(B721,INDIRECT($F$8),4,0),"")</f>
        <v/>
      </c>
      <c r="C722" s="47"/>
      <c r="D722" s="47" t="str">
        <f ca="1">IF(ISERROR(F721),"",D699)</f>
        <v/>
      </c>
      <c r="E722" s="47" t="str">
        <f ca="1">IFERROR(VLOOKUP(B721,INDIRECT($F$8),5,0),"")</f>
        <v/>
      </c>
      <c r="F722" s="47"/>
      <c r="G722" s="47" t="str">
        <f ca="1">IF(ISERROR(F721),"",G699)</f>
        <v/>
      </c>
      <c r="H722" s="47"/>
      <c r="I722" s="48" t="str">
        <f ca="1">IFERROR(VLOOKUP(B721,INDIRECT($F$8),2,0),"")</f>
        <v/>
      </c>
      <c r="J722" s="48"/>
      <c r="K722" s="47" t="str">
        <f ca="1">IF(ISERROR(F721),"",K699)</f>
        <v/>
      </c>
      <c r="L722" s="47"/>
      <c r="M722" s="48" t="str">
        <f ca="1">IFERROR(VLOOKUP(B721,INDIRECT($F$8),3,0),"")</f>
        <v/>
      </c>
      <c r="N722" s="48"/>
    </row>
    <row r="723" spans="1:24" ht="11.25" customHeight="1" x14ac:dyDescent="0.2">
      <c r="A723" s="47"/>
      <c r="B723" s="47"/>
      <c r="C723" s="47"/>
      <c r="D723" s="47"/>
      <c r="E723" s="47"/>
      <c r="F723" s="47"/>
      <c r="G723" s="47"/>
      <c r="H723" s="47"/>
      <c r="I723" s="48"/>
      <c r="J723" s="48"/>
      <c r="K723" s="47"/>
      <c r="L723" s="47"/>
      <c r="M723" s="48"/>
      <c r="N723" s="48"/>
    </row>
    <row r="724" spans="1:24" ht="11.25" customHeight="1" x14ac:dyDescent="0.2">
      <c r="A724" s="45" t="str">
        <f ca="1">IF(ISERROR(F721),"",A701)</f>
        <v/>
      </c>
      <c r="B724" s="45" t="str">
        <f ca="1">IF(ISERROR(F721),"",B701)</f>
        <v/>
      </c>
      <c r="C724" s="45"/>
      <c r="D724" s="45"/>
      <c r="E724" s="45"/>
      <c r="F724" s="45" t="str">
        <f ca="1">IF(ISERROR(F721),"",F701)</f>
        <v/>
      </c>
      <c r="G724" s="45" t="str">
        <f ca="1">IF(ISERROR(F721),"",G701)</f>
        <v/>
      </c>
      <c r="H724" s="45"/>
      <c r="I724" s="45" t="str">
        <f ca="1">IF(ISERROR(F721),"",I701)</f>
        <v/>
      </c>
      <c r="J724" s="45"/>
      <c r="K724" s="45" t="str">
        <f ca="1">IF(ISERROR(F721),"",K701)</f>
        <v/>
      </c>
      <c r="L724" s="45"/>
      <c r="M724" s="45" t="str">
        <f ca="1">IF(ISERROR(F721),"",M701)</f>
        <v/>
      </c>
      <c r="N724" s="45" t="str">
        <f ca="1">IF(ISERROR(F721),"",N701)</f>
        <v/>
      </c>
    </row>
    <row r="725" spans="1:24" ht="11.25" customHeight="1" x14ac:dyDescent="0.2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W725">
        <f ca="1">IF(ISNUMBER(MATCH($F$8,{"I","III","V","VII"},0)),10,10-INDEX(INDIRECT(_xlfn.TEXTJOIN("",TRUE,"SEM_",$G$8,"!",ADDRESS(6,4+$I$8*3+4),":",ADDRESS(5+$H$8,4+$I$8*3+4))),MATCH(INDIRECT(_xlfn.TEXTJOIN("",TRUE,"TC_",$F$8,"!",ADDRESS(ROW(I722),COLUMN(I722)))),INDIRECT(_xlfn.TEXTJOIN("",TRUE,"SEM_",$G$8,"!",ADDRESS(6,2),":",ADDRESS(5+$H$8,2))))))</f>
        <v>10</v>
      </c>
    </row>
    <row r="726" spans="1:24" ht="11.25" customHeight="1" x14ac:dyDescent="0.2">
      <c r="A726" s="7" t="str">
        <f ca="1">IF(ISERROR(F721),"",VLOOKUP(C721,INDIRECT($F$8),6+(O726-1)*3,0))</f>
        <v/>
      </c>
      <c r="B726" s="41" t="str">
        <f ca="1">IF(ISERROR(F721),"",VLOOKUP(D721,INDIRECT($F$8),6+(O726-1)*3,0))</f>
        <v/>
      </c>
      <c r="C726" s="41"/>
      <c r="D726" s="41"/>
      <c r="E726" s="41"/>
      <c r="F726" s="7" t="str">
        <f ca="1">IF(ISERROR(F721),"",VLOOKUP(E721,INDIRECT($F$8),6+(O726-1)*3,0))</f>
        <v/>
      </c>
      <c r="G726" s="42" t="str">
        <f ca="1">IF(ISERROR(F721),"",_xlfn.TEXTJOIN("/",FALSE,P726,S726))</f>
        <v/>
      </c>
      <c r="H726" s="42"/>
      <c r="I726" s="42" t="str">
        <f ca="1">IF(ISERROR(F721),"",_xlfn.TEXTJOIN("/",FALSE,Q726,T726))</f>
        <v/>
      </c>
      <c r="J726" s="42"/>
      <c r="K726" s="42" t="str">
        <f ca="1">IF(ISERROR(F721),"",_xlfn.TEXTJOIN("/",FALSE,R726,U726))</f>
        <v/>
      </c>
      <c r="L726" s="42"/>
      <c r="M726" s="7" t="str">
        <f ca="1">IF(ISERROR(F721),"",IF(ISTEXT(P726),IF(P726="A","Ab",IF(P726="D","Dt",IF(P726="UFM","UFM",IF(P726="NA","-")))),IF(AND(ISBLANK(P726),ISBLANK(R726)),"",IF(P726&lt;0.3*S726,"F",IF(ISBLANK(R726),"",IF(ISTEXT(R726),R726,IF(R726&gt;=0.95*U726,"O",IF(R726&gt;=0.9*U726,"A+",IF(R726&gt;=0.85*U726,"A",IF(R726&gt;=0.8*U726,"B+",IF(R726&gt;=0.75*U726,"B",IF(R726&gt;=0.7*U726,"C+",IF(R726&gt;=0.65*U726,"C",IF(R726&gt;=0.6*U726,"D+",IF(R726&gt;=0.55*U726,"D",IF(R726&gt;=0.5*U726,"E+",IF(R726&gt;=0.45*U726,"E",IF(R726&gt;=0.4*U726,"P",IF(R726&lt;0.4*U726,"F",R726)))))))))))))))))))</f>
        <v/>
      </c>
      <c r="N726" s="8" t="e">
        <f ca="1">INDEX($Z$2:$Z$18,MATCH(M726,$Y$2:$Y$18,0))</f>
        <v>#N/A</v>
      </c>
      <c r="O726">
        <v>1</v>
      </c>
      <c r="P726" s="1" t="str">
        <f ca="1">IF(ISERROR(F721),"",IF(ISTEXT(VLOOKUP(B721,INDIRECT($F$8),6+(O726-1)*3)),(VLOOKUP(B721,INDIRECT($F$8),6+(O726-1)*3)),SUM(VLOOKUP(B721,INDIRECT($F$8),6+(O726-1)*3),IF(W740,W726,0))))</f>
        <v/>
      </c>
      <c r="Q726" s="1" t="str">
        <f ca="1">IF(ISERROR(F721),"",VLOOKUP(B721,INDIRECT($F$8),7+(O726-1)*3))</f>
        <v/>
      </c>
      <c r="R726" s="1" t="str">
        <f ca="1">IF(ISERROR(F721),"",SUM(P726:Q726))</f>
        <v/>
      </c>
      <c r="S726" s="1" t="str">
        <f ca="1">IF(ISERROR(F721),"",VLOOKUP(A721,INDIRECT($F$8),6+(O726-1)*3))</f>
        <v/>
      </c>
      <c r="T726" s="1" t="str">
        <f ca="1">IF(ISERROR(F721),"",VLOOKUP(A721,INDIRECT($F$8),7+(O726-1)*3))</f>
        <v/>
      </c>
      <c r="U726" s="1" t="str">
        <f ca="1">IF(ISERROR(F721),"",VLOOKUP(A721,INDIRECT($F$8),8+(O726-1)*3))</f>
        <v/>
      </c>
      <c r="V726" s="1" t="str">
        <f ca="1">IF(ISERROR(F721),"",IF(N726=0,A726,""))</f>
        <v/>
      </c>
      <c r="W726" s="1" t="str">
        <f ca="1">IF(ISERROR(F721),"",IF(ISTEXT(VLOOKUP(B721,INDIRECT($F$8),6+(O726-1)*3)),11,IF(VLOOKUP(B721,INDIRECT($F$8),6+(O726-1)*3)&lt;S726*0.3,IF(VLOOKUP(B721,INDIRECT($F$8),8+(O726-1)*3)&lt;U726*0.4,IF(AND(0.4*U726-VLOOKUP(B721,INDIRECT($F$8),8+(O726-1)*3)&lt;=5,0.3*S726-VLOOKUP(B721,INDIRECT($F$8),6+(O726-1)*3)&lt;=5),MAX(0.4*U726-VLOOKUP(B721,INDIRECT($F$8),8+(O726-1)*3),0.3*S726-VLOOKUP(B721,INDIRECT($F$8),6+(O726-1)*3)),11),IF(0.3*S726-VLOOKUP(B721,INDIRECT($F$8),6+(O726-1)*3)&lt;=5,0.3*S726-VLOOKUP(B721,INDIRECT($F$8),6+(O726-1)*3),11)),IF(VLOOKUP(B721,INDIRECT($F$8),8+(O726-1)*3)&lt;U726*0.4,IF(U726*0.4-VLOOKUP(B721,INDIRECT($F$8),8+(O726-1)*3)&lt;=5,U726*0.4-VLOOKUP(B721,INDIRECT($F$8),8+(O726-1)*3),11),0))))</f>
        <v/>
      </c>
      <c r="X726" s="1" t="str">
        <f ca="1">IF(ISERROR(F721),"",IF(W726=0,"",_xlfn.TEXTJOIN("",FALSE," G+",W726," in ",A726)))</f>
        <v/>
      </c>
    </row>
    <row r="727" spans="1:24" ht="11.25" customHeight="1" x14ac:dyDescent="0.2">
      <c r="A727" s="7" t="str">
        <f ca="1">IF(ISERROR(F721),"",VLOOKUP(C721,INDIRECT($F$8),6+(O727-1)*3,0))</f>
        <v/>
      </c>
      <c r="B727" s="41" t="str">
        <f ca="1">IF(ISERROR(F721),"",VLOOKUP(D721,INDIRECT($F$8),6+(O727-1)*3,0))</f>
        <v/>
      </c>
      <c r="C727" s="41"/>
      <c r="D727" s="41"/>
      <c r="E727" s="41"/>
      <c r="F727" s="7" t="str">
        <f ca="1">IF(ISERROR(F721),"",VLOOKUP(E721,INDIRECT($F$8),6+(O727-1)*3,0))</f>
        <v/>
      </c>
      <c r="G727" s="42" t="str">
        <f ca="1">IF(ISERROR(F721),"",_xlfn.TEXTJOIN("/",FALSE,P727,S727))</f>
        <v/>
      </c>
      <c r="H727" s="42"/>
      <c r="I727" s="42" t="str">
        <f ca="1">IF(ISERROR(F721),"",_xlfn.TEXTJOIN("/",FALSE,Q727,T727))</f>
        <v/>
      </c>
      <c r="J727" s="42"/>
      <c r="K727" s="42" t="str">
        <f ca="1">IF(ISERROR(F721),"",_xlfn.TEXTJOIN("/",FALSE,R727,U727))</f>
        <v/>
      </c>
      <c r="L727" s="42"/>
      <c r="M727" s="7" t="str">
        <f ca="1">IF(ISERROR(F721),"",IF(ISTEXT(P727),IF(P727="A","Ab",IF(P727="D","Dt",IF(P727="UFM","UFM",IF(P727="NA","-")))),IF(AND(ISBLANK(P727),ISBLANK(R727)),"",IF(P727&lt;0.3*S727,"F",IF(ISBLANK(R727),"",IF(ISTEXT(R727),R727,IF(R727&gt;=0.95*U727,"O",IF(R727&gt;=0.9*U727,"A+",IF(R727&gt;=0.85*U727,"A",IF(R727&gt;=0.8*U727,"B+",IF(R727&gt;=0.75*U727,"B",IF(R727&gt;=0.7*U727,"C+",IF(R727&gt;=0.65*U727,"C",IF(R727&gt;=0.6*U727,"D+",IF(R727&gt;=0.55*U727,"D",IF(R727&gt;=0.5*U727,"E+",IF(R727&gt;=0.45*U727,"E",IF(R727&gt;=0.4*U727,"P",IF(R727&lt;0.4*U727,"F",R727)))))))))))))))))))</f>
        <v/>
      </c>
      <c r="N727" s="8" t="e">
        <f t="shared" ref="N727:N738" ca="1" si="73">INDEX($Z$2:$Z$18,MATCH(M727,$Y$2:$Y$18,0))</f>
        <v>#N/A</v>
      </c>
      <c r="O727">
        <f>O726+1</f>
        <v>2</v>
      </c>
      <c r="P727" s="1" t="str">
        <f ca="1">IF(ISERROR(F721),"",IF(ISTEXT(VLOOKUP(B721,INDIRECT($F$8),6+(O727-1)*3)),(VLOOKUP(B721,INDIRECT($F$8),6+(O727-1)*3)),SUM(VLOOKUP(B721,INDIRECT($F$8),6+(O727-1)*3),IF(W740,W727,0))))</f>
        <v/>
      </c>
      <c r="Q727" s="1" t="str">
        <f ca="1">IF(ISERROR(F721),"",VLOOKUP(B721,INDIRECT($F$8),7+(O727-1)*3))</f>
        <v/>
      </c>
      <c r="R727" s="1" t="str">
        <f ca="1">IF(ISERROR(F721),"",SUM(P727:Q727))</f>
        <v/>
      </c>
      <c r="S727" s="1" t="str">
        <f ca="1">IF(ISERROR(F721),"",VLOOKUP(A721,INDIRECT($F$8),6+(O727-1)*3))</f>
        <v/>
      </c>
      <c r="T727" s="1" t="str">
        <f ca="1">IF(ISERROR(F721),"",VLOOKUP(A721,INDIRECT($F$8),7+(O727-1)*3))</f>
        <v/>
      </c>
      <c r="U727" s="1" t="str">
        <f ca="1">IF(ISERROR(F721),"",VLOOKUP(A721,INDIRECT($F$8),8+(O727-1)*3))</f>
        <v/>
      </c>
      <c r="V727" s="1" t="str">
        <f ca="1">IF(ISERROR(F721),"",IF(N727=0,A727,""))</f>
        <v/>
      </c>
      <c r="W727" s="1" t="str">
        <f ca="1">IF(ISERROR(F721),"",IF(ISTEXT(VLOOKUP(B721,INDIRECT($F$8),6+(O727-1)*3)),11,IF(VLOOKUP(B721,INDIRECT($F$8),6+(O727-1)*3)&lt;S727*0.3,IF(VLOOKUP(B721,INDIRECT($F$8),8+(O727-1)*3)&lt;U727*0.4,IF(AND(0.4*U727-VLOOKUP(B721,INDIRECT($F$8),8+(O727-1)*3)&lt;=5,0.3*S727-VLOOKUP(B721,INDIRECT($F$8),6+(O727-1)*3)&lt;=5),MAX(0.4*U727-VLOOKUP(B721,INDIRECT($F$8),8+(O727-1)*3),0.3*S727-VLOOKUP(B721,INDIRECT($F$8),6+(O727-1)*3)),11),IF(0.3*S727-VLOOKUP(B721,INDIRECT($F$8),6+(O727-1)*3)&lt;=5,0.3*S727-VLOOKUP(B721,INDIRECT($F$8),6+(O727-1)*3),11)),IF(VLOOKUP(B721,INDIRECT($F$8),8+(O727-1)*3)&lt;U727*0.4,IF(U727*0.4-VLOOKUP(B721,INDIRECT($F$8),8+(O727-1)*3)&lt;=5,U727*0.4-VLOOKUP(B721,INDIRECT($F$8),8+(O727-1)*3),11),0))))</f>
        <v/>
      </c>
      <c r="X727" s="1" t="str">
        <f ca="1">IF(ISERROR(F721),"",IF(W727=0,"",_xlfn.TEXTJOIN("",FALSE," G+",W727," in ",A727)))</f>
        <v/>
      </c>
    </row>
    <row r="728" spans="1:24" ht="11.25" customHeight="1" x14ac:dyDescent="0.2">
      <c r="A728" s="7" t="str">
        <f ca="1">IF(ISERROR(F721),"",VLOOKUP(C721,INDIRECT($F$8),6+(O728-1)*3,0))</f>
        <v/>
      </c>
      <c r="B728" s="41" t="str">
        <f ca="1">IF(ISERROR(F721),"",VLOOKUP(D721,INDIRECT($F$8),6+(O728-1)*3,0))</f>
        <v/>
      </c>
      <c r="C728" s="41"/>
      <c r="D728" s="41"/>
      <c r="E728" s="41"/>
      <c r="F728" s="7" t="str">
        <f ca="1">IF(ISERROR(F721),"",VLOOKUP(E721,INDIRECT($F$8),6+(O728-1)*3,0))</f>
        <v/>
      </c>
      <c r="G728" s="42" t="str">
        <f ca="1">IF(ISERROR(F721),"",_xlfn.TEXTJOIN("/",FALSE,P728,S728))</f>
        <v/>
      </c>
      <c r="H728" s="42"/>
      <c r="I728" s="42" t="str">
        <f ca="1">IF(ISERROR(F721),"",_xlfn.TEXTJOIN("/",FALSE,Q728,T728))</f>
        <v/>
      </c>
      <c r="J728" s="42"/>
      <c r="K728" s="42" t="str">
        <f ca="1">IF(ISERROR(F721),"",_xlfn.TEXTJOIN("/",FALSE,R728,U728))</f>
        <v/>
      </c>
      <c r="L728" s="42"/>
      <c r="M728" s="7" t="str">
        <f ca="1">IF(ISERROR(F721),"",IF(ISTEXT(P728),IF(P728="A","Ab",IF(P728="D","Dt",IF(P728="UFM","UFM",IF(P728="NA","-")))),IF(AND(ISBLANK(P728),ISBLANK(R728)),"",IF(P728&lt;0.3*S728,"F",IF(ISBLANK(R728),"",IF(ISTEXT(R728),R728,IF(R728&gt;=0.95*U728,"O",IF(R728&gt;=0.9*U728,"A+",IF(R728&gt;=0.85*U728,"A",IF(R728&gt;=0.8*U728,"B+",IF(R728&gt;=0.75*U728,"B",IF(R728&gt;=0.7*U728,"C+",IF(R728&gt;=0.65*U728,"C",IF(R728&gt;=0.6*U728,"D+",IF(R728&gt;=0.55*U728,"D",IF(R728&gt;=0.5*U728,"E+",IF(R728&gt;=0.45*U728,"E",IF(R728&gt;=0.4*U728,"P",IF(R728&lt;0.4*U728,"F",R728)))))))))))))))))))</f>
        <v/>
      </c>
      <c r="N728" s="8" t="e">
        <f t="shared" ca="1" si="73"/>
        <v>#N/A</v>
      </c>
      <c r="O728">
        <f>O727+1</f>
        <v>3</v>
      </c>
      <c r="P728" s="1" t="str">
        <f ca="1">IF(ISERROR(F721),"",IF(ISTEXT(VLOOKUP(B721,INDIRECT($F$8),6+(O728-1)*3)),(VLOOKUP(B721,INDIRECT($F$8),6+(O728-1)*3)),SUM(VLOOKUP(B721,INDIRECT($F$8),6+(O728-1)*3),IF(W740,W728,0))))</f>
        <v/>
      </c>
      <c r="Q728" s="1" t="str">
        <f ca="1">IF(ISERROR(F721),"",VLOOKUP(B721,INDIRECT($F$8),7+(O728-1)*3))</f>
        <v/>
      </c>
      <c r="R728" s="1" t="str">
        <f ca="1">IF(ISERROR(F721),"",SUM(P728:Q728))</f>
        <v/>
      </c>
      <c r="S728" s="1" t="str">
        <f ca="1">IF(ISERROR(F721),"",VLOOKUP(A721,INDIRECT($F$8),6+(O728-1)*3))</f>
        <v/>
      </c>
      <c r="T728" s="1" t="str">
        <f ca="1">IF(ISERROR(F721),"",VLOOKUP(A721,INDIRECT($F$8),7+(O728-1)*3))</f>
        <v/>
      </c>
      <c r="U728" s="1" t="str">
        <f ca="1">IF(ISERROR(F721),"",VLOOKUP(A721,INDIRECT($F$8),8+(O728-1)*3))</f>
        <v/>
      </c>
      <c r="V728" s="1" t="str">
        <f ca="1">IF(ISERROR(F721),"",IF(N728=0,A728,""))</f>
        <v/>
      </c>
      <c r="W728" s="1" t="str">
        <f ca="1">IF(ISERROR(F721),"",IF(ISTEXT(VLOOKUP(B721,INDIRECT($F$8),6+(O728-1)*3)),11,IF(VLOOKUP(B721,INDIRECT($F$8),6+(O728-1)*3)&lt;S728*0.3,IF(VLOOKUP(B721,INDIRECT($F$8),8+(O728-1)*3)&lt;U728*0.4,IF(AND(0.4*U728-VLOOKUP(B721,INDIRECT($F$8),8+(O728-1)*3)&lt;=5,0.3*S728-VLOOKUP(B721,INDIRECT($F$8),6+(O728-1)*3)&lt;=5),MAX(0.4*U728-VLOOKUP(B721,INDIRECT($F$8),8+(O728-1)*3),0.3*S728-VLOOKUP(B721,INDIRECT($F$8),6+(O728-1)*3)),11),IF(0.3*S728-VLOOKUP(B721,INDIRECT($F$8),6+(O728-1)*3)&lt;=5,0.3*S728-VLOOKUP(B721,INDIRECT($F$8),6+(O728-1)*3),11)),IF(VLOOKUP(B721,INDIRECT($F$8),8+(O728-1)*3)&lt;U728*0.4,IF(U728*0.4-VLOOKUP(B721,INDIRECT($F$8),8+(O728-1)*3)&lt;=5,U728*0.4-VLOOKUP(B721,INDIRECT($F$8),8+(O728-1)*3),11),0))))</f>
        <v/>
      </c>
      <c r="X728" s="1" t="str">
        <f ca="1">IF(ISERROR(F721),"",IF(W728=0,"",_xlfn.TEXTJOIN("",FALSE," G+",W728," in ",A728)))</f>
        <v/>
      </c>
    </row>
    <row r="729" spans="1:24" ht="11.25" customHeight="1" x14ac:dyDescent="0.2">
      <c r="A729" s="7" t="str">
        <f ca="1">IF(ISERROR(F721),"",VLOOKUP(C721,INDIRECT($F$8),6+(O729-1)*3,0))</f>
        <v/>
      </c>
      <c r="B729" s="41" t="str">
        <f ca="1">IF(ISERROR(F721),"",VLOOKUP(D721,INDIRECT($F$8),6+(O729-1)*3,0))</f>
        <v/>
      </c>
      <c r="C729" s="41"/>
      <c r="D729" s="41"/>
      <c r="E729" s="41"/>
      <c r="F729" s="7" t="str">
        <f ca="1">IF(ISERROR(F721),"",VLOOKUP(E721,INDIRECT($F$8),6+(O729-1)*3,0))</f>
        <v/>
      </c>
      <c r="G729" s="42" t="str">
        <f ca="1">IF(ISERROR(F721),"",_xlfn.TEXTJOIN("/",FALSE,P729,S729))</f>
        <v/>
      </c>
      <c r="H729" s="42"/>
      <c r="I729" s="42" t="str">
        <f ca="1">IF(ISERROR(F721),"",_xlfn.TEXTJOIN("/",FALSE,Q729,T729))</f>
        <v/>
      </c>
      <c r="J729" s="42"/>
      <c r="K729" s="42" t="str">
        <f ca="1">IF(ISERROR(F721),"",_xlfn.TEXTJOIN("/",FALSE,R729,U729))</f>
        <v/>
      </c>
      <c r="L729" s="42"/>
      <c r="M729" s="7" t="str">
        <f ca="1">IF(ISERROR(F721),"",IF(ISTEXT(P729),IF(P729="A","Ab",IF(P729="D","Dt",IF(P729="UFM","UFM",IF(P729="NA","-")))),IF(AND(ISBLANK(P729),ISBLANK(R729)),"",IF(P729&lt;0.3*S729,"F",IF(ISBLANK(R729),"",IF(ISTEXT(R729),R729,IF(R729&gt;=0.95*U729,"O",IF(R729&gt;=0.9*U729,"A+",IF(R729&gt;=0.85*U729,"A",IF(R729&gt;=0.8*U729,"B+",IF(R729&gt;=0.75*U729,"B",IF(R729&gt;=0.7*U729,"C+",IF(R729&gt;=0.65*U729,"C",IF(R729&gt;=0.6*U729,"D+",IF(R729&gt;=0.55*U729,"D",IF(R729&gt;=0.5*U729,"E+",IF(R729&gt;=0.45*U729,"E",IF(R729&gt;=0.4*U729,"P",IF(R729&lt;0.4*U729,"F",R729)))))))))))))))))))</f>
        <v/>
      </c>
      <c r="N729" s="8" t="e">
        <f t="shared" ca="1" si="73"/>
        <v>#N/A</v>
      </c>
      <c r="O729">
        <f>O728+1</f>
        <v>4</v>
      </c>
      <c r="P729" s="1" t="str">
        <f ca="1">IF(ISERROR(F721),"",IF(ISTEXT(VLOOKUP(B721,INDIRECT($F$8),6+(O729-1)*3)),(VLOOKUP(B721,INDIRECT($F$8),6+(O729-1)*3)),SUM(VLOOKUP(B721,INDIRECT($F$8),6+(O729-1)*3),IF(W740,W729,0))))</f>
        <v/>
      </c>
      <c r="Q729" s="1" t="str">
        <f ca="1">IF(ISERROR(F721),"",VLOOKUP(B721,INDIRECT($F$8),7+(O729-1)*3))</f>
        <v/>
      </c>
      <c r="R729" s="1" t="str">
        <f ca="1">IF(ISERROR(F721),"",SUM(P729:Q729))</f>
        <v/>
      </c>
      <c r="S729" s="1" t="str">
        <f ca="1">IF(ISERROR(F721),"",VLOOKUP(A721,INDIRECT($F$8),6+(O729-1)*3))</f>
        <v/>
      </c>
      <c r="T729" s="1" t="str">
        <f ca="1">IF(ISERROR(F721),"",VLOOKUP(A721,INDIRECT($F$8),7+(O729-1)*3))</f>
        <v/>
      </c>
      <c r="U729" s="1" t="str">
        <f ca="1">IF(ISERROR(F721),"",VLOOKUP(A721,INDIRECT($F$8),8+(O729-1)*3))</f>
        <v/>
      </c>
      <c r="V729" s="1" t="str">
        <f ca="1">IF(ISERROR(F721),"",IF(N729=0,A729,""))</f>
        <v/>
      </c>
      <c r="W729" s="1" t="str">
        <f ca="1">IF(ISERROR(F721),"",IF(ISTEXT(VLOOKUP(B721,INDIRECT($F$8),6+(O729-1)*3)),11,IF(VLOOKUP(B721,INDIRECT($F$8),6+(O729-1)*3)&lt;S729*0.3,IF(VLOOKUP(B721,INDIRECT($F$8),8+(O729-1)*3)&lt;U729*0.4,IF(AND(0.4*U729-VLOOKUP(B721,INDIRECT($F$8),8+(O729-1)*3)&lt;=5,0.3*S729-VLOOKUP(B721,INDIRECT($F$8),6+(O729-1)*3)&lt;=5),MAX(0.4*U729-VLOOKUP(B721,INDIRECT($F$8),8+(O729-1)*3),0.3*S729-VLOOKUP(B721,INDIRECT($F$8),6+(O729-1)*3)),11),IF(0.3*S729-VLOOKUP(B721,INDIRECT($F$8),6+(O729-1)*3)&lt;=5,0.3*S729-VLOOKUP(B721,INDIRECT($F$8),6+(O729-1)*3),11)),IF(VLOOKUP(B721,INDIRECT($F$8),8+(O729-1)*3)&lt;U729*0.4,IF(U729*0.4-VLOOKUP(B721,INDIRECT($F$8),8+(O729-1)*3)&lt;=5,U729*0.4-VLOOKUP(B721,INDIRECT($F$8),8+(O729-1)*3),11),0))))</f>
        <v/>
      </c>
      <c r="X729" s="1" t="str">
        <f ca="1">IF(ISERROR(F721),"",IF(W729=0,"",_xlfn.TEXTJOIN("",FALSE," G+",W729," in ",A729)))</f>
        <v/>
      </c>
    </row>
    <row r="730" spans="1:24" ht="11.25" customHeight="1" x14ac:dyDescent="0.2">
      <c r="A730" s="7" t="str">
        <f ca="1">IF(ISERROR(F721),"",VLOOKUP(C721,INDIRECT($F$8),6+(O730-1)*3,0))</f>
        <v/>
      </c>
      <c r="B730" s="41" t="str">
        <f ca="1">IF(ISERROR(F721),"",VLOOKUP(D721,INDIRECT($F$8),6+(O730-1)*3,0))</f>
        <v/>
      </c>
      <c r="C730" s="41"/>
      <c r="D730" s="41"/>
      <c r="E730" s="41"/>
      <c r="F730" s="7" t="str">
        <f ca="1">IF(ISERROR(F721),"",VLOOKUP(E721,INDIRECT($F$8),6+(O730-1)*3,0))</f>
        <v/>
      </c>
      <c r="G730" s="42" t="str">
        <f ca="1">IF(ISERROR(F721),"",_xlfn.TEXTJOIN("/",FALSE,P730,S730))</f>
        <v/>
      </c>
      <c r="H730" s="42"/>
      <c r="I730" s="42" t="str">
        <f ca="1">IF(ISERROR(F721),"",_xlfn.TEXTJOIN("/",FALSE,Q730,T730))</f>
        <v/>
      </c>
      <c r="J730" s="42"/>
      <c r="K730" s="42" t="str">
        <f ca="1">IF(ISERROR(F721),"",_xlfn.TEXTJOIN("/",FALSE,R730,U730))</f>
        <v/>
      </c>
      <c r="L730" s="42"/>
      <c r="M730" s="7" t="str">
        <f ca="1">IF(ISERROR(F721),"",IF(ISTEXT(P730),IF(P730="A","Ab",IF(P730="D","Dt",IF(P730="UFM","UFM",IF(P730="NA","-")))),IF(AND(ISBLANK(P730),ISBLANK(R730)),"",IF(P730&lt;0.3*S730,"F",IF(ISBLANK(R730),"",IF(ISTEXT(R730),R730,IF(R730&gt;=0.95*U730,"O",IF(R730&gt;=0.9*U730,"A+",IF(R730&gt;=0.85*U730,"A",IF(R730&gt;=0.8*U730,"B+",IF(R730&gt;=0.75*U730,"B",IF(R730&gt;=0.7*U730,"C+",IF(R730&gt;=0.65*U730,"C",IF(R730&gt;=0.6*U730,"D+",IF(R730&gt;=0.55*U730,"D",IF(R730&gt;=0.5*U730,"E+",IF(R730&gt;=0.45*U730,"E",IF(R730&gt;=0.4*U730,"P",IF(R730&lt;0.4*U730,"F",R730)))))))))))))))))))</f>
        <v/>
      </c>
      <c r="N730" s="8" t="e">
        <f t="shared" ca="1" si="73"/>
        <v>#N/A</v>
      </c>
      <c r="O730">
        <f t="shared" ref="O730:O739" si="74">O729+1</f>
        <v>5</v>
      </c>
      <c r="P730" s="1" t="str">
        <f ca="1">IF(ISERROR(F721),"",IF(ISTEXT(VLOOKUP(B721,INDIRECT($F$8),6+(O730-1)*3)),(VLOOKUP(B721,INDIRECT($F$8),6+(O730-1)*3)),SUM(VLOOKUP(B721,INDIRECT($F$8),6+(O730-1)*3),IF(W740,W730,0))))</f>
        <v/>
      </c>
      <c r="Q730" s="1" t="str">
        <f ca="1">IF(ISERROR(F721),"",VLOOKUP(B721,INDIRECT($F$8),7+(O730-1)*3))</f>
        <v/>
      </c>
      <c r="R730" s="1" t="str">
        <f ca="1">IF(ISERROR(F721),"",SUM(P730:Q730))</f>
        <v/>
      </c>
      <c r="S730" s="1" t="str">
        <f ca="1">IF(ISERROR(F721),"",VLOOKUP(A721,INDIRECT($F$8),6+(O730-1)*3))</f>
        <v/>
      </c>
      <c r="T730" s="1" t="str">
        <f ca="1">IF(ISERROR(F721),"",VLOOKUP(A721,INDIRECT($F$8),7+(O730-1)*3))</f>
        <v/>
      </c>
      <c r="U730" s="1" t="str">
        <f ca="1">IF(ISERROR(F721),"",VLOOKUP(A721,INDIRECT($F$8),8+(O730-1)*3))</f>
        <v/>
      </c>
      <c r="V730" s="1" t="str">
        <f ca="1">IF(ISERROR(F721),"",IF(N730=0,A730,""))</f>
        <v/>
      </c>
      <c r="W730" s="1" t="str">
        <f ca="1">IF(ISERROR(F721),"",IF(ISTEXT(VLOOKUP(B721,INDIRECT($F$8),6+(O730-1)*3)),11,IF(VLOOKUP(B721,INDIRECT($F$8),6+(O730-1)*3)&lt;S730*0.3,IF(VLOOKUP(B721,INDIRECT($F$8),8+(O730-1)*3)&lt;U730*0.4,IF(AND(0.4*U730-VLOOKUP(B721,INDIRECT($F$8),8+(O730-1)*3)&lt;=5,0.3*S730-VLOOKUP(B721,INDIRECT($F$8),6+(O730-1)*3)&lt;=5),MAX(0.4*U730-VLOOKUP(B721,INDIRECT($F$8),8+(O730-1)*3),0.3*S730-VLOOKUP(B721,INDIRECT($F$8),6+(O730-1)*3)),11),IF(0.3*S730-VLOOKUP(B721,INDIRECT($F$8),6+(O730-1)*3)&lt;=5,0.3*S730-VLOOKUP(B721,INDIRECT($F$8),6+(O730-1)*3),11)),IF(VLOOKUP(B721,INDIRECT($F$8),8+(O730-1)*3)&lt;U730*0.4,IF(U730*0.4-VLOOKUP(B721,INDIRECT($F$8),8+(O730-1)*3)&lt;=5,U730*0.4-VLOOKUP(B721,INDIRECT($F$8),8+(O730-1)*3),11),0))))</f>
        <v/>
      </c>
      <c r="X730" s="1" t="str">
        <f ca="1">IF(ISERROR(F721),"",IF(W730=0,"",_xlfn.TEXTJOIN("",FALSE," G+",W730," in ",A730)))</f>
        <v/>
      </c>
    </row>
    <row r="731" spans="1:24" ht="11.25" customHeight="1" x14ac:dyDescent="0.2">
      <c r="A731" s="7" t="str">
        <f ca="1">IF(ISERROR(F721),"",VLOOKUP(C721,INDIRECT($F$8),6+(O731-1)*3,0))</f>
        <v/>
      </c>
      <c r="B731" s="41" t="str">
        <f ca="1">IF(ISERROR(F721),"",VLOOKUP(D721,INDIRECT($F$8),6+(O731-1)*3,0))</f>
        <v/>
      </c>
      <c r="C731" s="41"/>
      <c r="D731" s="41"/>
      <c r="E731" s="41"/>
      <c r="F731" s="7" t="str">
        <f ca="1">IF(ISERROR(F721),"",VLOOKUP(E721,INDIRECT($F$8),6+(O731-1)*3,0))</f>
        <v/>
      </c>
      <c r="G731" s="42" t="str">
        <f ca="1">IF(ISERROR(F721),"",_xlfn.TEXTJOIN("/",FALSE,P731,S731))</f>
        <v/>
      </c>
      <c r="H731" s="42"/>
      <c r="I731" s="42" t="str">
        <f ca="1">IF(ISERROR(F721),"",_xlfn.TEXTJOIN("/",FALSE,Q731,T731))</f>
        <v/>
      </c>
      <c r="J731" s="42"/>
      <c r="K731" s="42" t="str">
        <f ca="1">IF(ISERROR(F721),"",_xlfn.TEXTJOIN("/",FALSE,R731,U731))</f>
        <v/>
      </c>
      <c r="L731" s="42"/>
      <c r="M731" s="7" t="str">
        <f ca="1">IF(ISERROR(F721),"",IF(ISTEXT(P731),IF(P731="A","Ab",IF(P731="D","Dt",IF(P731="UFM","UFM",IF(P731="NA","-")))),IF(AND(ISBLANK(P731),ISBLANK(R731)),"",IF(P731&lt;0.3*S731,"F",IF(ISBLANK(R731),"",IF(ISTEXT(R731),R731,IF(R731&gt;=0.95*U731,"O",IF(R731&gt;=0.9*U731,"A+",IF(R731&gt;=0.85*U731,"A",IF(R731&gt;=0.8*U731,"B+",IF(R731&gt;=0.75*U731,"B",IF(R731&gt;=0.7*U731,"C+",IF(R731&gt;=0.65*U731,"C",IF(R731&gt;=0.6*U731,"D+",IF(R731&gt;=0.55*U731,"D",IF(R731&gt;=0.5*U731,"E+",IF(R731&gt;=0.45*U731,"E",IF(R731&gt;=0.4*U731,"P",IF(R731&lt;0.4*U731,"F",R731)))))))))))))))))))</f>
        <v/>
      </c>
      <c r="N731" s="8" t="e">
        <f t="shared" ca="1" si="73"/>
        <v>#N/A</v>
      </c>
      <c r="O731">
        <f t="shared" si="74"/>
        <v>6</v>
      </c>
      <c r="P731" s="1" t="str">
        <f ca="1">IF(ISERROR(F721),"",IF(ISTEXT(VLOOKUP(B721,INDIRECT($F$8),6+(O731-1)*3)),(VLOOKUP(B721,INDIRECT($F$8),6+(O731-1)*3)),SUM(VLOOKUP(B721,INDIRECT($F$8),6+(O731-1)*3),IF(W740,W731,0))))</f>
        <v/>
      </c>
      <c r="Q731" s="1" t="str">
        <f ca="1">IF(ISERROR(F721),"",VLOOKUP(B721,INDIRECT($F$8),7+(O731-1)*3))</f>
        <v/>
      </c>
      <c r="R731" s="1" t="str">
        <f ca="1">IF(ISERROR(F721),"",SUM(P731:Q731))</f>
        <v/>
      </c>
      <c r="S731" s="1" t="str">
        <f ca="1">IF(ISERROR(F721),"",VLOOKUP(A721,INDIRECT($F$8),6+(O731-1)*3))</f>
        <v/>
      </c>
      <c r="T731" s="1" t="str">
        <f ca="1">IF(ISERROR(F721),"",VLOOKUP(A721,INDIRECT($F$8),7+(O731-1)*3))</f>
        <v/>
      </c>
      <c r="U731" s="1" t="str">
        <f ca="1">IF(ISERROR(F721),"",VLOOKUP(A721,INDIRECT($F$8),8+(O731-1)*3))</f>
        <v/>
      </c>
      <c r="V731" s="1" t="str">
        <f ca="1">IF(ISERROR(F721),"",IF(N731=0,A731,""))</f>
        <v/>
      </c>
      <c r="W731" s="1" t="str">
        <f ca="1">IF(ISERROR(F721),"",IF(ISTEXT(VLOOKUP(B721,INDIRECT($F$8),6+(O731-1)*3)),11,IF(VLOOKUP(B721,INDIRECT($F$8),6+(O731-1)*3)&lt;S731*0.3,IF(VLOOKUP(B721,INDIRECT($F$8),8+(O731-1)*3)&lt;U731*0.4,IF(AND(0.4*U731-VLOOKUP(B721,INDIRECT($F$8),8+(O731-1)*3)&lt;=5,0.3*S731-VLOOKUP(B721,INDIRECT($F$8),6+(O731-1)*3)&lt;=5),MAX(0.4*U731-VLOOKUP(B721,INDIRECT($F$8),8+(O731-1)*3),0.3*S731-VLOOKUP(B721,INDIRECT($F$8),6+(O731-1)*3)),11),IF(0.3*S731-VLOOKUP(B721,INDIRECT($F$8),6+(O731-1)*3)&lt;=5,0.3*S731-VLOOKUP(B721,INDIRECT($F$8),6+(O731-1)*3),11)),IF(VLOOKUP(B721,INDIRECT($F$8),8+(O731-1)*3)&lt;U731*0.4,IF(U731*0.4-VLOOKUP(B721,INDIRECT($F$8),8+(O731-1)*3)&lt;=5,U731*0.4-VLOOKUP(B721,INDIRECT($F$8),8+(O731-1)*3),11),0))))</f>
        <v/>
      </c>
      <c r="X731" s="1" t="str">
        <f ca="1">IF(ISERROR(F721),"",IF(W731=0,"",_xlfn.TEXTJOIN("",FALSE," G+",W731," in ",A731)))</f>
        <v/>
      </c>
    </row>
    <row r="732" spans="1:24" ht="11.25" customHeight="1" x14ac:dyDescent="0.2">
      <c r="A732" s="7" t="str">
        <f ca="1">IF(ISERROR(F721),"",VLOOKUP(C721,INDIRECT($F$8),6+(O732-1)*3,0))</f>
        <v/>
      </c>
      <c r="B732" s="41" t="str">
        <f ca="1">IF(ISERROR(F721),"",VLOOKUP(D721,INDIRECT($F$8),6+(O732-1)*3,0))</f>
        <v/>
      </c>
      <c r="C732" s="41"/>
      <c r="D732" s="41"/>
      <c r="E732" s="41"/>
      <c r="F732" s="7" t="str">
        <f ca="1">IF(ISERROR(F721),"",VLOOKUP(E721,INDIRECT($F$8),6+(O732-1)*3,0))</f>
        <v/>
      </c>
      <c r="G732" s="42" t="str">
        <f ca="1">IF(ISERROR(F721),"",_xlfn.TEXTJOIN("/",FALSE,P732,S732))</f>
        <v/>
      </c>
      <c r="H732" s="42"/>
      <c r="I732" s="42" t="str">
        <f ca="1">IF(ISERROR(F721),"",_xlfn.TEXTJOIN("/",FALSE,Q732,T732))</f>
        <v/>
      </c>
      <c r="J732" s="42"/>
      <c r="K732" s="42" t="str">
        <f ca="1">IF(ISERROR(F721),"",_xlfn.TEXTJOIN("/",FALSE,R732,U732))</f>
        <v/>
      </c>
      <c r="L732" s="42"/>
      <c r="M732" s="7" t="str">
        <f ca="1">IF(ISERROR(F721),"",IF(ISTEXT(P732),IF(P732="A","Ab",IF(P732="D","Dt",IF(P732="UFM","UFM",IF(P732="NA","-")))),IF(AND(ISBLANK(P732),ISBLANK(R732)),"",IF(P732&lt;0.3*S732,"F",IF(ISBLANK(R732),"",IF(ISTEXT(R732),R732,IF(R732&gt;=0.95*U732,"O",IF(R732&gt;=0.9*U732,"A+",IF(R732&gt;=0.85*U732,"A",IF(R732&gt;=0.8*U732,"B+",IF(R732&gt;=0.75*U732,"B",IF(R732&gt;=0.7*U732,"C+",IF(R732&gt;=0.65*U732,"C",IF(R732&gt;=0.6*U732,"D+",IF(R732&gt;=0.55*U732,"D",IF(R732&gt;=0.5*U732,"E+",IF(R732&gt;=0.45*U732,"E",IF(R732&gt;=0.4*U732,"P",IF(R732&lt;0.4*U732,"F",R732)))))))))))))))))))</f>
        <v/>
      </c>
      <c r="N732" s="8" t="e">
        <f t="shared" ca="1" si="73"/>
        <v>#N/A</v>
      </c>
      <c r="O732">
        <f t="shared" si="74"/>
        <v>7</v>
      </c>
      <c r="P732" s="1" t="str">
        <f ca="1">IF(ISERROR(F721),"",IF(ISTEXT(VLOOKUP(B721,INDIRECT($F$8),6+(O732-1)*3)),(VLOOKUP(B721,INDIRECT($F$8),6+(O732-1)*3)),SUM(VLOOKUP(B721,INDIRECT($F$8),6+(O732-1)*3),IF(W740,W732,0))))</f>
        <v/>
      </c>
      <c r="Q732" s="1" t="str">
        <f ca="1">IF(ISERROR(F721),"",VLOOKUP(B721,INDIRECT($F$8),7+(O732-1)*3))</f>
        <v/>
      </c>
      <c r="R732" s="1" t="str">
        <f ca="1">IF(ISERROR(F721),"",SUM(P732:Q732))</f>
        <v/>
      </c>
      <c r="S732" s="1" t="str">
        <f ca="1">IF(ISERROR(F721),"",VLOOKUP(A721,INDIRECT($F$8),6+(O732-1)*3))</f>
        <v/>
      </c>
      <c r="T732" s="1" t="str">
        <f ca="1">IF(ISERROR(F721),"",VLOOKUP(A721,INDIRECT($F$8),7+(O732-1)*3))</f>
        <v/>
      </c>
      <c r="U732" s="1" t="str">
        <f ca="1">IF(ISERROR(F721),"",VLOOKUP(A721,INDIRECT($F$8),8+(O732-1)*3))</f>
        <v/>
      </c>
      <c r="V732" s="1" t="str">
        <f ca="1">IF(ISERROR(F721),"",IF(N732=0,A732,""))</f>
        <v/>
      </c>
      <c r="W732" s="1" t="str">
        <f ca="1">IF(ISERROR(F721),"",IF(ISTEXT(VLOOKUP(B721,INDIRECT($F$8),6+(O732-1)*3)),11,IF(VLOOKUP(B721,INDIRECT($F$8),6+(O732-1)*3)&lt;S732*0.3,IF(VLOOKUP(B721,INDIRECT($F$8),8+(O732-1)*3)&lt;U732*0.4,IF(AND(0.4*U732-VLOOKUP(B721,INDIRECT($F$8),8+(O732-1)*3)&lt;=5,0.3*S732-VLOOKUP(B721,INDIRECT($F$8),6+(O732-1)*3)&lt;=5),MAX(0.4*U732-VLOOKUP(B721,INDIRECT($F$8),8+(O732-1)*3),0.3*S732-VLOOKUP(B721,INDIRECT($F$8),6+(O732-1)*3)),11),IF(0.3*S732-VLOOKUP(B721,INDIRECT($F$8),6+(O732-1)*3)&lt;=5,0.3*S732-VLOOKUP(B721,INDIRECT($F$8),6+(O732-1)*3),11)),IF(VLOOKUP(B721,INDIRECT($F$8),8+(O732-1)*3)&lt;U732*0.4,IF(U732*0.4-VLOOKUP(B721,INDIRECT($F$8),8+(O732-1)*3)&lt;=5,U732*0.4-VLOOKUP(B721,INDIRECT($F$8),8+(O732-1)*3),11),0))))</f>
        <v/>
      </c>
      <c r="X732" s="1" t="str">
        <f ca="1">IF(ISERROR(F721),"",IF(W732=0,"",_xlfn.TEXTJOIN("",FALSE," G+",W732," in ",A732)))</f>
        <v/>
      </c>
    </row>
    <row r="733" spans="1:24" ht="11.25" customHeight="1" x14ac:dyDescent="0.2">
      <c r="A733" s="7" t="str">
        <f ca="1">IF(ISERROR(F721),"",VLOOKUP(C721,INDIRECT($F$8),6+(O733-1)*3,0))</f>
        <v/>
      </c>
      <c r="B733" s="41" t="str">
        <f ca="1">IF(ISERROR(F721),"",VLOOKUP(D721,INDIRECT($F$8),6+(O733-1)*3,0))</f>
        <v/>
      </c>
      <c r="C733" s="41"/>
      <c r="D733" s="41"/>
      <c r="E733" s="41"/>
      <c r="F733" s="7" t="str">
        <f ca="1">IF(ISERROR(F721),"",VLOOKUP(E721,INDIRECT($F$8),6+(O733-1)*3,0))</f>
        <v/>
      </c>
      <c r="G733" s="42" t="str">
        <f ca="1">IF(ISERROR(F721),"",_xlfn.TEXTJOIN("/",FALSE,P733,S733))</f>
        <v/>
      </c>
      <c r="H733" s="42"/>
      <c r="I733" s="42" t="str">
        <f ca="1">IF(ISERROR(F721),"",_xlfn.TEXTJOIN("/",FALSE,Q733,T733))</f>
        <v/>
      </c>
      <c r="J733" s="42"/>
      <c r="K733" s="42" t="str">
        <f ca="1">IF(ISERROR(F721),"",_xlfn.TEXTJOIN("/",FALSE,R733,U733))</f>
        <v/>
      </c>
      <c r="L733" s="42"/>
      <c r="M733" s="7" t="str">
        <f ca="1">IF(ISERROR(F721),"",IF(ISTEXT(P733),IF(P733="A","Ab",IF(P733="D","Dt",IF(P733="UFM","UFM",IF(P733="NA","-")))),IF(AND(ISBLANK(P733),ISBLANK(R733)),"",IF(P733&lt;0.3*S733,"F",IF(ISBLANK(R733),"",IF(ISTEXT(R733),R733,IF(R733&gt;=0.95*U733,"O",IF(R733&gt;=0.9*U733,"A+",IF(R733&gt;=0.85*U733,"A",IF(R733&gt;=0.8*U733,"B+",IF(R733&gt;=0.75*U733,"B",IF(R733&gt;=0.7*U733,"C+",IF(R733&gt;=0.65*U733,"C",IF(R733&gt;=0.6*U733,"D+",IF(R733&gt;=0.55*U733,"D",IF(R733&gt;=0.5*U733,"E+",IF(R733&gt;=0.45*U733,"E",IF(R733&gt;=0.4*U733,"P",IF(R733&lt;0.4*U733,"F",R733)))))))))))))))))))</f>
        <v/>
      </c>
      <c r="N733" s="8" t="e">
        <f t="shared" ca="1" si="73"/>
        <v>#N/A</v>
      </c>
      <c r="O733">
        <f t="shared" si="74"/>
        <v>8</v>
      </c>
      <c r="P733" s="1" t="str">
        <f ca="1">IF(ISERROR(F721),"",IF(ISTEXT(VLOOKUP(B721,INDIRECT($F$8),6+(O733-1)*3)),(VLOOKUP(B721,INDIRECT($F$8),6+(O733-1)*3)),SUM(VLOOKUP(B721,INDIRECT($F$8),6+(O733-1)*3),IF(W740,W733,0))))</f>
        <v/>
      </c>
      <c r="Q733" s="1" t="str">
        <f ca="1">IF(ISERROR(F721),"",VLOOKUP(B721,INDIRECT($F$8),7+(O733-1)*3))</f>
        <v/>
      </c>
      <c r="R733" s="1" t="str">
        <f ca="1">IF(ISERROR(F721),"",SUM(P733:Q733))</f>
        <v/>
      </c>
      <c r="S733" s="1" t="str">
        <f ca="1">IF(ISERROR(F721),"",VLOOKUP(A721,INDIRECT($F$8),6+(O733-1)*3))</f>
        <v/>
      </c>
      <c r="T733" s="1" t="str">
        <f ca="1">IF(ISERROR(F721),"",VLOOKUP(A721,INDIRECT($F$8),7+(O733-1)*3))</f>
        <v/>
      </c>
      <c r="U733" s="1" t="str">
        <f ca="1">IF(ISERROR(F721),"",VLOOKUP(A721,INDIRECT($F$8),8+(O733-1)*3))</f>
        <v/>
      </c>
      <c r="V733" s="1" t="str">
        <f ca="1">IF(ISERROR(F721),"",IF(N733=0,A733,""))</f>
        <v/>
      </c>
      <c r="W733" s="1" t="str">
        <f ca="1">IF(ISERROR(F721),"",IF(ISTEXT(VLOOKUP(B721,INDIRECT($F$8),6+(O733-1)*3)),11,IF(VLOOKUP(B721,INDIRECT($F$8),6+(O733-1)*3)&lt;S733*0.3,IF(VLOOKUP(B721,INDIRECT($F$8),8+(O733-1)*3)&lt;U733*0.4,IF(AND(0.4*U733-VLOOKUP(B721,INDIRECT($F$8),8+(O733-1)*3)&lt;=5,0.3*S733-VLOOKUP(B721,INDIRECT($F$8),6+(O733-1)*3)&lt;=5),MAX(0.4*U733-VLOOKUP(B721,INDIRECT($F$8),8+(O733-1)*3),0.3*S733-VLOOKUP(B721,INDIRECT($F$8),6+(O733-1)*3)),11),IF(0.3*S733-VLOOKUP(B721,INDIRECT($F$8),6+(O733-1)*3)&lt;=5,0.3*S733-VLOOKUP(B721,INDIRECT($F$8),6+(O733-1)*3),11)),IF(VLOOKUP(B721,INDIRECT($F$8),8+(O733-1)*3)&lt;U733*0.4,IF(U733*0.4-VLOOKUP(B721,INDIRECT($F$8),8+(O733-1)*3)&lt;=5,U733*0.4-VLOOKUP(B721,INDIRECT($F$8),8+(O733-1)*3),11),0))))</f>
        <v/>
      </c>
      <c r="X733" s="1" t="str">
        <f ca="1">IF(ISERROR(F721),"",IF(W733=0,"",_xlfn.TEXTJOIN("",FALSE," G+",W733," in ",A733)))</f>
        <v/>
      </c>
    </row>
    <row r="734" spans="1:24" ht="11.25" customHeight="1" x14ac:dyDescent="0.2">
      <c r="A734" s="7" t="str">
        <f ca="1">IF(ISERROR(F721),"",VLOOKUP(C721,INDIRECT($F$8),6+(O734-1)*3,0))</f>
        <v/>
      </c>
      <c r="B734" s="41" t="str">
        <f ca="1">IF(ISERROR(F721),"",VLOOKUP(D721,INDIRECT($F$8),6+(O734-1)*3-Z734,0))</f>
        <v/>
      </c>
      <c r="C734" s="41"/>
      <c r="D734" s="41"/>
      <c r="E734" s="41"/>
      <c r="F734" s="7" t="str">
        <f ca="1">IF(ISERROR(F721),"",VLOOKUP(E721,INDIRECT($F$8),6+(O734-1)*3,0))</f>
        <v/>
      </c>
      <c r="G734" s="42" t="str">
        <f ca="1">IF(ISERROR(F721),"",_xlfn.TEXTJOIN("/",FALSE,P734,S734))</f>
        <v/>
      </c>
      <c r="H734" s="42"/>
      <c r="I734" s="42" t="str">
        <f ca="1">IF(ISERROR(F721),"",_xlfn.TEXTJOIN("/",FALSE,Q734,T734))</f>
        <v/>
      </c>
      <c r="J734" s="42"/>
      <c r="K734" s="42" t="str">
        <f ca="1">IF(ISERROR(F721),"",_xlfn.TEXTJOIN("/",FALSE,R734,U734))</f>
        <v/>
      </c>
      <c r="L734" s="42"/>
      <c r="M734" s="7" t="str">
        <f ca="1">IF(ISERROR(F721),"",IF(ISTEXT(P734),IF(P734="A","Ab",IF(P734="D","Dt",IF(P734="UFM","UFM",IF(P734="NA","-")))),IF(AND(ISBLANK(P734),ISBLANK(R734)),"",IF(P734&lt;0.3*S734,"F",IF(ISBLANK(R734),"",IF(ISTEXT(R734),R734,IF(R734&gt;=0.95*U734,"O",IF(R734&gt;=0.9*U734,"A+",IF(R734&gt;=0.85*U734,"A",IF(R734&gt;=0.8*U734,"B+",IF(R734&gt;=0.75*U734,"B",IF(R734&gt;=0.7*U734,"C+",IF(R734&gt;=0.65*U734,"C",IF(R734&gt;=0.6*U734,"D+",IF(R734&gt;=0.55*U734,"D",IF(R734&gt;=0.5*U734,"E+",IF(R734&gt;=0.45*U734,"E",IF(R734&gt;=0.4*U734,"P",IF(R734&lt;0.4*U734,"F",R734)))))))))))))))))))</f>
        <v/>
      </c>
      <c r="N734" s="8" t="e">
        <f t="shared" ca="1" si="73"/>
        <v>#N/A</v>
      </c>
      <c r="O734">
        <f t="shared" si="74"/>
        <v>9</v>
      </c>
      <c r="P734" s="1" t="str">
        <f ca="1">IF(ISERROR(F721),"",IF(ISTEXT(VLOOKUP(B721,INDIRECT($F$8),6+(O734-1)*3)),(VLOOKUP(B721,INDIRECT($F$8),6+(O734-1)*3)),SUM(VLOOKUP(B721,INDIRECT($F$8),6+(O734-1)*3),IF(W740,W734,0))))</f>
        <v/>
      </c>
      <c r="Q734" s="1" t="str">
        <f ca="1">IF(ISERROR(F721),"",VLOOKUP(B721,INDIRECT($F$8),7+(O734-1)*3))</f>
        <v/>
      </c>
      <c r="R734" s="1" t="str">
        <f ca="1">IF(ISERROR(F721),"",SUM(P734:Q734))</f>
        <v/>
      </c>
      <c r="S734" s="1" t="str">
        <f ca="1">IF(ISERROR(F721),"",VLOOKUP(A721,INDIRECT($F$8),6+(O734-1)*3))</f>
        <v/>
      </c>
      <c r="T734" s="1" t="str">
        <f ca="1">IF(ISERROR(F721),"",VLOOKUP(A721,INDIRECT($F$8),7+(O734-1)*3))</f>
        <v/>
      </c>
      <c r="U734" s="1" t="str">
        <f ca="1">IF(ISERROR(F721),"",VLOOKUP(A721,INDIRECT($F$8),8+(O734-1)*3))</f>
        <v/>
      </c>
      <c r="V734" s="1" t="str">
        <f ca="1">IF(ISERROR(F721),"",IF(N734=0,A734,""))</f>
        <v/>
      </c>
      <c r="W734" s="1" t="str">
        <f ca="1">IF(ISERROR(F721),"",IF(ISTEXT(VLOOKUP(B721,INDIRECT($F$8),6+(O734-1)*3)),11,IF(VLOOKUP(B721,INDIRECT($F$8),6+(O734-1)*3)&lt;S734*0.3,IF(VLOOKUP(B721,INDIRECT($F$8),8+(O734-1)*3)&lt;U734*0.4,IF(AND(0.4*U734-VLOOKUP(B721,INDIRECT($F$8),8+(O734-1)*3)&lt;=5,0.3*S734-VLOOKUP(B721,INDIRECT($F$8),6+(O734-1)*3)&lt;=5),MAX(0.4*U734-VLOOKUP(B721,INDIRECT($F$8),8+(O734-1)*3),0.3*S734-VLOOKUP(B721,INDIRECT($F$8),6+(O734-1)*3)),11),IF(0.3*S734-VLOOKUP(B721,INDIRECT($F$8),6+(O734-1)*3)&lt;=5,0.3*S734-VLOOKUP(B721,INDIRECT($F$8),6+(O734-1)*3),11)),IF(VLOOKUP(B721,INDIRECT($F$8),8+(O734-1)*3)&lt;U734*0.4,IF(U734*0.4-VLOOKUP(B721,INDIRECT($F$8),8+(O734-1)*3)&lt;=5,U734*0.4-VLOOKUP(B721,INDIRECT($F$8),8+(O734-1)*3),11),0))))</f>
        <v/>
      </c>
      <c r="X734" s="1" t="str">
        <f ca="1">IF(ISERROR(F721),"",IF(W734=0,"",_xlfn.TEXTJOIN("",FALSE," G+",W734," in ",A734)))</f>
        <v/>
      </c>
    </row>
    <row r="735" spans="1:24" ht="11.25" customHeight="1" x14ac:dyDescent="0.2">
      <c r="A735" s="7" t="str">
        <f ca="1">IF(ISERROR(F721),"",VLOOKUP(C721,INDIRECT($F$8),6+(O735-1)*3,0))</f>
        <v/>
      </c>
      <c r="B735" s="41" t="str">
        <f ca="1">IF(ISERROR(F721),"",VLOOKUP(D721,INDIRECT($F$8),6+(O735-1)*3-Z735,0))</f>
        <v/>
      </c>
      <c r="C735" s="41"/>
      <c r="D735" s="41"/>
      <c r="E735" s="41"/>
      <c r="F735" s="7" t="str">
        <f ca="1">IF(ISERROR(F721),"",VLOOKUP(E721,INDIRECT($F$8),6+(O735-1)*3,0))</f>
        <v/>
      </c>
      <c r="G735" s="42" t="str">
        <f ca="1">IF(ISERROR(F721),"",_xlfn.TEXTJOIN("/",FALSE,P735,S735))</f>
        <v/>
      </c>
      <c r="H735" s="42"/>
      <c r="I735" s="42" t="str">
        <f ca="1">IF(ISERROR(F721),"",_xlfn.TEXTJOIN("/",FALSE,Q735,T735))</f>
        <v/>
      </c>
      <c r="J735" s="42"/>
      <c r="K735" s="42" t="str">
        <f ca="1">IF(ISERROR(F721),"",_xlfn.TEXTJOIN("/",FALSE,R735,U735))</f>
        <v/>
      </c>
      <c r="L735" s="42"/>
      <c r="M735" s="7" t="str">
        <f ca="1">IF(ISERROR(F721),"",IF(ISTEXT(P735),IF(P735="A","Ab",IF(P735="D","Dt",IF(P735="UFM","UFM",IF(P735="NA","-")))),IF(AND(ISBLANK(P735),ISBLANK(R735)),"",IF(P735&lt;0.3*S735,"F",IF(ISBLANK(R735),"",IF(ISTEXT(R735),R735,IF(R735&gt;=0.95*U735,"O",IF(R735&gt;=0.9*U735,"A+",IF(R735&gt;=0.85*U735,"A",IF(R735&gt;=0.8*U735,"B+",IF(R735&gt;=0.75*U735,"B",IF(R735&gt;=0.7*U735,"C+",IF(R735&gt;=0.65*U735,"C",IF(R735&gt;=0.6*U735,"D+",IF(R735&gt;=0.55*U735,"D",IF(R735&gt;=0.5*U735,"E+",IF(R735&gt;=0.45*U735,"E",IF(R735&gt;=0.4*U735,"P",IF(R735&lt;0.4*U735,"F",R735)))))))))))))))))))</f>
        <v/>
      </c>
      <c r="N735" s="8" t="e">
        <f t="shared" ca="1" si="73"/>
        <v>#N/A</v>
      </c>
      <c r="O735">
        <f t="shared" si="74"/>
        <v>10</v>
      </c>
      <c r="P735" s="1" t="str">
        <f ca="1">IF(ISERROR(F721),"",IF(ISTEXT(VLOOKUP(B721,INDIRECT($F$8),6+(O735-1)*3)),(VLOOKUP(B721,INDIRECT($F$8),6+(O735-1)*3)),SUM(VLOOKUP(B721,INDIRECT($F$8),6+(O735-1)*3),IF(W740,W735,0))))</f>
        <v/>
      </c>
      <c r="Q735" s="1" t="str">
        <f ca="1">IF(ISERROR(F721),"",VLOOKUP(B721,INDIRECT($F$8),7+(O735-1)*3))</f>
        <v/>
      </c>
      <c r="R735" s="1" t="str">
        <f ca="1">IF(ISERROR(F721),"",SUM(P735:Q735))</f>
        <v/>
      </c>
      <c r="S735" s="1" t="str">
        <f ca="1">IF(ISERROR(F721),"",VLOOKUP(A721,INDIRECT($F$8),6+(O735-1)*3))</f>
        <v/>
      </c>
      <c r="T735" s="1" t="str">
        <f ca="1">IF(ISERROR(F721),"",VLOOKUP(A721,INDIRECT($F$8),7+(O735-1)*3))</f>
        <v/>
      </c>
      <c r="U735" s="1" t="str">
        <f ca="1">IF(ISERROR(F721),"",VLOOKUP(A721,INDIRECT($F$8),8+(O735-1)*3))</f>
        <v/>
      </c>
      <c r="V735" s="1" t="str">
        <f ca="1">IF(ISERROR(F721),"",IF(N735=0,A735,""))</f>
        <v/>
      </c>
      <c r="W735" s="1" t="str">
        <f ca="1">IF(ISERROR(F721),"",IF(ISTEXT(VLOOKUP(B721,INDIRECT($F$8),6+(O735-1)*3)),11,IF(VLOOKUP(B721,INDIRECT($F$8),6+(O735-1)*3)&lt;S735*0.3,IF(VLOOKUP(B721,INDIRECT($F$8),8+(O735-1)*3)&lt;U735*0.4,IF(AND(0.4*U735-VLOOKUP(B721,INDIRECT($F$8),8+(O735-1)*3)&lt;=5,0.3*S735-VLOOKUP(B721,INDIRECT($F$8),6+(O735-1)*3)&lt;=5),MAX(0.4*U735-VLOOKUP(B721,INDIRECT($F$8),8+(O735-1)*3),0.3*S735-VLOOKUP(B721,INDIRECT($F$8),6+(O735-1)*3)),11),IF(0.3*S735-VLOOKUP(B721,INDIRECT($F$8),6+(O735-1)*3)&lt;=5,0.3*S735-VLOOKUP(B721,INDIRECT($F$8),6+(O735-1)*3),11)),IF(VLOOKUP(B721,INDIRECT($F$8),8+(O735-1)*3)&lt;U735*0.4,IF(U735*0.4-VLOOKUP(B721,INDIRECT($F$8),8+(O735-1)*3)&lt;=5,U735*0.4-VLOOKUP(B721,INDIRECT($F$8),8+(O735-1)*3),11),0))))</f>
        <v/>
      </c>
      <c r="X735" s="1" t="str">
        <f ca="1">IF(ISERROR(F721),"",IF(W735=0,"",_xlfn.TEXTJOIN("",FALSE," G+",W735," in ",A735)))</f>
        <v/>
      </c>
    </row>
    <row r="736" spans="1:24" ht="11.25" customHeight="1" x14ac:dyDescent="0.2">
      <c r="A736" s="7" t="str">
        <f ca="1">IF(ISERROR(F721),"",VLOOKUP(C721,INDIRECT($F$8),6+(O736-1)*3,0))</f>
        <v/>
      </c>
      <c r="B736" s="41" t="str">
        <f ca="1">IF(ISERROR(F721),"",VLOOKUP(D721,INDIRECT($F$8),6+(O736-1)*3,0))</f>
        <v/>
      </c>
      <c r="C736" s="41"/>
      <c r="D736" s="41"/>
      <c r="E736" s="41"/>
      <c r="F736" s="7" t="str">
        <f ca="1">IF(ISERROR(F721),"",VLOOKUP(E721,INDIRECT($F$8),6+(O736-1)*3,0))</f>
        <v/>
      </c>
      <c r="G736" s="42" t="str">
        <f ca="1">IF(ISERROR(F721),"",_xlfn.TEXTJOIN("/",FALSE,P736,S736))</f>
        <v/>
      </c>
      <c r="H736" s="42"/>
      <c r="I736" s="42" t="str">
        <f ca="1">IF(ISERROR(F721),"",_xlfn.TEXTJOIN("/",FALSE,Q736,T736))</f>
        <v/>
      </c>
      <c r="J736" s="42"/>
      <c r="K736" s="42" t="str">
        <f ca="1">IF(ISERROR(F721),"",_xlfn.TEXTJOIN("/",FALSE,R736,U736))</f>
        <v/>
      </c>
      <c r="L736" s="42"/>
      <c r="M736" s="7" t="str">
        <f ca="1">IF(ISERROR(F721),"",IF(ISTEXT(P736),IF(P736="A","Ab",IF(P736="D","Dt",IF(P736="UFM","UFM",IF(P736="NA","-")))),IF(AND(ISBLANK(P736),ISBLANK(R736)),"",IF(P736&lt;0.3*S736,"F",IF(ISBLANK(R736),"",IF(ISTEXT(R736),R736,IF(R736&gt;=0.95*U736,"O",IF(R736&gt;=0.9*U736,"A+",IF(R736&gt;=0.85*U736,"A",IF(R736&gt;=0.8*U736,"B+",IF(R736&gt;=0.75*U736,"B",IF(R736&gt;=0.7*U736,"C+",IF(R736&gt;=0.65*U736,"C",IF(R736&gt;=0.6*U736,"D+",IF(R736&gt;=0.55*U736,"D",IF(R736&gt;=0.5*U736,"E+",IF(R736&gt;=0.45*U736,"E",IF(R736&gt;=0.4*U736,"P",IF(R736&lt;0.4*U736,"F",R736)))))))))))))))))))</f>
        <v/>
      </c>
      <c r="N736" s="8" t="e">
        <f t="shared" ca="1" si="73"/>
        <v>#N/A</v>
      </c>
      <c r="O736">
        <f t="shared" si="74"/>
        <v>11</v>
      </c>
      <c r="P736" s="1" t="str">
        <f ca="1">IF(ISERROR(F721),"",IF(ISTEXT(VLOOKUP(B721,INDIRECT($F$8),6+(O736-1)*3)),(VLOOKUP(B721,INDIRECT($F$8),6+(O736-1)*3)),SUM(VLOOKUP(B721,INDIRECT($F$8),6+(O736-1)*3),IF(W740,W736,0))))</f>
        <v/>
      </c>
      <c r="Q736" s="1" t="str">
        <f ca="1">IF(ISERROR(F721),"",VLOOKUP(B721,INDIRECT($F$8),7+(O736-1)*3))</f>
        <v/>
      </c>
      <c r="R736" s="1" t="str">
        <f ca="1">IF(ISERROR(F721),"",SUM(P736:Q736))</f>
        <v/>
      </c>
      <c r="S736" s="1" t="str">
        <f ca="1">IF(ISERROR(F721),"",VLOOKUP(A721,INDIRECT($F$8),6+(O736-1)*3))</f>
        <v/>
      </c>
      <c r="T736" s="1" t="str">
        <f ca="1">IF(ISERROR(F721),"",VLOOKUP(A721,INDIRECT($F$8),7+(O736-1)*3))</f>
        <v/>
      </c>
      <c r="U736" s="1" t="str">
        <f ca="1">IF(ISERROR(F721),"",VLOOKUP(A721,INDIRECT($F$8),8+(O736-1)*3))</f>
        <v/>
      </c>
      <c r="V736" s="1" t="str">
        <f ca="1">IF(ISERROR(F721),"",IF(N736=0,A736,""))</f>
        <v/>
      </c>
      <c r="W736" s="1" t="str">
        <f ca="1">IF(ISERROR(F721),"",IF(ISTEXT(VLOOKUP(B721,INDIRECT($F$8),6+(O736-1)*3)),11,IF(VLOOKUP(B721,INDIRECT($F$8),6+(O736-1)*3)&lt;S736*0.3,IF(VLOOKUP(B721,INDIRECT($F$8),8+(O736-1)*3)&lt;U736*0.4,IF(AND(0.4*U736-VLOOKUP(B721,INDIRECT($F$8),8+(O736-1)*3)&lt;=5,0.3*S736-VLOOKUP(B721,INDIRECT($F$8),6+(O736-1)*3)&lt;=5),MAX(0.4*U736-VLOOKUP(B721,INDIRECT($F$8),8+(O736-1)*3),0.3*S736-VLOOKUP(B721,INDIRECT($F$8),6+(O736-1)*3)),11),IF(0.3*S736-VLOOKUP(B721,INDIRECT($F$8),6+(O736-1)*3)&lt;=5,0.3*S736-VLOOKUP(B721,INDIRECT($F$8),6+(O736-1)*3),11)),IF(VLOOKUP(B721,INDIRECT($F$8),8+(O736-1)*3)&lt;U736*0.4,IF(U736*0.4-VLOOKUP(B721,INDIRECT($F$8),8+(O736-1)*3)&lt;=5,U736*0.4-VLOOKUP(B721,INDIRECT($F$8),8+(O736-1)*3),11),0))))</f>
        <v/>
      </c>
      <c r="X736" s="1" t="str">
        <f ca="1">IF(ISERROR(F721),"",IF(W736=0,"",_xlfn.TEXTJOIN("",FALSE," G+",W736," in ",A736)))</f>
        <v/>
      </c>
    </row>
    <row r="737" spans="1:24" ht="11.25" customHeight="1" x14ac:dyDescent="0.2">
      <c r="A737" s="7" t="str">
        <f ca="1">IF(ISERROR(F721),"",VLOOKUP(C721,INDIRECT($F$8),6+(O737-1)*3,0))</f>
        <v/>
      </c>
      <c r="B737" s="41" t="str">
        <f ca="1">IF(ISERROR(F721),"",VLOOKUP(D721,INDIRECT($F$8),6+(O737-1)*3,0))</f>
        <v/>
      </c>
      <c r="C737" s="41"/>
      <c r="D737" s="41"/>
      <c r="E737" s="41"/>
      <c r="F737" s="7" t="str">
        <f ca="1">IF(ISERROR(F721),"",VLOOKUP(E721,INDIRECT($F$8),6+(O737-1)*3,0))</f>
        <v/>
      </c>
      <c r="G737" s="42" t="str">
        <f ca="1">IF(ISERROR(F721),"",_xlfn.TEXTJOIN("/",FALSE,P737,S737))</f>
        <v/>
      </c>
      <c r="H737" s="42"/>
      <c r="I737" s="42" t="str">
        <f ca="1">IF(ISERROR(F721),"",_xlfn.TEXTJOIN("/",FALSE,Q737,T737))</f>
        <v/>
      </c>
      <c r="J737" s="42"/>
      <c r="K737" s="42" t="str">
        <f ca="1">IF(ISERROR(F721),"",_xlfn.TEXTJOIN("/",FALSE,R737,U737))</f>
        <v/>
      </c>
      <c r="L737" s="42"/>
      <c r="M737" s="7" t="str">
        <f ca="1">IF(ISERROR(F721),"",IF(ISTEXT(P737),IF(P737="A","Ab",IF(P737="D","Dt",IF(P737="UFM","UFM",IF(P737="NA","-")))),IF(AND(ISBLANK(P737),ISBLANK(R737)),"",IF(P737&lt;0.3*S737,"F",IF(ISBLANK(R737),"",IF(ISTEXT(R737),R737,IF(R737&gt;=0.95*U737,"O",IF(R737&gt;=0.9*U737,"A+",IF(R737&gt;=0.85*U737,"A",IF(R737&gt;=0.8*U737,"B+",IF(R737&gt;=0.75*U737,"B",IF(R737&gt;=0.7*U737,"C+",IF(R737&gt;=0.65*U737,"C",IF(R737&gt;=0.6*U737,"D+",IF(R737&gt;=0.55*U737,"D",IF(R737&gt;=0.5*U737,"E+",IF(R737&gt;=0.45*U737,"E",IF(R737&gt;=0.4*U737,"P",IF(R737&lt;0.4*U737,"F",R737)))))))))))))))))))</f>
        <v/>
      </c>
      <c r="N737" s="8" t="e">
        <f t="shared" ca="1" si="73"/>
        <v>#N/A</v>
      </c>
      <c r="O737">
        <f t="shared" si="74"/>
        <v>12</v>
      </c>
      <c r="P737" s="1" t="str">
        <f ca="1">IF(ISERROR(F721),"",IF(ISTEXT(VLOOKUP(B721,INDIRECT($F$8),6+(O737-1)*3)),(VLOOKUP(B721,INDIRECT($F$8),6+(O737-1)*3)),SUM(VLOOKUP(B721,INDIRECT($F$8),6+(O737-1)*3),IF(W740,W737,0))))</f>
        <v/>
      </c>
      <c r="Q737" s="1" t="str">
        <f ca="1">IF(ISERROR(F721),"",VLOOKUP(B721,INDIRECT($F$8),7+(O737-1)*3))</f>
        <v/>
      </c>
      <c r="R737" s="1" t="str">
        <f ca="1">IF(ISERROR(F721),"",SUM(P737:Q737))</f>
        <v/>
      </c>
      <c r="S737" s="1" t="str">
        <f ca="1">IF(ISERROR(F721),"",VLOOKUP(A721,INDIRECT($F$8),6+(O737-1)*3))</f>
        <v/>
      </c>
      <c r="T737" s="1" t="str">
        <f ca="1">IF(ISERROR(F721),"",VLOOKUP(A721,INDIRECT($F$8),7+(O737-1)*3))</f>
        <v/>
      </c>
      <c r="U737" s="1" t="str">
        <f ca="1">IF(ISERROR(F721),"",VLOOKUP(A721,INDIRECT($F$8),8+(O737-1)*3))</f>
        <v/>
      </c>
      <c r="V737" s="1" t="str">
        <f ca="1">IF(ISERROR(F721),"",IF(N737=0,A737,""))</f>
        <v/>
      </c>
      <c r="W737" s="1" t="str">
        <f ca="1">IF(ISERROR(F721),"",IF(ISTEXT(VLOOKUP(B721,INDIRECT($F$8),6+(O737-1)*3)),11,IF(VLOOKUP(B721,INDIRECT($F$8),6+(O737-1)*3)&lt;S737*0.3,IF(VLOOKUP(B721,INDIRECT($F$8),8+(O737-1)*3)&lt;U737*0.4,IF(AND(0.4*U737-VLOOKUP(B721,INDIRECT($F$8),8+(O737-1)*3)&lt;=5,0.3*S737-VLOOKUP(B721,INDIRECT($F$8),6+(O737-1)*3)&lt;=5),MAX(0.4*U737-VLOOKUP(B721,INDIRECT($F$8),8+(O737-1)*3),0.3*S737-VLOOKUP(B721,INDIRECT($F$8),6+(O737-1)*3)),11),IF(0.3*S737-VLOOKUP(B721,INDIRECT($F$8),6+(O737-1)*3)&lt;=5,0.3*S737-VLOOKUP(B721,INDIRECT($F$8),6+(O737-1)*3),11)),IF(VLOOKUP(B721,INDIRECT($F$8),8+(O737-1)*3)&lt;U737*0.4,IF(U737*0.4-VLOOKUP(B721,INDIRECT($F$8),8+(O737-1)*3)&lt;=5,U737*0.4-VLOOKUP(B721,INDIRECT($F$8),8+(O737-1)*3),11),0))))</f>
        <v/>
      </c>
      <c r="X737" s="1" t="str">
        <f ca="1">IF(ISERROR(F721),"",IF(W737=0,"",_xlfn.TEXTJOIN("",FALSE," G+",W737," in ",A737)))</f>
        <v/>
      </c>
    </row>
    <row r="738" spans="1:24" ht="11.25" customHeight="1" x14ac:dyDescent="0.2">
      <c r="A738" s="7" t="str">
        <f ca="1">IF(ISERROR(F721),"",VLOOKUP(C721,INDIRECT($F$8),6+(O738-1)*3,0))</f>
        <v/>
      </c>
      <c r="B738" s="41" t="str">
        <f ca="1">IF(ISERROR(F721),"",VLOOKUP(D721,INDIRECT($F$8),6+(O738-1)*3,0))</f>
        <v/>
      </c>
      <c r="C738" s="41"/>
      <c r="D738" s="41"/>
      <c r="E738" s="41"/>
      <c r="F738" s="7" t="str">
        <f ca="1">IF(ISERROR(F721),"",VLOOKUP(E721,INDIRECT($F$8),6+(O738-1)*3,0))</f>
        <v/>
      </c>
      <c r="G738" s="42" t="str">
        <f ca="1">IF(ISERROR(F721),"",_xlfn.TEXTJOIN("/",FALSE,P738,S738))</f>
        <v/>
      </c>
      <c r="H738" s="42"/>
      <c r="I738" s="42" t="str">
        <f ca="1">IF(ISERROR(F721),"",_xlfn.TEXTJOIN("/",FALSE,Q738,T738))</f>
        <v/>
      </c>
      <c r="J738" s="42"/>
      <c r="K738" s="42" t="str">
        <f ca="1">IF(ISERROR(F721),"",_xlfn.TEXTJOIN("/",FALSE,R738,U738))</f>
        <v/>
      </c>
      <c r="L738" s="42"/>
      <c r="M738" s="7" t="str">
        <f ca="1">IF(ISERROR(F721),"",IF(ISTEXT(P738),IF(P738="A","Ab",IF(P738="D","Dt",IF(P738="UFM","UFM",IF(P738="NA","-")))),IF(AND(ISBLANK(P738),ISBLANK(R738)),"",IF(P738&lt;0.3*S738,"F",IF(ISBLANK(R738),"",IF(ISTEXT(R738),R738,IF(R738&gt;=0.95*U738,"O",IF(R738&gt;=0.9*U738,"A+",IF(R738&gt;=0.85*U738,"A",IF(R738&gt;=0.8*U738,"B+",IF(R738&gt;=0.75*U738,"B",IF(R738&gt;=0.7*U738,"C+",IF(R738&gt;=0.65*U738,"C",IF(R738&gt;=0.6*U738,"D+",IF(R738&gt;=0.55*U738,"D",IF(R738&gt;=0.5*U738,"E+",IF(R738&gt;=0.45*U738,"E",IF(R738&gt;=0.4*U738,"P",IF(R738&lt;0.4*U738,"F",R738)))))))))))))))))))</f>
        <v/>
      </c>
      <c r="N738" s="8" t="e">
        <f t="shared" ca="1" si="73"/>
        <v>#N/A</v>
      </c>
      <c r="O738">
        <f t="shared" si="74"/>
        <v>13</v>
      </c>
      <c r="P738" s="1" t="str">
        <f ca="1">IF(ISERROR(F721),"",IF(ISTEXT(VLOOKUP(B721,INDIRECT($F$8),6+(O738-1)*3)),(VLOOKUP(B721,INDIRECT($F$8),6+(O738-1)*3)),SUM(VLOOKUP(B721,INDIRECT($F$8),6+(O738-1)*3),IF(W740,W738,0))))</f>
        <v/>
      </c>
      <c r="Q738" s="1" t="str">
        <f ca="1">IF(ISERROR(F721),"",VLOOKUP(B721,INDIRECT($F$8),7+(O738-1)*3))</f>
        <v/>
      </c>
      <c r="R738" s="1" t="str">
        <f ca="1">IF(ISERROR(F721),"",SUM(P738:Q738))</f>
        <v/>
      </c>
      <c r="S738" s="1" t="str">
        <f ca="1">IF(ISERROR(F721),"",VLOOKUP(A721,INDIRECT($F$8),6+(O738-1)*3))</f>
        <v/>
      </c>
      <c r="T738" s="1" t="str">
        <f ca="1">IF(ISERROR(F721),"",VLOOKUP(A721,INDIRECT($F$8),7+(O738-1)*3))</f>
        <v/>
      </c>
      <c r="U738" s="1" t="str">
        <f ca="1">IF(ISERROR(F721),"",VLOOKUP(A721,INDIRECT($F$8),8+(O738-1)*3))</f>
        <v/>
      </c>
      <c r="V738" s="1"/>
      <c r="W738" s="1" t="str">
        <f ca="1">IF(ISERROR(F721),"",IF(ISTEXT(VLOOKUP(B721,INDIRECT($F$8),6+(O738-1)*3)),11,IF(VLOOKUP(B721,INDIRECT($F$8),6+(O738-1)*3)&lt;S738*0.3,IF(VLOOKUP(B721,INDIRECT($F$8),8+(O738-1)*3)&lt;U738*0.4,IF(AND(0.4*U738-VLOOKUP(B721,INDIRECT($F$8),8+(O738-1)*3)&lt;=5,0.3*S738-VLOOKUP(B721,INDIRECT($F$8),6+(O738-1)*3)&lt;=5),MAX(0.4*U738-VLOOKUP(B721,INDIRECT($F$8),8+(O738-1)*3),0.3*S738-VLOOKUP(B721,INDIRECT($F$8),6+(O738-1)*3)),11),IF(0.3*S738-VLOOKUP(B721,INDIRECT($F$8),6+(O738-1)*3)&lt;=5,0.3*S738-VLOOKUP(B721,INDIRECT($F$8),6+(O738-1)*3),11)),IF(VLOOKUP(B721,INDIRECT($F$8),8+(O738-1)*3)&lt;U738*0.4,IF(U738*0.4-VLOOKUP(B721,INDIRECT($F$8),8+(O738-1)*3)&lt;=5,U738*0.4-VLOOKUP(B721,INDIRECT($F$8),8+(O738-1)*3),11),0))))</f>
        <v/>
      </c>
      <c r="X738" s="1" t="str">
        <f ca="1">IF(ISERROR(F721),"",IF(W738=0,"",_xlfn.TEXTJOIN("",FALSE," G+",W738," in ",A738)))</f>
        <v/>
      </c>
    </row>
    <row r="739" spans="1:24" s="32" customFormat="1" ht="11.25" customHeight="1" x14ac:dyDescent="0.2">
      <c r="A739" s="31" t="str">
        <f ca="1">IF(ISERROR(F721),"",VLOOKUP(C721,INDIRECT($F$8),6+(O739-1)*3-Y739,0))</f>
        <v/>
      </c>
      <c r="B739" s="49" t="str">
        <f ca="1">IF(ISERROR(F721),"",VLOOKUP(D721,INDIRECT($F$8),6+(O739-1)*3-Z739,0))</f>
        <v/>
      </c>
      <c r="C739" s="49"/>
      <c r="D739" s="49"/>
      <c r="E739" s="49"/>
      <c r="F739" s="31" t="str">
        <f ca="1">IF(ISERROR(F721),"",VLOOKUP(E721,INDIRECT($F$8),6+(O739-1)*3-AA739,0))</f>
        <v/>
      </c>
      <c r="G739" s="50" t="str">
        <f ca="1">IF(ISERROR(F721),"","-")</f>
        <v/>
      </c>
      <c r="H739" s="50"/>
      <c r="I739" s="50" t="str">
        <f ca="1">IF(ISERROR(F721),"",_xlfn.TEXTJOIN("/",FALSE,Q739,T739))</f>
        <v/>
      </c>
      <c r="J739" s="50"/>
      <c r="K739" s="50" t="str">
        <f ca="1">IF(ISERROR(F721),"",_xlfn.TEXTJOIN("/",FALSE,R739,U739))</f>
        <v/>
      </c>
      <c r="L739" s="50"/>
      <c r="M739" s="7" t="b">
        <f ca="1">IF(ISERROR(F722),"",IF(ISTEXT(P739),IF(P739="A","Ab",IF(P739="D","Dt",IF(P739="UFM","UFM",IF(P739="NA","")))),IF(AND(ISBLANK(P739),ISBLANK(R739)),"",IF(P739&lt;0.3*S739,"F",IF(ISBLANK(R739),"",IF(ISTEXT(R739),R739,IF(R739&gt;=0.95*U739,"O",IF(R739&gt;=0.9*U739,"A+",IF(R739&gt;=0.85*U739,"A",IF(R739&gt;=0.8*U739,"B+",IF(R739&gt;=0.75*U739,"B",IF(R739&gt;=0.7*U739,"C+",IF(R739&gt;=0.65*U739,"C",IF(R739&gt;=0.6*U739,"D+",IF(R739&gt;=0.55*U739,"D",IF(R739&gt;=0.5*U739,"E+",IF(R739&gt;=0.45*U739,"E",IF(R739&gt;=0.4*U739,"P",IF(R739&lt;0.4*U739,"F",R739)))))))))))))))))))</f>
        <v>0</v>
      </c>
      <c r="N739" s="8" t="e">
        <f t="shared" ref="N728:N739" ca="1" si="75">INDEX($Z$2:$Z$18,MATCH(M739,$Y$2:$Y$18,0))</f>
        <v>#N/A</v>
      </c>
      <c r="O739" s="32">
        <f t="shared" si="74"/>
        <v>14</v>
      </c>
      <c r="P739" s="33" t="str">
        <f ca="1">IF(ISERROR(F721),"",IF(ISTEXT(VLOOKUP(B\28,INDIRECT($F$8),6+(O739-1)*3)),(VLOOKUP(B721,INDIRECT($F$8),6+(O739-1)*3)),SUM(VLOOKUP(B721,INDIRECT($F$8),6+(O739-1)*3),IF(W740,W739,0))))</f>
        <v/>
      </c>
      <c r="Q739" s="33" t="str">
        <f ca="1">IF(ISERROR(F721),"",VLOOKUP(B721,INDIRECT($F$8),7+(O739-1)*3))</f>
        <v/>
      </c>
      <c r="R739" s="33" t="str">
        <f ca="1">IF(ISERROR(F721),"",SUM(P739:Q739))</f>
        <v/>
      </c>
      <c r="S739" s="33" t="str">
        <f ca="1">IF(ISERROR(F721),"",VLOOKUP(A721,INDIRECT($F$8),6+(O739-1)*3))</f>
        <v/>
      </c>
      <c r="T739" s="33" t="str">
        <f ca="1">IF(ISERROR(F721),"",VLOOKUP(A721,INDIRECT($F$8),7+(O739-1)*3))</f>
        <v/>
      </c>
      <c r="U739" s="33" t="str">
        <f ca="1">IF(ISERROR(F721),"",VLOOKUP(A721,INDIRECT($F$8),8+(O739-1)*3))</f>
        <v/>
      </c>
      <c r="V739" s="33"/>
      <c r="W739" s="33"/>
      <c r="X739" s="33" t="str">
        <f ca="1">IF(ISERROR(F721),"",IF(W739=0,"",_xlfn.TEXTJOIN("",FALSE," G+",W739," in ",A739)))</f>
        <v/>
      </c>
    </row>
    <row r="740" spans="1:24" ht="11.25" customHeight="1" x14ac:dyDescent="0.2">
      <c r="A740" s="43" t="str">
        <f ca="1">IF(ISERROR(F721),"",A717)</f>
        <v/>
      </c>
      <c r="B740" s="43"/>
      <c r="C740" s="43"/>
      <c r="D740" s="43"/>
      <c r="E740" s="43"/>
      <c r="F740" s="10" t="str">
        <f ca="1">IF(ISERROR(F721),"",SUM(F726:F739))</f>
        <v/>
      </c>
      <c r="G740" s="44" t="str">
        <f ca="1">IF(ISERROR(F721),"",_xlfn.TEXTJOIN("/",TRUE,SUMIF(F726:F739,"&gt;0",P726:P739),SUMIF(F726:F739,"&gt;0",S726:S739)))</f>
        <v/>
      </c>
      <c r="H740" s="44"/>
      <c r="I740" s="44" t="str">
        <f ca="1">IF(ISERROR(F721),"",_xlfn.TEXTJOIN("/",TRUE,SUMIF(F726:F739,"&gt;0",Q726:Q739),SUMIF(F726:F739,"&gt;0",T726:T739)))</f>
        <v/>
      </c>
      <c r="J740" s="44"/>
      <c r="K740" s="44" t="str">
        <f ca="1">IF(ISERROR(F721),"",_xlfn.TEXTJOIN("/",TRUE,SUMIF(F726:F739,"&gt;0",R726:R739),SUMIF(F726:F739,"&gt;0",U726:U739)))</f>
        <v/>
      </c>
      <c r="L740" s="44"/>
      <c r="M740" s="43" t="str">
        <f ca="1">IF(ISERROR(F721),"",SUMPRODUCT(N726:N738,F726:F738))</f>
        <v/>
      </c>
      <c r="N740" s="43"/>
      <c r="V740" s="1" t="str">
        <f ca="1">IF(ISERROR(F721),"",_xlfn.TEXTJOIN(", ",TRUE,V726:V739))</f>
        <v/>
      </c>
      <c r="W740" t="str">
        <f ca="1">IF(ISERROR(F721),"",IF(SUM(W726:W739)&lt;=W725,TRUE,FALSE))</f>
        <v/>
      </c>
      <c r="X740" s="1" t="str">
        <f ca="1">_xlfn.TEXTJOIN(",",TRUE,X726:X739)</f>
        <v/>
      </c>
    </row>
    <row r="741" spans="1:24" ht="11.25" customHeight="1" x14ac:dyDescent="0.2">
      <c r="A741" s="43" t="str">
        <f ca="1">IF(ISERROR(F721),"",A718)</f>
        <v/>
      </c>
      <c r="B741" s="45" t="str">
        <f ca="1">IF(ISERROR(F721),"",IF(V740="","PASS","CARRY OVER"))</f>
        <v/>
      </c>
      <c r="C741" s="45"/>
      <c r="D741" s="43" t="str">
        <f ca="1">IF(ISERROR(F721),"",D718)</f>
        <v/>
      </c>
      <c r="E741" s="45" t="str">
        <f ca="1">IF(ISERROR(F721),"",IF(W740,X740,IF(V740="","",_xlfn.TEXTJOIN("",TRUE,"BACK IN ",V740))))</f>
        <v/>
      </c>
      <c r="F741" s="45"/>
      <c r="G741" s="43" t="str">
        <f ca="1">IF(ISERROR(F721),"",G718)</f>
        <v/>
      </c>
      <c r="H741" s="46" t="str">
        <f ca="1">IF(ISERROR(F721),"",M740/F740)</f>
        <v/>
      </c>
      <c r="I741" s="43" t="str">
        <f ca="1">IF(ISERROR(F721),"",I718)</f>
        <v/>
      </c>
      <c r="J741" s="46" t="str">
        <f ca="1">IF(ISERROR(F721),"",VLOOKUP(B721,INDIRECT($F$8),12+(O739-1)*3,0))</f>
        <v/>
      </c>
      <c r="K741" s="45" t="str">
        <f ca="1">IF(ISERROR(F721),"",K718)</f>
        <v/>
      </c>
      <c r="L741" s="43" t="str">
        <f ca="1">IF(ISERROR(F721),"",SUMIF(N726:N738,"&gt;0",F726:F738))</f>
        <v/>
      </c>
      <c r="M741" s="45" t="str">
        <f ca="1">IF(ISERROR(F721),"",M718)</f>
        <v/>
      </c>
      <c r="N741" s="43" t="str">
        <f ca="1">IF(ISERROR(F721),"",VLOOKUP(B721,INDIRECT($F$8),10+(O739-1)*3,0))</f>
        <v/>
      </c>
    </row>
    <row r="742" spans="1:24" ht="11.25" customHeight="1" x14ac:dyDescent="0.2">
      <c r="A742" s="43"/>
      <c r="B742" s="45"/>
      <c r="C742" s="45"/>
      <c r="D742" s="43"/>
      <c r="E742" s="45"/>
      <c r="F742" s="45"/>
      <c r="G742" s="43"/>
      <c r="H742" s="46"/>
      <c r="I742" s="43"/>
      <c r="J742" s="46"/>
      <c r="K742" s="45"/>
      <c r="L742" s="43"/>
      <c r="M742" s="45"/>
      <c r="N742" s="43"/>
    </row>
    <row r="743" spans="1:24" ht="11.25" customHeight="1" x14ac:dyDescent="0.2">
      <c r="A743" s="43"/>
      <c r="B743" s="45"/>
      <c r="C743" s="45"/>
      <c r="D743" s="43"/>
      <c r="E743" s="45"/>
      <c r="F743" s="45"/>
      <c r="G743" s="43"/>
      <c r="H743" s="46"/>
      <c r="I743" s="43"/>
      <c r="J743" s="46"/>
      <c r="K743" s="45"/>
      <c r="L743" s="43"/>
      <c r="M743" s="45"/>
      <c r="N743" s="43"/>
    </row>
    <row r="744" spans="1:24" ht="11.25" customHeight="1" x14ac:dyDescent="0.2">
      <c r="A744" s="11" t="str">
        <f>A721</f>
        <v>MM</v>
      </c>
      <c r="B744" s="11">
        <f>B721+1</f>
        <v>33</v>
      </c>
      <c r="C744" s="11" t="str">
        <f>C721</f>
        <v>SC</v>
      </c>
      <c r="D744" s="11" t="str">
        <f>D721</f>
        <v>SN</v>
      </c>
      <c r="E744" s="11" t="str">
        <f>E721</f>
        <v>C</v>
      </c>
      <c r="F744" s="11" t="e">
        <f ca="1">VLOOKUP(B744,INDIRECT($F$8),4,0)</f>
        <v>#N/A</v>
      </c>
    </row>
    <row r="745" spans="1:24" ht="11.25" customHeight="1" x14ac:dyDescent="0.2">
      <c r="A745" s="47" t="str">
        <f ca="1">IF(ISERROR(F744),"",A722)</f>
        <v/>
      </c>
      <c r="B745" s="47" t="str">
        <f ca="1">IFERROR(VLOOKUP(B744,INDIRECT($F$8),4,0),"")</f>
        <v/>
      </c>
      <c r="C745" s="47"/>
      <c r="D745" s="47" t="str">
        <f ca="1">IF(ISERROR(F744),"",D722)</f>
        <v/>
      </c>
      <c r="E745" s="47" t="str">
        <f ca="1">IFERROR(VLOOKUP(B744,INDIRECT($F$8),5,0),"")</f>
        <v/>
      </c>
      <c r="F745" s="47"/>
      <c r="G745" s="47" t="str">
        <f ca="1">IF(ISERROR(F744),"",G722)</f>
        <v/>
      </c>
      <c r="H745" s="47"/>
      <c r="I745" s="48" t="str">
        <f ca="1">IFERROR(VLOOKUP(B744,INDIRECT($F$8),2,0),"")</f>
        <v/>
      </c>
      <c r="J745" s="48"/>
      <c r="K745" s="47" t="str">
        <f ca="1">IF(ISERROR(F744),"",K722)</f>
        <v/>
      </c>
      <c r="L745" s="47"/>
      <c r="M745" s="48" t="str">
        <f ca="1">IFERROR(VLOOKUP(B744,INDIRECT($F$8),3,0),"")</f>
        <v/>
      </c>
      <c r="N745" s="48"/>
    </row>
    <row r="746" spans="1:24" ht="11.25" customHeight="1" x14ac:dyDescent="0.2">
      <c r="A746" s="47"/>
      <c r="B746" s="47"/>
      <c r="C746" s="47"/>
      <c r="D746" s="47"/>
      <c r="E746" s="47"/>
      <c r="F746" s="47"/>
      <c r="G746" s="47"/>
      <c r="H746" s="47"/>
      <c r="I746" s="48"/>
      <c r="J746" s="48"/>
      <c r="K746" s="47"/>
      <c r="L746" s="47"/>
      <c r="M746" s="48"/>
      <c r="N746" s="48"/>
    </row>
    <row r="747" spans="1:24" ht="11.25" customHeight="1" x14ac:dyDescent="0.2">
      <c r="A747" s="45" t="str">
        <f ca="1">IF(ISERROR(F744),"",A724)</f>
        <v/>
      </c>
      <c r="B747" s="45" t="str">
        <f ca="1">IF(ISERROR(F744),"",B724)</f>
        <v/>
      </c>
      <c r="C747" s="45"/>
      <c r="D747" s="45"/>
      <c r="E747" s="45"/>
      <c r="F747" s="45" t="str">
        <f ca="1">IF(ISERROR(F744),"",F724)</f>
        <v/>
      </c>
      <c r="G747" s="45" t="str">
        <f ca="1">IF(ISERROR(F744),"",G724)</f>
        <v/>
      </c>
      <c r="H747" s="45"/>
      <c r="I747" s="45" t="str">
        <f ca="1">IF(ISERROR(F744),"",I724)</f>
        <v/>
      </c>
      <c r="J747" s="45"/>
      <c r="K747" s="45" t="str">
        <f ca="1">IF(ISERROR(F744),"",K724)</f>
        <v/>
      </c>
      <c r="L747" s="45"/>
      <c r="M747" s="45" t="str">
        <f ca="1">IF(ISERROR(F744),"",M724)</f>
        <v/>
      </c>
      <c r="N747" s="45" t="str">
        <f ca="1">IF(ISERROR(F744),"",N724)</f>
        <v/>
      </c>
    </row>
    <row r="748" spans="1:24" ht="11.25" customHeight="1" x14ac:dyDescent="0.2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W748">
        <f ca="1">IF(ISNUMBER(MATCH($F$8,{"I","III","V","VII"},0)),10,10-INDEX(INDIRECT(_xlfn.TEXTJOIN("",TRUE,"SEM_",$G$8,"!",ADDRESS(6,4+$I$8*3+4),":",ADDRESS(5+$H$8,4+$I$8*3+4))),MATCH(INDIRECT(_xlfn.TEXTJOIN("",TRUE,"TC_",$F$8,"!",ADDRESS(ROW(I745),COLUMN(I745)))),INDIRECT(_xlfn.TEXTJOIN("",TRUE,"SEM_",$G$8,"!",ADDRESS(6,2),":",ADDRESS(5+$H$8,2))))))</f>
        <v>10</v>
      </c>
    </row>
    <row r="749" spans="1:24" ht="11.25" customHeight="1" x14ac:dyDescent="0.2">
      <c r="A749" s="7" t="str">
        <f ca="1">IF(ISERROR(F744),"",VLOOKUP(C744,INDIRECT($F$8),6+(O749-1)*3,0))</f>
        <v/>
      </c>
      <c r="B749" s="41" t="str">
        <f ca="1">IF(ISERROR(F744),"",VLOOKUP(D744,INDIRECT($F$8),6+(O749-1)*3,0))</f>
        <v/>
      </c>
      <c r="C749" s="41"/>
      <c r="D749" s="41"/>
      <c r="E749" s="41"/>
      <c r="F749" s="7" t="str">
        <f ca="1">IF(ISERROR(F744),"",VLOOKUP(E744,INDIRECT($F$8),6+(O749-1)*3,0))</f>
        <v/>
      </c>
      <c r="G749" s="42" t="str">
        <f ca="1">IF(ISERROR(F744),"",_xlfn.TEXTJOIN("/",FALSE,P749,S749))</f>
        <v/>
      </c>
      <c r="H749" s="42"/>
      <c r="I749" s="42" t="str">
        <f ca="1">IF(ISERROR(F744),"",_xlfn.TEXTJOIN("/",FALSE,Q749,T749))</f>
        <v/>
      </c>
      <c r="J749" s="42"/>
      <c r="K749" s="42" t="str">
        <f ca="1">IF(ISERROR(F744),"",_xlfn.TEXTJOIN("/",FALSE,R749,U749))</f>
        <v/>
      </c>
      <c r="L749" s="42"/>
      <c r="M749" s="7" t="str">
        <f ca="1">IF(ISERROR(F744),"",IF(ISTEXT(P749),IF(P749="A","Ab",IF(P749="D","Dt",IF(P749="UFM","UFM",IF(P749="NA","-")))),IF(AND(ISBLANK(P749),ISBLANK(R749)),"",IF(P749&lt;0.3*S749,"F",IF(ISBLANK(R749),"",IF(ISTEXT(R749),R749,IF(R749&gt;=0.95*U749,"O",IF(R749&gt;=0.9*U749,"A+",IF(R749&gt;=0.85*U749,"A",IF(R749&gt;=0.8*U749,"B+",IF(R749&gt;=0.75*U749,"B",IF(R749&gt;=0.7*U749,"C+",IF(R749&gt;=0.65*U749,"C",IF(R749&gt;=0.6*U749,"D+",IF(R749&gt;=0.55*U749,"D",IF(R749&gt;=0.5*U749,"E+",IF(R749&gt;=0.45*U749,"E",IF(R749&gt;=0.4*U749,"P",IF(R749&lt;0.4*U749,"F",R749)))))))))))))))))))</f>
        <v/>
      </c>
      <c r="N749" s="8" t="e">
        <f ca="1">INDEX($Z$2:$Z$18,MATCH(M749,$Y$2:$Y$18,0))</f>
        <v>#N/A</v>
      </c>
      <c r="O749">
        <v>1</v>
      </c>
      <c r="P749" s="1" t="str">
        <f ca="1">IF(ISERROR(F744),"",IF(ISTEXT(VLOOKUP(B744,INDIRECT($F$8),6+(O749-1)*3)),(VLOOKUP(B744,INDIRECT($F$8),6+(O749-1)*3)),SUM(VLOOKUP(B744,INDIRECT($F$8),6+(O749-1)*3),IF(W763,W749,0))))</f>
        <v/>
      </c>
      <c r="Q749" s="1" t="str">
        <f ca="1">IF(ISERROR(F744),"",VLOOKUP(B744,INDIRECT($F$8),7+(O749-1)*3))</f>
        <v/>
      </c>
      <c r="R749" s="1" t="str">
        <f ca="1">IF(ISERROR(F744),"",SUM(P749:Q749))</f>
        <v/>
      </c>
      <c r="S749" s="1" t="str">
        <f ca="1">IF(ISERROR(F744),"",VLOOKUP(A744,INDIRECT($F$8),6+(O749-1)*3))</f>
        <v/>
      </c>
      <c r="T749" s="1" t="str">
        <f ca="1">IF(ISERROR(F744),"",VLOOKUP(A744,INDIRECT($F$8),7+(O749-1)*3))</f>
        <v/>
      </c>
      <c r="U749" s="1" t="str">
        <f ca="1">IF(ISERROR(F744),"",VLOOKUP(A744,INDIRECT($F$8),8+(O749-1)*3))</f>
        <v/>
      </c>
      <c r="V749" s="1" t="str">
        <f ca="1">IF(ISERROR(F744),"",IF(N749=0,A749,""))</f>
        <v/>
      </c>
      <c r="W749" s="1" t="str">
        <f ca="1">IF(ISERROR(F744),"",IF(ISTEXT(VLOOKUP(B744,INDIRECT($F$8),6+(O749-1)*3)),11,IF(VLOOKUP(B744,INDIRECT($F$8),6+(O749-1)*3)&lt;S749*0.3,IF(VLOOKUP(B744,INDIRECT($F$8),8+(O749-1)*3)&lt;U749*0.4,IF(AND(0.4*U749-VLOOKUP(B744,INDIRECT($F$8),8+(O749-1)*3)&lt;=5,0.3*S749-VLOOKUP(B744,INDIRECT($F$8),6+(O749-1)*3)&lt;=5),MAX(0.4*U749-VLOOKUP(B744,INDIRECT($F$8),8+(O749-1)*3),0.3*S749-VLOOKUP(B744,INDIRECT($F$8),6+(O749-1)*3)),11),IF(0.3*S749-VLOOKUP(B744,INDIRECT($F$8),6+(O749-1)*3)&lt;=5,0.3*S749-VLOOKUP(B744,INDIRECT($F$8),6+(O749-1)*3),11)),IF(VLOOKUP(B744,INDIRECT($F$8),8+(O749-1)*3)&lt;U749*0.4,IF(U749*0.4-VLOOKUP(B744,INDIRECT($F$8),8+(O749-1)*3)&lt;=5,U749*0.4-VLOOKUP(B744,INDIRECT($F$8),8+(O749-1)*3),11),0))))</f>
        <v/>
      </c>
      <c r="X749" s="1" t="str">
        <f ca="1">IF(ISERROR(F744),"",IF(W749=0,"",_xlfn.TEXTJOIN("",FALSE," G+",W749," in ",A749)))</f>
        <v/>
      </c>
    </row>
    <row r="750" spans="1:24" ht="11.25" customHeight="1" x14ac:dyDescent="0.2">
      <c r="A750" s="7" t="str">
        <f ca="1">IF(ISERROR(F744),"",VLOOKUP(C744,INDIRECT($F$8),6+(O750-1)*3,0))</f>
        <v/>
      </c>
      <c r="B750" s="41" t="str">
        <f ca="1">IF(ISERROR(F744),"",VLOOKUP(D744,INDIRECT($F$8),6+(O750-1)*3,0))</f>
        <v/>
      </c>
      <c r="C750" s="41"/>
      <c r="D750" s="41"/>
      <c r="E750" s="41"/>
      <c r="F750" s="7" t="str">
        <f ca="1">IF(ISERROR(F744),"",VLOOKUP(E744,INDIRECT($F$8),6+(O750-1)*3,0))</f>
        <v/>
      </c>
      <c r="G750" s="42" t="str">
        <f ca="1">IF(ISERROR(F744),"",_xlfn.TEXTJOIN("/",FALSE,P750,S750))</f>
        <v/>
      </c>
      <c r="H750" s="42"/>
      <c r="I750" s="42" t="str">
        <f ca="1">IF(ISERROR(F744),"",_xlfn.TEXTJOIN("/",FALSE,Q750,T750))</f>
        <v/>
      </c>
      <c r="J750" s="42"/>
      <c r="K750" s="42" t="str">
        <f ca="1">IF(ISERROR(F744),"",_xlfn.TEXTJOIN("/",FALSE,R750,U750))</f>
        <v/>
      </c>
      <c r="L750" s="42"/>
      <c r="M750" s="7" t="str">
        <f ca="1">IF(ISERROR(F744),"",IF(ISTEXT(P750),IF(P750="A","Ab",IF(P750="D","Dt",IF(P750="UFM","UFM",IF(P750="NA","-")))),IF(AND(ISBLANK(P750),ISBLANK(R750)),"",IF(P750&lt;0.3*S750,"F",IF(ISBLANK(R750),"",IF(ISTEXT(R750),R750,IF(R750&gt;=0.95*U750,"O",IF(R750&gt;=0.9*U750,"A+",IF(R750&gt;=0.85*U750,"A",IF(R750&gt;=0.8*U750,"B+",IF(R750&gt;=0.75*U750,"B",IF(R750&gt;=0.7*U750,"C+",IF(R750&gt;=0.65*U750,"C",IF(R750&gt;=0.6*U750,"D+",IF(R750&gt;=0.55*U750,"D",IF(R750&gt;=0.5*U750,"E+",IF(R750&gt;=0.45*U750,"E",IF(R750&gt;=0.4*U750,"P",IF(R750&lt;0.4*U750,"F",R750)))))))))))))))))))</f>
        <v/>
      </c>
      <c r="N750" s="8" t="e">
        <f t="shared" ref="N750:N761" ca="1" si="76">INDEX($Z$2:$Z$18,MATCH(M750,$Y$2:$Y$18,0))</f>
        <v>#N/A</v>
      </c>
      <c r="O750">
        <f>O749+1</f>
        <v>2</v>
      </c>
      <c r="P750" s="1" t="str">
        <f ca="1">IF(ISERROR(F744),"",IF(ISTEXT(VLOOKUP(B744,INDIRECT($F$8),6+(O750-1)*3)),(VLOOKUP(B744,INDIRECT($F$8),6+(O750-1)*3)),SUM(VLOOKUP(B744,INDIRECT($F$8),6+(O750-1)*3),IF(W763,W750,0))))</f>
        <v/>
      </c>
      <c r="Q750" s="1" t="str">
        <f ca="1">IF(ISERROR(F744),"",VLOOKUP(B744,INDIRECT($F$8),7+(O750-1)*3))</f>
        <v/>
      </c>
      <c r="R750" s="1" t="str">
        <f ca="1">IF(ISERROR(F744),"",SUM(P750:Q750))</f>
        <v/>
      </c>
      <c r="S750" s="1" t="str">
        <f ca="1">IF(ISERROR(F744),"",VLOOKUP(A744,INDIRECT($F$8),6+(O750-1)*3))</f>
        <v/>
      </c>
      <c r="T750" s="1" t="str">
        <f ca="1">IF(ISERROR(F744),"",VLOOKUP(A744,INDIRECT($F$8),7+(O750-1)*3))</f>
        <v/>
      </c>
      <c r="U750" s="1" t="str">
        <f ca="1">IF(ISERROR(F744),"",VLOOKUP(A744,INDIRECT($F$8),8+(O750-1)*3))</f>
        <v/>
      </c>
      <c r="V750" s="1" t="str">
        <f ca="1">IF(ISERROR(F744),"",IF(N750=0,A750,""))</f>
        <v/>
      </c>
      <c r="W750" s="1" t="str">
        <f ca="1">IF(ISERROR(F744),"",IF(ISTEXT(VLOOKUP(B744,INDIRECT($F$8),6+(O750-1)*3)),11,IF(VLOOKUP(B744,INDIRECT($F$8),6+(O750-1)*3)&lt;S750*0.3,IF(VLOOKUP(B744,INDIRECT($F$8),8+(O750-1)*3)&lt;U750*0.4,IF(AND(0.4*U750-VLOOKUP(B744,INDIRECT($F$8),8+(O750-1)*3)&lt;=5,0.3*S750-VLOOKUP(B744,INDIRECT($F$8),6+(O750-1)*3)&lt;=5),MAX(0.4*U750-VLOOKUP(B744,INDIRECT($F$8),8+(O750-1)*3),0.3*S750-VLOOKUP(B744,INDIRECT($F$8),6+(O750-1)*3)),11),IF(0.3*S750-VLOOKUP(B744,INDIRECT($F$8),6+(O750-1)*3)&lt;=5,0.3*S750-VLOOKUP(B744,INDIRECT($F$8),6+(O750-1)*3),11)),IF(VLOOKUP(B744,INDIRECT($F$8),8+(O750-1)*3)&lt;U750*0.4,IF(U750*0.4-VLOOKUP(B744,INDIRECT($F$8),8+(O750-1)*3)&lt;=5,U750*0.4-VLOOKUP(B744,INDIRECT($F$8),8+(O750-1)*3),11),0))))</f>
        <v/>
      </c>
      <c r="X750" s="1" t="str">
        <f ca="1">IF(ISERROR(F744),"",IF(W750=0,"",_xlfn.TEXTJOIN("",FALSE," G+",W750," in ",A750)))</f>
        <v/>
      </c>
    </row>
    <row r="751" spans="1:24" ht="11.25" customHeight="1" x14ac:dyDescent="0.2">
      <c r="A751" s="7" t="str">
        <f ca="1">IF(ISERROR(F744),"",VLOOKUP(C744,INDIRECT($F$8),6+(O751-1)*3,0))</f>
        <v/>
      </c>
      <c r="B751" s="41" t="str">
        <f ca="1">IF(ISERROR(F744),"",VLOOKUP(D744,INDIRECT($F$8),6+(O751-1)*3,0))</f>
        <v/>
      </c>
      <c r="C751" s="41"/>
      <c r="D751" s="41"/>
      <c r="E751" s="41"/>
      <c r="F751" s="7" t="str">
        <f ca="1">IF(ISERROR(F744),"",VLOOKUP(E744,INDIRECT($F$8),6+(O751-1)*3,0))</f>
        <v/>
      </c>
      <c r="G751" s="42" t="str">
        <f ca="1">IF(ISERROR(F744),"",_xlfn.TEXTJOIN("/",FALSE,P751,S751))</f>
        <v/>
      </c>
      <c r="H751" s="42"/>
      <c r="I751" s="42" t="str">
        <f ca="1">IF(ISERROR(F744),"",_xlfn.TEXTJOIN("/",FALSE,Q751,T751))</f>
        <v/>
      </c>
      <c r="J751" s="42"/>
      <c r="K751" s="42" t="str">
        <f ca="1">IF(ISERROR(F744),"",_xlfn.TEXTJOIN("/",FALSE,R751,U751))</f>
        <v/>
      </c>
      <c r="L751" s="42"/>
      <c r="M751" s="7" t="str">
        <f ca="1">IF(ISERROR(F744),"",IF(ISTEXT(P751),IF(P751="A","Ab",IF(P751="D","Dt",IF(P751="UFM","UFM",IF(P751="NA","-")))),IF(AND(ISBLANK(P751),ISBLANK(R751)),"",IF(P751&lt;0.3*S751,"F",IF(ISBLANK(R751),"",IF(ISTEXT(R751),R751,IF(R751&gt;=0.95*U751,"O",IF(R751&gt;=0.9*U751,"A+",IF(R751&gt;=0.85*U751,"A",IF(R751&gt;=0.8*U751,"B+",IF(R751&gt;=0.75*U751,"B",IF(R751&gt;=0.7*U751,"C+",IF(R751&gt;=0.65*U751,"C",IF(R751&gt;=0.6*U751,"D+",IF(R751&gt;=0.55*U751,"D",IF(R751&gt;=0.5*U751,"E+",IF(R751&gt;=0.45*U751,"E",IF(R751&gt;=0.4*U751,"P",IF(R751&lt;0.4*U751,"F",R751)))))))))))))))))))</f>
        <v/>
      </c>
      <c r="N751" s="8" t="e">
        <f t="shared" ca="1" si="76"/>
        <v>#N/A</v>
      </c>
      <c r="O751">
        <f>O750+1</f>
        <v>3</v>
      </c>
      <c r="P751" s="1" t="str">
        <f ca="1">IF(ISERROR(F744),"",IF(ISTEXT(VLOOKUP(B744,INDIRECT($F$8),6+(O751-1)*3)),(VLOOKUP(B744,INDIRECT($F$8),6+(O751-1)*3)),SUM(VLOOKUP(B744,INDIRECT($F$8),6+(O751-1)*3),IF(W763,W751,0))))</f>
        <v/>
      </c>
      <c r="Q751" s="1" t="str">
        <f ca="1">IF(ISERROR(F744),"",VLOOKUP(B744,INDIRECT($F$8),7+(O751-1)*3))</f>
        <v/>
      </c>
      <c r="R751" s="1" t="str">
        <f ca="1">IF(ISERROR(F744),"",SUM(P751:Q751))</f>
        <v/>
      </c>
      <c r="S751" s="1" t="str">
        <f ca="1">IF(ISERROR(F744),"",VLOOKUP(A744,INDIRECT($F$8),6+(O751-1)*3))</f>
        <v/>
      </c>
      <c r="T751" s="1" t="str">
        <f ca="1">IF(ISERROR(F744),"",VLOOKUP(A744,INDIRECT($F$8),7+(O751-1)*3))</f>
        <v/>
      </c>
      <c r="U751" s="1" t="str">
        <f ca="1">IF(ISERROR(F744),"",VLOOKUP(A744,INDIRECT($F$8),8+(O751-1)*3))</f>
        <v/>
      </c>
      <c r="V751" s="1" t="str">
        <f ca="1">IF(ISERROR(F744),"",IF(N751=0,A751,""))</f>
        <v/>
      </c>
      <c r="W751" s="1" t="str">
        <f ca="1">IF(ISERROR(F744),"",IF(ISTEXT(VLOOKUP(B744,INDIRECT($F$8),6+(O751-1)*3)),11,IF(VLOOKUP(B744,INDIRECT($F$8),6+(O751-1)*3)&lt;S751*0.3,IF(VLOOKUP(B744,INDIRECT($F$8),8+(O751-1)*3)&lt;U751*0.4,IF(AND(0.4*U751-VLOOKUP(B744,INDIRECT($F$8),8+(O751-1)*3)&lt;=5,0.3*S751-VLOOKUP(B744,INDIRECT($F$8),6+(O751-1)*3)&lt;=5),MAX(0.4*U751-VLOOKUP(B744,INDIRECT($F$8),8+(O751-1)*3),0.3*S751-VLOOKUP(B744,INDIRECT($F$8),6+(O751-1)*3)),11),IF(0.3*S751-VLOOKUP(B744,INDIRECT($F$8),6+(O751-1)*3)&lt;=5,0.3*S751-VLOOKUP(B744,INDIRECT($F$8),6+(O751-1)*3),11)),IF(VLOOKUP(B744,INDIRECT($F$8),8+(O751-1)*3)&lt;U751*0.4,IF(U751*0.4-VLOOKUP(B744,INDIRECT($F$8),8+(O751-1)*3)&lt;=5,U751*0.4-VLOOKUP(B744,INDIRECT($F$8),8+(O751-1)*3),11),0))))</f>
        <v/>
      </c>
      <c r="X751" s="1" t="str">
        <f ca="1">IF(ISERROR(F744),"",IF(W751=0,"",_xlfn.TEXTJOIN("",FALSE," G+",W751," in ",A751)))</f>
        <v/>
      </c>
    </row>
    <row r="752" spans="1:24" ht="11.25" customHeight="1" x14ac:dyDescent="0.2">
      <c r="A752" s="7" t="str">
        <f ca="1">IF(ISERROR(F744),"",VLOOKUP(C744,INDIRECT($F$8),6+(O752-1)*3,0))</f>
        <v/>
      </c>
      <c r="B752" s="41" t="str">
        <f ca="1">IF(ISERROR(F744),"",VLOOKUP(D744,INDIRECT($F$8),6+(O752-1)*3,0))</f>
        <v/>
      </c>
      <c r="C752" s="41"/>
      <c r="D752" s="41"/>
      <c r="E752" s="41"/>
      <c r="F752" s="7" t="str">
        <f ca="1">IF(ISERROR(F744),"",VLOOKUP(E744,INDIRECT($F$8),6+(O752-1)*3,0))</f>
        <v/>
      </c>
      <c r="G752" s="42" t="str">
        <f ca="1">IF(ISERROR(F744),"",_xlfn.TEXTJOIN("/",FALSE,P752,S752))</f>
        <v/>
      </c>
      <c r="H752" s="42"/>
      <c r="I752" s="42" t="str">
        <f ca="1">IF(ISERROR(F744),"",_xlfn.TEXTJOIN("/",FALSE,Q752,T752))</f>
        <v/>
      </c>
      <c r="J752" s="42"/>
      <c r="K752" s="42" t="str">
        <f ca="1">IF(ISERROR(F744),"",_xlfn.TEXTJOIN("/",FALSE,R752,U752))</f>
        <v/>
      </c>
      <c r="L752" s="42"/>
      <c r="M752" s="7" t="str">
        <f ca="1">IF(ISERROR(F744),"",IF(ISTEXT(P752),IF(P752="A","Ab",IF(P752="D","Dt",IF(P752="UFM","UFM",IF(P752="NA","-")))),IF(AND(ISBLANK(P752),ISBLANK(R752)),"",IF(P752&lt;0.3*S752,"F",IF(ISBLANK(R752),"",IF(ISTEXT(R752),R752,IF(R752&gt;=0.95*U752,"O",IF(R752&gt;=0.9*U752,"A+",IF(R752&gt;=0.85*U752,"A",IF(R752&gt;=0.8*U752,"B+",IF(R752&gt;=0.75*U752,"B",IF(R752&gt;=0.7*U752,"C+",IF(R752&gt;=0.65*U752,"C",IF(R752&gt;=0.6*U752,"D+",IF(R752&gt;=0.55*U752,"D",IF(R752&gt;=0.5*U752,"E+",IF(R752&gt;=0.45*U752,"E",IF(R752&gt;=0.4*U752,"P",IF(R752&lt;0.4*U752,"F",R752)))))))))))))))))))</f>
        <v/>
      </c>
      <c r="N752" s="8" t="e">
        <f t="shared" ca="1" si="76"/>
        <v>#N/A</v>
      </c>
      <c r="O752">
        <f>O751+1</f>
        <v>4</v>
      </c>
      <c r="P752" s="1" t="str">
        <f ca="1">IF(ISERROR(F744),"",IF(ISTEXT(VLOOKUP(B744,INDIRECT($F$8),6+(O752-1)*3)),(VLOOKUP(B744,INDIRECT($F$8),6+(O752-1)*3)),SUM(VLOOKUP(B744,INDIRECT($F$8),6+(O752-1)*3),IF(W763,W752,0))))</f>
        <v/>
      </c>
      <c r="Q752" s="1" t="str">
        <f ca="1">IF(ISERROR(F744),"",VLOOKUP(B744,INDIRECT($F$8),7+(O752-1)*3))</f>
        <v/>
      </c>
      <c r="R752" s="1" t="str">
        <f ca="1">IF(ISERROR(F744),"",SUM(P752:Q752))</f>
        <v/>
      </c>
      <c r="S752" s="1" t="str">
        <f ca="1">IF(ISERROR(F744),"",VLOOKUP(A744,INDIRECT($F$8),6+(O752-1)*3))</f>
        <v/>
      </c>
      <c r="T752" s="1" t="str">
        <f ca="1">IF(ISERROR(F744),"",VLOOKUP(A744,INDIRECT($F$8),7+(O752-1)*3))</f>
        <v/>
      </c>
      <c r="U752" s="1" t="str">
        <f ca="1">IF(ISERROR(F744),"",VLOOKUP(A744,INDIRECT($F$8),8+(O752-1)*3))</f>
        <v/>
      </c>
      <c r="V752" s="1" t="str">
        <f ca="1">IF(ISERROR(F744),"",IF(N752=0,A752,""))</f>
        <v/>
      </c>
      <c r="W752" s="1" t="str">
        <f ca="1">IF(ISERROR(F744),"",IF(ISTEXT(VLOOKUP(B744,INDIRECT($F$8),6+(O752-1)*3)),11,IF(VLOOKUP(B744,INDIRECT($F$8),6+(O752-1)*3)&lt;S752*0.3,IF(VLOOKUP(B744,INDIRECT($F$8),8+(O752-1)*3)&lt;U752*0.4,IF(AND(0.4*U752-VLOOKUP(B744,INDIRECT($F$8),8+(O752-1)*3)&lt;=5,0.3*S752-VLOOKUP(B744,INDIRECT($F$8),6+(O752-1)*3)&lt;=5),MAX(0.4*U752-VLOOKUP(B744,INDIRECT($F$8),8+(O752-1)*3),0.3*S752-VLOOKUP(B744,INDIRECT($F$8),6+(O752-1)*3)),11),IF(0.3*S752-VLOOKUP(B744,INDIRECT($F$8),6+(O752-1)*3)&lt;=5,0.3*S752-VLOOKUP(B744,INDIRECT($F$8),6+(O752-1)*3),11)),IF(VLOOKUP(B744,INDIRECT($F$8),8+(O752-1)*3)&lt;U752*0.4,IF(U752*0.4-VLOOKUP(B744,INDIRECT($F$8),8+(O752-1)*3)&lt;=5,U752*0.4-VLOOKUP(B744,INDIRECT($F$8),8+(O752-1)*3),11),0))))</f>
        <v/>
      </c>
      <c r="X752" s="1" t="str">
        <f ca="1">IF(ISERROR(F744),"",IF(W752=0,"",_xlfn.TEXTJOIN("",FALSE," G+",W752," in ",A752)))</f>
        <v/>
      </c>
    </row>
    <row r="753" spans="1:24" ht="11.25" customHeight="1" x14ac:dyDescent="0.2">
      <c r="A753" s="7" t="str">
        <f ca="1">IF(ISERROR(F744),"",VLOOKUP(C744,INDIRECT($F$8),6+(O753-1)*3,0))</f>
        <v/>
      </c>
      <c r="B753" s="41" t="str">
        <f ca="1">IF(ISERROR(F744),"",VLOOKUP(D744,INDIRECT($F$8),6+(O753-1)*3,0))</f>
        <v/>
      </c>
      <c r="C753" s="41"/>
      <c r="D753" s="41"/>
      <c r="E753" s="41"/>
      <c r="F753" s="7" t="str">
        <f ca="1">IF(ISERROR(F744),"",VLOOKUP(E744,INDIRECT($F$8),6+(O753-1)*3,0))</f>
        <v/>
      </c>
      <c r="G753" s="42" t="str">
        <f ca="1">IF(ISERROR(F744),"",_xlfn.TEXTJOIN("/",FALSE,P753,S753))</f>
        <v/>
      </c>
      <c r="H753" s="42"/>
      <c r="I753" s="42" t="str">
        <f ca="1">IF(ISERROR(F744),"",_xlfn.TEXTJOIN("/",FALSE,Q753,T753))</f>
        <v/>
      </c>
      <c r="J753" s="42"/>
      <c r="K753" s="42" t="str">
        <f ca="1">IF(ISERROR(F744),"",_xlfn.TEXTJOIN("/",FALSE,R753,U753))</f>
        <v/>
      </c>
      <c r="L753" s="42"/>
      <c r="M753" s="7" t="str">
        <f ca="1">IF(ISERROR(F744),"",IF(ISTEXT(P753),IF(P753="A","Ab",IF(P753="D","Dt",IF(P753="UFM","UFM",IF(P753="NA","-")))),IF(AND(ISBLANK(P753),ISBLANK(R753)),"",IF(P753&lt;0.3*S753,"F",IF(ISBLANK(R753),"",IF(ISTEXT(R753),R753,IF(R753&gt;=0.95*U753,"O",IF(R753&gt;=0.9*U753,"A+",IF(R753&gt;=0.85*U753,"A",IF(R753&gt;=0.8*U753,"B+",IF(R753&gt;=0.75*U753,"B",IF(R753&gt;=0.7*U753,"C+",IF(R753&gt;=0.65*U753,"C",IF(R753&gt;=0.6*U753,"D+",IF(R753&gt;=0.55*U753,"D",IF(R753&gt;=0.5*U753,"E+",IF(R753&gt;=0.45*U753,"E",IF(R753&gt;=0.4*U753,"P",IF(R753&lt;0.4*U753,"F",R753)))))))))))))))))))</f>
        <v/>
      </c>
      <c r="N753" s="8" t="e">
        <f t="shared" ca="1" si="76"/>
        <v>#N/A</v>
      </c>
      <c r="O753">
        <f t="shared" ref="O753:O762" si="77">O752+1</f>
        <v>5</v>
      </c>
      <c r="P753" s="1" t="str">
        <f ca="1">IF(ISERROR(F744),"",IF(ISTEXT(VLOOKUP(B744,INDIRECT($F$8),6+(O753-1)*3)),(VLOOKUP(B744,INDIRECT($F$8),6+(O753-1)*3)),SUM(VLOOKUP(B744,INDIRECT($F$8),6+(O753-1)*3),IF(W763,W753,0))))</f>
        <v/>
      </c>
      <c r="Q753" s="1" t="str">
        <f ca="1">IF(ISERROR(F744),"",VLOOKUP(B744,INDIRECT($F$8),7+(O753-1)*3))</f>
        <v/>
      </c>
      <c r="R753" s="1" t="str">
        <f ca="1">IF(ISERROR(F744),"",SUM(P753:Q753))</f>
        <v/>
      </c>
      <c r="S753" s="1" t="str">
        <f ca="1">IF(ISERROR(F744),"",VLOOKUP(A744,INDIRECT($F$8),6+(O753-1)*3))</f>
        <v/>
      </c>
      <c r="T753" s="1" t="str">
        <f ca="1">IF(ISERROR(F744),"",VLOOKUP(A744,INDIRECT($F$8),7+(O753-1)*3))</f>
        <v/>
      </c>
      <c r="U753" s="1" t="str">
        <f ca="1">IF(ISERROR(F744),"",VLOOKUP(A744,INDIRECT($F$8),8+(O753-1)*3))</f>
        <v/>
      </c>
      <c r="V753" s="1" t="str">
        <f ca="1">IF(ISERROR(F744),"",IF(N753=0,A753,""))</f>
        <v/>
      </c>
      <c r="W753" s="1" t="str">
        <f ca="1">IF(ISERROR(F744),"",IF(ISTEXT(VLOOKUP(B744,INDIRECT($F$8),6+(O753-1)*3)),11,IF(VLOOKUP(B744,INDIRECT($F$8),6+(O753-1)*3)&lt;S753*0.3,IF(VLOOKUP(B744,INDIRECT($F$8),8+(O753-1)*3)&lt;U753*0.4,IF(AND(0.4*U753-VLOOKUP(B744,INDIRECT($F$8),8+(O753-1)*3)&lt;=5,0.3*S753-VLOOKUP(B744,INDIRECT($F$8),6+(O753-1)*3)&lt;=5),MAX(0.4*U753-VLOOKUP(B744,INDIRECT($F$8),8+(O753-1)*3),0.3*S753-VLOOKUP(B744,INDIRECT($F$8),6+(O753-1)*3)),11),IF(0.3*S753-VLOOKUP(B744,INDIRECT($F$8),6+(O753-1)*3)&lt;=5,0.3*S753-VLOOKUP(B744,INDIRECT($F$8),6+(O753-1)*3),11)),IF(VLOOKUP(B744,INDIRECT($F$8),8+(O753-1)*3)&lt;U753*0.4,IF(U753*0.4-VLOOKUP(B744,INDIRECT($F$8),8+(O753-1)*3)&lt;=5,U753*0.4-VLOOKUP(B744,INDIRECT($F$8),8+(O753-1)*3),11),0))))</f>
        <v/>
      </c>
      <c r="X753" s="1" t="str">
        <f ca="1">IF(ISERROR(F744),"",IF(W753=0,"",_xlfn.TEXTJOIN("",FALSE," G+",W753," in ",A753)))</f>
        <v/>
      </c>
    </row>
    <row r="754" spans="1:24" ht="11.25" customHeight="1" x14ac:dyDescent="0.2">
      <c r="A754" s="7" t="str">
        <f ca="1">IF(ISERROR(F744),"",VLOOKUP(C744,INDIRECT($F$8),6+(O754-1)*3,0))</f>
        <v/>
      </c>
      <c r="B754" s="41" t="str">
        <f ca="1">IF(ISERROR(F744),"",VLOOKUP(D744,INDIRECT($F$8),6+(O754-1)*3,0))</f>
        <v/>
      </c>
      <c r="C754" s="41"/>
      <c r="D754" s="41"/>
      <c r="E754" s="41"/>
      <c r="F754" s="7" t="str">
        <f ca="1">IF(ISERROR(F744),"",VLOOKUP(E744,INDIRECT($F$8),6+(O754-1)*3,0))</f>
        <v/>
      </c>
      <c r="G754" s="42" t="str">
        <f ca="1">IF(ISERROR(F744),"",_xlfn.TEXTJOIN("/",FALSE,P754,S754))</f>
        <v/>
      </c>
      <c r="H754" s="42"/>
      <c r="I754" s="42" t="str">
        <f ca="1">IF(ISERROR(F744),"",_xlfn.TEXTJOIN("/",FALSE,Q754,T754))</f>
        <v/>
      </c>
      <c r="J754" s="42"/>
      <c r="K754" s="42" t="str">
        <f ca="1">IF(ISERROR(F744),"",_xlfn.TEXTJOIN("/",FALSE,R754,U754))</f>
        <v/>
      </c>
      <c r="L754" s="42"/>
      <c r="M754" s="7" t="str">
        <f ca="1">IF(ISERROR(F744),"",IF(ISTEXT(P754),IF(P754="A","Ab",IF(P754="D","Dt",IF(P754="UFM","UFM",IF(P754="NA","-")))),IF(AND(ISBLANK(P754),ISBLANK(R754)),"",IF(P754&lt;0.3*S754,"F",IF(ISBLANK(R754),"",IF(ISTEXT(R754),R754,IF(R754&gt;=0.95*U754,"O",IF(R754&gt;=0.9*U754,"A+",IF(R754&gt;=0.85*U754,"A",IF(R754&gt;=0.8*U754,"B+",IF(R754&gt;=0.75*U754,"B",IF(R754&gt;=0.7*U754,"C+",IF(R754&gt;=0.65*U754,"C",IF(R754&gt;=0.6*U754,"D+",IF(R754&gt;=0.55*U754,"D",IF(R754&gt;=0.5*U754,"E+",IF(R754&gt;=0.45*U754,"E",IF(R754&gt;=0.4*U754,"P",IF(R754&lt;0.4*U754,"F",R754)))))))))))))))))))</f>
        <v/>
      </c>
      <c r="N754" s="8" t="e">
        <f t="shared" ca="1" si="76"/>
        <v>#N/A</v>
      </c>
      <c r="O754">
        <f t="shared" si="77"/>
        <v>6</v>
      </c>
      <c r="P754" s="1" t="str">
        <f ca="1">IF(ISERROR(F744),"",IF(ISTEXT(VLOOKUP(B744,INDIRECT($F$8),6+(O754-1)*3)),(VLOOKUP(B744,INDIRECT($F$8),6+(O754-1)*3)),SUM(VLOOKUP(B744,INDIRECT($F$8),6+(O754-1)*3),IF(W763,W754,0))))</f>
        <v/>
      </c>
      <c r="Q754" s="1" t="str">
        <f ca="1">IF(ISERROR(F744),"",VLOOKUP(B744,INDIRECT($F$8),7+(O754-1)*3))</f>
        <v/>
      </c>
      <c r="R754" s="1" t="str">
        <f ca="1">IF(ISERROR(F744),"",SUM(P754:Q754))</f>
        <v/>
      </c>
      <c r="S754" s="1" t="str">
        <f ca="1">IF(ISERROR(F744),"",VLOOKUP(A744,INDIRECT($F$8),6+(O754-1)*3))</f>
        <v/>
      </c>
      <c r="T754" s="1" t="str">
        <f ca="1">IF(ISERROR(F744),"",VLOOKUP(A744,INDIRECT($F$8),7+(O754-1)*3))</f>
        <v/>
      </c>
      <c r="U754" s="1" t="str">
        <f ca="1">IF(ISERROR(F744),"",VLOOKUP(A744,INDIRECT($F$8),8+(O754-1)*3))</f>
        <v/>
      </c>
      <c r="V754" s="1" t="str">
        <f ca="1">IF(ISERROR(F744),"",IF(N754=0,A754,""))</f>
        <v/>
      </c>
      <c r="W754" s="1" t="str">
        <f ca="1">IF(ISERROR(F744),"",IF(ISTEXT(VLOOKUP(B744,INDIRECT($F$8),6+(O754-1)*3)),11,IF(VLOOKUP(B744,INDIRECT($F$8),6+(O754-1)*3)&lt;S754*0.3,IF(VLOOKUP(B744,INDIRECT($F$8),8+(O754-1)*3)&lt;U754*0.4,IF(AND(0.4*U754-VLOOKUP(B744,INDIRECT($F$8),8+(O754-1)*3)&lt;=5,0.3*S754-VLOOKUP(B744,INDIRECT($F$8),6+(O754-1)*3)&lt;=5),MAX(0.4*U754-VLOOKUP(B744,INDIRECT($F$8),8+(O754-1)*3),0.3*S754-VLOOKUP(B744,INDIRECT($F$8),6+(O754-1)*3)),11),IF(0.3*S754-VLOOKUP(B744,INDIRECT($F$8),6+(O754-1)*3)&lt;=5,0.3*S754-VLOOKUP(B744,INDIRECT($F$8),6+(O754-1)*3),11)),IF(VLOOKUP(B744,INDIRECT($F$8),8+(O754-1)*3)&lt;U754*0.4,IF(U754*0.4-VLOOKUP(B744,INDIRECT($F$8),8+(O754-1)*3)&lt;=5,U754*0.4-VLOOKUP(B744,INDIRECT($F$8),8+(O754-1)*3),11),0))))</f>
        <v/>
      </c>
      <c r="X754" s="1" t="str">
        <f ca="1">IF(ISERROR(F744),"",IF(W754=0,"",_xlfn.TEXTJOIN("",FALSE," G+",W754," in ",A754)))</f>
        <v/>
      </c>
    </row>
    <row r="755" spans="1:24" ht="11.25" customHeight="1" x14ac:dyDescent="0.2">
      <c r="A755" s="7" t="str">
        <f ca="1">IF(ISERROR(F744),"",VLOOKUP(C744,INDIRECT($F$8),6+(O755-1)*3,0))</f>
        <v/>
      </c>
      <c r="B755" s="41" t="str">
        <f ca="1">IF(ISERROR(F744),"",VLOOKUP(D744,INDIRECT($F$8),6+(O755-1)*3,0))</f>
        <v/>
      </c>
      <c r="C755" s="41"/>
      <c r="D755" s="41"/>
      <c r="E755" s="41"/>
      <c r="F755" s="7" t="str">
        <f ca="1">IF(ISERROR(F744),"",VLOOKUP(E744,INDIRECT($F$8),6+(O755-1)*3,0))</f>
        <v/>
      </c>
      <c r="G755" s="42" t="str">
        <f ca="1">IF(ISERROR(F744),"",_xlfn.TEXTJOIN("/",FALSE,P755,S755))</f>
        <v/>
      </c>
      <c r="H755" s="42"/>
      <c r="I755" s="42" t="str">
        <f ca="1">IF(ISERROR(F744),"",_xlfn.TEXTJOIN("/",FALSE,Q755,T755))</f>
        <v/>
      </c>
      <c r="J755" s="42"/>
      <c r="K755" s="42" t="str">
        <f ca="1">IF(ISERROR(F744),"",_xlfn.TEXTJOIN("/",FALSE,R755,U755))</f>
        <v/>
      </c>
      <c r="L755" s="42"/>
      <c r="M755" s="7" t="str">
        <f ca="1">IF(ISERROR(F744),"",IF(ISTEXT(P755),IF(P755="A","Ab",IF(P755="D","Dt",IF(P755="UFM","UFM",IF(P755="NA","-")))),IF(AND(ISBLANK(P755),ISBLANK(R755)),"",IF(P755&lt;0.3*S755,"F",IF(ISBLANK(R755),"",IF(ISTEXT(R755),R755,IF(R755&gt;=0.95*U755,"O",IF(R755&gt;=0.9*U755,"A+",IF(R755&gt;=0.85*U755,"A",IF(R755&gt;=0.8*U755,"B+",IF(R755&gt;=0.75*U755,"B",IF(R755&gt;=0.7*U755,"C+",IF(R755&gt;=0.65*U755,"C",IF(R755&gt;=0.6*U755,"D+",IF(R755&gt;=0.55*U755,"D",IF(R755&gt;=0.5*U755,"E+",IF(R755&gt;=0.45*U755,"E",IF(R755&gt;=0.4*U755,"P",IF(R755&lt;0.4*U755,"F",R755)))))))))))))))))))</f>
        <v/>
      </c>
      <c r="N755" s="8" t="e">
        <f t="shared" ca="1" si="76"/>
        <v>#N/A</v>
      </c>
      <c r="O755">
        <f t="shared" si="77"/>
        <v>7</v>
      </c>
      <c r="P755" s="1" t="str">
        <f ca="1">IF(ISERROR(F744),"",IF(ISTEXT(VLOOKUP(B744,INDIRECT($F$8),6+(O755-1)*3)),(VLOOKUP(B744,INDIRECT($F$8),6+(O755-1)*3)),SUM(VLOOKUP(B744,INDIRECT($F$8),6+(O755-1)*3),IF(W763,W755,0))))</f>
        <v/>
      </c>
      <c r="Q755" s="1" t="str">
        <f ca="1">IF(ISERROR(F744),"",VLOOKUP(B744,INDIRECT($F$8),7+(O755-1)*3))</f>
        <v/>
      </c>
      <c r="R755" s="1" t="str">
        <f ca="1">IF(ISERROR(F744),"",SUM(P755:Q755))</f>
        <v/>
      </c>
      <c r="S755" s="1" t="str">
        <f ca="1">IF(ISERROR(F744),"",VLOOKUP(A744,INDIRECT($F$8),6+(O755-1)*3))</f>
        <v/>
      </c>
      <c r="T755" s="1" t="str">
        <f ca="1">IF(ISERROR(F744),"",VLOOKUP(A744,INDIRECT($F$8),7+(O755-1)*3))</f>
        <v/>
      </c>
      <c r="U755" s="1" t="str">
        <f ca="1">IF(ISERROR(F744),"",VLOOKUP(A744,INDIRECT($F$8),8+(O755-1)*3))</f>
        <v/>
      </c>
      <c r="V755" s="1" t="str">
        <f ca="1">IF(ISERROR(F744),"",IF(N755=0,A755,""))</f>
        <v/>
      </c>
      <c r="W755" s="1" t="str">
        <f ca="1">IF(ISERROR(F744),"",IF(ISTEXT(VLOOKUP(B744,INDIRECT($F$8),6+(O755-1)*3)),11,IF(VLOOKUP(B744,INDIRECT($F$8),6+(O755-1)*3)&lt;S755*0.3,IF(VLOOKUP(B744,INDIRECT($F$8),8+(O755-1)*3)&lt;U755*0.4,IF(AND(0.4*U755-VLOOKUP(B744,INDIRECT($F$8),8+(O755-1)*3)&lt;=5,0.3*S755-VLOOKUP(B744,INDIRECT($F$8),6+(O755-1)*3)&lt;=5),MAX(0.4*U755-VLOOKUP(B744,INDIRECT($F$8),8+(O755-1)*3),0.3*S755-VLOOKUP(B744,INDIRECT($F$8),6+(O755-1)*3)),11),IF(0.3*S755-VLOOKUP(B744,INDIRECT($F$8),6+(O755-1)*3)&lt;=5,0.3*S755-VLOOKUP(B744,INDIRECT($F$8),6+(O755-1)*3),11)),IF(VLOOKUP(B744,INDIRECT($F$8),8+(O755-1)*3)&lt;U755*0.4,IF(U755*0.4-VLOOKUP(B744,INDIRECT($F$8),8+(O755-1)*3)&lt;=5,U755*0.4-VLOOKUP(B744,INDIRECT($F$8),8+(O755-1)*3),11),0))))</f>
        <v/>
      </c>
      <c r="X755" s="1" t="str">
        <f ca="1">IF(ISERROR(F744),"",IF(W755=0,"",_xlfn.TEXTJOIN("",FALSE," G+",W755," in ",A755)))</f>
        <v/>
      </c>
    </row>
    <row r="756" spans="1:24" ht="11.25" customHeight="1" x14ac:dyDescent="0.2">
      <c r="A756" s="7" t="str">
        <f ca="1">IF(ISERROR(F744),"",VLOOKUP(C744,INDIRECT($F$8),6+(O756-1)*3,0))</f>
        <v/>
      </c>
      <c r="B756" s="41" t="str">
        <f ca="1">IF(ISERROR(F744),"",VLOOKUP(D744,INDIRECT($F$8),6+(O756-1)*3,0))</f>
        <v/>
      </c>
      <c r="C756" s="41"/>
      <c r="D756" s="41"/>
      <c r="E756" s="41"/>
      <c r="F756" s="7" t="str">
        <f ca="1">IF(ISERROR(F744),"",VLOOKUP(E744,INDIRECT($F$8),6+(O756-1)*3,0))</f>
        <v/>
      </c>
      <c r="G756" s="42" t="str">
        <f ca="1">IF(ISERROR(F744),"",_xlfn.TEXTJOIN("/",FALSE,P756,S756))</f>
        <v/>
      </c>
      <c r="H756" s="42"/>
      <c r="I756" s="42" t="str">
        <f ca="1">IF(ISERROR(F744),"",_xlfn.TEXTJOIN("/",FALSE,Q756,T756))</f>
        <v/>
      </c>
      <c r="J756" s="42"/>
      <c r="K756" s="42" t="str">
        <f ca="1">IF(ISERROR(F744),"",_xlfn.TEXTJOIN("/",FALSE,R756,U756))</f>
        <v/>
      </c>
      <c r="L756" s="42"/>
      <c r="M756" s="7" t="str">
        <f ca="1">IF(ISERROR(F744),"",IF(ISTEXT(P756),IF(P756="A","Ab",IF(P756="D","Dt",IF(P756="UFM","UFM",IF(P756="NA","-")))),IF(AND(ISBLANK(P756),ISBLANK(R756)),"",IF(P756&lt;0.3*S756,"F",IF(ISBLANK(R756),"",IF(ISTEXT(R756),R756,IF(R756&gt;=0.95*U756,"O",IF(R756&gt;=0.9*U756,"A+",IF(R756&gt;=0.85*U756,"A",IF(R756&gt;=0.8*U756,"B+",IF(R756&gt;=0.75*U756,"B",IF(R756&gt;=0.7*U756,"C+",IF(R756&gt;=0.65*U756,"C",IF(R756&gt;=0.6*U756,"D+",IF(R756&gt;=0.55*U756,"D",IF(R756&gt;=0.5*U756,"E+",IF(R756&gt;=0.45*U756,"E",IF(R756&gt;=0.4*U756,"P",IF(R756&lt;0.4*U756,"F",R756)))))))))))))))))))</f>
        <v/>
      </c>
      <c r="N756" s="8" t="e">
        <f t="shared" ca="1" si="76"/>
        <v>#N/A</v>
      </c>
      <c r="O756">
        <f t="shared" si="77"/>
        <v>8</v>
      </c>
      <c r="P756" s="1" t="str">
        <f ca="1">IF(ISERROR(F744),"",IF(ISTEXT(VLOOKUP(B744,INDIRECT($F$8),6+(O756-1)*3)),(VLOOKUP(B744,INDIRECT($F$8),6+(O756-1)*3)),SUM(VLOOKUP(B744,INDIRECT($F$8),6+(O756-1)*3),IF(W763,W756,0))))</f>
        <v/>
      </c>
      <c r="Q756" s="1" t="str">
        <f ca="1">IF(ISERROR(F744),"",VLOOKUP(B744,INDIRECT($F$8),7+(O756-1)*3))</f>
        <v/>
      </c>
      <c r="R756" s="1" t="str">
        <f ca="1">IF(ISERROR(F744),"",SUM(P756:Q756))</f>
        <v/>
      </c>
      <c r="S756" s="1" t="str">
        <f ca="1">IF(ISERROR(F744),"",VLOOKUP(A744,INDIRECT($F$8),6+(O756-1)*3))</f>
        <v/>
      </c>
      <c r="T756" s="1" t="str">
        <f ca="1">IF(ISERROR(F744),"",VLOOKUP(A744,INDIRECT($F$8),7+(O756-1)*3))</f>
        <v/>
      </c>
      <c r="U756" s="1" t="str">
        <f ca="1">IF(ISERROR(F744),"",VLOOKUP(A744,INDIRECT($F$8),8+(O756-1)*3))</f>
        <v/>
      </c>
      <c r="V756" s="1" t="str">
        <f ca="1">IF(ISERROR(F744),"",IF(N756=0,A756,""))</f>
        <v/>
      </c>
      <c r="W756" s="1" t="str">
        <f ca="1">IF(ISERROR(F744),"",IF(ISTEXT(VLOOKUP(B744,INDIRECT($F$8),6+(O756-1)*3)),11,IF(VLOOKUP(B744,INDIRECT($F$8),6+(O756-1)*3)&lt;S756*0.3,IF(VLOOKUP(B744,INDIRECT($F$8),8+(O756-1)*3)&lt;U756*0.4,IF(AND(0.4*U756-VLOOKUP(B744,INDIRECT($F$8),8+(O756-1)*3)&lt;=5,0.3*S756-VLOOKUP(B744,INDIRECT($F$8),6+(O756-1)*3)&lt;=5),MAX(0.4*U756-VLOOKUP(B744,INDIRECT($F$8),8+(O756-1)*3),0.3*S756-VLOOKUP(B744,INDIRECT($F$8),6+(O756-1)*3)),11),IF(0.3*S756-VLOOKUP(B744,INDIRECT($F$8),6+(O756-1)*3)&lt;=5,0.3*S756-VLOOKUP(B744,INDIRECT($F$8),6+(O756-1)*3),11)),IF(VLOOKUP(B744,INDIRECT($F$8),8+(O756-1)*3)&lt;U756*0.4,IF(U756*0.4-VLOOKUP(B744,INDIRECT($F$8),8+(O756-1)*3)&lt;=5,U756*0.4-VLOOKUP(B744,INDIRECT($F$8),8+(O756-1)*3),11),0))))</f>
        <v/>
      </c>
      <c r="X756" s="1" t="str">
        <f ca="1">IF(ISERROR(F744),"",IF(W756=0,"",_xlfn.TEXTJOIN("",FALSE," G+",W756," in ",A756)))</f>
        <v/>
      </c>
    </row>
    <row r="757" spans="1:24" ht="11.25" customHeight="1" x14ac:dyDescent="0.2">
      <c r="A757" s="7" t="str">
        <f ca="1">IF(ISERROR(F744),"",VLOOKUP(C744,INDIRECT($F$8),6+(O757-1)*3,0))</f>
        <v/>
      </c>
      <c r="B757" s="41" t="str">
        <f ca="1">IF(ISERROR(F744),"",VLOOKUP(D744,INDIRECT($F$8),6+(O757-1)*3-Z757,0))</f>
        <v/>
      </c>
      <c r="C757" s="41"/>
      <c r="D757" s="41"/>
      <c r="E757" s="41"/>
      <c r="F757" s="7" t="str">
        <f ca="1">IF(ISERROR(F744),"",VLOOKUP(E744,INDIRECT($F$8),6+(O757-1)*3,0))</f>
        <v/>
      </c>
      <c r="G757" s="42" t="str">
        <f ca="1">IF(ISERROR(F744),"",_xlfn.TEXTJOIN("/",FALSE,P757,S757))</f>
        <v/>
      </c>
      <c r="H757" s="42"/>
      <c r="I757" s="42" t="str">
        <f ca="1">IF(ISERROR(F744),"",_xlfn.TEXTJOIN("/",FALSE,Q757,T757))</f>
        <v/>
      </c>
      <c r="J757" s="42"/>
      <c r="K757" s="42" t="str">
        <f ca="1">IF(ISERROR(F744),"",_xlfn.TEXTJOIN("/",FALSE,R757,U757))</f>
        <v/>
      </c>
      <c r="L757" s="42"/>
      <c r="M757" s="7" t="str">
        <f ca="1">IF(ISERROR(F744),"",IF(ISTEXT(P757),IF(P757="A","Ab",IF(P757="D","Dt",IF(P757="UFM","UFM",IF(P757="NA","-")))),IF(AND(ISBLANK(P757),ISBLANK(R757)),"",IF(P757&lt;0.3*S757,"F",IF(ISBLANK(R757),"",IF(ISTEXT(R757),R757,IF(R757&gt;=0.95*U757,"O",IF(R757&gt;=0.9*U757,"A+",IF(R757&gt;=0.85*U757,"A",IF(R757&gt;=0.8*U757,"B+",IF(R757&gt;=0.75*U757,"B",IF(R757&gt;=0.7*U757,"C+",IF(R757&gt;=0.65*U757,"C",IF(R757&gt;=0.6*U757,"D+",IF(R757&gt;=0.55*U757,"D",IF(R757&gt;=0.5*U757,"E+",IF(R757&gt;=0.45*U757,"E",IF(R757&gt;=0.4*U757,"P",IF(R757&lt;0.4*U757,"F",R757)))))))))))))))))))</f>
        <v/>
      </c>
      <c r="N757" s="8" t="e">
        <f t="shared" ca="1" si="76"/>
        <v>#N/A</v>
      </c>
      <c r="O757">
        <f t="shared" si="77"/>
        <v>9</v>
      </c>
      <c r="P757" s="1" t="str">
        <f ca="1">IF(ISERROR(F744),"",IF(ISTEXT(VLOOKUP(B744,INDIRECT($F$8),6+(O757-1)*3)),(VLOOKUP(B744,INDIRECT($F$8),6+(O757-1)*3)),SUM(VLOOKUP(B744,INDIRECT($F$8),6+(O757-1)*3),IF(W763,W757,0))))</f>
        <v/>
      </c>
      <c r="Q757" s="1" t="str">
        <f ca="1">IF(ISERROR(F744),"",VLOOKUP(B744,INDIRECT($F$8),7+(O757-1)*3))</f>
        <v/>
      </c>
      <c r="R757" s="1" t="str">
        <f ca="1">IF(ISERROR(F744),"",SUM(P757:Q757))</f>
        <v/>
      </c>
      <c r="S757" s="1" t="str">
        <f ca="1">IF(ISERROR(F744),"",VLOOKUP(A744,INDIRECT($F$8),6+(O757-1)*3))</f>
        <v/>
      </c>
      <c r="T757" s="1" t="str">
        <f ca="1">IF(ISERROR(F744),"",VLOOKUP(A744,INDIRECT($F$8),7+(O757-1)*3))</f>
        <v/>
      </c>
      <c r="U757" s="1" t="str">
        <f ca="1">IF(ISERROR(F744),"",VLOOKUP(A744,INDIRECT($F$8),8+(O757-1)*3))</f>
        <v/>
      </c>
      <c r="V757" s="1" t="str">
        <f ca="1">IF(ISERROR(F744),"",IF(N757=0,A757,""))</f>
        <v/>
      </c>
      <c r="W757" s="1" t="str">
        <f ca="1">IF(ISERROR(F744),"",IF(ISTEXT(VLOOKUP(B744,INDIRECT($F$8),6+(O757-1)*3)),11,IF(VLOOKUP(B744,INDIRECT($F$8),6+(O757-1)*3)&lt;S757*0.3,IF(VLOOKUP(B744,INDIRECT($F$8),8+(O757-1)*3)&lt;U757*0.4,IF(AND(0.4*U757-VLOOKUP(B744,INDIRECT($F$8),8+(O757-1)*3)&lt;=5,0.3*S757-VLOOKUP(B744,INDIRECT($F$8),6+(O757-1)*3)&lt;=5),MAX(0.4*U757-VLOOKUP(B744,INDIRECT($F$8),8+(O757-1)*3),0.3*S757-VLOOKUP(B744,INDIRECT($F$8),6+(O757-1)*3)),11),IF(0.3*S757-VLOOKUP(B744,INDIRECT($F$8),6+(O757-1)*3)&lt;=5,0.3*S757-VLOOKUP(B744,INDIRECT($F$8),6+(O757-1)*3),11)),IF(VLOOKUP(B744,INDIRECT($F$8),8+(O757-1)*3)&lt;U757*0.4,IF(U757*0.4-VLOOKUP(B744,INDIRECT($F$8),8+(O757-1)*3)&lt;=5,U757*0.4-VLOOKUP(B744,INDIRECT($F$8),8+(O757-1)*3),11),0))))</f>
        <v/>
      </c>
      <c r="X757" s="1" t="str">
        <f ca="1">IF(ISERROR(F744),"",IF(W757=0,"",_xlfn.TEXTJOIN("",FALSE," G+",W757," in ",A757)))</f>
        <v/>
      </c>
    </row>
    <row r="758" spans="1:24" ht="11.25" customHeight="1" x14ac:dyDescent="0.2">
      <c r="A758" s="7" t="str">
        <f ca="1">IF(ISERROR(F744),"",VLOOKUP(C744,INDIRECT($F$8),6+(O758-1)*3,0))</f>
        <v/>
      </c>
      <c r="B758" s="41" t="str">
        <f ca="1">IF(ISERROR(F744),"",VLOOKUP(D744,INDIRECT($F$8),6+(O758-1)*3-Z758,0))</f>
        <v/>
      </c>
      <c r="C758" s="41"/>
      <c r="D758" s="41"/>
      <c r="E758" s="41"/>
      <c r="F758" s="7" t="str">
        <f ca="1">IF(ISERROR(F744),"",VLOOKUP(E744,INDIRECT($F$8),6+(O758-1)*3,0))</f>
        <v/>
      </c>
      <c r="G758" s="42" t="str">
        <f ca="1">IF(ISERROR(F744),"",_xlfn.TEXTJOIN("/",FALSE,P758,S758))</f>
        <v/>
      </c>
      <c r="H758" s="42"/>
      <c r="I758" s="42" t="str">
        <f ca="1">IF(ISERROR(F744),"",_xlfn.TEXTJOIN("/",FALSE,Q758,T758))</f>
        <v/>
      </c>
      <c r="J758" s="42"/>
      <c r="K758" s="42" t="str">
        <f ca="1">IF(ISERROR(F744),"",_xlfn.TEXTJOIN("/",FALSE,R758,U758))</f>
        <v/>
      </c>
      <c r="L758" s="42"/>
      <c r="M758" s="7" t="str">
        <f ca="1">IF(ISERROR(F744),"",IF(ISTEXT(P758),IF(P758="A","Ab",IF(P758="D","Dt",IF(P758="UFM","UFM",IF(P758="NA","-")))),IF(AND(ISBLANK(P758),ISBLANK(R758)),"",IF(P758&lt;0.3*S758,"F",IF(ISBLANK(R758),"",IF(ISTEXT(R758),R758,IF(R758&gt;=0.95*U758,"O",IF(R758&gt;=0.9*U758,"A+",IF(R758&gt;=0.85*U758,"A",IF(R758&gt;=0.8*U758,"B+",IF(R758&gt;=0.75*U758,"B",IF(R758&gt;=0.7*U758,"C+",IF(R758&gt;=0.65*U758,"C",IF(R758&gt;=0.6*U758,"D+",IF(R758&gt;=0.55*U758,"D",IF(R758&gt;=0.5*U758,"E+",IF(R758&gt;=0.45*U758,"E",IF(R758&gt;=0.4*U758,"P",IF(R758&lt;0.4*U758,"F",R758)))))))))))))))))))</f>
        <v/>
      </c>
      <c r="N758" s="8" t="e">
        <f t="shared" ca="1" si="76"/>
        <v>#N/A</v>
      </c>
      <c r="O758">
        <f t="shared" si="77"/>
        <v>10</v>
      </c>
      <c r="P758" s="1" t="str">
        <f ca="1">IF(ISERROR(F744),"",IF(ISTEXT(VLOOKUP(B744,INDIRECT($F$8),6+(O758-1)*3)),(VLOOKUP(B744,INDIRECT($F$8),6+(O758-1)*3)),SUM(VLOOKUP(B744,INDIRECT($F$8),6+(O758-1)*3),IF(W763,W758,0))))</f>
        <v/>
      </c>
      <c r="Q758" s="1" t="str">
        <f ca="1">IF(ISERROR(F744),"",VLOOKUP(B744,INDIRECT($F$8),7+(O758-1)*3))</f>
        <v/>
      </c>
      <c r="R758" s="1" t="str">
        <f ca="1">IF(ISERROR(F744),"",SUM(P758:Q758))</f>
        <v/>
      </c>
      <c r="S758" s="1" t="str">
        <f ca="1">IF(ISERROR(F744),"",VLOOKUP(A744,INDIRECT($F$8),6+(O758-1)*3))</f>
        <v/>
      </c>
      <c r="T758" s="1" t="str">
        <f ca="1">IF(ISERROR(F744),"",VLOOKUP(A744,INDIRECT($F$8),7+(O758-1)*3))</f>
        <v/>
      </c>
      <c r="U758" s="1" t="str">
        <f ca="1">IF(ISERROR(F744),"",VLOOKUP(A744,INDIRECT($F$8),8+(O758-1)*3))</f>
        <v/>
      </c>
      <c r="V758" s="1" t="str">
        <f ca="1">IF(ISERROR(F744),"",IF(N758=0,A758,""))</f>
        <v/>
      </c>
      <c r="W758" s="1" t="str">
        <f ca="1">IF(ISERROR(F744),"",IF(ISTEXT(VLOOKUP(B744,INDIRECT($F$8),6+(O758-1)*3)),11,IF(VLOOKUP(B744,INDIRECT($F$8),6+(O758-1)*3)&lt;S758*0.3,IF(VLOOKUP(B744,INDIRECT($F$8),8+(O758-1)*3)&lt;U758*0.4,IF(AND(0.4*U758-VLOOKUP(B744,INDIRECT($F$8),8+(O758-1)*3)&lt;=5,0.3*S758-VLOOKUP(B744,INDIRECT($F$8),6+(O758-1)*3)&lt;=5),MAX(0.4*U758-VLOOKUP(B744,INDIRECT($F$8),8+(O758-1)*3),0.3*S758-VLOOKUP(B744,INDIRECT($F$8),6+(O758-1)*3)),11),IF(0.3*S758-VLOOKUP(B744,INDIRECT($F$8),6+(O758-1)*3)&lt;=5,0.3*S758-VLOOKUP(B744,INDIRECT($F$8),6+(O758-1)*3),11)),IF(VLOOKUP(B744,INDIRECT($F$8),8+(O758-1)*3)&lt;U758*0.4,IF(U758*0.4-VLOOKUP(B744,INDIRECT($F$8),8+(O758-1)*3)&lt;=5,U758*0.4-VLOOKUP(B744,INDIRECT($F$8),8+(O758-1)*3),11),0))))</f>
        <v/>
      </c>
      <c r="X758" s="1" t="str">
        <f ca="1">IF(ISERROR(F744),"",IF(W758=0,"",_xlfn.TEXTJOIN("",FALSE," G+",W758," in ",A758)))</f>
        <v/>
      </c>
    </row>
    <row r="759" spans="1:24" ht="11.25" customHeight="1" x14ac:dyDescent="0.2">
      <c r="A759" s="7" t="str">
        <f ca="1">IF(ISERROR(F744),"",VLOOKUP(C744,INDIRECT($F$8),6+(O759-1)*3,0))</f>
        <v/>
      </c>
      <c r="B759" s="41" t="str">
        <f ca="1">IF(ISERROR(F744),"",VLOOKUP(D744,INDIRECT($F$8),6+(O759-1)*3,0))</f>
        <v/>
      </c>
      <c r="C759" s="41"/>
      <c r="D759" s="41"/>
      <c r="E759" s="41"/>
      <c r="F759" s="7" t="str">
        <f ca="1">IF(ISERROR(F744),"",VLOOKUP(E744,INDIRECT($F$8),6+(O759-1)*3,0))</f>
        <v/>
      </c>
      <c r="G759" s="42" t="str">
        <f ca="1">IF(ISERROR(F744),"",_xlfn.TEXTJOIN("/",FALSE,P759,S759))</f>
        <v/>
      </c>
      <c r="H759" s="42"/>
      <c r="I759" s="42" t="str">
        <f ca="1">IF(ISERROR(F744),"",_xlfn.TEXTJOIN("/",FALSE,Q759,T759))</f>
        <v/>
      </c>
      <c r="J759" s="42"/>
      <c r="K759" s="42" t="str">
        <f ca="1">IF(ISERROR(F744),"",_xlfn.TEXTJOIN("/",FALSE,R759,U759))</f>
        <v/>
      </c>
      <c r="L759" s="42"/>
      <c r="M759" s="7" t="str">
        <f ca="1">IF(ISERROR(F744),"",IF(ISTEXT(P759),IF(P759="A","Ab",IF(P759="D","Dt",IF(P759="UFM","UFM",IF(P759="NA","-")))),IF(AND(ISBLANK(P759),ISBLANK(R759)),"",IF(P759&lt;0.3*S759,"F",IF(ISBLANK(R759),"",IF(ISTEXT(R759),R759,IF(R759&gt;=0.95*U759,"O",IF(R759&gt;=0.9*U759,"A+",IF(R759&gt;=0.85*U759,"A",IF(R759&gt;=0.8*U759,"B+",IF(R759&gt;=0.75*U759,"B",IF(R759&gt;=0.7*U759,"C+",IF(R759&gt;=0.65*U759,"C",IF(R759&gt;=0.6*U759,"D+",IF(R759&gt;=0.55*U759,"D",IF(R759&gt;=0.5*U759,"E+",IF(R759&gt;=0.45*U759,"E",IF(R759&gt;=0.4*U759,"P",IF(R759&lt;0.4*U759,"F",R759)))))))))))))))))))</f>
        <v/>
      </c>
      <c r="N759" s="8" t="e">
        <f t="shared" ca="1" si="76"/>
        <v>#N/A</v>
      </c>
      <c r="O759">
        <f t="shared" si="77"/>
        <v>11</v>
      </c>
      <c r="P759" s="1" t="str">
        <f ca="1">IF(ISERROR(F744),"",IF(ISTEXT(VLOOKUP(B744,INDIRECT($F$8),6+(O759-1)*3)),(VLOOKUP(B744,INDIRECT($F$8),6+(O759-1)*3)),SUM(VLOOKUP(B744,INDIRECT($F$8),6+(O759-1)*3),IF(W763,W759,0))))</f>
        <v/>
      </c>
      <c r="Q759" s="1" t="str">
        <f ca="1">IF(ISERROR(F744),"",VLOOKUP(B744,INDIRECT($F$8),7+(O759-1)*3))</f>
        <v/>
      </c>
      <c r="R759" s="1" t="str">
        <f ca="1">IF(ISERROR(F744),"",SUM(P759:Q759))</f>
        <v/>
      </c>
      <c r="S759" s="1" t="str">
        <f ca="1">IF(ISERROR(F744),"",VLOOKUP(A744,INDIRECT($F$8),6+(O759-1)*3))</f>
        <v/>
      </c>
      <c r="T759" s="1" t="str">
        <f ca="1">IF(ISERROR(F744),"",VLOOKUP(A744,INDIRECT($F$8),7+(O759-1)*3))</f>
        <v/>
      </c>
      <c r="U759" s="1" t="str">
        <f ca="1">IF(ISERROR(F744),"",VLOOKUP(A744,INDIRECT($F$8),8+(O759-1)*3))</f>
        <v/>
      </c>
      <c r="V759" s="1" t="str">
        <f ca="1">IF(ISERROR(F744),"",IF(N759=0,A759,""))</f>
        <v/>
      </c>
      <c r="W759" s="1" t="str">
        <f ca="1">IF(ISERROR(F744),"",IF(ISTEXT(VLOOKUP(B744,INDIRECT($F$8),6+(O759-1)*3)),11,IF(VLOOKUP(B744,INDIRECT($F$8),6+(O759-1)*3)&lt;S759*0.3,IF(VLOOKUP(B744,INDIRECT($F$8),8+(O759-1)*3)&lt;U759*0.4,IF(AND(0.4*U759-VLOOKUP(B744,INDIRECT($F$8),8+(O759-1)*3)&lt;=5,0.3*S759-VLOOKUP(B744,INDIRECT($F$8),6+(O759-1)*3)&lt;=5),MAX(0.4*U759-VLOOKUP(B744,INDIRECT($F$8),8+(O759-1)*3),0.3*S759-VLOOKUP(B744,INDIRECT($F$8),6+(O759-1)*3)),11),IF(0.3*S759-VLOOKUP(B744,INDIRECT($F$8),6+(O759-1)*3)&lt;=5,0.3*S759-VLOOKUP(B744,INDIRECT($F$8),6+(O759-1)*3),11)),IF(VLOOKUP(B744,INDIRECT($F$8),8+(O759-1)*3)&lt;U759*0.4,IF(U759*0.4-VLOOKUP(B744,INDIRECT($F$8),8+(O759-1)*3)&lt;=5,U759*0.4-VLOOKUP(B744,INDIRECT($F$8),8+(O759-1)*3),11),0))))</f>
        <v/>
      </c>
      <c r="X759" s="1" t="str">
        <f ca="1">IF(ISERROR(F744),"",IF(W759=0,"",_xlfn.TEXTJOIN("",FALSE," G+",W759," in ",A759)))</f>
        <v/>
      </c>
    </row>
    <row r="760" spans="1:24" ht="11.25" customHeight="1" x14ac:dyDescent="0.2">
      <c r="A760" s="7" t="str">
        <f ca="1">IF(ISERROR(F744),"",VLOOKUP(C744,INDIRECT($F$8),6+(O760-1)*3,0))</f>
        <v/>
      </c>
      <c r="B760" s="41" t="str">
        <f ca="1">IF(ISERROR(F744),"",VLOOKUP(D744,INDIRECT($F$8),6+(O760-1)*3,0))</f>
        <v/>
      </c>
      <c r="C760" s="41"/>
      <c r="D760" s="41"/>
      <c r="E760" s="41"/>
      <c r="F760" s="7" t="str">
        <f ca="1">IF(ISERROR(F744),"",VLOOKUP(E744,INDIRECT($F$8),6+(O760-1)*3,0))</f>
        <v/>
      </c>
      <c r="G760" s="42" t="str">
        <f ca="1">IF(ISERROR(F744),"",_xlfn.TEXTJOIN("/",FALSE,P760,S760))</f>
        <v/>
      </c>
      <c r="H760" s="42"/>
      <c r="I760" s="42" t="str">
        <f ca="1">IF(ISERROR(F744),"",_xlfn.TEXTJOIN("/",FALSE,Q760,T760))</f>
        <v/>
      </c>
      <c r="J760" s="42"/>
      <c r="K760" s="42" t="str">
        <f ca="1">IF(ISERROR(F744),"",_xlfn.TEXTJOIN("/",FALSE,R760,U760))</f>
        <v/>
      </c>
      <c r="L760" s="42"/>
      <c r="M760" s="7" t="str">
        <f ca="1">IF(ISERROR(F744),"",IF(ISTEXT(P760),IF(P760="A","Ab",IF(P760="D","Dt",IF(P760="UFM","UFM",IF(P760="NA","-")))),IF(AND(ISBLANK(P760),ISBLANK(R760)),"",IF(P760&lt;0.3*S760,"F",IF(ISBLANK(R760),"",IF(ISTEXT(R760),R760,IF(R760&gt;=0.95*U760,"O",IF(R760&gt;=0.9*U760,"A+",IF(R760&gt;=0.85*U760,"A",IF(R760&gt;=0.8*U760,"B+",IF(R760&gt;=0.75*U760,"B",IF(R760&gt;=0.7*U760,"C+",IF(R760&gt;=0.65*U760,"C",IF(R760&gt;=0.6*U760,"D+",IF(R760&gt;=0.55*U760,"D",IF(R760&gt;=0.5*U760,"E+",IF(R760&gt;=0.45*U760,"E",IF(R760&gt;=0.4*U760,"P",IF(R760&lt;0.4*U760,"F",R760)))))))))))))))))))</f>
        <v/>
      </c>
      <c r="N760" s="8" t="e">
        <f t="shared" ca="1" si="76"/>
        <v>#N/A</v>
      </c>
      <c r="O760">
        <f t="shared" si="77"/>
        <v>12</v>
      </c>
      <c r="P760" s="1" t="str">
        <f ca="1">IF(ISERROR(F744),"",IF(ISTEXT(VLOOKUP(B744,INDIRECT($F$8),6+(O760-1)*3)),(VLOOKUP(B744,INDIRECT($F$8),6+(O760-1)*3)),SUM(VLOOKUP(B744,INDIRECT($F$8),6+(O760-1)*3),IF(W763,W760,0))))</f>
        <v/>
      </c>
      <c r="Q760" s="1" t="str">
        <f ca="1">IF(ISERROR(F744),"",VLOOKUP(B744,INDIRECT($F$8),7+(O760-1)*3))</f>
        <v/>
      </c>
      <c r="R760" s="1" t="str">
        <f ca="1">IF(ISERROR(F744),"",SUM(P760:Q760))</f>
        <v/>
      </c>
      <c r="S760" s="1" t="str">
        <f ca="1">IF(ISERROR(F744),"",VLOOKUP(A744,INDIRECT($F$8),6+(O760-1)*3))</f>
        <v/>
      </c>
      <c r="T760" s="1" t="str">
        <f ca="1">IF(ISERROR(F744),"",VLOOKUP(A744,INDIRECT($F$8),7+(O760-1)*3))</f>
        <v/>
      </c>
      <c r="U760" s="1" t="str">
        <f ca="1">IF(ISERROR(F744),"",VLOOKUP(A744,INDIRECT($F$8),8+(O760-1)*3))</f>
        <v/>
      </c>
      <c r="V760" s="1" t="str">
        <f ca="1">IF(ISERROR(F744),"",IF(N760=0,A760,""))</f>
        <v/>
      </c>
      <c r="W760" s="1" t="str">
        <f ca="1">IF(ISERROR(F744),"",IF(ISTEXT(VLOOKUP(B744,INDIRECT($F$8),6+(O760-1)*3)),11,IF(VLOOKUP(B744,INDIRECT($F$8),6+(O760-1)*3)&lt;S760*0.3,IF(VLOOKUP(B744,INDIRECT($F$8),8+(O760-1)*3)&lt;U760*0.4,IF(AND(0.4*U760-VLOOKUP(B744,INDIRECT($F$8),8+(O760-1)*3)&lt;=5,0.3*S760-VLOOKUP(B744,INDIRECT($F$8),6+(O760-1)*3)&lt;=5),MAX(0.4*U760-VLOOKUP(B744,INDIRECT($F$8),8+(O760-1)*3),0.3*S760-VLOOKUP(B744,INDIRECT($F$8),6+(O760-1)*3)),11),IF(0.3*S760-VLOOKUP(B744,INDIRECT($F$8),6+(O760-1)*3)&lt;=5,0.3*S760-VLOOKUP(B744,INDIRECT($F$8),6+(O760-1)*3),11)),IF(VLOOKUP(B744,INDIRECT($F$8),8+(O760-1)*3)&lt;U760*0.4,IF(U760*0.4-VLOOKUP(B744,INDIRECT($F$8),8+(O760-1)*3)&lt;=5,U760*0.4-VLOOKUP(B744,INDIRECT($F$8),8+(O760-1)*3),11),0))))</f>
        <v/>
      </c>
      <c r="X760" s="1" t="str">
        <f ca="1">IF(ISERROR(F744),"",IF(W760=0,"",_xlfn.TEXTJOIN("",FALSE," G+",W760," in ",A760)))</f>
        <v/>
      </c>
    </row>
    <row r="761" spans="1:24" ht="11.25" customHeight="1" x14ac:dyDescent="0.2">
      <c r="A761" s="7" t="str">
        <f ca="1">IF(ISERROR(F744),"",VLOOKUP(C744,INDIRECT($F$8),6+(O761-1)*3,0))</f>
        <v/>
      </c>
      <c r="B761" s="41" t="str">
        <f ca="1">IF(ISERROR(F744),"",VLOOKUP(D744,INDIRECT($F$8),6+(O761-1)*3,0))</f>
        <v/>
      </c>
      <c r="C761" s="41"/>
      <c r="D761" s="41"/>
      <c r="E761" s="41"/>
      <c r="F761" s="7" t="str">
        <f ca="1">IF(ISERROR(F744),"",VLOOKUP(E744,INDIRECT($F$8),6+(O761-1)*3,0))</f>
        <v/>
      </c>
      <c r="G761" s="42" t="str">
        <f ca="1">IF(ISERROR(F744),"",_xlfn.TEXTJOIN("/",FALSE,P761,S761))</f>
        <v/>
      </c>
      <c r="H761" s="42"/>
      <c r="I761" s="42" t="str">
        <f ca="1">IF(ISERROR(F744),"",_xlfn.TEXTJOIN("/",FALSE,Q761,T761))</f>
        <v/>
      </c>
      <c r="J761" s="42"/>
      <c r="K761" s="42" t="str">
        <f ca="1">IF(ISERROR(F744),"",_xlfn.TEXTJOIN("/",FALSE,R761,U761))</f>
        <v/>
      </c>
      <c r="L761" s="42"/>
      <c r="M761" s="7" t="str">
        <f ca="1">IF(ISERROR(F744),"",IF(ISTEXT(P761),IF(P761="A","Ab",IF(P761="D","Dt",IF(P761="UFM","UFM",IF(P761="NA","-")))),IF(AND(ISBLANK(P761),ISBLANK(R761)),"",IF(P761&lt;0.3*S761,"F",IF(ISBLANK(R761),"",IF(ISTEXT(R761),R761,IF(R761&gt;=0.95*U761,"O",IF(R761&gt;=0.9*U761,"A+",IF(R761&gt;=0.85*U761,"A",IF(R761&gt;=0.8*U761,"B+",IF(R761&gt;=0.75*U761,"B",IF(R761&gt;=0.7*U761,"C+",IF(R761&gt;=0.65*U761,"C",IF(R761&gt;=0.6*U761,"D+",IF(R761&gt;=0.55*U761,"D",IF(R761&gt;=0.5*U761,"E+",IF(R761&gt;=0.45*U761,"E",IF(R761&gt;=0.4*U761,"P",IF(R761&lt;0.4*U761,"F",R761)))))))))))))))))))</f>
        <v/>
      </c>
      <c r="N761" s="8" t="e">
        <f t="shared" ca="1" si="76"/>
        <v>#N/A</v>
      </c>
      <c r="O761">
        <f t="shared" si="77"/>
        <v>13</v>
      </c>
      <c r="P761" s="1" t="str">
        <f ca="1">IF(ISERROR(F744),"",IF(ISTEXT(VLOOKUP(B744,INDIRECT($F$8),6+(O761-1)*3)),(VLOOKUP(B744,INDIRECT($F$8),6+(O761-1)*3)),SUM(VLOOKUP(B744,INDIRECT($F$8),6+(O761-1)*3),IF(W763,W761,0))))</f>
        <v/>
      </c>
      <c r="Q761" s="1" t="str">
        <f ca="1">IF(ISERROR(F744),"",VLOOKUP(B744,INDIRECT($F$8),7+(O761-1)*3))</f>
        <v/>
      </c>
      <c r="R761" s="1" t="str">
        <f ca="1">IF(ISERROR(F744),"",SUM(P761:Q761))</f>
        <v/>
      </c>
      <c r="S761" s="1" t="str">
        <f ca="1">IF(ISERROR(F744),"",VLOOKUP(A744,INDIRECT($F$8),6+(O761-1)*3))</f>
        <v/>
      </c>
      <c r="T761" s="1" t="str">
        <f ca="1">IF(ISERROR(F744),"",VLOOKUP(A744,INDIRECT($F$8),7+(O761-1)*3))</f>
        <v/>
      </c>
      <c r="U761" s="1" t="str">
        <f ca="1">IF(ISERROR(F744),"",VLOOKUP(A744,INDIRECT($F$8),8+(O761-1)*3))</f>
        <v/>
      </c>
      <c r="V761" s="1"/>
      <c r="W761" s="1" t="str">
        <f ca="1">IF(ISERROR(F744),"",IF(ISTEXT(VLOOKUP(B744,INDIRECT($F$8),6+(O761-1)*3)),11,IF(VLOOKUP(B744,INDIRECT($F$8),6+(O761-1)*3)&lt;S761*0.3,IF(VLOOKUP(B744,INDIRECT($F$8),8+(O761-1)*3)&lt;U761*0.4,IF(AND(0.4*U761-VLOOKUP(B744,INDIRECT($F$8),8+(O761-1)*3)&lt;=5,0.3*S761-VLOOKUP(B744,INDIRECT($F$8),6+(O761-1)*3)&lt;=5),MAX(0.4*U761-VLOOKUP(B744,INDIRECT($F$8),8+(O761-1)*3),0.3*S761-VLOOKUP(B744,INDIRECT($F$8),6+(O761-1)*3)),11),IF(0.3*S761-VLOOKUP(B744,INDIRECT($F$8),6+(O761-1)*3)&lt;=5,0.3*S761-VLOOKUP(B744,INDIRECT($F$8),6+(O761-1)*3),11)),IF(VLOOKUP(B744,INDIRECT($F$8),8+(O761-1)*3)&lt;U761*0.4,IF(U761*0.4-VLOOKUP(B744,INDIRECT($F$8),8+(O761-1)*3)&lt;=5,U761*0.4-VLOOKUP(B744,INDIRECT($F$8),8+(O761-1)*3),11),0))))</f>
        <v/>
      </c>
      <c r="X761" s="1" t="str">
        <f ca="1">IF(ISERROR(F744),"",IF(W761=0,"",_xlfn.TEXTJOIN("",FALSE," G+",W761," in ",A761)))</f>
        <v/>
      </c>
    </row>
    <row r="762" spans="1:24" s="32" customFormat="1" ht="11.25" customHeight="1" x14ac:dyDescent="0.2">
      <c r="A762" s="31" t="str">
        <f ca="1">IF(ISERROR(F744),"",VLOOKUP(C744,INDIRECT($F$8),6+(O762-1)*3-Y762,0))</f>
        <v/>
      </c>
      <c r="B762" s="49" t="str">
        <f ca="1">IF(ISERROR(F744),"",VLOOKUP(D744,INDIRECT($F$8),6+(O762-1)*3-Z762,0))</f>
        <v/>
      </c>
      <c r="C762" s="49"/>
      <c r="D762" s="49"/>
      <c r="E762" s="49"/>
      <c r="F762" s="31" t="str">
        <f ca="1">IF(ISERROR(F744),"",VLOOKUP(E744,INDIRECT($F$8),6+(O762-1)*3-AA762,0))</f>
        <v/>
      </c>
      <c r="G762" s="50" t="str">
        <f ca="1">IF(ISERROR(F744),"","-")</f>
        <v/>
      </c>
      <c r="H762" s="50"/>
      <c r="I762" s="50" t="str">
        <f ca="1">IF(ISERROR(F744),"",_xlfn.TEXTJOIN("/",FALSE,Q762,T762))</f>
        <v/>
      </c>
      <c r="J762" s="50"/>
      <c r="K762" s="50" t="str">
        <f ca="1">IF(ISERROR(F744),"",_xlfn.TEXTJOIN("/",FALSE,R762,U762))</f>
        <v/>
      </c>
      <c r="L762" s="50"/>
      <c r="M762" s="7" t="b">
        <f ca="1">IF(ISERROR(F745),"",IF(ISTEXT(P762),IF(P762="A","Ab",IF(P762="D","Dt",IF(P762="UFM","UFM",IF(P762="NA","")))),IF(AND(ISBLANK(P762),ISBLANK(R762)),"",IF(P762&lt;0.3*S762,"F",IF(ISBLANK(R762),"",IF(ISTEXT(R762),R762,IF(R762&gt;=0.95*U762,"O",IF(R762&gt;=0.9*U762,"A+",IF(R762&gt;=0.85*U762,"A",IF(R762&gt;=0.8*U762,"B+",IF(R762&gt;=0.75*U762,"B",IF(R762&gt;=0.7*U762,"C+",IF(R762&gt;=0.65*U762,"C",IF(R762&gt;=0.6*U762,"D+",IF(R762&gt;=0.55*U762,"D",IF(R762&gt;=0.5*U762,"E+",IF(R762&gt;=0.45*U762,"E",IF(R762&gt;=0.4*U762,"P",IF(R762&lt;0.4*U762,"F",R762)))))))))))))))))))</f>
        <v>0</v>
      </c>
      <c r="N762" s="8" t="e">
        <f t="shared" ref="N751:N762" ca="1" si="78">INDEX($Z$2:$Z$18,MATCH(M762,$Y$2:$Y$18,0))</f>
        <v>#N/A</v>
      </c>
      <c r="O762" s="32">
        <f t="shared" si="77"/>
        <v>14</v>
      </c>
      <c r="P762" s="33" t="str">
        <f ca="1">IF(ISERROR(F744),"",IF(ISTEXT(VLOOKUP(B\28,INDIRECT($F$8),6+(O762-1)*3)),(VLOOKUP(B744,INDIRECT($F$8),6+(O762-1)*3)),SUM(VLOOKUP(B744,INDIRECT($F$8),6+(O762-1)*3),IF(W763,W762,0))))</f>
        <v/>
      </c>
      <c r="Q762" s="33" t="str">
        <f ca="1">IF(ISERROR(F744),"",VLOOKUP(B744,INDIRECT($F$8),7+(O762-1)*3))</f>
        <v/>
      </c>
      <c r="R762" s="33" t="str">
        <f ca="1">IF(ISERROR(F744),"",SUM(P762:Q762))</f>
        <v/>
      </c>
      <c r="S762" s="33" t="str">
        <f ca="1">IF(ISERROR(F744),"",VLOOKUP(A744,INDIRECT($F$8),6+(O762-1)*3))</f>
        <v/>
      </c>
      <c r="T762" s="33" t="str">
        <f ca="1">IF(ISERROR(F744),"",VLOOKUP(A744,INDIRECT($F$8),7+(O762-1)*3))</f>
        <v/>
      </c>
      <c r="U762" s="33" t="str">
        <f ca="1">IF(ISERROR(F744),"",VLOOKUP(A744,INDIRECT($F$8),8+(O762-1)*3))</f>
        <v/>
      </c>
      <c r="V762" s="33"/>
      <c r="W762" s="33"/>
      <c r="X762" s="33" t="str">
        <f ca="1">IF(ISERROR(F744),"",IF(W762=0,"",_xlfn.TEXTJOIN("",FALSE," G+",W762," in ",A762)))</f>
        <v/>
      </c>
    </row>
    <row r="763" spans="1:24" ht="11.25" customHeight="1" x14ac:dyDescent="0.2">
      <c r="A763" s="43" t="str">
        <f ca="1">IF(ISERROR(F744),"",A740)</f>
        <v/>
      </c>
      <c r="B763" s="43"/>
      <c r="C763" s="43"/>
      <c r="D763" s="43"/>
      <c r="E763" s="43"/>
      <c r="F763" s="10" t="str">
        <f ca="1">IF(ISERROR(F744),"",SUM(F749:F762))</f>
        <v/>
      </c>
      <c r="G763" s="44" t="str">
        <f ca="1">IF(ISERROR(F744),"",_xlfn.TEXTJOIN("/",TRUE,SUMIF(F749:F762,"&gt;0",P749:P762),SUMIF(F749:F762,"&gt;0",S749:S762)))</f>
        <v/>
      </c>
      <c r="H763" s="44"/>
      <c r="I763" s="44" t="str">
        <f ca="1">IF(ISERROR(F744),"",_xlfn.TEXTJOIN("/",TRUE,SUMIF(F749:F762,"&gt;0",Q749:Q762),SUMIF(F749:F762,"&gt;0",T749:T762)))</f>
        <v/>
      </c>
      <c r="J763" s="44"/>
      <c r="K763" s="44" t="str">
        <f ca="1">IF(ISERROR(F744),"",_xlfn.TEXTJOIN("/",TRUE,SUMIF(F749:F762,"&gt;0",R749:R762),SUMIF(F749:F762,"&gt;0",U749:U762)))</f>
        <v/>
      </c>
      <c r="L763" s="44"/>
      <c r="M763" s="43" t="str">
        <f ca="1">IF(ISERROR(F744),"",SUMPRODUCT(N749:N761,F749:F761))</f>
        <v/>
      </c>
      <c r="N763" s="43"/>
      <c r="V763" s="1" t="str">
        <f ca="1">IF(ISERROR(F744),"",_xlfn.TEXTJOIN(", ",TRUE,V749:V762))</f>
        <v/>
      </c>
      <c r="W763" t="str">
        <f ca="1">IF(ISERROR(F744),"",IF(SUM(W749:W762)&lt;=W748,TRUE,FALSE))</f>
        <v/>
      </c>
      <c r="X763" s="1" t="str">
        <f ca="1">_xlfn.TEXTJOIN(",",TRUE,X749:X762)</f>
        <v/>
      </c>
    </row>
    <row r="764" spans="1:24" ht="11.25" customHeight="1" x14ac:dyDescent="0.2">
      <c r="A764" s="43" t="str">
        <f ca="1">IF(ISERROR(F744),"",A741)</f>
        <v/>
      </c>
      <c r="B764" s="45" t="str">
        <f ca="1">IF(ISERROR(F744),"",IF(V763="","PASS","CARRY OVER"))</f>
        <v/>
      </c>
      <c r="C764" s="45"/>
      <c r="D764" s="43" t="str">
        <f ca="1">IF(ISERROR(F744),"",D741)</f>
        <v/>
      </c>
      <c r="E764" s="45" t="str">
        <f ca="1">IF(ISERROR(F744),"",IF(W763,X763,IF(V763="","",_xlfn.TEXTJOIN("",TRUE,"BACK IN ",V763))))</f>
        <v/>
      </c>
      <c r="F764" s="45"/>
      <c r="G764" s="43" t="str">
        <f ca="1">IF(ISERROR(F744),"",G741)</f>
        <v/>
      </c>
      <c r="H764" s="46" t="str">
        <f ca="1">IF(ISERROR(F744),"",M763/F763)</f>
        <v/>
      </c>
      <c r="I764" s="43" t="str">
        <f ca="1">IF(ISERROR(F744),"",I741)</f>
        <v/>
      </c>
      <c r="J764" s="46" t="str">
        <f ca="1">IF(ISERROR(F744),"",VLOOKUP(B744,INDIRECT($F$8),12+(O762-1)*3,0))</f>
        <v/>
      </c>
      <c r="K764" s="45" t="str">
        <f ca="1">IF(ISERROR(F744),"",K741)</f>
        <v/>
      </c>
      <c r="L764" s="43" t="str">
        <f ca="1">IF(ISERROR(F744),"",SUMIF(N749:N761,"&gt;0",F749:F761))</f>
        <v/>
      </c>
      <c r="M764" s="45" t="str">
        <f ca="1">IF(ISERROR(F744),"",M741)</f>
        <v/>
      </c>
      <c r="N764" s="43" t="str">
        <f ca="1">IF(ISERROR(F744),"",VLOOKUP(B744,INDIRECT($F$8),10+(O762-1)*3,0))</f>
        <v/>
      </c>
    </row>
    <row r="765" spans="1:24" ht="11.25" customHeight="1" x14ac:dyDescent="0.2">
      <c r="A765" s="43"/>
      <c r="B765" s="45"/>
      <c r="C765" s="45"/>
      <c r="D765" s="43"/>
      <c r="E765" s="45"/>
      <c r="F765" s="45"/>
      <c r="G765" s="43"/>
      <c r="H765" s="46"/>
      <c r="I765" s="43"/>
      <c r="J765" s="46"/>
      <c r="K765" s="45"/>
      <c r="L765" s="43"/>
      <c r="M765" s="45"/>
      <c r="N765" s="43"/>
    </row>
    <row r="766" spans="1:24" ht="11.25" customHeight="1" x14ac:dyDescent="0.2">
      <c r="A766" s="43"/>
      <c r="B766" s="45"/>
      <c r="C766" s="45"/>
      <c r="D766" s="43"/>
      <c r="E766" s="45"/>
      <c r="F766" s="45"/>
      <c r="G766" s="43"/>
      <c r="H766" s="46"/>
      <c r="I766" s="43"/>
      <c r="J766" s="46"/>
      <c r="K766" s="45"/>
      <c r="L766" s="43"/>
      <c r="M766" s="45"/>
      <c r="N766" s="43"/>
    </row>
    <row r="767" spans="1:24" ht="11.25" customHeight="1" x14ac:dyDescent="0.2">
      <c r="A767" s="11" t="str">
        <f>A744</f>
        <v>MM</v>
      </c>
      <c r="B767" s="11">
        <f>B744+1</f>
        <v>34</v>
      </c>
      <c r="C767" s="11" t="str">
        <f>C744</f>
        <v>SC</v>
      </c>
      <c r="D767" s="11" t="str">
        <f>D744</f>
        <v>SN</v>
      </c>
      <c r="E767" s="11" t="str">
        <f>E744</f>
        <v>C</v>
      </c>
      <c r="F767" s="11" t="e">
        <f ca="1">VLOOKUP(B767,INDIRECT($F$8),4,0)</f>
        <v>#N/A</v>
      </c>
    </row>
    <row r="768" spans="1:24" ht="11.25" customHeight="1" x14ac:dyDescent="0.2">
      <c r="A768" s="47" t="str">
        <f ca="1">IF(ISERROR(F767),"",A745)</f>
        <v/>
      </c>
      <c r="B768" s="47" t="str">
        <f ca="1">IFERROR(VLOOKUP(B767,INDIRECT($F$8),4,0),"")</f>
        <v/>
      </c>
      <c r="C768" s="47"/>
      <c r="D768" s="47" t="str">
        <f ca="1">IF(ISERROR(F767),"",D745)</f>
        <v/>
      </c>
      <c r="E768" s="47" t="str">
        <f ca="1">IFERROR(VLOOKUP(B767,INDIRECT($F$8),5,0),"")</f>
        <v/>
      </c>
      <c r="F768" s="47"/>
      <c r="G768" s="47" t="str">
        <f ca="1">IF(ISERROR(F767),"",G745)</f>
        <v/>
      </c>
      <c r="H768" s="47"/>
      <c r="I768" s="48" t="str">
        <f ca="1">IFERROR(VLOOKUP(B767,INDIRECT($F$8),2,0),"")</f>
        <v/>
      </c>
      <c r="J768" s="48"/>
      <c r="K768" s="47" t="str">
        <f ca="1">IF(ISERROR(F767),"",K745)</f>
        <v/>
      </c>
      <c r="L768" s="47"/>
      <c r="M768" s="48" t="str">
        <f ca="1">IFERROR(VLOOKUP(B767,INDIRECT($F$8),3,0),"")</f>
        <v/>
      </c>
      <c r="N768" s="48"/>
    </row>
    <row r="769" spans="1:24" ht="11.25" customHeight="1" x14ac:dyDescent="0.2">
      <c r="A769" s="47"/>
      <c r="B769" s="47"/>
      <c r="C769" s="47"/>
      <c r="D769" s="47"/>
      <c r="E769" s="47"/>
      <c r="F769" s="47"/>
      <c r="G769" s="47"/>
      <c r="H769" s="47"/>
      <c r="I769" s="48"/>
      <c r="J769" s="48"/>
      <c r="K769" s="47"/>
      <c r="L769" s="47"/>
      <c r="M769" s="48"/>
      <c r="N769" s="48"/>
    </row>
    <row r="770" spans="1:24" ht="11.25" customHeight="1" x14ac:dyDescent="0.2">
      <c r="A770" s="45" t="str">
        <f ca="1">IF(ISERROR(F767),"",A747)</f>
        <v/>
      </c>
      <c r="B770" s="45" t="str">
        <f ca="1">IF(ISERROR(F767),"",B747)</f>
        <v/>
      </c>
      <c r="C770" s="45"/>
      <c r="D770" s="45"/>
      <c r="E770" s="45"/>
      <c r="F770" s="45" t="str">
        <f ca="1">IF(ISERROR(F767),"",F747)</f>
        <v/>
      </c>
      <c r="G770" s="45" t="str">
        <f ca="1">IF(ISERROR(F767),"",G747)</f>
        <v/>
      </c>
      <c r="H770" s="45"/>
      <c r="I770" s="45" t="str">
        <f ca="1">IF(ISERROR(F767),"",I747)</f>
        <v/>
      </c>
      <c r="J770" s="45"/>
      <c r="K770" s="45" t="str">
        <f ca="1">IF(ISERROR(F767),"",K747)</f>
        <v/>
      </c>
      <c r="L770" s="45"/>
      <c r="M770" s="45" t="str">
        <f ca="1">IF(ISERROR(F767),"",M747)</f>
        <v/>
      </c>
      <c r="N770" s="45" t="str">
        <f ca="1">IF(ISERROR(F767),"",N747)</f>
        <v/>
      </c>
    </row>
    <row r="771" spans="1:24" ht="11.25" customHeight="1" x14ac:dyDescent="0.2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W771">
        <f ca="1">IF(ISNUMBER(MATCH($F$8,{"I","III","V","VII"},0)),10,10-INDEX(INDIRECT(_xlfn.TEXTJOIN("",TRUE,"SEM_",$G$8,"!",ADDRESS(6,4+$I$8*3+4),":",ADDRESS(5+$H$8,4+$I$8*3+4))),MATCH(INDIRECT(_xlfn.TEXTJOIN("",TRUE,"TC_",$F$8,"!",ADDRESS(ROW(I768),COLUMN(I768)))),INDIRECT(_xlfn.TEXTJOIN("",TRUE,"SEM_",$G$8,"!",ADDRESS(6,2),":",ADDRESS(5+$H$8,2))))))</f>
        <v>10</v>
      </c>
    </row>
    <row r="772" spans="1:24" ht="11.25" customHeight="1" x14ac:dyDescent="0.2">
      <c r="A772" s="7" t="str">
        <f ca="1">IF(ISERROR(F767),"",VLOOKUP(C767,INDIRECT($F$8),6+(O772-1)*3,0))</f>
        <v/>
      </c>
      <c r="B772" s="41" t="str">
        <f ca="1">IF(ISERROR(F767),"",VLOOKUP(D767,INDIRECT($F$8),6+(O772-1)*3,0))</f>
        <v/>
      </c>
      <c r="C772" s="41"/>
      <c r="D772" s="41"/>
      <c r="E772" s="41"/>
      <c r="F772" s="7" t="str">
        <f ca="1">IF(ISERROR(F767),"",VLOOKUP(E767,INDIRECT($F$8),6+(O772-1)*3,0))</f>
        <v/>
      </c>
      <c r="G772" s="42" t="str">
        <f ca="1">IF(ISERROR(F767),"",_xlfn.TEXTJOIN("/",FALSE,P772,S772))</f>
        <v/>
      </c>
      <c r="H772" s="42"/>
      <c r="I772" s="42" t="str">
        <f ca="1">IF(ISERROR(F767),"",_xlfn.TEXTJOIN("/",FALSE,Q772,T772))</f>
        <v/>
      </c>
      <c r="J772" s="42"/>
      <c r="K772" s="42" t="str">
        <f ca="1">IF(ISERROR(F767),"",_xlfn.TEXTJOIN("/",FALSE,R772,U772))</f>
        <v/>
      </c>
      <c r="L772" s="42"/>
      <c r="M772" s="7" t="str">
        <f ca="1">IF(ISERROR(F767),"",IF(ISTEXT(P772),IF(P772="A","Ab",IF(P772="D","Dt",IF(P772="UFM","UFM",IF(P772="NA","-")))),IF(AND(ISBLANK(P772),ISBLANK(R772)),"",IF(P772&lt;0.3*S772,"F",IF(ISBLANK(R772),"",IF(ISTEXT(R772),R772,IF(R772&gt;=0.95*U772,"O",IF(R772&gt;=0.9*U772,"A+",IF(R772&gt;=0.85*U772,"A",IF(R772&gt;=0.8*U772,"B+",IF(R772&gt;=0.75*U772,"B",IF(R772&gt;=0.7*U772,"C+",IF(R772&gt;=0.65*U772,"C",IF(R772&gt;=0.6*U772,"D+",IF(R772&gt;=0.55*U772,"D",IF(R772&gt;=0.5*U772,"E+",IF(R772&gt;=0.45*U772,"E",IF(R772&gt;=0.4*U772,"P",IF(R772&lt;0.4*U772,"F",R772)))))))))))))))))))</f>
        <v/>
      </c>
      <c r="N772" s="8" t="e">
        <f ca="1">INDEX($Z$2:$Z$18,MATCH(M772,$Y$2:$Y$18,0))</f>
        <v>#N/A</v>
      </c>
      <c r="O772">
        <v>1</v>
      </c>
      <c r="P772" s="1" t="str">
        <f ca="1">IF(ISERROR(F767),"",IF(ISTEXT(VLOOKUP(B767,INDIRECT($F$8),6+(O772-1)*3)),(VLOOKUP(B767,INDIRECT($F$8),6+(O772-1)*3)),SUM(VLOOKUP(B767,INDIRECT($F$8),6+(O772-1)*3),IF(W786,W772,0))))</f>
        <v/>
      </c>
      <c r="Q772" s="1" t="str">
        <f ca="1">IF(ISERROR(F767),"",VLOOKUP(B767,INDIRECT($F$8),7+(O772-1)*3))</f>
        <v/>
      </c>
      <c r="R772" s="1" t="str">
        <f ca="1">IF(ISERROR(F767),"",SUM(P772:Q772))</f>
        <v/>
      </c>
      <c r="S772" s="1" t="str">
        <f ca="1">IF(ISERROR(F767),"",VLOOKUP(A767,INDIRECT($F$8),6+(O772-1)*3))</f>
        <v/>
      </c>
      <c r="T772" s="1" t="str">
        <f ca="1">IF(ISERROR(F767),"",VLOOKUP(A767,INDIRECT($F$8),7+(O772-1)*3))</f>
        <v/>
      </c>
      <c r="U772" s="1" t="str">
        <f ca="1">IF(ISERROR(F767),"",VLOOKUP(A767,INDIRECT($F$8),8+(O772-1)*3))</f>
        <v/>
      </c>
      <c r="V772" s="1" t="str">
        <f ca="1">IF(ISERROR(F767),"",IF(N772=0,A772,""))</f>
        <v/>
      </c>
      <c r="W772" s="1" t="str">
        <f ca="1">IF(ISERROR(F767),"",IF(ISTEXT(VLOOKUP(B767,INDIRECT($F$8),6+(O772-1)*3)),11,IF(VLOOKUP(B767,INDIRECT($F$8),6+(O772-1)*3)&lt;S772*0.3,IF(VLOOKUP(B767,INDIRECT($F$8),8+(O772-1)*3)&lt;U772*0.4,IF(AND(0.4*U772-VLOOKUP(B767,INDIRECT($F$8),8+(O772-1)*3)&lt;=5,0.3*S772-VLOOKUP(B767,INDIRECT($F$8),6+(O772-1)*3)&lt;=5),MAX(0.4*U772-VLOOKUP(B767,INDIRECT($F$8),8+(O772-1)*3),0.3*S772-VLOOKUP(B767,INDIRECT($F$8),6+(O772-1)*3)),11),IF(0.3*S772-VLOOKUP(B767,INDIRECT($F$8),6+(O772-1)*3)&lt;=5,0.3*S772-VLOOKUP(B767,INDIRECT($F$8),6+(O772-1)*3),11)),IF(VLOOKUP(B767,INDIRECT($F$8),8+(O772-1)*3)&lt;U772*0.4,IF(U772*0.4-VLOOKUP(B767,INDIRECT($F$8),8+(O772-1)*3)&lt;=5,U772*0.4-VLOOKUP(B767,INDIRECT($F$8),8+(O772-1)*3),11),0))))</f>
        <v/>
      </c>
      <c r="X772" s="1" t="str">
        <f ca="1">IF(ISERROR(F767),"",IF(W772=0,"",_xlfn.TEXTJOIN("",FALSE," G+",W772," in ",A772)))</f>
        <v/>
      </c>
    </row>
    <row r="773" spans="1:24" ht="11.25" customHeight="1" x14ac:dyDescent="0.2">
      <c r="A773" s="7" t="str">
        <f ca="1">IF(ISERROR(F767),"",VLOOKUP(C767,INDIRECT($F$8),6+(O773-1)*3,0))</f>
        <v/>
      </c>
      <c r="B773" s="41" t="str">
        <f ca="1">IF(ISERROR(F767),"",VLOOKUP(D767,INDIRECT($F$8),6+(O773-1)*3,0))</f>
        <v/>
      </c>
      <c r="C773" s="41"/>
      <c r="D773" s="41"/>
      <c r="E773" s="41"/>
      <c r="F773" s="7" t="str">
        <f ca="1">IF(ISERROR(F767),"",VLOOKUP(E767,INDIRECT($F$8),6+(O773-1)*3,0))</f>
        <v/>
      </c>
      <c r="G773" s="42" t="str">
        <f ca="1">IF(ISERROR(F767),"",_xlfn.TEXTJOIN("/",FALSE,P773,S773))</f>
        <v/>
      </c>
      <c r="H773" s="42"/>
      <c r="I773" s="42" t="str">
        <f ca="1">IF(ISERROR(F767),"",_xlfn.TEXTJOIN("/",FALSE,Q773,T773))</f>
        <v/>
      </c>
      <c r="J773" s="42"/>
      <c r="K773" s="42" t="str">
        <f ca="1">IF(ISERROR(F767),"",_xlfn.TEXTJOIN("/",FALSE,R773,U773))</f>
        <v/>
      </c>
      <c r="L773" s="42"/>
      <c r="M773" s="7" t="str">
        <f ca="1">IF(ISERROR(F767),"",IF(ISTEXT(P773),IF(P773="A","Ab",IF(P773="D","Dt",IF(P773="UFM","UFM",IF(P773="NA","-")))),IF(AND(ISBLANK(P773),ISBLANK(R773)),"",IF(P773&lt;0.3*S773,"F",IF(ISBLANK(R773),"",IF(ISTEXT(R773),R773,IF(R773&gt;=0.95*U773,"O",IF(R773&gt;=0.9*U773,"A+",IF(R773&gt;=0.85*U773,"A",IF(R773&gt;=0.8*U773,"B+",IF(R773&gt;=0.75*U773,"B",IF(R773&gt;=0.7*U773,"C+",IF(R773&gt;=0.65*U773,"C",IF(R773&gt;=0.6*U773,"D+",IF(R773&gt;=0.55*U773,"D",IF(R773&gt;=0.5*U773,"E+",IF(R773&gt;=0.45*U773,"E",IF(R773&gt;=0.4*U773,"P",IF(R773&lt;0.4*U773,"F",R773)))))))))))))))))))</f>
        <v/>
      </c>
      <c r="N773" s="8" t="e">
        <f t="shared" ref="N773:N784" ca="1" si="79">INDEX($Z$2:$Z$18,MATCH(M773,$Y$2:$Y$18,0))</f>
        <v>#N/A</v>
      </c>
      <c r="O773">
        <f>O772+1</f>
        <v>2</v>
      </c>
      <c r="P773" s="1" t="str">
        <f ca="1">IF(ISERROR(F767),"",IF(ISTEXT(VLOOKUP(B767,INDIRECT($F$8),6+(O773-1)*3)),(VLOOKUP(B767,INDIRECT($F$8),6+(O773-1)*3)),SUM(VLOOKUP(B767,INDIRECT($F$8),6+(O773-1)*3),IF(W786,W773,0))))</f>
        <v/>
      </c>
      <c r="Q773" s="1" t="str">
        <f ca="1">IF(ISERROR(F767),"",VLOOKUP(B767,INDIRECT($F$8),7+(O773-1)*3))</f>
        <v/>
      </c>
      <c r="R773" s="1" t="str">
        <f ca="1">IF(ISERROR(F767),"",SUM(P773:Q773))</f>
        <v/>
      </c>
      <c r="S773" s="1" t="str">
        <f ca="1">IF(ISERROR(F767),"",VLOOKUP(A767,INDIRECT($F$8),6+(O773-1)*3))</f>
        <v/>
      </c>
      <c r="T773" s="1" t="str">
        <f ca="1">IF(ISERROR(F767),"",VLOOKUP(A767,INDIRECT($F$8),7+(O773-1)*3))</f>
        <v/>
      </c>
      <c r="U773" s="1" t="str">
        <f ca="1">IF(ISERROR(F767),"",VLOOKUP(A767,INDIRECT($F$8),8+(O773-1)*3))</f>
        <v/>
      </c>
      <c r="V773" s="1" t="str">
        <f ca="1">IF(ISERROR(F767),"",IF(N773=0,A773,""))</f>
        <v/>
      </c>
      <c r="W773" s="1" t="str">
        <f ca="1">IF(ISERROR(F767),"",IF(ISTEXT(VLOOKUP(B767,INDIRECT($F$8),6+(O773-1)*3)),11,IF(VLOOKUP(B767,INDIRECT($F$8),6+(O773-1)*3)&lt;S773*0.3,IF(VLOOKUP(B767,INDIRECT($F$8),8+(O773-1)*3)&lt;U773*0.4,IF(AND(0.4*U773-VLOOKUP(B767,INDIRECT($F$8),8+(O773-1)*3)&lt;=5,0.3*S773-VLOOKUP(B767,INDIRECT($F$8),6+(O773-1)*3)&lt;=5),MAX(0.4*U773-VLOOKUP(B767,INDIRECT($F$8),8+(O773-1)*3),0.3*S773-VLOOKUP(B767,INDIRECT($F$8),6+(O773-1)*3)),11),IF(0.3*S773-VLOOKUP(B767,INDIRECT($F$8),6+(O773-1)*3)&lt;=5,0.3*S773-VLOOKUP(B767,INDIRECT($F$8),6+(O773-1)*3),11)),IF(VLOOKUP(B767,INDIRECT($F$8),8+(O773-1)*3)&lt;U773*0.4,IF(U773*0.4-VLOOKUP(B767,INDIRECT($F$8),8+(O773-1)*3)&lt;=5,U773*0.4-VLOOKUP(B767,INDIRECT($F$8),8+(O773-1)*3),11),0))))</f>
        <v/>
      </c>
      <c r="X773" s="1" t="str">
        <f ca="1">IF(ISERROR(F767),"",IF(W773=0,"",_xlfn.TEXTJOIN("",FALSE," G+",W773," in ",A773)))</f>
        <v/>
      </c>
    </row>
    <row r="774" spans="1:24" ht="11.25" customHeight="1" x14ac:dyDescent="0.2">
      <c r="A774" s="7" t="str">
        <f ca="1">IF(ISERROR(F767),"",VLOOKUP(C767,INDIRECT($F$8),6+(O774-1)*3,0))</f>
        <v/>
      </c>
      <c r="B774" s="41" t="str">
        <f ca="1">IF(ISERROR(F767),"",VLOOKUP(D767,INDIRECT($F$8),6+(O774-1)*3,0))</f>
        <v/>
      </c>
      <c r="C774" s="41"/>
      <c r="D774" s="41"/>
      <c r="E774" s="41"/>
      <c r="F774" s="7" t="str">
        <f ca="1">IF(ISERROR(F767),"",VLOOKUP(E767,INDIRECT($F$8),6+(O774-1)*3,0))</f>
        <v/>
      </c>
      <c r="G774" s="42" t="str">
        <f ca="1">IF(ISERROR(F767),"",_xlfn.TEXTJOIN("/",FALSE,P774,S774))</f>
        <v/>
      </c>
      <c r="H774" s="42"/>
      <c r="I774" s="42" t="str">
        <f ca="1">IF(ISERROR(F767),"",_xlfn.TEXTJOIN("/",FALSE,Q774,T774))</f>
        <v/>
      </c>
      <c r="J774" s="42"/>
      <c r="K774" s="42" t="str">
        <f ca="1">IF(ISERROR(F767),"",_xlfn.TEXTJOIN("/",FALSE,R774,U774))</f>
        <v/>
      </c>
      <c r="L774" s="42"/>
      <c r="M774" s="7" t="str">
        <f ca="1">IF(ISERROR(F767),"",IF(ISTEXT(P774),IF(P774="A","Ab",IF(P774="D","Dt",IF(P774="UFM","UFM",IF(P774="NA","-")))),IF(AND(ISBLANK(P774),ISBLANK(R774)),"",IF(P774&lt;0.3*S774,"F",IF(ISBLANK(R774),"",IF(ISTEXT(R774),R774,IF(R774&gt;=0.95*U774,"O",IF(R774&gt;=0.9*U774,"A+",IF(R774&gt;=0.85*U774,"A",IF(R774&gt;=0.8*U774,"B+",IF(R774&gt;=0.75*U774,"B",IF(R774&gt;=0.7*U774,"C+",IF(R774&gt;=0.65*U774,"C",IF(R774&gt;=0.6*U774,"D+",IF(R774&gt;=0.55*U774,"D",IF(R774&gt;=0.5*U774,"E+",IF(R774&gt;=0.45*U774,"E",IF(R774&gt;=0.4*U774,"P",IF(R774&lt;0.4*U774,"F",R774)))))))))))))))))))</f>
        <v/>
      </c>
      <c r="N774" s="8" t="e">
        <f t="shared" ca="1" si="79"/>
        <v>#N/A</v>
      </c>
      <c r="O774">
        <f>O773+1</f>
        <v>3</v>
      </c>
      <c r="P774" s="1" t="str">
        <f ca="1">IF(ISERROR(F767),"",IF(ISTEXT(VLOOKUP(B767,INDIRECT($F$8),6+(O774-1)*3)),(VLOOKUP(B767,INDIRECT($F$8),6+(O774-1)*3)),SUM(VLOOKUP(B767,INDIRECT($F$8),6+(O774-1)*3),IF(W786,W774,0))))</f>
        <v/>
      </c>
      <c r="Q774" s="1" t="str">
        <f ca="1">IF(ISERROR(F767),"",VLOOKUP(B767,INDIRECT($F$8),7+(O774-1)*3))</f>
        <v/>
      </c>
      <c r="R774" s="1" t="str">
        <f ca="1">IF(ISERROR(F767),"",SUM(P774:Q774))</f>
        <v/>
      </c>
      <c r="S774" s="1" t="str">
        <f ca="1">IF(ISERROR(F767),"",VLOOKUP(A767,INDIRECT($F$8),6+(O774-1)*3))</f>
        <v/>
      </c>
      <c r="T774" s="1" t="str">
        <f ca="1">IF(ISERROR(F767),"",VLOOKUP(A767,INDIRECT($F$8),7+(O774-1)*3))</f>
        <v/>
      </c>
      <c r="U774" s="1" t="str">
        <f ca="1">IF(ISERROR(F767),"",VLOOKUP(A767,INDIRECT($F$8),8+(O774-1)*3))</f>
        <v/>
      </c>
      <c r="V774" s="1" t="str">
        <f ca="1">IF(ISERROR(F767),"",IF(N774=0,A774,""))</f>
        <v/>
      </c>
      <c r="W774" s="1" t="str">
        <f ca="1">IF(ISERROR(F767),"",IF(ISTEXT(VLOOKUP(B767,INDIRECT($F$8),6+(O774-1)*3)),11,IF(VLOOKUP(B767,INDIRECT($F$8),6+(O774-1)*3)&lt;S774*0.3,IF(VLOOKUP(B767,INDIRECT($F$8),8+(O774-1)*3)&lt;U774*0.4,IF(AND(0.4*U774-VLOOKUP(B767,INDIRECT($F$8),8+(O774-1)*3)&lt;=5,0.3*S774-VLOOKUP(B767,INDIRECT($F$8),6+(O774-1)*3)&lt;=5),MAX(0.4*U774-VLOOKUP(B767,INDIRECT($F$8),8+(O774-1)*3),0.3*S774-VLOOKUP(B767,INDIRECT($F$8),6+(O774-1)*3)),11),IF(0.3*S774-VLOOKUP(B767,INDIRECT($F$8),6+(O774-1)*3)&lt;=5,0.3*S774-VLOOKUP(B767,INDIRECT($F$8),6+(O774-1)*3),11)),IF(VLOOKUP(B767,INDIRECT($F$8),8+(O774-1)*3)&lt;U774*0.4,IF(U774*0.4-VLOOKUP(B767,INDIRECT($F$8),8+(O774-1)*3)&lt;=5,U774*0.4-VLOOKUP(B767,INDIRECT($F$8),8+(O774-1)*3),11),0))))</f>
        <v/>
      </c>
      <c r="X774" s="1" t="str">
        <f ca="1">IF(ISERROR(F767),"",IF(W774=0,"",_xlfn.TEXTJOIN("",FALSE," G+",W774," in ",A774)))</f>
        <v/>
      </c>
    </row>
    <row r="775" spans="1:24" ht="11.25" customHeight="1" x14ac:dyDescent="0.2">
      <c r="A775" s="7" t="str">
        <f ca="1">IF(ISERROR(F767),"",VLOOKUP(C767,INDIRECT($F$8),6+(O775-1)*3,0))</f>
        <v/>
      </c>
      <c r="B775" s="41" t="str">
        <f ca="1">IF(ISERROR(F767),"",VLOOKUP(D767,INDIRECT($F$8),6+(O775-1)*3,0))</f>
        <v/>
      </c>
      <c r="C775" s="41"/>
      <c r="D775" s="41"/>
      <c r="E775" s="41"/>
      <c r="F775" s="7" t="str">
        <f ca="1">IF(ISERROR(F767),"",VLOOKUP(E767,INDIRECT($F$8),6+(O775-1)*3,0))</f>
        <v/>
      </c>
      <c r="G775" s="42" t="str">
        <f ca="1">IF(ISERROR(F767),"",_xlfn.TEXTJOIN("/",FALSE,P775,S775))</f>
        <v/>
      </c>
      <c r="H775" s="42"/>
      <c r="I775" s="42" t="str">
        <f ca="1">IF(ISERROR(F767),"",_xlfn.TEXTJOIN("/",FALSE,Q775,T775))</f>
        <v/>
      </c>
      <c r="J775" s="42"/>
      <c r="K775" s="42" t="str">
        <f ca="1">IF(ISERROR(F767),"",_xlfn.TEXTJOIN("/",FALSE,R775,U775))</f>
        <v/>
      </c>
      <c r="L775" s="42"/>
      <c r="M775" s="7" t="str">
        <f ca="1">IF(ISERROR(F767),"",IF(ISTEXT(P775),IF(P775="A","Ab",IF(P775="D","Dt",IF(P775="UFM","UFM",IF(P775="NA","-")))),IF(AND(ISBLANK(P775),ISBLANK(R775)),"",IF(P775&lt;0.3*S775,"F",IF(ISBLANK(R775),"",IF(ISTEXT(R775),R775,IF(R775&gt;=0.95*U775,"O",IF(R775&gt;=0.9*U775,"A+",IF(R775&gt;=0.85*U775,"A",IF(R775&gt;=0.8*U775,"B+",IF(R775&gt;=0.75*U775,"B",IF(R775&gt;=0.7*U775,"C+",IF(R775&gt;=0.65*U775,"C",IF(R775&gt;=0.6*U775,"D+",IF(R775&gt;=0.55*U775,"D",IF(R775&gt;=0.5*U775,"E+",IF(R775&gt;=0.45*U775,"E",IF(R775&gt;=0.4*U775,"P",IF(R775&lt;0.4*U775,"F",R775)))))))))))))))))))</f>
        <v/>
      </c>
      <c r="N775" s="8" t="e">
        <f t="shared" ca="1" si="79"/>
        <v>#N/A</v>
      </c>
      <c r="O775">
        <f>O774+1</f>
        <v>4</v>
      </c>
      <c r="P775" s="1" t="str">
        <f ca="1">IF(ISERROR(F767),"",IF(ISTEXT(VLOOKUP(B767,INDIRECT($F$8),6+(O775-1)*3)),(VLOOKUP(B767,INDIRECT($F$8),6+(O775-1)*3)),SUM(VLOOKUP(B767,INDIRECT($F$8),6+(O775-1)*3),IF(W786,W775,0))))</f>
        <v/>
      </c>
      <c r="Q775" s="1" t="str">
        <f ca="1">IF(ISERROR(F767),"",VLOOKUP(B767,INDIRECT($F$8),7+(O775-1)*3))</f>
        <v/>
      </c>
      <c r="R775" s="1" t="str">
        <f ca="1">IF(ISERROR(F767),"",SUM(P775:Q775))</f>
        <v/>
      </c>
      <c r="S775" s="1" t="str">
        <f ca="1">IF(ISERROR(F767),"",VLOOKUP(A767,INDIRECT($F$8),6+(O775-1)*3))</f>
        <v/>
      </c>
      <c r="T775" s="1" t="str">
        <f ca="1">IF(ISERROR(F767),"",VLOOKUP(A767,INDIRECT($F$8),7+(O775-1)*3))</f>
        <v/>
      </c>
      <c r="U775" s="1" t="str">
        <f ca="1">IF(ISERROR(F767),"",VLOOKUP(A767,INDIRECT($F$8),8+(O775-1)*3))</f>
        <v/>
      </c>
      <c r="V775" s="1" t="str">
        <f ca="1">IF(ISERROR(F767),"",IF(N775=0,A775,""))</f>
        <v/>
      </c>
      <c r="W775" s="1" t="str">
        <f ca="1">IF(ISERROR(F767),"",IF(ISTEXT(VLOOKUP(B767,INDIRECT($F$8),6+(O775-1)*3)),11,IF(VLOOKUP(B767,INDIRECT($F$8),6+(O775-1)*3)&lt;S775*0.3,IF(VLOOKUP(B767,INDIRECT($F$8),8+(O775-1)*3)&lt;U775*0.4,IF(AND(0.4*U775-VLOOKUP(B767,INDIRECT($F$8),8+(O775-1)*3)&lt;=5,0.3*S775-VLOOKUP(B767,INDIRECT($F$8),6+(O775-1)*3)&lt;=5),MAX(0.4*U775-VLOOKUP(B767,INDIRECT($F$8),8+(O775-1)*3),0.3*S775-VLOOKUP(B767,INDIRECT($F$8),6+(O775-1)*3)),11),IF(0.3*S775-VLOOKUP(B767,INDIRECT($F$8),6+(O775-1)*3)&lt;=5,0.3*S775-VLOOKUP(B767,INDIRECT($F$8),6+(O775-1)*3),11)),IF(VLOOKUP(B767,INDIRECT($F$8),8+(O775-1)*3)&lt;U775*0.4,IF(U775*0.4-VLOOKUP(B767,INDIRECT($F$8),8+(O775-1)*3)&lt;=5,U775*0.4-VLOOKUP(B767,INDIRECT($F$8),8+(O775-1)*3),11),0))))</f>
        <v/>
      </c>
      <c r="X775" s="1" t="str">
        <f ca="1">IF(ISERROR(F767),"",IF(W775=0,"",_xlfn.TEXTJOIN("",FALSE," G+",W775," in ",A775)))</f>
        <v/>
      </c>
    </row>
    <row r="776" spans="1:24" ht="11.25" customHeight="1" x14ac:dyDescent="0.2">
      <c r="A776" s="7" t="str">
        <f ca="1">IF(ISERROR(F767),"",VLOOKUP(C767,INDIRECT($F$8),6+(O776-1)*3,0))</f>
        <v/>
      </c>
      <c r="B776" s="41" t="str">
        <f ca="1">IF(ISERROR(F767),"",VLOOKUP(D767,INDIRECT($F$8),6+(O776-1)*3,0))</f>
        <v/>
      </c>
      <c r="C776" s="41"/>
      <c r="D776" s="41"/>
      <c r="E776" s="41"/>
      <c r="F776" s="7" t="str">
        <f ca="1">IF(ISERROR(F767),"",VLOOKUP(E767,INDIRECT($F$8),6+(O776-1)*3,0))</f>
        <v/>
      </c>
      <c r="G776" s="42" t="str">
        <f ca="1">IF(ISERROR(F767),"",_xlfn.TEXTJOIN("/",FALSE,P776,S776))</f>
        <v/>
      </c>
      <c r="H776" s="42"/>
      <c r="I776" s="42" t="str">
        <f ca="1">IF(ISERROR(F767),"",_xlfn.TEXTJOIN("/",FALSE,Q776,T776))</f>
        <v/>
      </c>
      <c r="J776" s="42"/>
      <c r="K776" s="42" t="str">
        <f ca="1">IF(ISERROR(F767),"",_xlfn.TEXTJOIN("/",FALSE,R776,U776))</f>
        <v/>
      </c>
      <c r="L776" s="42"/>
      <c r="M776" s="7" t="str">
        <f ca="1">IF(ISERROR(F767),"",IF(ISTEXT(P776),IF(P776="A","Ab",IF(P776="D","Dt",IF(P776="UFM","UFM",IF(P776="NA","-")))),IF(AND(ISBLANK(P776),ISBLANK(R776)),"",IF(P776&lt;0.3*S776,"F",IF(ISBLANK(R776),"",IF(ISTEXT(R776),R776,IF(R776&gt;=0.95*U776,"O",IF(R776&gt;=0.9*U776,"A+",IF(R776&gt;=0.85*U776,"A",IF(R776&gt;=0.8*U776,"B+",IF(R776&gt;=0.75*U776,"B",IF(R776&gt;=0.7*U776,"C+",IF(R776&gt;=0.65*U776,"C",IF(R776&gt;=0.6*U776,"D+",IF(R776&gt;=0.55*U776,"D",IF(R776&gt;=0.5*U776,"E+",IF(R776&gt;=0.45*U776,"E",IF(R776&gt;=0.4*U776,"P",IF(R776&lt;0.4*U776,"F",R776)))))))))))))))))))</f>
        <v/>
      </c>
      <c r="N776" s="8" t="e">
        <f t="shared" ca="1" si="79"/>
        <v>#N/A</v>
      </c>
      <c r="O776">
        <f t="shared" ref="O776:O785" si="80">O775+1</f>
        <v>5</v>
      </c>
      <c r="P776" s="1" t="str">
        <f ca="1">IF(ISERROR(F767),"",IF(ISTEXT(VLOOKUP(B767,INDIRECT($F$8),6+(O776-1)*3)),(VLOOKUP(B767,INDIRECT($F$8),6+(O776-1)*3)),SUM(VLOOKUP(B767,INDIRECT($F$8),6+(O776-1)*3),IF(W786,W776,0))))</f>
        <v/>
      </c>
      <c r="Q776" s="1" t="str">
        <f ca="1">IF(ISERROR(F767),"",VLOOKUP(B767,INDIRECT($F$8),7+(O776-1)*3))</f>
        <v/>
      </c>
      <c r="R776" s="1" t="str">
        <f ca="1">IF(ISERROR(F767),"",SUM(P776:Q776))</f>
        <v/>
      </c>
      <c r="S776" s="1" t="str">
        <f ca="1">IF(ISERROR(F767),"",VLOOKUP(A767,INDIRECT($F$8),6+(O776-1)*3))</f>
        <v/>
      </c>
      <c r="T776" s="1" t="str">
        <f ca="1">IF(ISERROR(F767),"",VLOOKUP(A767,INDIRECT($F$8),7+(O776-1)*3))</f>
        <v/>
      </c>
      <c r="U776" s="1" t="str">
        <f ca="1">IF(ISERROR(F767),"",VLOOKUP(A767,INDIRECT($F$8),8+(O776-1)*3))</f>
        <v/>
      </c>
      <c r="V776" s="1" t="str">
        <f ca="1">IF(ISERROR(F767),"",IF(N776=0,A776,""))</f>
        <v/>
      </c>
      <c r="W776" s="1" t="str">
        <f ca="1">IF(ISERROR(F767),"",IF(ISTEXT(VLOOKUP(B767,INDIRECT($F$8),6+(O776-1)*3)),11,IF(VLOOKUP(B767,INDIRECT($F$8),6+(O776-1)*3)&lt;S776*0.3,IF(VLOOKUP(B767,INDIRECT($F$8),8+(O776-1)*3)&lt;U776*0.4,IF(AND(0.4*U776-VLOOKUP(B767,INDIRECT($F$8),8+(O776-1)*3)&lt;=5,0.3*S776-VLOOKUP(B767,INDIRECT($F$8),6+(O776-1)*3)&lt;=5),MAX(0.4*U776-VLOOKUP(B767,INDIRECT($F$8),8+(O776-1)*3),0.3*S776-VLOOKUP(B767,INDIRECT($F$8),6+(O776-1)*3)),11),IF(0.3*S776-VLOOKUP(B767,INDIRECT($F$8),6+(O776-1)*3)&lt;=5,0.3*S776-VLOOKUP(B767,INDIRECT($F$8),6+(O776-1)*3),11)),IF(VLOOKUP(B767,INDIRECT($F$8),8+(O776-1)*3)&lt;U776*0.4,IF(U776*0.4-VLOOKUP(B767,INDIRECT($F$8),8+(O776-1)*3)&lt;=5,U776*0.4-VLOOKUP(B767,INDIRECT($F$8),8+(O776-1)*3),11),0))))</f>
        <v/>
      </c>
      <c r="X776" s="1" t="str">
        <f ca="1">IF(ISERROR(F767),"",IF(W776=0,"",_xlfn.TEXTJOIN("",FALSE," G+",W776," in ",A776)))</f>
        <v/>
      </c>
    </row>
    <row r="777" spans="1:24" ht="11.25" customHeight="1" x14ac:dyDescent="0.2">
      <c r="A777" s="7" t="str">
        <f ca="1">IF(ISERROR(F767),"",VLOOKUP(C767,INDIRECT($F$8),6+(O777-1)*3,0))</f>
        <v/>
      </c>
      <c r="B777" s="41" t="str">
        <f ca="1">IF(ISERROR(F767),"",VLOOKUP(D767,INDIRECT($F$8),6+(O777-1)*3,0))</f>
        <v/>
      </c>
      <c r="C777" s="41"/>
      <c r="D777" s="41"/>
      <c r="E777" s="41"/>
      <c r="F777" s="7" t="str">
        <f ca="1">IF(ISERROR(F767),"",VLOOKUP(E767,INDIRECT($F$8),6+(O777-1)*3,0))</f>
        <v/>
      </c>
      <c r="G777" s="42" t="str">
        <f ca="1">IF(ISERROR(F767),"",_xlfn.TEXTJOIN("/",FALSE,P777,S777))</f>
        <v/>
      </c>
      <c r="H777" s="42"/>
      <c r="I777" s="42" t="str">
        <f ca="1">IF(ISERROR(F767),"",_xlfn.TEXTJOIN("/",FALSE,Q777,T777))</f>
        <v/>
      </c>
      <c r="J777" s="42"/>
      <c r="K777" s="42" t="str">
        <f ca="1">IF(ISERROR(F767),"",_xlfn.TEXTJOIN("/",FALSE,R777,U777))</f>
        <v/>
      </c>
      <c r="L777" s="42"/>
      <c r="M777" s="7" t="str">
        <f ca="1">IF(ISERROR(F767),"",IF(ISTEXT(P777),IF(P777="A","Ab",IF(P777="D","Dt",IF(P777="UFM","UFM",IF(P777="NA","-")))),IF(AND(ISBLANK(P777),ISBLANK(R777)),"",IF(P777&lt;0.3*S777,"F",IF(ISBLANK(R777),"",IF(ISTEXT(R777),R777,IF(R777&gt;=0.95*U777,"O",IF(R777&gt;=0.9*U777,"A+",IF(R777&gt;=0.85*U777,"A",IF(R777&gt;=0.8*U777,"B+",IF(R777&gt;=0.75*U777,"B",IF(R777&gt;=0.7*U777,"C+",IF(R777&gt;=0.65*U777,"C",IF(R777&gt;=0.6*U777,"D+",IF(R777&gt;=0.55*U777,"D",IF(R777&gt;=0.5*U777,"E+",IF(R777&gt;=0.45*U777,"E",IF(R777&gt;=0.4*U777,"P",IF(R777&lt;0.4*U777,"F",R777)))))))))))))))))))</f>
        <v/>
      </c>
      <c r="N777" s="8" t="e">
        <f t="shared" ca="1" si="79"/>
        <v>#N/A</v>
      </c>
      <c r="O777">
        <f t="shared" si="80"/>
        <v>6</v>
      </c>
      <c r="P777" s="1" t="str">
        <f ca="1">IF(ISERROR(F767),"",IF(ISTEXT(VLOOKUP(B767,INDIRECT($F$8),6+(O777-1)*3)),(VLOOKUP(B767,INDIRECT($F$8),6+(O777-1)*3)),SUM(VLOOKUP(B767,INDIRECT($F$8),6+(O777-1)*3),IF(W786,W777,0))))</f>
        <v/>
      </c>
      <c r="Q777" s="1" t="str">
        <f ca="1">IF(ISERROR(F767),"",VLOOKUP(B767,INDIRECT($F$8),7+(O777-1)*3))</f>
        <v/>
      </c>
      <c r="R777" s="1" t="str">
        <f ca="1">IF(ISERROR(F767),"",SUM(P777:Q777))</f>
        <v/>
      </c>
      <c r="S777" s="1" t="str">
        <f ca="1">IF(ISERROR(F767),"",VLOOKUP(A767,INDIRECT($F$8),6+(O777-1)*3))</f>
        <v/>
      </c>
      <c r="T777" s="1" t="str">
        <f ca="1">IF(ISERROR(F767),"",VLOOKUP(A767,INDIRECT($F$8),7+(O777-1)*3))</f>
        <v/>
      </c>
      <c r="U777" s="1" t="str">
        <f ca="1">IF(ISERROR(F767),"",VLOOKUP(A767,INDIRECT($F$8),8+(O777-1)*3))</f>
        <v/>
      </c>
      <c r="V777" s="1" t="str">
        <f ca="1">IF(ISERROR(F767),"",IF(N777=0,A777,""))</f>
        <v/>
      </c>
      <c r="W777" s="1" t="str">
        <f ca="1">IF(ISERROR(F767),"",IF(ISTEXT(VLOOKUP(B767,INDIRECT($F$8),6+(O777-1)*3)),11,IF(VLOOKUP(B767,INDIRECT($F$8),6+(O777-1)*3)&lt;S777*0.3,IF(VLOOKUP(B767,INDIRECT($F$8),8+(O777-1)*3)&lt;U777*0.4,IF(AND(0.4*U777-VLOOKUP(B767,INDIRECT($F$8),8+(O777-1)*3)&lt;=5,0.3*S777-VLOOKUP(B767,INDIRECT($F$8),6+(O777-1)*3)&lt;=5),MAX(0.4*U777-VLOOKUP(B767,INDIRECT($F$8),8+(O777-1)*3),0.3*S777-VLOOKUP(B767,INDIRECT($F$8),6+(O777-1)*3)),11),IF(0.3*S777-VLOOKUP(B767,INDIRECT($F$8),6+(O777-1)*3)&lt;=5,0.3*S777-VLOOKUP(B767,INDIRECT($F$8),6+(O777-1)*3),11)),IF(VLOOKUP(B767,INDIRECT($F$8),8+(O777-1)*3)&lt;U777*0.4,IF(U777*0.4-VLOOKUP(B767,INDIRECT($F$8),8+(O777-1)*3)&lt;=5,U777*0.4-VLOOKUP(B767,INDIRECT($F$8),8+(O777-1)*3),11),0))))</f>
        <v/>
      </c>
      <c r="X777" s="1" t="str">
        <f ca="1">IF(ISERROR(F767),"",IF(W777=0,"",_xlfn.TEXTJOIN("",FALSE," G+",W777," in ",A777)))</f>
        <v/>
      </c>
    </row>
    <row r="778" spans="1:24" ht="11.25" customHeight="1" x14ac:dyDescent="0.2">
      <c r="A778" s="7" t="str">
        <f ca="1">IF(ISERROR(F767),"",VLOOKUP(C767,INDIRECT($F$8),6+(O778-1)*3,0))</f>
        <v/>
      </c>
      <c r="B778" s="41" t="str">
        <f ca="1">IF(ISERROR(F767),"",VLOOKUP(D767,INDIRECT($F$8),6+(O778-1)*3,0))</f>
        <v/>
      </c>
      <c r="C778" s="41"/>
      <c r="D778" s="41"/>
      <c r="E778" s="41"/>
      <c r="F778" s="7" t="str">
        <f ca="1">IF(ISERROR(F767),"",VLOOKUP(E767,INDIRECT($F$8),6+(O778-1)*3,0))</f>
        <v/>
      </c>
      <c r="G778" s="42" t="str">
        <f ca="1">IF(ISERROR(F767),"",_xlfn.TEXTJOIN("/",FALSE,P778,S778))</f>
        <v/>
      </c>
      <c r="H778" s="42"/>
      <c r="I778" s="42" t="str">
        <f ca="1">IF(ISERROR(F767),"",_xlfn.TEXTJOIN("/",FALSE,Q778,T778))</f>
        <v/>
      </c>
      <c r="J778" s="42"/>
      <c r="K778" s="42" t="str">
        <f ca="1">IF(ISERROR(F767),"",_xlfn.TEXTJOIN("/",FALSE,R778,U778))</f>
        <v/>
      </c>
      <c r="L778" s="42"/>
      <c r="M778" s="7" t="str">
        <f ca="1">IF(ISERROR(F767),"",IF(ISTEXT(P778),IF(P778="A","Ab",IF(P778="D","Dt",IF(P778="UFM","UFM",IF(P778="NA","-")))),IF(AND(ISBLANK(P778),ISBLANK(R778)),"",IF(P778&lt;0.3*S778,"F",IF(ISBLANK(R778),"",IF(ISTEXT(R778),R778,IF(R778&gt;=0.95*U778,"O",IF(R778&gt;=0.9*U778,"A+",IF(R778&gt;=0.85*U778,"A",IF(R778&gt;=0.8*U778,"B+",IF(R778&gt;=0.75*U778,"B",IF(R778&gt;=0.7*U778,"C+",IF(R778&gt;=0.65*U778,"C",IF(R778&gt;=0.6*U778,"D+",IF(R778&gt;=0.55*U778,"D",IF(R778&gt;=0.5*U778,"E+",IF(R778&gt;=0.45*U778,"E",IF(R778&gt;=0.4*U778,"P",IF(R778&lt;0.4*U778,"F",R778)))))))))))))))))))</f>
        <v/>
      </c>
      <c r="N778" s="8" t="e">
        <f t="shared" ca="1" si="79"/>
        <v>#N/A</v>
      </c>
      <c r="O778">
        <f t="shared" si="80"/>
        <v>7</v>
      </c>
      <c r="P778" s="1" t="str">
        <f ca="1">IF(ISERROR(F767),"",IF(ISTEXT(VLOOKUP(B767,INDIRECT($F$8),6+(O778-1)*3)),(VLOOKUP(B767,INDIRECT($F$8),6+(O778-1)*3)),SUM(VLOOKUP(B767,INDIRECT($F$8),6+(O778-1)*3),IF(W786,W778,0))))</f>
        <v/>
      </c>
      <c r="Q778" s="1" t="str">
        <f ca="1">IF(ISERROR(F767),"",VLOOKUP(B767,INDIRECT($F$8),7+(O778-1)*3))</f>
        <v/>
      </c>
      <c r="R778" s="1" t="str">
        <f ca="1">IF(ISERROR(F767),"",SUM(P778:Q778))</f>
        <v/>
      </c>
      <c r="S778" s="1" t="str">
        <f ca="1">IF(ISERROR(F767),"",VLOOKUP(A767,INDIRECT($F$8),6+(O778-1)*3))</f>
        <v/>
      </c>
      <c r="T778" s="1" t="str">
        <f ca="1">IF(ISERROR(F767),"",VLOOKUP(A767,INDIRECT($F$8),7+(O778-1)*3))</f>
        <v/>
      </c>
      <c r="U778" s="1" t="str">
        <f ca="1">IF(ISERROR(F767),"",VLOOKUP(A767,INDIRECT($F$8),8+(O778-1)*3))</f>
        <v/>
      </c>
      <c r="V778" s="1" t="str">
        <f ca="1">IF(ISERROR(F767),"",IF(N778=0,A778,""))</f>
        <v/>
      </c>
      <c r="W778" s="1" t="str">
        <f ca="1">IF(ISERROR(F767),"",IF(ISTEXT(VLOOKUP(B767,INDIRECT($F$8),6+(O778-1)*3)),11,IF(VLOOKUP(B767,INDIRECT($F$8),6+(O778-1)*3)&lt;S778*0.3,IF(VLOOKUP(B767,INDIRECT($F$8),8+(O778-1)*3)&lt;U778*0.4,IF(AND(0.4*U778-VLOOKUP(B767,INDIRECT($F$8),8+(O778-1)*3)&lt;=5,0.3*S778-VLOOKUP(B767,INDIRECT($F$8),6+(O778-1)*3)&lt;=5),MAX(0.4*U778-VLOOKUP(B767,INDIRECT($F$8),8+(O778-1)*3),0.3*S778-VLOOKUP(B767,INDIRECT($F$8),6+(O778-1)*3)),11),IF(0.3*S778-VLOOKUP(B767,INDIRECT($F$8),6+(O778-1)*3)&lt;=5,0.3*S778-VLOOKUP(B767,INDIRECT($F$8),6+(O778-1)*3),11)),IF(VLOOKUP(B767,INDIRECT($F$8),8+(O778-1)*3)&lt;U778*0.4,IF(U778*0.4-VLOOKUP(B767,INDIRECT($F$8),8+(O778-1)*3)&lt;=5,U778*0.4-VLOOKUP(B767,INDIRECT($F$8),8+(O778-1)*3),11),0))))</f>
        <v/>
      </c>
      <c r="X778" s="1" t="str">
        <f ca="1">IF(ISERROR(F767),"",IF(W778=0,"",_xlfn.TEXTJOIN("",FALSE," G+",W778," in ",A778)))</f>
        <v/>
      </c>
    </row>
    <row r="779" spans="1:24" ht="11.25" customHeight="1" x14ac:dyDescent="0.2">
      <c r="A779" s="7" t="str">
        <f ca="1">IF(ISERROR(F767),"",VLOOKUP(C767,INDIRECT($F$8),6+(O779-1)*3,0))</f>
        <v/>
      </c>
      <c r="B779" s="41" t="str">
        <f ca="1">IF(ISERROR(F767),"",VLOOKUP(D767,INDIRECT($F$8),6+(O779-1)*3,0))</f>
        <v/>
      </c>
      <c r="C779" s="41"/>
      <c r="D779" s="41"/>
      <c r="E779" s="41"/>
      <c r="F779" s="7" t="str">
        <f ca="1">IF(ISERROR(F767),"",VLOOKUP(E767,INDIRECT($F$8),6+(O779-1)*3,0))</f>
        <v/>
      </c>
      <c r="G779" s="42" t="str">
        <f ca="1">IF(ISERROR(F767),"",_xlfn.TEXTJOIN("/",FALSE,P779,S779))</f>
        <v/>
      </c>
      <c r="H779" s="42"/>
      <c r="I779" s="42" t="str">
        <f ca="1">IF(ISERROR(F767),"",_xlfn.TEXTJOIN("/",FALSE,Q779,T779))</f>
        <v/>
      </c>
      <c r="J779" s="42"/>
      <c r="K779" s="42" t="str">
        <f ca="1">IF(ISERROR(F767),"",_xlfn.TEXTJOIN("/",FALSE,R779,U779))</f>
        <v/>
      </c>
      <c r="L779" s="42"/>
      <c r="M779" s="7" t="str">
        <f ca="1">IF(ISERROR(F767),"",IF(ISTEXT(P779),IF(P779="A","Ab",IF(P779="D","Dt",IF(P779="UFM","UFM",IF(P779="NA","-")))),IF(AND(ISBLANK(P779),ISBLANK(R779)),"",IF(P779&lt;0.3*S779,"F",IF(ISBLANK(R779),"",IF(ISTEXT(R779),R779,IF(R779&gt;=0.95*U779,"O",IF(R779&gt;=0.9*U779,"A+",IF(R779&gt;=0.85*U779,"A",IF(R779&gt;=0.8*U779,"B+",IF(R779&gt;=0.75*U779,"B",IF(R779&gt;=0.7*U779,"C+",IF(R779&gt;=0.65*U779,"C",IF(R779&gt;=0.6*U779,"D+",IF(R779&gt;=0.55*U779,"D",IF(R779&gt;=0.5*U779,"E+",IF(R779&gt;=0.45*U779,"E",IF(R779&gt;=0.4*U779,"P",IF(R779&lt;0.4*U779,"F",R779)))))))))))))))))))</f>
        <v/>
      </c>
      <c r="N779" s="8" t="e">
        <f t="shared" ca="1" si="79"/>
        <v>#N/A</v>
      </c>
      <c r="O779">
        <f t="shared" si="80"/>
        <v>8</v>
      </c>
      <c r="P779" s="1" t="str">
        <f ca="1">IF(ISERROR(F767),"",IF(ISTEXT(VLOOKUP(B767,INDIRECT($F$8),6+(O779-1)*3)),(VLOOKUP(B767,INDIRECT($F$8),6+(O779-1)*3)),SUM(VLOOKUP(B767,INDIRECT($F$8),6+(O779-1)*3),IF(W786,W779,0))))</f>
        <v/>
      </c>
      <c r="Q779" s="1" t="str">
        <f ca="1">IF(ISERROR(F767),"",VLOOKUP(B767,INDIRECT($F$8),7+(O779-1)*3))</f>
        <v/>
      </c>
      <c r="R779" s="1" t="str">
        <f ca="1">IF(ISERROR(F767),"",SUM(P779:Q779))</f>
        <v/>
      </c>
      <c r="S779" s="1" t="str">
        <f ca="1">IF(ISERROR(F767),"",VLOOKUP(A767,INDIRECT($F$8),6+(O779-1)*3))</f>
        <v/>
      </c>
      <c r="T779" s="1" t="str">
        <f ca="1">IF(ISERROR(F767),"",VLOOKUP(A767,INDIRECT($F$8),7+(O779-1)*3))</f>
        <v/>
      </c>
      <c r="U779" s="1" t="str">
        <f ca="1">IF(ISERROR(F767),"",VLOOKUP(A767,INDIRECT($F$8),8+(O779-1)*3))</f>
        <v/>
      </c>
      <c r="V779" s="1" t="str">
        <f ca="1">IF(ISERROR(F767),"",IF(N779=0,A779,""))</f>
        <v/>
      </c>
      <c r="W779" s="1" t="str">
        <f ca="1">IF(ISERROR(F767),"",IF(ISTEXT(VLOOKUP(B767,INDIRECT($F$8),6+(O779-1)*3)),11,IF(VLOOKUP(B767,INDIRECT($F$8),6+(O779-1)*3)&lt;S779*0.3,IF(VLOOKUP(B767,INDIRECT($F$8),8+(O779-1)*3)&lt;U779*0.4,IF(AND(0.4*U779-VLOOKUP(B767,INDIRECT($F$8),8+(O779-1)*3)&lt;=5,0.3*S779-VLOOKUP(B767,INDIRECT($F$8),6+(O779-1)*3)&lt;=5),MAX(0.4*U779-VLOOKUP(B767,INDIRECT($F$8),8+(O779-1)*3),0.3*S779-VLOOKUP(B767,INDIRECT($F$8),6+(O779-1)*3)),11),IF(0.3*S779-VLOOKUP(B767,INDIRECT($F$8),6+(O779-1)*3)&lt;=5,0.3*S779-VLOOKUP(B767,INDIRECT($F$8),6+(O779-1)*3),11)),IF(VLOOKUP(B767,INDIRECT($F$8),8+(O779-1)*3)&lt;U779*0.4,IF(U779*0.4-VLOOKUP(B767,INDIRECT($F$8),8+(O779-1)*3)&lt;=5,U779*0.4-VLOOKUP(B767,INDIRECT($F$8),8+(O779-1)*3),11),0))))</f>
        <v/>
      </c>
      <c r="X779" s="1" t="str">
        <f ca="1">IF(ISERROR(F767),"",IF(W779=0,"",_xlfn.TEXTJOIN("",FALSE," G+",W779," in ",A779)))</f>
        <v/>
      </c>
    </row>
    <row r="780" spans="1:24" ht="11.25" customHeight="1" x14ac:dyDescent="0.2">
      <c r="A780" s="7" t="str">
        <f ca="1">IF(ISERROR(F767),"",VLOOKUP(C767,INDIRECT($F$8),6+(O780-1)*3,0))</f>
        <v/>
      </c>
      <c r="B780" s="41" t="str">
        <f ca="1">IF(ISERROR(F767),"",VLOOKUP(D767,INDIRECT($F$8),6+(O780-1)*3-Z780,0))</f>
        <v/>
      </c>
      <c r="C780" s="41"/>
      <c r="D780" s="41"/>
      <c r="E780" s="41"/>
      <c r="F780" s="7" t="str">
        <f ca="1">IF(ISERROR(F767),"",VLOOKUP(E767,INDIRECT($F$8),6+(O780-1)*3,0))</f>
        <v/>
      </c>
      <c r="G780" s="42" t="str">
        <f ca="1">IF(ISERROR(F767),"",_xlfn.TEXTJOIN("/",FALSE,P780,S780))</f>
        <v/>
      </c>
      <c r="H780" s="42"/>
      <c r="I780" s="42" t="str">
        <f ca="1">IF(ISERROR(F767),"",_xlfn.TEXTJOIN("/",FALSE,Q780,T780))</f>
        <v/>
      </c>
      <c r="J780" s="42"/>
      <c r="K780" s="42" t="str">
        <f ca="1">IF(ISERROR(F767),"",_xlfn.TEXTJOIN("/",FALSE,R780,U780))</f>
        <v/>
      </c>
      <c r="L780" s="42"/>
      <c r="M780" s="7" t="str">
        <f ca="1">IF(ISERROR(F767),"",IF(ISTEXT(P780),IF(P780="A","Ab",IF(P780="D","Dt",IF(P780="UFM","UFM",IF(P780="NA","-")))),IF(AND(ISBLANK(P780),ISBLANK(R780)),"",IF(P780&lt;0.3*S780,"F",IF(ISBLANK(R780),"",IF(ISTEXT(R780),R780,IF(R780&gt;=0.95*U780,"O",IF(R780&gt;=0.9*U780,"A+",IF(R780&gt;=0.85*U780,"A",IF(R780&gt;=0.8*U780,"B+",IF(R780&gt;=0.75*U780,"B",IF(R780&gt;=0.7*U780,"C+",IF(R780&gt;=0.65*U780,"C",IF(R780&gt;=0.6*U780,"D+",IF(R780&gt;=0.55*U780,"D",IF(R780&gt;=0.5*U780,"E+",IF(R780&gt;=0.45*U780,"E",IF(R780&gt;=0.4*U780,"P",IF(R780&lt;0.4*U780,"F",R780)))))))))))))))))))</f>
        <v/>
      </c>
      <c r="N780" s="8" t="e">
        <f t="shared" ca="1" si="79"/>
        <v>#N/A</v>
      </c>
      <c r="O780">
        <f t="shared" si="80"/>
        <v>9</v>
      </c>
      <c r="P780" s="1" t="str">
        <f ca="1">IF(ISERROR(F767),"",IF(ISTEXT(VLOOKUP(B767,INDIRECT($F$8),6+(O780-1)*3)),(VLOOKUP(B767,INDIRECT($F$8),6+(O780-1)*3)),SUM(VLOOKUP(B767,INDIRECT($F$8),6+(O780-1)*3),IF(W786,W780,0))))</f>
        <v/>
      </c>
      <c r="Q780" s="1" t="str">
        <f ca="1">IF(ISERROR(F767),"",VLOOKUP(B767,INDIRECT($F$8),7+(O780-1)*3))</f>
        <v/>
      </c>
      <c r="R780" s="1" t="str">
        <f ca="1">IF(ISERROR(F767),"",SUM(P780:Q780))</f>
        <v/>
      </c>
      <c r="S780" s="1" t="str">
        <f ca="1">IF(ISERROR(F767),"",VLOOKUP(A767,INDIRECT($F$8),6+(O780-1)*3))</f>
        <v/>
      </c>
      <c r="T780" s="1" t="str">
        <f ca="1">IF(ISERROR(F767),"",VLOOKUP(A767,INDIRECT($F$8),7+(O780-1)*3))</f>
        <v/>
      </c>
      <c r="U780" s="1" t="str">
        <f ca="1">IF(ISERROR(F767),"",VLOOKUP(A767,INDIRECT($F$8),8+(O780-1)*3))</f>
        <v/>
      </c>
      <c r="V780" s="1" t="str">
        <f ca="1">IF(ISERROR(F767),"",IF(N780=0,A780,""))</f>
        <v/>
      </c>
      <c r="W780" s="1" t="str">
        <f ca="1">IF(ISERROR(F767),"",IF(ISTEXT(VLOOKUP(B767,INDIRECT($F$8),6+(O780-1)*3)),11,IF(VLOOKUP(B767,INDIRECT($F$8),6+(O780-1)*3)&lt;S780*0.3,IF(VLOOKUP(B767,INDIRECT($F$8),8+(O780-1)*3)&lt;U780*0.4,IF(AND(0.4*U780-VLOOKUP(B767,INDIRECT($F$8),8+(O780-1)*3)&lt;=5,0.3*S780-VLOOKUP(B767,INDIRECT($F$8),6+(O780-1)*3)&lt;=5),MAX(0.4*U780-VLOOKUP(B767,INDIRECT($F$8),8+(O780-1)*3),0.3*S780-VLOOKUP(B767,INDIRECT($F$8),6+(O780-1)*3)),11),IF(0.3*S780-VLOOKUP(B767,INDIRECT($F$8),6+(O780-1)*3)&lt;=5,0.3*S780-VLOOKUP(B767,INDIRECT($F$8),6+(O780-1)*3),11)),IF(VLOOKUP(B767,INDIRECT($F$8),8+(O780-1)*3)&lt;U780*0.4,IF(U780*0.4-VLOOKUP(B767,INDIRECT($F$8),8+(O780-1)*3)&lt;=5,U780*0.4-VLOOKUP(B767,INDIRECT($F$8),8+(O780-1)*3),11),0))))</f>
        <v/>
      </c>
      <c r="X780" s="1" t="str">
        <f ca="1">IF(ISERROR(F767),"",IF(W780=0,"",_xlfn.TEXTJOIN("",FALSE," G+",W780," in ",A780)))</f>
        <v/>
      </c>
    </row>
    <row r="781" spans="1:24" ht="11.25" customHeight="1" x14ac:dyDescent="0.2">
      <c r="A781" s="7" t="str">
        <f ca="1">IF(ISERROR(F767),"",VLOOKUP(C767,INDIRECT($F$8),6+(O781-1)*3,0))</f>
        <v/>
      </c>
      <c r="B781" s="41" t="str">
        <f ca="1">IF(ISERROR(F767),"",VLOOKUP(D767,INDIRECT($F$8),6+(O781-1)*3-Z781,0))</f>
        <v/>
      </c>
      <c r="C781" s="41"/>
      <c r="D781" s="41"/>
      <c r="E781" s="41"/>
      <c r="F781" s="7" t="str">
        <f ca="1">IF(ISERROR(F767),"",VLOOKUP(E767,INDIRECT($F$8),6+(O781-1)*3,0))</f>
        <v/>
      </c>
      <c r="G781" s="42" t="str">
        <f ca="1">IF(ISERROR(F767),"",_xlfn.TEXTJOIN("/",FALSE,P781,S781))</f>
        <v/>
      </c>
      <c r="H781" s="42"/>
      <c r="I781" s="42" t="str">
        <f ca="1">IF(ISERROR(F767),"",_xlfn.TEXTJOIN("/",FALSE,Q781,T781))</f>
        <v/>
      </c>
      <c r="J781" s="42"/>
      <c r="K781" s="42" t="str">
        <f ca="1">IF(ISERROR(F767),"",_xlfn.TEXTJOIN("/",FALSE,R781,U781))</f>
        <v/>
      </c>
      <c r="L781" s="42"/>
      <c r="M781" s="7" t="str">
        <f ca="1">IF(ISERROR(F767),"",IF(ISTEXT(P781),IF(P781="A","Ab",IF(P781="D","Dt",IF(P781="UFM","UFM",IF(P781="NA","-")))),IF(AND(ISBLANK(P781),ISBLANK(R781)),"",IF(P781&lt;0.3*S781,"F",IF(ISBLANK(R781),"",IF(ISTEXT(R781),R781,IF(R781&gt;=0.95*U781,"O",IF(R781&gt;=0.9*U781,"A+",IF(R781&gt;=0.85*U781,"A",IF(R781&gt;=0.8*U781,"B+",IF(R781&gt;=0.75*U781,"B",IF(R781&gt;=0.7*U781,"C+",IF(R781&gt;=0.65*U781,"C",IF(R781&gt;=0.6*U781,"D+",IF(R781&gt;=0.55*U781,"D",IF(R781&gt;=0.5*U781,"E+",IF(R781&gt;=0.45*U781,"E",IF(R781&gt;=0.4*U781,"P",IF(R781&lt;0.4*U781,"F",R781)))))))))))))))))))</f>
        <v/>
      </c>
      <c r="N781" s="8" t="e">
        <f t="shared" ca="1" si="79"/>
        <v>#N/A</v>
      </c>
      <c r="O781">
        <f t="shared" si="80"/>
        <v>10</v>
      </c>
      <c r="P781" s="1" t="str">
        <f ca="1">IF(ISERROR(F767),"",IF(ISTEXT(VLOOKUP(B767,INDIRECT($F$8),6+(O781-1)*3)),(VLOOKUP(B767,INDIRECT($F$8),6+(O781-1)*3)),SUM(VLOOKUP(B767,INDIRECT($F$8),6+(O781-1)*3),IF(W786,W781,0))))</f>
        <v/>
      </c>
      <c r="Q781" s="1" t="str">
        <f ca="1">IF(ISERROR(F767),"",VLOOKUP(B767,INDIRECT($F$8),7+(O781-1)*3))</f>
        <v/>
      </c>
      <c r="R781" s="1" t="str">
        <f ca="1">IF(ISERROR(F767),"",SUM(P781:Q781))</f>
        <v/>
      </c>
      <c r="S781" s="1" t="str">
        <f ca="1">IF(ISERROR(F767),"",VLOOKUP(A767,INDIRECT($F$8),6+(O781-1)*3))</f>
        <v/>
      </c>
      <c r="T781" s="1" t="str">
        <f ca="1">IF(ISERROR(F767),"",VLOOKUP(A767,INDIRECT($F$8),7+(O781-1)*3))</f>
        <v/>
      </c>
      <c r="U781" s="1" t="str">
        <f ca="1">IF(ISERROR(F767),"",VLOOKUP(A767,INDIRECT($F$8),8+(O781-1)*3))</f>
        <v/>
      </c>
      <c r="V781" s="1" t="str">
        <f ca="1">IF(ISERROR(F767),"",IF(N781=0,A781,""))</f>
        <v/>
      </c>
      <c r="W781" s="1" t="str">
        <f ca="1">IF(ISERROR(F767),"",IF(ISTEXT(VLOOKUP(B767,INDIRECT($F$8),6+(O781-1)*3)),11,IF(VLOOKUP(B767,INDIRECT($F$8),6+(O781-1)*3)&lt;S781*0.3,IF(VLOOKUP(B767,INDIRECT($F$8),8+(O781-1)*3)&lt;U781*0.4,IF(AND(0.4*U781-VLOOKUP(B767,INDIRECT($F$8),8+(O781-1)*3)&lt;=5,0.3*S781-VLOOKUP(B767,INDIRECT($F$8),6+(O781-1)*3)&lt;=5),MAX(0.4*U781-VLOOKUP(B767,INDIRECT($F$8),8+(O781-1)*3),0.3*S781-VLOOKUP(B767,INDIRECT($F$8),6+(O781-1)*3)),11),IF(0.3*S781-VLOOKUP(B767,INDIRECT($F$8),6+(O781-1)*3)&lt;=5,0.3*S781-VLOOKUP(B767,INDIRECT($F$8),6+(O781-1)*3),11)),IF(VLOOKUP(B767,INDIRECT($F$8),8+(O781-1)*3)&lt;U781*0.4,IF(U781*0.4-VLOOKUP(B767,INDIRECT($F$8),8+(O781-1)*3)&lt;=5,U781*0.4-VLOOKUP(B767,INDIRECT($F$8),8+(O781-1)*3),11),0))))</f>
        <v/>
      </c>
      <c r="X781" s="1" t="str">
        <f ca="1">IF(ISERROR(F767),"",IF(W781=0,"",_xlfn.TEXTJOIN("",FALSE," G+",W781," in ",A781)))</f>
        <v/>
      </c>
    </row>
    <row r="782" spans="1:24" ht="11.25" customHeight="1" x14ac:dyDescent="0.2">
      <c r="A782" s="7" t="str">
        <f ca="1">IF(ISERROR(F767),"",VLOOKUP(C767,INDIRECT($F$8),6+(O782-1)*3,0))</f>
        <v/>
      </c>
      <c r="B782" s="41" t="str">
        <f ca="1">IF(ISERROR(F767),"",VLOOKUP(D767,INDIRECT($F$8),6+(O782-1)*3,0))</f>
        <v/>
      </c>
      <c r="C782" s="41"/>
      <c r="D782" s="41"/>
      <c r="E782" s="41"/>
      <c r="F782" s="7" t="str">
        <f ca="1">IF(ISERROR(F767),"",VLOOKUP(E767,INDIRECT($F$8),6+(O782-1)*3,0))</f>
        <v/>
      </c>
      <c r="G782" s="42" t="str">
        <f ca="1">IF(ISERROR(F767),"",_xlfn.TEXTJOIN("/",FALSE,P782,S782))</f>
        <v/>
      </c>
      <c r="H782" s="42"/>
      <c r="I782" s="42" t="str">
        <f ca="1">IF(ISERROR(F767),"",_xlfn.TEXTJOIN("/",FALSE,Q782,T782))</f>
        <v/>
      </c>
      <c r="J782" s="42"/>
      <c r="K782" s="42" t="str">
        <f ca="1">IF(ISERROR(F767),"",_xlfn.TEXTJOIN("/",FALSE,R782,U782))</f>
        <v/>
      </c>
      <c r="L782" s="42"/>
      <c r="M782" s="7" t="str">
        <f ca="1">IF(ISERROR(F767),"",IF(ISTEXT(P782),IF(P782="A","Ab",IF(P782="D","Dt",IF(P782="UFM","UFM",IF(P782="NA","-")))),IF(AND(ISBLANK(P782),ISBLANK(R782)),"",IF(P782&lt;0.3*S782,"F",IF(ISBLANK(R782),"",IF(ISTEXT(R782),R782,IF(R782&gt;=0.95*U782,"O",IF(R782&gt;=0.9*U782,"A+",IF(R782&gt;=0.85*U782,"A",IF(R782&gt;=0.8*U782,"B+",IF(R782&gt;=0.75*U782,"B",IF(R782&gt;=0.7*U782,"C+",IF(R782&gt;=0.65*U782,"C",IF(R782&gt;=0.6*U782,"D+",IF(R782&gt;=0.55*U782,"D",IF(R782&gt;=0.5*U782,"E+",IF(R782&gt;=0.45*U782,"E",IF(R782&gt;=0.4*U782,"P",IF(R782&lt;0.4*U782,"F",R782)))))))))))))))))))</f>
        <v/>
      </c>
      <c r="N782" s="8" t="e">
        <f t="shared" ca="1" si="79"/>
        <v>#N/A</v>
      </c>
      <c r="O782">
        <f t="shared" si="80"/>
        <v>11</v>
      </c>
      <c r="P782" s="1" t="str">
        <f ca="1">IF(ISERROR(F767),"",IF(ISTEXT(VLOOKUP(B767,INDIRECT($F$8),6+(O782-1)*3)),(VLOOKUP(B767,INDIRECT($F$8),6+(O782-1)*3)),SUM(VLOOKUP(B767,INDIRECT($F$8),6+(O782-1)*3),IF(W786,W782,0))))</f>
        <v/>
      </c>
      <c r="Q782" s="1" t="str">
        <f ca="1">IF(ISERROR(F767),"",VLOOKUP(B767,INDIRECT($F$8),7+(O782-1)*3))</f>
        <v/>
      </c>
      <c r="R782" s="1" t="str">
        <f ca="1">IF(ISERROR(F767),"",SUM(P782:Q782))</f>
        <v/>
      </c>
      <c r="S782" s="1" t="str">
        <f ca="1">IF(ISERROR(F767),"",VLOOKUP(A767,INDIRECT($F$8),6+(O782-1)*3))</f>
        <v/>
      </c>
      <c r="T782" s="1" t="str">
        <f ca="1">IF(ISERROR(F767),"",VLOOKUP(A767,INDIRECT($F$8),7+(O782-1)*3))</f>
        <v/>
      </c>
      <c r="U782" s="1" t="str">
        <f ca="1">IF(ISERROR(F767),"",VLOOKUP(A767,INDIRECT($F$8),8+(O782-1)*3))</f>
        <v/>
      </c>
      <c r="V782" s="1" t="str">
        <f ca="1">IF(ISERROR(F767),"",IF(N782=0,A782,""))</f>
        <v/>
      </c>
      <c r="W782" s="1" t="str">
        <f ca="1">IF(ISERROR(F767),"",IF(ISTEXT(VLOOKUP(B767,INDIRECT($F$8),6+(O782-1)*3)),11,IF(VLOOKUP(B767,INDIRECT($F$8),6+(O782-1)*3)&lt;S782*0.3,IF(VLOOKUP(B767,INDIRECT($F$8),8+(O782-1)*3)&lt;U782*0.4,IF(AND(0.4*U782-VLOOKUP(B767,INDIRECT($F$8),8+(O782-1)*3)&lt;=5,0.3*S782-VLOOKUP(B767,INDIRECT($F$8),6+(O782-1)*3)&lt;=5),MAX(0.4*U782-VLOOKUP(B767,INDIRECT($F$8),8+(O782-1)*3),0.3*S782-VLOOKUP(B767,INDIRECT($F$8),6+(O782-1)*3)),11),IF(0.3*S782-VLOOKUP(B767,INDIRECT($F$8),6+(O782-1)*3)&lt;=5,0.3*S782-VLOOKUP(B767,INDIRECT($F$8),6+(O782-1)*3),11)),IF(VLOOKUP(B767,INDIRECT($F$8),8+(O782-1)*3)&lt;U782*0.4,IF(U782*0.4-VLOOKUP(B767,INDIRECT($F$8),8+(O782-1)*3)&lt;=5,U782*0.4-VLOOKUP(B767,INDIRECT($F$8),8+(O782-1)*3),11),0))))</f>
        <v/>
      </c>
      <c r="X782" s="1" t="str">
        <f ca="1">IF(ISERROR(F767),"",IF(W782=0,"",_xlfn.TEXTJOIN("",FALSE," G+",W782," in ",A782)))</f>
        <v/>
      </c>
    </row>
    <row r="783" spans="1:24" ht="11.25" customHeight="1" x14ac:dyDescent="0.2">
      <c r="A783" s="7" t="str">
        <f ca="1">IF(ISERROR(F767),"",VLOOKUP(C767,INDIRECT($F$8),6+(O783-1)*3,0))</f>
        <v/>
      </c>
      <c r="B783" s="41" t="str">
        <f ca="1">IF(ISERROR(F767),"",VLOOKUP(D767,INDIRECT($F$8),6+(O783-1)*3,0))</f>
        <v/>
      </c>
      <c r="C783" s="41"/>
      <c r="D783" s="41"/>
      <c r="E783" s="41"/>
      <c r="F783" s="7" t="str">
        <f ca="1">IF(ISERROR(F767),"",VLOOKUP(E767,INDIRECT($F$8),6+(O783-1)*3,0))</f>
        <v/>
      </c>
      <c r="G783" s="42" t="str">
        <f ca="1">IF(ISERROR(F767),"",_xlfn.TEXTJOIN("/",FALSE,P783,S783))</f>
        <v/>
      </c>
      <c r="H783" s="42"/>
      <c r="I783" s="42" t="str">
        <f ca="1">IF(ISERROR(F767),"",_xlfn.TEXTJOIN("/",FALSE,Q783,T783))</f>
        <v/>
      </c>
      <c r="J783" s="42"/>
      <c r="K783" s="42" t="str">
        <f ca="1">IF(ISERROR(F767),"",_xlfn.TEXTJOIN("/",FALSE,R783,U783))</f>
        <v/>
      </c>
      <c r="L783" s="42"/>
      <c r="M783" s="7" t="str">
        <f ca="1">IF(ISERROR(F767),"",IF(ISTEXT(P783),IF(P783="A","Ab",IF(P783="D","Dt",IF(P783="UFM","UFM",IF(P783="NA","-")))),IF(AND(ISBLANK(P783),ISBLANK(R783)),"",IF(P783&lt;0.3*S783,"F",IF(ISBLANK(R783),"",IF(ISTEXT(R783),R783,IF(R783&gt;=0.95*U783,"O",IF(R783&gt;=0.9*U783,"A+",IF(R783&gt;=0.85*U783,"A",IF(R783&gt;=0.8*U783,"B+",IF(R783&gt;=0.75*U783,"B",IF(R783&gt;=0.7*U783,"C+",IF(R783&gt;=0.65*U783,"C",IF(R783&gt;=0.6*U783,"D+",IF(R783&gt;=0.55*U783,"D",IF(R783&gt;=0.5*U783,"E+",IF(R783&gt;=0.45*U783,"E",IF(R783&gt;=0.4*U783,"P",IF(R783&lt;0.4*U783,"F",R783)))))))))))))))))))</f>
        <v/>
      </c>
      <c r="N783" s="8" t="e">
        <f t="shared" ca="1" si="79"/>
        <v>#N/A</v>
      </c>
      <c r="O783">
        <f t="shared" si="80"/>
        <v>12</v>
      </c>
      <c r="P783" s="1" t="str">
        <f ca="1">IF(ISERROR(F767),"",IF(ISTEXT(VLOOKUP(B767,INDIRECT($F$8),6+(O783-1)*3)),(VLOOKUP(B767,INDIRECT($F$8),6+(O783-1)*3)),SUM(VLOOKUP(B767,INDIRECT($F$8),6+(O783-1)*3),IF(W786,W783,0))))</f>
        <v/>
      </c>
      <c r="Q783" s="1" t="str">
        <f ca="1">IF(ISERROR(F767),"",VLOOKUP(B767,INDIRECT($F$8),7+(O783-1)*3))</f>
        <v/>
      </c>
      <c r="R783" s="1" t="str">
        <f ca="1">IF(ISERROR(F767),"",SUM(P783:Q783))</f>
        <v/>
      </c>
      <c r="S783" s="1" t="str">
        <f ca="1">IF(ISERROR(F767),"",VLOOKUP(A767,INDIRECT($F$8),6+(O783-1)*3))</f>
        <v/>
      </c>
      <c r="T783" s="1" t="str">
        <f ca="1">IF(ISERROR(F767),"",VLOOKUP(A767,INDIRECT($F$8),7+(O783-1)*3))</f>
        <v/>
      </c>
      <c r="U783" s="1" t="str">
        <f ca="1">IF(ISERROR(F767),"",VLOOKUP(A767,INDIRECT($F$8),8+(O783-1)*3))</f>
        <v/>
      </c>
      <c r="V783" s="1" t="str">
        <f ca="1">IF(ISERROR(F767),"",IF(N783=0,A783,""))</f>
        <v/>
      </c>
      <c r="W783" s="1" t="str">
        <f ca="1">IF(ISERROR(F767),"",IF(ISTEXT(VLOOKUP(B767,INDIRECT($F$8),6+(O783-1)*3)),11,IF(VLOOKUP(B767,INDIRECT($F$8),6+(O783-1)*3)&lt;S783*0.3,IF(VLOOKUP(B767,INDIRECT($F$8),8+(O783-1)*3)&lt;U783*0.4,IF(AND(0.4*U783-VLOOKUP(B767,INDIRECT($F$8),8+(O783-1)*3)&lt;=5,0.3*S783-VLOOKUP(B767,INDIRECT($F$8),6+(O783-1)*3)&lt;=5),MAX(0.4*U783-VLOOKUP(B767,INDIRECT($F$8),8+(O783-1)*3),0.3*S783-VLOOKUP(B767,INDIRECT($F$8),6+(O783-1)*3)),11),IF(0.3*S783-VLOOKUP(B767,INDIRECT($F$8),6+(O783-1)*3)&lt;=5,0.3*S783-VLOOKUP(B767,INDIRECT($F$8),6+(O783-1)*3),11)),IF(VLOOKUP(B767,INDIRECT($F$8),8+(O783-1)*3)&lt;U783*0.4,IF(U783*0.4-VLOOKUP(B767,INDIRECT($F$8),8+(O783-1)*3)&lt;=5,U783*0.4-VLOOKUP(B767,INDIRECT($F$8),8+(O783-1)*3),11),0))))</f>
        <v/>
      </c>
      <c r="X783" s="1" t="str">
        <f ca="1">IF(ISERROR(F767),"",IF(W783=0,"",_xlfn.TEXTJOIN("",FALSE," G+",W783," in ",A783)))</f>
        <v/>
      </c>
    </row>
    <row r="784" spans="1:24" ht="11.25" customHeight="1" x14ac:dyDescent="0.2">
      <c r="A784" s="7" t="str">
        <f ca="1">IF(ISERROR(F767),"",VLOOKUP(C767,INDIRECT($F$8),6+(O784-1)*3,0))</f>
        <v/>
      </c>
      <c r="B784" s="41" t="str">
        <f ca="1">IF(ISERROR(F767),"",VLOOKUP(D767,INDIRECT($F$8),6+(O784-1)*3,0))</f>
        <v/>
      </c>
      <c r="C784" s="41"/>
      <c r="D784" s="41"/>
      <c r="E784" s="41"/>
      <c r="F784" s="7" t="str">
        <f ca="1">IF(ISERROR(F767),"",VLOOKUP(E767,INDIRECT($F$8),6+(O784-1)*3,0))</f>
        <v/>
      </c>
      <c r="G784" s="42" t="str">
        <f ca="1">IF(ISERROR(F767),"",_xlfn.TEXTJOIN("/",FALSE,P784,S784))</f>
        <v/>
      </c>
      <c r="H784" s="42"/>
      <c r="I784" s="42" t="str">
        <f ca="1">IF(ISERROR(F767),"",_xlfn.TEXTJOIN("/",FALSE,Q784,T784))</f>
        <v/>
      </c>
      <c r="J784" s="42"/>
      <c r="K784" s="42" t="str">
        <f ca="1">IF(ISERROR(F767),"",_xlfn.TEXTJOIN("/",FALSE,R784,U784))</f>
        <v/>
      </c>
      <c r="L784" s="42"/>
      <c r="M784" s="7" t="str">
        <f ca="1">IF(ISERROR(F767),"",IF(ISTEXT(P784),IF(P784="A","Ab",IF(P784="D","Dt",IF(P784="UFM","UFM",IF(P784="NA","-")))),IF(AND(ISBLANK(P784),ISBLANK(R784)),"",IF(P784&lt;0.3*S784,"F",IF(ISBLANK(R784),"",IF(ISTEXT(R784),R784,IF(R784&gt;=0.95*U784,"O",IF(R784&gt;=0.9*U784,"A+",IF(R784&gt;=0.85*U784,"A",IF(R784&gt;=0.8*U784,"B+",IF(R784&gt;=0.75*U784,"B",IF(R784&gt;=0.7*U784,"C+",IF(R784&gt;=0.65*U784,"C",IF(R784&gt;=0.6*U784,"D+",IF(R784&gt;=0.55*U784,"D",IF(R784&gt;=0.5*U784,"E+",IF(R784&gt;=0.45*U784,"E",IF(R784&gt;=0.4*U784,"P",IF(R784&lt;0.4*U784,"F",R784)))))))))))))))))))</f>
        <v/>
      </c>
      <c r="N784" s="8" t="e">
        <f t="shared" ca="1" si="79"/>
        <v>#N/A</v>
      </c>
      <c r="O784">
        <f t="shared" si="80"/>
        <v>13</v>
      </c>
      <c r="P784" s="1" t="str">
        <f ca="1">IF(ISERROR(F767),"",IF(ISTEXT(VLOOKUP(B767,INDIRECT($F$8),6+(O784-1)*3)),(VLOOKUP(B767,INDIRECT($F$8),6+(O784-1)*3)),SUM(VLOOKUP(B767,INDIRECT($F$8),6+(O784-1)*3),IF(W786,W784,0))))</f>
        <v/>
      </c>
      <c r="Q784" s="1" t="str">
        <f ca="1">IF(ISERROR(F767),"",VLOOKUP(B767,INDIRECT($F$8),7+(O784-1)*3))</f>
        <v/>
      </c>
      <c r="R784" s="1" t="str">
        <f ca="1">IF(ISERROR(F767),"",SUM(P784:Q784))</f>
        <v/>
      </c>
      <c r="S784" s="1" t="str">
        <f ca="1">IF(ISERROR(F767),"",VLOOKUP(A767,INDIRECT($F$8),6+(O784-1)*3))</f>
        <v/>
      </c>
      <c r="T784" s="1" t="str">
        <f ca="1">IF(ISERROR(F767),"",VLOOKUP(A767,INDIRECT($F$8),7+(O784-1)*3))</f>
        <v/>
      </c>
      <c r="U784" s="1" t="str">
        <f ca="1">IF(ISERROR(F767),"",VLOOKUP(A767,INDIRECT($F$8),8+(O784-1)*3))</f>
        <v/>
      </c>
      <c r="V784" s="1"/>
      <c r="W784" s="1" t="str">
        <f ca="1">IF(ISERROR(F767),"",IF(ISTEXT(VLOOKUP(B767,INDIRECT($F$8),6+(O784-1)*3)),11,IF(VLOOKUP(B767,INDIRECT($F$8),6+(O784-1)*3)&lt;S784*0.3,IF(VLOOKUP(B767,INDIRECT($F$8),8+(O784-1)*3)&lt;U784*0.4,IF(AND(0.4*U784-VLOOKUP(B767,INDIRECT($F$8),8+(O784-1)*3)&lt;=5,0.3*S784-VLOOKUP(B767,INDIRECT($F$8),6+(O784-1)*3)&lt;=5),MAX(0.4*U784-VLOOKUP(B767,INDIRECT($F$8),8+(O784-1)*3),0.3*S784-VLOOKUP(B767,INDIRECT($F$8),6+(O784-1)*3)),11),IF(0.3*S784-VLOOKUP(B767,INDIRECT($F$8),6+(O784-1)*3)&lt;=5,0.3*S784-VLOOKUP(B767,INDIRECT($F$8),6+(O784-1)*3),11)),IF(VLOOKUP(B767,INDIRECT($F$8),8+(O784-1)*3)&lt;U784*0.4,IF(U784*0.4-VLOOKUP(B767,INDIRECT($F$8),8+(O784-1)*3)&lt;=5,U784*0.4-VLOOKUP(B767,INDIRECT($F$8),8+(O784-1)*3),11),0))))</f>
        <v/>
      </c>
      <c r="X784" s="1" t="str">
        <f ca="1">IF(ISERROR(F767),"",IF(W784=0,"",_xlfn.TEXTJOIN("",FALSE," G+",W784," in ",A784)))</f>
        <v/>
      </c>
    </row>
    <row r="785" spans="1:24" s="32" customFormat="1" ht="11.25" customHeight="1" x14ac:dyDescent="0.2">
      <c r="A785" s="31" t="str">
        <f ca="1">IF(ISERROR(F767),"",VLOOKUP(C767,INDIRECT($F$8),6+(O785-1)*3-Y785,0))</f>
        <v/>
      </c>
      <c r="B785" s="49" t="str">
        <f ca="1">IF(ISERROR(F767),"",VLOOKUP(D767,INDIRECT($F$8),6+(O785-1)*3-Z785,0))</f>
        <v/>
      </c>
      <c r="C785" s="49"/>
      <c r="D785" s="49"/>
      <c r="E785" s="49"/>
      <c r="F785" s="31" t="str">
        <f ca="1">IF(ISERROR(F767),"",VLOOKUP(E767,INDIRECT($F$8),6+(O785-1)*3-AA785,0))</f>
        <v/>
      </c>
      <c r="G785" s="50" t="str">
        <f ca="1">IF(ISERROR(F767),"","-")</f>
        <v/>
      </c>
      <c r="H785" s="50"/>
      <c r="I785" s="50" t="str">
        <f ca="1">IF(ISERROR(F767),"",_xlfn.TEXTJOIN("/",FALSE,Q785,T785))</f>
        <v/>
      </c>
      <c r="J785" s="50"/>
      <c r="K785" s="50" t="str">
        <f ca="1">IF(ISERROR(F767),"",_xlfn.TEXTJOIN("/",FALSE,R785,U785))</f>
        <v/>
      </c>
      <c r="L785" s="50"/>
      <c r="M785" s="7" t="b">
        <f ca="1">IF(ISERROR(F768),"",IF(ISTEXT(P785),IF(P785="A","Ab",IF(P785="D","Dt",IF(P785="UFM","UFM",IF(P785="NA","")))),IF(AND(ISBLANK(P785),ISBLANK(R785)),"",IF(P785&lt;0.3*S785,"F",IF(ISBLANK(R785),"",IF(ISTEXT(R785),R785,IF(R785&gt;=0.95*U785,"O",IF(R785&gt;=0.9*U785,"A+",IF(R785&gt;=0.85*U785,"A",IF(R785&gt;=0.8*U785,"B+",IF(R785&gt;=0.75*U785,"B",IF(R785&gt;=0.7*U785,"C+",IF(R785&gt;=0.65*U785,"C",IF(R785&gt;=0.6*U785,"D+",IF(R785&gt;=0.55*U785,"D",IF(R785&gt;=0.5*U785,"E+",IF(R785&gt;=0.45*U785,"E",IF(R785&gt;=0.4*U785,"P",IF(R785&lt;0.4*U785,"F",R785)))))))))))))))))))</f>
        <v>0</v>
      </c>
      <c r="N785" s="8" t="e">
        <f t="shared" ref="N774:N785" ca="1" si="81">INDEX($Z$2:$Z$18,MATCH(M785,$Y$2:$Y$18,0))</f>
        <v>#N/A</v>
      </c>
      <c r="O785" s="32">
        <f t="shared" si="80"/>
        <v>14</v>
      </c>
      <c r="P785" s="33" t="str">
        <f ca="1">IF(ISERROR(F767),"",IF(ISTEXT(VLOOKUP(B\28,INDIRECT($F$8),6+(O785-1)*3)),(VLOOKUP(B767,INDIRECT($F$8),6+(O785-1)*3)),SUM(VLOOKUP(B767,INDIRECT($F$8),6+(O785-1)*3),IF(W786,W785,0))))</f>
        <v/>
      </c>
      <c r="Q785" s="33" t="str">
        <f ca="1">IF(ISERROR(F767),"",VLOOKUP(B767,INDIRECT($F$8),7+(O785-1)*3))</f>
        <v/>
      </c>
      <c r="R785" s="33" t="str">
        <f ca="1">IF(ISERROR(F767),"",SUM(P785:Q785))</f>
        <v/>
      </c>
      <c r="S785" s="33" t="str">
        <f ca="1">IF(ISERROR(F767),"",VLOOKUP(A767,INDIRECT($F$8),6+(O785-1)*3))</f>
        <v/>
      </c>
      <c r="T785" s="33" t="str">
        <f ca="1">IF(ISERROR(F767),"",VLOOKUP(A767,INDIRECT($F$8),7+(O785-1)*3))</f>
        <v/>
      </c>
      <c r="U785" s="33" t="str">
        <f ca="1">IF(ISERROR(F767),"",VLOOKUP(A767,INDIRECT($F$8),8+(O785-1)*3))</f>
        <v/>
      </c>
      <c r="V785" s="33"/>
      <c r="W785" s="33"/>
      <c r="X785" s="33" t="str">
        <f ca="1">IF(ISERROR(F767),"",IF(W785=0,"",_xlfn.TEXTJOIN("",FALSE," G+",W785," in ",A785)))</f>
        <v/>
      </c>
    </row>
    <row r="786" spans="1:24" ht="11.25" customHeight="1" x14ac:dyDescent="0.2">
      <c r="A786" s="43" t="str">
        <f ca="1">IF(ISERROR(F767),"",A763)</f>
        <v/>
      </c>
      <c r="B786" s="43"/>
      <c r="C786" s="43"/>
      <c r="D786" s="43"/>
      <c r="E786" s="43"/>
      <c r="F786" s="10" t="str">
        <f ca="1">IF(ISERROR(F767),"",SUM(F772:F785))</f>
        <v/>
      </c>
      <c r="G786" s="44" t="str">
        <f ca="1">IF(ISERROR(F767),"",_xlfn.TEXTJOIN("/",TRUE,SUMIF(F772:F785,"&gt;0",P772:P785),SUMIF(F772:F785,"&gt;0",S772:S785)))</f>
        <v/>
      </c>
      <c r="H786" s="44"/>
      <c r="I786" s="44" t="str">
        <f ca="1">IF(ISERROR(F767),"",_xlfn.TEXTJOIN("/",TRUE,SUMIF(F772:F785,"&gt;0",Q772:Q785),SUMIF(F772:F785,"&gt;0",T772:T785)))</f>
        <v/>
      </c>
      <c r="J786" s="44"/>
      <c r="K786" s="44" t="str">
        <f ca="1">IF(ISERROR(F767),"",_xlfn.TEXTJOIN("/",TRUE,SUMIF(F772:F785,"&gt;0",R772:R785),SUMIF(F772:F785,"&gt;0",U772:U785)))</f>
        <v/>
      </c>
      <c r="L786" s="44"/>
      <c r="M786" s="43" t="str">
        <f ca="1">IF(ISERROR(F767),"",SUMPRODUCT(N772:N784,F772:F784))</f>
        <v/>
      </c>
      <c r="N786" s="43"/>
      <c r="V786" s="1" t="str">
        <f ca="1">IF(ISERROR(F767),"",_xlfn.TEXTJOIN(", ",TRUE,V772:V785))</f>
        <v/>
      </c>
      <c r="W786" t="str">
        <f ca="1">IF(ISERROR(F767),"",IF(SUM(W772:W785)&lt;=W771,TRUE,FALSE))</f>
        <v/>
      </c>
      <c r="X786" s="1" t="str">
        <f ca="1">_xlfn.TEXTJOIN(",",TRUE,X772:X785)</f>
        <v/>
      </c>
    </row>
    <row r="787" spans="1:24" ht="11.25" customHeight="1" x14ac:dyDescent="0.2">
      <c r="A787" s="43" t="str">
        <f ca="1">IF(ISERROR(F767),"",A764)</f>
        <v/>
      </c>
      <c r="B787" s="45" t="str">
        <f ca="1">IF(ISERROR(F767),"",IF(V786="","PASS","CARRY OVER"))</f>
        <v/>
      </c>
      <c r="C787" s="45"/>
      <c r="D787" s="43" t="str">
        <f ca="1">IF(ISERROR(F767),"",D764)</f>
        <v/>
      </c>
      <c r="E787" s="45" t="str">
        <f ca="1">IF(ISERROR(F767),"",IF(W786,X786,IF(V786="","",_xlfn.TEXTJOIN("",TRUE,"BACK IN ",V786))))</f>
        <v/>
      </c>
      <c r="F787" s="45"/>
      <c r="G787" s="43" t="str">
        <f ca="1">IF(ISERROR(F767),"",G764)</f>
        <v/>
      </c>
      <c r="H787" s="46" t="str">
        <f ca="1">IF(ISERROR(F767),"",M786/F786)</f>
        <v/>
      </c>
      <c r="I787" s="43" t="str">
        <f ca="1">IF(ISERROR(F767),"",I764)</f>
        <v/>
      </c>
      <c r="J787" s="46" t="str">
        <f ca="1">IF(ISERROR(F767),"",VLOOKUP(B767,INDIRECT($F$8),12+(O785-1)*3,0))</f>
        <v/>
      </c>
      <c r="K787" s="45" t="str">
        <f ca="1">IF(ISERROR(F767),"",K764)</f>
        <v/>
      </c>
      <c r="L787" s="43" t="str">
        <f ca="1">IF(ISERROR(F767),"",SUMIF(N772:N784,"&gt;0",F772:F784))</f>
        <v/>
      </c>
      <c r="M787" s="45" t="str">
        <f ca="1">IF(ISERROR(F767),"",M764)</f>
        <v/>
      </c>
      <c r="N787" s="43" t="str">
        <f ca="1">IF(ISERROR(F767),"",VLOOKUP(B767,INDIRECT($F$8),10+(O785-1)*3,0))</f>
        <v/>
      </c>
    </row>
    <row r="788" spans="1:24" ht="11.25" customHeight="1" x14ac:dyDescent="0.2">
      <c r="A788" s="43"/>
      <c r="B788" s="45"/>
      <c r="C788" s="45"/>
      <c r="D788" s="43"/>
      <c r="E788" s="45"/>
      <c r="F788" s="45"/>
      <c r="G788" s="43"/>
      <c r="H788" s="46"/>
      <c r="I788" s="43"/>
      <c r="J788" s="46"/>
      <c r="K788" s="45"/>
      <c r="L788" s="43"/>
      <c r="M788" s="45"/>
      <c r="N788" s="43"/>
    </row>
    <row r="789" spans="1:24" ht="11.25" customHeight="1" x14ac:dyDescent="0.2">
      <c r="A789" s="43"/>
      <c r="B789" s="45"/>
      <c r="C789" s="45"/>
      <c r="D789" s="43"/>
      <c r="E789" s="45"/>
      <c r="F789" s="45"/>
      <c r="G789" s="43"/>
      <c r="H789" s="46"/>
      <c r="I789" s="43"/>
      <c r="J789" s="46"/>
      <c r="K789" s="45"/>
      <c r="L789" s="43"/>
      <c r="M789" s="45"/>
      <c r="N789" s="43"/>
    </row>
    <row r="790" spans="1:24" ht="11.25" customHeight="1" x14ac:dyDescent="0.2">
      <c r="A790" s="11" t="str">
        <f>A767</f>
        <v>MM</v>
      </c>
      <c r="B790" s="11">
        <f>B767+1</f>
        <v>35</v>
      </c>
      <c r="C790" s="11" t="str">
        <f>C767</f>
        <v>SC</v>
      </c>
      <c r="D790" s="11" t="str">
        <f>D767</f>
        <v>SN</v>
      </c>
      <c r="E790" s="11" t="str">
        <f>E767</f>
        <v>C</v>
      </c>
      <c r="F790" s="11" t="e">
        <f ca="1">VLOOKUP(B790,INDIRECT($F$8),4,0)</f>
        <v>#N/A</v>
      </c>
    </row>
    <row r="791" spans="1:24" ht="11.25" customHeight="1" x14ac:dyDescent="0.2">
      <c r="A791" s="47" t="str">
        <f ca="1">IF(ISERROR(F790),"",A768)</f>
        <v/>
      </c>
      <c r="B791" s="47" t="str">
        <f ca="1">IFERROR(VLOOKUP(B790,INDIRECT($F$8),4,0),"")</f>
        <v/>
      </c>
      <c r="C791" s="47"/>
      <c r="D791" s="47" t="str">
        <f ca="1">IF(ISERROR(F790),"",D768)</f>
        <v/>
      </c>
      <c r="E791" s="47" t="str">
        <f ca="1">IFERROR(VLOOKUP(B790,INDIRECT($F$8),5,0),"")</f>
        <v/>
      </c>
      <c r="F791" s="47"/>
      <c r="G791" s="47" t="str">
        <f ca="1">IF(ISERROR(F790),"",G768)</f>
        <v/>
      </c>
      <c r="H791" s="47"/>
      <c r="I791" s="48" t="str">
        <f ca="1">IFERROR(VLOOKUP(B790,INDIRECT($F$8),2,0),"")</f>
        <v/>
      </c>
      <c r="J791" s="48"/>
      <c r="K791" s="47" t="str">
        <f ca="1">IF(ISERROR(F790),"",K768)</f>
        <v/>
      </c>
      <c r="L791" s="47"/>
      <c r="M791" s="48" t="str">
        <f ca="1">IFERROR(VLOOKUP(B790,INDIRECT($F$8),3,0),"")</f>
        <v/>
      </c>
      <c r="N791" s="48"/>
    </row>
    <row r="792" spans="1:24" ht="11.25" customHeight="1" x14ac:dyDescent="0.2">
      <c r="A792" s="47"/>
      <c r="B792" s="47"/>
      <c r="C792" s="47"/>
      <c r="D792" s="47"/>
      <c r="E792" s="47"/>
      <c r="F792" s="47"/>
      <c r="G792" s="47"/>
      <c r="H792" s="47"/>
      <c r="I792" s="48"/>
      <c r="J792" s="48"/>
      <c r="K792" s="47"/>
      <c r="L792" s="47"/>
      <c r="M792" s="48"/>
      <c r="N792" s="48"/>
    </row>
    <row r="793" spans="1:24" ht="11.25" customHeight="1" x14ac:dyDescent="0.2">
      <c r="A793" s="45" t="str">
        <f ca="1">IF(ISERROR(F790),"",A770)</f>
        <v/>
      </c>
      <c r="B793" s="45" t="str">
        <f ca="1">IF(ISERROR(F790),"",B770)</f>
        <v/>
      </c>
      <c r="C793" s="45"/>
      <c r="D793" s="45"/>
      <c r="E793" s="45"/>
      <c r="F793" s="45" t="str">
        <f ca="1">IF(ISERROR(F790),"",F770)</f>
        <v/>
      </c>
      <c r="G793" s="45" t="str">
        <f ca="1">IF(ISERROR(F790),"",G770)</f>
        <v/>
      </c>
      <c r="H793" s="45"/>
      <c r="I793" s="45" t="str">
        <f ca="1">IF(ISERROR(F790),"",I770)</f>
        <v/>
      </c>
      <c r="J793" s="45"/>
      <c r="K793" s="45" t="str">
        <f ca="1">IF(ISERROR(F790),"",K770)</f>
        <v/>
      </c>
      <c r="L793" s="45"/>
      <c r="M793" s="45" t="str">
        <f ca="1">IF(ISERROR(F790),"",M770)</f>
        <v/>
      </c>
      <c r="N793" s="45" t="str">
        <f ca="1">IF(ISERROR(F790),"",N770)</f>
        <v/>
      </c>
    </row>
    <row r="794" spans="1:24" ht="11.25" customHeight="1" x14ac:dyDescent="0.2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W794">
        <f ca="1">IF(ISNUMBER(MATCH($F$8,{"I","III","V","VII"},0)),10,10-INDEX(INDIRECT(_xlfn.TEXTJOIN("",TRUE,"SEM_",$G$8,"!",ADDRESS(6,4+$I$8*3+4),":",ADDRESS(5+$H$8,4+$I$8*3+4))),MATCH(INDIRECT(_xlfn.TEXTJOIN("",TRUE,"TC_",$F$8,"!",ADDRESS(ROW(I791),COLUMN(I791)))),INDIRECT(_xlfn.TEXTJOIN("",TRUE,"SEM_",$G$8,"!",ADDRESS(6,2),":",ADDRESS(5+$H$8,2))))))</f>
        <v>10</v>
      </c>
    </row>
    <row r="795" spans="1:24" ht="11.25" customHeight="1" x14ac:dyDescent="0.2">
      <c r="A795" s="7" t="str">
        <f ca="1">IF(ISERROR(F790),"",VLOOKUP(C790,INDIRECT($F$8),6+(O795-1)*3,0))</f>
        <v/>
      </c>
      <c r="B795" s="41" t="str">
        <f ca="1">IF(ISERROR(F790),"",VLOOKUP(D790,INDIRECT($F$8),6+(O795-1)*3,0))</f>
        <v/>
      </c>
      <c r="C795" s="41"/>
      <c r="D795" s="41"/>
      <c r="E795" s="41"/>
      <c r="F795" s="7" t="str">
        <f ca="1">IF(ISERROR(F790),"",VLOOKUP(E790,INDIRECT($F$8),6+(O795-1)*3,0))</f>
        <v/>
      </c>
      <c r="G795" s="42" t="str">
        <f ca="1">IF(ISERROR(F790),"",_xlfn.TEXTJOIN("/",FALSE,P795,S795))</f>
        <v/>
      </c>
      <c r="H795" s="42"/>
      <c r="I795" s="42" t="str">
        <f ca="1">IF(ISERROR(F790),"",_xlfn.TEXTJOIN("/",FALSE,Q795,T795))</f>
        <v/>
      </c>
      <c r="J795" s="42"/>
      <c r="K795" s="42" t="str">
        <f ca="1">IF(ISERROR(F790),"",_xlfn.TEXTJOIN("/",FALSE,R795,U795))</f>
        <v/>
      </c>
      <c r="L795" s="42"/>
      <c r="M795" s="7" t="str">
        <f ca="1">IF(ISERROR(F790),"",IF(ISTEXT(P795),IF(P795="A","Ab",IF(P795="D","Dt",IF(P795="UFM","UFM",IF(P795="NA","-")))),IF(AND(ISBLANK(P795),ISBLANK(R795)),"",IF(P795&lt;0.3*S795,"F",IF(ISBLANK(R795),"",IF(ISTEXT(R795),R795,IF(R795&gt;=0.95*U795,"O",IF(R795&gt;=0.9*U795,"A+",IF(R795&gt;=0.85*U795,"A",IF(R795&gt;=0.8*U795,"B+",IF(R795&gt;=0.75*U795,"B",IF(R795&gt;=0.7*U795,"C+",IF(R795&gt;=0.65*U795,"C",IF(R795&gt;=0.6*U795,"D+",IF(R795&gt;=0.55*U795,"D",IF(R795&gt;=0.5*U795,"E+",IF(R795&gt;=0.45*U795,"E",IF(R795&gt;=0.4*U795,"P",IF(R795&lt;0.4*U795,"F",R795)))))))))))))))))))</f>
        <v/>
      </c>
      <c r="N795" s="8" t="e">
        <f ca="1">INDEX($Z$2:$Z$18,MATCH(M795,$Y$2:$Y$18,0))</f>
        <v>#N/A</v>
      </c>
      <c r="O795">
        <v>1</v>
      </c>
      <c r="P795" s="1" t="str">
        <f ca="1">IF(ISERROR(F790),"",IF(ISTEXT(VLOOKUP(B790,INDIRECT($F$8),6+(O795-1)*3)),(VLOOKUP(B790,INDIRECT($F$8),6+(O795-1)*3)),SUM(VLOOKUP(B790,INDIRECT($F$8),6+(O795-1)*3),IF(W809,W795,0))))</f>
        <v/>
      </c>
      <c r="Q795" s="1" t="str">
        <f ca="1">IF(ISERROR(F790),"",VLOOKUP(B790,INDIRECT($F$8),7+(O795-1)*3))</f>
        <v/>
      </c>
      <c r="R795" s="1" t="str">
        <f ca="1">IF(ISERROR(F790),"",SUM(P795:Q795))</f>
        <v/>
      </c>
      <c r="S795" s="1" t="str">
        <f ca="1">IF(ISERROR(F790),"",VLOOKUP(A790,INDIRECT($F$8),6+(O795-1)*3))</f>
        <v/>
      </c>
      <c r="T795" s="1" t="str">
        <f ca="1">IF(ISERROR(F790),"",VLOOKUP(A790,INDIRECT($F$8),7+(O795-1)*3))</f>
        <v/>
      </c>
      <c r="U795" s="1" t="str">
        <f ca="1">IF(ISERROR(F790),"",VLOOKUP(A790,INDIRECT($F$8),8+(O795-1)*3))</f>
        <v/>
      </c>
      <c r="V795" s="1" t="str">
        <f ca="1">IF(ISERROR(F790),"",IF(N795=0,A795,""))</f>
        <v/>
      </c>
      <c r="W795" s="1" t="str">
        <f ca="1">IF(ISERROR(F790),"",IF(ISTEXT(VLOOKUP(B790,INDIRECT($F$8),6+(O795-1)*3)),11,IF(VLOOKUP(B790,INDIRECT($F$8),6+(O795-1)*3)&lt;S795*0.3,IF(VLOOKUP(B790,INDIRECT($F$8),8+(O795-1)*3)&lt;U795*0.4,IF(AND(0.4*U795-VLOOKUP(B790,INDIRECT($F$8),8+(O795-1)*3)&lt;=5,0.3*S795-VLOOKUP(B790,INDIRECT($F$8),6+(O795-1)*3)&lt;=5),MAX(0.4*U795-VLOOKUP(B790,INDIRECT($F$8),8+(O795-1)*3),0.3*S795-VLOOKUP(B790,INDIRECT($F$8),6+(O795-1)*3)),11),IF(0.3*S795-VLOOKUP(B790,INDIRECT($F$8),6+(O795-1)*3)&lt;=5,0.3*S795-VLOOKUP(B790,INDIRECT($F$8),6+(O795-1)*3),11)),IF(VLOOKUP(B790,INDIRECT($F$8),8+(O795-1)*3)&lt;U795*0.4,IF(U795*0.4-VLOOKUP(B790,INDIRECT($F$8),8+(O795-1)*3)&lt;=5,U795*0.4-VLOOKUP(B790,INDIRECT($F$8),8+(O795-1)*3),11),0))))</f>
        <v/>
      </c>
      <c r="X795" s="1" t="str">
        <f ca="1">IF(ISERROR(F790),"",IF(W795=0,"",_xlfn.TEXTJOIN("",FALSE," G+",W795," in ",A795)))</f>
        <v/>
      </c>
    </row>
    <row r="796" spans="1:24" ht="11.25" customHeight="1" x14ac:dyDescent="0.2">
      <c r="A796" s="7" t="str">
        <f ca="1">IF(ISERROR(F790),"",VLOOKUP(C790,INDIRECT($F$8),6+(O796-1)*3,0))</f>
        <v/>
      </c>
      <c r="B796" s="41" t="str">
        <f ca="1">IF(ISERROR(F790),"",VLOOKUP(D790,INDIRECT($F$8),6+(O796-1)*3,0))</f>
        <v/>
      </c>
      <c r="C796" s="41"/>
      <c r="D796" s="41"/>
      <c r="E796" s="41"/>
      <c r="F796" s="7" t="str">
        <f ca="1">IF(ISERROR(F790),"",VLOOKUP(E790,INDIRECT($F$8),6+(O796-1)*3,0))</f>
        <v/>
      </c>
      <c r="G796" s="42" t="str">
        <f ca="1">IF(ISERROR(F790),"",_xlfn.TEXTJOIN("/",FALSE,P796,S796))</f>
        <v/>
      </c>
      <c r="H796" s="42"/>
      <c r="I796" s="42" t="str">
        <f ca="1">IF(ISERROR(F790),"",_xlfn.TEXTJOIN("/",FALSE,Q796,T796))</f>
        <v/>
      </c>
      <c r="J796" s="42"/>
      <c r="K796" s="42" t="str">
        <f ca="1">IF(ISERROR(F790),"",_xlfn.TEXTJOIN("/",FALSE,R796,U796))</f>
        <v/>
      </c>
      <c r="L796" s="42"/>
      <c r="M796" s="7" t="str">
        <f ca="1">IF(ISERROR(F790),"",IF(ISTEXT(P796),IF(P796="A","Ab",IF(P796="D","Dt",IF(P796="UFM","UFM",IF(P796="NA","-")))),IF(AND(ISBLANK(P796),ISBLANK(R796)),"",IF(P796&lt;0.3*S796,"F",IF(ISBLANK(R796),"",IF(ISTEXT(R796),R796,IF(R796&gt;=0.95*U796,"O",IF(R796&gt;=0.9*U796,"A+",IF(R796&gt;=0.85*U796,"A",IF(R796&gt;=0.8*U796,"B+",IF(R796&gt;=0.75*U796,"B",IF(R796&gt;=0.7*U796,"C+",IF(R796&gt;=0.65*U796,"C",IF(R796&gt;=0.6*U796,"D+",IF(R796&gt;=0.55*U796,"D",IF(R796&gt;=0.5*U796,"E+",IF(R796&gt;=0.45*U796,"E",IF(R796&gt;=0.4*U796,"P",IF(R796&lt;0.4*U796,"F",R796)))))))))))))))))))</f>
        <v/>
      </c>
      <c r="N796" s="8" t="e">
        <f t="shared" ref="N796:N807" ca="1" si="82">INDEX($Z$2:$Z$18,MATCH(M796,$Y$2:$Y$18,0))</f>
        <v>#N/A</v>
      </c>
      <c r="O796">
        <f>O795+1</f>
        <v>2</v>
      </c>
      <c r="P796" s="1" t="str">
        <f ca="1">IF(ISERROR(F790),"",IF(ISTEXT(VLOOKUP(B790,INDIRECT($F$8),6+(O796-1)*3)),(VLOOKUP(B790,INDIRECT($F$8),6+(O796-1)*3)),SUM(VLOOKUP(B790,INDIRECT($F$8),6+(O796-1)*3),IF(W809,W796,0))))</f>
        <v/>
      </c>
      <c r="Q796" s="1" t="str">
        <f ca="1">IF(ISERROR(F790),"",VLOOKUP(B790,INDIRECT($F$8),7+(O796-1)*3))</f>
        <v/>
      </c>
      <c r="R796" s="1" t="str">
        <f ca="1">IF(ISERROR(F790),"",SUM(P796:Q796))</f>
        <v/>
      </c>
      <c r="S796" s="1" t="str">
        <f ca="1">IF(ISERROR(F790),"",VLOOKUP(A790,INDIRECT($F$8),6+(O796-1)*3))</f>
        <v/>
      </c>
      <c r="T796" s="1" t="str">
        <f ca="1">IF(ISERROR(F790),"",VLOOKUP(A790,INDIRECT($F$8),7+(O796-1)*3))</f>
        <v/>
      </c>
      <c r="U796" s="1" t="str">
        <f ca="1">IF(ISERROR(F790),"",VLOOKUP(A790,INDIRECT($F$8),8+(O796-1)*3))</f>
        <v/>
      </c>
      <c r="V796" s="1" t="str">
        <f ca="1">IF(ISERROR(F790),"",IF(N796=0,A796,""))</f>
        <v/>
      </c>
      <c r="W796" s="1" t="str">
        <f ca="1">IF(ISERROR(F790),"",IF(ISTEXT(VLOOKUP(B790,INDIRECT($F$8),6+(O796-1)*3)),11,IF(VLOOKUP(B790,INDIRECT($F$8),6+(O796-1)*3)&lt;S796*0.3,IF(VLOOKUP(B790,INDIRECT($F$8),8+(O796-1)*3)&lt;U796*0.4,IF(AND(0.4*U796-VLOOKUP(B790,INDIRECT($F$8),8+(O796-1)*3)&lt;=5,0.3*S796-VLOOKUP(B790,INDIRECT($F$8),6+(O796-1)*3)&lt;=5),MAX(0.4*U796-VLOOKUP(B790,INDIRECT($F$8),8+(O796-1)*3),0.3*S796-VLOOKUP(B790,INDIRECT($F$8),6+(O796-1)*3)),11),IF(0.3*S796-VLOOKUP(B790,INDIRECT($F$8),6+(O796-1)*3)&lt;=5,0.3*S796-VLOOKUP(B790,INDIRECT($F$8),6+(O796-1)*3),11)),IF(VLOOKUP(B790,INDIRECT($F$8),8+(O796-1)*3)&lt;U796*0.4,IF(U796*0.4-VLOOKUP(B790,INDIRECT($F$8),8+(O796-1)*3)&lt;=5,U796*0.4-VLOOKUP(B790,INDIRECT($F$8),8+(O796-1)*3),11),0))))</f>
        <v/>
      </c>
      <c r="X796" s="1" t="str">
        <f ca="1">IF(ISERROR(F790),"",IF(W796=0,"",_xlfn.TEXTJOIN("",FALSE," G+",W796," in ",A796)))</f>
        <v/>
      </c>
    </row>
    <row r="797" spans="1:24" ht="11.25" customHeight="1" x14ac:dyDescent="0.2">
      <c r="A797" s="7" t="str">
        <f ca="1">IF(ISERROR(F790),"",VLOOKUP(C790,INDIRECT($F$8),6+(O797-1)*3,0))</f>
        <v/>
      </c>
      <c r="B797" s="41" t="str">
        <f ca="1">IF(ISERROR(F790),"",VLOOKUP(D790,INDIRECT($F$8),6+(O797-1)*3,0))</f>
        <v/>
      </c>
      <c r="C797" s="41"/>
      <c r="D797" s="41"/>
      <c r="E797" s="41"/>
      <c r="F797" s="7" t="str">
        <f ca="1">IF(ISERROR(F790),"",VLOOKUP(E790,INDIRECT($F$8),6+(O797-1)*3,0))</f>
        <v/>
      </c>
      <c r="G797" s="42" t="str">
        <f ca="1">IF(ISERROR(F790),"",_xlfn.TEXTJOIN("/",FALSE,P797,S797))</f>
        <v/>
      </c>
      <c r="H797" s="42"/>
      <c r="I797" s="42" t="str">
        <f ca="1">IF(ISERROR(F790),"",_xlfn.TEXTJOIN("/",FALSE,Q797,T797))</f>
        <v/>
      </c>
      <c r="J797" s="42"/>
      <c r="K797" s="42" t="str">
        <f ca="1">IF(ISERROR(F790),"",_xlfn.TEXTJOIN("/",FALSE,R797,U797))</f>
        <v/>
      </c>
      <c r="L797" s="42"/>
      <c r="M797" s="7" t="str">
        <f ca="1">IF(ISERROR(F790),"",IF(ISTEXT(P797),IF(P797="A","Ab",IF(P797="D","Dt",IF(P797="UFM","UFM",IF(P797="NA","-")))),IF(AND(ISBLANK(P797),ISBLANK(R797)),"",IF(P797&lt;0.3*S797,"F",IF(ISBLANK(R797),"",IF(ISTEXT(R797),R797,IF(R797&gt;=0.95*U797,"O",IF(R797&gt;=0.9*U797,"A+",IF(R797&gt;=0.85*U797,"A",IF(R797&gt;=0.8*U797,"B+",IF(R797&gt;=0.75*U797,"B",IF(R797&gt;=0.7*U797,"C+",IF(R797&gt;=0.65*U797,"C",IF(R797&gt;=0.6*U797,"D+",IF(R797&gt;=0.55*U797,"D",IF(R797&gt;=0.5*U797,"E+",IF(R797&gt;=0.45*U797,"E",IF(R797&gt;=0.4*U797,"P",IF(R797&lt;0.4*U797,"F",R797)))))))))))))))))))</f>
        <v/>
      </c>
      <c r="N797" s="8" t="e">
        <f t="shared" ca="1" si="82"/>
        <v>#N/A</v>
      </c>
      <c r="O797">
        <f>O796+1</f>
        <v>3</v>
      </c>
      <c r="P797" s="1" t="str">
        <f ca="1">IF(ISERROR(F790),"",IF(ISTEXT(VLOOKUP(B790,INDIRECT($F$8),6+(O797-1)*3)),(VLOOKUP(B790,INDIRECT($F$8),6+(O797-1)*3)),SUM(VLOOKUP(B790,INDIRECT($F$8),6+(O797-1)*3),IF(W809,W797,0))))</f>
        <v/>
      </c>
      <c r="Q797" s="1" t="str">
        <f ca="1">IF(ISERROR(F790),"",VLOOKUP(B790,INDIRECT($F$8),7+(O797-1)*3))</f>
        <v/>
      </c>
      <c r="R797" s="1" t="str">
        <f ca="1">IF(ISERROR(F790),"",SUM(P797:Q797))</f>
        <v/>
      </c>
      <c r="S797" s="1" t="str">
        <f ca="1">IF(ISERROR(F790),"",VLOOKUP(A790,INDIRECT($F$8),6+(O797-1)*3))</f>
        <v/>
      </c>
      <c r="T797" s="1" t="str">
        <f ca="1">IF(ISERROR(F790),"",VLOOKUP(A790,INDIRECT($F$8),7+(O797-1)*3))</f>
        <v/>
      </c>
      <c r="U797" s="1" t="str">
        <f ca="1">IF(ISERROR(F790),"",VLOOKUP(A790,INDIRECT($F$8),8+(O797-1)*3))</f>
        <v/>
      </c>
      <c r="V797" s="1" t="str">
        <f ca="1">IF(ISERROR(F790),"",IF(N797=0,A797,""))</f>
        <v/>
      </c>
      <c r="W797" s="1" t="str">
        <f ca="1">IF(ISERROR(F790),"",IF(ISTEXT(VLOOKUP(B790,INDIRECT($F$8),6+(O797-1)*3)),11,IF(VLOOKUP(B790,INDIRECT($F$8),6+(O797-1)*3)&lt;S797*0.3,IF(VLOOKUP(B790,INDIRECT($F$8),8+(O797-1)*3)&lt;U797*0.4,IF(AND(0.4*U797-VLOOKUP(B790,INDIRECT($F$8),8+(O797-1)*3)&lt;=5,0.3*S797-VLOOKUP(B790,INDIRECT($F$8),6+(O797-1)*3)&lt;=5),MAX(0.4*U797-VLOOKUP(B790,INDIRECT($F$8),8+(O797-1)*3),0.3*S797-VLOOKUP(B790,INDIRECT($F$8),6+(O797-1)*3)),11),IF(0.3*S797-VLOOKUP(B790,INDIRECT($F$8),6+(O797-1)*3)&lt;=5,0.3*S797-VLOOKUP(B790,INDIRECT($F$8),6+(O797-1)*3),11)),IF(VLOOKUP(B790,INDIRECT($F$8),8+(O797-1)*3)&lt;U797*0.4,IF(U797*0.4-VLOOKUP(B790,INDIRECT($F$8),8+(O797-1)*3)&lt;=5,U797*0.4-VLOOKUP(B790,INDIRECT($F$8),8+(O797-1)*3),11),0))))</f>
        <v/>
      </c>
      <c r="X797" s="1" t="str">
        <f ca="1">IF(ISERROR(F790),"",IF(W797=0,"",_xlfn.TEXTJOIN("",FALSE," G+",W797," in ",A797)))</f>
        <v/>
      </c>
    </row>
    <row r="798" spans="1:24" ht="11.25" customHeight="1" x14ac:dyDescent="0.2">
      <c r="A798" s="7" t="str">
        <f ca="1">IF(ISERROR(F790),"",VLOOKUP(C790,INDIRECT($F$8),6+(O798-1)*3,0))</f>
        <v/>
      </c>
      <c r="B798" s="41" t="str">
        <f ca="1">IF(ISERROR(F790),"",VLOOKUP(D790,INDIRECT($F$8),6+(O798-1)*3,0))</f>
        <v/>
      </c>
      <c r="C798" s="41"/>
      <c r="D798" s="41"/>
      <c r="E798" s="41"/>
      <c r="F798" s="7" t="str">
        <f ca="1">IF(ISERROR(F790),"",VLOOKUP(E790,INDIRECT($F$8),6+(O798-1)*3,0))</f>
        <v/>
      </c>
      <c r="G798" s="42" t="str">
        <f ca="1">IF(ISERROR(F790),"",_xlfn.TEXTJOIN("/",FALSE,P798,S798))</f>
        <v/>
      </c>
      <c r="H798" s="42"/>
      <c r="I798" s="42" t="str">
        <f ca="1">IF(ISERROR(F790),"",_xlfn.TEXTJOIN("/",FALSE,Q798,T798))</f>
        <v/>
      </c>
      <c r="J798" s="42"/>
      <c r="K798" s="42" t="str">
        <f ca="1">IF(ISERROR(F790),"",_xlfn.TEXTJOIN("/",FALSE,R798,U798))</f>
        <v/>
      </c>
      <c r="L798" s="42"/>
      <c r="M798" s="7" t="str">
        <f ca="1">IF(ISERROR(F790),"",IF(ISTEXT(P798),IF(P798="A","Ab",IF(P798="D","Dt",IF(P798="UFM","UFM",IF(P798="NA","-")))),IF(AND(ISBLANK(P798),ISBLANK(R798)),"",IF(P798&lt;0.3*S798,"F",IF(ISBLANK(R798),"",IF(ISTEXT(R798),R798,IF(R798&gt;=0.95*U798,"O",IF(R798&gt;=0.9*U798,"A+",IF(R798&gt;=0.85*U798,"A",IF(R798&gt;=0.8*U798,"B+",IF(R798&gt;=0.75*U798,"B",IF(R798&gt;=0.7*U798,"C+",IF(R798&gt;=0.65*U798,"C",IF(R798&gt;=0.6*U798,"D+",IF(R798&gt;=0.55*U798,"D",IF(R798&gt;=0.5*U798,"E+",IF(R798&gt;=0.45*U798,"E",IF(R798&gt;=0.4*U798,"P",IF(R798&lt;0.4*U798,"F",R798)))))))))))))))))))</f>
        <v/>
      </c>
      <c r="N798" s="8" t="e">
        <f t="shared" ca="1" si="82"/>
        <v>#N/A</v>
      </c>
      <c r="O798">
        <f>O797+1</f>
        <v>4</v>
      </c>
      <c r="P798" s="1" t="str">
        <f ca="1">IF(ISERROR(F790),"",IF(ISTEXT(VLOOKUP(B790,INDIRECT($F$8),6+(O798-1)*3)),(VLOOKUP(B790,INDIRECT($F$8),6+(O798-1)*3)),SUM(VLOOKUP(B790,INDIRECT($F$8),6+(O798-1)*3),IF(W809,W798,0))))</f>
        <v/>
      </c>
      <c r="Q798" s="1" t="str">
        <f ca="1">IF(ISERROR(F790),"",VLOOKUP(B790,INDIRECT($F$8),7+(O798-1)*3))</f>
        <v/>
      </c>
      <c r="R798" s="1" t="str">
        <f ca="1">IF(ISERROR(F790),"",SUM(P798:Q798))</f>
        <v/>
      </c>
      <c r="S798" s="1" t="str">
        <f ca="1">IF(ISERROR(F790),"",VLOOKUP(A790,INDIRECT($F$8),6+(O798-1)*3))</f>
        <v/>
      </c>
      <c r="T798" s="1" t="str">
        <f ca="1">IF(ISERROR(F790),"",VLOOKUP(A790,INDIRECT($F$8),7+(O798-1)*3))</f>
        <v/>
      </c>
      <c r="U798" s="1" t="str">
        <f ca="1">IF(ISERROR(F790),"",VLOOKUP(A790,INDIRECT($F$8),8+(O798-1)*3))</f>
        <v/>
      </c>
      <c r="V798" s="1" t="str">
        <f ca="1">IF(ISERROR(F790),"",IF(N798=0,A798,""))</f>
        <v/>
      </c>
      <c r="W798" s="1" t="str">
        <f ca="1">IF(ISERROR(F790),"",IF(ISTEXT(VLOOKUP(B790,INDIRECT($F$8),6+(O798-1)*3)),11,IF(VLOOKUP(B790,INDIRECT($F$8),6+(O798-1)*3)&lt;S798*0.3,IF(VLOOKUP(B790,INDIRECT($F$8),8+(O798-1)*3)&lt;U798*0.4,IF(AND(0.4*U798-VLOOKUP(B790,INDIRECT($F$8),8+(O798-1)*3)&lt;=5,0.3*S798-VLOOKUP(B790,INDIRECT($F$8),6+(O798-1)*3)&lt;=5),MAX(0.4*U798-VLOOKUP(B790,INDIRECT($F$8),8+(O798-1)*3),0.3*S798-VLOOKUP(B790,INDIRECT($F$8),6+(O798-1)*3)),11),IF(0.3*S798-VLOOKUP(B790,INDIRECT($F$8),6+(O798-1)*3)&lt;=5,0.3*S798-VLOOKUP(B790,INDIRECT($F$8),6+(O798-1)*3),11)),IF(VLOOKUP(B790,INDIRECT($F$8),8+(O798-1)*3)&lt;U798*0.4,IF(U798*0.4-VLOOKUP(B790,INDIRECT($F$8),8+(O798-1)*3)&lt;=5,U798*0.4-VLOOKUP(B790,INDIRECT($F$8),8+(O798-1)*3),11),0))))</f>
        <v/>
      </c>
      <c r="X798" s="1" t="str">
        <f ca="1">IF(ISERROR(F790),"",IF(W798=0,"",_xlfn.TEXTJOIN("",FALSE," G+",W798," in ",A798)))</f>
        <v/>
      </c>
    </row>
    <row r="799" spans="1:24" ht="11.25" customHeight="1" x14ac:dyDescent="0.2">
      <c r="A799" s="7" t="str">
        <f ca="1">IF(ISERROR(F790),"",VLOOKUP(C790,INDIRECT($F$8),6+(O799-1)*3,0))</f>
        <v/>
      </c>
      <c r="B799" s="41" t="str">
        <f ca="1">IF(ISERROR(F790),"",VLOOKUP(D790,INDIRECT($F$8),6+(O799-1)*3,0))</f>
        <v/>
      </c>
      <c r="C799" s="41"/>
      <c r="D799" s="41"/>
      <c r="E799" s="41"/>
      <c r="F799" s="7" t="str">
        <f ca="1">IF(ISERROR(F790),"",VLOOKUP(E790,INDIRECT($F$8),6+(O799-1)*3,0))</f>
        <v/>
      </c>
      <c r="G799" s="42" t="str">
        <f ca="1">IF(ISERROR(F790),"",_xlfn.TEXTJOIN("/",FALSE,P799,S799))</f>
        <v/>
      </c>
      <c r="H799" s="42"/>
      <c r="I799" s="42" t="str">
        <f ca="1">IF(ISERROR(F790),"",_xlfn.TEXTJOIN("/",FALSE,Q799,T799))</f>
        <v/>
      </c>
      <c r="J799" s="42"/>
      <c r="K799" s="42" t="str">
        <f ca="1">IF(ISERROR(F790),"",_xlfn.TEXTJOIN("/",FALSE,R799,U799))</f>
        <v/>
      </c>
      <c r="L799" s="42"/>
      <c r="M799" s="7" t="str">
        <f ca="1">IF(ISERROR(F790),"",IF(ISTEXT(P799),IF(P799="A","Ab",IF(P799="D","Dt",IF(P799="UFM","UFM",IF(P799="NA","-")))),IF(AND(ISBLANK(P799),ISBLANK(R799)),"",IF(P799&lt;0.3*S799,"F",IF(ISBLANK(R799),"",IF(ISTEXT(R799),R799,IF(R799&gt;=0.95*U799,"O",IF(R799&gt;=0.9*U799,"A+",IF(R799&gt;=0.85*U799,"A",IF(R799&gt;=0.8*U799,"B+",IF(R799&gt;=0.75*U799,"B",IF(R799&gt;=0.7*U799,"C+",IF(R799&gt;=0.65*U799,"C",IF(R799&gt;=0.6*U799,"D+",IF(R799&gt;=0.55*U799,"D",IF(R799&gt;=0.5*U799,"E+",IF(R799&gt;=0.45*U799,"E",IF(R799&gt;=0.4*U799,"P",IF(R799&lt;0.4*U799,"F",R799)))))))))))))))))))</f>
        <v/>
      </c>
      <c r="N799" s="8" t="e">
        <f t="shared" ca="1" si="82"/>
        <v>#N/A</v>
      </c>
      <c r="O799">
        <f t="shared" ref="O799:O808" si="83">O798+1</f>
        <v>5</v>
      </c>
      <c r="P799" s="1" t="str">
        <f ca="1">IF(ISERROR(F790),"",IF(ISTEXT(VLOOKUP(B790,INDIRECT($F$8),6+(O799-1)*3)),(VLOOKUP(B790,INDIRECT($F$8),6+(O799-1)*3)),SUM(VLOOKUP(B790,INDIRECT($F$8),6+(O799-1)*3),IF(W809,W799,0))))</f>
        <v/>
      </c>
      <c r="Q799" s="1" t="str">
        <f ca="1">IF(ISERROR(F790),"",VLOOKUP(B790,INDIRECT($F$8),7+(O799-1)*3))</f>
        <v/>
      </c>
      <c r="R799" s="1" t="str">
        <f ca="1">IF(ISERROR(F790),"",SUM(P799:Q799))</f>
        <v/>
      </c>
      <c r="S799" s="1" t="str">
        <f ca="1">IF(ISERROR(F790),"",VLOOKUP(A790,INDIRECT($F$8),6+(O799-1)*3))</f>
        <v/>
      </c>
      <c r="T799" s="1" t="str">
        <f ca="1">IF(ISERROR(F790),"",VLOOKUP(A790,INDIRECT($F$8),7+(O799-1)*3))</f>
        <v/>
      </c>
      <c r="U799" s="1" t="str">
        <f ca="1">IF(ISERROR(F790),"",VLOOKUP(A790,INDIRECT($F$8),8+(O799-1)*3))</f>
        <v/>
      </c>
      <c r="V799" s="1" t="str">
        <f ca="1">IF(ISERROR(F790),"",IF(N799=0,A799,""))</f>
        <v/>
      </c>
      <c r="W799" s="1" t="str">
        <f ca="1">IF(ISERROR(F790),"",IF(ISTEXT(VLOOKUP(B790,INDIRECT($F$8),6+(O799-1)*3)),11,IF(VLOOKUP(B790,INDIRECT($F$8),6+(O799-1)*3)&lt;S799*0.3,IF(VLOOKUP(B790,INDIRECT($F$8),8+(O799-1)*3)&lt;U799*0.4,IF(AND(0.4*U799-VLOOKUP(B790,INDIRECT($F$8),8+(O799-1)*3)&lt;=5,0.3*S799-VLOOKUP(B790,INDIRECT($F$8),6+(O799-1)*3)&lt;=5),MAX(0.4*U799-VLOOKUP(B790,INDIRECT($F$8),8+(O799-1)*3),0.3*S799-VLOOKUP(B790,INDIRECT($F$8),6+(O799-1)*3)),11),IF(0.3*S799-VLOOKUP(B790,INDIRECT($F$8),6+(O799-1)*3)&lt;=5,0.3*S799-VLOOKUP(B790,INDIRECT($F$8),6+(O799-1)*3),11)),IF(VLOOKUP(B790,INDIRECT($F$8),8+(O799-1)*3)&lt;U799*0.4,IF(U799*0.4-VLOOKUP(B790,INDIRECT($F$8),8+(O799-1)*3)&lt;=5,U799*0.4-VLOOKUP(B790,INDIRECT($F$8),8+(O799-1)*3),11),0))))</f>
        <v/>
      </c>
      <c r="X799" s="1" t="str">
        <f ca="1">IF(ISERROR(F790),"",IF(W799=0,"",_xlfn.TEXTJOIN("",FALSE," G+",W799," in ",A799)))</f>
        <v/>
      </c>
    </row>
    <row r="800" spans="1:24" ht="11.25" customHeight="1" x14ac:dyDescent="0.2">
      <c r="A800" s="7" t="str">
        <f ca="1">IF(ISERROR(F790),"",VLOOKUP(C790,INDIRECT($F$8),6+(O800-1)*3,0))</f>
        <v/>
      </c>
      <c r="B800" s="41" t="str">
        <f ca="1">IF(ISERROR(F790),"",VLOOKUP(D790,INDIRECT($F$8),6+(O800-1)*3,0))</f>
        <v/>
      </c>
      <c r="C800" s="41"/>
      <c r="D800" s="41"/>
      <c r="E800" s="41"/>
      <c r="F800" s="7" t="str">
        <f ca="1">IF(ISERROR(F790),"",VLOOKUP(E790,INDIRECT($F$8),6+(O800-1)*3,0))</f>
        <v/>
      </c>
      <c r="G800" s="42" t="str">
        <f ca="1">IF(ISERROR(F790),"",_xlfn.TEXTJOIN("/",FALSE,P800,S800))</f>
        <v/>
      </c>
      <c r="H800" s="42"/>
      <c r="I800" s="42" t="str">
        <f ca="1">IF(ISERROR(F790),"",_xlfn.TEXTJOIN("/",FALSE,Q800,T800))</f>
        <v/>
      </c>
      <c r="J800" s="42"/>
      <c r="K800" s="42" t="str">
        <f ca="1">IF(ISERROR(F790),"",_xlfn.TEXTJOIN("/",FALSE,R800,U800))</f>
        <v/>
      </c>
      <c r="L800" s="42"/>
      <c r="M800" s="7" t="str">
        <f ca="1">IF(ISERROR(F790),"",IF(ISTEXT(P800),IF(P800="A","Ab",IF(P800="D","Dt",IF(P800="UFM","UFM",IF(P800="NA","-")))),IF(AND(ISBLANK(P800),ISBLANK(R800)),"",IF(P800&lt;0.3*S800,"F",IF(ISBLANK(R800),"",IF(ISTEXT(R800),R800,IF(R800&gt;=0.95*U800,"O",IF(R800&gt;=0.9*U800,"A+",IF(R800&gt;=0.85*U800,"A",IF(R800&gt;=0.8*U800,"B+",IF(R800&gt;=0.75*U800,"B",IF(R800&gt;=0.7*U800,"C+",IF(R800&gt;=0.65*U800,"C",IF(R800&gt;=0.6*U800,"D+",IF(R800&gt;=0.55*U800,"D",IF(R800&gt;=0.5*U800,"E+",IF(R800&gt;=0.45*U800,"E",IF(R800&gt;=0.4*U800,"P",IF(R800&lt;0.4*U800,"F",R800)))))))))))))))))))</f>
        <v/>
      </c>
      <c r="N800" s="8" t="e">
        <f t="shared" ca="1" si="82"/>
        <v>#N/A</v>
      </c>
      <c r="O800">
        <f t="shared" si="83"/>
        <v>6</v>
      </c>
      <c r="P800" s="1" t="str">
        <f ca="1">IF(ISERROR(F790),"",IF(ISTEXT(VLOOKUP(B790,INDIRECT($F$8),6+(O800-1)*3)),(VLOOKUP(B790,INDIRECT($F$8),6+(O800-1)*3)),SUM(VLOOKUP(B790,INDIRECT($F$8),6+(O800-1)*3),IF(W809,W800,0))))</f>
        <v/>
      </c>
      <c r="Q800" s="1" t="str">
        <f ca="1">IF(ISERROR(F790),"",VLOOKUP(B790,INDIRECT($F$8),7+(O800-1)*3))</f>
        <v/>
      </c>
      <c r="R800" s="1" t="str">
        <f ca="1">IF(ISERROR(F790),"",SUM(P800:Q800))</f>
        <v/>
      </c>
      <c r="S800" s="1" t="str">
        <f ca="1">IF(ISERROR(F790),"",VLOOKUP(A790,INDIRECT($F$8),6+(O800-1)*3))</f>
        <v/>
      </c>
      <c r="T800" s="1" t="str">
        <f ca="1">IF(ISERROR(F790),"",VLOOKUP(A790,INDIRECT($F$8),7+(O800-1)*3))</f>
        <v/>
      </c>
      <c r="U800" s="1" t="str">
        <f ca="1">IF(ISERROR(F790),"",VLOOKUP(A790,INDIRECT($F$8),8+(O800-1)*3))</f>
        <v/>
      </c>
      <c r="V800" s="1" t="str">
        <f ca="1">IF(ISERROR(F790),"",IF(N800=0,A800,""))</f>
        <v/>
      </c>
      <c r="W800" s="1" t="str">
        <f ca="1">IF(ISERROR(F790),"",IF(ISTEXT(VLOOKUP(B790,INDIRECT($F$8),6+(O800-1)*3)),11,IF(VLOOKUP(B790,INDIRECT($F$8),6+(O800-1)*3)&lt;S800*0.3,IF(VLOOKUP(B790,INDIRECT($F$8),8+(O800-1)*3)&lt;U800*0.4,IF(AND(0.4*U800-VLOOKUP(B790,INDIRECT($F$8),8+(O800-1)*3)&lt;=5,0.3*S800-VLOOKUP(B790,INDIRECT($F$8),6+(O800-1)*3)&lt;=5),MAX(0.4*U800-VLOOKUP(B790,INDIRECT($F$8),8+(O800-1)*3),0.3*S800-VLOOKUP(B790,INDIRECT($F$8),6+(O800-1)*3)),11),IF(0.3*S800-VLOOKUP(B790,INDIRECT($F$8),6+(O800-1)*3)&lt;=5,0.3*S800-VLOOKUP(B790,INDIRECT($F$8),6+(O800-1)*3),11)),IF(VLOOKUP(B790,INDIRECT($F$8),8+(O800-1)*3)&lt;U800*0.4,IF(U800*0.4-VLOOKUP(B790,INDIRECT($F$8),8+(O800-1)*3)&lt;=5,U800*0.4-VLOOKUP(B790,INDIRECT($F$8),8+(O800-1)*3),11),0))))</f>
        <v/>
      </c>
      <c r="X800" s="1" t="str">
        <f ca="1">IF(ISERROR(F790),"",IF(W800=0,"",_xlfn.TEXTJOIN("",FALSE," G+",W800," in ",A800)))</f>
        <v/>
      </c>
    </row>
    <row r="801" spans="1:24" ht="11.25" customHeight="1" x14ac:dyDescent="0.2">
      <c r="A801" s="7" t="str">
        <f ca="1">IF(ISERROR(F790),"",VLOOKUP(C790,INDIRECT($F$8),6+(O801-1)*3,0))</f>
        <v/>
      </c>
      <c r="B801" s="41" t="str">
        <f ca="1">IF(ISERROR(F790),"",VLOOKUP(D790,INDIRECT($F$8),6+(O801-1)*3,0))</f>
        <v/>
      </c>
      <c r="C801" s="41"/>
      <c r="D801" s="41"/>
      <c r="E801" s="41"/>
      <c r="F801" s="7" t="str">
        <f ca="1">IF(ISERROR(F790),"",VLOOKUP(E790,INDIRECT($F$8),6+(O801-1)*3,0))</f>
        <v/>
      </c>
      <c r="G801" s="42" t="str">
        <f ca="1">IF(ISERROR(F790),"",_xlfn.TEXTJOIN("/",FALSE,P801,S801))</f>
        <v/>
      </c>
      <c r="H801" s="42"/>
      <c r="I801" s="42" t="str">
        <f ca="1">IF(ISERROR(F790),"",_xlfn.TEXTJOIN("/",FALSE,Q801,T801))</f>
        <v/>
      </c>
      <c r="J801" s="42"/>
      <c r="K801" s="42" t="str">
        <f ca="1">IF(ISERROR(F790),"",_xlfn.TEXTJOIN("/",FALSE,R801,U801))</f>
        <v/>
      </c>
      <c r="L801" s="42"/>
      <c r="M801" s="7" t="str">
        <f ca="1">IF(ISERROR(F790),"",IF(ISTEXT(P801),IF(P801="A","Ab",IF(P801="D","Dt",IF(P801="UFM","UFM",IF(P801="NA","-")))),IF(AND(ISBLANK(P801),ISBLANK(R801)),"",IF(P801&lt;0.3*S801,"F",IF(ISBLANK(R801),"",IF(ISTEXT(R801),R801,IF(R801&gt;=0.95*U801,"O",IF(R801&gt;=0.9*U801,"A+",IF(R801&gt;=0.85*U801,"A",IF(R801&gt;=0.8*U801,"B+",IF(R801&gt;=0.75*U801,"B",IF(R801&gt;=0.7*U801,"C+",IF(R801&gt;=0.65*U801,"C",IF(R801&gt;=0.6*U801,"D+",IF(R801&gt;=0.55*U801,"D",IF(R801&gt;=0.5*U801,"E+",IF(R801&gt;=0.45*U801,"E",IF(R801&gt;=0.4*U801,"P",IF(R801&lt;0.4*U801,"F",R801)))))))))))))))))))</f>
        <v/>
      </c>
      <c r="N801" s="8" t="e">
        <f t="shared" ca="1" si="82"/>
        <v>#N/A</v>
      </c>
      <c r="O801">
        <f t="shared" si="83"/>
        <v>7</v>
      </c>
      <c r="P801" s="1" t="str">
        <f ca="1">IF(ISERROR(F790),"",IF(ISTEXT(VLOOKUP(B790,INDIRECT($F$8),6+(O801-1)*3)),(VLOOKUP(B790,INDIRECT($F$8),6+(O801-1)*3)),SUM(VLOOKUP(B790,INDIRECT($F$8),6+(O801-1)*3),IF(W809,W801,0))))</f>
        <v/>
      </c>
      <c r="Q801" s="1" t="str">
        <f ca="1">IF(ISERROR(F790),"",VLOOKUP(B790,INDIRECT($F$8),7+(O801-1)*3))</f>
        <v/>
      </c>
      <c r="R801" s="1" t="str">
        <f ca="1">IF(ISERROR(F790),"",SUM(P801:Q801))</f>
        <v/>
      </c>
      <c r="S801" s="1" t="str">
        <f ca="1">IF(ISERROR(F790),"",VLOOKUP(A790,INDIRECT($F$8),6+(O801-1)*3))</f>
        <v/>
      </c>
      <c r="T801" s="1" t="str">
        <f ca="1">IF(ISERROR(F790),"",VLOOKUP(A790,INDIRECT($F$8),7+(O801-1)*3))</f>
        <v/>
      </c>
      <c r="U801" s="1" t="str">
        <f ca="1">IF(ISERROR(F790),"",VLOOKUP(A790,INDIRECT($F$8),8+(O801-1)*3))</f>
        <v/>
      </c>
      <c r="V801" s="1" t="str">
        <f ca="1">IF(ISERROR(F790),"",IF(N801=0,A801,""))</f>
        <v/>
      </c>
      <c r="W801" s="1" t="str">
        <f ca="1">IF(ISERROR(F790),"",IF(ISTEXT(VLOOKUP(B790,INDIRECT($F$8),6+(O801-1)*3)),11,IF(VLOOKUP(B790,INDIRECT($F$8),6+(O801-1)*3)&lt;S801*0.3,IF(VLOOKUP(B790,INDIRECT($F$8),8+(O801-1)*3)&lt;U801*0.4,IF(AND(0.4*U801-VLOOKUP(B790,INDIRECT($F$8),8+(O801-1)*3)&lt;=5,0.3*S801-VLOOKUP(B790,INDIRECT($F$8),6+(O801-1)*3)&lt;=5),MAX(0.4*U801-VLOOKUP(B790,INDIRECT($F$8),8+(O801-1)*3),0.3*S801-VLOOKUP(B790,INDIRECT($F$8),6+(O801-1)*3)),11),IF(0.3*S801-VLOOKUP(B790,INDIRECT($F$8),6+(O801-1)*3)&lt;=5,0.3*S801-VLOOKUP(B790,INDIRECT($F$8),6+(O801-1)*3),11)),IF(VLOOKUP(B790,INDIRECT($F$8),8+(O801-1)*3)&lt;U801*0.4,IF(U801*0.4-VLOOKUP(B790,INDIRECT($F$8),8+(O801-1)*3)&lt;=5,U801*0.4-VLOOKUP(B790,INDIRECT($F$8),8+(O801-1)*3),11),0))))</f>
        <v/>
      </c>
      <c r="X801" s="1" t="str">
        <f ca="1">IF(ISERROR(F790),"",IF(W801=0,"",_xlfn.TEXTJOIN("",FALSE," G+",W801," in ",A801)))</f>
        <v/>
      </c>
    </row>
    <row r="802" spans="1:24" ht="11.25" customHeight="1" x14ac:dyDescent="0.2">
      <c r="A802" s="7" t="str">
        <f ca="1">IF(ISERROR(F790),"",VLOOKUP(C790,INDIRECT($F$8),6+(O802-1)*3,0))</f>
        <v/>
      </c>
      <c r="B802" s="41" t="str">
        <f ca="1">IF(ISERROR(F790),"",VLOOKUP(D790,INDIRECT($F$8),6+(O802-1)*3,0))</f>
        <v/>
      </c>
      <c r="C802" s="41"/>
      <c r="D802" s="41"/>
      <c r="E802" s="41"/>
      <c r="F802" s="7" t="str">
        <f ca="1">IF(ISERROR(F790),"",VLOOKUP(E790,INDIRECT($F$8),6+(O802-1)*3,0))</f>
        <v/>
      </c>
      <c r="G802" s="42" t="str">
        <f ca="1">IF(ISERROR(F790),"",_xlfn.TEXTJOIN("/",FALSE,P802,S802))</f>
        <v/>
      </c>
      <c r="H802" s="42"/>
      <c r="I802" s="42" t="str">
        <f ca="1">IF(ISERROR(F790),"",_xlfn.TEXTJOIN("/",FALSE,Q802,T802))</f>
        <v/>
      </c>
      <c r="J802" s="42"/>
      <c r="K802" s="42" t="str">
        <f ca="1">IF(ISERROR(F790),"",_xlfn.TEXTJOIN("/",FALSE,R802,U802))</f>
        <v/>
      </c>
      <c r="L802" s="42"/>
      <c r="M802" s="7" t="str">
        <f ca="1">IF(ISERROR(F790),"",IF(ISTEXT(P802),IF(P802="A","Ab",IF(P802="D","Dt",IF(P802="UFM","UFM",IF(P802="NA","-")))),IF(AND(ISBLANK(P802),ISBLANK(R802)),"",IF(P802&lt;0.3*S802,"F",IF(ISBLANK(R802),"",IF(ISTEXT(R802),R802,IF(R802&gt;=0.95*U802,"O",IF(R802&gt;=0.9*U802,"A+",IF(R802&gt;=0.85*U802,"A",IF(R802&gt;=0.8*U802,"B+",IF(R802&gt;=0.75*U802,"B",IF(R802&gt;=0.7*U802,"C+",IF(R802&gt;=0.65*U802,"C",IF(R802&gt;=0.6*U802,"D+",IF(R802&gt;=0.55*U802,"D",IF(R802&gt;=0.5*U802,"E+",IF(R802&gt;=0.45*U802,"E",IF(R802&gt;=0.4*U802,"P",IF(R802&lt;0.4*U802,"F",R802)))))))))))))))))))</f>
        <v/>
      </c>
      <c r="N802" s="8" t="e">
        <f t="shared" ca="1" si="82"/>
        <v>#N/A</v>
      </c>
      <c r="O802">
        <f t="shared" si="83"/>
        <v>8</v>
      </c>
      <c r="P802" s="1" t="str">
        <f ca="1">IF(ISERROR(F790),"",IF(ISTEXT(VLOOKUP(B790,INDIRECT($F$8),6+(O802-1)*3)),(VLOOKUP(B790,INDIRECT($F$8),6+(O802-1)*3)),SUM(VLOOKUP(B790,INDIRECT($F$8),6+(O802-1)*3),IF(W809,W802,0))))</f>
        <v/>
      </c>
      <c r="Q802" s="1" t="str">
        <f ca="1">IF(ISERROR(F790),"",VLOOKUP(B790,INDIRECT($F$8),7+(O802-1)*3))</f>
        <v/>
      </c>
      <c r="R802" s="1" t="str">
        <f ca="1">IF(ISERROR(F790),"",SUM(P802:Q802))</f>
        <v/>
      </c>
      <c r="S802" s="1" t="str">
        <f ca="1">IF(ISERROR(F790),"",VLOOKUP(A790,INDIRECT($F$8),6+(O802-1)*3))</f>
        <v/>
      </c>
      <c r="T802" s="1" t="str">
        <f ca="1">IF(ISERROR(F790),"",VLOOKUP(A790,INDIRECT($F$8),7+(O802-1)*3))</f>
        <v/>
      </c>
      <c r="U802" s="1" t="str">
        <f ca="1">IF(ISERROR(F790),"",VLOOKUP(A790,INDIRECT($F$8),8+(O802-1)*3))</f>
        <v/>
      </c>
      <c r="V802" s="1" t="str">
        <f ca="1">IF(ISERROR(F790),"",IF(N802=0,A802,""))</f>
        <v/>
      </c>
      <c r="W802" s="1" t="str">
        <f ca="1">IF(ISERROR(F790),"",IF(ISTEXT(VLOOKUP(B790,INDIRECT($F$8),6+(O802-1)*3)),11,IF(VLOOKUP(B790,INDIRECT($F$8),6+(O802-1)*3)&lt;S802*0.3,IF(VLOOKUP(B790,INDIRECT($F$8),8+(O802-1)*3)&lt;U802*0.4,IF(AND(0.4*U802-VLOOKUP(B790,INDIRECT($F$8),8+(O802-1)*3)&lt;=5,0.3*S802-VLOOKUP(B790,INDIRECT($F$8),6+(O802-1)*3)&lt;=5),MAX(0.4*U802-VLOOKUP(B790,INDIRECT($F$8),8+(O802-1)*3),0.3*S802-VLOOKUP(B790,INDIRECT($F$8),6+(O802-1)*3)),11),IF(0.3*S802-VLOOKUP(B790,INDIRECT($F$8),6+(O802-1)*3)&lt;=5,0.3*S802-VLOOKUP(B790,INDIRECT($F$8),6+(O802-1)*3),11)),IF(VLOOKUP(B790,INDIRECT($F$8),8+(O802-1)*3)&lt;U802*0.4,IF(U802*0.4-VLOOKUP(B790,INDIRECT($F$8),8+(O802-1)*3)&lt;=5,U802*0.4-VLOOKUP(B790,INDIRECT($F$8),8+(O802-1)*3),11),0))))</f>
        <v/>
      </c>
      <c r="X802" s="1" t="str">
        <f ca="1">IF(ISERROR(F790),"",IF(W802=0,"",_xlfn.TEXTJOIN("",FALSE," G+",W802," in ",A802)))</f>
        <v/>
      </c>
    </row>
    <row r="803" spans="1:24" ht="11.25" customHeight="1" x14ac:dyDescent="0.2">
      <c r="A803" s="7" t="str">
        <f ca="1">IF(ISERROR(F790),"",VLOOKUP(C790,INDIRECT($F$8),6+(O803-1)*3,0))</f>
        <v/>
      </c>
      <c r="B803" s="41" t="str">
        <f ca="1">IF(ISERROR(F790),"",VLOOKUP(D790,INDIRECT($F$8),6+(O803-1)*3-Z803,0))</f>
        <v/>
      </c>
      <c r="C803" s="41"/>
      <c r="D803" s="41"/>
      <c r="E803" s="41"/>
      <c r="F803" s="7" t="str">
        <f ca="1">IF(ISERROR(F790),"",VLOOKUP(E790,INDIRECT($F$8),6+(O803-1)*3,0))</f>
        <v/>
      </c>
      <c r="G803" s="42" t="str">
        <f ca="1">IF(ISERROR(F790),"",_xlfn.TEXTJOIN("/",FALSE,P803,S803))</f>
        <v/>
      </c>
      <c r="H803" s="42"/>
      <c r="I803" s="42" t="str">
        <f ca="1">IF(ISERROR(F790),"",_xlfn.TEXTJOIN("/",FALSE,Q803,T803))</f>
        <v/>
      </c>
      <c r="J803" s="42"/>
      <c r="K803" s="42" t="str">
        <f ca="1">IF(ISERROR(F790),"",_xlfn.TEXTJOIN("/",FALSE,R803,U803))</f>
        <v/>
      </c>
      <c r="L803" s="42"/>
      <c r="M803" s="7" t="str">
        <f ca="1">IF(ISERROR(F790),"",IF(ISTEXT(P803),IF(P803="A","Ab",IF(P803="D","Dt",IF(P803="UFM","UFM",IF(P803="NA","-")))),IF(AND(ISBLANK(P803),ISBLANK(R803)),"",IF(P803&lt;0.3*S803,"F",IF(ISBLANK(R803),"",IF(ISTEXT(R803),R803,IF(R803&gt;=0.95*U803,"O",IF(R803&gt;=0.9*U803,"A+",IF(R803&gt;=0.85*U803,"A",IF(R803&gt;=0.8*U803,"B+",IF(R803&gt;=0.75*U803,"B",IF(R803&gt;=0.7*U803,"C+",IF(R803&gt;=0.65*U803,"C",IF(R803&gt;=0.6*U803,"D+",IF(R803&gt;=0.55*U803,"D",IF(R803&gt;=0.5*U803,"E+",IF(R803&gt;=0.45*U803,"E",IF(R803&gt;=0.4*U803,"P",IF(R803&lt;0.4*U803,"F",R803)))))))))))))))))))</f>
        <v/>
      </c>
      <c r="N803" s="8" t="e">
        <f t="shared" ca="1" si="82"/>
        <v>#N/A</v>
      </c>
      <c r="O803">
        <f t="shared" si="83"/>
        <v>9</v>
      </c>
      <c r="P803" s="1" t="str">
        <f ca="1">IF(ISERROR(F790),"",IF(ISTEXT(VLOOKUP(B790,INDIRECT($F$8),6+(O803-1)*3)),(VLOOKUP(B790,INDIRECT($F$8),6+(O803-1)*3)),SUM(VLOOKUP(B790,INDIRECT($F$8),6+(O803-1)*3),IF(W809,W803,0))))</f>
        <v/>
      </c>
      <c r="Q803" s="1" t="str">
        <f ca="1">IF(ISERROR(F790),"",VLOOKUP(B790,INDIRECT($F$8),7+(O803-1)*3))</f>
        <v/>
      </c>
      <c r="R803" s="1" t="str">
        <f ca="1">IF(ISERROR(F790),"",SUM(P803:Q803))</f>
        <v/>
      </c>
      <c r="S803" s="1" t="str">
        <f ca="1">IF(ISERROR(F790),"",VLOOKUP(A790,INDIRECT($F$8),6+(O803-1)*3))</f>
        <v/>
      </c>
      <c r="T803" s="1" t="str">
        <f ca="1">IF(ISERROR(F790),"",VLOOKUP(A790,INDIRECT($F$8),7+(O803-1)*3))</f>
        <v/>
      </c>
      <c r="U803" s="1" t="str">
        <f ca="1">IF(ISERROR(F790),"",VLOOKUP(A790,INDIRECT($F$8),8+(O803-1)*3))</f>
        <v/>
      </c>
      <c r="V803" s="1" t="str">
        <f ca="1">IF(ISERROR(F790),"",IF(N803=0,A803,""))</f>
        <v/>
      </c>
      <c r="W803" s="1" t="str">
        <f ca="1">IF(ISERROR(F790),"",IF(ISTEXT(VLOOKUP(B790,INDIRECT($F$8),6+(O803-1)*3)),11,IF(VLOOKUP(B790,INDIRECT($F$8),6+(O803-1)*3)&lt;S803*0.3,IF(VLOOKUP(B790,INDIRECT($F$8),8+(O803-1)*3)&lt;U803*0.4,IF(AND(0.4*U803-VLOOKUP(B790,INDIRECT($F$8),8+(O803-1)*3)&lt;=5,0.3*S803-VLOOKUP(B790,INDIRECT($F$8),6+(O803-1)*3)&lt;=5),MAX(0.4*U803-VLOOKUP(B790,INDIRECT($F$8),8+(O803-1)*3),0.3*S803-VLOOKUP(B790,INDIRECT($F$8),6+(O803-1)*3)),11),IF(0.3*S803-VLOOKUP(B790,INDIRECT($F$8),6+(O803-1)*3)&lt;=5,0.3*S803-VLOOKUP(B790,INDIRECT($F$8),6+(O803-1)*3),11)),IF(VLOOKUP(B790,INDIRECT($F$8),8+(O803-1)*3)&lt;U803*0.4,IF(U803*0.4-VLOOKUP(B790,INDIRECT($F$8),8+(O803-1)*3)&lt;=5,U803*0.4-VLOOKUP(B790,INDIRECT($F$8),8+(O803-1)*3),11),0))))</f>
        <v/>
      </c>
      <c r="X803" s="1" t="str">
        <f ca="1">IF(ISERROR(F790),"",IF(W803=0,"",_xlfn.TEXTJOIN("",FALSE," G+",W803," in ",A803)))</f>
        <v/>
      </c>
    </row>
    <row r="804" spans="1:24" ht="11.25" customHeight="1" x14ac:dyDescent="0.2">
      <c r="A804" s="7" t="str">
        <f ca="1">IF(ISERROR(F790),"",VLOOKUP(C790,INDIRECT($F$8),6+(O804-1)*3,0))</f>
        <v/>
      </c>
      <c r="B804" s="41" t="str">
        <f ca="1">IF(ISERROR(F790),"",VLOOKUP(D790,INDIRECT($F$8),6+(O804-1)*3-Z804,0))</f>
        <v/>
      </c>
      <c r="C804" s="41"/>
      <c r="D804" s="41"/>
      <c r="E804" s="41"/>
      <c r="F804" s="7" t="str">
        <f ca="1">IF(ISERROR(F790),"",VLOOKUP(E790,INDIRECT($F$8),6+(O804-1)*3,0))</f>
        <v/>
      </c>
      <c r="G804" s="42" t="str">
        <f ca="1">IF(ISERROR(F790),"",_xlfn.TEXTJOIN("/",FALSE,P804,S804))</f>
        <v/>
      </c>
      <c r="H804" s="42"/>
      <c r="I804" s="42" t="str">
        <f ca="1">IF(ISERROR(F790),"",_xlfn.TEXTJOIN("/",FALSE,Q804,T804))</f>
        <v/>
      </c>
      <c r="J804" s="42"/>
      <c r="K804" s="42" t="str">
        <f ca="1">IF(ISERROR(F790),"",_xlfn.TEXTJOIN("/",FALSE,R804,U804))</f>
        <v/>
      </c>
      <c r="L804" s="42"/>
      <c r="M804" s="7" t="str">
        <f ca="1">IF(ISERROR(F790),"",IF(ISTEXT(P804),IF(P804="A","Ab",IF(P804="D","Dt",IF(P804="UFM","UFM",IF(P804="NA","-")))),IF(AND(ISBLANK(P804),ISBLANK(R804)),"",IF(P804&lt;0.3*S804,"F",IF(ISBLANK(R804),"",IF(ISTEXT(R804),R804,IF(R804&gt;=0.95*U804,"O",IF(R804&gt;=0.9*U804,"A+",IF(R804&gt;=0.85*U804,"A",IF(R804&gt;=0.8*U804,"B+",IF(R804&gt;=0.75*U804,"B",IF(R804&gt;=0.7*U804,"C+",IF(R804&gt;=0.65*U804,"C",IF(R804&gt;=0.6*U804,"D+",IF(R804&gt;=0.55*U804,"D",IF(R804&gt;=0.5*U804,"E+",IF(R804&gt;=0.45*U804,"E",IF(R804&gt;=0.4*U804,"P",IF(R804&lt;0.4*U804,"F",R804)))))))))))))))))))</f>
        <v/>
      </c>
      <c r="N804" s="8" t="e">
        <f t="shared" ca="1" si="82"/>
        <v>#N/A</v>
      </c>
      <c r="O804">
        <f t="shared" si="83"/>
        <v>10</v>
      </c>
      <c r="P804" s="1" t="str">
        <f ca="1">IF(ISERROR(F790),"",IF(ISTEXT(VLOOKUP(B790,INDIRECT($F$8),6+(O804-1)*3)),(VLOOKUP(B790,INDIRECT($F$8),6+(O804-1)*3)),SUM(VLOOKUP(B790,INDIRECT($F$8),6+(O804-1)*3),IF(W809,W804,0))))</f>
        <v/>
      </c>
      <c r="Q804" s="1" t="str">
        <f ca="1">IF(ISERROR(F790),"",VLOOKUP(B790,INDIRECT($F$8),7+(O804-1)*3))</f>
        <v/>
      </c>
      <c r="R804" s="1" t="str">
        <f ca="1">IF(ISERROR(F790),"",SUM(P804:Q804))</f>
        <v/>
      </c>
      <c r="S804" s="1" t="str">
        <f ca="1">IF(ISERROR(F790),"",VLOOKUP(A790,INDIRECT($F$8),6+(O804-1)*3))</f>
        <v/>
      </c>
      <c r="T804" s="1" t="str">
        <f ca="1">IF(ISERROR(F790),"",VLOOKUP(A790,INDIRECT($F$8),7+(O804-1)*3))</f>
        <v/>
      </c>
      <c r="U804" s="1" t="str">
        <f ca="1">IF(ISERROR(F790),"",VLOOKUP(A790,INDIRECT($F$8),8+(O804-1)*3))</f>
        <v/>
      </c>
      <c r="V804" s="1" t="str">
        <f ca="1">IF(ISERROR(F790),"",IF(N804=0,A804,""))</f>
        <v/>
      </c>
      <c r="W804" s="1" t="str">
        <f ca="1">IF(ISERROR(F790),"",IF(ISTEXT(VLOOKUP(B790,INDIRECT($F$8),6+(O804-1)*3)),11,IF(VLOOKUP(B790,INDIRECT($F$8),6+(O804-1)*3)&lt;S804*0.3,IF(VLOOKUP(B790,INDIRECT($F$8),8+(O804-1)*3)&lt;U804*0.4,IF(AND(0.4*U804-VLOOKUP(B790,INDIRECT($F$8),8+(O804-1)*3)&lt;=5,0.3*S804-VLOOKUP(B790,INDIRECT($F$8),6+(O804-1)*3)&lt;=5),MAX(0.4*U804-VLOOKUP(B790,INDIRECT($F$8),8+(O804-1)*3),0.3*S804-VLOOKUP(B790,INDIRECT($F$8),6+(O804-1)*3)),11),IF(0.3*S804-VLOOKUP(B790,INDIRECT($F$8),6+(O804-1)*3)&lt;=5,0.3*S804-VLOOKUP(B790,INDIRECT($F$8),6+(O804-1)*3),11)),IF(VLOOKUP(B790,INDIRECT($F$8),8+(O804-1)*3)&lt;U804*0.4,IF(U804*0.4-VLOOKUP(B790,INDIRECT($F$8),8+(O804-1)*3)&lt;=5,U804*0.4-VLOOKUP(B790,INDIRECT($F$8),8+(O804-1)*3),11),0))))</f>
        <v/>
      </c>
      <c r="X804" s="1" t="str">
        <f ca="1">IF(ISERROR(F790),"",IF(W804=0,"",_xlfn.TEXTJOIN("",FALSE," G+",W804," in ",A804)))</f>
        <v/>
      </c>
    </row>
    <row r="805" spans="1:24" ht="11.25" customHeight="1" x14ac:dyDescent="0.2">
      <c r="A805" s="7" t="str">
        <f ca="1">IF(ISERROR(F790),"",VLOOKUP(C790,INDIRECT($F$8),6+(O805-1)*3,0))</f>
        <v/>
      </c>
      <c r="B805" s="41" t="str">
        <f ca="1">IF(ISERROR(F790),"",VLOOKUP(D790,INDIRECT($F$8),6+(O805-1)*3,0))</f>
        <v/>
      </c>
      <c r="C805" s="41"/>
      <c r="D805" s="41"/>
      <c r="E805" s="41"/>
      <c r="F805" s="7" t="str">
        <f ca="1">IF(ISERROR(F790),"",VLOOKUP(E790,INDIRECT($F$8),6+(O805-1)*3,0))</f>
        <v/>
      </c>
      <c r="G805" s="42" t="str">
        <f ca="1">IF(ISERROR(F790),"",_xlfn.TEXTJOIN("/",FALSE,P805,S805))</f>
        <v/>
      </c>
      <c r="H805" s="42"/>
      <c r="I805" s="42" t="str">
        <f ca="1">IF(ISERROR(F790),"",_xlfn.TEXTJOIN("/",FALSE,Q805,T805))</f>
        <v/>
      </c>
      <c r="J805" s="42"/>
      <c r="K805" s="42" t="str">
        <f ca="1">IF(ISERROR(F790),"",_xlfn.TEXTJOIN("/",FALSE,R805,U805))</f>
        <v/>
      </c>
      <c r="L805" s="42"/>
      <c r="M805" s="7" t="str">
        <f ca="1">IF(ISERROR(F790),"",IF(ISTEXT(P805),IF(P805="A","Ab",IF(P805="D","Dt",IF(P805="UFM","UFM",IF(P805="NA","-")))),IF(AND(ISBLANK(P805),ISBLANK(R805)),"",IF(P805&lt;0.3*S805,"F",IF(ISBLANK(R805),"",IF(ISTEXT(R805),R805,IF(R805&gt;=0.95*U805,"O",IF(R805&gt;=0.9*U805,"A+",IF(R805&gt;=0.85*U805,"A",IF(R805&gt;=0.8*U805,"B+",IF(R805&gt;=0.75*U805,"B",IF(R805&gt;=0.7*U805,"C+",IF(R805&gt;=0.65*U805,"C",IF(R805&gt;=0.6*U805,"D+",IF(R805&gt;=0.55*U805,"D",IF(R805&gt;=0.5*U805,"E+",IF(R805&gt;=0.45*U805,"E",IF(R805&gt;=0.4*U805,"P",IF(R805&lt;0.4*U805,"F",R805)))))))))))))))))))</f>
        <v/>
      </c>
      <c r="N805" s="8" t="e">
        <f t="shared" ca="1" si="82"/>
        <v>#N/A</v>
      </c>
      <c r="O805">
        <f t="shared" si="83"/>
        <v>11</v>
      </c>
      <c r="P805" s="1" t="str">
        <f ca="1">IF(ISERROR(F790),"",IF(ISTEXT(VLOOKUP(B790,INDIRECT($F$8),6+(O805-1)*3)),(VLOOKUP(B790,INDIRECT($F$8),6+(O805-1)*3)),SUM(VLOOKUP(B790,INDIRECT($F$8),6+(O805-1)*3),IF(W809,W805,0))))</f>
        <v/>
      </c>
      <c r="Q805" s="1" t="str">
        <f ca="1">IF(ISERROR(F790),"",VLOOKUP(B790,INDIRECT($F$8),7+(O805-1)*3))</f>
        <v/>
      </c>
      <c r="R805" s="1" t="str">
        <f ca="1">IF(ISERROR(F790),"",SUM(P805:Q805))</f>
        <v/>
      </c>
      <c r="S805" s="1" t="str">
        <f ca="1">IF(ISERROR(F790),"",VLOOKUP(A790,INDIRECT($F$8),6+(O805-1)*3))</f>
        <v/>
      </c>
      <c r="T805" s="1" t="str">
        <f ca="1">IF(ISERROR(F790),"",VLOOKUP(A790,INDIRECT($F$8),7+(O805-1)*3))</f>
        <v/>
      </c>
      <c r="U805" s="1" t="str">
        <f ca="1">IF(ISERROR(F790),"",VLOOKUP(A790,INDIRECT($F$8),8+(O805-1)*3))</f>
        <v/>
      </c>
      <c r="V805" s="1" t="str">
        <f ca="1">IF(ISERROR(F790),"",IF(N805=0,A805,""))</f>
        <v/>
      </c>
      <c r="W805" s="1" t="str">
        <f ca="1">IF(ISERROR(F790),"",IF(ISTEXT(VLOOKUP(B790,INDIRECT($F$8),6+(O805-1)*3)),11,IF(VLOOKUP(B790,INDIRECT($F$8),6+(O805-1)*3)&lt;S805*0.3,IF(VLOOKUP(B790,INDIRECT($F$8),8+(O805-1)*3)&lt;U805*0.4,IF(AND(0.4*U805-VLOOKUP(B790,INDIRECT($F$8),8+(O805-1)*3)&lt;=5,0.3*S805-VLOOKUP(B790,INDIRECT($F$8),6+(O805-1)*3)&lt;=5),MAX(0.4*U805-VLOOKUP(B790,INDIRECT($F$8),8+(O805-1)*3),0.3*S805-VLOOKUP(B790,INDIRECT($F$8),6+(O805-1)*3)),11),IF(0.3*S805-VLOOKUP(B790,INDIRECT($F$8),6+(O805-1)*3)&lt;=5,0.3*S805-VLOOKUP(B790,INDIRECT($F$8),6+(O805-1)*3),11)),IF(VLOOKUP(B790,INDIRECT($F$8),8+(O805-1)*3)&lt;U805*0.4,IF(U805*0.4-VLOOKUP(B790,INDIRECT($F$8),8+(O805-1)*3)&lt;=5,U805*0.4-VLOOKUP(B790,INDIRECT($F$8),8+(O805-1)*3),11),0))))</f>
        <v/>
      </c>
      <c r="X805" s="1" t="str">
        <f ca="1">IF(ISERROR(F790),"",IF(W805=0,"",_xlfn.TEXTJOIN("",FALSE," G+",W805," in ",A805)))</f>
        <v/>
      </c>
    </row>
    <row r="806" spans="1:24" ht="11.25" customHeight="1" x14ac:dyDescent="0.2">
      <c r="A806" s="7" t="str">
        <f ca="1">IF(ISERROR(F790),"",VLOOKUP(C790,INDIRECT($F$8),6+(O806-1)*3,0))</f>
        <v/>
      </c>
      <c r="B806" s="41" t="str">
        <f ca="1">IF(ISERROR(F790),"",VLOOKUP(D790,INDIRECT($F$8),6+(O806-1)*3,0))</f>
        <v/>
      </c>
      <c r="C806" s="41"/>
      <c r="D806" s="41"/>
      <c r="E806" s="41"/>
      <c r="F806" s="7" t="str">
        <f ca="1">IF(ISERROR(F790),"",VLOOKUP(E790,INDIRECT($F$8),6+(O806-1)*3,0))</f>
        <v/>
      </c>
      <c r="G806" s="42" t="str">
        <f ca="1">IF(ISERROR(F790),"",_xlfn.TEXTJOIN("/",FALSE,P806,S806))</f>
        <v/>
      </c>
      <c r="H806" s="42"/>
      <c r="I806" s="42" t="str">
        <f ca="1">IF(ISERROR(F790),"",_xlfn.TEXTJOIN("/",FALSE,Q806,T806))</f>
        <v/>
      </c>
      <c r="J806" s="42"/>
      <c r="K806" s="42" t="str">
        <f ca="1">IF(ISERROR(F790),"",_xlfn.TEXTJOIN("/",FALSE,R806,U806))</f>
        <v/>
      </c>
      <c r="L806" s="42"/>
      <c r="M806" s="7" t="str">
        <f ca="1">IF(ISERROR(F790),"",IF(ISTEXT(P806),IF(P806="A","Ab",IF(P806="D","Dt",IF(P806="UFM","UFM",IF(P806="NA","-")))),IF(AND(ISBLANK(P806),ISBLANK(R806)),"",IF(P806&lt;0.3*S806,"F",IF(ISBLANK(R806),"",IF(ISTEXT(R806),R806,IF(R806&gt;=0.95*U806,"O",IF(R806&gt;=0.9*U806,"A+",IF(R806&gt;=0.85*U806,"A",IF(R806&gt;=0.8*U806,"B+",IF(R806&gt;=0.75*U806,"B",IF(R806&gt;=0.7*U806,"C+",IF(R806&gt;=0.65*U806,"C",IF(R806&gt;=0.6*U806,"D+",IF(R806&gt;=0.55*U806,"D",IF(R806&gt;=0.5*U806,"E+",IF(R806&gt;=0.45*U806,"E",IF(R806&gt;=0.4*U806,"P",IF(R806&lt;0.4*U806,"F",R806)))))))))))))))))))</f>
        <v/>
      </c>
      <c r="N806" s="8" t="e">
        <f t="shared" ca="1" si="82"/>
        <v>#N/A</v>
      </c>
      <c r="O806">
        <f t="shared" si="83"/>
        <v>12</v>
      </c>
      <c r="P806" s="1" t="str">
        <f ca="1">IF(ISERROR(F790),"",IF(ISTEXT(VLOOKUP(B790,INDIRECT($F$8),6+(O806-1)*3)),(VLOOKUP(B790,INDIRECT($F$8),6+(O806-1)*3)),SUM(VLOOKUP(B790,INDIRECT($F$8),6+(O806-1)*3),IF(W809,W806,0))))</f>
        <v/>
      </c>
      <c r="Q806" s="1" t="str">
        <f ca="1">IF(ISERROR(F790),"",VLOOKUP(B790,INDIRECT($F$8),7+(O806-1)*3))</f>
        <v/>
      </c>
      <c r="R806" s="1" t="str">
        <f ca="1">IF(ISERROR(F790),"",SUM(P806:Q806))</f>
        <v/>
      </c>
      <c r="S806" s="1" t="str">
        <f ca="1">IF(ISERROR(F790),"",VLOOKUP(A790,INDIRECT($F$8),6+(O806-1)*3))</f>
        <v/>
      </c>
      <c r="T806" s="1" t="str">
        <f ca="1">IF(ISERROR(F790),"",VLOOKUP(A790,INDIRECT($F$8),7+(O806-1)*3))</f>
        <v/>
      </c>
      <c r="U806" s="1" t="str">
        <f ca="1">IF(ISERROR(F790),"",VLOOKUP(A790,INDIRECT($F$8),8+(O806-1)*3))</f>
        <v/>
      </c>
      <c r="V806" s="1" t="str">
        <f ca="1">IF(ISERROR(F790),"",IF(N806=0,A806,""))</f>
        <v/>
      </c>
      <c r="W806" s="1" t="str">
        <f ca="1">IF(ISERROR(F790),"",IF(ISTEXT(VLOOKUP(B790,INDIRECT($F$8),6+(O806-1)*3)),11,IF(VLOOKUP(B790,INDIRECT($F$8),6+(O806-1)*3)&lt;S806*0.3,IF(VLOOKUP(B790,INDIRECT($F$8),8+(O806-1)*3)&lt;U806*0.4,IF(AND(0.4*U806-VLOOKUP(B790,INDIRECT($F$8),8+(O806-1)*3)&lt;=5,0.3*S806-VLOOKUP(B790,INDIRECT($F$8),6+(O806-1)*3)&lt;=5),MAX(0.4*U806-VLOOKUP(B790,INDIRECT($F$8),8+(O806-1)*3),0.3*S806-VLOOKUP(B790,INDIRECT($F$8),6+(O806-1)*3)),11),IF(0.3*S806-VLOOKUP(B790,INDIRECT($F$8),6+(O806-1)*3)&lt;=5,0.3*S806-VLOOKUP(B790,INDIRECT($F$8),6+(O806-1)*3),11)),IF(VLOOKUP(B790,INDIRECT($F$8),8+(O806-1)*3)&lt;U806*0.4,IF(U806*0.4-VLOOKUP(B790,INDIRECT($F$8),8+(O806-1)*3)&lt;=5,U806*0.4-VLOOKUP(B790,INDIRECT($F$8),8+(O806-1)*3),11),0))))</f>
        <v/>
      </c>
      <c r="X806" s="1" t="str">
        <f ca="1">IF(ISERROR(F790),"",IF(W806=0,"",_xlfn.TEXTJOIN("",FALSE," G+",W806," in ",A806)))</f>
        <v/>
      </c>
    </row>
    <row r="807" spans="1:24" ht="11.25" customHeight="1" x14ac:dyDescent="0.2">
      <c r="A807" s="7" t="str">
        <f ca="1">IF(ISERROR(F790),"",VLOOKUP(C790,INDIRECT($F$8),6+(O807-1)*3,0))</f>
        <v/>
      </c>
      <c r="B807" s="41" t="str">
        <f ca="1">IF(ISERROR(F790),"",VLOOKUP(D790,INDIRECT($F$8),6+(O807-1)*3,0))</f>
        <v/>
      </c>
      <c r="C807" s="41"/>
      <c r="D807" s="41"/>
      <c r="E807" s="41"/>
      <c r="F807" s="7" t="str">
        <f ca="1">IF(ISERROR(F790),"",VLOOKUP(E790,INDIRECT($F$8),6+(O807-1)*3,0))</f>
        <v/>
      </c>
      <c r="G807" s="42" t="str">
        <f ca="1">IF(ISERROR(F790),"",_xlfn.TEXTJOIN("/",FALSE,P807,S807))</f>
        <v/>
      </c>
      <c r="H807" s="42"/>
      <c r="I807" s="42" t="str">
        <f ca="1">IF(ISERROR(F790),"",_xlfn.TEXTJOIN("/",FALSE,Q807,T807))</f>
        <v/>
      </c>
      <c r="J807" s="42"/>
      <c r="K807" s="42" t="str">
        <f ca="1">IF(ISERROR(F790),"",_xlfn.TEXTJOIN("/",FALSE,R807,U807))</f>
        <v/>
      </c>
      <c r="L807" s="42"/>
      <c r="M807" s="7" t="str">
        <f ca="1">IF(ISERROR(F790),"",IF(ISTEXT(P807),IF(P807="A","Ab",IF(P807="D","Dt",IF(P807="UFM","UFM",IF(P807="NA","-")))),IF(AND(ISBLANK(P807),ISBLANK(R807)),"",IF(P807&lt;0.3*S807,"F",IF(ISBLANK(R807),"",IF(ISTEXT(R807),R807,IF(R807&gt;=0.95*U807,"O",IF(R807&gt;=0.9*U807,"A+",IF(R807&gt;=0.85*U807,"A",IF(R807&gt;=0.8*U807,"B+",IF(R807&gt;=0.75*U807,"B",IF(R807&gt;=0.7*U807,"C+",IF(R807&gt;=0.65*U807,"C",IF(R807&gt;=0.6*U807,"D+",IF(R807&gt;=0.55*U807,"D",IF(R807&gt;=0.5*U807,"E+",IF(R807&gt;=0.45*U807,"E",IF(R807&gt;=0.4*U807,"P",IF(R807&lt;0.4*U807,"F",R807)))))))))))))))))))</f>
        <v/>
      </c>
      <c r="N807" s="8" t="e">
        <f t="shared" ca="1" si="82"/>
        <v>#N/A</v>
      </c>
      <c r="O807">
        <f t="shared" si="83"/>
        <v>13</v>
      </c>
      <c r="P807" s="1" t="str">
        <f ca="1">IF(ISERROR(F790),"",IF(ISTEXT(VLOOKUP(B790,INDIRECT($F$8),6+(O807-1)*3)),(VLOOKUP(B790,INDIRECT($F$8),6+(O807-1)*3)),SUM(VLOOKUP(B790,INDIRECT($F$8),6+(O807-1)*3),IF(W809,W807,0))))</f>
        <v/>
      </c>
      <c r="Q807" s="1" t="str">
        <f ca="1">IF(ISERROR(F790),"",VLOOKUP(B790,INDIRECT($F$8),7+(O807-1)*3))</f>
        <v/>
      </c>
      <c r="R807" s="1" t="str">
        <f ca="1">IF(ISERROR(F790),"",SUM(P807:Q807))</f>
        <v/>
      </c>
      <c r="S807" s="1" t="str">
        <f ca="1">IF(ISERROR(F790),"",VLOOKUP(A790,INDIRECT($F$8),6+(O807-1)*3))</f>
        <v/>
      </c>
      <c r="T807" s="1" t="str">
        <f ca="1">IF(ISERROR(F790),"",VLOOKUP(A790,INDIRECT($F$8),7+(O807-1)*3))</f>
        <v/>
      </c>
      <c r="U807" s="1" t="str">
        <f ca="1">IF(ISERROR(F790),"",VLOOKUP(A790,INDIRECT($F$8),8+(O807-1)*3))</f>
        <v/>
      </c>
      <c r="V807" s="1"/>
      <c r="W807" s="1" t="str">
        <f ca="1">IF(ISERROR(F790),"",IF(ISTEXT(VLOOKUP(B790,INDIRECT($F$8),6+(O807-1)*3)),11,IF(VLOOKUP(B790,INDIRECT($F$8),6+(O807-1)*3)&lt;S807*0.3,IF(VLOOKUP(B790,INDIRECT($F$8),8+(O807-1)*3)&lt;U807*0.4,IF(AND(0.4*U807-VLOOKUP(B790,INDIRECT($F$8),8+(O807-1)*3)&lt;=5,0.3*S807-VLOOKUP(B790,INDIRECT($F$8),6+(O807-1)*3)&lt;=5),MAX(0.4*U807-VLOOKUP(B790,INDIRECT($F$8),8+(O807-1)*3),0.3*S807-VLOOKUP(B790,INDIRECT($F$8),6+(O807-1)*3)),11),IF(0.3*S807-VLOOKUP(B790,INDIRECT($F$8),6+(O807-1)*3)&lt;=5,0.3*S807-VLOOKUP(B790,INDIRECT($F$8),6+(O807-1)*3),11)),IF(VLOOKUP(B790,INDIRECT($F$8),8+(O807-1)*3)&lt;U807*0.4,IF(U807*0.4-VLOOKUP(B790,INDIRECT($F$8),8+(O807-1)*3)&lt;=5,U807*0.4-VLOOKUP(B790,INDIRECT($F$8),8+(O807-1)*3),11),0))))</f>
        <v/>
      </c>
      <c r="X807" s="1" t="str">
        <f ca="1">IF(ISERROR(F790),"",IF(W807=0,"",_xlfn.TEXTJOIN("",FALSE," G+",W807," in ",A807)))</f>
        <v/>
      </c>
    </row>
    <row r="808" spans="1:24" s="32" customFormat="1" ht="11.25" customHeight="1" x14ac:dyDescent="0.2">
      <c r="A808" s="31" t="str">
        <f ca="1">IF(ISERROR(F790),"",VLOOKUP(C790,INDIRECT($F$8),6+(O808-1)*3-Y808,0))</f>
        <v/>
      </c>
      <c r="B808" s="49" t="str">
        <f ca="1">IF(ISERROR(F790),"",VLOOKUP(D790,INDIRECT($F$8),6+(O808-1)*3-Z808,0))</f>
        <v/>
      </c>
      <c r="C808" s="49"/>
      <c r="D808" s="49"/>
      <c r="E808" s="49"/>
      <c r="F808" s="31" t="str">
        <f ca="1">IF(ISERROR(F790),"",VLOOKUP(E790,INDIRECT($F$8),6+(O808-1)*3-AA808,0))</f>
        <v/>
      </c>
      <c r="G808" s="50" t="str">
        <f ca="1">IF(ISERROR(F790),"","-")</f>
        <v/>
      </c>
      <c r="H808" s="50"/>
      <c r="I808" s="50" t="str">
        <f ca="1">IF(ISERROR(F790),"",_xlfn.TEXTJOIN("/",FALSE,Q808,T808))</f>
        <v/>
      </c>
      <c r="J808" s="50"/>
      <c r="K808" s="50" t="str">
        <f ca="1">IF(ISERROR(F790),"",_xlfn.TEXTJOIN("/",FALSE,R808,U808))</f>
        <v/>
      </c>
      <c r="L808" s="50"/>
      <c r="M808" s="7" t="b">
        <f ca="1">IF(ISERROR(F791),"",IF(ISTEXT(P808),IF(P808="A","Ab",IF(P808="D","Dt",IF(P808="UFM","UFM",IF(P808="NA","")))),IF(AND(ISBLANK(P808),ISBLANK(R808)),"",IF(P808&lt;0.3*S808,"F",IF(ISBLANK(R808),"",IF(ISTEXT(R808),R808,IF(R808&gt;=0.95*U808,"O",IF(R808&gt;=0.9*U808,"A+",IF(R808&gt;=0.85*U808,"A",IF(R808&gt;=0.8*U808,"B+",IF(R808&gt;=0.75*U808,"B",IF(R808&gt;=0.7*U808,"C+",IF(R808&gt;=0.65*U808,"C",IF(R808&gt;=0.6*U808,"D+",IF(R808&gt;=0.55*U808,"D",IF(R808&gt;=0.5*U808,"E+",IF(R808&gt;=0.45*U808,"E",IF(R808&gt;=0.4*U808,"P",IF(R808&lt;0.4*U808,"F",R808)))))))))))))))))))</f>
        <v>0</v>
      </c>
      <c r="N808" s="8" t="e">
        <f t="shared" ref="N797:N808" ca="1" si="84">INDEX($Z$2:$Z$18,MATCH(M808,$Y$2:$Y$18,0))</f>
        <v>#N/A</v>
      </c>
      <c r="O808" s="32">
        <f t="shared" si="83"/>
        <v>14</v>
      </c>
      <c r="P808" s="33" t="str">
        <f ca="1">IF(ISERROR(F790),"",IF(ISTEXT(VLOOKUP(B\28,INDIRECT($F$8),6+(O808-1)*3)),(VLOOKUP(B790,INDIRECT($F$8),6+(O808-1)*3)),SUM(VLOOKUP(B790,INDIRECT($F$8),6+(O808-1)*3),IF(W809,W808,0))))</f>
        <v/>
      </c>
      <c r="Q808" s="33" t="str">
        <f ca="1">IF(ISERROR(F790),"",VLOOKUP(B790,INDIRECT($F$8),7+(O808-1)*3))</f>
        <v/>
      </c>
      <c r="R808" s="33" t="str">
        <f ca="1">IF(ISERROR(F790),"",SUM(P808:Q808))</f>
        <v/>
      </c>
      <c r="S808" s="33" t="str">
        <f ca="1">IF(ISERROR(F790),"",VLOOKUP(A790,INDIRECT($F$8),6+(O808-1)*3))</f>
        <v/>
      </c>
      <c r="T808" s="33" t="str">
        <f ca="1">IF(ISERROR(F790),"",VLOOKUP(A790,INDIRECT($F$8),7+(O808-1)*3))</f>
        <v/>
      </c>
      <c r="U808" s="33" t="str">
        <f ca="1">IF(ISERROR(F790),"",VLOOKUP(A790,INDIRECT($F$8),8+(O808-1)*3))</f>
        <v/>
      </c>
      <c r="V808" s="33"/>
      <c r="W808" s="33"/>
      <c r="X808" s="33" t="str">
        <f ca="1">IF(ISERROR(F790),"",IF(W808=0,"",_xlfn.TEXTJOIN("",FALSE," G+",W808," in ",A808)))</f>
        <v/>
      </c>
    </row>
    <row r="809" spans="1:24" ht="11.25" customHeight="1" x14ac:dyDescent="0.2">
      <c r="A809" s="43" t="str">
        <f ca="1">IF(ISERROR(F790),"",A786)</f>
        <v/>
      </c>
      <c r="B809" s="43"/>
      <c r="C809" s="43"/>
      <c r="D809" s="43"/>
      <c r="E809" s="43"/>
      <c r="F809" s="10" t="str">
        <f ca="1">IF(ISERROR(F790),"",SUM(F795:F808))</f>
        <v/>
      </c>
      <c r="G809" s="44" t="str">
        <f ca="1">IF(ISERROR(F790),"",_xlfn.TEXTJOIN("/",TRUE,SUMIF(F795:F808,"&gt;0",P795:P808),SUMIF(F795:F808,"&gt;0",S795:S808)))</f>
        <v/>
      </c>
      <c r="H809" s="44"/>
      <c r="I809" s="44" t="str">
        <f ca="1">IF(ISERROR(F790),"",_xlfn.TEXTJOIN("/",TRUE,SUMIF(F795:F808,"&gt;0",Q795:Q808),SUMIF(F795:F808,"&gt;0",T795:T808)))</f>
        <v/>
      </c>
      <c r="J809" s="44"/>
      <c r="K809" s="44" t="str">
        <f ca="1">IF(ISERROR(F790),"",_xlfn.TEXTJOIN("/",TRUE,SUMIF(F795:F808,"&gt;0",R795:R808),SUMIF(F795:F808,"&gt;0",U795:U808)))</f>
        <v/>
      </c>
      <c r="L809" s="44"/>
      <c r="M809" s="43" t="str">
        <f ca="1">IF(ISERROR(F790),"",SUMPRODUCT(N795:N807,F795:F807))</f>
        <v/>
      </c>
      <c r="N809" s="43"/>
      <c r="V809" s="1" t="str">
        <f ca="1">IF(ISERROR(F790),"",_xlfn.TEXTJOIN(", ",TRUE,V795:V808))</f>
        <v/>
      </c>
      <c r="W809" t="str">
        <f ca="1">IF(ISERROR(F790),"",IF(SUM(W795:W808)&lt;=W794,TRUE,FALSE))</f>
        <v/>
      </c>
      <c r="X809" s="1" t="str">
        <f ca="1">_xlfn.TEXTJOIN(",",TRUE,X795:X808)</f>
        <v/>
      </c>
    </row>
    <row r="810" spans="1:24" ht="11.25" customHeight="1" x14ac:dyDescent="0.2">
      <c r="A810" s="43" t="str">
        <f ca="1">IF(ISERROR(F790),"",A787)</f>
        <v/>
      </c>
      <c r="B810" s="45" t="str">
        <f ca="1">IF(ISERROR(F790),"",IF(V809="","PASS","CARRY OVER"))</f>
        <v/>
      </c>
      <c r="C810" s="45"/>
      <c r="D810" s="43" t="str">
        <f ca="1">IF(ISERROR(F790),"",D787)</f>
        <v/>
      </c>
      <c r="E810" s="45" t="str">
        <f ca="1">IF(ISERROR(F790),"",IF(W809,X809,IF(V809="","",_xlfn.TEXTJOIN("",TRUE,"BACK IN ",V809))))</f>
        <v/>
      </c>
      <c r="F810" s="45"/>
      <c r="G810" s="43" t="str">
        <f ca="1">IF(ISERROR(F790),"",G787)</f>
        <v/>
      </c>
      <c r="H810" s="46" t="str">
        <f ca="1">IF(ISERROR(F790),"",M809/F809)</f>
        <v/>
      </c>
      <c r="I810" s="43" t="str">
        <f ca="1">IF(ISERROR(F790),"",I787)</f>
        <v/>
      </c>
      <c r="J810" s="46" t="str">
        <f ca="1">IF(ISERROR(F790),"",VLOOKUP(B790,INDIRECT($F$8),12+(O808-1)*3,0))</f>
        <v/>
      </c>
      <c r="K810" s="45" t="str">
        <f ca="1">IF(ISERROR(F790),"",K787)</f>
        <v/>
      </c>
      <c r="L810" s="43" t="str">
        <f ca="1">IF(ISERROR(F790),"",SUMIF(N795:N807,"&gt;0",F795:F807))</f>
        <v/>
      </c>
      <c r="M810" s="45" t="str">
        <f ca="1">IF(ISERROR(F790),"",M787)</f>
        <v/>
      </c>
      <c r="N810" s="43" t="str">
        <f ca="1">IF(ISERROR(F790),"",VLOOKUP(B790,INDIRECT($F$8),10+(O808-1)*3,0))</f>
        <v/>
      </c>
    </row>
    <row r="811" spans="1:24" ht="11.25" customHeight="1" x14ac:dyDescent="0.2">
      <c r="A811" s="43"/>
      <c r="B811" s="45"/>
      <c r="C811" s="45"/>
      <c r="D811" s="43"/>
      <c r="E811" s="45"/>
      <c r="F811" s="45"/>
      <c r="G811" s="43"/>
      <c r="H811" s="46"/>
      <c r="I811" s="43"/>
      <c r="J811" s="46"/>
      <c r="K811" s="45"/>
      <c r="L811" s="43"/>
      <c r="M811" s="45"/>
      <c r="N811" s="43"/>
    </row>
    <row r="812" spans="1:24" ht="11.25" customHeight="1" x14ac:dyDescent="0.2">
      <c r="A812" s="43"/>
      <c r="B812" s="45"/>
      <c r="C812" s="45"/>
      <c r="D812" s="43"/>
      <c r="E812" s="45"/>
      <c r="F812" s="45"/>
      <c r="G812" s="43"/>
      <c r="H812" s="46"/>
      <c r="I812" s="43"/>
      <c r="J812" s="46"/>
      <c r="K812" s="45"/>
      <c r="L812" s="43"/>
      <c r="M812" s="45"/>
      <c r="N812" s="43"/>
    </row>
    <row r="813" spans="1:24" ht="11.25" customHeight="1" x14ac:dyDescent="0.2">
      <c r="A813" s="11" t="str">
        <f>A790</f>
        <v>MM</v>
      </c>
      <c r="B813" s="11">
        <f>B790+1</f>
        <v>36</v>
      </c>
      <c r="C813" s="11" t="str">
        <f>C790</f>
        <v>SC</v>
      </c>
      <c r="D813" s="11" t="str">
        <f>D790</f>
        <v>SN</v>
      </c>
      <c r="E813" s="11" t="str">
        <f>E790</f>
        <v>C</v>
      </c>
      <c r="F813" s="11" t="e">
        <f ca="1">VLOOKUP(B813,INDIRECT($F$8),4,0)</f>
        <v>#N/A</v>
      </c>
    </row>
    <row r="814" spans="1:24" ht="11.25" customHeight="1" x14ac:dyDescent="0.2">
      <c r="A814" s="47" t="str">
        <f ca="1">IF(ISERROR(F813),"",A791)</f>
        <v/>
      </c>
      <c r="B814" s="47" t="str">
        <f ca="1">IFERROR(VLOOKUP(B813,INDIRECT($F$8),4,0),"")</f>
        <v/>
      </c>
      <c r="C814" s="47"/>
      <c r="D814" s="47" t="str">
        <f ca="1">IF(ISERROR(F813),"",D791)</f>
        <v/>
      </c>
      <c r="E814" s="47" t="str">
        <f ca="1">IFERROR(VLOOKUP(B813,INDIRECT($F$8),5,0),"")</f>
        <v/>
      </c>
      <c r="F814" s="47"/>
      <c r="G814" s="47" t="str">
        <f ca="1">IF(ISERROR(F813),"",G791)</f>
        <v/>
      </c>
      <c r="H814" s="47"/>
      <c r="I814" s="48" t="str">
        <f ca="1">IFERROR(VLOOKUP(B813,INDIRECT($F$8),2,0),"")</f>
        <v/>
      </c>
      <c r="J814" s="48"/>
      <c r="K814" s="47" t="str">
        <f ca="1">IF(ISERROR(F813),"",K791)</f>
        <v/>
      </c>
      <c r="L814" s="47"/>
      <c r="M814" s="48" t="str">
        <f ca="1">IFERROR(VLOOKUP(B813,INDIRECT($F$8),3,0),"")</f>
        <v/>
      </c>
      <c r="N814" s="48"/>
    </row>
    <row r="815" spans="1:24" ht="11.25" customHeight="1" x14ac:dyDescent="0.2">
      <c r="A815" s="47"/>
      <c r="B815" s="47"/>
      <c r="C815" s="47"/>
      <c r="D815" s="47"/>
      <c r="E815" s="47"/>
      <c r="F815" s="47"/>
      <c r="G815" s="47"/>
      <c r="H815" s="47"/>
      <c r="I815" s="48"/>
      <c r="J815" s="48"/>
      <c r="K815" s="47"/>
      <c r="L815" s="47"/>
      <c r="M815" s="48"/>
      <c r="N815" s="48"/>
    </row>
    <row r="816" spans="1:24" ht="11.25" customHeight="1" x14ac:dyDescent="0.2">
      <c r="A816" s="45" t="str">
        <f ca="1">IF(ISERROR(F813),"",A793)</f>
        <v/>
      </c>
      <c r="B816" s="45" t="str">
        <f ca="1">IF(ISERROR(F813),"",B793)</f>
        <v/>
      </c>
      <c r="C816" s="45"/>
      <c r="D816" s="45"/>
      <c r="E816" s="45"/>
      <c r="F816" s="45" t="str">
        <f ca="1">IF(ISERROR(F813),"",F793)</f>
        <v/>
      </c>
      <c r="G816" s="45" t="str">
        <f ca="1">IF(ISERROR(F813),"",G793)</f>
        <v/>
      </c>
      <c r="H816" s="45"/>
      <c r="I816" s="45" t="str">
        <f ca="1">IF(ISERROR(F813),"",I793)</f>
        <v/>
      </c>
      <c r="J816" s="45"/>
      <c r="K816" s="45" t="str">
        <f ca="1">IF(ISERROR(F813),"",K793)</f>
        <v/>
      </c>
      <c r="L816" s="45"/>
      <c r="M816" s="45" t="str">
        <f ca="1">IF(ISERROR(F813),"",M793)</f>
        <v/>
      </c>
      <c r="N816" s="45" t="str">
        <f ca="1">IF(ISERROR(F813),"",N793)</f>
        <v/>
      </c>
    </row>
    <row r="817" spans="1:24" ht="11.25" customHeight="1" x14ac:dyDescent="0.2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W817">
        <f ca="1">IF(ISNUMBER(MATCH($F$8,{"I","III","V","VII"},0)),10,10-INDEX(INDIRECT(_xlfn.TEXTJOIN("",TRUE,"SEM_",$G$8,"!",ADDRESS(6,4+$I$8*3+4),":",ADDRESS(5+$H$8,4+$I$8*3+4))),MATCH(INDIRECT(_xlfn.TEXTJOIN("",TRUE,"TC_",$F$8,"!",ADDRESS(ROW(I814),COLUMN(I814)))),INDIRECT(_xlfn.TEXTJOIN("",TRUE,"SEM_",$G$8,"!",ADDRESS(6,2),":",ADDRESS(5+$H$8,2))))))</f>
        <v>10</v>
      </c>
    </row>
    <row r="818" spans="1:24" ht="11.25" customHeight="1" x14ac:dyDescent="0.2">
      <c r="A818" s="7" t="str">
        <f ca="1">IF(ISERROR(F813),"",VLOOKUP(C813,INDIRECT($F$8),6+(O818-1)*3,0))</f>
        <v/>
      </c>
      <c r="B818" s="41" t="str">
        <f ca="1">IF(ISERROR(F813),"",VLOOKUP(D813,INDIRECT($F$8),6+(O818-1)*3,0))</f>
        <v/>
      </c>
      <c r="C818" s="41"/>
      <c r="D818" s="41"/>
      <c r="E818" s="41"/>
      <c r="F818" s="7" t="str">
        <f ca="1">IF(ISERROR(F813),"",VLOOKUP(E813,INDIRECT($F$8),6+(O818-1)*3,0))</f>
        <v/>
      </c>
      <c r="G818" s="42" t="str">
        <f ca="1">IF(ISERROR(F813),"",_xlfn.TEXTJOIN("/",FALSE,P818,S818))</f>
        <v/>
      </c>
      <c r="H818" s="42"/>
      <c r="I818" s="42" t="str">
        <f ca="1">IF(ISERROR(F813),"",_xlfn.TEXTJOIN("/",FALSE,Q818,T818))</f>
        <v/>
      </c>
      <c r="J818" s="42"/>
      <c r="K818" s="42" t="str">
        <f ca="1">IF(ISERROR(F813),"",_xlfn.TEXTJOIN("/",FALSE,R818,U818))</f>
        <v/>
      </c>
      <c r="L818" s="42"/>
      <c r="M818" s="7" t="str">
        <f ca="1">IF(ISERROR(F813),"",IF(ISTEXT(P818),IF(P818="A","Ab",IF(P818="D","Dt",IF(P818="UFM","UFM",IF(P818="NA","-")))),IF(AND(ISBLANK(P818),ISBLANK(R818)),"",IF(P818&lt;0.3*S818,"F",IF(ISBLANK(R818),"",IF(ISTEXT(R818),R818,IF(R818&gt;=0.95*U818,"O",IF(R818&gt;=0.9*U818,"A+",IF(R818&gt;=0.85*U818,"A",IF(R818&gt;=0.8*U818,"B+",IF(R818&gt;=0.75*U818,"B",IF(R818&gt;=0.7*U818,"C+",IF(R818&gt;=0.65*U818,"C",IF(R818&gt;=0.6*U818,"D+",IF(R818&gt;=0.55*U818,"D",IF(R818&gt;=0.5*U818,"E+",IF(R818&gt;=0.45*U818,"E",IF(R818&gt;=0.4*U818,"P",IF(R818&lt;0.4*U818,"F",R818)))))))))))))))))))</f>
        <v/>
      </c>
      <c r="N818" s="8" t="e">
        <f ca="1">INDEX($Z$2:$Z$18,MATCH(M818,$Y$2:$Y$18,0))</f>
        <v>#N/A</v>
      </c>
      <c r="O818">
        <v>1</v>
      </c>
      <c r="P818" s="1" t="str">
        <f ca="1">IF(ISERROR(F813),"",IF(ISTEXT(VLOOKUP(B813,INDIRECT($F$8),6+(O818-1)*3)),(VLOOKUP(B813,INDIRECT($F$8),6+(O818-1)*3)),SUM(VLOOKUP(B813,INDIRECT($F$8),6+(O818-1)*3),IF(W832,W818,0))))</f>
        <v/>
      </c>
      <c r="Q818" s="1" t="str">
        <f ca="1">IF(ISERROR(F813),"",VLOOKUP(B813,INDIRECT($F$8),7+(O818-1)*3))</f>
        <v/>
      </c>
      <c r="R818" s="1" t="str">
        <f ca="1">IF(ISERROR(F813),"",SUM(P818:Q818))</f>
        <v/>
      </c>
      <c r="S818" s="1" t="str">
        <f ca="1">IF(ISERROR(F813),"",VLOOKUP(A813,INDIRECT($F$8),6+(O818-1)*3))</f>
        <v/>
      </c>
      <c r="T818" s="1" t="str">
        <f ca="1">IF(ISERROR(F813),"",VLOOKUP(A813,INDIRECT($F$8),7+(O818-1)*3))</f>
        <v/>
      </c>
      <c r="U818" s="1" t="str">
        <f ca="1">IF(ISERROR(F813),"",VLOOKUP(A813,INDIRECT($F$8),8+(O818-1)*3))</f>
        <v/>
      </c>
      <c r="V818" s="1" t="str">
        <f ca="1">IF(ISERROR(F813),"",IF(N818=0,A818,""))</f>
        <v/>
      </c>
      <c r="W818" s="1" t="str">
        <f ca="1">IF(ISERROR(F813),"",IF(ISTEXT(VLOOKUP(B813,INDIRECT($F$8),6+(O818-1)*3)),11,IF(VLOOKUP(B813,INDIRECT($F$8),6+(O818-1)*3)&lt;S818*0.3,IF(VLOOKUP(B813,INDIRECT($F$8),8+(O818-1)*3)&lt;U818*0.4,IF(AND(0.4*U818-VLOOKUP(B813,INDIRECT($F$8),8+(O818-1)*3)&lt;=5,0.3*S818-VLOOKUP(B813,INDIRECT($F$8),6+(O818-1)*3)&lt;=5),MAX(0.4*U818-VLOOKUP(B813,INDIRECT($F$8),8+(O818-1)*3),0.3*S818-VLOOKUP(B813,INDIRECT($F$8),6+(O818-1)*3)),11),IF(0.3*S818-VLOOKUP(B813,INDIRECT($F$8),6+(O818-1)*3)&lt;=5,0.3*S818-VLOOKUP(B813,INDIRECT($F$8),6+(O818-1)*3),11)),IF(VLOOKUP(B813,INDIRECT($F$8),8+(O818-1)*3)&lt;U818*0.4,IF(U818*0.4-VLOOKUP(B813,INDIRECT($F$8),8+(O818-1)*3)&lt;=5,U818*0.4-VLOOKUP(B813,INDIRECT($F$8),8+(O818-1)*3),11),0))))</f>
        <v/>
      </c>
      <c r="X818" s="1" t="str">
        <f ca="1">IF(ISERROR(F813),"",IF(W818=0,"",_xlfn.TEXTJOIN("",FALSE," G+",W818," in ",A818)))</f>
        <v/>
      </c>
    </row>
    <row r="819" spans="1:24" ht="11.25" customHeight="1" x14ac:dyDescent="0.2">
      <c r="A819" s="7" t="str">
        <f ca="1">IF(ISERROR(F813),"",VLOOKUP(C813,INDIRECT($F$8),6+(O819-1)*3,0))</f>
        <v/>
      </c>
      <c r="B819" s="41" t="str">
        <f ca="1">IF(ISERROR(F813),"",VLOOKUP(D813,INDIRECT($F$8),6+(O819-1)*3,0))</f>
        <v/>
      </c>
      <c r="C819" s="41"/>
      <c r="D819" s="41"/>
      <c r="E819" s="41"/>
      <c r="F819" s="7" t="str">
        <f ca="1">IF(ISERROR(F813),"",VLOOKUP(E813,INDIRECT($F$8),6+(O819-1)*3,0))</f>
        <v/>
      </c>
      <c r="G819" s="42" t="str">
        <f ca="1">IF(ISERROR(F813),"",_xlfn.TEXTJOIN("/",FALSE,P819,S819))</f>
        <v/>
      </c>
      <c r="H819" s="42"/>
      <c r="I819" s="42" t="str">
        <f ca="1">IF(ISERROR(F813),"",_xlfn.TEXTJOIN("/",FALSE,Q819,T819))</f>
        <v/>
      </c>
      <c r="J819" s="42"/>
      <c r="K819" s="42" t="str">
        <f ca="1">IF(ISERROR(F813),"",_xlfn.TEXTJOIN("/",FALSE,R819,U819))</f>
        <v/>
      </c>
      <c r="L819" s="42"/>
      <c r="M819" s="7" t="str">
        <f ca="1">IF(ISERROR(F813),"",IF(ISTEXT(P819),IF(P819="A","Ab",IF(P819="D","Dt",IF(P819="UFM","UFM",IF(P819="NA","-")))),IF(AND(ISBLANK(P819),ISBLANK(R819)),"",IF(P819&lt;0.3*S819,"F",IF(ISBLANK(R819),"",IF(ISTEXT(R819),R819,IF(R819&gt;=0.95*U819,"O",IF(R819&gt;=0.9*U819,"A+",IF(R819&gt;=0.85*U819,"A",IF(R819&gt;=0.8*U819,"B+",IF(R819&gt;=0.75*U819,"B",IF(R819&gt;=0.7*U819,"C+",IF(R819&gt;=0.65*U819,"C",IF(R819&gt;=0.6*U819,"D+",IF(R819&gt;=0.55*U819,"D",IF(R819&gt;=0.5*U819,"E+",IF(R819&gt;=0.45*U819,"E",IF(R819&gt;=0.4*U819,"P",IF(R819&lt;0.4*U819,"F",R819)))))))))))))))))))</f>
        <v/>
      </c>
      <c r="N819" s="8" t="e">
        <f t="shared" ref="N819:N830" ca="1" si="85">INDEX($Z$2:$Z$18,MATCH(M819,$Y$2:$Y$18,0))</f>
        <v>#N/A</v>
      </c>
      <c r="O819">
        <f>O818+1</f>
        <v>2</v>
      </c>
      <c r="P819" s="1" t="str">
        <f ca="1">IF(ISERROR(F813),"",IF(ISTEXT(VLOOKUP(B813,INDIRECT($F$8),6+(O819-1)*3)),(VLOOKUP(B813,INDIRECT($F$8),6+(O819-1)*3)),SUM(VLOOKUP(B813,INDIRECT($F$8),6+(O819-1)*3),IF(W832,W819,0))))</f>
        <v/>
      </c>
      <c r="Q819" s="1" t="str">
        <f ca="1">IF(ISERROR(F813),"",VLOOKUP(B813,INDIRECT($F$8),7+(O819-1)*3))</f>
        <v/>
      </c>
      <c r="R819" s="1" t="str">
        <f ca="1">IF(ISERROR(F813),"",SUM(P819:Q819))</f>
        <v/>
      </c>
      <c r="S819" s="1" t="str">
        <f ca="1">IF(ISERROR(F813),"",VLOOKUP(A813,INDIRECT($F$8),6+(O819-1)*3))</f>
        <v/>
      </c>
      <c r="T819" s="1" t="str">
        <f ca="1">IF(ISERROR(F813),"",VLOOKUP(A813,INDIRECT($F$8),7+(O819-1)*3))</f>
        <v/>
      </c>
      <c r="U819" s="1" t="str">
        <f ca="1">IF(ISERROR(F813),"",VLOOKUP(A813,INDIRECT($F$8),8+(O819-1)*3))</f>
        <v/>
      </c>
      <c r="V819" s="1" t="str">
        <f ca="1">IF(ISERROR(F813),"",IF(N819=0,A819,""))</f>
        <v/>
      </c>
      <c r="W819" s="1" t="str">
        <f ca="1">IF(ISERROR(F813),"",IF(ISTEXT(VLOOKUP(B813,INDIRECT($F$8),6+(O819-1)*3)),11,IF(VLOOKUP(B813,INDIRECT($F$8),6+(O819-1)*3)&lt;S819*0.3,IF(VLOOKUP(B813,INDIRECT($F$8),8+(O819-1)*3)&lt;U819*0.4,IF(AND(0.4*U819-VLOOKUP(B813,INDIRECT($F$8),8+(O819-1)*3)&lt;=5,0.3*S819-VLOOKUP(B813,INDIRECT($F$8),6+(O819-1)*3)&lt;=5),MAX(0.4*U819-VLOOKUP(B813,INDIRECT($F$8),8+(O819-1)*3),0.3*S819-VLOOKUP(B813,INDIRECT($F$8),6+(O819-1)*3)),11),IF(0.3*S819-VLOOKUP(B813,INDIRECT($F$8),6+(O819-1)*3)&lt;=5,0.3*S819-VLOOKUP(B813,INDIRECT($F$8),6+(O819-1)*3),11)),IF(VLOOKUP(B813,INDIRECT($F$8),8+(O819-1)*3)&lt;U819*0.4,IF(U819*0.4-VLOOKUP(B813,INDIRECT($F$8),8+(O819-1)*3)&lt;=5,U819*0.4-VLOOKUP(B813,INDIRECT($F$8),8+(O819-1)*3),11),0))))</f>
        <v/>
      </c>
      <c r="X819" s="1" t="str">
        <f ca="1">IF(ISERROR(F813),"",IF(W819=0,"",_xlfn.TEXTJOIN("",FALSE," G+",W819," in ",A819)))</f>
        <v/>
      </c>
    </row>
    <row r="820" spans="1:24" ht="11.25" customHeight="1" x14ac:dyDescent="0.2">
      <c r="A820" s="7" t="str">
        <f ca="1">IF(ISERROR(F813),"",VLOOKUP(C813,INDIRECT($F$8),6+(O820-1)*3,0))</f>
        <v/>
      </c>
      <c r="B820" s="41" t="str">
        <f ca="1">IF(ISERROR(F813),"",VLOOKUP(D813,INDIRECT($F$8),6+(O820-1)*3,0))</f>
        <v/>
      </c>
      <c r="C820" s="41"/>
      <c r="D820" s="41"/>
      <c r="E820" s="41"/>
      <c r="F820" s="7" t="str">
        <f ca="1">IF(ISERROR(F813),"",VLOOKUP(E813,INDIRECT($F$8),6+(O820-1)*3,0))</f>
        <v/>
      </c>
      <c r="G820" s="42" t="str">
        <f ca="1">IF(ISERROR(F813),"",_xlfn.TEXTJOIN("/",FALSE,P820,S820))</f>
        <v/>
      </c>
      <c r="H820" s="42"/>
      <c r="I820" s="42" t="str">
        <f ca="1">IF(ISERROR(F813),"",_xlfn.TEXTJOIN("/",FALSE,Q820,T820))</f>
        <v/>
      </c>
      <c r="J820" s="42"/>
      <c r="K820" s="42" t="str">
        <f ca="1">IF(ISERROR(F813),"",_xlfn.TEXTJOIN("/",FALSE,R820,U820))</f>
        <v/>
      </c>
      <c r="L820" s="42"/>
      <c r="M820" s="7" t="str">
        <f ca="1">IF(ISERROR(F813),"",IF(ISTEXT(P820),IF(P820="A","Ab",IF(P820="D","Dt",IF(P820="UFM","UFM",IF(P820="NA","-")))),IF(AND(ISBLANK(P820),ISBLANK(R820)),"",IF(P820&lt;0.3*S820,"F",IF(ISBLANK(R820),"",IF(ISTEXT(R820),R820,IF(R820&gt;=0.95*U820,"O",IF(R820&gt;=0.9*U820,"A+",IF(R820&gt;=0.85*U820,"A",IF(R820&gt;=0.8*U820,"B+",IF(R820&gt;=0.75*U820,"B",IF(R820&gt;=0.7*U820,"C+",IF(R820&gt;=0.65*U820,"C",IF(R820&gt;=0.6*U820,"D+",IF(R820&gt;=0.55*U820,"D",IF(R820&gt;=0.5*U820,"E+",IF(R820&gt;=0.45*U820,"E",IF(R820&gt;=0.4*U820,"P",IF(R820&lt;0.4*U820,"F",R820)))))))))))))))))))</f>
        <v/>
      </c>
      <c r="N820" s="8" t="e">
        <f t="shared" ca="1" si="85"/>
        <v>#N/A</v>
      </c>
      <c r="O820">
        <f>O819+1</f>
        <v>3</v>
      </c>
      <c r="P820" s="1" t="str">
        <f ca="1">IF(ISERROR(F813),"",IF(ISTEXT(VLOOKUP(B813,INDIRECT($F$8),6+(O820-1)*3)),(VLOOKUP(B813,INDIRECT($F$8),6+(O820-1)*3)),SUM(VLOOKUP(B813,INDIRECT($F$8),6+(O820-1)*3),IF(W832,W820,0))))</f>
        <v/>
      </c>
      <c r="Q820" s="1" t="str">
        <f ca="1">IF(ISERROR(F813),"",VLOOKUP(B813,INDIRECT($F$8),7+(O820-1)*3))</f>
        <v/>
      </c>
      <c r="R820" s="1" t="str">
        <f ca="1">IF(ISERROR(F813),"",SUM(P820:Q820))</f>
        <v/>
      </c>
      <c r="S820" s="1" t="str">
        <f ca="1">IF(ISERROR(F813),"",VLOOKUP(A813,INDIRECT($F$8),6+(O820-1)*3))</f>
        <v/>
      </c>
      <c r="T820" s="1" t="str">
        <f ca="1">IF(ISERROR(F813),"",VLOOKUP(A813,INDIRECT($F$8),7+(O820-1)*3))</f>
        <v/>
      </c>
      <c r="U820" s="1" t="str">
        <f ca="1">IF(ISERROR(F813),"",VLOOKUP(A813,INDIRECT($F$8),8+(O820-1)*3))</f>
        <v/>
      </c>
      <c r="V820" s="1" t="str">
        <f ca="1">IF(ISERROR(F813),"",IF(N820=0,A820,""))</f>
        <v/>
      </c>
      <c r="W820" s="1" t="str">
        <f ca="1">IF(ISERROR(F813),"",IF(ISTEXT(VLOOKUP(B813,INDIRECT($F$8),6+(O820-1)*3)),11,IF(VLOOKUP(B813,INDIRECT($F$8),6+(O820-1)*3)&lt;S820*0.3,IF(VLOOKUP(B813,INDIRECT($F$8),8+(O820-1)*3)&lt;U820*0.4,IF(AND(0.4*U820-VLOOKUP(B813,INDIRECT($F$8),8+(O820-1)*3)&lt;=5,0.3*S820-VLOOKUP(B813,INDIRECT($F$8),6+(O820-1)*3)&lt;=5),MAX(0.4*U820-VLOOKUP(B813,INDIRECT($F$8),8+(O820-1)*3),0.3*S820-VLOOKUP(B813,INDIRECT($F$8),6+(O820-1)*3)),11),IF(0.3*S820-VLOOKUP(B813,INDIRECT($F$8),6+(O820-1)*3)&lt;=5,0.3*S820-VLOOKUP(B813,INDIRECT($F$8),6+(O820-1)*3),11)),IF(VLOOKUP(B813,INDIRECT($F$8),8+(O820-1)*3)&lt;U820*0.4,IF(U820*0.4-VLOOKUP(B813,INDIRECT($F$8),8+(O820-1)*3)&lt;=5,U820*0.4-VLOOKUP(B813,INDIRECT($F$8),8+(O820-1)*3),11),0))))</f>
        <v/>
      </c>
      <c r="X820" s="1" t="str">
        <f ca="1">IF(ISERROR(F813),"",IF(W820=0,"",_xlfn.TEXTJOIN("",FALSE," G+",W820," in ",A820)))</f>
        <v/>
      </c>
    </row>
    <row r="821" spans="1:24" ht="11.25" customHeight="1" x14ac:dyDescent="0.2">
      <c r="A821" s="7" t="str">
        <f ca="1">IF(ISERROR(F813),"",VLOOKUP(C813,INDIRECT($F$8),6+(O821-1)*3,0))</f>
        <v/>
      </c>
      <c r="B821" s="41" t="str">
        <f ca="1">IF(ISERROR(F813),"",VLOOKUP(D813,INDIRECT($F$8),6+(O821-1)*3,0))</f>
        <v/>
      </c>
      <c r="C821" s="41"/>
      <c r="D821" s="41"/>
      <c r="E821" s="41"/>
      <c r="F821" s="7" t="str">
        <f ca="1">IF(ISERROR(F813),"",VLOOKUP(E813,INDIRECT($F$8),6+(O821-1)*3,0))</f>
        <v/>
      </c>
      <c r="G821" s="42" t="str">
        <f ca="1">IF(ISERROR(F813),"",_xlfn.TEXTJOIN("/",FALSE,P821,S821))</f>
        <v/>
      </c>
      <c r="H821" s="42"/>
      <c r="I821" s="42" t="str">
        <f ca="1">IF(ISERROR(F813),"",_xlfn.TEXTJOIN("/",FALSE,Q821,T821))</f>
        <v/>
      </c>
      <c r="J821" s="42"/>
      <c r="K821" s="42" t="str">
        <f ca="1">IF(ISERROR(F813),"",_xlfn.TEXTJOIN("/",FALSE,R821,U821))</f>
        <v/>
      </c>
      <c r="L821" s="42"/>
      <c r="M821" s="7" t="str">
        <f ca="1">IF(ISERROR(F813),"",IF(ISTEXT(P821),IF(P821="A","Ab",IF(P821="D","Dt",IF(P821="UFM","UFM",IF(P821="NA","-")))),IF(AND(ISBLANK(P821),ISBLANK(R821)),"",IF(P821&lt;0.3*S821,"F",IF(ISBLANK(R821),"",IF(ISTEXT(R821),R821,IF(R821&gt;=0.95*U821,"O",IF(R821&gt;=0.9*U821,"A+",IF(R821&gt;=0.85*U821,"A",IF(R821&gt;=0.8*U821,"B+",IF(R821&gt;=0.75*U821,"B",IF(R821&gt;=0.7*U821,"C+",IF(R821&gt;=0.65*U821,"C",IF(R821&gt;=0.6*U821,"D+",IF(R821&gt;=0.55*U821,"D",IF(R821&gt;=0.5*U821,"E+",IF(R821&gt;=0.45*U821,"E",IF(R821&gt;=0.4*U821,"P",IF(R821&lt;0.4*U821,"F",R821)))))))))))))))))))</f>
        <v/>
      </c>
      <c r="N821" s="8" t="e">
        <f t="shared" ca="1" si="85"/>
        <v>#N/A</v>
      </c>
      <c r="O821">
        <f>O820+1</f>
        <v>4</v>
      </c>
      <c r="P821" s="1" t="str">
        <f ca="1">IF(ISERROR(F813),"",IF(ISTEXT(VLOOKUP(B813,INDIRECT($F$8),6+(O821-1)*3)),(VLOOKUP(B813,INDIRECT($F$8),6+(O821-1)*3)),SUM(VLOOKUP(B813,INDIRECT($F$8),6+(O821-1)*3),IF(W832,W821,0))))</f>
        <v/>
      </c>
      <c r="Q821" s="1" t="str">
        <f ca="1">IF(ISERROR(F813),"",VLOOKUP(B813,INDIRECT($F$8),7+(O821-1)*3))</f>
        <v/>
      </c>
      <c r="R821" s="1" t="str">
        <f ca="1">IF(ISERROR(F813),"",SUM(P821:Q821))</f>
        <v/>
      </c>
      <c r="S821" s="1" t="str">
        <f ca="1">IF(ISERROR(F813),"",VLOOKUP(A813,INDIRECT($F$8),6+(O821-1)*3))</f>
        <v/>
      </c>
      <c r="T821" s="1" t="str">
        <f ca="1">IF(ISERROR(F813),"",VLOOKUP(A813,INDIRECT($F$8),7+(O821-1)*3))</f>
        <v/>
      </c>
      <c r="U821" s="1" t="str">
        <f ca="1">IF(ISERROR(F813),"",VLOOKUP(A813,INDIRECT($F$8),8+(O821-1)*3))</f>
        <v/>
      </c>
      <c r="V821" s="1" t="str">
        <f ca="1">IF(ISERROR(F813),"",IF(N821=0,A821,""))</f>
        <v/>
      </c>
      <c r="W821" s="1" t="str">
        <f ca="1">IF(ISERROR(F813),"",IF(ISTEXT(VLOOKUP(B813,INDIRECT($F$8),6+(O821-1)*3)),11,IF(VLOOKUP(B813,INDIRECT($F$8),6+(O821-1)*3)&lt;S821*0.3,IF(VLOOKUP(B813,INDIRECT($F$8),8+(O821-1)*3)&lt;U821*0.4,IF(AND(0.4*U821-VLOOKUP(B813,INDIRECT($F$8),8+(O821-1)*3)&lt;=5,0.3*S821-VLOOKUP(B813,INDIRECT($F$8),6+(O821-1)*3)&lt;=5),MAX(0.4*U821-VLOOKUP(B813,INDIRECT($F$8),8+(O821-1)*3),0.3*S821-VLOOKUP(B813,INDIRECT($F$8),6+(O821-1)*3)),11),IF(0.3*S821-VLOOKUP(B813,INDIRECT($F$8),6+(O821-1)*3)&lt;=5,0.3*S821-VLOOKUP(B813,INDIRECT($F$8),6+(O821-1)*3),11)),IF(VLOOKUP(B813,INDIRECT($F$8),8+(O821-1)*3)&lt;U821*0.4,IF(U821*0.4-VLOOKUP(B813,INDIRECT($F$8),8+(O821-1)*3)&lt;=5,U821*0.4-VLOOKUP(B813,INDIRECT($F$8),8+(O821-1)*3),11),0))))</f>
        <v/>
      </c>
      <c r="X821" s="1" t="str">
        <f ca="1">IF(ISERROR(F813),"",IF(W821=0,"",_xlfn.TEXTJOIN("",FALSE," G+",W821," in ",A821)))</f>
        <v/>
      </c>
    </row>
    <row r="822" spans="1:24" ht="11.25" customHeight="1" x14ac:dyDescent="0.2">
      <c r="A822" s="7" t="str">
        <f ca="1">IF(ISERROR(F813),"",VLOOKUP(C813,INDIRECT($F$8),6+(O822-1)*3,0))</f>
        <v/>
      </c>
      <c r="B822" s="41" t="str">
        <f ca="1">IF(ISERROR(F813),"",VLOOKUP(D813,INDIRECT($F$8),6+(O822-1)*3,0))</f>
        <v/>
      </c>
      <c r="C822" s="41"/>
      <c r="D822" s="41"/>
      <c r="E822" s="41"/>
      <c r="F822" s="7" t="str">
        <f ca="1">IF(ISERROR(F813),"",VLOOKUP(E813,INDIRECT($F$8),6+(O822-1)*3,0))</f>
        <v/>
      </c>
      <c r="G822" s="42" t="str">
        <f ca="1">IF(ISERROR(F813),"",_xlfn.TEXTJOIN("/",FALSE,P822,S822))</f>
        <v/>
      </c>
      <c r="H822" s="42"/>
      <c r="I822" s="42" t="str">
        <f ca="1">IF(ISERROR(F813),"",_xlfn.TEXTJOIN("/",FALSE,Q822,T822))</f>
        <v/>
      </c>
      <c r="J822" s="42"/>
      <c r="K822" s="42" t="str">
        <f ca="1">IF(ISERROR(F813),"",_xlfn.TEXTJOIN("/",FALSE,R822,U822))</f>
        <v/>
      </c>
      <c r="L822" s="42"/>
      <c r="M822" s="7" t="str">
        <f ca="1">IF(ISERROR(F813),"",IF(ISTEXT(P822),IF(P822="A","Ab",IF(P822="D","Dt",IF(P822="UFM","UFM",IF(P822="NA","-")))),IF(AND(ISBLANK(P822),ISBLANK(R822)),"",IF(P822&lt;0.3*S822,"F",IF(ISBLANK(R822),"",IF(ISTEXT(R822),R822,IF(R822&gt;=0.95*U822,"O",IF(R822&gt;=0.9*U822,"A+",IF(R822&gt;=0.85*U822,"A",IF(R822&gt;=0.8*U822,"B+",IF(R822&gt;=0.75*U822,"B",IF(R822&gt;=0.7*U822,"C+",IF(R822&gt;=0.65*U822,"C",IF(R822&gt;=0.6*U822,"D+",IF(R822&gt;=0.55*U822,"D",IF(R822&gt;=0.5*U822,"E+",IF(R822&gt;=0.45*U822,"E",IF(R822&gt;=0.4*U822,"P",IF(R822&lt;0.4*U822,"F",R822)))))))))))))))))))</f>
        <v/>
      </c>
      <c r="N822" s="8" t="e">
        <f t="shared" ca="1" si="85"/>
        <v>#N/A</v>
      </c>
      <c r="O822">
        <f t="shared" ref="O822:O831" si="86">O821+1</f>
        <v>5</v>
      </c>
      <c r="P822" s="1" t="str">
        <f ca="1">IF(ISERROR(F813),"",IF(ISTEXT(VLOOKUP(B813,INDIRECT($F$8),6+(O822-1)*3)),(VLOOKUP(B813,INDIRECT($F$8),6+(O822-1)*3)),SUM(VLOOKUP(B813,INDIRECT($F$8),6+(O822-1)*3),IF(W832,W822,0))))</f>
        <v/>
      </c>
      <c r="Q822" s="1" t="str">
        <f ca="1">IF(ISERROR(F813),"",VLOOKUP(B813,INDIRECT($F$8),7+(O822-1)*3))</f>
        <v/>
      </c>
      <c r="R822" s="1" t="str">
        <f ca="1">IF(ISERROR(F813),"",SUM(P822:Q822))</f>
        <v/>
      </c>
      <c r="S822" s="1" t="str">
        <f ca="1">IF(ISERROR(F813),"",VLOOKUP(A813,INDIRECT($F$8),6+(O822-1)*3))</f>
        <v/>
      </c>
      <c r="T822" s="1" t="str">
        <f ca="1">IF(ISERROR(F813),"",VLOOKUP(A813,INDIRECT($F$8),7+(O822-1)*3))</f>
        <v/>
      </c>
      <c r="U822" s="1" t="str">
        <f ca="1">IF(ISERROR(F813),"",VLOOKUP(A813,INDIRECT($F$8),8+(O822-1)*3))</f>
        <v/>
      </c>
      <c r="V822" s="1" t="str">
        <f ca="1">IF(ISERROR(F813),"",IF(N822=0,A822,""))</f>
        <v/>
      </c>
      <c r="W822" s="1" t="str">
        <f ca="1">IF(ISERROR(F813),"",IF(ISTEXT(VLOOKUP(B813,INDIRECT($F$8),6+(O822-1)*3)),11,IF(VLOOKUP(B813,INDIRECT($F$8),6+(O822-1)*3)&lt;S822*0.3,IF(VLOOKUP(B813,INDIRECT($F$8),8+(O822-1)*3)&lt;U822*0.4,IF(AND(0.4*U822-VLOOKUP(B813,INDIRECT($F$8),8+(O822-1)*3)&lt;=5,0.3*S822-VLOOKUP(B813,INDIRECT($F$8),6+(O822-1)*3)&lt;=5),MAX(0.4*U822-VLOOKUP(B813,INDIRECT($F$8),8+(O822-1)*3),0.3*S822-VLOOKUP(B813,INDIRECT($F$8),6+(O822-1)*3)),11),IF(0.3*S822-VLOOKUP(B813,INDIRECT($F$8),6+(O822-1)*3)&lt;=5,0.3*S822-VLOOKUP(B813,INDIRECT($F$8),6+(O822-1)*3),11)),IF(VLOOKUP(B813,INDIRECT($F$8),8+(O822-1)*3)&lt;U822*0.4,IF(U822*0.4-VLOOKUP(B813,INDIRECT($F$8),8+(O822-1)*3)&lt;=5,U822*0.4-VLOOKUP(B813,INDIRECT($F$8),8+(O822-1)*3),11),0))))</f>
        <v/>
      </c>
      <c r="X822" s="1" t="str">
        <f ca="1">IF(ISERROR(F813),"",IF(W822=0,"",_xlfn.TEXTJOIN("",FALSE," G+",W822," in ",A822)))</f>
        <v/>
      </c>
    </row>
    <row r="823" spans="1:24" ht="11.25" customHeight="1" x14ac:dyDescent="0.2">
      <c r="A823" s="7" t="str">
        <f ca="1">IF(ISERROR(F813),"",VLOOKUP(C813,INDIRECT($F$8),6+(O823-1)*3,0))</f>
        <v/>
      </c>
      <c r="B823" s="41" t="str">
        <f ca="1">IF(ISERROR(F813),"",VLOOKUP(D813,INDIRECT($F$8),6+(O823-1)*3,0))</f>
        <v/>
      </c>
      <c r="C823" s="41"/>
      <c r="D823" s="41"/>
      <c r="E823" s="41"/>
      <c r="F823" s="7" t="str">
        <f ca="1">IF(ISERROR(F813),"",VLOOKUP(E813,INDIRECT($F$8),6+(O823-1)*3,0))</f>
        <v/>
      </c>
      <c r="G823" s="42" t="str">
        <f ca="1">IF(ISERROR(F813),"",_xlfn.TEXTJOIN("/",FALSE,P823,S823))</f>
        <v/>
      </c>
      <c r="H823" s="42"/>
      <c r="I823" s="42" t="str">
        <f ca="1">IF(ISERROR(F813),"",_xlfn.TEXTJOIN("/",FALSE,Q823,T823))</f>
        <v/>
      </c>
      <c r="J823" s="42"/>
      <c r="K823" s="42" t="str">
        <f ca="1">IF(ISERROR(F813),"",_xlfn.TEXTJOIN("/",FALSE,R823,U823))</f>
        <v/>
      </c>
      <c r="L823" s="42"/>
      <c r="M823" s="7" t="str">
        <f ca="1">IF(ISERROR(F813),"",IF(ISTEXT(P823),IF(P823="A","Ab",IF(P823="D","Dt",IF(P823="UFM","UFM",IF(P823="NA","-")))),IF(AND(ISBLANK(P823),ISBLANK(R823)),"",IF(P823&lt;0.3*S823,"F",IF(ISBLANK(R823),"",IF(ISTEXT(R823),R823,IF(R823&gt;=0.95*U823,"O",IF(R823&gt;=0.9*U823,"A+",IF(R823&gt;=0.85*U823,"A",IF(R823&gt;=0.8*U823,"B+",IF(R823&gt;=0.75*U823,"B",IF(R823&gt;=0.7*U823,"C+",IF(R823&gt;=0.65*U823,"C",IF(R823&gt;=0.6*U823,"D+",IF(R823&gt;=0.55*U823,"D",IF(R823&gt;=0.5*U823,"E+",IF(R823&gt;=0.45*U823,"E",IF(R823&gt;=0.4*U823,"P",IF(R823&lt;0.4*U823,"F",R823)))))))))))))))))))</f>
        <v/>
      </c>
      <c r="N823" s="8" t="e">
        <f t="shared" ca="1" si="85"/>
        <v>#N/A</v>
      </c>
      <c r="O823">
        <f t="shared" si="86"/>
        <v>6</v>
      </c>
      <c r="P823" s="1" t="str">
        <f ca="1">IF(ISERROR(F813),"",IF(ISTEXT(VLOOKUP(B813,INDIRECT($F$8),6+(O823-1)*3)),(VLOOKUP(B813,INDIRECT($F$8),6+(O823-1)*3)),SUM(VLOOKUP(B813,INDIRECT($F$8),6+(O823-1)*3),IF(W832,W823,0))))</f>
        <v/>
      </c>
      <c r="Q823" s="1" t="str">
        <f ca="1">IF(ISERROR(F813),"",VLOOKUP(B813,INDIRECT($F$8),7+(O823-1)*3))</f>
        <v/>
      </c>
      <c r="R823" s="1" t="str">
        <f ca="1">IF(ISERROR(F813),"",SUM(P823:Q823))</f>
        <v/>
      </c>
      <c r="S823" s="1" t="str">
        <f ca="1">IF(ISERROR(F813),"",VLOOKUP(A813,INDIRECT($F$8),6+(O823-1)*3))</f>
        <v/>
      </c>
      <c r="T823" s="1" t="str">
        <f ca="1">IF(ISERROR(F813),"",VLOOKUP(A813,INDIRECT($F$8),7+(O823-1)*3))</f>
        <v/>
      </c>
      <c r="U823" s="1" t="str">
        <f ca="1">IF(ISERROR(F813),"",VLOOKUP(A813,INDIRECT($F$8),8+(O823-1)*3))</f>
        <v/>
      </c>
      <c r="V823" s="1" t="str">
        <f ca="1">IF(ISERROR(F813),"",IF(N823=0,A823,""))</f>
        <v/>
      </c>
      <c r="W823" s="1" t="str">
        <f ca="1">IF(ISERROR(F813),"",IF(ISTEXT(VLOOKUP(B813,INDIRECT($F$8),6+(O823-1)*3)),11,IF(VLOOKUP(B813,INDIRECT($F$8),6+(O823-1)*3)&lt;S823*0.3,IF(VLOOKUP(B813,INDIRECT($F$8),8+(O823-1)*3)&lt;U823*0.4,IF(AND(0.4*U823-VLOOKUP(B813,INDIRECT($F$8),8+(O823-1)*3)&lt;=5,0.3*S823-VLOOKUP(B813,INDIRECT($F$8),6+(O823-1)*3)&lt;=5),MAX(0.4*U823-VLOOKUP(B813,INDIRECT($F$8),8+(O823-1)*3),0.3*S823-VLOOKUP(B813,INDIRECT($F$8),6+(O823-1)*3)),11),IF(0.3*S823-VLOOKUP(B813,INDIRECT($F$8),6+(O823-1)*3)&lt;=5,0.3*S823-VLOOKUP(B813,INDIRECT($F$8),6+(O823-1)*3),11)),IF(VLOOKUP(B813,INDIRECT($F$8),8+(O823-1)*3)&lt;U823*0.4,IF(U823*0.4-VLOOKUP(B813,INDIRECT($F$8),8+(O823-1)*3)&lt;=5,U823*0.4-VLOOKUP(B813,INDIRECT($F$8),8+(O823-1)*3),11),0))))</f>
        <v/>
      </c>
      <c r="X823" s="1" t="str">
        <f ca="1">IF(ISERROR(F813),"",IF(W823=0,"",_xlfn.TEXTJOIN("",FALSE," G+",W823," in ",A823)))</f>
        <v/>
      </c>
    </row>
    <row r="824" spans="1:24" ht="11.25" customHeight="1" x14ac:dyDescent="0.2">
      <c r="A824" s="7" t="str">
        <f ca="1">IF(ISERROR(F813),"",VLOOKUP(C813,INDIRECT($F$8),6+(O824-1)*3,0))</f>
        <v/>
      </c>
      <c r="B824" s="41" t="str">
        <f ca="1">IF(ISERROR(F813),"",VLOOKUP(D813,INDIRECT($F$8),6+(O824-1)*3,0))</f>
        <v/>
      </c>
      <c r="C824" s="41"/>
      <c r="D824" s="41"/>
      <c r="E824" s="41"/>
      <c r="F824" s="7" t="str">
        <f ca="1">IF(ISERROR(F813),"",VLOOKUP(E813,INDIRECT($F$8),6+(O824-1)*3,0))</f>
        <v/>
      </c>
      <c r="G824" s="42" t="str">
        <f ca="1">IF(ISERROR(F813),"",_xlfn.TEXTJOIN("/",FALSE,P824,S824))</f>
        <v/>
      </c>
      <c r="H824" s="42"/>
      <c r="I824" s="42" t="str">
        <f ca="1">IF(ISERROR(F813),"",_xlfn.TEXTJOIN("/",FALSE,Q824,T824))</f>
        <v/>
      </c>
      <c r="J824" s="42"/>
      <c r="K824" s="42" t="str">
        <f ca="1">IF(ISERROR(F813),"",_xlfn.TEXTJOIN("/",FALSE,R824,U824))</f>
        <v/>
      </c>
      <c r="L824" s="42"/>
      <c r="M824" s="7" t="str">
        <f ca="1">IF(ISERROR(F813),"",IF(ISTEXT(P824),IF(P824="A","Ab",IF(P824="D","Dt",IF(P824="UFM","UFM",IF(P824="NA","-")))),IF(AND(ISBLANK(P824),ISBLANK(R824)),"",IF(P824&lt;0.3*S824,"F",IF(ISBLANK(R824),"",IF(ISTEXT(R824),R824,IF(R824&gt;=0.95*U824,"O",IF(R824&gt;=0.9*U824,"A+",IF(R824&gt;=0.85*U824,"A",IF(R824&gt;=0.8*U824,"B+",IF(R824&gt;=0.75*U824,"B",IF(R824&gt;=0.7*U824,"C+",IF(R824&gt;=0.65*U824,"C",IF(R824&gt;=0.6*U824,"D+",IF(R824&gt;=0.55*U824,"D",IF(R824&gt;=0.5*U824,"E+",IF(R824&gt;=0.45*U824,"E",IF(R824&gt;=0.4*U824,"P",IF(R824&lt;0.4*U824,"F",R824)))))))))))))))))))</f>
        <v/>
      </c>
      <c r="N824" s="8" t="e">
        <f t="shared" ca="1" si="85"/>
        <v>#N/A</v>
      </c>
      <c r="O824">
        <f t="shared" si="86"/>
        <v>7</v>
      </c>
      <c r="P824" s="1" t="str">
        <f ca="1">IF(ISERROR(F813),"",IF(ISTEXT(VLOOKUP(B813,INDIRECT($F$8),6+(O824-1)*3)),(VLOOKUP(B813,INDIRECT($F$8),6+(O824-1)*3)),SUM(VLOOKUP(B813,INDIRECT($F$8),6+(O824-1)*3),IF(W832,W824,0))))</f>
        <v/>
      </c>
      <c r="Q824" s="1" t="str">
        <f ca="1">IF(ISERROR(F813),"",VLOOKUP(B813,INDIRECT($F$8),7+(O824-1)*3))</f>
        <v/>
      </c>
      <c r="R824" s="1" t="str">
        <f ca="1">IF(ISERROR(F813),"",SUM(P824:Q824))</f>
        <v/>
      </c>
      <c r="S824" s="1" t="str">
        <f ca="1">IF(ISERROR(F813),"",VLOOKUP(A813,INDIRECT($F$8),6+(O824-1)*3))</f>
        <v/>
      </c>
      <c r="T824" s="1" t="str">
        <f ca="1">IF(ISERROR(F813),"",VLOOKUP(A813,INDIRECT($F$8),7+(O824-1)*3))</f>
        <v/>
      </c>
      <c r="U824" s="1" t="str">
        <f ca="1">IF(ISERROR(F813),"",VLOOKUP(A813,INDIRECT($F$8),8+(O824-1)*3))</f>
        <v/>
      </c>
      <c r="V824" s="1" t="str">
        <f ca="1">IF(ISERROR(F813),"",IF(N824=0,A824,""))</f>
        <v/>
      </c>
      <c r="W824" s="1" t="str">
        <f ca="1">IF(ISERROR(F813),"",IF(ISTEXT(VLOOKUP(B813,INDIRECT($F$8),6+(O824-1)*3)),11,IF(VLOOKUP(B813,INDIRECT($F$8),6+(O824-1)*3)&lt;S824*0.3,IF(VLOOKUP(B813,INDIRECT($F$8),8+(O824-1)*3)&lt;U824*0.4,IF(AND(0.4*U824-VLOOKUP(B813,INDIRECT($F$8),8+(O824-1)*3)&lt;=5,0.3*S824-VLOOKUP(B813,INDIRECT($F$8),6+(O824-1)*3)&lt;=5),MAX(0.4*U824-VLOOKUP(B813,INDIRECT($F$8),8+(O824-1)*3),0.3*S824-VLOOKUP(B813,INDIRECT($F$8),6+(O824-1)*3)),11),IF(0.3*S824-VLOOKUP(B813,INDIRECT($F$8),6+(O824-1)*3)&lt;=5,0.3*S824-VLOOKUP(B813,INDIRECT($F$8),6+(O824-1)*3),11)),IF(VLOOKUP(B813,INDIRECT($F$8),8+(O824-1)*3)&lt;U824*0.4,IF(U824*0.4-VLOOKUP(B813,INDIRECT($F$8),8+(O824-1)*3)&lt;=5,U824*0.4-VLOOKUP(B813,INDIRECT($F$8),8+(O824-1)*3),11),0))))</f>
        <v/>
      </c>
      <c r="X824" s="1" t="str">
        <f ca="1">IF(ISERROR(F813),"",IF(W824=0,"",_xlfn.TEXTJOIN("",FALSE," G+",W824," in ",A824)))</f>
        <v/>
      </c>
    </row>
    <row r="825" spans="1:24" ht="11.25" customHeight="1" x14ac:dyDescent="0.2">
      <c r="A825" s="7" t="str">
        <f ca="1">IF(ISERROR(F813),"",VLOOKUP(C813,INDIRECT($F$8),6+(O825-1)*3,0))</f>
        <v/>
      </c>
      <c r="B825" s="41" t="str">
        <f ca="1">IF(ISERROR(F813),"",VLOOKUP(D813,INDIRECT($F$8),6+(O825-1)*3,0))</f>
        <v/>
      </c>
      <c r="C825" s="41"/>
      <c r="D825" s="41"/>
      <c r="E825" s="41"/>
      <c r="F825" s="7" t="str">
        <f ca="1">IF(ISERROR(F813),"",VLOOKUP(E813,INDIRECT($F$8),6+(O825-1)*3,0))</f>
        <v/>
      </c>
      <c r="G825" s="42" t="str">
        <f ca="1">IF(ISERROR(F813),"",_xlfn.TEXTJOIN("/",FALSE,P825,S825))</f>
        <v/>
      </c>
      <c r="H825" s="42"/>
      <c r="I825" s="42" t="str">
        <f ca="1">IF(ISERROR(F813),"",_xlfn.TEXTJOIN("/",FALSE,Q825,T825))</f>
        <v/>
      </c>
      <c r="J825" s="42"/>
      <c r="K825" s="42" t="str">
        <f ca="1">IF(ISERROR(F813),"",_xlfn.TEXTJOIN("/",FALSE,R825,U825))</f>
        <v/>
      </c>
      <c r="L825" s="42"/>
      <c r="M825" s="7" t="str">
        <f ca="1">IF(ISERROR(F813),"",IF(ISTEXT(P825),IF(P825="A","Ab",IF(P825="D","Dt",IF(P825="UFM","UFM",IF(P825="NA","-")))),IF(AND(ISBLANK(P825),ISBLANK(R825)),"",IF(P825&lt;0.3*S825,"F",IF(ISBLANK(R825),"",IF(ISTEXT(R825),R825,IF(R825&gt;=0.95*U825,"O",IF(R825&gt;=0.9*U825,"A+",IF(R825&gt;=0.85*U825,"A",IF(R825&gt;=0.8*U825,"B+",IF(R825&gt;=0.75*U825,"B",IF(R825&gt;=0.7*U825,"C+",IF(R825&gt;=0.65*U825,"C",IF(R825&gt;=0.6*U825,"D+",IF(R825&gt;=0.55*U825,"D",IF(R825&gt;=0.5*U825,"E+",IF(R825&gt;=0.45*U825,"E",IF(R825&gt;=0.4*U825,"P",IF(R825&lt;0.4*U825,"F",R825)))))))))))))))))))</f>
        <v/>
      </c>
      <c r="N825" s="8" t="e">
        <f t="shared" ca="1" si="85"/>
        <v>#N/A</v>
      </c>
      <c r="O825">
        <f t="shared" si="86"/>
        <v>8</v>
      </c>
      <c r="P825" s="1" t="str">
        <f ca="1">IF(ISERROR(F813),"",IF(ISTEXT(VLOOKUP(B813,INDIRECT($F$8),6+(O825-1)*3)),(VLOOKUP(B813,INDIRECT($F$8),6+(O825-1)*3)),SUM(VLOOKUP(B813,INDIRECT($F$8),6+(O825-1)*3),IF(W832,W825,0))))</f>
        <v/>
      </c>
      <c r="Q825" s="1" t="str">
        <f ca="1">IF(ISERROR(F813),"",VLOOKUP(B813,INDIRECT($F$8),7+(O825-1)*3))</f>
        <v/>
      </c>
      <c r="R825" s="1" t="str">
        <f ca="1">IF(ISERROR(F813),"",SUM(P825:Q825))</f>
        <v/>
      </c>
      <c r="S825" s="1" t="str">
        <f ca="1">IF(ISERROR(F813),"",VLOOKUP(A813,INDIRECT($F$8),6+(O825-1)*3))</f>
        <v/>
      </c>
      <c r="T825" s="1" t="str">
        <f ca="1">IF(ISERROR(F813),"",VLOOKUP(A813,INDIRECT($F$8),7+(O825-1)*3))</f>
        <v/>
      </c>
      <c r="U825" s="1" t="str">
        <f ca="1">IF(ISERROR(F813),"",VLOOKUP(A813,INDIRECT($F$8),8+(O825-1)*3))</f>
        <v/>
      </c>
      <c r="V825" s="1" t="str">
        <f ca="1">IF(ISERROR(F813),"",IF(N825=0,A825,""))</f>
        <v/>
      </c>
      <c r="W825" s="1" t="str">
        <f ca="1">IF(ISERROR(F813),"",IF(ISTEXT(VLOOKUP(B813,INDIRECT($F$8),6+(O825-1)*3)),11,IF(VLOOKUP(B813,INDIRECT($F$8),6+(O825-1)*3)&lt;S825*0.3,IF(VLOOKUP(B813,INDIRECT($F$8),8+(O825-1)*3)&lt;U825*0.4,IF(AND(0.4*U825-VLOOKUP(B813,INDIRECT($F$8),8+(O825-1)*3)&lt;=5,0.3*S825-VLOOKUP(B813,INDIRECT($F$8),6+(O825-1)*3)&lt;=5),MAX(0.4*U825-VLOOKUP(B813,INDIRECT($F$8),8+(O825-1)*3),0.3*S825-VLOOKUP(B813,INDIRECT($F$8),6+(O825-1)*3)),11),IF(0.3*S825-VLOOKUP(B813,INDIRECT($F$8),6+(O825-1)*3)&lt;=5,0.3*S825-VLOOKUP(B813,INDIRECT($F$8),6+(O825-1)*3),11)),IF(VLOOKUP(B813,INDIRECT($F$8),8+(O825-1)*3)&lt;U825*0.4,IF(U825*0.4-VLOOKUP(B813,INDIRECT($F$8),8+(O825-1)*3)&lt;=5,U825*0.4-VLOOKUP(B813,INDIRECT($F$8),8+(O825-1)*3),11),0))))</f>
        <v/>
      </c>
      <c r="X825" s="1" t="str">
        <f ca="1">IF(ISERROR(F813),"",IF(W825=0,"",_xlfn.TEXTJOIN("",FALSE," G+",W825," in ",A825)))</f>
        <v/>
      </c>
    </row>
    <row r="826" spans="1:24" ht="11.25" customHeight="1" x14ac:dyDescent="0.2">
      <c r="A826" s="7" t="str">
        <f ca="1">IF(ISERROR(F813),"",VLOOKUP(C813,INDIRECT($F$8),6+(O826-1)*3,0))</f>
        <v/>
      </c>
      <c r="B826" s="41" t="str">
        <f ca="1">IF(ISERROR(F813),"",VLOOKUP(D813,INDIRECT($F$8),6+(O826-1)*3-Z826,0))</f>
        <v/>
      </c>
      <c r="C826" s="41"/>
      <c r="D826" s="41"/>
      <c r="E826" s="41"/>
      <c r="F826" s="7" t="str">
        <f ca="1">IF(ISERROR(F813),"",VLOOKUP(E813,INDIRECT($F$8),6+(O826-1)*3,0))</f>
        <v/>
      </c>
      <c r="G826" s="42" t="str">
        <f ca="1">IF(ISERROR(F813),"",_xlfn.TEXTJOIN("/",FALSE,P826,S826))</f>
        <v/>
      </c>
      <c r="H826" s="42"/>
      <c r="I826" s="42" t="str">
        <f ca="1">IF(ISERROR(F813),"",_xlfn.TEXTJOIN("/",FALSE,Q826,T826))</f>
        <v/>
      </c>
      <c r="J826" s="42"/>
      <c r="K826" s="42" t="str">
        <f ca="1">IF(ISERROR(F813),"",_xlfn.TEXTJOIN("/",FALSE,R826,U826))</f>
        <v/>
      </c>
      <c r="L826" s="42"/>
      <c r="M826" s="7" t="str">
        <f ca="1">IF(ISERROR(F813),"",IF(ISTEXT(P826),IF(P826="A","Ab",IF(P826="D","Dt",IF(P826="UFM","UFM",IF(P826="NA","-")))),IF(AND(ISBLANK(P826),ISBLANK(R826)),"",IF(P826&lt;0.3*S826,"F",IF(ISBLANK(R826),"",IF(ISTEXT(R826),R826,IF(R826&gt;=0.95*U826,"O",IF(R826&gt;=0.9*U826,"A+",IF(R826&gt;=0.85*U826,"A",IF(R826&gt;=0.8*U826,"B+",IF(R826&gt;=0.75*U826,"B",IF(R826&gt;=0.7*U826,"C+",IF(R826&gt;=0.65*U826,"C",IF(R826&gt;=0.6*U826,"D+",IF(R826&gt;=0.55*U826,"D",IF(R826&gt;=0.5*U826,"E+",IF(R826&gt;=0.45*U826,"E",IF(R826&gt;=0.4*U826,"P",IF(R826&lt;0.4*U826,"F",R826)))))))))))))))))))</f>
        <v/>
      </c>
      <c r="N826" s="8" t="e">
        <f t="shared" ca="1" si="85"/>
        <v>#N/A</v>
      </c>
      <c r="O826">
        <f t="shared" si="86"/>
        <v>9</v>
      </c>
      <c r="P826" s="1" t="str">
        <f ca="1">IF(ISERROR(F813),"",IF(ISTEXT(VLOOKUP(B813,INDIRECT($F$8),6+(O826-1)*3)),(VLOOKUP(B813,INDIRECT($F$8),6+(O826-1)*3)),SUM(VLOOKUP(B813,INDIRECT($F$8),6+(O826-1)*3),IF(W832,W826,0))))</f>
        <v/>
      </c>
      <c r="Q826" s="1" t="str">
        <f ca="1">IF(ISERROR(F813),"",VLOOKUP(B813,INDIRECT($F$8),7+(O826-1)*3))</f>
        <v/>
      </c>
      <c r="R826" s="1" t="str">
        <f ca="1">IF(ISERROR(F813),"",SUM(P826:Q826))</f>
        <v/>
      </c>
      <c r="S826" s="1" t="str">
        <f ca="1">IF(ISERROR(F813),"",VLOOKUP(A813,INDIRECT($F$8),6+(O826-1)*3))</f>
        <v/>
      </c>
      <c r="T826" s="1" t="str">
        <f ca="1">IF(ISERROR(F813),"",VLOOKUP(A813,INDIRECT($F$8),7+(O826-1)*3))</f>
        <v/>
      </c>
      <c r="U826" s="1" t="str">
        <f ca="1">IF(ISERROR(F813),"",VLOOKUP(A813,INDIRECT($F$8),8+(O826-1)*3))</f>
        <v/>
      </c>
      <c r="V826" s="1" t="str">
        <f ca="1">IF(ISERROR(F813),"",IF(N826=0,A826,""))</f>
        <v/>
      </c>
      <c r="W826" s="1" t="str">
        <f ca="1">IF(ISERROR(F813),"",IF(ISTEXT(VLOOKUP(B813,INDIRECT($F$8),6+(O826-1)*3)),11,IF(VLOOKUP(B813,INDIRECT($F$8),6+(O826-1)*3)&lt;S826*0.3,IF(VLOOKUP(B813,INDIRECT($F$8),8+(O826-1)*3)&lt;U826*0.4,IF(AND(0.4*U826-VLOOKUP(B813,INDIRECT($F$8),8+(O826-1)*3)&lt;=5,0.3*S826-VLOOKUP(B813,INDIRECT($F$8),6+(O826-1)*3)&lt;=5),MAX(0.4*U826-VLOOKUP(B813,INDIRECT($F$8),8+(O826-1)*3),0.3*S826-VLOOKUP(B813,INDIRECT($F$8),6+(O826-1)*3)),11),IF(0.3*S826-VLOOKUP(B813,INDIRECT($F$8),6+(O826-1)*3)&lt;=5,0.3*S826-VLOOKUP(B813,INDIRECT($F$8),6+(O826-1)*3),11)),IF(VLOOKUP(B813,INDIRECT($F$8),8+(O826-1)*3)&lt;U826*0.4,IF(U826*0.4-VLOOKUP(B813,INDIRECT($F$8),8+(O826-1)*3)&lt;=5,U826*0.4-VLOOKUP(B813,INDIRECT($F$8),8+(O826-1)*3),11),0))))</f>
        <v/>
      </c>
      <c r="X826" s="1" t="str">
        <f ca="1">IF(ISERROR(F813),"",IF(W826=0,"",_xlfn.TEXTJOIN("",FALSE," G+",W826," in ",A826)))</f>
        <v/>
      </c>
    </row>
    <row r="827" spans="1:24" ht="11.25" customHeight="1" x14ac:dyDescent="0.2">
      <c r="A827" s="7" t="str">
        <f ca="1">IF(ISERROR(F813),"",VLOOKUP(C813,INDIRECT($F$8),6+(O827-1)*3,0))</f>
        <v/>
      </c>
      <c r="B827" s="41" t="str">
        <f ca="1">IF(ISERROR(F813),"",VLOOKUP(D813,INDIRECT($F$8),6+(O827-1)*3-Z827,0))</f>
        <v/>
      </c>
      <c r="C827" s="41"/>
      <c r="D827" s="41"/>
      <c r="E827" s="41"/>
      <c r="F827" s="7" t="str">
        <f ca="1">IF(ISERROR(F813),"",VLOOKUP(E813,INDIRECT($F$8),6+(O827-1)*3,0))</f>
        <v/>
      </c>
      <c r="G827" s="42" t="str">
        <f ca="1">IF(ISERROR(F813),"",_xlfn.TEXTJOIN("/",FALSE,P827,S827))</f>
        <v/>
      </c>
      <c r="H827" s="42"/>
      <c r="I827" s="42" t="str">
        <f ca="1">IF(ISERROR(F813),"",_xlfn.TEXTJOIN("/",FALSE,Q827,T827))</f>
        <v/>
      </c>
      <c r="J827" s="42"/>
      <c r="K827" s="42" t="str">
        <f ca="1">IF(ISERROR(F813),"",_xlfn.TEXTJOIN("/",FALSE,R827,U827))</f>
        <v/>
      </c>
      <c r="L827" s="42"/>
      <c r="M827" s="7" t="str">
        <f ca="1">IF(ISERROR(F813),"",IF(ISTEXT(P827),IF(P827="A","Ab",IF(P827="D","Dt",IF(P827="UFM","UFM",IF(P827="NA","-")))),IF(AND(ISBLANK(P827),ISBLANK(R827)),"",IF(P827&lt;0.3*S827,"F",IF(ISBLANK(R827),"",IF(ISTEXT(R827),R827,IF(R827&gt;=0.95*U827,"O",IF(R827&gt;=0.9*U827,"A+",IF(R827&gt;=0.85*U827,"A",IF(R827&gt;=0.8*U827,"B+",IF(R827&gt;=0.75*U827,"B",IF(R827&gt;=0.7*U827,"C+",IF(R827&gt;=0.65*U827,"C",IF(R827&gt;=0.6*U827,"D+",IF(R827&gt;=0.55*U827,"D",IF(R827&gt;=0.5*U827,"E+",IF(R827&gt;=0.45*U827,"E",IF(R827&gt;=0.4*U827,"P",IF(R827&lt;0.4*U827,"F",R827)))))))))))))))))))</f>
        <v/>
      </c>
      <c r="N827" s="8" t="e">
        <f t="shared" ca="1" si="85"/>
        <v>#N/A</v>
      </c>
      <c r="O827">
        <f t="shared" si="86"/>
        <v>10</v>
      </c>
      <c r="P827" s="1" t="str">
        <f ca="1">IF(ISERROR(F813),"",IF(ISTEXT(VLOOKUP(B813,INDIRECT($F$8),6+(O827-1)*3)),(VLOOKUP(B813,INDIRECT($F$8),6+(O827-1)*3)),SUM(VLOOKUP(B813,INDIRECT($F$8),6+(O827-1)*3),IF(W832,W827,0))))</f>
        <v/>
      </c>
      <c r="Q827" s="1" t="str">
        <f ca="1">IF(ISERROR(F813),"",VLOOKUP(B813,INDIRECT($F$8),7+(O827-1)*3))</f>
        <v/>
      </c>
      <c r="R827" s="1" t="str">
        <f ca="1">IF(ISERROR(F813),"",SUM(P827:Q827))</f>
        <v/>
      </c>
      <c r="S827" s="1" t="str">
        <f ca="1">IF(ISERROR(F813),"",VLOOKUP(A813,INDIRECT($F$8),6+(O827-1)*3))</f>
        <v/>
      </c>
      <c r="T827" s="1" t="str">
        <f ca="1">IF(ISERROR(F813),"",VLOOKUP(A813,INDIRECT($F$8),7+(O827-1)*3))</f>
        <v/>
      </c>
      <c r="U827" s="1" t="str">
        <f ca="1">IF(ISERROR(F813),"",VLOOKUP(A813,INDIRECT($F$8),8+(O827-1)*3))</f>
        <v/>
      </c>
      <c r="V827" s="1" t="str">
        <f ca="1">IF(ISERROR(F813),"",IF(N827=0,A827,""))</f>
        <v/>
      </c>
      <c r="W827" s="1" t="str">
        <f ca="1">IF(ISERROR(F813),"",IF(ISTEXT(VLOOKUP(B813,INDIRECT($F$8),6+(O827-1)*3)),11,IF(VLOOKUP(B813,INDIRECT($F$8),6+(O827-1)*3)&lt;S827*0.3,IF(VLOOKUP(B813,INDIRECT($F$8),8+(O827-1)*3)&lt;U827*0.4,IF(AND(0.4*U827-VLOOKUP(B813,INDIRECT($F$8),8+(O827-1)*3)&lt;=5,0.3*S827-VLOOKUP(B813,INDIRECT($F$8),6+(O827-1)*3)&lt;=5),MAX(0.4*U827-VLOOKUP(B813,INDIRECT($F$8),8+(O827-1)*3),0.3*S827-VLOOKUP(B813,INDIRECT($F$8),6+(O827-1)*3)),11),IF(0.3*S827-VLOOKUP(B813,INDIRECT($F$8),6+(O827-1)*3)&lt;=5,0.3*S827-VLOOKUP(B813,INDIRECT($F$8),6+(O827-1)*3),11)),IF(VLOOKUP(B813,INDIRECT($F$8),8+(O827-1)*3)&lt;U827*0.4,IF(U827*0.4-VLOOKUP(B813,INDIRECT($F$8),8+(O827-1)*3)&lt;=5,U827*0.4-VLOOKUP(B813,INDIRECT($F$8),8+(O827-1)*3),11),0))))</f>
        <v/>
      </c>
      <c r="X827" s="1" t="str">
        <f ca="1">IF(ISERROR(F813),"",IF(W827=0,"",_xlfn.TEXTJOIN("",FALSE," G+",W827," in ",A827)))</f>
        <v/>
      </c>
    </row>
    <row r="828" spans="1:24" ht="11.25" customHeight="1" x14ac:dyDescent="0.2">
      <c r="A828" s="7" t="str">
        <f ca="1">IF(ISERROR(F813),"",VLOOKUP(C813,INDIRECT($F$8),6+(O828-1)*3,0))</f>
        <v/>
      </c>
      <c r="B828" s="41" t="str">
        <f ca="1">IF(ISERROR(F813),"",VLOOKUP(D813,INDIRECT($F$8),6+(O828-1)*3,0))</f>
        <v/>
      </c>
      <c r="C828" s="41"/>
      <c r="D828" s="41"/>
      <c r="E828" s="41"/>
      <c r="F828" s="7" t="str">
        <f ca="1">IF(ISERROR(F813),"",VLOOKUP(E813,INDIRECT($F$8),6+(O828-1)*3,0))</f>
        <v/>
      </c>
      <c r="G828" s="42" t="str">
        <f ca="1">IF(ISERROR(F813),"",_xlfn.TEXTJOIN("/",FALSE,P828,S828))</f>
        <v/>
      </c>
      <c r="H828" s="42"/>
      <c r="I828" s="42" t="str">
        <f ca="1">IF(ISERROR(F813),"",_xlfn.TEXTJOIN("/",FALSE,Q828,T828))</f>
        <v/>
      </c>
      <c r="J828" s="42"/>
      <c r="K828" s="42" t="str">
        <f ca="1">IF(ISERROR(F813),"",_xlfn.TEXTJOIN("/",FALSE,R828,U828))</f>
        <v/>
      </c>
      <c r="L828" s="42"/>
      <c r="M828" s="7" t="str">
        <f ca="1">IF(ISERROR(F813),"",IF(ISTEXT(P828),IF(P828="A","Ab",IF(P828="D","Dt",IF(P828="UFM","UFM",IF(P828="NA","-")))),IF(AND(ISBLANK(P828),ISBLANK(R828)),"",IF(P828&lt;0.3*S828,"F",IF(ISBLANK(R828),"",IF(ISTEXT(R828),R828,IF(R828&gt;=0.95*U828,"O",IF(R828&gt;=0.9*U828,"A+",IF(R828&gt;=0.85*U828,"A",IF(R828&gt;=0.8*U828,"B+",IF(R828&gt;=0.75*U828,"B",IF(R828&gt;=0.7*U828,"C+",IF(R828&gt;=0.65*U828,"C",IF(R828&gt;=0.6*U828,"D+",IF(R828&gt;=0.55*U828,"D",IF(R828&gt;=0.5*U828,"E+",IF(R828&gt;=0.45*U828,"E",IF(R828&gt;=0.4*U828,"P",IF(R828&lt;0.4*U828,"F",R828)))))))))))))))))))</f>
        <v/>
      </c>
      <c r="N828" s="8" t="e">
        <f t="shared" ca="1" si="85"/>
        <v>#N/A</v>
      </c>
      <c r="O828">
        <f t="shared" si="86"/>
        <v>11</v>
      </c>
      <c r="P828" s="1" t="str">
        <f ca="1">IF(ISERROR(F813),"",IF(ISTEXT(VLOOKUP(B813,INDIRECT($F$8),6+(O828-1)*3)),(VLOOKUP(B813,INDIRECT($F$8),6+(O828-1)*3)),SUM(VLOOKUP(B813,INDIRECT($F$8),6+(O828-1)*3),IF(W832,W828,0))))</f>
        <v/>
      </c>
      <c r="Q828" s="1" t="str">
        <f ca="1">IF(ISERROR(F813),"",VLOOKUP(B813,INDIRECT($F$8),7+(O828-1)*3))</f>
        <v/>
      </c>
      <c r="R828" s="1" t="str">
        <f ca="1">IF(ISERROR(F813),"",SUM(P828:Q828))</f>
        <v/>
      </c>
      <c r="S828" s="1" t="str">
        <f ca="1">IF(ISERROR(F813),"",VLOOKUP(A813,INDIRECT($F$8),6+(O828-1)*3))</f>
        <v/>
      </c>
      <c r="T828" s="1" t="str">
        <f ca="1">IF(ISERROR(F813),"",VLOOKUP(A813,INDIRECT($F$8),7+(O828-1)*3))</f>
        <v/>
      </c>
      <c r="U828" s="1" t="str">
        <f ca="1">IF(ISERROR(F813),"",VLOOKUP(A813,INDIRECT($F$8),8+(O828-1)*3))</f>
        <v/>
      </c>
      <c r="V828" s="1" t="str">
        <f ca="1">IF(ISERROR(F813),"",IF(N828=0,A828,""))</f>
        <v/>
      </c>
      <c r="W828" s="1" t="str">
        <f ca="1">IF(ISERROR(F813),"",IF(ISTEXT(VLOOKUP(B813,INDIRECT($F$8),6+(O828-1)*3)),11,IF(VLOOKUP(B813,INDIRECT($F$8),6+(O828-1)*3)&lt;S828*0.3,IF(VLOOKUP(B813,INDIRECT($F$8),8+(O828-1)*3)&lt;U828*0.4,IF(AND(0.4*U828-VLOOKUP(B813,INDIRECT($F$8),8+(O828-1)*3)&lt;=5,0.3*S828-VLOOKUP(B813,INDIRECT($F$8),6+(O828-1)*3)&lt;=5),MAX(0.4*U828-VLOOKUP(B813,INDIRECT($F$8),8+(O828-1)*3),0.3*S828-VLOOKUP(B813,INDIRECT($F$8),6+(O828-1)*3)),11),IF(0.3*S828-VLOOKUP(B813,INDIRECT($F$8),6+(O828-1)*3)&lt;=5,0.3*S828-VLOOKUP(B813,INDIRECT($F$8),6+(O828-1)*3),11)),IF(VLOOKUP(B813,INDIRECT($F$8),8+(O828-1)*3)&lt;U828*0.4,IF(U828*0.4-VLOOKUP(B813,INDIRECT($F$8),8+(O828-1)*3)&lt;=5,U828*0.4-VLOOKUP(B813,INDIRECT($F$8),8+(O828-1)*3),11),0))))</f>
        <v/>
      </c>
      <c r="X828" s="1" t="str">
        <f ca="1">IF(ISERROR(F813),"",IF(W828=0,"",_xlfn.TEXTJOIN("",FALSE," G+",W828," in ",A828)))</f>
        <v/>
      </c>
    </row>
    <row r="829" spans="1:24" ht="11.25" customHeight="1" x14ac:dyDescent="0.2">
      <c r="A829" s="7" t="str">
        <f ca="1">IF(ISERROR(F813),"",VLOOKUP(C813,INDIRECT($F$8),6+(O829-1)*3,0))</f>
        <v/>
      </c>
      <c r="B829" s="41" t="str">
        <f ca="1">IF(ISERROR(F813),"",VLOOKUP(D813,INDIRECT($F$8),6+(O829-1)*3,0))</f>
        <v/>
      </c>
      <c r="C829" s="41"/>
      <c r="D829" s="41"/>
      <c r="E829" s="41"/>
      <c r="F829" s="7" t="str">
        <f ca="1">IF(ISERROR(F813),"",VLOOKUP(E813,INDIRECT($F$8),6+(O829-1)*3,0))</f>
        <v/>
      </c>
      <c r="G829" s="42" t="str">
        <f ca="1">IF(ISERROR(F813),"",_xlfn.TEXTJOIN("/",FALSE,P829,S829))</f>
        <v/>
      </c>
      <c r="H829" s="42"/>
      <c r="I829" s="42" t="str">
        <f ca="1">IF(ISERROR(F813),"",_xlfn.TEXTJOIN("/",FALSE,Q829,T829))</f>
        <v/>
      </c>
      <c r="J829" s="42"/>
      <c r="K829" s="42" t="str">
        <f ca="1">IF(ISERROR(F813),"",_xlfn.TEXTJOIN("/",FALSE,R829,U829))</f>
        <v/>
      </c>
      <c r="L829" s="42"/>
      <c r="M829" s="7" t="str">
        <f ca="1">IF(ISERROR(F813),"",IF(ISTEXT(P829),IF(P829="A","Ab",IF(P829="D","Dt",IF(P829="UFM","UFM",IF(P829="NA","-")))),IF(AND(ISBLANK(P829),ISBLANK(R829)),"",IF(P829&lt;0.3*S829,"F",IF(ISBLANK(R829),"",IF(ISTEXT(R829),R829,IF(R829&gt;=0.95*U829,"O",IF(R829&gt;=0.9*U829,"A+",IF(R829&gt;=0.85*U829,"A",IF(R829&gt;=0.8*U829,"B+",IF(R829&gt;=0.75*U829,"B",IF(R829&gt;=0.7*U829,"C+",IF(R829&gt;=0.65*U829,"C",IF(R829&gt;=0.6*U829,"D+",IF(R829&gt;=0.55*U829,"D",IF(R829&gt;=0.5*U829,"E+",IF(R829&gt;=0.45*U829,"E",IF(R829&gt;=0.4*U829,"P",IF(R829&lt;0.4*U829,"F",R829)))))))))))))))))))</f>
        <v/>
      </c>
      <c r="N829" s="8" t="e">
        <f t="shared" ca="1" si="85"/>
        <v>#N/A</v>
      </c>
      <c r="O829">
        <f t="shared" si="86"/>
        <v>12</v>
      </c>
      <c r="P829" s="1" t="str">
        <f ca="1">IF(ISERROR(F813),"",IF(ISTEXT(VLOOKUP(B813,INDIRECT($F$8),6+(O829-1)*3)),(VLOOKUP(B813,INDIRECT($F$8),6+(O829-1)*3)),SUM(VLOOKUP(B813,INDIRECT($F$8),6+(O829-1)*3),IF(W832,W829,0))))</f>
        <v/>
      </c>
      <c r="Q829" s="1" t="str">
        <f ca="1">IF(ISERROR(F813),"",VLOOKUP(B813,INDIRECT($F$8),7+(O829-1)*3))</f>
        <v/>
      </c>
      <c r="R829" s="1" t="str">
        <f ca="1">IF(ISERROR(F813),"",SUM(P829:Q829))</f>
        <v/>
      </c>
      <c r="S829" s="1" t="str">
        <f ca="1">IF(ISERROR(F813),"",VLOOKUP(A813,INDIRECT($F$8),6+(O829-1)*3))</f>
        <v/>
      </c>
      <c r="T829" s="1" t="str">
        <f ca="1">IF(ISERROR(F813),"",VLOOKUP(A813,INDIRECT($F$8),7+(O829-1)*3))</f>
        <v/>
      </c>
      <c r="U829" s="1" t="str">
        <f ca="1">IF(ISERROR(F813),"",VLOOKUP(A813,INDIRECT($F$8),8+(O829-1)*3))</f>
        <v/>
      </c>
      <c r="V829" s="1" t="str">
        <f ca="1">IF(ISERROR(F813),"",IF(N829=0,A829,""))</f>
        <v/>
      </c>
      <c r="W829" s="1" t="str">
        <f ca="1">IF(ISERROR(F813),"",IF(ISTEXT(VLOOKUP(B813,INDIRECT($F$8),6+(O829-1)*3)),11,IF(VLOOKUP(B813,INDIRECT($F$8),6+(O829-1)*3)&lt;S829*0.3,IF(VLOOKUP(B813,INDIRECT($F$8),8+(O829-1)*3)&lt;U829*0.4,IF(AND(0.4*U829-VLOOKUP(B813,INDIRECT($F$8),8+(O829-1)*3)&lt;=5,0.3*S829-VLOOKUP(B813,INDIRECT($F$8),6+(O829-1)*3)&lt;=5),MAX(0.4*U829-VLOOKUP(B813,INDIRECT($F$8),8+(O829-1)*3),0.3*S829-VLOOKUP(B813,INDIRECT($F$8),6+(O829-1)*3)),11),IF(0.3*S829-VLOOKUP(B813,INDIRECT($F$8),6+(O829-1)*3)&lt;=5,0.3*S829-VLOOKUP(B813,INDIRECT($F$8),6+(O829-1)*3),11)),IF(VLOOKUP(B813,INDIRECT($F$8),8+(O829-1)*3)&lt;U829*0.4,IF(U829*0.4-VLOOKUP(B813,INDIRECT($F$8),8+(O829-1)*3)&lt;=5,U829*0.4-VLOOKUP(B813,INDIRECT($F$8),8+(O829-1)*3),11),0))))</f>
        <v/>
      </c>
      <c r="X829" s="1" t="str">
        <f ca="1">IF(ISERROR(F813),"",IF(W829=0,"",_xlfn.TEXTJOIN("",FALSE," G+",W829," in ",A829)))</f>
        <v/>
      </c>
    </row>
    <row r="830" spans="1:24" ht="11.25" customHeight="1" x14ac:dyDescent="0.2">
      <c r="A830" s="7" t="str">
        <f ca="1">IF(ISERROR(F813),"",VLOOKUP(C813,INDIRECT($F$8),6+(O830-1)*3,0))</f>
        <v/>
      </c>
      <c r="B830" s="41" t="str">
        <f ca="1">IF(ISERROR(F813),"",VLOOKUP(D813,INDIRECT($F$8),6+(O830-1)*3,0))</f>
        <v/>
      </c>
      <c r="C830" s="41"/>
      <c r="D830" s="41"/>
      <c r="E830" s="41"/>
      <c r="F830" s="7" t="str">
        <f ca="1">IF(ISERROR(F813),"",VLOOKUP(E813,INDIRECT($F$8),6+(O830-1)*3,0))</f>
        <v/>
      </c>
      <c r="G830" s="42" t="str">
        <f ca="1">IF(ISERROR(F813),"",_xlfn.TEXTJOIN("/",FALSE,P830,S830))</f>
        <v/>
      </c>
      <c r="H830" s="42"/>
      <c r="I830" s="42" t="str">
        <f ca="1">IF(ISERROR(F813),"",_xlfn.TEXTJOIN("/",FALSE,Q830,T830))</f>
        <v/>
      </c>
      <c r="J830" s="42"/>
      <c r="K830" s="42" t="str">
        <f ca="1">IF(ISERROR(F813),"",_xlfn.TEXTJOIN("/",FALSE,R830,U830))</f>
        <v/>
      </c>
      <c r="L830" s="42"/>
      <c r="M830" s="7" t="str">
        <f ca="1">IF(ISERROR(F813),"",IF(ISTEXT(P830),IF(P830="A","Ab",IF(P830="D","Dt",IF(P830="UFM","UFM",IF(P830="NA","-")))),IF(AND(ISBLANK(P830),ISBLANK(R830)),"",IF(P830&lt;0.3*S830,"F",IF(ISBLANK(R830),"",IF(ISTEXT(R830),R830,IF(R830&gt;=0.95*U830,"O",IF(R830&gt;=0.9*U830,"A+",IF(R830&gt;=0.85*U830,"A",IF(R830&gt;=0.8*U830,"B+",IF(R830&gt;=0.75*U830,"B",IF(R830&gt;=0.7*U830,"C+",IF(R830&gt;=0.65*U830,"C",IF(R830&gt;=0.6*U830,"D+",IF(R830&gt;=0.55*U830,"D",IF(R830&gt;=0.5*U830,"E+",IF(R830&gt;=0.45*U830,"E",IF(R830&gt;=0.4*U830,"P",IF(R830&lt;0.4*U830,"F",R830)))))))))))))))))))</f>
        <v/>
      </c>
      <c r="N830" s="8" t="e">
        <f t="shared" ca="1" si="85"/>
        <v>#N/A</v>
      </c>
      <c r="O830">
        <f t="shared" si="86"/>
        <v>13</v>
      </c>
      <c r="P830" s="1" t="str">
        <f ca="1">IF(ISERROR(F813),"",IF(ISTEXT(VLOOKUP(B813,INDIRECT($F$8),6+(O830-1)*3)),(VLOOKUP(B813,INDIRECT($F$8),6+(O830-1)*3)),SUM(VLOOKUP(B813,INDIRECT($F$8),6+(O830-1)*3),IF(W832,W830,0))))</f>
        <v/>
      </c>
      <c r="Q830" s="1" t="str">
        <f ca="1">IF(ISERROR(F813),"",VLOOKUP(B813,INDIRECT($F$8),7+(O830-1)*3))</f>
        <v/>
      </c>
      <c r="R830" s="1" t="str">
        <f ca="1">IF(ISERROR(F813),"",SUM(P830:Q830))</f>
        <v/>
      </c>
      <c r="S830" s="1" t="str">
        <f ca="1">IF(ISERROR(F813),"",VLOOKUP(A813,INDIRECT($F$8),6+(O830-1)*3))</f>
        <v/>
      </c>
      <c r="T830" s="1" t="str">
        <f ca="1">IF(ISERROR(F813),"",VLOOKUP(A813,INDIRECT($F$8),7+(O830-1)*3))</f>
        <v/>
      </c>
      <c r="U830" s="1" t="str">
        <f ca="1">IF(ISERROR(F813),"",VLOOKUP(A813,INDIRECT($F$8),8+(O830-1)*3))</f>
        <v/>
      </c>
      <c r="V830" s="1"/>
      <c r="W830" s="1" t="str">
        <f ca="1">IF(ISERROR(F813),"",IF(ISTEXT(VLOOKUP(B813,INDIRECT($F$8),6+(O830-1)*3)),11,IF(VLOOKUP(B813,INDIRECT($F$8),6+(O830-1)*3)&lt;S830*0.3,IF(VLOOKUP(B813,INDIRECT($F$8),8+(O830-1)*3)&lt;U830*0.4,IF(AND(0.4*U830-VLOOKUP(B813,INDIRECT($F$8),8+(O830-1)*3)&lt;=5,0.3*S830-VLOOKUP(B813,INDIRECT($F$8),6+(O830-1)*3)&lt;=5),MAX(0.4*U830-VLOOKUP(B813,INDIRECT($F$8),8+(O830-1)*3),0.3*S830-VLOOKUP(B813,INDIRECT($F$8),6+(O830-1)*3)),11),IF(0.3*S830-VLOOKUP(B813,INDIRECT($F$8),6+(O830-1)*3)&lt;=5,0.3*S830-VLOOKUP(B813,INDIRECT($F$8),6+(O830-1)*3),11)),IF(VLOOKUP(B813,INDIRECT($F$8),8+(O830-1)*3)&lt;U830*0.4,IF(U830*0.4-VLOOKUP(B813,INDIRECT($F$8),8+(O830-1)*3)&lt;=5,U830*0.4-VLOOKUP(B813,INDIRECT($F$8),8+(O830-1)*3),11),0))))</f>
        <v/>
      </c>
      <c r="X830" s="1" t="str">
        <f ca="1">IF(ISERROR(F813),"",IF(W830=0,"",_xlfn.TEXTJOIN("",FALSE," G+",W830," in ",A830)))</f>
        <v/>
      </c>
    </row>
    <row r="831" spans="1:24" s="32" customFormat="1" ht="11.25" customHeight="1" x14ac:dyDescent="0.2">
      <c r="A831" s="31" t="str">
        <f ca="1">IF(ISERROR(F813),"",VLOOKUP(C813,INDIRECT($F$8),6+(O831-1)*3-Y831,0))</f>
        <v/>
      </c>
      <c r="B831" s="49" t="str">
        <f ca="1">IF(ISERROR(F813),"",VLOOKUP(D813,INDIRECT($F$8),6+(O831-1)*3-Z831,0))</f>
        <v/>
      </c>
      <c r="C831" s="49"/>
      <c r="D831" s="49"/>
      <c r="E831" s="49"/>
      <c r="F831" s="31" t="str">
        <f ca="1">IF(ISERROR(F813),"",VLOOKUP(E813,INDIRECT($F$8),6+(O831-1)*3-AA831,0))</f>
        <v/>
      </c>
      <c r="G831" s="50" t="str">
        <f ca="1">IF(ISERROR(F813),"","-")</f>
        <v/>
      </c>
      <c r="H831" s="50"/>
      <c r="I831" s="50" t="str">
        <f ca="1">IF(ISERROR(F813),"",_xlfn.TEXTJOIN("/",FALSE,Q831,T831))</f>
        <v/>
      </c>
      <c r="J831" s="50"/>
      <c r="K831" s="50" t="str">
        <f ca="1">IF(ISERROR(F813),"",_xlfn.TEXTJOIN("/",FALSE,R831,U831))</f>
        <v/>
      </c>
      <c r="L831" s="50"/>
      <c r="M831" s="7" t="b">
        <f ca="1">IF(ISERROR(F814),"",IF(ISTEXT(P831),IF(P831="A","Ab",IF(P831="D","Dt",IF(P831="UFM","UFM",IF(P831="NA","")))),IF(AND(ISBLANK(P831),ISBLANK(R831)),"",IF(P831&lt;0.3*S831,"F",IF(ISBLANK(R831),"",IF(ISTEXT(R831),R831,IF(R831&gt;=0.95*U831,"O",IF(R831&gt;=0.9*U831,"A+",IF(R831&gt;=0.85*U831,"A",IF(R831&gt;=0.8*U831,"B+",IF(R831&gt;=0.75*U831,"B",IF(R831&gt;=0.7*U831,"C+",IF(R831&gt;=0.65*U831,"C",IF(R831&gt;=0.6*U831,"D+",IF(R831&gt;=0.55*U831,"D",IF(R831&gt;=0.5*U831,"E+",IF(R831&gt;=0.45*U831,"E",IF(R831&gt;=0.4*U831,"P",IF(R831&lt;0.4*U831,"F",R831)))))))))))))))))))</f>
        <v>0</v>
      </c>
      <c r="N831" s="8" t="e">
        <f t="shared" ref="N820:N831" ca="1" si="87">INDEX($Z$2:$Z$18,MATCH(M831,$Y$2:$Y$18,0))</f>
        <v>#N/A</v>
      </c>
      <c r="O831" s="32">
        <f t="shared" si="86"/>
        <v>14</v>
      </c>
      <c r="P831" s="33" t="str">
        <f ca="1">IF(ISERROR(F813),"",IF(ISTEXT(VLOOKUP(B\28,INDIRECT($F$8),6+(O831-1)*3)),(VLOOKUP(B813,INDIRECT($F$8),6+(O831-1)*3)),SUM(VLOOKUP(B813,INDIRECT($F$8),6+(O831-1)*3),IF(W832,W831,0))))</f>
        <v/>
      </c>
      <c r="Q831" s="33" t="str">
        <f ca="1">IF(ISERROR(F813),"",VLOOKUP(B813,INDIRECT($F$8),7+(O831-1)*3))</f>
        <v/>
      </c>
      <c r="R831" s="33" t="str">
        <f ca="1">IF(ISERROR(F813),"",SUM(P831:Q831))</f>
        <v/>
      </c>
      <c r="S831" s="33" t="str">
        <f ca="1">IF(ISERROR(F813),"",VLOOKUP(A813,INDIRECT($F$8),6+(O831-1)*3))</f>
        <v/>
      </c>
      <c r="T831" s="33" t="str">
        <f ca="1">IF(ISERROR(F813),"",VLOOKUP(A813,INDIRECT($F$8),7+(O831-1)*3))</f>
        <v/>
      </c>
      <c r="U831" s="33" t="str">
        <f ca="1">IF(ISERROR(F813),"",VLOOKUP(A813,INDIRECT($F$8),8+(O831-1)*3))</f>
        <v/>
      </c>
      <c r="V831" s="33"/>
      <c r="W831" s="33"/>
      <c r="X831" s="33" t="str">
        <f ca="1">IF(ISERROR(F813),"",IF(W831=0,"",_xlfn.TEXTJOIN("",FALSE," G+",W831," in ",A831)))</f>
        <v/>
      </c>
    </row>
    <row r="832" spans="1:24" ht="11.25" customHeight="1" x14ac:dyDescent="0.2">
      <c r="A832" s="43" t="str">
        <f ca="1">IF(ISERROR(F813),"",A809)</f>
        <v/>
      </c>
      <c r="B832" s="43"/>
      <c r="C832" s="43"/>
      <c r="D832" s="43"/>
      <c r="E832" s="43"/>
      <c r="F832" s="10" t="str">
        <f ca="1">IF(ISERROR(F813),"",SUM(F818:F831))</f>
        <v/>
      </c>
      <c r="G832" s="44" t="str">
        <f ca="1">IF(ISERROR(F813),"",_xlfn.TEXTJOIN("/",TRUE,SUMIF(F818:F831,"&gt;0",P818:P831),SUMIF(F818:F831,"&gt;0",S818:S831)))</f>
        <v/>
      </c>
      <c r="H832" s="44"/>
      <c r="I832" s="44" t="str">
        <f ca="1">IF(ISERROR(F813),"",_xlfn.TEXTJOIN("/",TRUE,SUMIF(F818:F831,"&gt;0",Q818:Q831),SUMIF(F818:F831,"&gt;0",T818:T831)))</f>
        <v/>
      </c>
      <c r="J832" s="44"/>
      <c r="K832" s="44" t="str">
        <f ca="1">IF(ISERROR(F813),"",_xlfn.TEXTJOIN("/",TRUE,SUMIF(F818:F831,"&gt;0",R818:R831),SUMIF(F818:F831,"&gt;0",U818:U831)))</f>
        <v/>
      </c>
      <c r="L832" s="44"/>
      <c r="M832" s="43" t="str">
        <f ca="1">IF(ISERROR(F813),"",SUMPRODUCT(N818:N830,F818:F830))</f>
        <v/>
      </c>
      <c r="N832" s="43"/>
      <c r="V832" s="1" t="str">
        <f ca="1">IF(ISERROR(F813),"",_xlfn.TEXTJOIN(", ",TRUE,V818:V831))</f>
        <v/>
      </c>
      <c r="W832" t="str">
        <f ca="1">IF(ISERROR(F813),"",IF(SUM(W818:W831)&lt;=W817,TRUE,FALSE))</f>
        <v/>
      </c>
      <c r="X832" s="1" t="str">
        <f ca="1">_xlfn.TEXTJOIN(",",TRUE,X818:X831)</f>
        <v/>
      </c>
    </row>
    <row r="833" spans="1:24" ht="11.25" customHeight="1" x14ac:dyDescent="0.2">
      <c r="A833" s="43" t="str">
        <f ca="1">IF(ISERROR(F813),"",A810)</f>
        <v/>
      </c>
      <c r="B833" s="45" t="str">
        <f ca="1">IF(ISERROR(F813),"",IF(V832="","PASS","CARRY OVER"))</f>
        <v/>
      </c>
      <c r="C833" s="45"/>
      <c r="D833" s="43" t="str">
        <f ca="1">IF(ISERROR(F813),"",D810)</f>
        <v/>
      </c>
      <c r="E833" s="45" t="str">
        <f ca="1">IF(ISERROR(F813),"",IF(W832,X832,IF(V832="","",_xlfn.TEXTJOIN("",TRUE,"BACK IN ",V832))))</f>
        <v/>
      </c>
      <c r="F833" s="45"/>
      <c r="G833" s="43" t="str">
        <f ca="1">IF(ISERROR(F813),"",G810)</f>
        <v/>
      </c>
      <c r="H833" s="46" t="str">
        <f ca="1">IF(ISERROR(F813),"",M832/F832)</f>
        <v/>
      </c>
      <c r="I833" s="43" t="str">
        <f ca="1">IF(ISERROR(F813),"",I810)</f>
        <v/>
      </c>
      <c r="J833" s="46" t="str">
        <f ca="1">IF(ISERROR(F813),"",VLOOKUP(B813,INDIRECT($F$8),12+(O831-1)*3,0))</f>
        <v/>
      </c>
      <c r="K833" s="45" t="str">
        <f ca="1">IF(ISERROR(F813),"",K810)</f>
        <v/>
      </c>
      <c r="L833" s="43" t="str">
        <f ca="1">IF(ISERROR(F813),"",SUMIF(N818:N830,"&gt;0",F818:F830))</f>
        <v/>
      </c>
      <c r="M833" s="45" t="str">
        <f ca="1">IF(ISERROR(F813),"",M810)</f>
        <v/>
      </c>
      <c r="N833" s="43" t="str">
        <f ca="1">IF(ISERROR(F813),"",VLOOKUP(B813,INDIRECT($F$8),10+(O831-1)*3,0))</f>
        <v/>
      </c>
    </row>
    <row r="834" spans="1:24" ht="11.25" customHeight="1" x14ac:dyDescent="0.2">
      <c r="A834" s="43"/>
      <c r="B834" s="45"/>
      <c r="C834" s="45"/>
      <c r="D834" s="43"/>
      <c r="E834" s="45"/>
      <c r="F834" s="45"/>
      <c r="G834" s="43"/>
      <c r="H834" s="46"/>
      <c r="I834" s="43"/>
      <c r="J834" s="46"/>
      <c r="K834" s="45"/>
      <c r="L834" s="43"/>
      <c r="M834" s="45"/>
      <c r="N834" s="43"/>
    </row>
    <row r="835" spans="1:24" ht="11.25" customHeight="1" x14ac:dyDescent="0.2">
      <c r="A835" s="43"/>
      <c r="B835" s="45"/>
      <c r="C835" s="45"/>
      <c r="D835" s="43"/>
      <c r="E835" s="45"/>
      <c r="F835" s="45"/>
      <c r="G835" s="43"/>
      <c r="H835" s="46"/>
      <c r="I835" s="43"/>
      <c r="J835" s="46"/>
      <c r="K835" s="45"/>
      <c r="L835" s="43"/>
      <c r="M835" s="45"/>
      <c r="N835" s="43"/>
    </row>
    <row r="836" spans="1:24" ht="11.25" customHeight="1" x14ac:dyDescent="0.2">
      <c r="A836" s="11" t="str">
        <f>A813</f>
        <v>MM</v>
      </c>
      <c r="B836" s="11">
        <f>B813+1</f>
        <v>37</v>
      </c>
      <c r="C836" s="11" t="str">
        <f>C813</f>
        <v>SC</v>
      </c>
      <c r="D836" s="11" t="str">
        <f>D813</f>
        <v>SN</v>
      </c>
      <c r="E836" s="11" t="str">
        <f>E813</f>
        <v>C</v>
      </c>
      <c r="F836" s="11" t="e">
        <f ca="1">VLOOKUP(B836,INDIRECT($F$8),4,0)</f>
        <v>#N/A</v>
      </c>
    </row>
    <row r="837" spans="1:24" ht="11.25" customHeight="1" x14ac:dyDescent="0.2">
      <c r="A837" s="47" t="str">
        <f ca="1">IF(ISERROR(F836),"",A814)</f>
        <v/>
      </c>
      <c r="B837" s="47" t="str">
        <f ca="1">IFERROR(VLOOKUP(B836,INDIRECT($F$8),4,0),"")</f>
        <v/>
      </c>
      <c r="C837" s="47"/>
      <c r="D837" s="47" t="str">
        <f ca="1">IF(ISERROR(F836),"",D814)</f>
        <v/>
      </c>
      <c r="E837" s="47" t="str">
        <f ca="1">IFERROR(VLOOKUP(B836,INDIRECT($F$8),5,0),"")</f>
        <v/>
      </c>
      <c r="F837" s="47"/>
      <c r="G837" s="47" t="str">
        <f ca="1">IF(ISERROR(F836),"",G814)</f>
        <v/>
      </c>
      <c r="H837" s="47"/>
      <c r="I837" s="48" t="str">
        <f ca="1">IFERROR(VLOOKUP(B836,INDIRECT($F$8),2,0),"")</f>
        <v/>
      </c>
      <c r="J837" s="48"/>
      <c r="K837" s="47" t="str">
        <f ca="1">IF(ISERROR(F836),"",K814)</f>
        <v/>
      </c>
      <c r="L837" s="47"/>
      <c r="M837" s="48" t="str">
        <f ca="1">IFERROR(VLOOKUP(B836,INDIRECT($F$8),3,0),"")</f>
        <v/>
      </c>
      <c r="N837" s="48"/>
    </row>
    <row r="838" spans="1:24" ht="11.25" customHeight="1" x14ac:dyDescent="0.2">
      <c r="A838" s="47"/>
      <c r="B838" s="47"/>
      <c r="C838" s="47"/>
      <c r="D838" s="47"/>
      <c r="E838" s="47"/>
      <c r="F838" s="47"/>
      <c r="G838" s="47"/>
      <c r="H838" s="47"/>
      <c r="I838" s="48"/>
      <c r="J838" s="48"/>
      <c r="K838" s="47"/>
      <c r="L838" s="47"/>
      <c r="M838" s="48"/>
      <c r="N838" s="48"/>
    </row>
    <row r="839" spans="1:24" ht="11.25" customHeight="1" x14ac:dyDescent="0.2">
      <c r="A839" s="45" t="str">
        <f ca="1">IF(ISERROR(F836),"",A816)</f>
        <v/>
      </c>
      <c r="B839" s="45" t="str">
        <f ca="1">IF(ISERROR(F836),"",B816)</f>
        <v/>
      </c>
      <c r="C839" s="45"/>
      <c r="D839" s="45"/>
      <c r="E839" s="45"/>
      <c r="F839" s="45" t="str">
        <f ca="1">IF(ISERROR(F836),"",F816)</f>
        <v/>
      </c>
      <c r="G839" s="45" t="str">
        <f ca="1">IF(ISERROR(F836),"",G816)</f>
        <v/>
      </c>
      <c r="H839" s="45"/>
      <c r="I839" s="45" t="str">
        <f ca="1">IF(ISERROR(F836),"",I816)</f>
        <v/>
      </c>
      <c r="J839" s="45"/>
      <c r="K839" s="45" t="str">
        <f ca="1">IF(ISERROR(F836),"",K816)</f>
        <v/>
      </c>
      <c r="L839" s="45"/>
      <c r="M839" s="45" t="str">
        <f ca="1">IF(ISERROR(F836),"",M816)</f>
        <v/>
      </c>
      <c r="N839" s="45" t="str">
        <f ca="1">IF(ISERROR(F836),"",N816)</f>
        <v/>
      </c>
    </row>
    <row r="840" spans="1:24" ht="11.25" customHeight="1" x14ac:dyDescent="0.2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W840">
        <f ca="1">IF(ISNUMBER(MATCH($F$8,{"I","III","V","VII"},0)),10,10-INDEX(INDIRECT(_xlfn.TEXTJOIN("",TRUE,"SEM_",$G$8,"!",ADDRESS(6,4+$I$8*3+4),":",ADDRESS(5+$H$8,4+$I$8*3+4))),MATCH(INDIRECT(_xlfn.TEXTJOIN("",TRUE,"TC_",$F$8,"!",ADDRESS(ROW(I837),COLUMN(I837)))),INDIRECT(_xlfn.TEXTJOIN("",TRUE,"SEM_",$G$8,"!",ADDRESS(6,2),":",ADDRESS(5+$H$8,2))))))</f>
        <v>10</v>
      </c>
    </row>
    <row r="841" spans="1:24" ht="11.25" customHeight="1" x14ac:dyDescent="0.2">
      <c r="A841" s="7" t="str">
        <f ca="1">IF(ISERROR(F836),"",VLOOKUP(C836,INDIRECT($F$8),6+(O841-1)*3,0))</f>
        <v/>
      </c>
      <c r="B841" s="41" t="str">
        <f ca="1">IF(ISERROR(F836),"",VLOOKUP(D836,INDIRECT($F$8),6+(O841-1)*3,0))</f>
        <v/>
      </c>
      <c r="C841" s="41"/>
      <c r="D841" s="41"/>
      <c r="E841" s="41"/>
      <c r="F841" s="7" t="str">
        <f ca="1">IF(ISERROR(F836),"",VLOOKUP(E836,INDIRECT($F$8),6+(O841-1)*3,0))</f>
        <v/>
      </c>
      <c r="G841" s="42" t="str">
        <f ca="1">IF(ISERROR(F836),"",_xlfn.TEXTJOIN("/",FALSE,P841,S841))</f>
        <v/>
      </c>
      <c r="H841" s="42"/>
      <c r="I841" s="42" t="str">
        <f ca="1">IF(ISERROR(F836),"",_xlfn.TEXTJOIN("/",FALSE,Q841,T841))</f>
        <v/>
      </c>
      <c r="J841" s="42"/>
      <c r="K841" s="42" t="str">
        <f ca="1">IF(ISERROR(F836),"",_xlfn.TEXTJOIN("/",FALSE,R841,U841))</f>
        <v/>
      </c>
      <c r="L841" s="42"/>
      <c r="M841" s="7" t="str">
        <f ca="1">IF(ISERROR(F836),"",IF(ISTEXT(P841),IF(P841="A","Ab",IF(P841="D","Dt",IF(P841="UFM","UFM",IF(P841="NA","-")))),IF(AND(ISBLANK(P841),ISBLANK(R841)),"",IF(P841&lt;0.3*S841,"F",IF(ISBLANK(R841),"",IF(ISTEXT(R841),R841,IF(R841&gt;=0.95*U841,"O",IF(R841&gt;=0.9*U841,"A+",IF(R841&gt;=0.85*U841,"A",IF(R841&gt;=0.8*U841,"B+",IF(R841&gt;=0.75*U841,"B",IF(R841&gt;=0.7*U841,"C+",IF(R841&gt;=0.65*U841,"C",IF(R841&gt;=0.6*U841,"D+",IF(R841&gt;=0.55*U841,"D",IF(R841&gt;=0.5*U841,"E+",IF(R841&gt;=0.45*U841,"E",IF(R841&gt;=0.4*U841,"P",IF(R841&lt;0.4*U841,"F",R841)))))))))))))))))))</f>
        <v/>
      </c>
      <c r="N841" s="8" t="e">
        <f ca="1">INDEX($Z$2:$Z$18,MATCH(M841,$Y$2:$Y$18,0))</f>
        <v>#N/A</v>
      </c>
      <c r="O841">
        <v>1</v>
      </c>
      <c r="P841" s="1" t="str">
        <f ca="1">IF(ISERROR(F836),"",IF(ISTEXT(VLOOKUP(B836,INDIRECT($F$8),6+(O841-1)*3)),(VLOOKUP(B836,INDIRECT($F$8),6+(O841-1)*3)),SUM(VLOOKUP(B836,INDIRECT($F$8),6+(O841-1)*3),IF(W855,W841,0))))</f>
        <v/>
      </c>
      <c r="Q841" s="1" t="str">
        <f ca="1">IF(ISERROR(F836),"",VLOOKUP(B836,INDIRECT($F$8),7+(O841-1)*3))</f>
        <v/>
      </c>
      <c r="R841" s="1" t="str">
        <f ca="1">IF(ISERROR(F836),"",SUM(P841:Q841))</f>
        <v/>
      </c>
      <c r="S841" s="1" t="str">
        <f ca="1">IF(ISERROR(F836),"",VLOOKUP(A836,INDIRECT($F$8),6+(O841-1)*3))</f>
        <v/>
      </c>
      <c r="T841" s="1" t="str">
        <f ca="1">IF(ISERROR(F836),"",VLOOKUP(A836,INDIRECT($F$8),7+(O841-1)*3))</f>
        <v/>
      </c>
      <c r="U841" s="1" t="str">
        <f ca="1">IF(ISERROR(F836),"",VLOOKUP(A836,INDIRECT($F$8),8+(O841-1)*3))</f>
        <v/>
      </c>
      <c r="V841" s="1" t="str">
        <f ca="1">IF(ISERROR(F836),"",IF(N841=0,A841,""))</f>
        <v/>
      </c>
      <c r="W841" s="1" t="str">
        <f ca="1">IF(ISERROR(F836),"",IF(ISTEXT(VLOOKUP(B836,INDIRECT($F$8),6+(O841-1)*3)),11,IF(VLOOKUP(B836,INDIRECT($F$8),6+(O841-1)*3)&lt;S841*0.3,IF(VLOOKUP(B836,INDIRECT($F$8),8+(O841-1)*3)&lt;U841*0.4,IF(AND(0.4*U841-VLOOKUP(B836,INDIRECT($F$8),8+(O841-1)*3)&lt;=5,0.3*S841-VLOOKUP(B836,INDIRECT($F$8),6+(O841-1)*3)&lt;=5),MAX(0.4*U841-VLOOKUP(B836,INDIRECT($F$8),8+(O841-1)*3),0.3*S841-VLOOKUP(B836,INDIRECT($F$8),6+(O841-1)*3)),11),IF(0.3*S841-VLOOKUP(B836,INDIRECT($F$8),6+(O841-1)*3)&lt;=5,0.3*S841-VLOOKUP(B836,INDIRECT($F$8),6+(O841-1)*3),11)),IF(VLOOKUP(B836,INDIRECT($F$8),8+(O841-1)*3)&lt;U841*0.4,IF(U841*0.4-VLOOKUP(B836,INDIRECT($F$8),8+(O841-1)*3)&lt;=5,U841*0.4-VLOOKUP(B836,INDIRECT($F$8),8+(O841-1)*3),11),0))))</f>
        <v/>
      </c>
      <c r="X841" s="1" t="str">
        <f ca="1">IF(ISERROR(F836),"",IF(W841=0,"",_xlfn.TEXTJOIN("",FALSE," G+",W841," in ",A841)))</f>
        <v/>
      </c>
    </row>
    <row r="842" spans="1:24" ht="11.25" customHeight="1" x14ac:dyDescent="0.2">
      <c r="A842" s="7" t="str">
        <f ca="1">IF(ISERROR(F836),"",VLOOKUP(C836,INDIRECT($F$8),6+(O842-1)*3,0))</f>
        <v/>
      </c>
      <c r="B842" s="41" t="str">
        <f ca="1">IF(ISERROR(F836),"",VLOOKUP(D836,INDIRECT($F$8),6+(O842-1)*3,0))</f>
        <v/>
      </c>
      <c r="C842" s="41"/>
      <c r="D842" s="41"/>
      <c r="E842" s="41"/>
      <c r="F842" s="7" t="str">
        <f ca="1">IF(ISERROR(F836),"",VLOOKUP(E836,INDIRECT($F$8),6+(O842-1)*3,0))</f>
        <v/>
      </c>
      <c r="G842" s="42" t="str">
        <f ca="1">IF(ISERROR(F836),"",_xlfn.TEXTJOIN("/",FALSE,P842,S842))</f>
        <v/>
      </c>
      <c r="H842" s="42"/>
      <c r="I842" s="42" t="str">
        <f ca="1">IF(ISERROR(F836),"",_xlfn.TEXTJOIN("/",FALSE,Q842,T842))</f>
        <v/>
      </c>
      <c r="J842" s="42"/>
      <c r="K842" s="42" t="str">
        <f ca="1">IF(ISERROR(F836),"",_xlfn.TEXTJOIN("/",FALSE,R842,U842))</f>
        <v/>
      </c>
      <c r="L842" s="42"/>
      <c r="M842" s="7" t="str">
        <f ca="1">IF(ISERROR(F836),"",IF(ISTEXT(P842),IF(P842="A","Ab",IF(P842="D","Dt",IF(P842="UFM","UFM",IF(P842="NA","-")))),IF(AND(ISBLANK(P842),ISBLANK(R842)),"",IF(P842&lt;0.3*S842,"F",IF(ISBLANK(R842),"",IF(ISTEXT(R842),R842,IF(R842&gt;=0.95*U842,"O",IF(R842&gt;=0.9*U842,"A+",IF(R842&gt;=0.85*U842,"A",IF(R842&gt;=0.8*U842,"B+",IF(R842&gt;=0.75*U842,"B",IF(R842&gt;=0.7*U842,"C+",IF(R842&gt;=0.65*U842,"C",IF(R842&gt;=0.6*U842,"D+",IF(R842&gt;=0.55*U842,"D",IF(R842&gt;=0.5*U842,"E+",IF(R842&gt;=0.45*U842,"E",IF(R842&gt;=0.4*U842,"P",IF(R842&lt;0.4*U842,"F",R842)))))))))))))))))))</f>
        <v/>
      </c>
      <c r="N842" s="8" t="e">
        <f t="shared" ref="N842:N853" ca="1" si="88">INDEX($Z$2:$Z$18,MATCH(M842,$Y$2:$Y$18,0))</f>
        <v>#N/A</v>
      </c>
      <c r="O842">
        <f>O841+1</f>
        <v>2</v>
      </c>
      <c r="P842" s="1" t="str">
        <f ca="1">IF(ISERROR(F836),"",IF(ISTEXT(VLOOKUP(B836,INDIRECT($F$8),6+(O842-1)*3)),(VLOOKUP(B836,INDIRECT($F$8),6+(O842-1)*3)),SUM(VLOOKUP(B836,INDIRECT($F$8),6+(O842-1)*3),IF(W855,W842,0))))</f>
        <v/>
      </c>
      <c r="Q842" s="1" t="str">
        <f ca="1">IF(ISERROR(F836),"",VLOOKUP(B836,INDIRECT($F$8),7+(O842-1)*3))</f>
        <v/>
      </c>
      <c r="R842" s="1" t="str">
        <f ca="1">IF(ISERROR(F836),"",SUM(P842:Q842))</f>
        <v/>
      </c>
      <c r="S842" s="1" t="str">
        <f ca="1">IF(ISERROR(F836),"",VLOOKUP(A836,INDIRECT($F$8),6+(O842-1)*3))</f>
        <v/>
      </c>
      <c r="T842" s="1" t="str">
        <f ca="1">IF(ISERROR(F836),"",VLOOKUP(A836,INDIRECT($F$8),7+(O842-1)*3))</f>
        <v/>
      </c>
      <c r="U842" s="1" t="str">
        <f ca="1">IF(ISERROR(F836),"",VLOOKUP(A836,INDIRECT($F$8),8+(O842-1)*3))</f>
        <v/>
      </c>
      <c r="V842" s="1" t="str">
        <f ca="1">IF(ISERROR(F836),"",IF(N842=0,A842,""))</f>
        <v/>
      </c>
      <c r="W842" s="1" t="str">
        <f ca="1">IF(ISERROR(F836),"",IF(ISTEXT(VLOOKUP(B836,INDIRECT($F$8),6+(O842-1)*3)),11,IF(VLOOKUP(B836,INDIRECT($F$8),6+(O842-1)*3)&lt;S842*0.3,IF(VLOOKUP(B836,INDIRECT($F$8),8+(O842-1)*3)&lt;U842*0.4,IF(AND(0.4*U842-VLOOKUP(B836,INDIRECT($F$8),8+(O842-1)*3)&lt;=5,0.3*S842-VLOOKUP(B836,INDIRECT($F$8),6+(O842-1)*3)&lt;=5),MAX(0.4*U842-VLOOKUP(B836,INDIRECT($F$8),8+(O842-1)*3),0.3*S842-VLOOKUP(B836,INDIRECT($F$8),6+(O842-1)*3)),11),IF(0.3*S842-VLOOKUP(B836,INDIRECT($F$8),6+(O842-1)*3)&lt;=5,0.3*S842-VLOOKUP(B836,INDIRECT($F$8),6+(O842-1)*3),11)),IF(VLOOKUP(B836,INDIRECT($F$8),8+(O842-1)*3)&lt;U842*0.4,IF(U842*0.4-VLOOKUP(B836,INDIRECT($F$8),8+(O842-1)*3)&lt;=5,U842*0.4-VLOOKUP(B836,INDIRECT($F$8),8+(O842-1)*3),11),0))))</f>
        <v/>
      </c>
      <c r="X842" s="1" t="str">
        <f ca="1">IF(ISERROR(F836),"",IF(W842=0,"",_xlfn.TEXTJOIN("",FALSE," G+",W842," in ",A842)))</f>
        <v/>
      </c>
    </row>
    <row r="843" spans="1:24" ht="11.25" customHeight="1" x14ac:dyDescent="0.2">
      <c r="A843" s="7" t="str">
        <f ca="1">IF(ISERROR(F836),"",VLOOKUP(C836,INDIRECT($F$8),6+(O843-1)*3,0))</f>
        <v/>
      </c>
      <c r="B843" s="41" t="str">
        <f ca="1">IF(ISERROR(F836),"",VLOOKUP(D836,INDIRECT($F$8),6+(O843-1)*3,0))</f>
        <v/>
      </c>
      <c r="C843" s="41"/>
      <c r="D843" s="41"/>
      <c r="E843" s="41"/>
      <c r="F843" s="7" t="str">
        <f ca="1">IF(ISERROR(F836),"",VLOOKUP(E836,INDIRECT($F$8),6+(O843-1)*3,0))</f>
        <v/>
      </c>
      <c r="G843" s="42" t="str">
        <f ca="1">IF(ISERROR(F836),"",_xlfn.TEXTJOIN("/",FALSE,P843,S843))</f>
        <v/>
      </c>
      <c r="H843" s="42"/>
      <c r="I843" s="42" t="str">
        <f ca="1">IF(ISERROR(F836),"",_xlfn.TEXTJOIN("/",FALSE,Q843,T843))</f>
        <v/>
      </c>
      <c r="J843" s="42"/>
      <c r="K843" s="42" t="str">
        <f ca="1">IF(ISERROR(F836),"",_xlfn.TEXTJOIN("/",FALSE,R843,U843))</f>
        <v/>
      </c>
      <c r="L843" s="42"/>
      <c r="M843" s="7" t="str">
        <f ca="1">IF(ISERROR(F836),"",IF(ISTEXT(P843),IF(P843="A","Ab",IF(P843="D","Dt",IF(P843="UFM","UFM",IF(P843="NA","-")))),IF(AND(ISBLANK(P843),ISBLANK(R843)),"",IF(P843&lt;0.3*S843,"F",IF(ISBLANK(R843),"",IF(ISTEXT(R843),R843,IF(R843&gt;=0.95*U843,"O",IF(R843&gt;=0.9*U843,"A+",IF(R843&gt;=0.85*U843,"A",IF(R843&gt;=0.8*U843,"B+",IF(R843&gt;=0.75*U843,"B",IF(R843&gt;=0.7*U843,"C+",IF(R843&gt;=0.65*U843,"C",IF(R843&gt;=0.6*U843,"D+",IF(R843&gt;=0.55*U843,"D",IF(R843&gt;=0.5*U843,"E+",IF(R843&gt;=0.45*U843,"E",IF(R843&gt;=0.4*U843,"P",IF(R843&lt;0.4*U843,"F",R843)))))))))))))))))))</f>
        <v/>
      </c>
      <c r="N843" s="8" t="e">
        <f t="shared" ca="1" si="88"/>
        <v>#N/A</v>
      </c>
      <c r="O843">
        <f>O842+1</f>
        <v>3</v>
      </c>
      <c r="P843" s="1" t="str">
        <f ca="1">IF(ISERROR(F836),"",IF(ISTEXT(VLOOKUP(B836,INDIRECT($F$8),6+(O843-1)*3)),(VLOOKUP(B836,INDIRECT($F$8),6+(O843-1)*3)),SUM(VLOOKUP(B836,INDIRECT($F$8),6+(O843-1)*3),IF(W855,W843,0))))</f>
        <v/>
      </c>
      <c r="Q843" s="1" t="str">
        <f ca="1">IF(ISERROR(F836),"",VLOOKUP(B836,INDIRECT($F$8),7+(O843-1)*3))</f>
        <v/>
      </c>
      <c r="R843" s="1" t="str">
        <f ca="1">IF(ISERROR(F836),"",SUM(P843:Q843))</f>
        <v/>
      </c>
      <c r="S843" s="1" t="str">
        <f ca="1">IF(ISERROR(F836),"",VLOOKUP(A836,INDIRECT($F$8),6+(O843-1)*3))</f>
        <v/>
      </c>
      <c r="T843" s="1" t="str">
        <f ca="1">IF(ISERROR(F836),"",VLOOKUP(A836,INDIRECT($F$8),7+(O843-1)*3))</f>
        <v/>
      </c>
      <c r="U843" s="1" t="str">
        <f ca="1">IF(ISERROR(F836),"",VLOOKUP(A836,INDIRECT($F$8),8+(O843-1)*3))</f>
        <v/>
      </c>
      <c r="V843" s="1" t="str">
        <f ca="1">IF(ISERROR(F836),"",IF(N843=0,A843,""))</f>
        <v/>
      </c>
      <c r="W843" s="1" t="str">
        <f ca="1">IF(ISERROR(F836),"",IF(ISTEXT(VLOOKUP(B836,INDIRECT($F$8),6+(O843-1)*3)),11,IF(VLOOKUP(B836,INDIRECT($F$8),6+(O843-1)*3)&lt;S843*0.3,IF(VLOOKUP(B836,INDIRECT($F$8),8+(O843-1)*3)&lt;U843*0.4,IF(AND(0.4*U843-VLOOKUP(B836,INDIRECT($F$8),8+(O843-1)*3)&lt;=5,0.3*S843-VLOOKUP(B836,INDIRECT($F$8),6+(O843-1)*3)&lt;=5),MAX(0.4*U843-VLOOKUP(B836,INDIRECT($F$8),8+(O843-1)*3),0.3*S843-VLOOKUP(B836,INDIRECT($F$8),6+(O843-1)*3)),11),IF(0.3*S843-VLOOKUP(B836,INDIRECT($F$8),6+(O843-1)*3)&lt;=5,0.3*S843-VLOOKUP(B836,INDIRECT($F$8),6+(O843-1)*3),11)),IF(VLOOKUP(B836,INDIRECT($F$8),8+(O843-1)*3)&lt;U843*0.4,IF(U843*0.4-VLOOKUP(B836,INDIRECT($F$8),8+(O843-1)*3)&lt;=5,U843*0.4-VLOOKUP(B836,INDIRECT($F$8),8+(O843-1)*3),11),0))))</f>
        <v/>
      </c>
      <c r="X843" s="1" t="str">
        <f ca="1">IF(ISERROR(F836),"",IF(W843=0,"",_xlfn.TEXTJOIN("",FALSE," G+",W843," in ",A843)))</f>
        <v/>
      </c>
    </row>
    <row r="844" spans="1:24" ht="11.25" customHeight="1" x14ac:dyDescent="0.2">
      <c r="A844" s="7" t="str">
        <f ca="1">IF(ISERROR(F836),"",VLOOKUP(C836,INDIRECT($F$8),6+(O844-1)*3,0))</f>
        <v/>
      </c>
      <c r="B844" s="41" t="str">
        <f ca="1">IF(ISERROR(F836),"",VLOOKUP(D836,INDIRECT($F$8),6+(O844-1)*3,0))</f>
        <v/>
      </c>
      <c r="C844" s="41"/>
      <c r="D844" s="41"/>
      <c r="E844" s="41"/>
      <c r="F844" s="7" t="str">
        <f ca="1">IF(ISERROR(F836),"",VLOOKUP(E836,INDIRECT($F$8),6+(O844-1)*3,0))</f>
        <v/>
      </c>
      <c r="G844" s="42" t="str">
        <f ca="1">IF(ISERROR(F836),"",_xlfn.TEXTJOIN("/",FALSE,P844,S844))</f>
        <v/>
      </c>
      <c r="H844" s="42"/>
      <c r="I844" s="42" t="str">
        <f ca="1">IF(ISERROR(F836),"",_xlfn.TEXTJOIN("/",FALSE,Q844,T844))</f>
        <v/>
      </c>
      <c r="J844" s="42"/>
      <c r="K844" s="42" t="str">
        <f ca="1">IF(ISERROR(F836),"",_xlfn.TEXTJOIN("/",FALSE,R844,U844))</f>
        <v/>
      </c>
      <c r="L844" s="42"/>
      <c r="M844" s="7" t="str">
        <f ca="1">IF(ISERROR(F836),"",IF(ISTEXT(P844),IF(P844="A","Ab",IF(P844="D","Dt",IF(P844="UFM","UFM",IF(P844="NA","-")))),IF(AND(ISBLANK(P844),ISBLANK(R844)),"",IF(P844&lt;0.3*S844,"F",IF(ISBLANK(R844),"",IF(ISTEXT(R844),R844,IF(R844&gt;=0.95*U844,"O",IF(R844&gt;=0.9*U844,"A+",IF(R844&gt;=0.85*U844,"A",IF(R844&gt;=0.8*U844,"B+",IF(R844&gt;=0.75*U844,"B",IF(R844&gt;=0.7*U844,"C+",IF(R844&gt;=0.65*U844,"C",IF(R844&gt;=0.6*U844,"D+",IF(R844&gt;=0.55*U844,"D",IF(R844&gt;=0.5*U844,"E+",IF(R844&gt;=0.45*U844,"E",IF(R844&gt;=0.4*U844,"P",IF(R844&lt;0.4*U844,"F",R844)))))))))))))))))))</f>
        <v/>
      </c>
      <c r="N844" s="8" t="e">
        <f t="shared" ca="1" si="88"/>
        <v>#N/A</v>
      </c>
      <c r="O844">
        <f>O843+1</f>
        <v>4</v>
      </c>
      <c r="P844" s="1" t="str">
        <f ca="1">IF(ISERROR(F836),"",IF(ISTEXT(VLOOKUP(B836,INDIRECT($F$8),6+(O844-1)*3)),(VLOOKUP(B836,INDIRECT($F$8),6+(O844-1)*3)),SUM(VLOOKUP(B836,INDIRECT($F$8),6+(O844-1)*3),IF(W855,W844,0))))</f>
        <v/>
      </c>
      <c r="Q844" s="1" t="str">
        <f ca="1">IF(ISERROR(F836),"",VLOOKUP(B836,INDIRECT($F$8),7+(O844-1)*3))</f>
        <v/>
      </c>
      <c r="R844" s="1" t="str">
        <f ca="1">IF(ISERROR(F836),"",SUM(P844:Q844))</f>
        <v/>
      </c>
      <c r="S844" s="1" t="str">
        <f ca="1">IF(ISERROR(F836),"",VLOOKUP(A836,INDIRECT($F$8),6+(O844-1)*3))</f>
        <v/>
      </c>
      <c r="T844" s="1" t="str">
        <f ca="1">IF(ISERROR(F836),"",VLOOKUP(A836,INDIRECT($F$8),7+(O844-1)*3))</f>
        <v/>
      </c>
      <c r="U844" s="1" t="str">
        <f ca="1">IF(ISERROR(F836),"",VLOOKUP(A836,INDIRECT($F$8),8+(O844-1)*3))</f>
        <v/>
      </c>
      <c r="V844" s="1" t="str">
        <f ca="1">IF(ISERROR(F836),"",IF(N844=0,A844,""))</f>
        <v/>
      </c>
      <c r="W844" s="1" t="str">
        <f ca="1">IF(ISERROR(F836),"",IF(ISTEXT(VLOOKUP(B836,INDIRECT($F$8),6+(O844-1)*3)),11,IF(VLOOKUP(B836,INDIRECT($F$8),6+(O844-1)*3)&lt;S844*0.3,IF(VLOOKUP(B836,INDIRECT($F$8),8+(O844-1)*3)&lt;U844*0.4,IF(AND(0.4*U844-VLOOKUP(B836,INDIRECT($F$8),8+(O844-1)*3)&lt;=5,0.3*S844-VLOOKUP(B836,INDIRECT($F$8),6+(O844-1)*3)&lt;=5),MAX(0.4*U844-VLOOKUP(B836,INDIRECT($F$8),8+(O844-1)*3),0.3*S844-VLOOKUP(B836,INDIRECT($F$8),6+(O844-1)*3)),11),IF(0.3*S844-VLOOKUP(B836,INDIRECT($F$8),6+(O844-1)*3)&lt;=5,0.3*S844-VLOOKUP(B836,INDIRECT($F$8),6+(O844-1)*3),11)),IF(VLOOKUP(B836,INDIRECT($F$8),8+(O844-1)*3)&lt;U844*0.4,IF(U844*0.4-VLOOKUP(B836,INDIRECT($F$8),8+(O844-1)*3)&lt;=5,U844*0.4-VLOOKUP(B836,INDIRECT($F$8),8+(O844-1)*3),11),0))))</f>
        <v/>
      </c>
      <c r="X844" s="1" t="str">
        <f ca="1">IF(ISERROR(F836),"",IF(W844=0,"",_xlfn.TEXTJOIN("",FALSE," G+",W844," in ",A844)))</f>
        <v/>
      </c>
    </row>
    <row r="845" spans="1:24" ht="11.25" customHeight="1" x14ac:dyDescent="0.2">
      <c r="A845" s="7" t="str">
        <f ca="1">IF(ISERROR(F836),"",VLOOKUP(C836,INDIRECT($F$8),6+(O845-1)*3,0))</f>
        <v/>
      </c>
      <c r="B845" s="41" t="str">
        <f ca="1">IF(ISERROR(F836),"",VLOOKUP(D836,INDIRECT($F$8),6+(O845-1)*3,0))</f>
        <v/>
      </c>
      <c r="C845" s="41"/>
      <c r="D845" s="41"/>
      <c r="E845" s="41"/>
      <c r="F845" s="7" t="str">
        <f ca="1">IF(ISERROR(F836),"",VLOOKUP(E836,INDIRECT($F$8),6+(O845-1)*3,0))</f>
        <v/>
      </c>
      <c r="G845" s="42" t="str">
        <f ca="1">IF(ISERROR(F836),"",_xlfn.TEXTJOIN("/",FALSE,P845,S845))</f>
        <v/>
      </c>
      <c r="H845" s="42"/>
      <c r="I845" s="42" t="str">
        <f ca="1">IF(ISERROR(F836),"",_xlfn.TEXTJOIN("/",FALSE,Q845,T845))</f>
        <v/>
      </c>
      <c r="J845" s="42"/>
      <c r="K845" s="42" t="str">
        <f ca="1">IF(ISERROR(F836),"",_xlfn.TEXTJOIN("/",FALSE,R845,U845))</f>
        <v/>
      </c>
      <c r="L845" s="42"/>
      <c r="M845" s="7" t="str">
        <f ca="1">IF(ISERROR(F836),"",IF(ISTEXT(P845),IF(P845="A","Ab",IF(P845="D","Dt",IF(P845="UFM","UFM",IF(P845="NA","-")))),IF(AND(ISBLANK(P845),ISBLANK(R845)),"",IF(P845&lt;0.3*S845,"F",IF(ISBLANK(R845),"",IF(ISTEXT(R845),R845,IF(R845&gt;=0.95*U845,"O",IF(R845&gt;=0.9*U845,"A+",IF(R845&gt;=0.85*U845,"A",IF(R845&gt;=0.8*U845,"B+",IF(R845&gt;=0.75*U845,"B",IF(R845&gt;=0.7*U845,"C+",IF(R845&gt;=0.65*U845,"C",IF(R845&gt;=0.6*U845,"D+",IF(R845&gt;=0.55*U845,"D",IF(R845&gt;=0.5*U845,"E+",IF(R845&gt;=0.45*U845,"E",IF(R845&gt;=0.4*U845,"P",IF(R845&lt;0.4*U845,"F",R845)))))))))))))))))))</f>
        <v/>
      </c>
      <c r="N845" s="8" t="e">
        <f t="shared" ca="1" si="88"/>
        <v>#N/A</v>
      </c>
      <c r="O845">
        <f t="shared" ref="O845:O854" si="89">O844+1</f>
        <v>5</v>
      </c>
      <c r="P845" s="1" t="str">
        <f ca="1">IF(ISERROR(F836),"",IF(ISTEXT(VLOOKUP(B836,INDIRECT($F$8),6+(O845-1)*3)),(VLOOKUP(B836,INDIRECT($F$8),6+(O845-1)*3)),SUM(VLOOKUP(B836,INDIRECT($F$8),6+(O845-1)*3),IF(W855,W845,0))))</f>
        <v/>
      </c>
      <c r="Q845" s="1" t="str">
        <f ca="1">IF(ISERROR(F836),"",VLOOKUP(B836,INDIRECT($F$8),7+(O845-1)*3))</f>
        <v/>
      </c>
      <c r="R845" s="1" t="str">
        <f ca="1">IF(ISERROR(F836),"",SUM(P845:Q845))</f>
        <v/>
      </c>
      <c r="S845" s="1" t="str">
        <f ca="1">IF(ISERROR(F836),"",VLOOKUP(A836,INDIRECT($F$8),6+(O845-1)*3))</f>
        <v/>
      </c>
      <c r="T845" s="1" t="str">
        <f ca="1">IF(ISERROR(F836),"",VLOOKUP(A836,INDIRECT($F$8),7+(O845-1)*3))</f>
        <v/>
      </c>
      <c r="U845" s="1" t="str">
        <f ca="1">IF(ISERROR(F836),"",VLOOKUP(A836,INDIRECT($F$8),8+(O845-1)*3))</f>
        <v/>
      </c>
      <c r="V845" s="1" t="str">
        <f ca="1">IF(ISERROR(F836),"",IF(N845=0,A845,""))</f>
        <v/>
      </c>
      <c r="W845" s="1" t="str">
        <f ca="1">IF(ISERROR(F836),"",IF(ISTEXT(VLOOKUP(B836,INDIRECT($F$8),6+(O845-1)*3)),11,IF(VLOOKUP(B836,INDIRECT($F$8),6+(O845-1)*3)&lt;S845*0.3,IF(VLOOKUP(B836,INDIRECT($F$8),8+(O845-1)*3)&lt;U845*0.4,IF(AND(0.4*U845-VLOOKUP(B836,INDIRECT($F$8),8+(O845-1)*3)&lt;=5,0.3*S845-VLOOKUP(B836,INDIRECT($F$8),6+(O845-1)*3)&lt;=5),MAX(0.4*U845-VLOOKUP(B836,INDIRECT($F$8),8+(O845-1)*3),0.3*S845-VLOOKUP(B836,INDIRECT($F$8),6+(O845-1)*3)),11),IF(0.3*S845-VLOOKUP(B836,INDIRECT($F$8),6+(O845-1)*3)&lt;=5,0.3*S845-VLOOKUP(B836,INDIRECT($F$8),6+(O845-1)*3),11)),IF(VLOOKUP(B836,INDIRECT($F$8),8+(O845-1)*3)&lt;U845*0.4,IF(U845*0.4-VLOOKUP(B836,INDIRECT($F$8),8+(O845-1)*3)&lt;=5,U845*0.4-VLOOKUP(B836,INDIRECT($F$8),8+(O845-1)*3),11),0))))</f>
        <v/>
      </c>
      <c r="X845" s="1" t="str">
        <f ca="1">IF(ISERROR(F836),"",IF(W845=0,"",_xlfn.TEXTJOIN("",FALSE," G+",W845," in ",A845)))</f>
        <v/>
      </c>
    </row>
    <row r="846" spans="1:24" ht="11.25" customHeight="1" x14ac:dyDescent="0.2">
      <c r="A846" s="7" t="str">
        <f ca="1">IF(ISERROR(F836),"",VLOOKUP(C836,INDIRECT($F$8),6+(O846-1)*3,0))</f>
        <v/>
      </c>
      <c r="B846" s="41" t="str">
        <f ca="1">IF(ISERROR(F836),"",VLOOKUP(D836,INDIRECT($F$8),6+(O846-1)*3,0))</f>
        <v/>
      </c>
      <c r="C846" s="41"/>
      <c r="D846" s="41"/>
      <c r="E846" s="41"/>
      <c r="F846" s="7" t="str">
        <f ca="1">IF(ISERROR(F836),"",VLOOKUP(E836,INDIRECT($F$8),6+(O846-1)*3,0))</f>
        <v/>
      </c>
      <c r="G846" s="42" t="str">
        <f ca="1">IF(ISERROR(F836),"",_xlfn.TEXTJOIN("/",FALSE,P846,S846))</f>
        <v/>
      </c>
      <c r="H846" s="42"/>
      <c r="I846" s="42" t="str">
        <f ca="1">IF(ISERROR(F836),"",_xlfn.TEXTJOIN("/",FALSE,Q846,T846))</f>
        <v/>
      </c>
      <c r="J846" s="42"/>
      <c r="K846" s="42" t="str">
        <f ca="1">IF(ISERROR(F836),"",_xlfn.TEXTJOIN("/",FALSE,R846,U846))</f>
        <v/>
      </c>
      <c r="L846" s="42"/>
      <c r="M846" s="7" t="str">
        <f ca="1">IF(ISERROR(F836),"",IF(ISTEXT(P846),IF(P846="A","Ab",IF(P846="D","Dt",IF(P846="UFM","UFM",IF(P846="NA","-")))),IF(AND(ISBLANK(P846),ISBLANK(R846)),"",IF(P846&lt;0.3*S846,"F",IF(ISBLANK(R846),"",IF(ISTEXT(R846),R846,IF(R846&gt;=0.95*U846,"O",IF(R846&gt;=0.9*U846,"A+",IF(R846&gt;=0.85*U846,"A",IF(R846&gt;=0.8*U846,"B+",IF(R846&gt;=0.75*U846,"B",IF(R846&gt;=0.7*U846,"C+",IF(R846&gt;=0.65*U846,"C",IF(R846&gt;=0.6*U846,"D+",IF(R846&gt;=0.55*U846,"D",IF(R846&gt;=0.5*U846,"E+",IF(R846&gt;=0.45*U846,"E",IF(R846&gt;=0.4*U846,"P",IF(R846&lt;0.4*U846,"F",R846)))))))))))))))))))</f>
        <v/>
      </c>
      <c r="N846" s="8" t="e">
        <f t="shared" ca="1" si="88"/>
        <v>#N/A</v>
      </c>
      <c r="O846">
        <f t="shared" si="89"/>
        <v>6</v>
      </c>
      <c r="P846" s="1" t="str">
        <f ca="1">IF(ISERROR(F836),"",IF(ISTEXT(VLOOKUP(B836,INDIRECT($F$8),6+(O846-1)*3)),(VLOOKUP(B836,INDIRECT($F$8),6+(O846-1)*3)),SUM(VLOOKUP(B836,INDIRECT($F$8),6+(O846-1)*3),IF(W855,W846,0))))</f>
        <v/>
      </c>
      <c r="Q846" s="1" t="str">
        <f ca="1">IF(ISERROR(F836),"",VLOOKUP(B836,INDIRECT($F$8),7+(O846-1)*3))</f>
        <v/>
      </c>
      <c r="R846" s="1" t="str">
        <f ca="1">IF(ISERROR(F836),"",SUM(P846:Q846))</f>
        <v/>
      </c>
      <c r="S846" s="1" t="str">
        <f ca="1">IF(ISERROR(F836),"",VLOOKUP(A836,INDIRECT($F$8),6+(O846-1)*3))</f>
        <v/>
      </c>
      <c r="T846" s="1" t="str">
        <f ca="1">IF(ISERROR(F836),"",VLOOKUP(A836,INDIRECT($F$8),7+(O846-1)*3))</f>
        <v/>
      </c>
      <c r="U846" s="1" t="str">
        <f ca="1">IF(ISERROR(F836),"",VLOOKUP(A836,INDIRECT($F$8),8+(O846-1)*3))</f>
        <v/>
      </c>
      <c r="V846" s="1" t="str">
        <f ca="1">IF(ISERROR(F836),"",IF(N846=0,A846,""))</f>
        <v/>
      </c>
      <c r="W846" s="1" t="str">
        <f ca="1">IF(ISERROR(F836),"",IF(ISTEXT(VLOOKUP(B836,INDIRECT($F$8),6+(O846-1)*3)),11,IF(VLOOKUP(B836,INDIRECT($F$8),6+(O846-1)*3)&lt;S846*0.3,IF(VLOOKUP(B836,INDIRECT($F$8),8+(O846-1)*3)&lt;U846*0.4,IF(AND(0.4*U846-VLOOKUP(B836,INDIRECT($F$8),8+(O846-1)*3)&lt;=5,0.3*S846-VLOOKUP(B836,INDIRECT($F$8),6+(O846-1)*3)&lt;=5),MAX(0.4*U846-VLOOKUP(B836,INDIRECT($F$8),8+(O846-1)*3),0.3*S846-VLOOKUP(B836,INDIRECT($F$8),6+(O846-1)*3)),11),IF(0.3*S846-VLOOKUP(B836,INDIRECT($F$8),6+(O846-1)*3)&lt;=5,0.3*S846-VLOOKUP(B836,INDIRECT($F$8),6+(O846-1)*3),11)),IF(VLOOKUP(B836,INDIRECT($F$8),8+(O846-1)*3)&lt;U846*0.4,IF(U846*0.4-VLOOKUP(B836,INDIRECT($F$8),8+(O846-1)*3)&lt;=5,U846*0.4-VLOOKUP(B836,INDIRECT($F$8),8+(O846-1)*3),11),0))))</f>
        <v/>
      </c>
      <c r="X846" s="1" t="str">
        <f ca="1">IF(ISERROR(F836),"",IF(W846=0,"",_xlfn.TEXTJOIN("",FALSE," G+",W846," in ",A846)))</f>
        <v/>
      </c>
    </row>
    <row r="847" spans="1:24" ht="11.25" customHeight="1" x14ac:dyDescent="0.2">
      <c r="A847" s="7" t="str">
        <f ca="1">IF(ISERROR(F836),"",VLOOKUP(C836,INDIRECT($F$8),6+(O847-1)*3,0))</f>
        <v/>
      </c>
      <c r="B847" s="41" t="str">
        <f ca="1">IF(ISERROR(F836),"",VLOOKUP(D836,INDIRECT($F$8),6+(O847-1)*3,0))</f>
        <v/>
      </c>
      <c r="C847" s="41"/>
      <c r="D847" s="41"/>
      <c r="E847" s="41"/>
      <c r="F847" s="7" t="str">
        <f ca="1">IF(ISERROR(F836),"",VLOOKUP(E836,INDIRECT($F$8),6+(O847-1)*3,0))</f>
        <v/>
      </c>
      <c r="G847" s="42" t="str">
        <f ca="1">IF(ISERROR(F836),"",_xlfn.TEXTJOIN("/",FALSE,P847,S847))</f>
        <v/>
      </c>
      <c r="H847" s="42"/>
      <c r="I847" s="42" t="str">
        <f ca="1">IF(ISERROR(F836),"",_xlfn.TEXTJOIN("/",FALSE,Q847,T847))</f>
        <v/>
      </c>
      <c r="J847" s="42"/>
      <c r="K847" s="42" t="str">
        <f ca="1">IF(ISERROR(F836),"",_xlfn.TEXTJOIN("/",FALSE,R847,U847))</f>
        <v/>
      </c>
      <c r="L847" s="42"/>
      <c r="M847" s="7" t="str">
        <f ca="1">IF(ISERROR(F836),"",IF(ISTEXT(P847),IF(P847="A","Ab",IF(P847="D","Dt",IF(P847="UFM","UFM",IF(P847="NA","-")))),IF(AND(ISBLANK(P847),ISBLANK(R847)),"",IF(P847&lt;0.3*S847,"F",IF(ISBLANK(R847),"",IF(ISTEXT(R847),R847,IF(R847&gt;=0.95*U847,"O",IF(R847&gt;=0.9*U847,"A+",IF(R847&gt;=0.85*U847,"A",IF(R847&gt;=0.8*U847,"B+",IF(R847&gt;=0.75*U847,"B",IF(R847&gt;=0.7*U847,"C+",IF(R847&gt;=0.65*U847,"C",IF(R847&gt;=0.6*U847,"D+",IF(R847&gt;=0.55*U847,"D",IF(R847&gt;=0.5*U847,"E+",IF(R847&gt;=0.45*U847,"E",IF(R847&gt;=0.4*U847,"P",IF(R847&lt;0.4*U847,"F",R847)))))))))))))))))))</f>
        <v/>
      </c>
      <c r="N847" s="8" t="e">
        <f t="shared" ca="1" si="88"/>
        <v>#N/A</v>
      </c>
      <c r="O847">
        <f t="shared" si="89"/>
        <v>7</v>
      </c>
      <c r="P847" s="1" t="str">
        <f ca="1">IF(ISERROR(F836),"",IF(ISTEXT(VLOOKUP(B836,INDIRECT($F$8),6+(O847-1)*3)),(VLOOKUP(B836,INDIRECT($F$8),6+(O847-1)*3)),SUM(VLOOKUP(B836,INDIRECT($F$8),6+(O847-1)*3),IF(W855,W847,0))))</f>
        <v/>
      </c>
      <c r="Q847" s="1" t="str">
        <f ca="1">IF(ISERROR(F836),"",VLOOKUP(B836,INDIRECT($F$8),7+(O847-1)*3))</f>
        <v/>
      </c>
      <c r="R847" s="1" t="str">
        <f ca="1">IF(ISERROR(F836),"",SUM(P847:Q847))</f>
        <v/>
      </c>
      <c r="S847" s="1" t="str">
        <f ca="1">IF(ISERROR(F836),"",VLOOKUP(A836,INDIRECT($F$8),6+(O847-1)*3))</f>
        <v/>
      </c>
      <c r="T847" s="1" t="str">
        <f ca="1">IF(ISERROR(F836),"",VLOOKUP(A836,INDIRECT($F$8),7+(O847-1)*3))</f>
        <v/>
      </c>
      <c r="U847" s="1" t="str">
        <f ca="1">IF(ISERROR(F836),"",VLOOKUP(A836,INDIRECT($F$8),8+(O847-1)*3))</f>
        <v/>
      </c>
      <c r="V847" s="1" t="str">
        <f ca="1">IF(ISERROR(F836),"",IF(N847=0,A847,""))</f>
        <v/>
      </c>
      <c r="W847" s="1" t="str">
        <f ca="1">IF(ISERROR(F836),"",IF(ISTEXT(VLOOKUP(B836,INDIRECT($F$8),6+(O847-1)*3)),11,IF(VLOOKUP(B836,INDIRECT($F$8),6+(O847-1)*3)&lt;S847*0.3,IF(VLOOKUP(B836,INDIRECT($F$8),8+(O847-1)*3)&lt;U847*0.4,IF(AND(0.4*U847-VLOOKUP(B836,INDIRECT($F$8),8+(O847-1)*3)&lt;=5,0.3*S847-VLOOKUP(B836,INDIRECT($F$8),6+(O847-1)*3)&lt;=5),MAX(0.4*U847-VLOOKUP(B836,INDIRECT($F$8),8+(O847-1)*3),0.3*S847-VLOOKUP(B836,INDIRECT($F$8),6+(O847-1)*3)),11),IF(0.3*S847-VLOOKUP(B836,INDIRECT($F$8),6+(O847-1)*3)&lt;=5,0.3*S847-VLOOKUP(B836,INDIRECT($F$8),6+(O847-1)*3),11)),IF(VLOOKUP(B836,INDIRECT($F$8),8+(O847-1)*3)&lt;U847*0.4,IF(U847*0.4-VLOOKUP(B836,INDIRECT($F$8),8+(O847-1)*3)&lt;=5,U847*0.4-VLOOKUP(B836,INDIRECT($F$8),8+(O847-1)*3),11),0))))</f>
        <v/>
      </c>
      <c r="X847" s="1" t="str">
        <f ca="1">IF(ISERROR(F836),"",IF(W847=0,"",_xlfn.TEXTJOIN("",FALSE," G+",W847," in ",A847)))</f>
        <v/>
      </c>
    </row>
    <row r="848" spans="1:24" ht="11.25" customHeight="1" x14ac:dyDescent="0.2">
      <c r="A848" s="7" t="str">
        <f ca="1">IF(ISERROR(F836),"",VLOOKUP(C836,INDIRECT($F$8),6+(O848-1)*3,0))</f>
        <v/>
      </c>
      <c r="B848" s="41" t="str">
        <f ca="1">IF(ISERROR(F836),"",VLOOKUP(D836,INDIRECT($F$8),6+(O848-1)*3,0))</f>
        <v/>
      </c>
      <c r="C848" s="41"/>
      <c r="D848" s="41"/>
      <c r="E848" s="41"/>
      <c r="F848" s="7" t="str">
        <f ca="1">IF(ISERROR(F836),"",VLOOKUP(E836,INDIRECT($F$8),6+(O848-1)*3,0))</f>
        <v/>
      </c>
      <c r="G848" s="42" t="str">
        <f ca="1">IF(ISERROR(F836),"",_xlfn.TEXTJOIN("/",FALSE,P848,S848))</f>
        <v/>
      </c>
      <c r="H848" s="42"/>
      <c r="I848" s="42" t="str">
        <f ca="1">IF(ISERROR(F836),"",_xlfn.TEXTJOIN("/",FALSE,Q848,T848))</f>
        <v/>
      </c>
      <c r="J848" s="42"/>
      <c r="K848" s="42" t="str">
        <f ca="1">IF(ISERROR(F836),"",_xlfn.TEXTJOIN("/",FALSE,R848,U848))</f>
        <v/>
      </c>
      <c r="L848" s="42"/>
      <c r="M848" s="7" t="str">
        <f ca="1">IF(ISERROR(F836),"",IF(ISTEXT(P848),IF(P848="A","Ab",IF(P848="D","Dt",IF(P848="UFM","UFM",IF(P848="NA","-")))),IF(AND(ISBLANK(P848),ISBLANK(R848)),"",IF(P848&lt;0.3*S848,"F",IF(ISBLANK(R848),"",IF(ISTEXT(R848),R848,IF(R848&gt;=0.95*U848,"O",IF(R848&gt;=0.9*U848,"A+",IF(R848&gt;=0.85*U848,"A",IF(R848&gt;=0.8*U848,"B+",IF(R848&gt;=0.75*U848,"B",IF(R848&gt;=0.7*U848,"C+",IF(R848&gt;=0.65*U848,"C",IF(R848&gt;=0.6*U848,"D+",IF(R848&gt;=0.55*U848,"D",IF(R848&gt;=0.5*U848,"E+",IF(R848&gt;=0.45*U848,"E",IF(R848&gt;=0.4*U848,"P",IF(R848&lt;0.4*U848,"F",R848)))))))))))))))))))</f>
        <v/>
      </c>
      <c r="N848" s="8" t="e">
        <f t="shared" ca="1" si="88"/>
        <v>#N/A</v>
      </c>
      <c r="O848">
        <f t="shared" si="89"/>
        <v>8</v>
      </c>
      <c r="P848" s="1" t="str">
        <f ca="1">IF(ISERROR(F836),"",IF(ISTEXT(VLOOKUP(B836,INDIRECT($F$8),6+(O848-1)*3)),(VLOOKUP(B836,INDIRECT($F$8),6+(O848-1)*3)),SUM(VLOOKUP(B836,INDIRECT($F$8),6+(O848-1)*3),IF(W855,W848,0))))</f>
        <v/>
      </c>
      <c r="Q848" s="1" t="str">
        <f ca="1">IF(ISERROR(F836),"",VLOOKUP(B836,INDIRECT($F$8),7+(O848-1)*3))</f>
        <v/>
      </c>
      <c r="R848" s="1" t="str">
        <f ca="1">IF(ISERROR(F836),"",SUM(P848:Q848))</f>
        <v/>
      </c>
      <c r="S848" s="1" t="str">
        <f ca="1">IF(ISERROR(F836),"",VLOOKUP(A836,INDIRECT($F$8),6+(O848-1)*3))</f>
        <v/>
      </c>
      <c r="T848" s="1" t="str">
        <f ca="1">IF(ISERROR(F836),"",VLOOKUP(A836,INDIRECT($F$8),7+(O848-1)*3))</f>
        <v/>
      </c>
      <c r="U848" s="1" t="str">
        <f ca="1">IF(ISERROR(F836),"",VLOOKUP(A836,INDIRECT($F$8),8+(O848-1)*3))</f>
        <v/>
      </c>
      <c r="V848" s="1" t="str">
        <f ca="1">IF(ISERROR(F836),"",IF(N848=0,A848,""))</f>
        <v/>
      </c>
      <c r="W848" s="1" t="str">
        <f ca="1">IF(ISERROR(F836),"",IF(ISTEXT(VLOOKUP(B836,INDIRECT($F$8),6+(O848-1)*3)),11,IF(VLOOKUP(B836,INDIRECT($F$8),6+(O848-1)*3)&lt;S848*0.3,IF(VLOOKUP(B836,INDIRECT($F$8),8+(O848-1)*3)&lt;U848*0.4,IF(AND(0.4*U848-VLOOKUP(B836,INDIRECT($F$8),8+(O848-1)*3)&lt;=5,0.3*S848-VLOOKUP(B836,INDIRECT($F$8),6+(O848-1)*3)&lt;=5),MAX(0.4*U848-VLOOKUP(B836,INDIRECT($F$8),8+(O848-1)*3),0.3*S848-VLOOKUP(B836,INDIRECT($F$8),6+(O848-1)*3)),11),IF(0.3*S848-VLOOKUP(B836,INDIRECT($F$8),6+(O848-1)*3)&lt;=5,0.3*S848-VLOOKUP(B836,INDIRECT($F$8),6+(O848-1)*3),11)),IF(VLOOKUP(B836,INDIRECT($F$8),8+(O848-1)*3)&lt;U848*0.4,IF(U848*0.4-VLOOKUP(B836,INDIRECT($F$8),8+(O848-1)*3)&lt;=5,U848*0.4-VLOOKUP(B836,INDIRECT($F$8),8+(O848-1)*3),11),0))))</f>
        <v/>
      </c>
      <c r="X848" s="1" t="str">
        <f ca="1">IF(ISERROR(F836),"",IF(W848=0,"",_xlfn.TEXTJOIN("",FALSE," G+",W848," in ",A848)))</f>
        <v/>
      </c>
    </row>
    <row r="849" spans="1:24" ht="11.25" customHeight="1" x14ac:dyDescent="0.2">
      <c r="A849" s="7" t="str">
        <f ca="1">IF(ISERROR(F836),"",VLOOKUP(C836,INDIRECT($F$8),6+(O849-1)*3,0))</f>
        <v/>
      </c>
      <c r="B849" s="41" t="str">
        <f ca="1">IF(ISERROR(F836),"",VLOOKUP(D836,INDIRECT($F$8),6+(O849-1)*3-Z849,0))</f>
        <v/>
      </c>
      <c r="C849" s="41"/>
      <c r="D849" s="41"/>
      <c r="E849" s="41"/>
      <c r="F849" s="7" t="str">
        <f ca="1">IF(ISERROR(F836),"",VLOOKUP(E836,INDIRECT($F$8),6+(O849-1)*3,0))</f>
        <v/>
      </c>
      <c r="G849" s="42" t="str">
        <f ca="1">IF(ISERROR(F836),"",_xlfn.TEXTJOIN("/",FALSE,P849,S849))</f>
        <v/>
      </c>
      <c r="H849" s="42"/>
      <c r="I849" s="42" t="str">
        <f ca="1">IF(ISERROR(F836),"",_xlfn.TEXTJOIN("/",FALSE,Q849,T849))</f>
        <v/>
      </c>
      <c r="J849" s="42"/>
      <c r="K849" s="42" t="str">
        <f ca="1">IF(ISERROR(F836),"",_xlfn.TEXTJOIN("/",FALSE,R849,U849))</f>
        <v/>
      </c>
      <c r="L849" s="42"/>
      <c r="M849" s="7" t="str">
        <f ca="1">IF(ISERROR(F836),"",IF(ISTEXT(P849),IF(P849="A","Ab",IF(P849="D","Dt",IF(P849="UFM","UFM",IF(P849="NA","-")))),IF(AND(ISBLANK(P849),ISBLANK(R849)),"",IF(P849&lt;0.3*S849,"F",IF(ISBLANK(R849),"",IF(ISTEXT(R849),R849,IF(R849&gt;=0.95*U849,"O",IF(R849&gt;=0.9*U849,"A+",IF(R849&gt;=0.85*U849,"A",IF(R849&gt;=0.8*U849,"B+",IF(R849&gt;=0.75*U849,"B",IF(R849&gt;=0.7*U849,"C+",IF(R849&gt;=0.65*U849,"C",IF(R849&gt;=0.6*U849,"D+",IF(R849&gt;=0.55*U849,"D",IF(R849&gt;=0.5*U849,"E+",IF(R849&gt;=0.45*U849,"E",IF(R849&gt;=0.4*U849,"P",IF(R849&lt;0.4*U849,"F",R849)))))))))))))))))))</f>
        <v/>
      </c>
      <c r="N849" s="8" t="e">
        <f t="shared" ca="1" si="88"/>
        <v>#N/A</v>
      </c>
      <c r="O849">
        <f t="shared" si="89"/>
        <v>9</v>
      </c>
      <c r="P849" s="1" t="str">
        <f ca="1">IF(ISERROR(F836),"",IF(ISTEXT(VLOOKUP(B836,INDIRECT($F$8),6+(O849-1)*3)),(VLOOKUP(B836,INDIRECT($F$8),6+(O849-1)*3)),SUM(VLOOKUP(B836,INDIRECT($F$8),6+(O849-1)*3),IF(W855,W849,0))))</f>
        <v/>
      </c>
      <c r="Q849" s="1" t="str">
        <f ca="1">IF(ISERROR(F836),"",VLOOKUP(B836,INDIRECT($F$8),7+(O849-1)*3))</f>
        <v/>
      </c>
      <c r="R849" s="1" t="str">
        <f ca="1">IF(ISERROR(F836),"",SUM(P849:Q849))</f>
        <v/>
      </c>
      <c r="S849" s="1" t="str">
        <f ca="1">IF(ISERROR(F836),"",VLOOKUP(A836,INDIRECT($F$8),6+(O849-1)*3))</f>
        <v/>
      </c>
      <c r="T849" s="1" t="str">
        <f ca="1">IF(ISERROR(F836),"",VLOOKUP(A836,INDIRECT($F$8),7+(O849-1)*3))</f>
        <v/>
      </c>
      <c r="U849" s="1" t="str">
        <f ca="1">IF(ISERROR(F836),"",VLOOKUP(A836,INDIRECT($F$8),8+(O849-1)*3))</f>
        <v/>
      </c>
      <c r="V849" s="1" t="str">
        <f ca="1">IF(ISERROR(F836),"",IF(N849=0,A849,""))</f>
        <v/>
      </c>
      <c r="W849" s="1" t="str">
        <f ca="1">IF(ISERROR(F836),"",IF(ISTEXT(VLOOKUP(B836,INDIRECT($F$8),6+(O849-1)*3)),11,IF(VLOOKUP(B836,INDIRECT($F$8),6+(O849-1)*3)&lt;S849*0.3,IF(VLOOKUP(B836,INDIRECT($F$8),8+(O849-1)*3)&lt;U849*0.4,IF(AND(0.4*U849-VLOOKUP(B836,INDIRECT($F$8),8+(O849-1)*3)&lt;=5,0.3*S849-VLOOKUP(B836,INDIRECT($F$8),6+(O849-1)*3)&lt;=5),MAX(0.4*U849-VLOOKUP(B836,INDIRECT($F$8),8+(O849-1)*3),0.3*S849-VLOOKUP(B836,INDIRECT($F$8),6+(O849-1)*3)),11),IF(0.3*S849-VLOOKUP(B836,INDIRECT($F$8),6+(O849-1)*3)&lt;=5,0.3*S849-VLOOKUP(B836,INDIRECT($F$8),6+(O849-1)*3),11)),IF(VLOOKUP(B836,INDIRECT($F$8),8+(O849-1)*3)&lt;U849*0.4,IF(U849*0.4-VLOOKUP(B836,INDIRECT($F$8),8+(O849-1)*3)&lt;=5,U849*0.4-VLOOKUP(B836,INDIRECT($F$8),8+(O849-1)*3),11),0))))</f>
        <v/>
      </c>
      <c r="X849" s="1" t="str">
        <f ca="1">IF(ISERROR(F836),"",IF(W849=0,"",_xlfn.TEXTJOIN("",FALSE," G+",W849," in ",A849)))</f>
        <v/>
      </c>
    </row>
    <row r="850" spans="1:24" ht="11.25" customHeight="1" x14ac:dyDescent="0.2">
      <c r="A850" s="7" t="str">
        <f ca="1">IF(ISERROR(F836),"",VLOOKUP(C836,INDIRECT($F$8),6+(O850-1)*3,0))</f>
        <v/>
      </c>
      <c r="B850" s="41" t="str">
        <f ca="1">IF(ISERROR(F836),"",VLOOKUP(D836,INDIRECT($F$8),6+(O850-1)*3-Z850,0))</f>
        <v/>
      </c>
      <c r="C850" s="41"/>
      <c r="D850" s="41"/>
      <c r="E850" s="41"/>
      <c r="F850" s="7" t="str">
        <f ca="1">IF(ISERROR(F836),"",VLOOKUP(E836,INDIRECT($F$8),6+(O850-1)*3,0))</f>
        <v/>
      </c>
      <c r="G850" s="42" t="str">
        <f ca="1">IF(ISERROR(F836),"",_xlfn.TEXTJOIN("/",FALSE,P850,S850))</f>
        <v/>
      </c>
      <c r="H850" s="42"/>
      <c r="I850" s="42" t="str">
        <f ca="1">IF(ISERROR(F836),"",_xlfn.TEXTJOIN("/",FALSE,Q850,T850))</f>
        <v/>
      </c>
      <c r="J850" s="42"/>
      <c r="K850" s="42" t="str">
        <f ca="1">IF(ISERROR(F836),"",_xlfn.TEXTJOIN("/",FALSE,R850,U850))</f>
        <v/>
      </c>
      <c r="L850" s="42"/>
      <c r="M850" s="7" t="str">
        <f ca="1">IF(ISERROR(F836),"",IF(ISTEXT(P850),IF(P850="A","Ab",IF(P850="D","Dt",IF(P850="UFM","UFM",IF(P850="NA","-")))),IF(AND(ISBLANK(P850),ISBLANK(R850)),"",IF(P850&lt;0.3*S850,"F",IF(ISBLANK(R850),"",IF(ISTEXT(R850),R850,IF(R850&gt;=0.95*U850,"O",IF(R850&gt;=0.9*U850,"A+",IF(R850&gt;=0.85*U850,"A",IF(R850&gt;=0.8*U850,"B+",IF(R850&gt;=0.75*U850,"B",IF(R850&gt;=0.7*U850,"C+",IF(R850&gt;=0.65*U850,"C",IF(R850&gt;=0.6*U850,"D+",IF(R850&gt;=0.55*U850,"D",IF(R850&gt;=0.5*U850,"E+",IF(R850&gt;=0.45*U850,"E",IF(R850&gt;=0.4*U850,"P",IF(R850&lt;0.4*U850,"F",R850)))))))))))))))))))</f>
        <v/>
      </c>
      <c r="N850" s="8" t="e">
        <f t="shared" ca="1" si="88"/>
        <v>#N/A</v>
      </c>
      <c r="O850">
        <f t="shared" si="89"/>
        <v>10</v>
      </c>
      <c r="P850" s="1" t="str">
        <f ca="1">IF(ISERROR(F836),"",IF(ISTEXT(VLOOKUP(B836,INDIRECT($F$8),6+(O850-1)*3)),(VLOOKUP(B836,INDIRECT($F$8),6+(O850-1)*3)),SUM(VLOOKUP(B836,INDIRECT($F$8),6+(O850-1)*3),IF(W855,W850,0))))</f>
        <v/>
      </c>
      <c r="Q850" s="1" t="str">
        <f ca="1">IF(ISERROR(F836),"",VLOOKUP(B836,INDIRECT($F$8),7+(O850-1)*3))</f>
        <v/>
      </c>
      <c r="R850" s="1" t="str">
        <f ca="1">IF(ISERROR(F836),"",SUM(P850:Q850))</f>
        <v/>
      </c>
      <c r="S850" s="1" t="str">
        <f ca="1">IF(ISERROR(F836),"",VLOOKUP(A836,INDIRECT($F$8),6+(O850-1)*3))</f>
        <v/>
      </c>
      <c r="T850" s="1" t="str">
        <f ca="1">IF(ISERROR(F836),"",VLOOKUP(A836,INDIRECT($F$8),7+(O850-1)*3))</f>
        <v/>
      </c>
      <c r="U850" s="1" t="str">
        <f ca="1">IF(ISERROR(F836),"",VLOOKUP(A836,INDIRECT($F$8),8+(O850-1)*3))</f>
        <v/>
      </c>
      <c r="V850" s="1" t="str">
        <f ca="1">IF(ISERROR(F836),"",IF(N850=0,A850,""))</f>
        <v/>
      </c>
      <c r="W850" s="1" t="str">
        <f ca="1">IF(ISERROR(F836),"",IF(ISTEXT(VLOOKUP(B836,INDIRECT($F$8),6+(O850-1)*3)),11,IF(VLOOKUP(B836,INDIRECT($F$8),6+(O850-1)*3)&lt;S850*0.3,IF(VLOOKUP(B836,INDIRECT($F$8),8+(O850-1)*3)&lt;U850*0.4,IF(AND(0.4*U850-VLOOKUP(B836,INDIRECT($F$8),8+(O850-1)*3)&lt;=5,0.3*S850-VLOOKUP(B836,INDIRECT($F$8),6+(O850-1)*3)&lt;=5),MAX(0.4*U850-VLOOKUP(B836,INDIRECT($F$8),8+(O850-1)*3),0.3*S850-VLOOKUP(B836,INDIRECT($F$8),6+(O850-1)*3)),11),IF(0.3*S850-VLOOKUP(B836,INDIRECT($F$8),6+(O850-1)*3)&lt;=5,0.3*S850-VLOOKUP(B836,INDIRECT($F$8),6+(O850-1)*3),11)),IF(VLOOKUP(B836,INDIRECT($F$8),8+(O850-1)*3)&lt;U850*0.4,IF(U850*0.4-VLOOKUP(B836,INDIRECT($F$8),8+(O850-1)*3)&lt;=5,U850*0.4-VLOOKUP(B836,INDIRECT($F$8),8+(O850-1)*3),11),0))))</f>
        <v/>
      </c>
      <c r="X850" s="1" t="str">
        <f ca="1">IF(ISERROR(F836),"",IF(W850=0,"",_xlfn.TEXTJOIN("",FALSE," G+",W850," in ",A850)))</f>
        <v/>
      </c>
    </row>
    <row r="851" spans="1:24" ht="11.25" customHeight="1" x14ac:dyDescent="0.2">
      <c r="A851" s="7" t="str">
        <f ca="1">IF(ISERROR(F836),"",VLOOKUP(C836,INDIRECT($F$8),6+(O851-1)*3,0))</f>
        <v/>
      </c>
      <c r="B851" s="41" t="str">
        <f ca="1">IF(ISERROR(F836),"",VLOOKUP(D836,INDIRECT($F$8),6+(O851-1)*3,0))</f>
        <v/>
      </c>
      <c r="C851" s="41"/>
      <c r="D851" s="41"/>
      <c r="E851" s="41"/>
      <c r="F851" s="7" t="str">
        <f ca="1">IF(ISERROR(F836),"",VLOOKUP(E836,INDIRECT($F$8),6+(O851-1)*3,0))</f>
        <v/>
      </c>
      <c r="G851" s="42" t="str">
        <f ca="1">IF(ISERROR(F836),"",_xlfn.TEXTJOIN("/",FALSE,P851,S851))</f>
        <v/>
      </c>
      <c r="H851" s="42"/>
      <c r="I851" s="42" t="str">
        <f ca="1">IF(ISERROR(F836),"",_xlfn.TEXTJOIN("/",FALSE,Q851,T851))</f>
        <v/>
      </c>
      <c r="J851" s="42"/>
      <c r="K851" s="42" t="str">
        <f ca="1">IF(ISERROR(F836),"",_xlfn.TEXTJOIN("/",FALSE,R851,U851))</f>
        <v/>
      </c>
      <c r="L851" s="42"/>
      <c r="M851" s="7" t="str">
        <f ca="1">IF(ISERROR(F836),"",IF(ISTEXT(P851),IF(P851="A","Ab",IF(P851="D","Dt",IF(P851="UFM","UFM",IF(P851="NA","-")))),IF(AND(ISBLANK(P851),ISBLANK(R851)),"",IF(P851&lt;0.3*S851,"F",IF(ISBLANK(R851),"",IF(ISTEXT(R851),R851,IF(R851&gt;=0.95*U851,"O",IF(R851&gt;=0.9*U851,"A+",IF(R851&gt;=0.85*U851,"A",IF(R851&gt;=0.8*U851,"B+",IF(R851&gt;=0.75*U851,"B",IF(R851&gt;=0.7*U851,"C+",IF(R851&gt;=0.65*U851,"C",IF(R851&gt;=0.6*U851,"D+",IF(R851&gt;=0.55*U851,"D",IF(R851&gt;=0.5*U851,"E+",IF(R851&gt;=0.45*U851,"E",IF(R851&gt;=0.4*U851,"P",IF(R851&lt;0.4*U851,"F",R851)))))))))))))))))))</f>
        <v/>
      </c>
      <c r="N851" s="8" t="e">
        <f t="shared" ca="1" si="88"/>
        <v>#N/A</v>
      </c>
      <c r="O851">
        <f t="shared" si="89"/>
        <v>11</v>
      </c>
      <c r="P851" s="1" t="str">
        <f ca="1">IF(ISERROR(F836),"",IF(ISTEXT(VLOOKUP(B836,INDIRECT($F$8),6+(O851-1)*3)),(VLOOKUP(B836,INDIRECT($F$8),6+(O851-1)*3)),SUM(VLOOKUP(B836,INDIRECT($F$8),6+(O851-1)*3),IF(W855,W851,0))))</f>
        <v/>
      </c>
      <c r="Q851" s="1" t="str">
        <f ca="1">IF(ISERROR(F836),"",VLOOKUP(B836,INDIRECT($F$8),7+(O851-1)*3))</f>
        <v/>
      </c>
      <c r="R851" s="1" t="str">
        <f ca="1">IF(ISERROR(F836),"",SUM(P851:Q851))</f>
        <v/>
      </c>
      <c r="S851" s="1" t="str">
        <f ca="1">IF(ISERROR(F836),"",VLOOKUP(A836,INDIRECT($F$8),6+(O851-1)*3))</f>
        <v/>
      </c>
      <c r="T851" s="1" t="str">
        <f ca="1">IF(ISERROR(F836),"",VLOOKUP(A836,INDIRECT($F$8),7+(O851-1)*3))</f>
        <v/>
      </c>
      <c r="U851" s="1" t="str">
        <f ca="1">IF(ISERROR(F836),"",VLOOKUP(A836,INDIRECT($F$8),8+(O851-1)*3))</f>
        <v/>
      </c>
      <c r="V851" s="1" t="str">
        <f ca="1">IF(ISERROR(F836),"",IF(N851=0,A851,""))</f>
        <v/>
      </c>
      <c r="W851" s="1" t="str">
        <f ca="1">IF(ISERROR(F836),"",IF(ISTEXT(VLOOKUP(B836,INDIRECT($F$8),6+(O851-1)*3)),11,IF(VLOOKUP(B836,INDIRECT($F$8),6+(O851-1)*3)&lt;S851*0.3,IF(VLOOKUP(B836,INDIRECT($F$8),8+(O851-1)*3)&lt;U851*0.4,IF(AND(0.4*U851-VLOOKUP(B836,INDIRECT($F$8),8+(O851-1)*3)&lt;=5,0.3*S851-VLOOKUP(B836,INDIRECT($F$8),6+(O851-1)*3)&lt;=5),MAX(0.4*U851-VLOOKUP(B836,INDIRECT($F$8),8+(O851-1)*3),0.3*S851-VLOOKUP(B836,INDIRECT($F$8),6+(O851-1)*3)),11),IF(0.3*S851-VLOOKUP(B836,INDIRECT($F$8),6+(O851-1)*3)&lt;=5,0.3*S851-VLOOKUP(B836,INDIRECT($F$8),6+(O851-1)*3),11)),IF(VLOOKUP(B836,INDIRECT($F$8),8+(O851-1)*3)&lt;U851*0.4,IF(U851*0.4-VLOOKUP(B836,INDIRECT($F$8),8+(O851-1)*3)&lt;=5,U851*0.4-VLOOKUP(B836,INDIRECT($F$8),8+(O851-1)*3),11),0))))</f>
        <v/>
      </c>
      <c r="X851" s="1" t="str">
        <f ca="1">IF(ISERROR(F836),"",IF(W851=0,"",_xlfn.TEXTJOIN("",FALSE," G+",W851," in ",A851)))</f>
        <v/>
      </c>
    </row>
    <row r="852" spans="1:24" ht="11.25" customHeight="1" x14ac:dyDescent="0.2">
      <c r="A852" s="7" t="str">
        <f ca="1">IF(ISERROR(F836),"",VLOOKUP(C836,INDIRECT($F$8),6+(O852-1)*3,0))</f>
        <v/>
      </c>
      <c r="B852" s="41" t="str">
        <f ca="1">IF(ISERROR(F836),"",VLOOKUP(D836,INDIRECT($F$8),6+(O852-1)*3,0))</f>
        <v/>
      </c>
      <c r="C852" s="41"/>
      <c r="D852" s="41"/>
      <c r="E852" s="41"/>
      <c r="F852" s="7" t="str">
        <f ca="1">IF(ISERROR(F836),"",VLOOKUP(E836,INDIRECT($F$8),6+(O852-1)*3,0))</f>
        <v/>
      </c>
      <c r="G852" s="42" t="str">
        <f ca="1">IF(ISERROR(F836),"",_xlfn.TEXTJOIN("/",FALSE,P852,S852))</f>
        <v/>
      </c>
      <c r="H852" s="42"/>
      <c r="I852" s="42" t="str">
        <f ca="1">IF(ISERROR(F836),"",_xlfn.TEXTJOIN("/",FALSE,Q852,T852))</f>
        <v/>
      </c>
      <c r="J852" s="42"/>
      <c r="K852" s="42" t="str">
        <f ca="1">IF(ISERROR(F836),"",_xlfn.TEXTJOIN("/",FALSE,R852,U852))</f>
        <v/>
      </c>
      <c r="L852" s="42"/>
      <c r="M852" s="7" t="str">
        <f ca="1">IF(ISERROR(F836),"",IF(ISTEXT(P852),IF(P852="A","Ab",IF(P852="D","Dt",IF(P852="UFM","UFM",IF(P852="NA","-")))),IF(AND(ISBLANK(P852),ISBLANK(R852)),"",IF(P852&lt;0.3*S852,"F",IF(ISBLANK(R852),"",IF(ISTEXT(R852),R852,IF(R852&gt;=0.95*U852,"O",IF(R852&gt;=0.9*U852,"A+",IF(R852&gt;=0.85*U852,"A",IF(R852&gt;=0.8*U852,"B+",IF(R852&gt;=0.75*U852,"B",IF(R852&gt;=0.7*U852,"C+",IF(R852&gt;=0.65*U852,"C",IF(R852&gt;=0.6*U852,"D+",IF(R852&gt;=0.55*U852,"D",IF(R852&gt;=0.5*U852,"E+",IF(R852&gt;=0.45*U852,"E",IF(R852&gt;=0.4*U852,"P",IF(R852&lt;0.4*U852,"F",R852)))))))))))))))))))</f>
        <v/>
      </c>
      <c r="N852" s="8" t="e">
        <f t="shared" ca="1" si="88"/>
        <v>#N/A</v>
      </c>
      <c r="O852">
        <f t="shared" si="89"/>
        <v>12</v>
      </c>
      <c r="P852" s="1" t="str">
        <f ca="1">IF(ISERROR(F836),"",IF(ISTEXT(VLOOKUP(B836,INDIRECT($F$8),6+(O852-1)*3)),(VLOOKUP(B836,INDIRECT($F$8),6+(O852-1)*3)),SUM(VLOOKUP(B836,INDIRECT($F$8),6+(O852-1)*3),IF(W855,W852,0))))</f>
        <v/>
      </c>
      <c r="Q852" s="1" t="str">
        <f ca="1">IF(ISERROR(F836),"",VLOOKUP(B836,INDIRECT($F$8),7+(O852-1)*3))</f>
        <v/>
      </c>
      <c r="R852" s="1" t="str">
        <f ca="1">IF(ISERROR(F836),"",SUM(P852:Q852))</f>
        <v/>
      </c>
      <c r="S852" s="1" t="str">
        <f ca="1">IF(ISERROR(F836),"",VLOOKUP(A836,INDIRECT($F$8),6+(O852-1)*3))</f>
        <v/>
      </c>
      <c r="T852" s="1" t="str">
        <f ca="1">IF(ISERROR(F836),"",VLOOKUP(A836,INDIRECT($F$8),7+(O852-1)*3))</f>
        <v/>
      </c>
      <c r="U852" s="1" t="str">
        <f ca="1">IF(ISERROR(F836),"",VLOOKUP(A836,INDIRECT($F$8),8+(O852-1)*3))</f>
        <v/>
      </c>
      <c r="V852" s="1" t="str">
        <f ca="1">IF(ISERROR(F836),"",IF(N852=0,A852,""))</f>
        <v/>
      </c>
      <c r="W852" s="1" t="str">
        <f ca="1">IF(ISERROR(F836),"",IF(ISTEXT(VLOOKUP(B836,INDIRECT($F$8),6+(O852-1)*3)),11,IF(VLOOKUP(B836,INDIRECT($F$8),6+(O852-1)*3)&lt;S852*0.3,IF(VLOOKUP(B836,INDIRECT($F$8),8+(O852-1)*3)&lt;U852*0.4,IF(AND(0.4*U852-VLOOKUP(B836,INDIRECT($F$8),8+(O852-1)*3)&lt;=5,0.3*S852-VLOOKUP(B836,INDIRECT($F$8),6+(O852-1)*3)&lt;=5),MAX(0.4*U852-VLOOKUP(B836,INDIRECT($F$8),8+(O852-1)*3),0.3*S852-VLOOKUP(B836,INDIRECT($F$8),6+(O852-1)*3)),11),IF(0.3*S852-VLOOKUP(B836,INDIRECT($F$8),6+(O852-1)*3)&lt;=5,0.3*S852-VLOOKUP(B836,INDIRECT($F$8),6+(O852-1)*3),11)),IF(VLOOKUP(B836,INDIRECT($F$8),8+(O852-1)*3)&lt;U852*0.4,IF(U852*0.4-VLOOKUP(B836,INDIRECT($F$8),8+(O852-1)*3)&lt;=5,U852*0.4-VLOOKUP(B836,INDIRECT($F$8),8+(O852-1)*3),11),0))))</f>
        <v/>
      </c>
      <c r="X852" s="1" t="str">
        <f ca="1">IF(ISERROR(F836),"",IF(W852=0,"",_xlfn.TEXTJOIN("",FALSE," G+",W852," in ",A852)))</f>
        <v/>
      </c>
    </row>
    <row r="853" spans="1:24" ht="11.25" customHeight="1" x14ac:dyDescent="0.2">
      <c r="A853" s="7" t="str">
        <f ca="1">IF(ISERROR(F836),"",VLOOKUP(C836,INDIRECT($F$8),6+(O853-1)*3,0))</f>
        <v/>
      </c>
      <c r="B853" s="41" t="str">
        <f ca="1">IF(ISERROR(F836),"",VLOOKUP(D836,INDIRECT($F$8),6+(O853-1)*3,0))</f>
        <v/>
      </c>
      <c r="C853" s="41"/>
      <c r="D853" s="41"/>
      <c r="E853" s="41"/>
      <c r="F853" s="7" t="str">
        <f ca="1">IF(ISERROR(F836),"",VLOOKUP(E836,INDIRECT($F$8),6+(O853-1)*3,0))</f>
        <v/>
      </c>
      <c r="G853" s="42" t="str">
        <f ca="1">IF(ISERROR(F836),"",_xlfn.TEXTJOIN("/",FALSE,P853,S853))</f>
        <v/>
      </c>
      <c r="H853" s="42"/>
      <c r="I853" s="42" t="str">
        <f ca="1">IF(ISERROR(F836),"",_xlfn.TEXTJOIN("/",FALSE,Q853,T853))</f>
        <v/>
      </c>
      <c r="J853" s="42"/>
      <c r="K853" s="42" t="str">
        <f ca="1">IF(ISERROR(F836),"",_xlfn.TEXTJOIN("/",FALSE,R853,U853))</f>
        <v/>
      </c>
      <c r="L853" s="42"/>
      <c r="M853" s="7" t="str">
        <f ca="1">IF(ISERROR(F836),"",IF(ISTEXT(P853),IF(P853="A","Ab",IF(P853="D","Dt",IF(P853="UFM","UFM",IF(P853="NA","-")))),IF(AND(ISBLANK(P853),ISBLANK(R853)),"",IF(P853&lt;0.3*S853,"F",IF(ISBLANK(R853),"",IF(ISTEXT(R853),R853,IF(R853&gt;=0.95*U853,"O",IF(R853&gt;=0.9*U853,"A+",IF(R853&gt;=0.85*U853,"A",IF(R853&gt;=0.8*U853,"B+",IF(R853&gt;=0.75*U853,"B",IF(R853&gt;=0.7*U853,"C+",IF(R853&gt;=0.65*U853,"C",IF(R853&gt;=0.6*U853,"D+",IF(R853&gt;=0.55*U853,"D",IF(R853&gt;=0.5*U853,"E+",IF(R853&gt;=0.45*U853,"E",IF(R853&gt;=0.4*U853,"P",IF(R853&lt;0.4*U853,"F",R853)))))))))))))))))))</f>
        <v/>
      </c>
      <c r="N853" s="8" t="e">
        <f t="shared" ca="1" si="88"/>
        <v>#N/A</v>
      </c>
      <c r="O853">
        <f t="shared" si="89"/>
        <v>13</v>
      </c>
      <c r="P853" s="1" t="str">
        <f ca="1">IF(ISERROR(F836),"",IF(ISTEXT(VLOOKUP(B836,INDIRECT($F$8),6+(O853-1)*3)),(VLOOKUP(B836,INDIRECT($F$8),6+(O853-1)*3)),SUM(VLOOKUP(B836,INDIRECT($F$8),6+(O853-1)*3),IF(W855,W853,0))))</f>
        <v/>
      </c>
      <c r="Q853" s="1" t="str">
        <f ca="1">IF(ISERROR(F836),"",VLOOKUP(B836,INDIRECT($F$8),7+(O853-1)*3))</f>
        <v/>
      </c>
      <c r="R853" s="1" t="str">
        <f ca="1">IF(ISERROR(F836),"",SUM(P853:Q853))</f>
        <v/>
      </c>
      <c r="S853" s="1" t="str">
        <f ca="1">IF(ISERROR(F836),"",VLOOKUP(A836,INDIRECT($F$8),6+(O853-1)*3))</f>
        <v/>
      </c>
      <c r="T853" s="1" t="str">
        <f ca="1">IF(ISERROR(F836),"",VLOOKUP(A836,INDIRECT($F$8),7+(O853-1)*3))</f>
        <v/>
      </c>
      <c r="U853" s="1" t="str">
        <f ca="1">IF(ISERROR(F836),"",VLOOKUP(A836,INDIRECT($F$8),8+(O853-1)*3))</f>
        <v/>
      </c>
      <c r="V853" s="1"/>
      <c r="W853" s="1" t="str">
        <f ca="1">IF(ISERROR(F836),"",IF(ISTEXT(VLOOKUP(B836,INDIRECT($F$8),6+(O853-1)*3)),11,IF(VLOOKUP(B836,INDIRECT($F$8),6+(O853-1)*3)&lt;S853*0.3,IF(VLOOKUP(B836,INDIRECT($F$8),8+(O853-1)*3)&lt;U853*0.4,IF(AND(0.4*U853-VLOOKUP(B836,INDIRECT($F$8),8+(O853-1)*3)&lt;=5,0.3*S853-VLOOKUP(B836,INDIRECT($F$8),6+(O853-1)*3)&lt;=5),MAX(0.4*U853-VLOOKUP(B836,INDIRECT($F$8),8+(O853-1)*3),0.3*S853-VLOOKUP(B836,INDIRECT($F$8),6+(O853-1)*3)),11),IF(0.3*S853-VLOOKUP(B836,INDIRECT($F$8),6+(O853-1)*3)&lt;=5,0.3*S853-VLOOKUP(B836,INDIRECT($F$8),6+(O853-1)*3),11)),IF(VLOOKUP(B836,INDIRECT($F$8),8+(O853-1)*3)&lt;U853*0.4,IF(U853*0.4-VLOOKUP(B836,INDIRECT($F$8),8+(O853-1)*3)&lt;=5,U853*0.4-VLOOKUP(B836,INDIRECT($F$8),8+(O853-1)*3),11),0))))</f>
        <v/>
      </c>
      <c r="X853" s="1" t="str">
        <f ca="1">IF(ISERROR(F836),"",IF(W853=0,"",_xlfn.TEXTJOIN("",FALSE," G+",W853," in ",A853)))</f>
        <v/>
      </c>
    </row>
    <row r="854" spans="1:24" s="32" customFormat="1" ht="11.25" customHeight="1" x14ac:dyDescent="0.2">
      <c r="A854" s="31" t="str">
        <f ca="1">IF(ISERROR(F836),"",VLOOKUP(C836,INDIRECT($F$8),6+(O854-1)*3-Y854,0))</f>
        <v/>
      </c>
      <c r="B854" s="49" t="str">
        <f ca="1">IF(ISERROR(F836),"",VLOOKUP(D836,INDIRECT($F$8),6+(O854-1)*3-Z854,0))</f>
        <v/>
      </c>
      <c r="C854" s="49"/>
      <c r="D854" s="49"/>
      <c r="E854" s="49"/>
      <c r="F854" s="31" t="str">
        <f ca="1">IF(ISERROR(F836),"",VLOOKUP(E836,INDIRECT($F$8),6+(O854-1)*3-AA854,0))</f>
        <v/>
      </c>
      <c r="G854" s="50" t="str">
        <f ca="1">IF(ISERROR(F836),"","-")</f>
        <v/>
      </c>
      <c r="H854" s="50"/>
      <c r="I854" s="50" t="str">
        <f ca="1">IF(ISERROR(F836),"",_xlfn.TEXTJOIN("/",FALSE,Q854,T854))</f>
        <v/>
      </c>
      <c r="J854" s="50"/>
      <c r="K854" s="50" t="str">
        <f ca="1">IF(ISERROR(F836),"",_xlfn.TEXTJOIN("/",FALSE,R854,U854))</f>
        <v/>
      </c>
      <c r="L854" s="50"/>
      <c r="M854" s="7" t="b">
        <f ca="1">IF(ISERROR(F837),"",IF(ISTEXT(P854),IF(P854="A","Ab",IF(P854="D","Dt",IF(P854="UFM","UFM",IF(P854="NA","")))),IF(AND(ISBLANK(P854),ISBLANK(R854)),"",IF(P854&lt;0.3*S854,"F",IF(ISBLANK(R854),"",IF(ISTEXT(R854),R854,IF(R854&gt;=0.95*U854,"O",IF(R854&gt;=0.9*U854,"A+",IF(R854&gt;=0.85*U854,"A",IF(R854&gt;=0.8*U854,"B+",IF(R854&gt;=0.75*U854,"B",IF(R854&gt;=0.7*U854,"C+",IF(R854&gt;=0.65*U854,"C",IF(R854&gt;=0.6*U854,"D+",IF(R854&gt;=0.55*U854,"D",IF(R854&gt;=0.5*U854,"E+",IF(R854&gt;=0.45*U854,"E",IF(R854&gt;=0.4*U854,"P",IF(R854&lt;0.4*U854,"F",R854)))))))))))))))))))</f>
        <v>0</v>
      </c>
      <c r="N854" s="8" t="e">
        <f t="shared" ref="N843:N854" ca="1" si="90">INDEX($Z$2:$Z$18,MATCH(M854,$Y$2:$Y$18,0))</f>
        <v>#N/A</v>
      </c>
      <c r="O854" s="32">
        <f t="shared" si="89"/>
        <v>14</v>
      </c>
      <c r="P854" s="33" t="str">
        <f ca="1">IF(ISERROR(F836),"",IF(ISTEXT(VLOOKUP(B\28,INDIRECT($F$8),6+(O854-1)*3)),(VLOOKUP(B836,INDIRECT($F$8),6+(O854-1)*3)),SUM(VLOOKUP(B836,INDIRECT($F$8),6+(O854-1)*3),IF(W855,W854,0))))</f>
        <v/>
      </c>
      <c r="Q854" s="33" t="str">
        <f ca="1">IF(ISERROR(F836),"",VLOOKUP(B836,INDIRECT($F$8),7+(O854-1)*3))</f>
        <v/>
      </c>
      <c r="R854" s="33" t="str">
        <f ca="1">IF(ISERROR(F836),"",SUM(P854:Q854))</f>
        <v/>
      </c>
      <c r="S854" s="33" t="str">
        <f ca="1">IF(ISERROR(F836),"",VLOOKUP(A836,INDIRECT($F$8),6+(O854-1)*3))</f>
        <v/>
      </c>
      <c r="T854" s="33" t="str">
        <f ca="1">IF(ISERROR(F836),"",VLOOKUP(A836,INDIRECT($F$8),7+(O854-1)*3))</f>
        <v/>
      </c>
      <c r="U854" s="33" t="str">
        <f ca="1">IF(ISERROR(F836),"",VLOOKUP(A836,INDIRECT($F$8),8+(O854-1)*3))</f>
        <v/>
      </c>
      <c r="V854" s="33"/>
      <c r="W854" s="33"/>
      <c r="X854" s="33" t="str">
        <f ca="1">IF(ISERROR(F836),"",IF(W854=0,"",_xlfn.TEXTJOIN("",FALSE," G+",W854," in ",A854)))</f>
        <v/>
      </c>
    </row>
    <row r="855" spans="1:24" ht="11.25" customHeight="1" x14ac:dyDescent="0.2">
      <c r="A855" s="43" t="str">
        <f ca="1">IF(ISERROR(F836),"",A832)</f>
        <v/>
      </c>
      <c r="B855" s="43"/>
      <c r="C855" s="43"/>
      <c r="D855" s="43"/>
      <c r="E855" s="43"/>
      <c r="F855" s="10" t="str">
        <f ca="1">IF(ISERROR(F836),"",SUM(F841:F854))</f>
        <v/>
      </c>
      <c r="G855" s="44" t="str">
        <f ca="1">IF(ISERROR(F836),"",_xlfn.TEXTJOIN("/",TRUE,SUMIF(F841:F854,"&gt;0",P841:P854),SUMIF(F841:F854,"&gt;0",S841:S854)))</f>
        <v/>
      </c>
      <c r="H855" s="44"/>
      <c r="I855" s="44" t="str">
        <f ca="1">IF(ISERROR(F836),"",_xlfn.TEXTJOIN("/",TRUE,SUMIF(F841:F854,"&gt;0",Q841:Q854),SUMIF(F841:F854,"&gt;0",T841:T854)))</f>
        <v/>
      </c>
      <c r="J855" s="44"/>
      <c r="K855" s="44" t="str">
        <f ca="1">IF(ISERROR(F836),"",_xlfn.TEXTJOIN("/",TRUE,SUMIF(F841:F854,"&gt;0",R841:R854),SUMIF(F841:F854,"&gt;0",U841:U854)))</f>
        <v/>
      </c>
      <c r="L855" s="44"/>
      <c r="M855" s="43" t="str">
        <f ca="1">IF(ISERROR(F836),"",SUMPRODUCT(N841:N853,F841:F853))</f>
        <v/>
      </c>
      <c r="N855" s="43"/>
      <c r="V855" s="1" t="str">
        <f ca="1">IF(ISERROR(F836),"",_xlfn.TEXTJOIN(", ",TRUE,V841:V854))</f>
        <v/>
      </c>
      <c r="W855" t="str">
        <f ca="1">IF(ISERROR(F836),"",IF(SUM(W841:W854)&lt;=W840,TRUE,FALSE))</f>
        <v/>
      </c>
      <c r="X855" s="1" t="str">
        <f ca="1">_xlfn.TEXTJOIN(",",TRUE,X841:X854)</f>
        <v/>
      </c>
    </row>
    <row r="856" spans="1:24" ht="11.25" customHeight="1" x14ac:dyDescent="0.2">
      <c r="A856" s="43" t="str">
        <f ca="1">IF(ISERROR(F836),"",A833)</f>
        <v/>
      </c>
      <c r="B856" s="45" t="str">
        <f ca="1">IF(ISERROR(F836),"",IF(V855="","PASS","CARRY OVER"))</f>
        <v/>
      </c>
      <c r="C856" s="45"/>
      <c r="D856" s="43" t="str">
        <f ca="1">IF(ISERROR(F836),"",D833)</f>
        <v/>
      </c>
      <c r="E856" s="45" t="str">
        <f ca="1">IF(ISERROR(F836),"",IF(W855,X855,IF(V855="","",_xlfn.TEXTJOIN("",TRUE,"BACK IN ",V855))))</f>
        <v/>
      </c>
      <c r="F856" s="45"/>
      <c r="G856" s="43" t="str">
        <f ca="1">IF(ISERROR(F836),"",G833)</f>
        <v/>
      </c>
      <c r="H856" s="46" t="str">
        <f ca="1">IF(ISERROR(F836),"",M855/F855)</f>
        <v/>
      </c>
      <c r="I856" s="43" t="str">
        <f ca="1">IF(ISERROR(F836),"",I833)</f>
        <v/>
      </c>
      <c r="J856" s="46" t="str">
        <f ca="1">IF(ISERROR(F836),"",VLOOKUP(B836,INDIRECT($F$8),12+(O854-1)*3,0))</f>
        <v/>
      </c>
      <c r="K856" s="45" t="str">
        <f ca="1">IF(ISERROR(F836),"",K833)</f>
        <v/>
      </c>
      <c r="L856" s="43" t="str">
        <f ca="1">IF(ISERROR(F836),"",SUMIF(N841:N853,"&gt;0",F841:F853))</f>
        <v/>
      </c>
      <c r="M856" s="45" t="str">
        <f ca="1">IF(ISERROR(F836),"",M833)</f>
        <v/>
      </c>
      <c r="N856" s="43" t="str">
        <f ca="1">IF(ISERROR(F836),"",VLOOKUP(B836,INDIRECT($F$8),10+(O854-1)*3,0))</f>
        <v/>
      </c>
    </row>
    <row r="857" spans="1:24" ht="11.25" customHeight="1" x14ac:dyDescent="0.2">
      <c r="A857" s="43"/>
      <c r="B857" s="45"/>
      <c r="C857" s="45"/>
      <c r="D857" s="43"/>
      <c r="E857" s="45"/>
      <c r="F857" s="45"/>
      <c r="G857" s="43"/>
      <c r="H857" s="46"/>
      <c r="I857" s="43"/>
      <c r="J857" s="46"/>
      <c r="K857" s="45"/>
      <c r="L857" s="43"/>
      <c r="M857" s="45"/>
      <c r="N857" s="43"/>
    </row>
    <row r="858" spans="1:24" ht="11.25" customHeight="1" x14ac:dyDescent="0.2">
      <c r="A858" s="43"/>
      <c r="B858" s="45"/>
      <c r="C858" s="45"/>
      <c r="D858" s="43"/>
      <c r="E858" s="45"/>
      <c r="F858" s="45"/>
      <c r="G858" s="43"/>
      <c r="H858" s="46"/>
      <c r="I858" s="43"/>
      <c r="J858" s="46"/>
      <c r="K858" s="45"/>
      <c r="L858" s="43"/>
      <c r="M858" s="45"/>
      <c r="N858" s="43"/>
    </row>
    <row r="859" spans="1:24" ht="11.25" customHeight="1" x14ac:dyDescent="0.2">
      <c r="A859" s="11" t="str">
        <f>A836</f>
        <v>MM</v>
      </c>
      <c r="B859" s="11">
        <f>B836+1</f>
        <v>38</v>
      </c>
      <c r="C859" s="11" t="str">
        <f>C836</f>
        <v>SC</v>
      </c>
      <c r="D859" s="11" t="str">
        <f>D836</f>
        <v>SN</v>
      </c>
      <c r="E859" s="11" t="str">
        <f>E836</f>
        <v>C</v>
      </c>
      <c r="F859" s="11" t="e">
        <f ca="1">VLOOKUP(B859,INDIRECT($F$8),4,0)</f>
        <v>#N/A</v>
      </c>
    </row>
    <row r="860" spans="1:24" ht="11.25" customHeight="1" x14ac:dyDescent="0.2">
      <c r="A860" s="47" t="str">
        <f ca="1">IF(ISERROR(F859),"",A837)</f>
        <v/>
      </c>
      <c r="B860" s="47" t="str">
        <f ca="1">IFERROR(VLOOKUP(B859,INDIRECT($F$8),4,0),"")</f>
        <v/>
      </c>
      <c r="C860" s="47"/>
      <c r="D860" s="47" t="str">
        <f ca="1">IF(ISERROR(F859),"",D837)</f>
        <v/>
      </c>
      <c r="E860" s="47" t="str">
        <f ca="1">IFERROR(VLOOKUP(B859,INDIRECT($F$8),5,0),"")</f>
        <v/>
      </c>
      <c r="F860" s="47"/>
      <c r="G860" s="47" t="str">
        <f ca="1">IF(ISERROR(F859),"",G837)</f>
        <v/>
      </c>
      <c r="H860" s="47"/>
      <c r="I860" s="48" t="str">
        <f ca="1">IFERROR(VLOOKUP(B859,INDIRECT($F$8),2,0),"")</f>
        <v/>
      </c>
      <c r="J860" s="48"/>
      <c r="K860" s="47" t="str">
        <f ca="1">IF(ISERROR(F859),"",K837)</f>
        <v/>
      </c>
      <c r="L860" s="47"/>
      <c r="M860" s="48" t="str">
        <f ca="1">IFERROR(VLOOKUP(B859,INDIRECT($F$8),3,0),"")</f>
        <v/>
      </c>
      <c r="N860" s="48"/>
    </row>
    <row r="861" spans="1:24" ht="11.25" customHeight="1" x14ac:dyDescent="0.2">
      <c r="A861" s="47"/>
      <c r="B861" s="47"/>
      <c r="C861" s="47"/>
      <c r="D861" s="47"/>
      <c r="E861" s="47"/>
      <c r="F861" s="47"/>
      <c r="G861" s="47"/>
      <c r="H861" s="47"/>
      <c r="I861" s="48"/>
      <c r="J861" s="48"/>
      <c r="K861" s="47"/>
      <c r="L861" s="47"/>
      <c r="M861" s="48"/>
      <c r="N861" s="48"/>
    </row>
    <row r="862" spans="1:24" ht="11.25" customHeight="1" x14ac:dyDescent="0.2">
      <c r="A862" s="45" t="str">
        <f ca="1">IF(ISERROR(F859),"",A839)</f>
        <v/>
      </c>
      <c r="B862" s="45" t="str">
        <f ca="1">IF(ISERROR(F859),"",B839)</f>
        <v/>
      </c>
      <c r="C862" s="45"/>
      <c r="D862" s="45"/>
      <c r="E862" s="45"/>
      <c r="F862" s="45" t="str">
        <f ca="1">IF(ISERROR(F859),"",F839)</f>
        <v/>
      </c>
      <c r="G862" s="45" t="str">
        <f ca="1">IF(ISERROR(F859),"",G839)</f>
        <v/>
      </c>
      <c r="H862" s="45"/>
      <c r="I862" s="45" t="str">
        <f ca="1">IF(ISERROR(F859),"",I839)</f>
        <v/>
      </c>
      <c r="J862" s="45"/>
      <c r="K862" s="45" t="str">
        <f ca="1">IF(ISERROR(F859),"",K839)</f>
        <v/>
      </c>
      <c r="L862" s="45"/>
      <c r="M862" s="45" t="str">
        <f ca="1">IF(ISERROR(F859),"",M839)</f>
        <v/>
      </c>
      <c r="N862" s="45" t="str">
        <f ca="1">IF(ISERROR(F859),"",N839)</f>
        <v/>
      </c>
    </row>
    <row r="863" spans="1:24" ht="11.25" customHeight="1" x14ac:dyDescent="0.2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W863">
        <f ca="1">IF(ISNUMBER(MATCH($F$8,{"I","III","V","VII"},0)),10,10-INDEX(INDIRECT(_xlfn.TEXTJOIN("",TRUE,"SEM_",$G$8,"!",ADDRESS(6,4+$I$8*3+4),":",ADDRESS(5+$H$8,4+$I$8*3+4))),MATCH(INDIRECT(_xlfn.TEXTJOIN("",TRUE,"TC_",$F$8,"!",ADDRESS(ROW(I860),COLUMN(I860)))),INDIRECT(_xlfn.TEXTJOIN("",TRUE,"SEM_",$G$8,"!",ADDRESS(6,2),":",ADDRESS(5+$H$8,2))))))</f>
        <v>10</v>
      </c>
    </row>
    <row r="864" spans="1:24" ht="11.25" customHeight="1" x14ac:dyDescent="0.2">
      <c r="A864" s="7" t="str">
        <f ca="1">IF(ISERROR(F859),"",VLOOKUP(C859,INDIRECT($F$8),6+(O864-1)*3,0))</f>
        <v/>
      </c>
      <c r="B864" s="41" t="str">
        <f ca="1">IF(ISERROR(F859),"",VLOOKUP(D859,INDIRECT($F$8),6+(O864-1)*3,0))</f>
        <v/>
      </c>
      <c r="C864" s="41"/>
      <c r="D864" s="41"/>
      <c r="E864" s="41"/>
      <c r="F864" s="7" t="str">
        <f ca="1">IF(ISERROR(F859),"",VLOOKUP(E859,INDIRECT($F$8),6+(O864-1)*3,0))</f>
        <v/>
      </c>
      <c r="G864" s="42" t="str">
        <f ca="1">IF(ISERROR(F859),"",_xlfn.TEXTJOIN("/",FALSE,P864,S864))</f>
        <v/>
      </c>
      <c r="H864" s="42"/>
      <c r="I864" s="42" t="str">
        <f ca="1">IF(ISERROR(F859),"",_xlfn.TEXTJOIN("/",FALSE,Q864,T864))</f>
        <v/>
      </c>
      <c r="J864" s="42"/>
      <c r="K864" s="42" t="str">
        <f ca="1">IF(ISERROR(F859),"",_xlfn.TEXTJOIN("/",FALSE,R864,U864))</f>
        <v/>
      </c>
      <c r="L864" s="42"/>
      <c r="M864" s="7" t="str">
        <f ca="1">IF(ISERROR(F859),"",IF(ISTEXT(P864),IF(P864="A","Ab",IF(P864="D","Dt",IF(P864="UFM","UFM",IF(P864="NA","-")))),IF(AND(ISBLANK(P864),ISBLANK(R864)),"",IF(P864&lt;0.3*S864,"F",IF(ISBLANK(R864),"",IF(ISTEXT(R864),R864,IF(R864&gt;=0.95*U864,"O",IF(R864&gt;=0.9*U864,"A+",IF(R864&gt;=0.85*U864,"A",IF(R864&gt;=0.8*U864,"B+",IF(R864&gt;=0.75*U864,"B",IF(R864&gt;=0.7*U864,"C+",IF(R864&gt;=0.65*U864,"C",IF(R864&gt;=0.6*U864,"D+",IF(R864&gt;=0.55*U864,"D",IF(R864&gt;=0.5*U864,"E+",IF(R864&gt;=0.45*U864,"E",IF(R864&gt;=0.4*U864,"P",IF(R864&lt;0.4*U864,"F",R864)))))))))))))))))))</f>
        <v/>
      </c>
      <c r="N864" s="8" t="e">
        <f ca="1">INDEX($Z$2:$Z$18,MATCH(M864,$Y$2:$Y$18,0))</f>
        <v>#N/A</v>
      </c>
      <c r="O864">
        <v>1</v>
      </c>
      <c r="P864" s="1" t="str">
        <f ca="1">IF(ISERROR(F859),"",IF(ISTEXT(VLOOKUP(B859,INDIRECT($F$8),6+(O864-1)*3)),(VLOOKUP(B859,INDIRECT($F$8),6+(O864-1)*3)),SUM(VLOOKUP(B859,INDIRECT($F$8),6+(O864-1)*3),IF(W878,W864,0))))</f>
        <v/>
      </c>
      <c r="Q864" s="1" t="str">
        <f ca="1">IF(ISERROR(F859),"",VLOOKUP(B859,INDIRECT($F$8),7+(O864-1)*3))</f>
        <v/>
      </c>
      <c r="R864" s="1" t="str">
        <f ca="1">IF(ISERROR(F859),"",SUM(P864:Q864))</f>
        <v/>
      </c>
      <c r="S864" s="1" t="str">
        <f ca="1">IF(ISERROR(F859),"",VLOOKUP(A859,INDIRECT($F$8),6+(O864-1)*3))</f>
        <v/>
      </c>
      <c r="T864" s="1" t="str">
        <f ca="1">IF(ISERROR(F859),"",VLOOKUP(A859,INDIRECT($F$8),7+(O864-1)*3))</f>
        <v/>
      </c>
      <c r="U864" s="1" t="str">
        <f ca="1">IF(ISERROR(F859),"",VLOOKUP(A859,INDIRECT($F$8),8+(O864-1)*3))</f>
        <v/>
      </c>
      <c r="V864" s="1" t="str">
        <f ca="1">IF(ISERROR(F859),"",IF(N864=0,A864,""))</f>
        <v/>
      </c>
      <c r="W864" s="1" t="str">
        <f ca="1">IF(ISERROR(F859),"",IF(ISTEXT(VLOOKUP(B859,INDIRECT($F$8),6+(O864-1)*3)),11,IF(VLOOKUP(B859,INDIRECT($F$8),6+(O864-1)*3)&lt;S864*0.3,IF(VLOOKUP(B859,INDIRECT($F$8),8+(O864-1)*3)&lt;U864*0.4,IF(AND(0.4*U864-VLOOKUP(B859,INDIRECT($F$8),8+(O864-1)*3)&lt;=5,0.3*S864-VLOOKUP(B859,INDIRECT($F$8),6+(O864-1)*3)&lt;=5),MAX(0.4*U864-VLOOKUP(B859,INDIRECT($F$8),8+(O864-1)*3),0.3*S864-VLOOKUP(B859,INDIRECT($F$8),6+(O864-1)*3)),11),IF(0.3*S864-VLOOKUP(B859,INDIRECT($F$8),6+(O864-1)*3)&lt;=5,0.3*S864-VLOOKUP(B859,INDIRECT($F$8),6+(O864-1)*3),11)),IF(VLOOKUP(B859,INDIRECT($F$8),8+(O864-1)*3)&lt;U864*0.4,IF(U864*0.4-VLOOKUP(B859,INDIRECT($F$8),8+(O864-1)*3)&lt;=5,U864*0.4-VLOOKUP(B859,INDIRECT($F$8),8+(O864-1)*3),11),0))))</f>
        <v/>
      </c>
      <c r="X864" s="1" t="str">
        <f ca="1">IF(ISERROR(F859),"",IF(W864=0,"",_xlfn.TEXTJOIN("",FALSE," G+",W864," in ",A864)))</f>
        <v/>
      </c>
    </row>
    <row r="865" spans="1:24" ht="11.25" customHeight="1" x14ac:dyDescent="0.2">
      <c r="A865" s="7" t="str">
        <f ca="1">IF(ISERROR(F859),"",VLOOKUP(C859,INDIRECT($F$8),6+(O865-1)*3,0))</f>
        <v/>
      </c>
      <c r="B865" s="41" t="str">
        <f ca="1">IF(ISERROR(F859),"",VLOOKUP(D859,INDIRECT($F$8),6+(O865-1)*3,0))</f>
        <v/>
      </c>
      <c r="C865" s="41"/>
      <c r="D865" s="41"/>
      <c r="E865" s="41"/>
      <c r="F865" s="7" t="str">
        <f ca="1">IF(ISERROR(F859),"",VLOOKUP(E859,INDIRECT($F$8),6+(O865-1)*3,0))</f>
        <v/>
      </c>
      <c r="G865" s="42" t="str">
        <f ca="1">IF(ISERROR(F859),"",_xlfn.TEXTJOIN("/",FALSE,P865,S865))</f>
        <v/>
      </c>
      <c r="H865" s="42"/>
      <c r="I865" s="42" t="str">
        <f ca="1">IF(ISERROR(F859),"",_xlfn.TEXTJOIN("/",FALSE,Q865,T865))</f>
        <v/>
      </c>
      <c r="J865" s="42"/>
      <c r="K865" s="42" t="str">
        <f ca="1">IF(ISERROR(F859),"",_xlfn.TEXTJOIN("/",FALSE,R865,U865))</f>
        <v/>
      </c>
      <c r="L865" s="42"/>
      <c r="M865" s="7" t="str">
        <f ca="1">IF(ISERROR(F859),"",IF(ISTEXT(P865),IF(P865="A","Ab",IF(P865="D","Dt",IF(P865="UFM","UFM",IF(P865="NA","-")))),IF(AND(ISBLANK(P865),ISBLANK(R865)),"",IF(P865&lt;0.3*S865,"F",IF(ISBLANK(R865),"",IF(ISTEXT(R865),R865,IF(R865&gt;=0.95*U865,"O",IF(R865&gt;=0.9*U865,"A+",IF(R865&gt;=0.85*U865,"A",IF(R865&gt;=0.8*U865,"B+",IF(R865&gt;=0.75*U865,"B",IF(R865&gt;=0.7*U865,"C+",IF(R865&gt;=0.65*U865,"C",IF(R865&gt;=0.6*U865,"D+",IF(R865&gt;=0.55*U865,"D",IF(R865&gt;=0.5*U865,"E+",IF(R865&gt;=0.45*U865,"E",IF(R865&gt;=0.4*U865,"P",IF(R865&lt;0.4*U865,"F",R865)))))))))))))))))))</f>
        <v/>
      </c>
      <c r="N865" s="8" t="e">
        <f t="shared" ref="N865:N876" ca="1" si="91">INDEX($Z$2:$Z$18,MATCH(M865,$Y$2:$Y$18,0))</f>
        <v>#N/A</v>
      </c>
      <c r="O865">
        <f>O864+1</f>
        <v>2</v>
      </c>
      <c r="P865" s="1" t="str">
        <f ca="1">IF(ISERROR(F859),"",IF(ISTEXT(VLOOKUP(B859,INDIRECT($F$8),6+(O865-1)*3)),(VLOOKUP(B859,INDIRECT($F$8),6+(O865-1)*3)),SUM(VLOOKUP(B859,INDIRECT($F$8),6+(O865-1)*3),IF(W878,W865,0))))</f>
        <v/>
      </c>
      <c r="Q865" s="1" t="str">
        <f ca="1">IF(ISERROR(F859),"",VLOOKUP(B859,INDIRECT($F$8),7+(O865-1)*3))</f>
        <v/>
      </c>
      <c r="R865" s="1" t="str">
        <f ca="1">IF(ISERROR(F859),"",SUM(P865:Q865))</f>
        <v/>
      </c>
      <c r="S865" s="1" t="str">
        <f ca="1">IF(ISERROR(F859),"",VLOOKUP(A859,INDIRECT($F$8),6+(O865-1)*3))</f>
        <v/>
      </c>
      <c r="T865" s="1" t="str">
        <f ca="1">IF(ISERROR(F859),"",VLOOKUP(A859,INDIRECT($F$8),7+(O865-1)*3))</f>
        <v/>
      </c>
      <c r="U865" s="1" t="str">
        <f ca="1">IF(ISERROR(F859),"",VLOOKUP(A859,INDIRECT($F$8),8+(O865-1)*3))</f>
        <v/>
      </c>
      <c r="V865" s="1" t="str">
        <f ca="1">IF(ISERROR(F859),"",IF(N865=0,A865,""))</f>
        <v/>
      </c>
      <c r="W865" s="1" t="str">
        <f ca="1">IF(ISERROR(F859),"",IF(ISTEXT(VLOOKUP(B859,INDIRECT($F$8),6+(O865-1)*3)),11,IF(VLOOKUP(B859,INDIRECT($F$8),6+(O865-1)*3)&lt;S865*0.3,IF(VLOOKUP(B859,INDIRECT($F$8),8+(O865-1)*3)&lt;U865*0.4,IF(AND(0.4*U865-VLOOKUP(B859,INDIRECT($F$8),8+(O865-1)*3)&lt;=5,0.3*S865-VLOOKUP(B859,INDIRECT($F$8),6+(O865-1)*3)&lt;=5),MAX(0.4*U865-VLOOKUP(B859,INDIRECT($F$8),8+(O865-1)*3),0.3*S865-VLOOKUP(B859,INDIRECT($F$8),6+(O865-1)*3)),11),IF(0.3*S865-VLOOKUP(B859,INDIRECT($F$8),6+(O865-1)*3)&lt;=5,0.3*S865-VLOOKUP(B859,INDIRECT($F$8),6+(O865-1)*3),11)),IF(VLOOKUP(B859,INDIRECT($F$8),8+(O865-1)*3)&lt;U865*0.4,IF(U865*0.4-VLOOKUP(B859,INDIRECT($F$8),8+(O865-1)*3)&lt;=5,U865*0.4-VLOOKUP(B859,INDIRECT($F$8),8+(O865-1)*3),11),0))))</f>
        <v/>
      </c>
      <c r="X865" s="1" t="str">
        <f ca="1">IF(ISERROR(F859),"",IF(W865=0,"",_xlfn.TEXTJOIN("",FALSE," G+",W865," in ",A865)))</f>
        <v/>
      </c>
    </row>
    <row r="866" spans="1:24" ht="11.25" customHeight="1" x14ac:dyDescent="0.2">
      <c r="A866" s="7" t="str">
        <f ca="1">IF(ISERROR(F859),"",VLOOKUP(C859,INDIRECT($F$8),6+(O866-1)*3,0))</f>
        <v/>
      </c>
      <c r="B866" s="41" t="str">
        <f ca="1">IF(ISERROR(F859),"",VLOOKUP(D859,INDIRECT($F$8),6+(O866-1)*3,0))</f>
        <v/>
      </c>
      <c r="C866" s="41"/>
      <c r="D866" s="41"/>
      <c r="E866" s="41"/>
      <c r="F866" s="7" t="str">
        <f ca="1">IF(ISERROR(F859),"",VLOOKUP(E859,INDIRECT($F$8),6+(O866-1)*3,0))</f>
        <v/>
      </c>
      <c r="G866" s="42" t="str">
        <f ca="1">IF(ISERROR(F859),"",_xlfn.TEXTJOIN("/",FALSE,P866,S866))</f>
        <v/>
      </c>
      <c r="H866" s="42"/>
      <c r="I866" s="42" t="str">
        <f ca="1">IF(ISERROR(F859),"",_xlfn.TEXTJOIN("/",FALSE,Q866,T866))</f>
        <v/>
      </c>
      <c r="J866" s="42"/>
      <c r="K866" s="42" t="str">
        <f ca="1">IF(ISERROR(F859),"",_xlfn.TEXTJOIN("/",FALSE,R866,U866))</f>
        <v/>
      </c>
      <c r="L866" s="42"/>
      <c r="M866" s="7" t="str">
        <f ca="1">IF(ISERROR(F859),"",IF(ISTEXT(P866),IF(P866="A","Ab",IF(P866="D","Dt",IF(P866="UFM","UFM",IF(P866="NA","-")))),IF(AND(ISBLANK(P866),ISBLANK(R866)),"",IF(P866&lt;0.3*S866,"F",IF(ISBLANK(R866),"",IF(ISTEXT(R866),R866,IF(R866&gt;=0.95*U866,"O",IF(R866&gt;=0.9*U866,"A+",IF(R866&gt;=0.85*U866,"A",IF(R866&gt;=0.8*U866,"B+",IF(R866&gt;=0.75*U866,"B",IF(R866&gt;=0.7*U866,"C+",IF(R866&gt;=0.65*U866,"C",IF(R866&gt;=0.6*U866,"D+",IF(R866&gt;=0.55*U866,"D",IF(R866&gt;=0.5*U866,"E+",IF(R866&gt;=0.45*U866,"E",IF(R866&gt;=0.4*U866,"P",IF(R866&lt;0.4*U866,"F",R866)))))))))))))))))))</f>
        <v/>
      </c>
      <c r="N866" s="8" t="e">
        <f t="shared" ca="1" si="91"/>
        <v>#N/A</v>
      </c>
      <c r="O866">
        <f>O865+1</f>
        <v>3</v>
      </c>
      <c r="P866" s="1" t="str">
        <f ca="1">IF(ISERROR(F859),"",IF(ISTEXT(VLOOKUP(B859,INDIRECT($F$8),6+(O866-1)*3)),(VLOOKUP(B859,INDIRECT($F$8),6+(O866-1)*3)),SUM(VLOOKUP(B859,INDIRECT($F$8),6+(O866-1)*3),IF(W878,W866,0))))</f>
        <v/>
      </c>
      <c r="Q866" s="1" t="str">
        <f ca="1">IF(ISERROR(F859),"",VLOOKUP(B859,INDIRECT($F$8),7+(O866-1)*3))</f>
        <v/>
      </c>
      <c r="R866" s="1" t="str">
        <f ca="1">IF(ISERROR(F859),"",SUM(P866:Q866))</f>
        <v/>
      </c>
      <c r="S866" s="1" t="str">
        <f ca="1">IF(ISERROR(F859),"",VLOOKUP(A859,INDIRECT($F$8),6+(O866-1)*3))</f>
        <v/>
      </c>
      <c r="T866" s="1" t="str">
        <f ca="1">IF(ISERROR(F859),"",VLOOKUP(A859,INDIRECT($F$8),7+(O866-1)*3))</f>
        <v/>
      </c>
      <c r="U866" s="1" t="str">
        <f ca="1">IF(ISERROR(F859),"",VLOOKUP(A859,INDIRECT($F$8),8+(O866-1)*3))</f>
        <v/>
      </c>
      <c r="V866" s="1" t="str">
        <f ca="1">IF(ISERROR(F859),"",IF(N866=0,A866,""))</f>
        <v/>
      </c>
      <c r="W866" s="1" t="str">
        <f ca="1">IF(ISERROR(F859),"",IF(ISTEXT(VLOOKUP(B859,INDIRECT($F$8),6+(O866-1)*3)),11,IF(VLOOKUP(B859,INDIRECT($F$8),6+(O866-1)*3)&lt;S866*0.3,IF(VLOOKUP(B859,INDIRECT($F$8),8+(O866-1)*3)&lt;U866*0.4,IF(AND(0.4*U866-VLOOKUP(B859,INDIRECT($F$8),8+(O866-1)*3)&lt;=5,0.3*S866-VLOOKUP(B859,INDIRECT($F$8),6+(O866-1)*3)&lt;=5),MAX(0.4*U866-VLOOKUP(B859,INDIRECT($F$8),8+(O866-1)*3),0.3*S866-VLOOKUP(B859,INDIRECT($F$8),6+(O866-1)*3)),11),IF(0.3*S866-VLOOKUP(B859,INDIRECT($F$8),6+(O866-1)*3)&lt;=5,0.3*S866-VLOOKUP(B859,INDIRECT($F$8),6+(O866-1)*3),11)),IF(VLOOKUP(B859,INDIRECT($F$8),8+(O866-1)*3)&lt;U866*0.4,IF(U866*0.4-VLOOKUP(B859,INDIRECT($F$8),8+(O866-1)*3)&lt;=5,U866*0.4-VLOOKUP(B859,INDIRECT($F$8),8+(O866-1)*3),11),0))))</f>
        <v/>
      </c>
      <c r="X866" s="1" t="str">
        <f ca="1">IF(ISERROR(F859),"",IF(W866=0,"",_xlfn.TEXTJOIN("",FALSE," G+",W866," in ",A866)))</f>
        <v/>
      </c>
    </row>
    <row r="867" spans="1:24" ht="11.25" customHeight="1" x14ac:dyDescent="0.2">
      <c r="A867" s="7" t="str">
        <f ca="1">IF(ISERROR(F859),"",VLOOKUP(C859,INDIRECT($F$8),6+(O867-1)*3,0))</f>
        <v/>
      </c>
      <c r="B867" s="41" t="str">
        <f ca="1">IF(ISERROR(F859),"",VLOOKUP(D859,INDIRECT($F$8),6+(O867-1)*3,0))</f>
        <v/>
      </c>
      <c r="C867" s="41"/>
      <c r="D867" s="41"/>
      <c r="E867" s="41"/>
      <c r="F867" s="7" t="str">
        <f ca="1">IF(ISERROR(F859),"",VLOOKUP(E859,INDIRECT($F$8),6+(O867-1)*3,0))</f>
        <v/>
      </c>
      <c r="G867" s="42" t="str">
        <f ca="1">IF(ISERROR(F859),"",_xlfn.TEXTJOIN("/",FALSE,P867,S867))</f>
        <v/>
      </c>
      <c r="H867" s="42"/>
      <c r="I867" s="42" t="str">
        <f ca="1">IF(ISERROR(F859),"",_xlfn.TEXTJOIN("/",FALSE,Q867,T867))</f>
        <v/>
      </c>
      <c r="J867" s="42"/>
      <c r="K867" s="42" t="str">
        <f ca="1">IF(ISERROR(F859),"",_xlfn.TEXTJOIN("/",FALSE,R867,U867))</f>
        <v/>
      </c>
      <c r="L867" s="42"/>
      <c r="M867" s="7" t="str">
        <f ca="1">IF(ISERROR(F859),"",IF(ISTEXT(P867),IF(P867="A","Ab",IF(P867="D","Dt",IF(P867="UFM","UFM",IF(P867="NA","-")))),IF(AND(ISBLANK(P867),ISBLANK(R867)),"",IF(P867&lt;0.3*S867,"F",IF(ISBLANK(R867),"",IF(ISTEXT(R867),R867,IF(R867&gt;=0.95*U867,"O",IF(R867&gt;=0.9*U867,"A+",IF(R867&gt;=0.85*U867,"A",IF(R867&gt;=0.8*U867,"B+",IF(R867&gt;=0.75*U867,"B",IF(R867&gt;=0.7*U867,"C+",IF(R867&gt;=0.65*U867,"C",IF(R867&gt;=0.6*U867,"D+",IF(R867&gt;=0.55*U867,"D",IF(R867&gt;=0.5*U867,"E+",IF(R867&gt;=0.45*U867,"E",IF(R867&gt;=0.4*U867,"P",IF(R867&lt;0.4*U867,"F",R867)))))))))))))))))))</f>
        <v/>
      </c>
      <c r="N867" s="8" t="e">
        <f t="shared" ca="1" si="91"/>
        <v>#N/A</v>
      </c>
      <c r="O867">
        <f>O866+1</f>
        <v>4</v>
      </c>
      <c r="P867" s="1" t="str">
        <f ca="1">IF(ISERROR(F859),"",IF(ISTEXT(VLOOKUP(B859,INDIRECT($F$8),6+(O867-1)*3)),(VLOOKUP(B859,INDIRECT($F$8),6+(O867-1)*3)),SUM(VLOOKUP(B859,INDIRECT($F$8),6+(O867-1)*3),IF(W878,W867,0))))</f>
        <v/>
      </c>
      <c r="Q867" s="1" t="str">
        <f ca="1">IF(ISERROR(F859),"",VLOOKUP(B859,INDIRECT($F$8),7+(O867-1)*3))</f>
        <v/>
      </c>
      <c r="R867" s="1" t="str">
        <f ca="1">IF(ISERROR(F859),"",SUM(P867:Q867))</f>
        <v/>
      </c>
      <c r="S867" s="1" t="str">
        <f ca="1">IF(ISERROR(F859),"",VLOOKUP(A859,INDIRECT($F$8),6+(O867-1)*3))</f>
        <v/>
      </c>
      <c r="T867" s="1" t="str">
        <f ca="1">IF(ISERROR(F859),"",VLOOKUP(A859,INDIRECT($F$8),7+(O867-1)*3))</f>
        <v/>
      </c>
      <c r="U867" s="1" t="str">
        <f ca="1">IF(ISERROR(F859),"",VLOOKUP(A859,INDIRECT($F$8),8+(O867-1)*3))</f>
        <v/>
      </c>
      <c r="V867" s="1" t="str">
        <f ca="1">IF(ISERROR(F859),"",IF(N867=0,A867,""))</f>
        <v/>
      </c>
      <c r="W867" s="1" t="str">
        <f ca="1">IF(ISERROR(F859),"",IF(ISTEXT(VLOOKUP(B859,INDIRECT($F$8),6+(O867-1)*3)),11,IF(VLOOKUP(B859,INDIRECT($F$8),6+(O867-1)*3)&lt;S867*0.3,IF(VLOOKUP(B859,INDIRECT($F$8),8+(O867-1)*3)&lt;U867*0.4,IF(AND(0.4*U867-VLOOKUP(B859,INDIRECT($F$8),8+(O867-1)*3)&lt;=5,0.3*S867-VLOOKUP(B859,INDIRECT($F$8),6+(O867-1)*3)&lt;=5),MAX(0.4*U867-VLOOKUP(B859,INDIRECT($F$8),8+(O867-1)*3),0.3*S867-VLOOKUP(B859,INDIRECT($F$8),6+(O867-1)*3)),11),IF(0.3*S867-VLOOKUP(B859,INDIRECT($F$8),6+(O867-1)*3)&lt;=5,0.3*S867-VLOOKUP(B859,INDIRECT($F$8),6+(O867-1)*3),11)),IF(VLOOKUP(B859,INDIRECT($F$8),8+(O867-1)*3)&lt;U867*0.4,IF(U867*0.4-VLOOKUP(B859,INDIRECT($F$8),8+(O867-1)*3)&lt;=5,U867*0.4-VLOOKUP(B859,INDIRECT($F$8),8+(O867-1)*3),11),0))))</f>
        <v/>
      </c>
      <c r="X867" s="1" t="str">
        <f ca="1">IF(ISERROR(F859),"",IF(W867=0,"",_xlfn.TEXTJOIN("",FALSE," G+",W867," in ",A867)))</f>
        <v/>
      </c>
    </row>
    <row r="868" spans="1:24" ht="11.25" customHeight="1" x14ac:dyDescent="0.2">
      <c r="A868" s="7" t="str">
        <f ca="1">IF(ISERROR(F859),"",VLOOKUP(C859,INDIRECT($F$8),6+(O868-1)*3,0))</f>
        <v/>
      </c>
      <c r="B868" s="41" t="str">
        <f ca="1">IF(ISERROR(F859),"",VLOOKUP(D859,INDIRECT($F$8),6+(O868-1)*3,0))</f>
        <v/>
      </c>
      <c r="C868" s="41"/>
      <c r="D868" s="41"/>
      <c r="E868" s="41"/>
      <c r="F868" s="7" t="str">
        <f ca="1">IF(ISERROR(F859),"",VLOOKUP(E859,INDIRECT($F$8),6+(O868-1)*3,0))</f>
        <v/>
      </c>
      <c r="G868" s="42" t="str">
        <f ca="1">IF(ISERROR(F859),"",_xlfn.TEXTJOIN("/",FALSE,P868,S868))</f>
        <v/>
      </c>
      <c r="H868" s="42"/>
      <c r="I868" s="42" t="str">
        <f ca="1">IF(ISERROR(F859),"",_xlfn.TEXTJOIN("/",FALSE,Q868,T868))</f>
        <v/>
      </c>
      <c r="J868" s="42"/>
      <c r="K868" s="42" t="str">
        <f ca="1">IF(ISERROR(F859),"",_xlfn.TEXTJOIN("/",FALSE,R868,U868))</f>
        <v/>
      </c>
      <c r="L868" s="42"/>
      <c r="M868" s="7" t="str">
        <f ca="1">IF(ISERROR(F859),"",IF(ISTEXT(P868),IF(P868="A","Ab",IF(P868="D","Dt",IF(P868="UFM","UFM",IF(P868="NA","-")))),IF(AND(ISBLANK(P868),ISBLANK(R868)),"",IF(P868&lt;0.3*S868,"F",IF(ISBLANK(R868),"",IF(ISTEXT(R868),R868,IF(R868&gt;=0.95*U868,"O",IF(R868&gt;=0.9*U868,"A+",IF(R868&gt;=0.85*U868,"A",IF(R868&gt;=0.8*U868,"B+",IF(R868&gt;=0.75*U868,"B",IF(R868&gt;=0.7*U868,"C+",IF(R868&gt;=0.65*U868,"C",IF(R868&gt;=0.6*U868,"D+",IF(R868&gt;=0.55*U868,"D",IF(R868&gt;=0.5*U868,"E+",IF(R868&gt;=0.45*U868,"E",IF(R868&gt;=0.4*U868,"P",IF(R868&lt;0.4*U868,"F",R868)))))))))))))))))))</f>
        <v/>
      </c>
      <c r="N868" s="8" t="e">
        <f t="shared" ca="1" si="91"/>
        <v>#N/A</v>
      </c>
      <c r="O868">
        <f t="shared" ref="O868:O877" si="92">O867+1</f>
        <v>5</v>
      </c>
      <c r="P868" s="1" t="str">
        <f ca="1">IF(ISERROR(F859),"",IF(ISTEXT(VLOOKUP(B859,INDIRECT($F$8),6+(O868-1)*3)),(VLOOKUP(B859,INDIRECT($F$8),6+(O868-1)*3)),SUM(VLOOKUP(B859,INDIRECT($F$8),6+(O868-1)*3),IF(W878,W868,0))))</f>
        <v/>
      </c>
      <c r="Q868" s="1" t="str">
        <f ca="1">IF(ISERROR(F859),"",VLOOKUP(B859,INDIRECT($F$8),7+(O868-1)*3))</f>
        <v/>
      </c>
      <c r="R868" s="1" t="str">
        <f ca="1">IF(ISERROR(F859),"",SUM(P868:Q868))</f>
        <v/>
      </c>
      <c r="S868" s="1" t="str">
        <f ca="1">IF(ISERROR(F859),"",VLOOKUP(A859,INDIRECT($F$8),6+(O868-1)*3))</f>
        <v/>
      </c>
      <c r="T868" s="1" t="str">
        <f ca="1">IF(ISERROR(F859),"",VLOOKUP(A859,INDIRECT($F$8),7+(O868-1)*3))</f>
        <v/>
      </c>
      <c r="U868" s="1" t="str">
        <f ca="1">IF(ISERROR(F859),"",VLOOKUP(A859,INDIRECT($F$8),8+(O868-1)*3))</f>
        <v/>
      </c>
      <c r="V868" s="1" t="str">
        <f ca="1">IF(ISERROR(F859),"",IF(N868=0,A868,""))</f>
        <v/>
      </c>
      <c r="W868" s="1" t="str">
        <f ca="1">IF(ISERROR(F859),"",IF(ISTEXT(VLOOKUP(B859,INDIRECT($F$8),6+(O868-1)*3)),11,IF(VLOOKUP(B859,INDIRECT($F$8),6+(O868-1)*3)&lt;S868*0.3,IF(VLOOKUP(B859,INDIRECT($F$8),8+(O868-1)*3)&lt;U868*0.4,IF(AND(0.4*U868-VLOOKUP(B859,INDIRECT($F$8),8+(O868-1)*3)&lt;=5,0.3*S868-VLOOKUP(B859,INDIRECT($F$8),6+(O868-1)*3)&lt;=5),MAX(0.4*U868-VLOOKUP(B859,INDIRECT($F$8),8+(O868-1)*3),0.3*S868-VLOOKUP(B859,INDIRECT($F$8),6+(O868-1)*3)),11),IF(0.3*S868-VLOOKUP(B859,INDIRECT($F$8),6+(O868-1)*3)&lt;=5,0.3*S868-VLOOKUP(B859,INDIRECT($F$8),6+(O868-1)*3),11)),IF(VLOOKUP(B859,INDIRECT($F$8),8+(O868-1)*3)&lt;U868*0.4,IF(U868*0.4-VLOOKUP(B859,INDIRECT($F$8),8+(O868-1)*3)&lt;=5,U868*0.4-VLOOKUP(B859,INDIRECT($F$8),8+(O868-1)*3),11),0))))</f>
        <v/>
      </c>
      <c r="X868" s="1" t="str">
        <f ca="1">IF(ISERROR(F859),"",IF(W868=0,"",_xlfn.TEXTJOIN("",FALSE," G+",W868," in ",A868)))</f>
        <v/>
      </c>
    </row>
    <row r="869" spans="1:24" ht="11.25" customHeight="1" x14ac:dyDescent="0.2">
      <c r="A869" s="7" t="str">
        <f ca="1">IF(ISERROR(F859),"",VLOOKUP(C859,INDIRECT($F$8),6+(O869-1)*3,0))</f>
        <v/>
      </c>
      <c r="B869" s="41" t="str">
        <f ca="1">IF(ISERROR(F859),"",VLOOKUP(D859,INDIRECT($F$8),6+(O869-1)*3,0))</f>
        <v/>
      </c>
      <c r="C869" s="41"/>
      <c r="D869" s="41"/>
      <c r="E869" s="41"/>
      <c r="F869" s="7" t="str">
        <f ca="1">IF(ISERROR(F859),"",VLOOKUP(E859,INDIRECT($F$8),6+(O869-1)*3,0))</f>
        <v/>
      </c>
      <c r="G869" s="42" t="str">
        <f ca="1">IF(ISERROR(F859),"",_xlfn.TEXTJOIN("/",FALSE,P869,S869))</f>
        <v/>
      </c>
      <c r="H869" s="42"/>
      <c r="I869" s="42" t="str">
        <f ca="1">IF(ISERROR(F859),"",_xlfn.TEXTJOIN("/",FALSE,Q869,T869))</f>
        <v/>
      </c>
      <c r="J869" s="42"/>
      <c r="K869" s="42" t="str">
        <f ca="1">IF(ISERROR(F859),"",_xlfn.TEXTJOIN("/",FALSE,R869,U869))</f>
        <v/>
      </c>
      <c r="L869" s="42"/>
      <c r="M869" s="7" t="str">
        <f ca="1">IF(ISERROR(F859),"",IF(ISTEXT(P869),IF(P869="A","Ab",IF(P869="D","Dt",IF(P869="UFM","UFM",IF(P869="NA","-")))),IF(AND(ISBLANK(P869),ISBLANK(R869)),"",IF(P869&lt;0.3*S869,"F",IF(ISBLANK(R869),"",IF(ISTEXT(R869),R869,IF(R869&gt;=0.95*U869,"O",IF(R869&gt;=0.9*U869,"A+",IF(R869&gt;=0.85*U869,"A",IF(R869&gt;=0.8*U869,"B+",IF(R869&gt;=0.75*U869,"B",IF(R869&gt;=0.7*U869,"C+",IF(R869&gt;=0.65*U869,"C",IF(R869&gt;=0.6*U869,"D+",IF(R869&gt;=0.55*U869,"D",IF(R869&gt;=0.5*U869,"E+",IF(R869&gt;=0.45*U869,"E",IF(R869&gt;=0.4*U869,"P",IF(R869&lt;0.4*U869,"F",R869)))))))))))))))))))</f>
        <v/>
      </c>
      <c r="N869" s="8" t="e">
        <f t="shared" ca="1" si="91"/>
        <v>#N/A</v>
      </c>
      <c r="O869">
        <f t="shared" si="92"/>
        <v>6</v>
      </c>
      <c r="P869" s="1" t="str">
        <f ca="1">IF(ISERROR(F859),"",IF(ISTEXT(VLOOKUP(B859,INDIRECT($F$8),6+(O869-1)*3)),(VLOOKUP(B859,INDIRECT($F$8),6+(O869-1)*3)),SUM(VLOOKUP(B859,INDIRECT($F$8),6+(O869-1)*3),IF(W878,W869,0))))</f>
        <v/>
      </c>
      <c r="Q869" s="1" t="str">
        <f ca="1">IF(ISERROR(F859),"",VLOOKUP(B859,INDIRECT($F$8),7+(O869-1)*3))</f>
        <v/>
      </c>
      <c r="R869" s="1" t="str">
        <f ca="1">IF(ISERROR(F859),"",SUM(P869:Q869))</f>
        <v/>
      </c>
      <c r="S869" s="1" t="str">
        <f ca="1">IF(ISERROR(F859),"",VLOOKUP(A859,INDIRECT($F$8),6+(O869-1)*3))</f>
        <v/>
      </c>
      <c r="T869" s="1" t="str">
        <f ca="1">IF(ISERROR(F859),"",VLOOKUP(A859,INDIRECT($F$8),7+(O869-1)*3))</f>
        <v/>
      </c>
      <c r="U869" s="1" t="str">
        <f ca="1">IF(ISERROR(F859),"",VLOOKUP(A859,INDIRECT($F$8),8+(O869-1)*3))</f>
        <v/>
      </c>
      <c r="V869" s="1" t="str">
        <f ca="1">IF(ISERROR(F859),"",IF(N869=0,A869,""))</f>
        <v/>
      </c>
      <c r="W869" s="1" t="str">
        <f ca="1">IF(ISERROR(F859),"",IF(ISTEXT(VLOOKUP(B859,INDIRECT($F$8),6+(O869-1)*3)),11,IF(VLOOKUP(B859,INDIRECT($F$8),6+(O869-1)*3)&lt;S869*0.3,IF(VLOOKUP(B859,INDIRECT($F$8),8+(O869-1)*3)&lt;U869*0.4,IF(AND(0.4*U869-VLOOKUP(B859,INDIRECT($F$8),8+(O869-1)*3)&lt;=5,0.3*S869-VLOOKUP(B859,INDIRECT($F$8),6+(O869-1)*3)&lt;=5),MAX(0.4*U869-VLOOKUP(B859,INDIRECT($F$8),8+(O869-1)*3),0.3*S869-VLOOKUP(B859,INDIRECT($F$8),6+(O869-1)*3)),11),IF(0.3*S869-VLOOKUP(B859,INDIRECT($F$8),6+(O869-1)*3)&lt;=5,0.3*S869-VLOOKUP(B859,INDIRECT($F$8),6+(O869-1)*3),11)),IF(VLOOKUP(B859,INDIRECT($F$8),8+(O869-1)*3)&lt;U869*0.4,IF(U869*0.4-VLOOKUP(B859,INDIRECT($F$8),8+(O869-1)*3)&lt;=5,U869*0.4-VLOOKUP(B859,INDIRECT($F$8),8+(O869-1)*3),11),0))))</f>
        <v/>
      </c>
      <c r="X869" s="1" t="str">
        <f ca="1">IF(ISERROR(F859),"",IF(W869=0,"",_xlfn.TEXTJOIN("",FALSE," G+",W869," in ",A869)))</f>
        <v/>
      </c>
    </row>
    <row r="870" spans="1:24" ht="11.25" customHeight="1" x14ac:dyDescent="0.2">
      <c r="A870" s="7" t="str">
        <f ca="1">IF(ISERROR(F859),"",VLOOKUP(C859,INDIRECT($F$8),6+(O870-1)*3,0))</f>
        <v/>
      </c>
      <c r="B870" s="41" t="str">
        <f ca="1">IF(ISERROR(F859),"",VLOOKUP(D859,INDIRECT($F$8),6+(O870-1)*3,0))</f>
        <v/>
      </c>
      <c r="C870" s="41"/>
      <c r="D870" s="41"/>
      <c r="E870" s="41"/>
      <c r="F870" s="7" t="str">
        <f ca="1">IF(ISERROR(F859),"",VLOOKUP(E859,INDIRECT($F$8),6+(O870-1)*3,0))</f>
        <v/>
      </c>
      <c r="G870" s="42" t="str">
        <f ca="1">IF(ISERROR(F859),"",_xlfn.TEXTJOIN("/",FALSE,P870,S870))</f>
        <v/>
      </c>
      <c r="H870" s="42"/>
      <c r="I870" s="42" t="str">
        <f ca="1">IF(ISERROR(F859),"",_xlfn.TEXTJOIN("/",FALSE,Q870,T870))</f>
        <v/>
      </c>
      <c r="J870" s="42"/>
      <c r="K870" s="42" t="str">
        <f ca="1">IF(ISERROR(F859),"",_xlfn.TEXTJOIN("/",FALSE,R870,U870))</f>
        <v/>
      </c>
      <c r="L870" s="42"/>
      <c r="M870" s="7" t="str">
        <f ca="1">IF(ISERROR(F859),"",IF(ISTEXT(P870),IF(P870="A","Ab",IF(P870="D","Dt",IF(P870="UFM","UFM",IF(P870="NA","-")))),IF(AND(ISBLANK(P870),ISBLANK(R870)),"",IF(P870&lt;0.3*S870,"F",IF(ISBLANK(R870),"",IF(ISTEXT(R870),R870,IF(R870&gt;=0.95*U870,"O",IF(R870&gt;=0.9*U870,"A+",IF(R870&gt;=0.85*U870,"A",IF(R870&gt;=0.8*U870,"B+",IF(R870&gt;=0.75*U870,"B",IF(R870&gt;=0.7*U870,"C+",IF(R870&gt;=0.65*U870,"C",IF(R870&gt;=0.6*U870,"D+",IF(R870&gt;=0.55*U870,"D",IF(R870&gt;=0.5*U870,"E+",IF(R870&gt;=0.45*U870,"E",IF(R870&gt;=0.4*U870,"P",IF(R870&lt;0.4*U870,"F",R870)))))))))))))))))))</f>
        <v/>
      </c>
      <c r="N870" s="8" t="e">
        <f t="shared" ca="1" si="91"/>
        <v>#N/A</v>
      </c>
      <c r="O870">
        <f t="shared" si="92"/>
        <v>7</v>
      </c>
      <c r="P870" s="1" t="str">
        <f ca="1">IF(ISERROR(F859),"",IF(ISTEXT(VLOOKUP(B859,INDIRECT($F$8),6+(O870-1)*3)),(VLOOKUP(B859,INDIRECT($F$8),6+(O870-1)*3)),SUM(VLOOKUP(B859,INDIRECT($F$8),6+(O870-1)*3),IF(W878,W870,0))))</f>
        <v/>
      </c>
      <c r="Q870" s="1" t="str">
        <f ca="1">IF(ISERROR(F859),"",VLOOKUP(B859,INDIRECT($F$8),7+(O870-1)*3))</f>
        <v/>
      </c>
      <c r="R870" s="1" t="str">
        <f ca="1">IF(ISERROR(F859),"",SUM(P870:Q870))</f>
        <v/>
      </c>
      <c r="S870" s="1" t="str">
        <f ca="1">IF(ISERROR(F859),"",VLOOKUP(A859,INDIRECT($F$8),6+(O870-1)*3))</f>
        <v/>
      </c>
      <c r="T870" s="1" t="str">
        <f ca="1">IF(ISERROR(F859),"",VLOOKUP(A859,INDIRECT($F$8),7+(O870-1)*3))</f>
        <v/>
      </c>
      <c r="U870" s="1" t="str">
        <f ca="1">IF(ISERROR(F859),"",VLOOKUP(A859,INDIRECT($F$8),8+(O870-1)*3))</f>
        <v/>
      </c>
      <c r="V870" s="1" t="str">
        <f ca="1">IF(ISERROR(F859),"",IF(N870=0,A870,""))</f>
        <v/>
      </c>
      <c r="W870" s="1" t="str">
        <f ca="1">IF(ISERROR(F859),"",IF(ISTEXT(VLOOKUP(B859,INDIRECT($F$8),6+(O870-1)*3)),11,IF(VLOOKUP(B859,INDIRECT($F$8),6+(O870-1)*3)&lt;S870*0.3,IF(VLOOKUP(B859,INDIRECT($F$8),8+(O870-1)*3)&lt;U870*0.4,IF(AND(0.4*U870-VLOOKUP(B859,INDIRECT($F$8),8+(O870-1)*3)&lt;=5,0.3*S870-VLOOKUP(B859,INDIRECT($F$8),6+(O870-1)*3)&lt;=5),MAX(0.4*U870-VLOOKUP(B859,INDIRECT($F$8),8+(O870-1)*3),0.3*S870-VLOOKUP(B859,INDIRECT($F$8),6+(O870-1)*3)),11),IF(0.3*S870-VLOOKUP(B859,INDIRECT($F$8),6+(O870-1)*3)&lt;=5,0.3*S870-VLOOKUP(B859,INDIRECT($F$8),6+(O870-1)*3),11)),IF(VLOOKUP(B859,INDIRECT($F$8),8+(O870-1)*3)&lt;U870*0.4,IF(U870*0.4-VLOOKUP(B859,INDIRECT($F$8),8+(O870-1)*3)&lt;=5,U870*0.4-VLOOKUP(B859,INDIRECT($F$8),8+(O870-1)*3),11),0))))</f>
        <v/>
      </c>
      <c r="X870" s="1" t="str">
        <f ca="1">IF(ISERROR(F859),"",IF(W870=0,"",_xlfn.TEXTJOIN("",FALSE," G+",W870," in ",A870)))</f>
        <v/>
      </c>
    </row>
    <row r="871" spans="1:24" ht="11.25" customHeight="1" x14ac:dyDescent="0.2">
      <c r="A871" s="7" t="str">
        <f ca="1">IF(ISERROR(F859),"",VLOOKUP(C859,INDIRECT($F$8),6+(O871-1)*3,0))</f>
        <v/>
      </c>
      <c r="B871" s="41" t="str">
        <f ca="1">IF(ISERROR(F859),"",VLOOKUP(D859,INDIRECT($F$8),6+(O871-1)*3,0))</f>
        <v/>
      </c>
      <c r="C871" s="41"/>
      <c r="D871" s="41"/>
      <c r="E871" s="41"/>
      <c r="F871" s="7" t="str">
        <f ca="1">IF(ISERROR(F859),"",VLOOKUP(E859,INDIRECT($F$8),6+(O871-1)*3,0))</f>
        <v/>
      </c>
      <c r="G871" s="42" t="str">
        <f ca="1">IF(ISERROR(F859),"",_xlfn.TEXTJOIN("/",FALSE,P871,S871))</f>
        <v/>
      </c>
      <c r="H871" s="42"/>
      <c r="I871" s="42" t="str">
        <f ca="1">IF(ISERROR(F859),"",_xlfn.TEXTJOIN("/",FALSE,Q871,T871))</f>
        <v/>
      </c>
      <c r="J871" s="42"/>
      <c r="K871" s="42" t="str">
        <f ca="1">IF(ISERROR(F859),"",_xlfn.TEXTJOIN("/",FALSE,R871,U871))</f>
        <v/>
      </c>
      <c r="L871" s="42"/>
      <c r="M871" s="7" t="str">
        <f ca="1">IF(ISERROR(F859),"",IF(ISTEXT(P871),IF(P871="A","Ab",IF(P871="D","Dt",IF(P871="UFM","UFM",IF(P871="NA","-")))),IF(AND(ISBLANK(P871),ISBLANK(R871)),"",IF(P871&lt;0.3*S871,"F",IF(ISBLANK(R871),"",IF(ISTEXT(R871),R871,IF(R871&gt;=0.95*U871,"O",IF(R871&gt;=0.9*U871,"A+",IF(R871&gt;=0.85*U871,"A",IF(R871&gt;=0.8*U871,"B+",IF(R871&gt;=0.75*U871,"B",IF(R871&gt;=0.7*U871,"C+",IF(R871&gt;=0.65*U871,"C",IF(R871&gt;=0.6*U871,"D+",IF(R871&gt;=0.55*U871,"D",IF(R871&gt;=0.5*U871,"E+",IF(R871&gt;=0.45*U871,"E",IF(R871&gt;=0.4*U871,"P",IF(R871&lt;0.4*U871,"F",R871)))))))))))))))))))</f>
        <v/>
      </c>
      <c r="N871" s="8" t="e">
        <f t="shared" ca="1" si="91"/>
        <v>#N/A</v>
      </c>
      <c r="O871">
        <f t="shared" si="92"/>
        <v>8</v>
      </c>
      <c r="P871" s="1" t="str">
        <f ca="1">IF(ISERROR(F859),"",IF(ISTEXT(VLOOKUP(B859,INDIRECT($F$8),6+(O871-1)*3)),(VLOOKUP(B859,INDIRECT($F$8),6+(O871-1)*3)),SUM(VLOOKUP(B859,INDIRECT($F$8),6+(O871-1)*3),IF(W878,W871,0))))</f>
        <v/>
      </c>
      <c r="Q871" s="1" t="str">
        <f ca="1">IF(ISERROR(F859),"",VLOOKUP(B859,INDIRECT($F$8),7+(O871-1)*3))</f>
        <v/>
      </c>
      <c r="R871" s="1" t="str">
        <f ca="1">IF(ISERROR(F859),"",SUM(P871:Q871))</f>
        <v/>
      </c>
      <c r="S871" s="1" t="str">
        <f ca="1">IF(ISERROR(F859),"",VLOOKUP(A859,INDIRECT($F$8),6+(O871-1)*3))</f>
        <v/>
      </c>
      <c r="T871" s="1" t="str">
        <f ca="1">IF(ISERROR(F859),"",VLOOKUP(A859,INDIRECT($F$8),7+(O871-1)*3))</f>
        <v/>
      </c>
      <c r="U871" s="1" t="str">
        <f ca="1">IF(ISERROR(F859),"",VLOOKUP(A859,INDIRECT($F$8),8+(O871-1)*3))</f>
        <v/>
      </c>
      <c r="V871" s="1" t="str">
        <f ca="1">IF(ISERROR(F859),"",IF(N871=0,A871,""))</f>
        <v/>
      </c>
      <c r="W871" s="1" t="str">
        <f ca="1">IF(ISERROR(F859),"",IF(ISTEXT(VLOOKUP(B859,INDIRECT($F$8),6+(O871-1)*3)),11,IF(VLOOKUP(B859,INDIRECT($F$8),6+(O871-1)*3)&lt;S871*0.3,IF(VLOOKUP(B859,INDIRECT($F$8),8+(O871-1)*3)&lt;U871*0.4,IF(AND(0.4*U871-VLOOKUP(B859,INDIRECT($F$8),8+(O871-1)*3)&lt;=5,0.3*S871-VLOOKUP(B859,INDIRECT($F$8),6+(O871-1)*3)&lt;=5),MAX(0.4*U871-VLOOKUP(B859,INDIRECT($F$8),8+(O871-1)*3),0.3*S871-VLOOKUP(B859,INDIRECT($F$8),6+(O871-1)*3)),11),IF(0.3*S871-VLOOKUP(B859,INDIRECT($F$8),6+(O871-1)*3)&lt;=5,0.3*S871-VLOOKUP(B859,INDIRECT($F$8),6+(O871-1)*3),11)),IF(VLOOKUP(B859,INDIRECT($F$8),8+(O871-1)*3)&lt;U871*0.4,IF(U871*0.4-VLOOKUP(B859,INDIRECT($F$8),8+(O871-1)*3)&lt;=5,U871*0.4-VLOOKUP(B859,INDIRECT($F$8),8+(O871-1)*3),11),0))))</f>
        <v/>
      </c>
      <c r="X871" s="1" t="str">
        <f ca="1">IF(ISERROR(F859),"",IF(W871=0,"",_xlfn.TEXTJOIN("",FALSE," G+",W871," in ",A871)))</f>
        <v/>
      </c>
    </row>
    <row r="872" spans="1:24" ht="11.25" customHeight="1" x14ac:dyDescent="0.2">
      <c r="A872" s="7" t="str">
        <f ca="1">IF(ISERROR(F859),"",VLOOKUP(C859,INDIRECT($F$8),6+(O872-1)*3,0))</f>
        <v/>
      </c>
      <c r="B872" s="41" t="str">
        <f ca="1">IF(ISERROR(F859),"",VLOOKUP(D859,INDIRECT($F$8),6+(O872-1)*3-Z872,0))</f>
        <v/>
      </c>
      <c r="C872" s="41"/>
      <c r="D872" s="41"/>
      <c r="E872" s="41"/>
      <c r="F872" s="7" t="str">
        <f ca="1">IF(ISERROR(F859),"",VLOOKUP(E859,INDIRECT($F$8),6+(O872-1)*3,0))</f>
        <v/>
      </c>
      <c r="G872" s="42" t="str">
        <f ca="1">IF(ISERROR(F859),"",_xlfn.TEXTJOIN("/",FALSE,P872,S872))</f>
        <v/>
      </c>
      <c r="H872" s="42"/>
      <c r="I872" s="42" t="str">
        <f ca="1">IF(ISERROR(F859),"",_xlfn.TEXTJOIN("/",FALSE,Q872,T872))</f>
        <v/>
      </c>
      <c r="J872" s="42"/>
      <c r="K872" s="42" t="str">
        <f ca="1">IF(ISERROR(F859),"",_xlfn.TEXTJOIN("/",FALSE,R872,U872))</f>
        <v/>
      </c>
      <c r="L872" s="42"/>
      <c r="M872" s="7" t="str">
        <f ca="1">IF(ISERROR(F859),"",IF(ISTEXT(P872),IF(P872="A","Ab",IF(P872="D","Dt",IF(P872="UFM","UFM",IF(P872="NA","-")))),IF(AND(ISBLANK(P872),ISBLANK(R872)),"",IF(P872&lt;0.3*S872,"F",IF(ISBLANK(R872),"",IF(ISTEXT(R872),R872,IF(R872&gt;=0.95*U872,"O",IF(R872&gt;=0.9*U872,"A+",IF(R872&gt;=0.85*U872,"A",IF(R872&gt;=0.8*U872,"B+",IF(R872&gt;=0.75*U872,"B",IF(R872&gt;=0.7*U872,"C+",IF(R872&gt;=0.65*U872,"C",IF(R872&gt;=0.6*U872,"D+",IF(R872&gt;=0.55*U872,"D",IF(R872&gt;=0.5*U872,"E+",IF(R872&gt;=0.45*U872,"E",IF(R872&gt;=0.4*U872,"P",IF(R872&lt;0.4*U872,"F",R872)))))))))))))))))))</f>
        <v/>
      </c>
      <c r="N872" s="8" t="e">
        <f t="shared" ca="1" si="91"/>
        <v>#N/A</v>
      </c>
      <c r="O872">
        <f t="shared" si="92"/>
        <v>9</v>
      </c>
      <c r="P872" s="1" t="str">
        <f ca="1">IF(ISERROR(F859),"",IF(ISTEXT(VLOOKUP(B859,INDIRECT($F$8),6+(O872-1)*3)),(VLOOKUP(B859,INDIRECT($F$8),6+(O872-1)*3)),SUM(VLOOKUP(B859,INDIRECT($F$8),6+(O872-1)*3),IF(W878,W872,0))))</f>
        <v/>
      </c>
      <c r="Q872" s="1" t="str">
        <f ca="1">IF(ISERROR(F859),"",VLOOKUP(B859,INDIRECT($F$8),7+(O872-1)*3))</f>
        <v/>
      </c>
      <c r="R872" s="1" t="str">
        <f ca="1">IF(ISERROR(F859),"",SUM(P872:Q872))</f>
        <v/>
      </c>
      <c r="S872" s="1" t="str">
        <f ca="1">IF(ISERROR(F859),"",VLOOKUP(A859,INDIRECT($F$8),6+(O872-1)*3))</f>
        <v/>
      </c>
      <c r="T872" s="1" t="str">
        <f ca="1">IF(ISERROR(F859),"",VLOOKUP(A859,INDIRECT($F$8),7+(O872-1)*3))</f>
        <v/>
      </c>
      <c r="U872" s="1" t="str">
        <f ca="1">IF(ISERROR(F859),"",VLOOKUP(A859,INDIRECT($F$8),8+(O872-1)*3))</f>
        <v/>
      </c>
      <c r="V872" s="1" t="str">
        <f ca="1">IF(ISERROR(F859),"",IF(N872=0,A872,""))</f>
        <v/>
      </c>
      <c r="W872" s="1" t="str">
        <f ca="1">IF(ISERROR(F859),"",IF(ISTEXT(VLOOKUP(B859,INDIRECT($F$8),6+(O872-1)*3)),11,IF(VLOOKUP(B859,INDIRECT($F$8),6+(O872-1)*3)&lt;S872*0.3,IF(VLOOKUP(B859,INDIRECT($F$8),8+(O872-1)*3)&lt;U872*0.4,IF(AND(0.4*U872-VLOOKUP(B859,INDIRECT($F$8),8+(O872-1)*3)&lt;=5,0.3*S872-VLOOKUP(B859,INDIRECT($F$8),6+(O872-1)*3)&lt;=5),MAX(0.4*U872-VLOOKUP(B859,INDIRECT($F$8),8+(O872-1)*3),0.3*S872-VLOOKUP(B859,INDIRECT($F$8),6+(O872-1)*3)),11),IF(0.3*S872-VLOOKUP(B859,INDIRECT($F$8),6+(O872-1)*3)&lt;=5,0.3*S872-VLOOKUP(B859,INDIRECT($F$8),6+(O872-1)*3),11)),IF(VLOOKUP(B859,INDIRECT($F$8),8+(O872-1)*3)&lt;U872*0.4,IF(U872*0.4-VLOOKUP(B859,INDIRECT($F$8),8+(O872-1)*3)&lt;=5,U872*0.4-VLOOKUP(B859,INDIRECT($F$8),8+(O872-1)*3),11),0))))</f>
        <v/>
      </c>
      <c r="X872" s="1" t="str">
        <f ca="1">IF(ISERROR(F859),"",IF(W872=0,"",_xlfn.TEXTJOIN("",FALSE," G+",W872," in ",A872)))</f>
        <v/>
      </c>
    </row>
    <row r="873" spans="1:24" ht="11.25" customHeight="1" x14ac:dyDescent="0.2">
      <c r="A873" s="7" t="str">
        <f ca="1">IF(ISERROR(F859),"",VLOOKUP(C859,INDIRECT($F$8),6+(O873-1)*3,0))</f>
        <v/>
      </c>
      <c r="B873" s="41" t="str">
        <f ca="1">IF(ISERROR(F859),"",VLOOKUP(D859,INDIRECT($F$8),6+(O873-1)*3-Z873,0))</f>
        <v/>
      </c>
      <c r="C873" s="41"/>
      <c r="D873" s="41"/>
      <c r="E873" s="41"/>
      <c r="F873" s="7" t="str">
        <f ca="1">IF(ISERROR(F859),"",VLOOKUP(E859,INDIRECT($F$8),6+(O873-1)*3,0))</f>
        <v/>
      </c>
      <c r="G873" s="42" t="str">
        <f ca="1">IF(ISERROR(F859),"",_xlfn.TEXTJOIN("/",FALSE,P873,S873))</f>
        <v/>
      </c>
      <c r="H873" s="42"/>
      <c r="I873" s="42" t="str">
        <f ca="1">IF(ISERROR(F859),"",_xlfn.TEXTJOIN("/",FALSE,Q873,T873))</f>
        <v/>
      </c>
      <c r="J873" s="42"/>
      <c r="K873" s="42" t="str">
        <f ca="1">IF(ISERROR(F859),"",_xlfn.TEXTJOIN("/",FALSE,R873,U873))</f>
        <v/>
      </c>
      <c r="L873" s="42"/>
      <c r="M873" s="7" t="str">
        <f ca="1">IF(ISERROR(F859),"",IF(ISTEXT(P873),IF(P873="A","Ab",IF(P873="D","Dt",IF(P873="UFM","UFM",IF(P873="NA","-")))),IF(AND(ISBLANK(P873),ISBLANK(R873)),"",IF(P873&lt;0.3*S873,"F",IF(ISBLANK(R873),"",IF(ISTEXT(R873),R873,IF(R873&gt;=0.95*U873,"O",IF(R873&gt;=0.9*U873,"A+",IF(R873&gt;=0.85*U873,"A",IF(R873&gt;=0.8*U873,"B+",IF(R873&gt;=0.75*U873,"B",IF(R873&gt;=0.7*U873,"C+",IF(R873&gt;=0.65*U873,"C",IF(R873&gt;=0.6*U873,"D+",IF(R873&gt;=0.55*U873,"D",IF(R873&gt;=0.5*U873,"E+",IF(R873&gt;=0.45*U873,"E",IF(R873&gt;=0.4*U873,"P",IF(R873&lt;0.4*U873,"F",R873)))))))))))))))))))</f>
        <v/>
      </c>
      <c r="N873" s="8" t="e">
        <f t="shared" ca="1" si="91"/>
        <v>#N/A</v>
      </c>
      <c r="O873">
        <f t="shared" si="92"/>
        <v>10</v>
      </c>
      <c r="P873" s="1" t="str">
        <f ca="1">IF(ISERROR(F859),"",IF(ISTEXT(VLOOKUP(B859,INDIRECT($F$8),6+(O873-1)*3)),(VLOOKUP(B859,INDIRECT($F$8),6+(O873-1)*3)),SUM(VLOOKUP(B859,INDIRECT($F$8),6+(O873-1)*3),IF(W878,W873,0))))</f>
        <v/>
      </c>
      <c r="Q873" s="1" t="str">
        <f ca="1">IF(ISERROR(F859),"",VLOOKUP(B859,INDIRECT($F$8),7+(O873-1)*3))</f>
        <v/>
      </c>
      <c r="R873" s="1" t="str">
        <f ca="1">IF(ISERROR(F859),"",SUM(P873:Q873))</f>
        <v/>
      </c>
      <c r="S873" s="1" t="str">
        <f ca="1">IF(ISERROR(F859),"",VLOOKUP(A859,INDIRECT($F$8),6+(O873-1)*3))</f>
        <v/>
      </c>
      <c r="T873" s="1" t="str">
        <f ca="1">IF(ISERROR(F859),"",VLOOKUP(A859,INDIRECT($F$8),7+(O873-1)*3))</f>
        <v/>
      </c>
      <c r="U873" s="1" t="str">
        <f ca="1">IF(ISERROR(F859),"",VLOOKUP(A859,INDIRECT($F$8),8+(O873-1)*3))</f>
        <v/>
      </c>
      <c r="V873" s="1" t="str">
        <f ca="1">IF(ISERROR(F859),"",IF(N873=0,A873,""))</f>
        <v/>
      </c>
      <c r="W873" s="1" t="str">
        <f ca="1">IF(ISERROR(F859),"",IF(ISTEXT(VLOOKUP(B859,INDIRECT($F$8),6+(O873-1)*3)),11,IF(VLOOKUP(B859,INDIRECT($F$8),6+(O873-1)*3)&lt;S873*0.3,IF(VLOOKUP(B859,INDIRECT($F$8),8+(O873-1)*3)&lt;U873*0.4,IF(AND(0.4*U873-VLOOKUP(B859,INDIRECT($F$8),8+(O873-1)*3)&lt;=5,0.3*S873-VLOOKUP(B859,INDIRECT($F$8),6+(O873-1)*3)&lt;=5),MAX(0.4*U873-VLOOKUP(B859,INDIRECT($F$8),8+(O873-1)*3),0.3*S873-VLOOKUP(B859,INDIRECT($F$8),6+(O873-1)*3)),11),IF(0.3*S873-VLOOKUP(B859,INDIRECT($F$8),6+(O873-1)*3)&lt;=5,0.3*S873-VLOOKUP(B859,INDIRECT($F$8),6+(O873-1)*3),11)),IF(VLOOKUP(B859,INDIRECT($F$8),8+(O873-1)*3)&lt;U873*0.4,IF(U873*0.4-VLOOKUP(B859,INDIRECT($F$8),8+(O873-1)*3)&lt;=5,U873*0.4-VLOOKUP(B859,INDIRECT($F$8),8+(O873-1)*3),11),0))))</f>
        <v/>
      </c>
      <c r="X873" s="1" t="str">
        <f ca="1">IF(ISERROR(F859),"",IF(W873=0,"",_xlfn.TEXTJOIN("",FALSE," G+",W873," in ",A873)))</f>
        <v/>
      </c>
    </row>
    <row r="874" spans="1:24" ht="11.25" customHeight="1" x14ac:dyDescent="0.2">
      <c r="A874" s="7" t="str">
        <f ca="1">IF(ISERROR(F859),"",VLOOKUP(C859,INDIRECT($F$8),6+(O874-1)*3,0))</f>
        <v/>
      </c>
      <c r="B874" s="41" t="str">
        <f ca="1">IF(ISERROR(F859),"",VLOOKUP(D859,INDIRECT($F$8),6+(O874-1)*3,0))</f>
        <v/>
      </c>
      <c r="C874" s="41"/>
      <c r="D874" s="41"/>
      <c r="E874" s="41"/>
      <c r="F874" s="7" t="str">
        <f ca="1">IF(ISERROR(F859),"",VLOOKUP(E859,INDIRECT($F$8),6+(O874-1)*3,0))</f>
        <v/>
      </c>
      <c r="G874" s="42" t="str">
        <f ca="1">IF(ISERROR(F859),"",_xlfn.TEXTJOIN("/",FALSE,P874,S874))</f>
        <v/>
      </c>
      <c r="H874" s="42"/>
      <c r="I874" s="42" t="str">
        <f ca="1">IF(ISERROR(F859),"",_xlfn.TEXTJOIN("/",FALSE,Q874,T874))</f>
        <v/>
      </c>
      <c r="J874" s="42"/>
      <c r="K874" s="42" t="str">
        <f ca="1">IF(ISERROR(F859),"",_xlfn.TEXTJOIN("/",FALSE,R874,U874))</f>
        <v/>
      </c>
      <c r="L874" s="42"/>
      <c r="M874" s="7" t="str">
        <f ca="1">IF(ISERROR(F859),"",IF(ISTEXT(P874),IF(P874="A","Ab",IF(P874="D","Dt",IF(P874="UFM","UFM",IF(P874="NA","-")))),IF(AND(ISBLANK(P874),ISBLANK(R874)),"",IF(P874&lt;0.3*S874,"F",IF(ISBLANK(R874),"",IF(ISTEXT(R874),R874,IF(R874&gt;=0.95*U874,"O",IF(R874&gt;=0.9*U874,"A+",IF(R874&gt;=0.85*U874,"A",IF(R874&gt;=0.8*U874,"B+",IF(R874&gt;=0.75*U874,"B",IF(R874&gt;=0.7*U874,"C+",IF(R874&gt;=0.65*U874,"C",IF(R874&gt;=0.6*U874,"D+",IF(R874&gt;=0.55*U874,"D",IF(R874&gt;=0.5*U874,"E+",IF(R874&gt;=0.45*U874,"E",IF(R874&gt;=0.4*U874,"P",IF(R874&lt;0.4*U874,"F",R874)))))))))))))))))))</f>
        <v/>
      </c>
      <c r="N874" s="8" t="e">
        <f t="shared" ca="1" si="91"/>
        <v>#N/A</v>
      </c>
      <c r="O874">
        <f t="shared" si="92"/>
        <v>11</v>
      </c>
      <c r="P874" s="1" t="str">
        <f ca="1">IF(ISERROR(F859),"",IF(ISTEXT(VLOOKUP(B859,INDIRECT($F$8),6+(O874-1)*3)),(VLOOKUP(B859,INDIRECT($F$8),6+(O874-1)*3)),SUM(VLOOKUP(B859,INDIRECT($F$8),6+(O874-1)*3),IF(W878,W874,0))))</f>
        <v/>
      </c>
      <c r="Q874" s="1" t="str">
        <f ca="1">IF(ISERROR(F859),"",VLOOKUP(B859,INDIRECT($F$8),7+(O874-1)*3))</f>
        <v/>
      </c>
      <c r="R874" s="1" t="str">
        <f ca="1">IF(ISERROR(F859),"",SUM(P874:Q874))</f>
        <v/>
      </c>
      <c r="S874" s="1" t="str">
        <f ca="1">IF(ISERROR(F859),"",VLOOKUP(A859,INDIRECT($F$8),6+(O874-1)*3))</f>
        <v/>
      </c>
      <c r="T874" s="1" t="str">
        <f ca="1">IF(ISERROR(F859),"",VLOOKUP(A859,INDIRECT($F$8),7+(O874-1)*3))</f>
        <v/>
      </c>
      <c r="U874" s="1" t="str">
        <f ca="1">IF(ISERROR(F859),"",VLOOKUP(A859,INDIRECT($F$8),8+(O874-1)*3))</f>
        <v/>
      </c>
      <c r="V874" s="1" t="str">
        <f ca="1">IF(ISERROR(F859),"",IF(N874=0,A874,""))</f>
        <v/>
      </c>
      <c r="W874" s="1" t="str">
        <f ca="1">IF(ISERROR(F859),"",IF(ISTEXT(VLOOKUP(B859,INDIRECT($F$8),6+(O874-1)*3)),11,IF(VLOOKUP(B859,INDIRECT($F$8),6+(O874-1)*3)&lt;S874*0.3,IF(VLOOKUP(B859,INDIRECT($F$8),8+(O874-1)*3)&lt;U874*0.4,IF(AND(0.4*U874-VLOOKUP(B859,INDIRECT($F$8),8+(O874-1)*3)&lt;=5,0.3*S874-VLOOKUP(B859,INDIRECT($F$8),6+(O874-1)*3)&lt;=5),MAX(0.4*U874-VLOOKUP(B859,INDIRECT($F$8),8+(O874-1)*3),0.3*S874-VLOOKUP(B859,INDIRECT($F$8),6+(O874-1)*3)),11),IF(0.3*S874-VLOOKUP(B859,INDIRECT($F$8),6+(O874-1)*3)&lt;=5,0.3*S874-VLOOKUP(B859,INDIRECT($F$8),6+(O874-1)*3),11)),IF(VLOOKUP(B859,INDIRECT($F$8),8+(O874-1)*3)&lt;U874*0.4,IF(U874*0.4-VLOOKUP(B859,INDIRECT($F$8),8+(O874-1)*3)&lt;=5,U874*0.4-VLOOKUP(B859,INDIRECT($F$8),8+(O874-1)*3),11),0))))</f>
        <v/>
      </c>
      <c r="X874" s="1" t="str">
        <f ca="1">IF(ISERROR(F859),"",IF(W874=0,"",_xlfn.TEXTJOIN("",FALSE," G+",W874," in ",A874)))</f>
        <v/>
      </c>
    </row>
    <row r="875" spans="1:24" ht="11.25" customHeight="1" x14ac:dyDescent="0.2">
      <c r="A875" s="7" t="str">
        <f ca="1">IF(ISERROR(F859),"",VLOOKUP(C859,INDIRECT($F$8),6+(O875-1)*3,0))</f>
        <v/>
      </c>
      <c r="B875" s="41" t="str">
        <f ca="1">IF(ISERROR(F859),"",VLOOKUP(D859,INDIRECT($F$8),6+(O875-1)*3,0))</f>
        <v/>
      </c>
      <c r="C875" s="41"/>
      <c r="D875" s="41"/>
      <c r="E875" s="41"/>
      <c r="F875" s="7" t="str">
        <f ca="1">IF(ISERROR(F859),"",VLOOKUP(E859,INDIRECT($F$8),6+(O875-1)*3,0))</f>
        <v/>
      </c>
      <c r="G875" s="42" t="str">
        <f ca="1">IF(ISERROR(F859),"",_xlfn.TEXTJOIN("/",FALSE,P875,S875))</f>
        <v/>
      </c>
      <c r="H875" s="42"/>
      <c r="I875" s="42" t="str">
        <f ca="1">IF(ISERROR(F859),"",_xlfn.TEXTJOIN("/",FALSE,Q875,T875))</f>
        <v/>
      </c>
      <c r="J875" s="42"/>
      <c r="K875" s="42" t="str">
        <f ca="1">IF(ISERROR(F859),"",_xlfn.TEXTJOIN("/",FALSE,R875,U875))</f>
        <v/>
      </c>
      <c r="L875" s="42"/>
      <c r="M875" s="7" t="str">
        <f ca="1">IF(ISERROR(F859),"",IF(ISTEXT(P875),IF(P875="A","Ab",IF(P875="D","Dt",IF(P875="UFM","UFM",IF(P875="NA","-")))),IF(AND(ISBLANK(P875),ISBLANK(R875)),"",IF(P875&lt;0.3*S875,"F",IF(ISBLANK(R875),"",IF(ISTEXT(R875),R875,IF(R875&gt;=0.95*U875,"O",IF(R875&gt;=0.9*U875,"A+",IF(R875&gt;=0.85*U875,"A",IF(R875&gt;=0.8*U875,"B+",IF(R875&gt;=0.75*U875,"B",IF(R875&gt;=0.7*U875,"C+",IF(R875&gt;=0.65*U875,"C",IF(R875&gt;=0.6*U875,"D+",IF(R875&gt;=0.55*U875,"D",IF(R875&gt;=0.5*U875,"E+",IF(R875&gt;=0.45*U875,"E",IF(R875&gt;=0.4*U875,"P",IF(R875&lt;0.4*U875,"F",R875)))))))))))))))))))</f>
        <v/>
      </c>
      <c r="N875" s="8" t="e">
        <f t="shared" ca="1" si="91"/>
        <v>#N/A</v>
      </c>
      <c r="O875">
        <f t="shared" si="92"/>
        <v>12</v>
      </c>
      <c r="P875" s="1" t="str">
        <f ca="1">IF(ISERROR(F859),"",IF(ISTEXT(VLOOKUP(B859,INDIRECT($F$8),6+(O875-1)*3)),(VLOOKUP(B859,INDIRECT($F$8),6+(O875-1)*3)),SUM(VLOOKUP(B859,INDIRECT($F$8),6+(O875-1)*3),IF(W878,W875,0))))</f>
        <v/>
      </c>
      <c r="Q875" s="1" t="str">
        <f ca="1">IF(ISERROR(F859),"",VLOOKUP(B859,INDIRECT($F$8),7+(O875-1)*3))</f>
        <v/>
      </c>
      <c r="R875" s="1" t="str">
        <f ca="1">IF(ISERROR(F859),"",SUM(P875:Q875))</f>
        <v/>
      </c>
      <c r="S875" s="1" t="str">
        <f ca="1">IF(ISERROR(F859),"",VLOOKUP(A859,INDIRECT($F$8),6+(O875-1)*3))</f>
        <v/>
      </c>
      <c r="T875" s="1" t="str">
        <f ca="1">IF(ISERROR(F859),"",VLOOKUP(A859,INDIRECT($F$8),7+(O875-1)*3))</f>
        <v/>
      </c>
      <c r="U875" s="1" t="str">
        <f ca="1">IF(ISERROR(F859),"",VLOOKUP(A859,INDIRECT($F$8),8+(O875-1)*3))</f>
        <v/>
      </c>
      <c r="V875" s="1" t="str">
        <f ca="1">IF(ISERROR(F859),"",IF(N875=0,A875,""))</f>
        <v/>
      </c>
      <c r="W875" s="1" t="str">
        <f ca="1">IF(ISERROR(F859),"",IF(ISTEXT(VLOOKUP(B859,INDIRECT($F$8),6+(O875-1)*3)),11,IF(VLOOKUP(B859,INDIRECT($F$8),6+(O875-1)*3)&lt;S875*0.3,IF(VLOOKUP(B859,INDIRECT($F$8),8+(O875-1)*3)&lt;U875*0.4,IF(AND(0.4*U875-VLOOKUP(B859,INDIRECT($F$8),8+(O875-1)*3)&lt;=5,0.3*S875-VLOOKUP(B859,INDIRECT($F$8),6+(O875-1)*3)&lt;=5),MAX(0.4*U875-VLOOKUP(B859,INDIRECT($F$8),8+(O875-1)*3),0.3*S875-VLOOKUP(B859,INDIRECT($F$8),6+(O875-1)*3)),11),IF(0.3*S875-VLOOKUP(B859,INDIRECT($F$8),6+(O875-1)*3)&lt;=5,0.3*S875-VLOOKUP(B859,INDIRECT($F$8),6+(O875-1)*3),11)),IF(VLOOKUP(B859,INDIRECT($F$8),8+(O875-1)*3)&lt;U875*0.4,IF(U875*0.4-VLOOKUP(B859,INDIRECT($F$8),8+(O875-1)*3)&lt;=5,U875*0.4-VLOOKUP(B859,INDIRECT($F$8),8+(O875-1)*3),11),0))))</f>
        <v/>
      </c>
      <c r="X875" s="1" t="str">
        <f ca="1">IF(ISERROR(F859),"",IF(W875=0,"",_xlfn.TEXTJOIN("",FALSE," G+",W875," in ",A875)))</f>
        <v/>
      </c>
    </row>
    <row r="876" spans="1:24" ht="11.25" customHeight="1" x14ac:dyDescent="0.2">
      <c r="A876" s="7" t="str">
        <f ca="1">IF(ISERROR(F859),"",VLOOKUP(C859,INDIRECT($F$8),6+(O876-1)*3,0))</f>
        <v/>
      </c>
      <c r="B876" s="41" t="str">
        <f ca="1">IF(ISERROR(F859),"",VLOOKUP(D859,INDIRECT($F$8),6+(O876-1)*3,0))</f>
        <v/>
      </c>
      <c r="C876" s="41"/>
      <c r="D876" s="41"/>
      <c r="E876" s="41"/>
      <c r="F876" s="7" t="str">
        <f ca="1">IF(ISERROR(F859),"",VLOOKUP(E859,INDIRECT($F$8),6+(O876-1)*3,0))</f>
        <v/>
      </c>
      <c r="G876" s="42" t="str">
        <f ca="1">IF(ISERROR(F859),"",_xlfn.TEXTJOIN("/",FALSE,P876,S876))</f>
        <v/>
      </c>
      <c r="H876" s="42"/>
      <c r="I876" s="42" t="str">
        <f ca="1">IF(ISERROR(F859),"",_xlfn.TEXTJOIN("/",FALSE,Q876,T876))</f>
        <v/>
      </c>
      <c r="J876" s="42"/>
      <c r="K876" s="42" t="str">
        <f ca="1">IF(ISERROR(F859),"",_xlfn.TEXTJOIN("/",FALSE,R876,U876))</f>
        <v/>
      </c>
      <c r="L876" s="42"/>
      <c r="M876" s="7" t="str">
        <f ca="1">IF(ISERROR(F859),"",IF(ISTEXT(P876),IF(P876="A","Ab",IF(P876="D","Dt",IF(P876="UFM","UFM",IF(P876="NA","-")))),IF(AND(ISBLANK(P876),ISBLANK(R876)),"",IF(P876&lt;0.3*S876,"F",IF(ISBLANK(R876),"",IF(ISTEXT(R876),R876,IF(R876&gt;=0.95*U876,"O",IF(R876&gt;=0.9*U876,"A+",IF(R876&gt;=0.85*U876,"A",IF(R876&gt;=0.8*U876,"B+",IF(R876&gt;=0.75*U876,"B",IF(R876&gt;=0.7*U876,"C+",IF(R876&gt;=0.65*U876,"C",IF(R876&gt;=0.6*U876,"D+",IF(R876&gt;=0.55*U876,"D",IF(R876&gt;=0.5*U876,"E+",IF(R876&gt;=0.45*U876,"E",IF(R876&gt;=0.4*U876,"P",IF(R876&lt;0.4*U876,"F",R876)))))))))))))))))))</f>
        <v/>
      </c>
      <c r="N876" s="8" t="e">
        <f t="shared" ca="1" si="91"/>
        <v>#N/A</v>
      </c>
      <c r="O876">
        <f t="shared" si="92"/>
        <v>13</v>
      </c>
      <c r="P876" s="1" t="str">
        <f ca="1">IF(ISERROR(F859),"",IF(ISTEXT(VLOOKUP(B859,INDIRECT($F$8),6+(O876-1)*3)),(VLOOKUP(B859,INDIRECT($F$8),6+(O876-1)*3)),SUM(VLOOKUP(B859,INDIRECT($F$8),6+(O876-1)*3),IF(W878,W876,0))))</f>
        <v/>
      </c>
      <c r="Q876" s="1" t="str">
        <f ca="1">IF(ISERROR(F859),"",VLOOKUP(B859,INDIRECT($F$8),7+(O876-1)*3))</f>
        <v/>
      </c>
      <c r="R876" s="1" t="str">
        <f ca="1">IF(ISERROR(F859),"",SUM(P876:Q876))</f>
        <v/>
      </c>
      <c r="S876" s="1" t="str">
        <f ca="1">IF(ISERROR(F859),"",VLOOKUP(A859,INDIRECT($F$8),6+(O876-1)*3))</f>
        <v/>
      </c>
      <c r="T876" s="1" t="str">
        <f ca="1">IF(ISERROR(F859),"",VLOOKUP(A859,INDIRECT($F$8),7+(O876-1)*3))</f>
        <v/>
      </c>
      <c r="U876" s="1" t="str">
        <f ca="1">IF(ISERROR(F859),"",VLOOKUP(A859,INDIRECT($F$8),8+(O876-1)*3))</f>
        <v/>
      </c>
      <c r="V876" s="1"/>
      <c r="W876" s="1" t="str">
        <f ca="1">IF(ISERROR(F859),"",IF(ISTEXT(VLOOKUP(B859,INDIRECT($F$8),6+(O876-1)*3)),11,IF(VLOOKUP(B859,INDIRECT($F$8),6+(O876-1)*3)&lt;S876*0.3,IF(VLOOKUP(B859,INDIRECT($F$8),8+(O876-1)*3)&lt;U876*0.4,IF(AND(0.4*U876-VLOOKUP(B859,INDIRECT($F$8),8+(O876-1)*3)&lt;=5,0.3*S876-VLOOKUP(B859,INDIRECT($F$8),6+(O876-1)*3)&lt;=5),MAX(0.4*U876-VLOOKUP(B859,INDIRECT($F$8),8+(O876-1)*3),0.3*S876-VLOOKUP(B859,INDIRECT($F$8),6+(O876-1)*3)),11),IF(0.3*S876-VLOOKUP(B859,INDIRECT($F$8),6+(O876-1)*3)&lt;=5,0.3*S876-VLOOKUP(B859,INDIRECT($F$8),6+(O876-1)*3),11)),IF(VLOOKUP(B859,INDIRECT($F$8),8+(O876-1)*3)&lt;U876*0.4,IF(U876*0.4-VLOOKUP(B859,INDIRECT($F$8),8+(O876-1)*3)&lt;=5,U876*0.4-VLOOKUP(B859,INDIRECT($F$8),8+(O876-1)*3),11),0))))</f>
        <v/>
      </c>
      <c r="X876" s="1" t="str">
        <f ca="1">IF(ISERROR(F859),"",IF(W876=0,"",_xlfn.TEXTJOIN("",FALSE," G+",W876," in ",A876)))</f>
        <v/>
      </c>
    </row>
    <row r="877" spans="1:24" s="32" customFormat="1" ht="11.25" customHeight="1" x14ac:dyDescent="0.2">
      <c r="A877" s="31" t="str">
        <f ca="1">IF(ISERROR(F859),"",VLOOKUP(C859,INDIRECT($F$8),6+(O877-1)*3-Y877,0))</f>
        <v/>
      </c>
      <c r="B877" s="49" t="str">
        <f ca="1">IF(ISERROR(F859),"",VLOOKUP(D859,INDIRECT($F$8),6+(O877-1)*3-Z877,0))</f>
        <v/>
      </c>
      <c r="C877" s="49"/>
      <c r="D877" s="49"/>
      <c r="E877" s="49"/>
      <c r="F877" s="31" t="str">
        <f ca="1">IF(ISERROR(F859),"",VLOOKUP(E859,INDIRECT($F$8),6+(O877-1)*3-AA877,0))</f>
        <v/>
      </c>
      <c r="G877" s="50" t="str">
        <f ca="1">IF(ISERROR(F859),"","-")</f>
        <v/>
      </c>
      <c r="H877" s="50"/>
      <c r="I877" s="50" t="str">
        <f ca="1">IF(ISERROR(F859),"",_xlfn.TEXTJOIN("/",FALSE,Q877,T877))</f>
        <v/>
      </c>
      <c r="J877" s="50"/>
      <c r="K877" s="50" t="str">
        <f ca="1">IF(ISERROR(F859),"",_xlfn.TEXTJOIN("/",FALSE,R877,U877))</f>
        <v/>
      </c>
      <c r="L877" s="50"/>
      <c r="M877" s="7" t="b">
        <f ca="1">IF(ISERROR(F860),"",IF(ISTEXT(P877),IF(P877="A","Ab",IF(P877="D","Dt",IF(P877="UFM","UFM",IF(P877="NA","")))),IF(AND(ISBLANK(P877),ISBLANK(R877)),"",IF(P877&lt;0.3*S877,"F",IF(ISBLANK(R877),"",IF(ISTEXT(R877),R877,IF(R877&gt;=0.95*U877,"O",IF(R877&gt;=0.9*U877,"A+",IF(R877&gt;=0.85*U877,"A",IF(R877&gt;=0.8*U877,"B+",IF(R877&gt;=0.75*U877,"B",IF(R877&gt;=0.7*U877,"C+",IF(R877&gt;=0.65*U877,"C",IF(R877&gt;=0.6*U877,"D+",IF(R877&gt;=0.55*U877,"D",IF(R877&gt;=0.5*U877,"E+",IF(R877&gt;=0.45*U877,"E",IF(R877&gt;=0.4*U877,"P",IF(R877&lt;0.4*U877,"F",R877)))))))))))))))))))</f>
        <v>0</v>
      </c>
      <c r="N877" s="8" t="e">
        <f t="shared" ref="N866:N877" ca="1" si="93">INDEX($Z$2:$Z$18,MATCH(M877,$Y$2:$Y$18,0))</f>
        <v>#N/A</v>
      </c>
      <c r="O877" s="32">
        <f t="shared" si="92"/>
        <v>14</v>
      </c>
      <c r="P877" s="33" t="str">
        <f ca="1">IF(ISERROR(F859),"",IF(ISTEXT(VLOOKUP(B\28,INDIRECT($F$8),6+(O877-1)*3)),(VLOOKUP(B859,INDIRECT($F$8),6+(O877-1)*3)),SUM(VLOOKUP(B859,INDIRECT($F$8),6+(O877-1)*3),IF(W878,W877,0))))</f>
        <v/>
      </c>
      <c r="Q877" s="33" t="str">
        <f ca="1">IF(ISERROR(F859),"",VLOOKUP(B859,INDIRECT($F$8),7+(O877-1)*3))</f>
        <v/>
      </c>
      <c r="R877" s="33" t="str">
        <f ca="1">IF(ISERROR(F859),"",SUM(P877:Q877))</f>
        <v/>
      </c>
      <c r="S877" s="33" t="str">
        <f ca="1">IF(ISERROR(F859),"",VLOOKUP(A859,INDIRECT($F$8),6+(O877-1)*3))</f>
        <v/>
      </c>
      <c r="T877" s="33" t="str">
        <f ca="1">IF(ISERROR(F859),"",VLOOKUP(A859,INDIRECT($F$8),7+(O877-1)*3))</f>
        <v/>
      </c>
      <c r="U877" s="33" t="str">
        <f ca="1">IF(ISERROR(F859),"",VLOOKUP(A859,INDIRECT($F$8),8+(O877-1)*3))</f>
        <v/>
      </c>
      <c r="V877" s="33"/>
      <c r="W877" s="33"/>
      <c r="X877" s="33" t="str">
        <f ca="1">IF(ISERROR(F859),"",IF(W877=0,"",_xlfn.TEXTJOIN("",FALSE," G+",W877," in ",A877)))</f>
        <v/>
      </c>
    </row>
    <row r="878" spans="1:24" ht="11.25" customHeight="1" x14ac:dyDescent="0.2">
      <c r="A878" s="43" t="str">
        <f ca="1">IF(ISERROR(F859),"",A855)</f>
        <v/>
      </c>
      <c r="B878" s="43"/>
      <c r="C878" s="43"/>
      <c r="D878" s="43"/>
      <c r="E878" s="43"/>
      <c r="F878" s="10" t="str">
        <f ca="1">IF(ISERROR(F859),"",SUM(F864:F877))</f>
        <v/>
      </c>
      <c r="G878" s="44" t="str">
        <f ca="1">IF(ISERROR(F859),"",_xlfn.TEXTJOIN("/",TRUE,SUMIF(F864:F877,"&gt;0",P864:P877),SUMIF(F864:F877,"&gt;0",S864:S877)))</f>
        <v/>
      </c>
      <c r="H878" s="44"/>
      <c r="I878" s="44" t="str">
        <f ca="1">IF(ISERROR(F859),"",_xlfn.TEXTJOIN("/",TRUE,SUMIF(F864:F877,"&gt;0",Q864:Q877),SUMIF(F864:F877,"&gt;0",T864:T877)))</f>
        <v/>
      </c>
      <c r="J878" s="44"/>
      <c r="K878" s="44" t="str">
        <f ca="1">IF(ISERROR(F859),"",_xlfn.TEXTJOIN("/",TRUE,SUMIF(F864:F877,"&gt;0",R864:R877),SUMIF(F864:F877,"&gt;0",U864:U877)))</f>
        <v/>
      </c>
      <c r="L878" s="44"/>
      <c r="M878" s="43" t="str">
        <f ca="1">IF(ISERROR(F859),"",SUMPRODUCT(N864:N876,F864:F876))</f>
        <v/>
      </c>
      <c r="N878" s="43"/>
      <c r="V878" s="1" t="str">
        <f ca="1">IF(ISERROR(F859),"",_xlfn.TEXTJOIN(", ",TRUE,V864:V877))</f>
        <v/>
      </c>
      <c r="W878" t="str">
        <f ca="1">IF(ISERROR(F859),"",IF(SUM(W864:W877)&lt;=W863,TRUE,FALSE))</f>
        <v/>
      </c>
      <c r="X878" s="1" t="str">
        <f ca="1">_xlfn.TEXTJOIN(",",TRUE,X864:X877)</f>
        <v/>
      </c>
    </row>
    <row r="879" spans="1:24" ht="11.25" customHeight="1" x14ac:dyDescent="0.2">
      <c r="A879" s="43" t="str">
        <f ca="1">IF(ISERROR(F859),"",A856)</f>
        <v/>
      </c>
      <c r="B879" s="45" t="str">
        <f ca="1">IF(ISERROR(F859),"",IF(V878="","PASS","CARRY OVER"))</f>
        <v/>
      </c>
      <c r="C879" s="45"/>
      <c r="D879" s="43" t="str">
        <f ca="1">IF(ISERROR(F859),"",D856)</f>
        <v/>
      </c>
      <c r="E879" s="45" t="str">
        <f ca="1">IF(ISERROR(F859),"",IF(W878,X878,IF(V878="","",_xlfn.TEXTJOIN("",TRUE,"BACK IN ",V878))))</f>
        <v/>
      </c>
      <c r="F879" s="45"/>
      <c r="G879" s="43" t="str">
        <f ca="1">IF(ISERROR(F859),"",G856)</f>
        <v/>
      </c>
      <c r="H879" s="46" t="str">
        <f ca="1">IF(ISERROR(F859),"",M878/F878)</f>
        <v/>
      </c>
      <c r="I879" s="43" t="str">
        <f ca="1">IF(ISERROR(F859),"",I856)</f>
        <v/>
      </c>
      <c r="J879" s="46" t="str">
        <f ca="1">IF(ISERROR(F859),"",VLOOKUP(B859,INDIRECT($F$8),12+(O877-1)*3,0))</f>
        <v/>
      </c>
      <c r="K879" s="45" t="str">
        <f ca="1">IF(ISERROR(F859),"",K856)</f>
        <v/>
      </c>
      <c r="L879" s="43" t="str">
        <f ca="1">IF(ISERROR(F859),"",SUMIF(N864:N876,"&gt;0",F864:F876))</f>
        <v/>
      </c>
      <c r="M879" s="45" t="str">
        <f ca="1">IF(ISERROR(F859),"",M856)</f>
        <v/>
      </c>
      <c r="N879" s="43" t="str">
        <f ca="1">IF(ISERROR(F859),"",VLOOKUP(B859,INDIRECT($F$8),10+(O877-1)*3,0))</f>
        <v/>
      </c>
    </row>
    <row r="880" spans="1:24" ht="11.25" customHeight="1" x14ac:dyDescent="0.2">
      <c r="A880" s="43"/>
      <c r="B880" s="45"/>
      <c r="C880" s="45"/>
      <c r="D880" s="43"/>
      <c r="E880" s="45"/>
      <c r="F880" s="45"/>
      <c r="G880" s="43"/>
      <c r="H880" s="46"/>
      <c r="I880" s="43"/>
      <c r="J880" s="46"/>
      <c r="K880" s="45"/>
      <c r="L880" s="43"/>
      <c r="M880" s="45"/>
      <c r="N880" s="43"/>
    </row>
    <row r="881" spans="1:24" ht="11.25" customHeight="1" x14ac:dyDescent="0.2">
      <c r="A881" s="43"/>
      <c r="B881" s="45"/>
      <c r="C881" s="45"/>
      <c r="D881" s="43"/>
      <c r="E881" s="45"/>
      <c r="F881" s="45"/>
      <c r="G881" s="43"/>
      <c r="H881" s="46"/>
      <c r="I881" s="43"/>
      <c r="J881" s="46"/>
      <c r="K881" s="45"/>
      <c r="L881" s="43"/>
      <c r="M881" s="45"/>
      <c r="N881" s="43"/>
    </row>
    <row r="882" spans="1:24" ht="11.25" customHeight="1" x14ac:dyDescent="0.2">
      <c r="A882" s="11" t="str">
        <f>A859</f>
        <v>MM</v>
      </c>
      <c r="B882" s="11">
        <f>B859+1</f>
        <v>39</v>
      </c>
      <c r="C882" s="11" t="str">
        <f>C859</f>
        <v>SC</v>
      </c>
      <c r="D882" s="11" t="str">
        <f>D859</f>
        <v>SN</v>
      </c>
      <c r="E882" s="11" t="str">
        <f>E859</f>
        <v>C</v>
      </c>
      <c r="F882" s="11" t="e">
        <f ca="1">VLOOKUP(B882,INDIRECT($F$8),4,0)</f>
        <v>#N/A</v>
      </c>
    </row>
    <row r="883" spans="1:24" ht="11.25" customHeight="1" x14ac:dyDescent="0.2">
      <c r="A883" s="47" t="str">
        <f ca="1">IF(ISERROR(F882),"",A860)</f>
        <v/>
      </c>
      <c r="B883" s="47" t="str">
        <f ca="1">IFERROR(VLOOKUP(B882,INDIRECT($F$8),4,0),"")</f>
        <v/>
      </c>
      <c r="C883" s="47"/>
      <c r="D883" s="47" t="str">
        <f ca="1">IF(ISERROR(F882),"",D860)</f>
        <v/>
      </c>
      <c r="E883" s="47" t="str">
        <f ca="1">IFERROR(VLOOKUP(B882,INDIRECT($F$8),5,0),"")</f>
        <v/>
      </c>
      <c r="F883" s="47"/>
      <c r="G883" s="47" t="str">
        <f ca="1">IF(ISERROR(F882),"",G860)</f>
        <v/>
      </c>
      <c r="H883" s="47"/>
      <c r="I883" s="48" t="str">
        <f ca="1">IFERROR(VLOOKUP(B882,INDIRECT($F$8),2,0),"")</f>
        <v/>
      </c>
      <c r="J883" s="48"/>
      <c r="K883" s="47" t="str">
        <f ca="1">IF(ISERROR(F882),"",K860)</f>
        <v/>
      </c>
      <c r="L883" s="47"/>
      <c r="M883" s="48" t="str">
        <f ca="1">IFERROR(VLOOKUP(B882,INDIRECT($F$8),3,0),"")</f>
        <v/>
      </c>
      <c r="N883" s="48"/>
    </row>
    <row r="884" spans="1:24" ht="11.25" customHeight="1" x14ac:dyDescent="0.2">
      <c r="A884" s="47"/>
      <c r="B884" s="47"/>
      <c r="C884" s="47"/>
      <c r="D884" s="47"/>
      <c r="E884" s="47"/>
      <c r="F884" s="47"/>
      <c r="G884" s="47"/>
      <c r="H884" s="47"/>
      <c r="I884" s="48"/>
      <c r="J884" s="48"/>
      <c r="K884" s="47"/>
      <c r="L884" s="47"/>
      <c r="M884" s="48"/>
      <c r="N884" s="48"/>
    </row>
    <row r="885" spans="1:24" ht="11.25" customHeight="1" x14ac:dyDescent="0.2">
      <c r="A885" s="45" t="str">
        <f ca="1">IF(ISERROR(F882),"",A862)</f>
        <v/>
      </c>
      <c r="B885" s="45" t="str">
        <f ca="1">IF(ISERROR(F882),"",B862)</f>
        <v/>
      </c>
      <c r="C885" s="45"/>
      <c r="D885" s="45"/>
      <c r="E885" s="45"/>
      <c r="F885" s="45" t="str">
        <f ca="1">IF(ISERROR(F882),"",F862)</f>
        <v/>
      </c>
      <c r="G885" s="45" t="str">
        <f ca="1">IF(ISERROR(F882),"",G862)</f>
        <v/>
      </c>
      <c r="H885" s="45"/>
      <c r="I885" s="45" t="str">
        <f ca="1">IF(ISERROR(F882),"",I862)</f>
        <v/>
      </c>
      <c r="J885" s="45"/>
      <c r="K885" s="45" t="str">
        <f ca="1">IF(ISERROR(F882),"",K862)</f>
        <v/>
      </c>
      <c r="L885" s="45"/>
      <c r="M885" s="45" t="str">
        <f ca="1">IF(ISERROR(F882),"",M862)</f>
        <v/>
      </c>
      <c r="N885" s="45" t="str">
        <f ca="1">IF(ISERROR(F882),"",N862)</f>
        <v/>
      </c>
    </row>
    <row r="886" spans="1:24" ht="11.25" customHeight="1" x14ac:dyDescent="0.2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W886">
        <f ca="1">IF(ISNUMBER(MATCH($F$8,{"I","III","V","VII"},0)),10,10-INDEX(INDIRECT(_xlfn.TEXTJOIN("",TRUE,"SEM_",$G$8,"!",ADDRESS(6,4+$I$8*3+4),":",ADDRESS(5+$H$8,4+$I$8*3+4))),MATCH(INDIRECT(_xlfn.TEXTJOIN("",TRUE,"TC_",$F$8,"!",ADDRESS(ROW(I883),COLUMN(I883)))),INDIRECT(_xlfn.TEXTJOIN("",TRUE,"SEM_",$G$8,"!",ADDRESS(6,2),":",ADDRESS(5+$H$8,2))))))</f>
        <v>10</v>
      </c>
    </row>
    <row r="887" spans="1:24" ht="11.25" customHeight="1" x14ac:dyDescent="0.2">
      <c r="A887" s="7" t="str">
        <f ca="1">IF(ISERROR(F882),"",VLOOKUP(C882,INDIRECT($F$8),6+(O887-1)*3,0))</f>
        <v/>
      </c>
      <c r="B887" s="41" t="str">
        <f ca="1">IF(ISERROR(F882),"",VLOOKUP(D882,INDIRECT($F$8),6+(O887-1)*3,0))</f>
        <v/>
      </c>
      <c r="C887" s="41"/>
      <c r="D887" s="41"/>
      <c r="E887" s="41"/>
      <c r="F887" s="7" t="str">
        <f ca="1">IF(ISERROR(F882),"",VLOOKUP(E882,INDIRECT($F$8),6+(O887-1)*3,0))</f>
        <v/>
      </c>
      <c r="G887" s="42" t="str">
        <f ca="1">IF(ISERROR(F882),"",_xlfn.TEXTJOIN("/",FALSE,P887,S887))</f>
        <v/>
      </c>
      <c r="H887" s="42"/>
      <c r="I887" s="42" t="str">
        <f ca="1">IF(ISERROR(F882),"",_xlfn.TEXTJOIN("/",FALSE,Q887,T887))</f>
        <v/>
      </c>
      <c r="J887" s="42"/>
      <c r="K887" s="42" t="str">
        <f ca="1">IF(ISERROR(F882),"",_xlfn.TEXTJOIN("/",FALSE,R887,U887))</f>
        <v/>
      </c>
      <c r="L887" s="42"/>
      <c r="M887" s="7" t="str">
        <f ca="1">IF(ISERROR(F882),"",IF(ISTEXT(P887),IF(P887="A","Ab",IF(P887="D","Dt",IF(P887="UFM","UFM",IF(P887="NA","-")))),IF(AND(ISBLANK(P887),ISBLANK(R887)),"",IF(P887&lt;0.3*S887,"F",IF(ISBLANK(R887),"",IF(ISTEXT(R887),R887,IF(R887&gt;=0.95*U887,"O",IF(R887&gt;=0.9*U887,"A+",IF(R887&gt;=0.85*U887,"A",IF(R887&gt;=0.8*U887,"B+",IF(R887&gt;=0.75*U887,"B",IF(R887&gt;=0.7*U887,"C+",IF(R887&gt;=0.65*U887,"C",IF(R887&gt;=0.6*U887,"D+",IF(R887&gt;=0.55*U887,"D",IF(R887&gt;=0.5*U887,"E+",IF(R887&gt;=0.45*U887,"E",IF(R887&gt;=0.4*U887,"P",IF(R887&lt;0.4*U887,"F",R887)))))))))))))))))))</f>
        <v/>
      </c>
      <c r="N887" s="8" t="e">
        <f ca="1">INDEX($Z$2:$Z$18,MATCH(M887,$Y$2:$Y$18,0))</f>
        <v>#N/A</v>
      </c>
      <c r="O887">
        <v>1</v>
      </c>
      <c r="P887" s="1" t="str">
        <f ca="1">IF(ISERROR(F882),"",IF(ISTEXT(VLOOKUP(B882,INDIRECT($F$8),6+(O887-1)*3)),(VLOOKUP(B882,INDIRECT($F$8),6+(O887-1)*3)),SUM(VLOOKUP(B882,INDIRECT($F$8),6+(O887-1)*3),IF(W901,W887,0))))</f>
        <v/>
      </c>
      <c r="Q887" s="1" t="str">
        <f ca="1">IF(ISERROR(F882),"",VLOOKUP(B882,INDIRECT($F$8),7+(O887-1)*3))</f>
        <v/>
      </c>
      <c r="R887" s="1" t="str">
        <f ca="1">IF(ISERROR(F882),"",SUM(P887:Q887))</f>
        <v/>
      </c>
      <c r="S887" s="1" t="str">
        <f ca="1">IF(ISERROR(F882),"",VLOOKUP(A882,INDIRECT($F$8),6+(O887-1)*3))</f>
        <v/>
      </c>
      <c r="T887" s="1" t="str">
        <f ca="1">IF(ISERROR(F882),"",VLOOKUP(A882,INDIRECT($F$8),7+(O887-1)*3))</f>
        <v/>
      </c>
      <c r="U887" s="1" t="str">
        <f ca="1">IF(ISERROR(F882),"",VLOOKUP(A882,INDIRECT($F$8),8+(O887-1)*3))</f>
        <v/>
      </c>
      <c r="V887" s="1" t="str">
        <f ca="1">IF(ISERROR(F882),"",IF(N887=0,A887,""))</f>
        <v/>
      </c>
      <c r="W887" s="1" t="str">
        <f ca="1">IF(ISERROR(F882),"",IF(ISTEXT(VLOOKUP(B882,INDIRECT($F$8),6+(O887-1)*3)),11,IF(VLOOKUP(B882,INDIRECT($F$8),6+(O887-1)*3)&lt;S887*0.3,IF(VLOOKUP(B882,INDIRECT($F$8),8+(O887-1)*3)&lt;U887*0.4,IF(AND(0.4*U887-VLOOKUP(B882,INDIRECT($F$8),8+(O887-1)*3)&lt;=5,0.3*S887-VLOOKUP(B882,INDIRECT($F$8),6+(O887-1)*3)&lt;=5),MAX(0.4*U887-VLOOKUP(B882,INDIRECT($F$8),8+(O887-1)*3),0.3*S887-VLOOKUP(B882,INDIRECT($F$8),6+(O887-1)*3)),11),IF(0.3*S887-VLOOKUP(B882,INDIRECT($F$8),6+(O887-1)*3)&lt;=5,0.3*S887-VLOOKUP(B882,INDIRECT($F$8),6+(O887-1)*3),11)),IF(VLOOKUP(B882,INDIRECT($F$8),8+(O887-1)*3)&lt;U887*0.4,IF(U887*0.4-VLOOKUP(B882,INDIRECT($F$8),8+(O887-1)*3)&lt;=5,U887*0.4-VLOOKUP(B882,INDIRECT($F$8),8+(O887-1)*3),11),0))))</f>
        <v/>
      </c>
      <c r="X887" s="1" t="str">
        <f ca="1">IF(ISERROR(F882),"",IF(W887=0,"",_xlfn.TEXTJOIN("",FALSE," G+",W887," in ",A887)))</f>
        <v/>
      </c>
    </row>
    <row r="888" spans="1:24" ht="11.25" customHeight="1" x14ac:dyDescent="0.2">
      <c r="A888" s="7" t="str">
        <f ca="1">IF(ISERROR(F882),"",VLOOKUP(C882,INDIRECT($F$8),6+(O888-1)*3,0))</f>
        <v/>
      </c>
      <c r="B888" s="41" t="str">
        <f ca="1">IF(ISERROR(F882),"",VLOOKUP(D882,INDIRECT($F$8),6+(O888-1)*3,0))</f>
        <v/>
      </c>
      <c r="C888" s="41"/>
      <c r="D888" s="41"/>
      <c r="E888" s="41"/>
      <c r="F888" s="7" t="str">
        <f ca="1">IF(ISERROR(F882),"",VLOOKUP(E882,INDIRECT($F$8),6+(O888-1)*3,0))</f>
        <v/>
      </c>
      <c r="G888" s="42" t="str">
        <f ca="1">IF(ISERROR(F882),"",_xlfn.TEXTJOIN("/",FALSE,P888,S888))</f>
        <v/>
      </c>
      <c r="H888" s="42"/>
      <c r="I888" s="42" t="str">
        <f ca="1">IF(ISERROR(F882),"",_xlfn.TEXTJOIN("/",FALSE,Q888,T888))</f>
        <v/>
      </c>
      <c r="J888" s="42"/>
      <c r="K888" s="42" t="str">
        <f ca="1">IF(ISERROR(F882),"",_xlfn.TEXTJOIN("/",FALSE,R888,U888))</f>
        <v/>
      </c>
      <c r="L888" s="42"/>
      <c r="M888" s="7" t="str">
        <f ca="1">IF(ISERROR(F882),"",IF(ISTEXT(P888),IF(P888="A","Ab",IF(P888="D","Dt",IF(P888="UFM","UFM",IF(P888="NA","-")))),IF(AND(ISBLANK(P888),ISBLANK(R888)),"",IF(P888&lt;0.3*S888,"F",IF(ISBLANK(R888),"",IF(ISTEXT(R888),R888,IF(R888&gt;=0.95*U888,"O",IF(R888&gt;=0.9*U888,"A+",IF(R888&gt;=0.85*U888,"A",IF(R888&gt;=0.8*U888,"B+",IF(R888&gt;=0.75*U888,"B",IF(R888&gt;=0.7*U888,"C+",IF(R888&gt;=0.65*U888,"C",IF(R888&gt;=0.6*U888,"D+",IF(R888&gt;=0.55*U888,"D",IF(R888&gt;=0.5*U888,"E+",IF(R888&gt;=0.45*U888,"E",IF(R888&gt;=0.4*U888,"P",IF(R888&lt;0.4*U888,"F",R888)))))))))))))))))))</f>
        <v/>
      </c>
      <c r="N888" s="8" t="e">
        <f t="shared" ref="N888:N899" ca="1" si="94">INDEX($Z$2:$Z$18,MATCH(M888,$Y$2:$Y$18,0))</f>
        <v>#N/A</v>
      </c>
      <c r="O888">
        <f>O887+1</f>
        <v>2</v>
      </c>
      <c r="P888" s="1" t="str">
        <f ca="1">IF(ISERROR(F882),"",IF(ISTEXT(VLOOKUP(B882,INDIRECT($F$8),6+(O888-1)*3)),(VLOOKUP(B882,INDIRECT($F$8),6+(O888-1)*3)),SUM(VLOOKUP(B882,INDIRECT($F$8),6+(O888-1)*3),IF(W901,W888,0))))</f>
        <v/>
      </c>
      <c r="Q888" s="1" t="str">
        <f ca="1">IF(ISERROR(F882),"",VLOOKUP(B882,INDIRECT($F$8),7+(O888-1)*3))</f>
        <v/>
      </c>
      <c r="R888" s="1" t="str">
        <f ca="1">IF(ISERROR(F882),"",SUM(P888:Q888))</f>
        <v/>
      </c>
      <c r="S888" s="1" t="str">
        <f ca="1">IF(ISERROR(F882),"",VLOOKUP(A882,INDIRECT($F$8),6+(O888-1)*3))</f>
        <v/>
      </c>
      <c r="T888" s="1" t="str">
        <f ca="1">IF(ISERROR(F882),"",VLOOKUP(A882,INDIRECT($F$8),7+(O888-1)*3))</f>
        <v/>
      </c>
      <c r="U888" s="1" t="str">
        <f ca="1">IF(ISERROR(F882),"",VLOOKUP(A882,INDIRECT($F$8),8+(O888-1)*3))</f>
        <v/>
      </c>
      <c r="V888" s="1" t="str">
        <f ca="1">IF(ISERROR(F882),"",IF(N888=0,A888,""))</f>
        <v/>
      </c>
      <c r="W888" s="1" t="str">
        <f ca="1">IF(ISERROR(F882),"",IF(ISTEXT(VLOOKUP(B882,INDIRECT($F$8),6+(O888-1)*3)),11,IF(VLOOKUP(B882,INDIRECT($F$8),6+(O888-1)*3)&lt;S888*0.3,IF(VLOOKUP(B882,INDIRECT($F$8),8+(O888-1)*3)&lt;U888*0.4,IF(AND(0.4*U888-VLOOKUP(B882,INDIRECT($F$8),8+(O888-1)*3)&lt;=5,0.3*S888-VLOOKUP(B882,INDIRECT($F$8),6+(O888-1)*3)&lt;=5),MAX(0.4*U888-VLOOKUP(B882,INDIRECT($F$8),8+(O888-1)*3),0.3*S888-VLOOKUP(B882,INDIRECT($F$8),6+(O888-1)*3)),11),IF(0.3*S888-VLOOKUP(B882,INDIRECT($F$8),6+(O888-1)*3)&lt;=5,0.3*S888-VLOOKUP(B882,INDIRECT($F$8),6+(O888-1)*3),11)),IF(VLOOKUP(B882,INDIRECT($F$8),8+(O888-1)*3)&lt;U888*0.4,IF(U888*0.4-VLOOKUP(B882,INDIRECT($F$8),8+(O888-1)*3)&lt;=5,U888*0.4-VLOOKUP(B882,INDIRECT($F$8),8+(O888-1)*3),11),0))))</f>
        <v/>
      </c>
      <c r="X888" s="1" t="str">
        <f ca="1">IF(ISERROR(F882),"",IF(W888=0,"",_xlfn.TEXTJOIN("",FALSE," G+",W888," in ",A888)))</f>
        <v/>
      </c>
    </row>
    <row r="889" spans="1:24" ht="11.25" customHeight="1" x14ac:dyDescent="0.2">
      <c r="A889" s="7" t="str">
        <f ca="1">IF(ISERROR(F882),"",VLOOKUP(C882,INDIRECT($F$8),6+(O889-1)*3,0))</f>
        <v/>
      </c>
      <c r="B889" s="41" t="str">
        <f ca="1">IF(ISERROR(F882),"",VLOOKUP(D882,INDIRECT($F$8),6+(O889-1)*3,0))</f>
        <v/>
      </c>
      <c r="C889" s="41"/>
      <c r="D889" s="41"/>
      <c r="E889" s="41"/>
      <c r="F889" s="7" t="str">
        <f ca="1">IF(ISERROR(F882),"",VLOOKUP(E882,INDIRECT($F$8),6+(O889-1)*3,0))</f>
        <v/>
      </c>
      <c r="G889" s="42" t="str">
        <f ca="1">IF(ISERROR(F882),"",_xlfn.TEXTJOIN("/",FALSE,P889,S889))</f>
        <v/>
      </c>
      <c r="H889" s="42"/>
      <c r="I889" s="42" t="str">
        <f ca="1">IF(ISERROR(F882),"",_xlfn.TEXTJOIN("/",FALSE,Q889,T889))</f>
        <v/>
      </c>
      <c r="J889" s="42"/>
      <c r="K889" s="42" t="str">
        <f ca="1">IF(ISERROR(F882),"",_xlfn.TEXTJOIN("/",FALSE,R889,U889))</f>
        <v/>
      </c>
      <c r="L889" s="42"/>
      <c r="M889" s="7" t="str">
        <f ca="1">IF(ISERROR(F882),"",IF(ISTEXT(P889),IF(P889="A","Ab",IF(P889="D","Dt",IF(P889="UFM","UFM",IF(P889="NA","-")))),IF(AND(ISBLANK(P889),ISBLANK(R889)),"",IF(P889&lt;0.3*S889,"F",IF(ISBLANK(R889),"",IF(ISTEXT(R889),R889,IF(R889&gt;=0.95*U889,"O",IF(R889&gt;=0.9*U889,"A+",IF(R889&gt;=0.85*U889,"A",IF(R889&gt;=0.8*U889,"B+",IF(R889&gt;=0.75*U889,"B",IF(R889&gt;=0.7*U889,"C+",IF(R889&gt;=0.65*U889,"C",IF(R889&gt;=0.6*U889,"D+",IF(R889&gt;=0.55*U889,"D",IF(R889&gt;=0.5*U889,"E+",IF(R889&gt;=0.45*U889,"E",IF(R889&gt;=0.4*U889,"P",IF(R889&lt;0.4*U889,"F",R889)))))))))))))))))))</f>
        <v/>
      </c>
      <c r="N889" s="8" t="e">
        <f t="shared" ca="1" si="94"/>
        <v>#N/A</v>
      </c>
      <c r="O889">
        <f>O888+1</f>
        <v>3</v>
      </c>
      <c r="P889" s="1" t="str">
        <f ca="1">IF(ISERROR(F882),"",IF(ISTEXT(VLOOKUP(B882,INDIRECT($F$8),6+(O889-1)*3)),(VLOOKUP(B882,INDIRECT($F$8),6+(O889-1)*3)),SUM(VLOOKUP(B882,INDIRECT($F$8),6+(O889-1)*3),IF(W901,W889,0))))</f>
        <v/>
      </c>
      <c r="Q889" s="1" t="str">
        <f ca="1">IF(ISERROR(F882),"",VLOOKUP(B882,INDIRECT($F$8),7+(O889-1)*3))</f>
        <v/>
      </c>
      <c r="R889" s="1" t="str">
        <f ca="1">IF(ISERROR(F882),"",SUM(P889:Q889))</f>
        <v/>
      </c>
      <c r="S889" s="1" t="str">
        <f ca="1">IF(ISERROR(F882),"",VLOOKUP(A882,INDIRECT($F$8),6+(O889-1)*3))</f>
        <v/>
      </c>
      <c r="T889" s="1" t="str">
        <f ca="1">IF(ISERROR(F882),"",VLOOKUP(A882,INDIRECT($F$8),7+(O889-1)*3))</f>
        <v/>
      </c>
      <c r="U889" s="1" t="str">
        <f ca="1">IF(ISERROR(F882),"",VLOOKUP(A882,INDIRECT($F$8),8+(O889-1)*3))</f>
        <v/>
      </c>
      <c r="V889" s="1" t="str">
        <f ca="1">IF(ISERROR(F882),"",IF(N889=0,A889,""))</f>
        <v/>
      </c>
      <c r="W889" s="1" t="str">
        <f ca="1">IF(ISERROR(F882),"",IF(ISTEXT(VLOOKUP(B882,INDIRECT($F$8),6+(O889-1)*3)),11,IF(VLOOKUP(B882,INDIRECT($F$8),6+(O889-1)*3)&lt;S889*0.3,IF(VLOOKUP(B882,INDIRECT($F$8),8+(O889-1)*3)&lt;U889*0.4,IF(AND(0.4*U889-VLOOKUP(B882,INDIRECT($F$8),8+(O889-1)*3)&lt;=5,0.3*S889-VLOOKUP(B882,INDIRECT($F$8),6+(O889-1)*3)&lt;=5),MAX(0.4*U889-VLOOKUP(B882,INDIRECT($F$8),8+(O889-1)*3),0.3*S889-VLOOKUP(B882,INDIRECT($F$8),6+(O889-1)*3)),11),IF(0.3*S889-VLOOKUP(B882,INDIRECT($F$8),6+(O889-1)*3)&lt;=5,0.3*S889-VLOOKUP(B882,INDIRECT($F$8),6+(O889-1)*3),11)),IF(VLOOKUP(B882,INDIRECT($F$8),8+(O889-1)*3)&lt;U889*0.4,IF(U889*0.4-VLOOKUP(B882,INDIRECT($F$8),8+(O889-1)*3)&lt;=5,U889*0.4-VLOOKUP(B882,INDIRECT($F$8),8+(O889-1)*3),11),0))))</f>
        <v/>
      </c>
      <c r="X889" s="1" t="str">
        <f ca="1">IF(ISERROR(F882),"",IF(W889=0,"",_xlfn.TEXTJOIN("",FALSE," G+",W889," in ",A889)))</f>
        <v/>
      </c>
    </row>
    <row r="890" spans="1:24" ht="11.25" customHeight="1" x14ac:dyDescent="0.2">
      <c r="A890" s="7" t="str">
        <f ca="1">IF(ISERROR(F882),"",VLOOKUP(C882,INDIRECT($F$8),6+(O890-1)*3,0))</f>
        <v/>
      </c>
      <c r="B890" s="41" t="str">
        <f ca="1">IF(ISERROR(F882),"",VLOOKUP(D882,INDIRECT($F$8),6+(O890-1)*3,0))</f>
        <v/>
      </c>
      <c r="C890" s="41"/>
      <c r="D890" s="41"/>
      <c r="E890" s="41"/>
      <c r="F890" s="7" t="str">
        <f ca="1">IF(ISERROR(F882),"",VLOOKUP(E882,INDIRECT($F$8),6+(O890-1)*3,0))</f>
        <v/>
      </c>
      <c r="G890" s="42" t="str">
        <f ca="1">IF(ISERROR(F882),"",_xlfn.TEXTJOIN("/",FALSE,P890,S890))</f>
        <v/>
      </c>
      <c r="H890" s="42"/>
      <c r="I890" s="42" t="str">
        <f ca="1">IF(ISERROR(F882),"",_xlfn.TEXTJOIN("/",FALSE,Q890,T890))</f>
        <v/>
      </c>
      <c r="J890" s="42"/>
      <c r="K890" s="42" t="str">
        <f ca="1">IF(ISERROR(F882),"",_xlfn.TEXTJOIN("/",FALSE,R890,U890))</f>
        <v/>
      </c>
      <c r="L890" s="42"/>
      <c r="M890" s="7" t="str">
        <f ca="1">IF(ISERROR(F882),"",IF(ISTEXT(P890),IF(P890="A","Ab",IF(P890="D","Dt",IF(P890="UFM","UFM",IF(P890="NA","-")))),IF(AND(ISBLANK(P890),ISBLANK(R890)),"",IF(P890&lt;0.3*S890,"F",IF(ISBLANK(R890),"",IF(ISTEXT(R890),R890,IF(R890&gt;=0.95*U890,"O",IF(R890&gt;=0.9*U890,"A+",IF(R890&gt;=0.85*U890,"A",IF(R890&gt;=0.8*U890,"B+",IF(R890&gt;=0.75*U890,"B",IF(R890&gt;=0.7*U890,"C+",IF(R890&gt;=0.65*U890,"C",IF(R890&gt;=0.6*U890,"D+",IF(R890&gt;=0.55*U890,"D",IF(R890&gt;=0.5*U890,"E+",IF(R890&gt;=0.45*U890,"E",IF(R890&gt;=0.4*U890,"P",IF(R890&lt;0.4*U890,"F",R890)))))))))))))))))))</f>
        <v/>
      </c>
      <c r="N890" s="8" t="e">
        <f t="shared" ca="1" si="94"/>
        <v>#N/A</v>
      </c>
      <c r="O890">
        <f>O889+1</f>
        <v>4</v>
      </c>
      <c r="P890" s="1" t="str">
        <f ca="1">IF(ISERROR(F882),"",IF(ISTEXT(VLOOKUP(B882,INDIRECT($F$8),6+(O890-1)*3)),(VLOOKUP(B882,INDIRECT($F$8),6+(O890-1)*3)),SUM(VLOOKUP(B882,INDIRECT($F$8),6+(O890-1)*3),IF(W901,W890,0))))</f>
        <v/>
      </c>
      <c r="Q890" s="1" t="str">
        <f ca="1">IF(ISERROR(F882),"",VLOOKUP(B882,INDIRECT($F$8),7+(O890-1)*3))</f>
        <v/>
      </c>
      <c r="R890" s="1" t="str">
        <f ca="1">IF(ISERROR(F882),"",SUM(P890:Q890))</f>
        <v/>
      </c>
      <c r="S890" s="1" t="str">
        <f ca="1">IF(ISERROR(F882),"",VLOOKUP(A882,INDIRECT($F$8),6+(O890-1)*3))</f>
        <v/>
      </c>
      <c r="T890" s="1" t="str">
        <f ca="1">IF(ISERROR(F882),"",VLOOKUP(A882,INDIRECT($F$8),7+(O890-1)*3))</f>
        <v/>
      </c>
      <c r="U890" s="1" t="str">
        <f ca="1">IF(ISERROR(F882),"",VLOOKUP(A882,INDIRECT($F$8),8+(O890-1)*3))</f>
        <v/>
      </c>
      <c r="V890" s="1" t="str">
        <f ca="1">IF(ISERROR(F882),"",IF(N890=0,A890,""))</f>
        <v/>
      </c>
      <c r="W890" s="1" t="str">
        <f ca="1">IF(ISERROR(F882),"",IF(ISTEXT(VLOOKUP(B882,INDIRECT($F$8),6+(O890-1)*3)),11,IF(VLOOKUP(B882,INDIRECT($F$8),6+(O890-1)*3)&lt;S890*0.3,IF(VLOOKUP(B882,INDIRECT($F$8),8+(O890-1)*3)&lt;U890*0.4,IF(AND(0.4*U890-VLOOKUP(B882,INDIRECT($F$8),8+(O890-1)*3)&lt;=5,0.3*S890-VLOOKUP(B882,INDIRECT($F$8),6+(O890-1)*3)&lt;=5),MAX(0.4*U890-VLOOKUP(B882,INDIRECT($F$8),8+(O890-1)*3),0.3*S890-VLOOKUP(B882,INDIRECT($F$8),6+(O890-1)*3)),11),IF(0.3*S890-VLOOKUP(B882,INDIRECT($F$8),6+(O890-1)*3)&lt;=5,0.3*S890-VLOOKUP(B882,INDIRECT($F$8),6+(O890-1)*3),11)),IF(VLOOKUP(B882,INDIRECT($F$8),8+(O890-1)*3)&lt;U890*0.4,IF(U890*0.4-VLOOKUP(B882,INDIRECT($F$8),8+(O890-1)*3)&lt;=5,U890*0.4-VLOOKUP(B882,INDIRECT($F$8),8+(O890-1)*3),11),0))))</f>
        <v/>
      </c>
      <c r="X890" s="1" t="str">
        <f ca="1">IF(ISERROR(F882),"",IF(W890=0,"",_xlfn.TEXTJOIN("",FALSE," G+",W890," in ",A890)))</f>
        <v/>
      </c>
    </row>
    <row r="891" spans="1:24" ht="11.25" customHeight="1" x14ac:dyDescent="0.2">
      <c r="A891" s="7" t="str">
        <f ca="1">IF(ISERROR(F882),"",VLOOKUP(C882,INDIRECT($F$8),6+(O891-1)*3,0))</f>
        <v/>
      </c>
      <c r="B891" s="41" t="str">
        <f ca="1">IF(ISERROR(F882),"",VLOOKUP(D882,INDIRECT($F$8),6+(O891-1)*3,0))</f>
        <v/>
      </c>
      <c r="C891" s="41"/>
      <c r="D891" s="41"/>
      <c r="E891" s="41"/>
      <c r="F891" s="7" t="str">
        <f ca="1">IF(ISERROR(F882),"",VLOOKUP(E882,INDIRECT($F$8),6+(O891-1)*3,0))</f>
        <v/>
      </c>
      <c r="G891" s="42" t="str">
        <f ca="1">IF(ISERROR(F882),"",_xlfn.TEXTJOIN("/",FALSE,P891,S891))</f>
        <v/>
      </c>
      <c r="H891" s="42"/>
      <c r="I891" s="42" t="str">
        <f ca="1">IF(ISERROR(F882),"",_xlfn.TEXTJOIN("/",FALSE,Q891,T891))</f>
        <v/>
      </c>
      <c r="J891" s="42"/>
      <c r="K891" s="42" t="str">
        <f ca="1">IF(ISERROR(F882),"",_xlfn.TEXTJOIN("/",FALSE,R891,U891))</f>
        <v/>
      </c>
      <c r="L891" s="42"/>
      <c r="M891" s="7" t="str">
        <f ca="1">IF(ISERROR(F882),"",IF(ISTEXT(P891),IF(P891="A","Ab",IF(P891="D","Dt",IF(P891="UFM","UFM",IF(P891="NA","-")))),IF(AND(ISBLANK(P891),ISBLANK(R891)),"",IF(P891&lt;0.3*S891,"F",IF(ISBLANK(R891),"",IF(ISTEXT(R891),R891,IF(R891&gt;=0.95*U891,"O",IF(R891&gt;=0.9*U891,"A+",IF(R891&gt;=0.85*U891,"A",IF(R891&gt;=0.8*U891,"B+",IF(R891&gt;=0.75*U891,"B",IF(R891&gt;=0.7*U891,"C+",IF(R891&gt;=0.65*U891,"C",IF(R891&gt;=0.6*U891,"D+",IF(R891&gt;=0.55*U891,"D",IF(R891&gt;=0.5*U891,"E+",IF(R891&gt;=0.45*U891,"E",IF(R891&gt;=0.4*U891,"P",IF(R891&lt;0.4*U891,"F",R891)))))))))))))))))))</f>
        <v/>
      </c>
      <c r="N891" s="8" t="e">
        <f t="shared" ca="1" si="94"/>
        <v>#N/A</v>
      </c>
      <c r="O891">
        <f t="shared" ref="O891:O900" si="95">O890+1</f>
        <v>5</v>
      </c>
      <c r="P891" s="1" t="str">
        <f ca="1">IF(ISERROR(F882),"",IF(ISTEXT(VLOOKUP(B882,INDIRECT($F$8),6+(O891-1)*3)),(VLOOKUP(B882,INDIRECT($F$8),6+(O891-1)*3)),SUM(VLOOKUP(B882,INDIRECT($F$8),6+(O891-1)*3),IF(W901,W891,0))))</f>
        <v/>
      </c>
      <c r="Q891" s="1" t="str">
        <f ca="1">IF(ISERROR(F882),"",VLOOKUP(B882,INDIRECT($F$8),7+(O891-1)*3))</f>
        <v/>
      </c>
      <c r="R891" s="1" t="str">
        <f ca="1">IF(ISERROR(F882),"",SUM(P891:Q891))</f>
        <v/>
      </c>
      <c r="S891" s="1" t="str">
        <f ca="1">IF(ISERROR(F882),"",VLOOKUP(A882,INDIRECT($F$8),6+(O891-1)*3))</f>
        <v/>
      </c>
      <c r="T891" s="1" t="str">
        <f ca="1">IF(ISERROR(F882),"",VLOOKUP(A882,INDIRECT($F$8),7+(O891-1)*3))</f>
        <v/>
      </c>
      <c r="U891" s="1" t="str">
        <f ca="1">IF(ISERROR(F882),"",VLOOKUP(A882,INDIRECT($F$8),8+(O891-1)*3))</f>
        <v/>
      </c>
      <c r="V891" s="1" t="str">
        <f ca="1">IF(ISERROR(F882),"",IF(N891=0,A891,""))</f>
        <v/>
      </c>
      <c r="W891" s="1" t="str">
        <f ca="1">IF(ISERROR(F882),"",IF(ISTEXT(VLOOKUP(B882,INDIRECT($F$8),6+(O891-1)*3)),11,IF(VLOOKUP(B882,INDIRECT($F$8),6+(O891-1)*3)&lt;S891*0.3,IF(VLOOKUP(B882,INDIRECT($F$8),8+(O891-1)*3)&lt;U891*0.4,IF(AND(0.4*U891-VLOOKUP(B882,INDIRECT($F$8),8+(O891-1)*3)&lt;=5,0.3*S891-VLOOKUP(B882,INDIRECT($F$8),6+(O891-1)*3)&lt;=5),MAX(0.4*U891-VLOOKUP(B882,INDIRECT($F$8),8+(O891-1)*3),0.3*S891-VLOOKUP(B882,INDIRECT($F$8),6+(O891-1)*3)),11),IF(0.3*S891-VLOOKUP(B882,INDIRECT($F$8),6+(O891-1)*3)&lt;=5,0.3*S891-VLOOKUP(B882,INDIRECT($F$8),6+(O891-1)*3),11)),IF(VLOOKUP(B882,INDIRECT($F$8),8+(O891-1)*3)&lt;U891*0.4,IF(U891*0.4-VLOOKUP(B882,INDIRECT($F$8),8+(O891-1)*3)&lt;=5,U891*0.4-VLOOKUP(B882,INDIRECT($F$8),8+(O891-1)*3),11),0))))</f>
        <v/>
      </c>
      <c r="X891" s="1" t="str">
        <f ca="1">IF(ISERROR(F882),"",IF(W891=0,"",_xlfn.TEXTJOIN("",FALSE," G+",W891," in ",A891)))</f>
        <v/>
      </c>
    </row>
    <row r="892" spans="1:24" ht="11.25" customHeight="1" x14ac:dyDescent="0.2">
      <c r="A892" s="7" t="str">
        <f ca="1">IF(ISERROR(F882),"",VLOOKUP(C882,INDIRECT($F$8),6+(O892-1)*3,0))</f>
        <v/>
      </c>
      <c r="B892" s="41" t="str">
        <f ca="1">IF(ISERROR(F882),"",VLOOKUP(D882,INDIRECT($F$8),6+(O892-1)*3,0))</f>
        <v/>
      </c>
      <c r="C892" s="41"/>
      <c r="D892" s="41"/>
      <c r="E892" s="41"/>
      <c r="F892" s="7" t="str">
        <f ca="1">IF(ISERROR(F882),"",VLOOKUP(E882,INDIRECT($F$8),6+(O892-1)*3,0))</f>
        <v/>
      </c>
      <c r="G892" s="42" t="str">
        <f ca="1">IF(ISERROR(F882),"",_xlfn.TEXTJOIN("/",FALSE,P892,S892))</f>
        <v/>
      </c>
      <c r="H892" s="42"/>
      <c r="I892" s="42" t="str">
        <f ca="1">IF(ISERROR(F882),"",_xlfn.TEXTJOIN("/",FALSE,Q892,T892))</f>
        <v/>
      </c>
      <c r="J892" s="42"/>
      <c r="K892" s="42" t="str">
        <f ca="1">IF(ISERROR(F882),"",_xlfn.TEXTJOIN("/",FALSE,R892,U892))</f>
        <v/>
      </c>
      <c r="L892" s="42"/>
      <c r="M892" s="7" t="str">
        <f ca="1">IF(ISERROR(F882),"",IF(ISTEXT(P892),IF(P892="A","Ab",IF(P892="D","Dt",IF(P892="UFM","UFM",IF(P892="NA","-")))),IF(AND(ISBLANK(P892),ISBLANK(R892)),"",IF(P892&lt;0.3*S892,"F",IF(ISBLANK(R892),"",IF(ISTEXT(R892),R892,IF(R892&gt;=0.95*U892,"O",IF(R892&gt;=0.9*U892,"A+",IF(R892&gt;=0.85*U892,"A",IF(R892&gt;=0.8*U892,"B+",IF(R892&gt;=0.75*U892,"B",IF(R892&gt;=0.7*U892,"C+",IF(R892&gt;=0.65*U892,"C",IF(R892&gt;=0.6*U892,"D+",IF(R892&gt;=0.55*U892,"D",IF(R892&gt;=0.5*U892,"E+",IF(R892&gt;=0.45*U892,"E",IF(R892&gt;=0.4*U892,"P",IF(R892&lt;0.4*U892,"F",R892)))))))))))))))))))</f>
        <v/>
      </c>
      <c r="N892" s="8" t="e">
        <f t="shared" ca="1" si="94"/>
        <v>#N/A</v>
      </c>
      <c r="O892">
        <f t="shared" si="95"/>
        <v>6</v>
      </c>
      <c r="P892" s="1" t="str">
        <f ca="1">IF(ISERROR(F882),"",IF(ISTEXT(VLOOKUP(B882,INDIRECT($F$8),6+(O892-1)*3)),(VLOOKUP(B882,INDIRECT($F$8),6+(O892-1)*3)),SUM(VLOOKUP(B882,INDIRECT($F$8),6+(O892-1)*3),IF(W901,W892,0))))</f>
        <v/>
      </c>
      <c r="Q892" s="1" t="str">
        <f ca="1">IF(ISERROR(F882),"",VLOOKUP(B882,INDIRECT($F$8),7+(O892-1)*3))</f>
        <v/>
      </c>
      <c r="R892" s="1" t="str">
        <f ca="1">IF(ISERROR(F882),"",SUM(P892:Q892))</f>
        <v/>
      </c>
      <c r="S892" s="1" t="str">
        <f ca="1">IF(ISERROR(F882),"",VLOOKUP(A882,INDIRECT($F$8),6+(O892-1)*3))</f>
        <v/>
      </c>
      <c r="T892" s="1" t="str">
        <f ca="1">IF(ISERROR(F882),"",VLOOKUP(A882,INDIRECT($F$8),7+(O892-1)*3))</f>
        <v/>
      </c>
      <c r="U892" s="1" t="str">
        <f ca="1">IF(ISERROR(F882),"",VLOOKUP(A882,INDIRECT($F$8),8+(O892-1)*3))</f>
        <v/>
      </c>
      <c r="V892" s="1" t="str">
        <f ca="1">IF(ISERROR(F882),"",IF(N892=0,A892,""))</f>
        <v/>
      </c>
      <c r="W892" s="1" t="str">
        <f ca="1">IF(ISERROR(F882),"",IF(ISTEXT(VLOOKUP(B882,INDIRECT($F$8),6+(O892-1)*3)),11,IF(VLOOKUP(B882,INDIRECT($F$8),6+(O892-1)*3)&lt;S892*0.3,IF(VLOOKUP(B882,INDIRECT($F$8),8+(O892-1)*3)&lt;U892*0.4,IF(AND(0.4*U892-VLOOKUP(B882,INDIRECT($F$8),8+(O892-1)*3)&lt;=5,0.3*S892-VLOOKUP(B882,INDIRECT($F$8),6+(O892-1)*3)&lt;=5),MAX(0.4*U892-VLOOKUP(B882,INDIRECT($F$8),8+(O892-1)*3),0.3*S892-VLOOKUP(B882,INDIRECT($F$8),6+(O892-1)*3)),11),IF(0.3*S892-VLOOKUP(B882,INDIRECT($F$8),6+(O892-1)*3)&lt;=5,0.3*S892-VLOOKUP(B882,INDIRECT($F$8),6+(O892-1)*3),11)),IF(VLOOKUP(B882,INDIRECT($F$8),8+(O892-1)*3)&lt;U892*0.4,IF(U892*0.4-VLOOKUP(B882,INDIRECT($F$8),8+(O892-1)*3)&lt;=5,U892*0.4-VLOOKUP(B882,INDIRECT($F$8),8+(O892-1)*3),11),0))))</f>
        <v/>
      </c>
      <c r="X892" s="1" t="str">
        <f ca="1">IF(ISERROR(F882),"",IF(W892=0,"",_xlfn.TEXTJOIN("",FALSE," G+",W892," in ",A892)))</f>
        <v/>
      </c>
    </row>
    <row r="893" spans="1:24" ht="11.25" customHeight="1" x14ac:dyDescent="0.2">
      <c r="A893" s="7" t="str">
        <f ca="1">IF(ISERROR(F882),"",VLOOKUP(C882,INDIRECT($F$8),6+(O893-1)*3,0))</f>
        <v/>
      </c>
      <c r="B893" s="41" t="str">
        <f ca="1">IF(ISERROR(F882),"",VLOOKUP(D882,INDIRECT($F$8),6+(O893-1)*3,0))</f>
        <v/>
      </c>
      <c r="C893" s="41"/>
      <c r="D893" s="41"/>
      <c r="E893" s="41"/>
      <c r="F893" s="7" t="str">
        <f ca="1">IF(ISERROR(F882),"",VLOOKUP(E882,INDIRECT($F$8),6+(O893-1)*3,0))</f>
        <v/>
      </c>
      <c r="G893" s="42" t="str">
        <f ca="1">IF(ISERROR(F882),"",_xlfn.TEXTJOIN("/",FALSE,P893,S893))</f>
        <v/>
      </c>
      <c r="H893" s="42"/>
      <c r="I893" s="42" t="str">
        <f ca="1">IF(ISERROR(F882),"",_xlfn.TEXTJOIN("/",FALSE,Q893,T893))</f>
        <v/>
      </c>
      <c r="J893" s="42"/>
      <c r="K893" s="42" t="str">
        <f ca="1">IF(ISERROR(F882),"",_xlfn.TEXTJOIN("/",FALSE,R893,U893))</f>
        <v/>
      </c>
      <c r="L893" s="42"/>
      <c r="M893" s="7" t="str">
        <f ca="1">IF(ISERROR(F882),"",IF(ISTEXT(P893),IF(P893="A","Ab",IF(P893="D","Dt",IF(P893="UFM","UFM",IF(P893="NA","-")))),IF(AND(ISBLANK(P893),ISBLANK(R893)),"",IF(P893&lt;0.3*S893,"F",IF(ISBLANK(R893),"",IF(ISTEXT(R893),R893,IF(R893&gt;=0.95*U893,"O",IF(R893&gt;=0.9*U893,"A+",IF(R893&gt;=0.85*U893,"A",IF(R893&gt;=0.8*U893,"B+",IF(R893&gt;=0.75*U893,"B",IF(R893&gt;=0.7*U893,"C+",IF(R893&gt;=0.65*U893,"C",IF(R893&gt;=0.6*U893,"D+",IF(R893&gt;=0.55*U893,"D",IF(R893&gt;=0.5*U893,"E+",IF(R893&gt;=0.45*U893,"E",IF(R893&gt;=0.4*U893,"P",IF(R893&lt;0.4*U893,"F",R893)))))))))))))))))))</f>
        <v/>
      </c>
      <c r="N893" s="8" t="e">
        <f t="shared" ca="1" si="94"/>
        <v>#N/A</v>
      </c>
      <c r="O893">
        <f t="shared" si="95"/>
        <v>7</v>
      </c>
      <c r="P893" s="1" t="str">
        <f ca="1">IF(ISERROR(F882),"",IF(ISTEXT(VLOOKUP(B882,INDIRECT($F$8),6+(O893-1)*3)),(VLOOKUP(B882,INDIRECT($F$8),6+(O893-1)*3)),SUM(VLOOKUP(B882,INDIRECT($F$8),6+(O893-1)*3),IF(W901,W893,0))))</f>
        <v/>
      </c>
      <c r="Q893" s="1" t="str">
        <f ca="1">IF(ISERROR(F882),"",VLOOKUP(B882,INDIRECT($F$8),7+(O893-1)*3))</f>
        <v/>
      </c>
      <c r="R893" s="1" t="str">
        <f ca="1">IF(ISERROR(F882),"",SUM(P893:Q893))</f>
        <v/>
      </c>
      <c r="S893" s="1" t="str">
        <f ca="1">IF(ISERROR(F882),"",VLOOKUP(A882,INDIRECT($F$8),6+(O893-1)*3))</f>
        <v/>
      </c>
      <c r="T893" s="1" t="str">
        <f ca="1">IF(ISERROR(F882),"",VLOOKUP(A882,INDIRECT($F$8),7+(O893-1)*3))</f>
        <v/>
      </c>
      <c r="U893" s="1" t="str">
        <f ca="1">IF(ISERROR(F882),"",VLOOKUP(A882,INDIRECT($F$8),8+(O893-1)*3))</f>
        <v/>
      </c>
      <c r="V893" s="1" t="str">
        <f ca="1">IF(ISERROR(F882),"",IF(N893=0,A893,""))</f>
        <v/>
      </c>
      <c r="W893" s="1" t="str">
        <f ca="1">IF(ISERROR(F882),"",IF(ISTEXT(VLOOKUP(B882,INDIRECT($F$8),6+(O893-1)*3)),11,IF(VLOOKUP(B882,INDIRECT($F$8),6+(O893-1)*3)&lt;S893*0.3,IF(VLOOKUP(B882,INDIRECT($F$8),8+(O893-1)*3)&lt;U893*0.4,IF(AND(0.4*U893-VLOOKUP(B882,INDIRECT($F$8),8+(O893-1)*3)&lt;=5,0.3*S893-VLOOKUP(B882,INDIRECT($F$8),6+(O893-1)*3)&lt;=5),MAX(0.4*U893-VLOOKUP(B882,INDIRECT($F$8),8+(O893-1)*3),0.3*S893-VLOOKUP(B882,INDIRECT($F$8),6+(O893-1)*3)),11),IF(0.3*S893-VLOOKUP(B882,INDIRECT($F$8),6+(O893-1)*3)&lt;=5,0.3*S893-VLOOKUP(B882,INDIRECT($F$8),6+(O893-1)*3),11)),IF(VLOOKUP(B882,INDIRECT($F$8),8+(O893-1)*3)&lt;U893*0.4,IF(U893*0.4-VLOOKUP(B882,INDIRECT($F$8),8+(O893-1)*3)&lt;=5,U893*0.4-VLOOKUP(B882,INDIRECT($F$8),8+(O893-1)*3),11),0))))</f>
        <v/>
      </c>
      <c r="X893" s="1" t="str">
        <f ca="1">IF(ISERROR(F882),"",IF(W893=0,"",_xlfn.TEXTJOIN("",FALSE," G+",W893," in ",A893)))</f>
        <v/>
      </c>
    </row>
    <row r="894" spans="1:24" ht="11.25" customHeight="1" x14ac:dyDescent="0.2">
      <c r="A894" s="7" t="str">
        <f ca="1">IF(ISERROR(F882),"",VLOOKUP(C882,INDIRECT($F$8),6+(O894-1)*3,0))</f>
        <v/>
      </c>
      <c r="B894" s="41" t="str">
        <f ca="1">IF(ISERROR(F882),"",VLOOKUP(D882,INDIRECT($F$8),6+(O894-1)*3,0))</f>
        <v/>
      </c>
      <c r="C894" s="41"/>
      <c r="D894" s="41"/>
      <c r="E894" s="41"/>
      <c r="F894" s="7" t="str">
        <f ca="1">IF(ISERROR(F882),"",VLOOKUP(E882,INDIRECT($F$8),6+(O894-1)*3,0))</f>
        <v/>
      </c>
      <c r="G894" s="42" t="str">
        <f ca="1">IF(ISERROR(F882),"",_xlfn.TEXTJOIN("/",FALSE,P894,S894))</f>
        <v/>
      </c>
      <c r="H894" s="42"/>
      <c r="I894" s="42" t="str">
        <f ca="1">IF(ISERROR(F882),"",_xlfn.TEXTJOIN("/",FALSE,Q894,T894))</f>
        <v/>
      </c>
      <c r="J894" s="42"/>
      <c r="K894" s="42" t="str">
        <f ca="1">IF(ISERROR(F882),"",_xlfn.TEXTJOIN("/",FALSE,R894,U894))</f>
        <v/>
      </c>
      <c r="L894" s="42"/>
      <c r="M894" s="7" t="str">
        <f ca="1">IF(ISERROR(F882),"",IF(ISTEXT(P894),IF(P894="A","Ab",IF(P894="D","Dt",IF(P894="UFM","UFM",IF(P894="NA","-")))),IF(AND(ISBLANK(P894),ISBLANK(R894)),"",IF(P894&lt;0.3*S894,"F",IF(ISBLANK(R894),"",IF(ISTEXT(R894),R894,IF(R894&gt;=0.95*U894,"O",IF(R894&gt;=0.9*U894,"A+",IF(R894&gt;=0.85*U894,"A",IF(R894&gt;=0.8*U894,"B+",IF(R894&gt;=0.75*U894,"B",IF(R894&gt;=0.7*U894,"C+",IF(R894&gt;=0.65*U894,"C",IF(R894&gt;=0.6*U894,"D+",IF(R894&gt;=0.55*U894,"D",IF(R894&gt;=0.5*U894,"E+",IF(R894&gt;=0.45*U894,"E",IF(R894&gt;=0.4*U894,"P",IF(R894&lt;0.4*U894,"F",R894)))))))))))))))))))</f>
        <v/>
      </c>
      <c r="N894" s="8" t="e">
        <f t="shared" ca="1" si="94"/>
        <v>#N/A</v>
      </c>
      <c r="O894">
        <f t="shared" si="95"/>
        <v>8</v>
      </c>
      <c r="P894" s="1" t="str">
        <f ca="1">IF(ISERROR(F882),"",IF(ISTEXT(VLOOKUP(B882,INDIRECT($F$8),6+(O894-1)*3)),(VLOOKUP(B882,INDIRECT($F$8),6+(O894-1)*3)),SUM(VLOOKUP(B882,INDIRECT($F$8),6+(O894-1)*3),IF(W901,W894,0))))</f>
        <v/>
      </c>
      <c r="Q894" s="1" t="str">
        <f ca="1">IF(ISERROR(F882),"",VLOOKUP(B882,INDIRECT($F$8),7+(O894-1)*3))</f>
        <v/>
      </c>
      <c r="R894" s="1" t="str">
        <f ca="1">IF(ISERROR(F882),"",SUM(P894:Q894))</f>
        <v/>
      </c>
      <c r="S894" s="1" t="str">
        <f ca="1">IF(ISERROR(F882),"",VLOOKUP(A882,INDIRECT($F$8),6+(O894-1)*3))</f>
        <v/>
      </c>
      <c r="T894" s="1" t="str">
        <f ca="1">IF(ISERROR(F882),"",VLOOKUP(A882,INDIRECT($F$8),7+(O894-1)*3))</f>
        <v/>
      </c>
      <c r="U894" s="1" t="str">
        <f ca="1">IF(ISERROR(F882),"",VLOOKUP(A882,INDIRECT($F$8),8+(O894-1)*3))</f>
        <v/>
      </c>
      <c r="V894" s="1" t="str">
        <f ca="1">IF(ISERROR(F882),"",IF(N894=0,A894,""))</f>
        <v/>
      </c>
      <c r="W894" s="1" t="str">
        <f ca="1">IF(ISERROR(F882),"",IF(ISTEXT(VLOOKUP(B882,INDIRECT($F$8),6+(O894-1)*3)),11,IF(VLOOKUP(B882,INDIRECT($F$8),6+(O894-1)*3)&lt;S894*0.3,IF(VLOOKUP(B882,INDIRECT($F$8),8+(O894-1)*3)&lt;U894*0.4,IF(AND(0.4*U894-VLOOKUP(B882,INDIRECT($F$8),8+(O894-1)*3)&lt;=5,0.3*S894-VLOOKUP(B882,INDIRECT($F$8),6+(O894-1)*3)&lt;=5),MAX(0.4*U894-VLOOKUP(B882,INDIRECT($F$8),8+(O894-1)*3),0.3*S894-VLOOKUP(B882,INDIRECT($F$8),6+(O894-1)*3)),11),IF(0.3*S894-VLOOKUP(B882,INDIRECT($F$8),6+(O894-1)*3)&lt;=5,0.3*S894-VLOOKUP(B882,INDIRECT($F$8),6+(O894-1)*3),11)),IF(VLOOKUP(B882,INDIRECT($F$8),8+(O894-1)*3)&lt;U894*0.4,IF(U894*0.4-VLOOKUP(B882,INDIRECT($F$8),8+(O894-1)*3)&lt;=5,U894*0.4-VLOOKUP(B882,INDIRECT($F$8),8+(O894-1)*3),11),0))))</f>
        <v/>
      </c>
      <c r="X894" s="1" t="str">
        <f ca="1">IF(ISERROR(F882),"",IF(W894=0,"",_xlfn.TEXTJOIN("",FALSE," G+",W894," in ",A894)))</f>
        <v/>
      </c>
    </row>
    <row r="895" spans="1:24" ht="11.25" customHeight="1" x14ac:dyDescent="0.2">
      <c r="A895" s="7" t="str">
        <f ca="1">IF(ISERROR(F882),"",VLOOKUP(C882,INDIRECT($F$8),6+(O895-1)*3,0))</f>
        <v/>
      </c>
      <c r="B895" s="41" t="str">
        <f ca="1">IF(ISERROR(F882),"",VLOOKUP(D882,INDIRECT($F$8),6+(O895-1)*3-Z895,0))</f>
        <v/>
      </c>
      <c r="C895" s="41"/>
      <c r="D895" s="41"/>
      <c r="E895" s="41"/>
      <c r="F895" s="7" t="str">
        <f ca="1">IF(ISERROR(F882),"",VLOOKUP(E882,INDIRECT($F$8),6+(O895-1)*3,0))</f>
        <v/>
      </c>
      <c r="G895" s="42" t="str">
        <f ca="1">IF(ISERROR(F882),"",_xlfn.TEXTJOIN("/",FALSE,P895,S895))</f>
        <v/>
      </c>
      <c r="H895" s="42"/>
      <c r="I895" s="42" t="str">
        <f ca="1">IF(ISERROR(F882),"",_xlfn.TEXTJOIN("/",FALSE,Q895,T895))</f>
        <v/>
      </c>
      <c r="J895" s="42"/>
      <c r="K895" s="42" t="str">
        <f ca="1">IF(ISERROR(F882),"",_xlfn.TEXTJOIN("/",FALSE,R895,U895))</f>
        <v/>
      </c>
      <c r="L895" s="42"/>
      <c r="M895" s="7" t="str">
        <f ca="1">IF(ISERROR(F882),"",IF(ISTEXT(P895),IF(P895="A","Ab",IF(P895="D","Dt",IF(P895="UFM","UFM",IF(P895="NA","-")))),IF(AND(ISBLANK(P895),ISBLANK(R895)),"",IF(P895&lt;0.3*S895,"F",IF(ISBLANK(R895),"",IF(ISTEXT(R895),R895,IF(R895&gt;=0.95*U895,"O",IF(R895&gt;=0.9*U895,"A+",IF(R895&gt;=0.85*U895,"A",IF(R895&gt;=0.8*U895,"B+",IF(R895&gt;=0.75*U895,"B",IF(R895&gt;=0.7*U895,"C+",IF(R895&gt;=0.65*U895,"C",IF(R895&gt;=0.6*U895,"D+",IF(R895&gt;=0.55*U895,"D",IF(R895&gt;=0.5*U895,"E+",IF(R895&gt;=0.45*U895,"E",IF(R895&gt;=0.4*U895,"P",IF(R895&lt;0.4*U895,"F",R895)))))))))))))))))))</f>
        <v/>
      </c>
      <c r="N895" s="8" t="e">
        <f t="shared" ca="1" si="94"/>
        <v>#N/A</v>
      </c>
      <c r="O895">
        <f t="shared" si="95"/>
        <v>9</v>
      </c>
      <c r="P895" s="1" t="str">
        <f ca="1">IF(ISERROR(F882),"",IF(ISTEXT(VLOOKUP(B882,INDIRECT($F$8),6+(O895-1)*3)),(VLOOKUP(B882,INDIRECT($F$8),6+(O895-1)*3)),SUM(VLOOKUP(B882,INDIRECT($F$8),6+(O895-1)*3),IF(W901,W895,0))))</f>
        <v/>
      </c>
      <c r="Q895" s="1" t="str">
        <f ca="1">IF(ISERROR(F882),"",VLOOKUP(B882,INDIRECT($F$8),7+(O895-1)*3))</f>
        <v/>
      </c>
      <c r="R895" s="1" t="str">
        <f ca="1">IF(ISERROR(F882),"",SUM(P895:Q895))</f>
        <v/>
      </c>
      <c r="S895" s="1" t="str">
        <f ca="1">IF(ISERROR(F882),"",VLOOKUP(A882,INDIRECT($F$8),6+(O895-1)*3))</f>
        <v/>
      </c>
      <c r="T895" s="1" t="str">
        <f ca="1">IF(ISERROR(F882),"",VLOOKUP(A882,INDIRECT($F$8),7+(O895-1)*3))</f>
        <v/>
      </c>
      <c r="U895" s="1" t="str">
        <f ca="1">IF(ISERROR(F882),"",VLOOKUP(A882,INDIRECT($F$8),8+(O895-1)*3))</f>
        <v/>
      </c>
      <c r="V895" s="1" t="str">
        <f ca="1">IF(ISERROR(F882),"",IF(N895=0,A895,""))</f>
        <v/>
      </c>
      <c r="W895" s="1" t="str">
        <f ca="1">IF(ISERROR(F882),"",IF(ISTEXT(VLOOKUP(B882,INDIRECT($F$8),6+(O895-1)*3)),11,IF(VLOOKUP(B882,INDIRECT($F$8),6+(O895-1)*3)&lt;S895*0.3,IF(VLOOKUP(B882,INDIRECT($F$8),8+(O895-1)*3)&lt;U895*0.4,IF(AND(0.4*U895-VLOOKUP(B882,INDIRECT($F$8),8+(O895-1)*3)&lt;=5,0.3*S895-VLOOKUP(B882,INDIRECT($F$8),6+(O895-1)*3)&lt;=5),MAX(0.4*U895-VLOOKUP(B882,INDIRECT($F$8),8+(O895-1)*3),0.3*S895-VLOOKUP(B882,INDIRECT($F$8),6+(O895-1)*3)),11),IF(0.3*S895-VLOOKUP(B882,INDIRECT($F$8),6+(O895-1)*3)&lt;=5,0.3*S895-VLOOKUP(B882,INDIRECT($F$8),6+(O895-1)*3),11)),IF(VLOOKUP(B882,INDIRECT($F$8),8+(O895-1)*3)&lt;U895*0.4,IF(U895*0.4-VLOOKUP(B882,INDIRECT($F$8),8+(O895-1)*3)&lt;=5,U895*0.4-VLOOKUP(B882,INDIRECT($F$8),8+(O895-1)*3),11),0))))</f>
        <v/>
      </c>
      <c r="X895" s="1" t="str">
        <f ca="1">IF(ISERROR(F882),"",IF(W895=0,"",_xlfn.TEXTJOIN("",FALSE," G+",W895," in ",A895)))</f>
        <v/>
      </c>
    </row>
    <row r="896" spans="1:24" ht="11.25" customHeight="1" x14ac:dyDescent="0.2">
      <c r="A896" s="7" t="str">
        <f ca="1">IF(ISERROR(F882),"",VLOOKUP(C882,INDIRECT($F$8),6+(O896-1)*3,0))</f>
        <v/>
      </c>
      <c r="B896" s="41" t="str">
        <f ca="1">IF(ISERROR(F882),"",VLOOKUP(D882,INDIRECT($F$8),6+(O896-1)*3-Z896,0))</f>
        <v/>
      </c>
      <c r="C896" s="41"/>
      <c r="D896" s="41"/>
      <c r="E896" s="41"/>
      <c r="F896" s="7" t="str">
        <f ca="1">IF(ISERROR(F882),"",VLOOKUP(E882,INDIRECT($F$8),6+(O896-1)*3,0))</f>
        <v/>
      </c>
      <c r="G896" s="42" t="str">
        <f ca="1">IF(ISERROR(F882),"",_xlfn.TEXTJOIN("/",FALSE,P896,S896))</f>
        <v/>
      </c>
      <c r="H896" s="42"/>
      <c r="I896" s="42" t="str">
        <f ca="1">IF(ISERROR(F882),"",_xlfn.TEXTJOIN("/",FALSE,Q896,T896))</f>
        <v/>
      </c>
      <c r="J896" s="42"/>
      <c r="K896" s="42" t="str">
        <f ca="1">IF(ISERROR(F882),"",_xlfn.TEXTJOIN("/",FALSE,R896,U896))</f>
        <v/>
      </c>
      <c r="L896" s="42"/>
      <c r="M896" s="7" t="str">
        <f ca="1">IF(ISERROR(F882),"",IF(ISTEXT(P896),IF(P896="A","Ab",IF(P896="D","Dt",IF(P896="UFM","UFM",IF(P896="NA","-")))),IF(AND(ISBLANK(P896),ISBLANK(R896)),"",IF(P896&lt;0.3*S896,"F",IF(ISBLANK(R896),"",IF(ISTEXT(R896),R896,IF(R896&gt;=0.95*U896,"O",IF(R896&gt;=0.9*U896,"A+",IF(R896&gt;=0.85*U896,"A",IF(R896&gt;=0.8*U896,"B+",IF(R896&gt;=0.75*U896,"B",IF(R896&gt;=0.7*U896,"C+",IF(R896&gt;=0.65*U896,"C",IF(R896&gt;=0.6*U896,"D+",IF(R896&gt;=0.55*U896,"D",IF(R896&gt;=0.5*U896,"E+",IF(R896&gt;=0.45*U896,"E",IF(R896&gt;=0.4*U896,"P",IF(R896&lt;0.4*U896,"F",R896)))))))))))))))))))</f>
        <v/>
      </c>
      <c r="N896" s="8" t="e">
        <f t="shared" ca="1" si="94"/>
        <v>#N/A</v>
      </c>
      <c r="O896">
        <f t="shared" si="95"/>
        <v>10</v>
      </c>
      <c r="P896" s="1" t="str">
        <f ca="1">IF(ISERROR(F882),"",IF(ISTEXT(VLOOKUP(B882,INDIRECT($F$8),6+(O896-1)*3)),(VLOOKUP(B882,INDIRECT($F$8),6+(O896-1)*3)),SUM(VLOOKUP(B882,INDIRECT($F$8),6+(O896-1)*3),IF(W901,W896,0))))</f>
        <v/>
      </c>
      <c r="Q896" s="1" t="str">
        <f ca="1">IF(ISERROR(F882),"",VLOOKUP(B882,INDIRECT($F$8),7+(O896-1)*3))</f>
        <v/>
      </c>
      <c r="R896" s="1" t="str">
        <f ca="1">IF(ISERROR(F882),"",SUM(P896:Q896))</f>
        <v/>
      </c>
      <c r="S896" s="1" t="str">
        <f ca="1">IF(ISERROR(F882),"",VLOOKUP(A882,INDIRECT($F$8),6+(O896-1)*3))</f>
        <v/>
      </c>
      <c r="T896" s="1" t="str">
        <f ca="1">IF(ISERROR(F882),"",VLOOKUP(A882,INDIRECT($F$8),7+(O896-1)*3))</f>
        <v/>
      </c>
      <c r="U896" s="1" t="str">
        <f ca="1">IF(ISERROR(F882),"",VLOOKUP(A882,INDIRECT($F$8),8+(O896-1)*3))</f>
        <v/>
      </c>
      <c r="V896" s="1" t="str">
        <f ca="1">IF(ISERROR(F882),"",IF(N896=0,A896,""))</f>
        <v/>
      </c>
      <c r="W896" s="1" t="str">
        <f ca="1">IF(ISERROR(F882),"",IF(ISTEXT(VLOOKUP(B882,INDIRECT($F$8),6+(O896-1)*3)),11,IF(VLOOKUP(B882,INDIRECT($F$8),6+(O896-1)*3)&lt;S896*0.3,IF(VLOOKUP(B882,INDIRECT($F$8),8+(O896-1)*3)&lt;U896*0.4,IF(AND(0.4*U896-VLOOKUP(B882,INDIRECT($F$8),8+(O896-1)*3)&lt;=5,0.3*S896-VLOOKUP(B882,INDIRECT($F$8),6+(O896-1)*3)&lt;=5),MAX(0.4*U896-VLOOKUP(B882,INDIRECT($F$8),8+(O896-1)*3),0.3*S896-VLOOKUP(B882,INDIRECT($F$8),6+(O896-1)*3)),11),IF(0.3*S896-VLOOKUP(B882,INDIRECT($F$8),6+(O896-1)*3)&lt;=5,0.3*S896-VLOOKUP(B882,INDIRECT($F$8),6+(O896-1)*3),11)),IF(VLOOKUP(B882,INDIRECT($F$8),8+(O896-1)*3)&lt;U896*0.4,IF(U896*0.4-VLOOKUP(B882,INDIRECT($F$8),8+(O896-1)*3)&lt;=5,U896*0.4-VLOOKUP(B882,INDIRECT($F$8),8+(O896-1)*3),11),0))))</f>
        <v/>
      </c>
      <c r="X896" s="1" t="str">
        <f ca="1">IF(ISERROR(F882),"",IF(W896=0,"",_xlfn.TEXTJOIN("",FALSE," G+",W896," in ",A896)))</f>
        <v/>
      </c>
    </row>
    <row r="897" spans="1:24" ht="11.25" customHeight="1" x14ac:dyDescent="0.2">
      <c r="A897" s="7" t="str">
        <f ca="1">IF(ISERROR(F882),"",VLOOKUP(C882,INDIRECT($F$8),6+(O897-1)*3,0))</f>
        <v/>
      </c>
      <c r="B897" s="41" t="str">
        <f ca="1">IF(ISERROR(F882),"",VLOOKUP(D882,INDIRECT($F$8),6+(O897-1)*3,0))</f>
        <v/>
      </c>
      <c r="C897" s="41"/>
      <c r="D897" s="41"/>
      <c r="E897" s="41"/>
      <c r="F897" s="7" t="str">
        <f ca="1">IF(ISERROR(F882),"",VLOOKUP(E882,INDIRECT($F$8),6+(O897-1)*3,0))</f>
        <v/>
      </c>
      <c r="G897" s="42" t="str">
        <f ca="1">IF(ISERROR(F882),"",_xlfn.TEXTJOIN("/",FALSE,P897,S897))</f>
        <v/>
      </c>
      <c r="H897" s="42"/>
      <c r="I897" s="42" t="str">
        <f ca="1">IF(ISERROR(F882),"",_xlfn.TEXTJOIN("/",FALSE,Q897,T897))</f>
        <v/>
      </c>
      <c r="J897" s="42"/>
      <c r="K897" s="42" t="str">
        <f ca="1">IF(ISERROR(F882),"",_xlfn.TEXTJOIN("/",FALSE,R897,U897))</f>
        <v/>
      </c>
      <c r="L897" s="42"/>
      <c r="M897" s="7" t="str">
        <f ca="1">IF(ISERROR(F882),"",IF(ISTEXT(P897),IF(P897="A","Ab",IF(P897="D","Dt",IF(P897="UFM","UFM",IF(P897="NA","-")))),IF(AND(ISBLANK(P897),ISBLANK(R897)),"",IF(P897&lt;0.3*S897,"F",IF(ISBLANK(R897),"",IF(ISTEXT(R897),R897,IF(R897&gt;=0.95*U897,"O",IF(R897&gt;=0.9*U897,"A+",IF(R897&gt;=0.85*U897,"A",IF(R897&gt;=0.8*U897,"B+",IF(R897&gt;=0.75*U897,"B",IF(R897&gt;=0.7*U897,"C+",IF(R897&gt;=0.65*U897,"C",IF(R897&gt;=0.6*U897,"D+",IF(R897&gt;=0.55*U897,"D",IF(R897&gt;=0.5*U897,"E+",IF(R897&gt;=0.45*U897,"E",IF(R897&gt;=0.4*U897,"P",IF(R897&lt;0.4*U897,"F",R897)))))))))))))))))))</f>
        <v/>
      </c>
      <c r="N897" s="8" t="e">
        <f t="shared" ca="1" si="94"/>
        <v>#N/A</v>
      </c>
      <c r="O897">
        <f t="shared" si="95"/>
        <v>11</v>
      </c>
      <c r="P897" s="1" t="str">
        <f ca="1">IF(ISERROR(F882),"",IF(ISTEXT(VLOOKUP(B882,INDIRECT($F$8),6+(O897-1)*3)),(VLOOKUP(B882,INDIRECT($F$8),6+(O897-1)*3)),SUM(VLOOKUP(B882,INDIRECT($F$8),6+(O897-1)*3),IF(W901,W897,0))))</f>
        <v/>
      </c>
      <c r="Q897" s="1" t="str">
        <f ca="1">IF(ISERROR(F882),"",VLOOKUP(B882,INDIRECT($F$8),7+(O897-1)*3))</f>
        <v/>
      </c>
      <c r="R897" s="1" t="str">
        <f ca="1">IF(ISERROR(F882),"",SUM(P897:Q897))</f>
        <v/>
      </c>
      <c r="S897" s="1" t="str">
        <f ca="1">IF(ISERROR(F882),"",VLOOKUP(A882,INDIRECT($F$8),6+(O897-1)*3))</f>
        <v/>
      </c>
      <c r="T897" s="1" t="str">
        <f ca="1">IF(ISERROR(F882),"",VLOOKUP(A882,INDIRECT($F$8),7+(O897-1)*3))</f>
        <v/>
      </c>
      <c r="U897" s="1" t="str">
        <f ca="1">IF(ISERROR(F882),"",VLOOKUP(A882,INDIRECT($F$8),8+(O897-1)*3))</f>
        <v/>
      </c>
      <c r="V897" s="1" t="str">
        <f ca="1">IF(ISERROR(F882),"",IF(N897=0,A897,""))</f>
        <v/>
      </c>
      <c r="W897" s="1" t="str">
        <f ca="1">IF(ISERROR(F882),"",IF(ISTEXT(VLOOKUP(B882,INDIRECT($F$8),6+(O897-1)*3)),11,IF(VLOOKUP(B882,INDIRECT($F$8),6+(O897-1)*3)&lt;S897*0.3,IF(VLOOKUP(B882,INDIRECT($F$8),8+(O897-1)*3)&lt;U897*0.4,IF(AND(0.4*U897-VLOOKUP(B882,INDIRECT($F$8),8+(O897-1)*3)&lt;=5,0.3*S897-VLOOKUP(B882,INDIRECT($F$8),6+(O897-1)*3)&lt;=5),MAX(0.4*U897-VLOOKUP(B882,INDIRECT($F$8),8+(O897-1)*3),0.3*S897-VLOOKUP(B882,INDIRECT($F$8),6+(O897-1)*3)),11),IF(0.3*S897-VLOOKUP(B882,INDIRECT($F$8),6+(O897-1)*3)&lt;=5,0.3*S897-VLOOKUP(B882,INDIRECT($F$8),6+(O897-1)*3),11)),IF(VLOOKUP(B882,INDIRECT($F$8),8+(O897-1)*3)&lt;U897*0.4,IF(U897*0.4-VLOOKUP(B882,INDIRECT($F$8),8+(O897-1)*3)&lt;=5,U897*0.4-VLOOKUP(B882,INDIRECT($F$8),8+(O897-1)*3),11),0))))</f>
        <v/>
      </c>
      <c r="X897" s="1" t="str">
        <f ca="1">IF(ISERROR(F882),"",IF(W897=0,"",_xlfn.TEXTJOIN("",FALSE," G+",W897," in ",A897)))</f>
        <v/>
      </c>
    </row>
    <row r="898" spans="1:24" ht="11.25" customHeight="1" x14ac:dyDescent="0.2">
      <c r="A898" s="7" t="str">
        <f ca="1">IF(ISERROR(F882),"",VLOOKUP(C882,INDIRECT($F$8),6+(O898-1)*3,0))</f>
        <v/>
      </c>
      <c r="B898" s="41" t="str">
        <f ca="1">IF(ISERROR(F882),"",VLOOKUP(D882,INDIRECT($F$8),6+(O898-1)*3,0))</f>
        <v/>
      </c>
      <c r="C898" s="41"/>
      <c r="D898" s="41"/>
      <c r="E898" s="41"/>
      <c r="F898" s="7" t="str">
        <f ca="1">IF(ISERROR(F882),"",VLOOKUP(E882,INDIRECT($F$8),6+(O898-1)*3,0))</f>
        <v/>
      </c>
      <c r="G898" s="42" t="str">
        <f ca="1">IF(ISERROR(F882),"",_xlfn.TEXTJOIN("/",FALSE,P898,S898))</f>
        <v/>
      </c>
      <c r="H898" s="42"/>
      <c r="I898" s="42" t="str">
        <f ca="1">IF(ISERROR(F882),"",_xlfn.TEXTJOIN("/",FALSE,Q898,T898))</f>
        <v/>
      </c>
      <c r="J898" s="42"/>
      <c r="K898" s="42" t="str">
        <f ca="1">IF(ISERROR(F882),"",_xlfn.TEXTJOIN("/",FALSE,R898,U898))</f>
        <v/>
      </c>
      <c r="L898" s="42"/>
      <c r="M898" s="7" t="str">
        <f ca="1">IF(ISERROR(F882),"",IF(ISTEXT(P898),IF(P898="A","Ab",IF(P898="D","Dt",IF(P898="UFM","UFM",IF(P898="NA","-")))),IF(AND(ISBLANK(P898),ISBLANK(R898)),"",IF(P898&lt;0.3*S898,"F",IF(ISBLANK(R898),"",IF(ISTEXT(R898),R898,IF(R898&gt;=0.95*U898,"O",IF(R898&gt;=0.9*U898,"A+",IF(R898&gt;=0.85*U898,"A",IF(R898&gt;=0.8*U898,"B+",IF(R898&gt;=0.75*U898,"B",IF(R898&gt;=0.7*U898,"C+",IF(R898&gt;=0.65*U898,"C",IF(R898&gt;=0.6*U898,"D+",IF(R898&gt;=0.55*U898,"D",IF(R898&gt;=0.5*U898,"E+",IF(R898&gt;=0.45*U898,"E",IF(R898&gt;=0.4*U898,"P",IF(R898&lt;0.4*U898,"F",R898)))))))))))))))))))</f>
        <v/>
      </c>
      <c r="N898" s="8" t="e">
        <f t="shared" ca="1" si="94"/>
        <v>#N/A</v>
      </c>
      <c r="O898">
        <f t="shared" si="95"/>
        <v>12</v>
      </c>
      <c r="P898" s="1" t="str">
        <f ca="1">IF(ISERROR(F882),"",IF(ISTEXT(VLOOKUP(B882,INDIRECT($F$8),6+(O898-1)*3)),(VLOOKUP(B882,INDIRECT($F$8),6+(O898-1)*3)),SUM(VLOOKUP(B882,INDIRECT($F$8),6+(O898-1)*3),IF(W901,W898,0))))</f>
        <v/>
      </c>
      <c r="Q898" s="1" t="str">
        <f ca="1">IF(ISERROR(F882),"",VLOOKUP(B882,INDIRECT($F$8),7+(O898-1)*3))</f>
        <v/>
      </c>
      <c r="R898" s="1" t="str">
        <f ca="1">IF(ISERROR(F882),"",SUM(P898:Q898))</f>
        <v/>
      </c>
      <c r="S898" s="1" t="str">
        <f ca="1">IF(ISERROR(F882),"",VLOOKUP(A882,INDIRECT($F$8),6+(O898-1)*3))</f>
        <v/>
      </c>
      <c r="T898" s="1" t="str">
        <f ca="1">IF(ISERROR(F882),"",VLOOKUP(A882,INDIRECT($F$8),7+(O898-1)*3))</f>
        <v/>
      </c>
      <c r="U898" s="1" t="str">
        <f ca="1">IF(ISERROR(F882),"",VLOOKUP(A882,INDIRECT($F$8),8+(O898-1)*3))</f>
        <v/>
      </c>
      <c r="V898" s="1" t="str">
        <f ca="1">IF(ISERROR(F882),"",IF(N898=0,A898,""))</f>
        <v/>
      </c>
      <c r="W898" s="1" t="str">
        <f ca="1">IF(ISERROR(F882),"",IF(ISTEXT(VLOOKUP(B882,INDIRECT($F$8),6+(O898-1)*3)),11,IF(VLOOKUP(B882,INDIRECT($F$8),6+(O898-1)*3)&lt;S898*0.3,IF(VLOOKUP(B882,INDIRECT($F$8),8+(O898-1)*3)&lt;U898*0.4,IF(AND(0.4*U898-VLOOKUP(B882,INDIRECT($F$8),8+(O898-1)*3)&lt;=5,0.3*S898-VLOOKUP(B882,INDIRECT($F$8),6+(O898-1)*3)&lt;=5),MAX(0.4*U898-VLOOKUP(B882,INDIRECT($F$8),8+(O898-1)*3),0.3*S898-VLOOKUP(B882,INDIRECT($F$8),6+(O898-1)*3)),11),IF(0.3*S898-VLOOKUP(B882,INDIRECT($F$8),6+(O898-1)*3)&lt;=5,0.3*S898-VLOOKUP(B882,INDIRECT($F$8),6+(O898-1)*3),11)),IF(VLOOKUP(B882,INDIRECT($F$8),8+(O898-1)*3)&lt;U898*0.4,IF(U898*0.4-VLOOKUP(B882,INDIRECT($F$8),8+(O898-1)*3)&lt;=5,U898*0.4-VLOOKUP(B882,INDIRECT($F$8),8+(O898-1)*3),11),0))))</f>
        <v/>
      </c>
      <c r="X898" s="1" t="str">
        <f ca="1">IF(ISERROR(F882),"",IF(W898=0,"",_xlfn.TEXTJOIN("",FALSE," G+",W898," in ",A898)))</f>
        <v/>
      </c>
    </row>
    <row r="899" spans="1:24" ht="11.25" customHeight="1" x14ac:dyDescent="0.2">
      <c r="A899" s="7" t="str">
        <f ca="1">IF(ISERROR(F882),"",VLOOKUP(C882,INDIRECT($F$8),6+(O899-1)*3,0))</f>
        <v/>
      </c>
      <c r="B899" s="41" t="str">
        <f ca="1">IF(ISERROR(F882),"",VLOOKUP(D882,INDIRECT($F$8),6+(O899-1)*3,0))</f>
        <v/>
      </c>
      <c r="C899" s="41"/>
      <c r="D899" s="41"/>
      <c r="E899" s="41"/>
      <c r="F899" s="7" t="str">
        <f ca="1">IF(ISERROR(F882),"",VLOOKUP(E882,INDIRECT($F$8),6+(O899-1)*3,0))</f>
        <v/>
      </c>
      <c r="G899" s="42" t="str">
        <f ca="1">IF(ISERROR(F882),"",_xlfn.TEXTJOIN("/",FALSE,P899,S899))</f>
        <v/>
      </c>
      <c r="H899" s="42"/>
      <c r="I899" s="42" t="str">
        <f ca="1">IF(ISERROR(F882),"",_xlfn.TEXTJOIN("/",FALSE,Q899,T899))</f>
        <v/>
      </c>
      <c r="J899" s="42"/>
      <c r="K899" s="42" t="str">
        <f ca="1">IF(ISERROR(F882),"",_xlfn.TEXTJOIN("/",FALSE,R899,U899))</f>
        <v/>
      </c>
      <c r="L899" s="42"/>
      <c r="M899" s="7" t="str">
        <f ca="1">IF(ISERROR(F882),"",IF(ISTEXT(P899),IF(P899="A","Ab",IF(P899="D","Dt",IF(P899="UFM","UFM",IF(P899="NA","-")))),IF(AND(ISBLANK(P899),ISBLANK(R899)),"",IF(P899&lt;0.3*S899,"F",IF(ISBLANK(R899),"",IF(ISTEXT(R899),R899,IF(R899&gt;=0.95*U899,"O",IF(R899&gt;=0.9*U899,"A+",IF(R899&gt;=0.85*U899,"A",IF(R899&gt;=0.8*U899,"B+",IF(R899&gt;=0.75*U899,"B",IF(R899&gt;=0.7*U899,"C+",IF(R899&gt;=0.65*U899,"C",IF(R899&gt;=0.6*U899,"D+",IF(R899&gt;=0.55*U899,"D",IF(R899&gt;=0.5*U899,"E+",IF(R899&gt;=0.45*U899,"E",IF(R899&gt;=0.4*U899,"P",IF(R899&lt;0.4*U899,"F",R899)))))))))))))))))))</f>
        <v/>
      </c>
      <c r="N899" s="8" t="e">
        <f t="shared" ca="1" si="94"/>
        <v>#N/A</v>
      </c>
      <c r="O899">
        <f t="shared" si="95"/>
        <v>13</v>
      </c>
      <c r="P899" s="1" t="str">
        <f ca="1">IF(ISERROR(F882),"",IF(ISTEXT(VLOOKUP(B882,INDIRECT($F$8),6+(O899-1)*3)),(VLOOKUP(B882,INDIRECT($F$8),6+(O899-1)*3)),SUM(VLOOKUP(B882,INDIRECT($F$8),6+(O899-1)*3),IF(W901,W899,0))))</f>
        <v/>
      </c>
      <c r="Q899" s="1" t="str">
        <f ca="1">IF(ISERROR(F882),"",VLOOKUP(B882,INDIRECT($F$8),7+(O899-1)*3))</f>
        <v/>
      </c>
      <c r="R899" s="1" t="str">
        <f ca="1">IF(ISERROR(F882),"",SUM(P899:Q899))</f>
        <v/>
      </c>
      <c r="S899" s="1" t="str">
        <f ca="1">IF(ISERROR(F882),"",VLOOKUP(A882,INDIRECT($F$8),6+(O899-1)*3))</f>
        <v/>
      </c>
      <c r="T899" s="1" t="str">
        <f ca="1">IF(ISERROR(F882),"",VLOOKUP(A882,INDIRECT($F$8),7+(O899-1)*3))</f>
        <v/>
      </c>
      <c r="U899" s="1" t="str">
        <f ca="1">IF(ISERROR(F882),"",VLOOKUP(A882,INDIRECT($F$8),8+(O899-1)*3))</f>
        <v/>
      </c>
      <c r="V899" s="1"/>
      <c r="W899" s="1" t="str">
        <f ca="1">IF(ISERROR(F882),"",IF(ISTEXT(VLOOKUP(B882,INDIRECT($F$8),6+(O899-1)*3)),11,IF(VLOOKUP(B882,INDIRECT($F$8),6+(O899-1)*3)&lt;S899*0.3,IF(VLOOKUP(B882,INDIRECT($F$8),8+(O899-1)*3)&lt;U899*0.4,IF(AND(0.4*U899-VLOOKUP(B882,INDIRECT($F$8),8+(O899-1)*3)&lt;=5,0.3*S899-VLOOKUP(B882,INDIRECT($F$8),6+(O899-1)*3)&lt;=5),MAX(0.4*U899-VLOOKUP(B882,INDIRECT($F$8),8+(O899-1)*3),0.3*S899-VLOOKUP(B882,INDIRECT($F$8),6+(O899-1)*3)),11),IF(0.3*S899-VLOOKUP(B882,INDIRECT($F$8),6+(O899-1)*3)&lt;=5,0.3*S899-VLOOKUP(B882,INDIRECT($F$8),6+(O899-1)*3),11)),IF(VLOOKUP(B882,INDIRECT($F$8),8+(O899-1)*3)&lt;U899*0.4,IF(U899*0.4-VLOOKUP(B882,INDIRECT($F$8),8+(O899-1)*3)&lt;=5,U899*0.4-VLOOKUP(B882,INDIRECT($F$8),8+(O899-1)*3),11),0))))</f>
        <v/>
      </c>
      <c r="X899" s="1" t="str">
        <f ca="1">IF(ISERROR(F882),"",IF(W899=0,"",_xlfn.TEXTJOIN("",FALSE," G+",W899," in ",A899)))</f>
        <v/>
      </c>
    </row>
    <row r="900" spans="1:24" s="32" customFormat="1" ht="11.25" customHeight="1" x14ac:dyDescent="0.2">
      <c r="A900" s="31" t="str">
        <f ca="1">IF(ISERROR(F882),"",VLOOKUP(C882,INDIRECT($F$8),6+(O900-1)*3-Y900,0))</f>
        <v/>
      </c>
      <c r="B900" s="49" t="str">
        <f ca="1">IF(ISERROR(F882),"",VLOOKUP(D882,INDIRECT($F$8),6+(O900-1)*3-Z900,0))</f>
        <v/>
      </c>
      <c r="C900" s="49"/>
      <c r="D900" s="49"/>
      <c r="E900" s="49"/>
      <c r="F900" s="31" t="str">
        <f ca="1">IF(ISERROR(F882),"",VLOOKUP(E882,INDIRECT($F$8),6+(O900-1)*3-AA900,0))</f>
        <v/>
      </c>
      <c r="G900" s="50" t="str">
        <f ca="1">IF(ISERROR(F882),"","-")</f>
        <v/>
      </c>
      <c r="H900" s="50"/>
      <c r="I900" s="50" t="str">
        <f ca="1">IF(ISERROR(F882),"",_xlfn.TEXTJOIN("/",FALSE,Q900,T900))</f>
        <v/>
      </c>
      <c r="J900" s="50"/>
      <c r="K900" s="50" t="str">
        <f ca="1">IF(ISERROR(F882),"",_xlfn.TEXTJOIN("/",FALSE,R900,U900))</f>
        <v/>
      </c>
      <c r="L900" s="50"/>
      <c r="M900" s="7" t="b">
        <f ca="1">IF(ISERROR(F883),"",IF(ISTEXT(P900),IF(P900="A","Ab",IF(P900="D","Dt",IF(P900="UFM","UFM",IF(P900="NA","")))),IF(AND(ISBLANK(P900),ISBLANK(R900)),"",IF(P900&lt;0.3*S900,"F",IF(ISBLANK(R900),"",IF(ISTEXT(R900),R900,IF(R900&gt;=0.95*U900,"O",IF(R900&gt;=0.9*U900,"A+",IF(R900&gt;=0.85*U900,"A",IF(R900&gt;=0.8*U900,"B+",IF(R900&gt;=0.75*U900,"B",IF(R900&gt;=0.7*U900,"C+",IF(R900&gt;=0.65*U900,"C",IF(R900&gt;=0.6*U900,"D+",IF(R900&gt;=0.55*U900,"D",IF(R900&gt;=0.5*U900,"E+",IF(R900&gt;=0.45*U900,"E",IF(R900&gt;=0.4*U900,"P",IF(R900&lt;0.4*U900,"F",R900)))))))))))))))))))</f>
        <v>0</v>
      </c>
      <c r="N900" s="8" t="e">
        <f t="shared" ref="N889:N900" ca="1" si="96">INDEX($Z$2:$Z$18,MATCH(M900,$Y$2:$Y$18,0))</f>
        <v>#N/A</v>
      </c>
      <c r="O900" s="32">
        <f t="shared" si="95"/>
        <v>14</v>
      </c>
      <c r="P900" s="33" t="str">
        <f ca="1">IF(ISERROR(F882),"",IF(ISTEXT(VLOOKUP(B\28,INDIRECT($F$8),6+(O900-1)*3)),(VLOOKUP(B882,INDIRECT($F$8),6+(O900-1)*3)),SUM(VLOOKUP(B882,INDIRECT($F$8),6+(O900-1)*3),IF(W901,W900,0))))</f>
        <v/>
      </c>
      <c r="Q900" s="33" t="str">
        <f ca="1">IF(ISERROR(F882),"",VLOOKUP(B882,INDIRECT($F$8),7+(O900-1)*3))</f>
        <v/>
      </c>
      <c r="R900" s="33" t="str">
        <f ca="1">IF(ISERROR(F882),"",SUM(P900:Q900))</f>
        <v/>
      </c>
      <c r="S900" s="33" t="str">
        <f ca="1">IF(ISERROR(F882),"",VLOOKUP(A882,INDIRECT($F$8),6+(O900-1)*3))</f>
        <v/>
      </c>
      <c r="T900" s="33" t="str">
        <f ca="1">IF(ISERROR(F882),"",VLOOKUP(A882,INDIRECT($F$8),7+(O900-1)*3))</f>
        <v/>
      </c>
      <c r="U900" s="33" t="str">
        <f ca="1">IF(ISERROR(F882),"",VLOOKUP(A882,INDIRECT($F$8),8+(O900-1)*3))</f>
        <v/>
      </c>
      <c r="V900" s="33"/>
      <c r="W900" s="33"/>
      <c r="X900" s="33" t="str">
        <f ca="1">IF(ISERROR(F882),"",IF(W900=0,"",_xlfn.TEXTJOIN("",FALSE," G+",W900," in ",A900)))</f>
        <v/>
      </c>
    </row>
    <row r="901" spans="1:24" ht="11.25" customHeight="1" x14ac:dyDescent="0.2">
      <c r="A901" s="43" t="str">
        <f ca="1">IF(ISERROR(F882),"",A878)</f>
        <v/>
      </c>
      <c r="B901" s="43"/>
      <c r="C901" s="43"/>
      <c r="D901" s="43"/>
      <c r="E901" s="43"/>
      <c r="F901" s="10" t="str">
        <f ca="1">IF(ISERROR(F882),"",SUM(F887:F900))</f>
        <v/>
      </c>
      <c r="G901" s="44" t="str">
        <f ca="1">IF(ISERROR(F882),"",_xlfn.TEXTJOIN("/",TRUE,SUMIF(F887:F900,"&gt;0",P887:P900),SUMIF(F887:F900,"&gt;0",S887:S900)))</f>
        <v/>
      </c>
      <c r="H901" s="44"/>
      <c r="I901" s="44" t="str">
        <f ca="1">IF(ISERROR(F882),"",_xlfn.TEXTJOIN("/",TRUE,SUMIF(F887:F900,"&gt;0",Q887:Q900),SUMIF(F887:F900,"&gt;0",T887:T900)))</f>
        <v/>
      </c>
      <c r="J901" s="44"/>
      <c r="K901" s="44" t="str">
        <f ca="1">IF(ISERROR(F882),"",_xlfn.TEXTJOIN("/",TRUE,SUMIF(F887:F900,"&gt;0",R887:R900),SUMIF(F887:F900,"&gt;0",U887:U900)))</f>
        <v/>
      </c>
      <c r="L901" s="44"/>
      <c r="M901" s="43" t="str">
        <f ca="1">IF(ISERROR(F882),"",SUMPRODUCT(N887:N899,F887:F899))</f>
        <v/>
      </c>
      <c r="N901" s="43"/>
      <c r="V901" s="1" t="str">
        <f ca="1">IF(ISERROR(F882),"",_xlfn.TEXTJOIN(", ",TRUE,V887:V900))</f>
        <v/>
      </c>
      <c r="W901" t="str">
        <f ca="1">IF(ISERROR(F882),"",IF(SUM(W887:W900)&lt;=W886,TRUE,FALSE))</f>
        <v/>
      </c>
      <c r="X901" s="1" t="str">
        <f ca="1">_xlfn.TEXTJOIN(",",TRUE,X887:X900)</f>
        <v/>
      </c>
    </row>
    <row r="902" spans="1:24" ht="11.25" customHeight="1" x14ac:dyDescent="0.2">
      <c r="A902" s="43" t="str">
        <f ca="1">IF(ISERROR(F882),"",A879)</f>
        <v/>
      </c>
      <c r="B902" s="45" t="str">
        <f ca="1">IF(ISERROR(F882),"",IF(V901="","PASS","CARRY OVER"))</f>
        <v/>
      </c>
      <c r="C902" s="45"/>
      <c r="D902" s="43" t="str">
        <f ca="1">IF(ISERROR(F882),"",D879)</f>
        <v/>
      </c>
      <c r="E902" s="45" t="str">
        <f ca="1">IF(ISERROR(F882),"",IF(W901,X901,IF(V901="","",_xlfn.TEXTJOIN("",TRUE,"BACK IN ",V901))))</f>
        <v/>
      </c>
      <c r="F902" s="45"/>
      <c r="G902" s="43" t="str">
        <f ca="1">IF(ISERROR(F882),"",G879)</f>
        <v/>
      </c>
      <c r="H902" s="46" t="str">
        <f ca="1">IF(ISERROR(F882),"",M901/F901)</f>
        <v/>
      </c>
      <c r="I902" s="43" t="str">
        <f ca="1">IF(ISERROR(F882),"",I879)</f>
        <v/>
      </c>
      <c r="J902" s="46" t="str">
        <f ca="1">IF(ISERROR(F882),"",VLOOKUP(B882,INDIRECT($F$8),12+(O900-1)*3,0))</f>
        <v/>
      </c>
      <c r="K902" s="45" t="str">
        <f ca="1">IF(ISERROR(F882),"",K879)</f>
        <v/>
      </c>
      <c r="L902" s="43" t="str">
        <f ca="1">IF(ISERROR(F882),"",SUMIF(N887:N899,"&gt;0",F887:F899))</f>
        <v/>
      </c>
      <c r="M902" s="45" t="str">
        <f ca="1">IF(ISERROR(F882),"",M879)</f>
        <v/>
      </c>
      <c r="N902" s="43" t="str">
        <f ca="1">IF(ISERROR(F882),"",VLOOKUP(B882,INDIRECT($F$8),10+(O900-1)*3,0))</f>
        <v/>
      </c>
    </row>
    <row r="903" spans="1:24" ht="11.25" customHeight="1" x14ac:dyDescent="0.2">
      <c r="A903" s="43"/>
      <c r="B903" s="45"/>
      <c r="C903" s="45"/>
      <c r="D903" s="43"/>
      <c r="E903" s="45"/>
      <c r="F903" s="45"/>
      <c r="G903" s="43"/>
      <c r="H903" s="46"/>
      <c r="I903" s="43"/>
      <c r="J903" s="46"/>
      <c r="K903" s="45"/>
      <c r="L903" s="43"/>
      <c r="M903" s="45"/>
      <c r="N903" s="43"/>
    </row>
    <row r="904" spans="1:24" ht="11.25" customHeight="1" x14ac:dyDescent="0.2">
      <c r="A904" s="43"/>
      <c r="B904" s="45"/>
      <c r="C904" s="45"/>
      <c r="D904" s="43"/>
      <c r="E904" s="45"/>
      <c r="F904" s="45"/>
      <c r="G904" s="43"/>
      <c r="H904" s="46"/>
      <c r="I904" s="43"/>
      <c r="J904" s="46"/>
      <c r="K904" s="45"/>
      <c r="L904" s="43"/>
      <c r="M904" s="45"/>
      <c r="N904" s="43"/>
    </row>
    <row r="905" spans="1:24" ht="11.25" customHeight="1" x14ac:dyDescent="0.2">
      <c r="A905" s="11" t="str">
        <f>A882</f>
        <v>MM</v>
      </c>
      <c r="B905" s="11">
        <f>B882+1</f>
        <v>40</v>
      </c>
      <c r="C905" s="11" t="str">
        <f>C882</f>
        <v>SC</v>
      </c>
      <c r="D905" s="11" t="str">
        <f>D882</f>
        <v>SN</v>
      </c>
      <c r="E905" s="11" t="str">
        <f>E882</f>
        <v>C</v>
      </c>
      <c r="F905" s="11" t="e">
        <f ca="1">VLOOKUP(B905,INDIRECT($F$8),4,0)</f>
        <v>#N/A</v>
      </c>
    </row>
    <row r="906" spans="1:24" ht="11.25" customHeight="1" x14ac:dyDescent="0.2">
      <c r="A906" s="47" t="str">
        <f ca="1">IF(ISERROR(F905),"",A883)</f>
        <v/>
      </c>
      <c r="B906" s="47" t="str">
        <f ca="1">IFERROR(VLOOKUP(B905,INDIRECT($F$8),4,0),"")</f>
        <v/>
      </c>
      <c r="C906" s="47"/>
      <c r="D906" s="47" t="str">
        <f ca="1">IF(ISERROR(F905),"",D883)</f>
        <v/>
      </c>
      <c r="E906" s="47" t="str">
        <f ca="1">IFERROR(VLOOKUP(B905,INDIRECT($F$8),5,0),"")</f>
        <v/>
      </c>
      <c r="F906" s="47"/>
      <c r="G906" s="47" t="str">
        <f ca="1">IF(ISERROR(F905),"",G883)</f>
        <v/>
      </c>
      <c r="H906" s="47"/>
      <c r="I906" s="48" t="str">
        <f ca="1">IFERROR(VLOOKUP(B905,INDIRECT($F$8),2,0),"")</f>
        <v/>
      </c>
      <c r="J906" s="48"/>
      <c r="K906" s="47" t="str">
        <f ca="1">IF(ISERROR(F905),"",K883)</f>
        <v/>
      </c>
      <c r="L906" s="47"/>
      <c r="M906" s="48" t="str">
        <f ca="1">IFERROR(VLOOKUP(B905,INDIRECT($F$8),3,0),"")</f>
        <v/>
      </c>
      <c r="N906" s="48"/>
    </row>
    <row r="907" spans="1:24" ht="11.25" customHeight="1" x14ac:dyDescent="0.2">
      <c r="A907" s="47"/>
      <c r="B907" s="47"/>
      <c r="C907" s="47"/>
      <c r="D907" s="47"/>
      <c r="E907" s="47"/>
      <c r="F907" s="47"/>
      <c r="G907" s="47"/>
      <c r="H907" s="47"/>
      <c r="I907" s="48"/>
      <c r="J907" s="48"/>
      <c r="K907" s="47"/>
      <c r="L907" s="47"/>
      <c r="M907" s="48"/>
      <c r="N907" s="48"/>
    </row>
    <row r="908" spans="1:24" ht="11.25" customHeight="1" x14ac:dyDescent="0.2">
      <c r="A908" s="45" t="str">
        <f ca="1">IF(ISERROR(F905),"",A885)</f>
        <v/>
      </c>
      <c r="B908" s="45" t="str">
        <f ca="1">IF(ISERROR(F905),"",B885)</f>
        <v/>
      </c>
      <c r="C908" s="45"/>
      <c r="D908" s="45"/>
      <c r="E908" s="45"/>
      <c r="F908" s="45" t="str">
        <f ca="1">IF(ISERROR(F905),"",F885)</f>
        <v/>
      </c>
      <c r="G908" s="45" t="str">
        <f ca="1">IF(ISERROR(F905),"",G885)</f>
        <v/>
      </c>
      <c r="H908" s="45"/>
      <c r="I908" s="45" t="str">
        <f ca="1">IF(ISERROR(F905),"",I885)</f>
        <v/>
      </c>
      <c r="J908" s="45"/>
      <c r="K908" s="45" t="str">
        <f ca="1">IF(ISERROR(F905),"",K885)</f>
        <v/>
      </c>
      <c r="L908" s="45"/>
      <c r="M908" s="45" t="str">
        <f ca="1">IF(ISERROR(F905),"",M885)</f>
        <v/>
      </c>
      <c r="N908" s="45" t="str">
        <f ca="1">IF(ISERROR(F905),"",N885)</f>
        <v/>
      </c>
    </row>
    <row r="909" spans="1:24" ht="11.25" customHeight="1" x14ac:dyDescent="0.2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W909">
        <f ca="1">IF(ISNUMBER(MATCH($F$8,{"I","III","V","VII"},0)),10,10-INDEX(INDIRECT(_xlfn.TEXTJOIN("",TRUE,"SEM_",$G$8,"!",ADDRESS(6,4+$I$8*3+4),":",ADDRESS(5+$H$8,4+$I$8*3+4))),MATCH(INDIRECT(_xlfn.TEXTJOIN("",TRUE,"TC_",$F$8,"!",ADDRESS(ROW(I906),COLUMN(I906)))),INDIRECT(_xlfn.TEXTJOIN("",TRUE,"SEM_",$G$8,"!",ADDRESS(6,2),":",ADDRESS(5+$H$8,2))))))</f>
        <v>10</v>
      </c>
    </row>
    <row r="910" spans="1:24" ht="11.25" customHeight="1" x14ac:dyDescent="0.2">
      <c r="A910" s="7" t="str">
        <f ca="1">IF(ISERROR(F905),"",VLOOKUP(C905,INDIRECT($F$8),6+(O910-1)*3,0))</f>
        <v/>
      </c>
      <c r="B910" s="41" t="str">
        <f ca="1">IF(ISERROR(F905),"",VLOOKUP(D905,INDIRECT($F$8),6+(O910-1)*3,0))</f>
        <v/>
      </c>
      <c r="C910" s="41"/>
      <c r="D910" s="41"/>
      <c r="E910" s="41"/>
      <c r="F910" s="7" t="str">
        <f ca="1">IF(ISERROR(F905),"",VLOOKUP(E905,INDIRECT($F$8),6+(O910-1)*3,0))</f>
        <v/>
      </c>
      <c r="G910" s="42" t="str">
        <f ca="1">IF(ISERROR(F905),"",_xlfn.TEXTJOIN("/",FALSE,P910,S910))</f>
        <v/>
      </c>
      <c r="H910" s="42"/>
      <c r="I910" s="42" t="str">
        <f ca="1">IF(ISERROR(F905),"",_xlfn.TEXTJOIN("/",FALSE,Q910,T910))</f>
        <v/>
      </c>
      <c r="J910" s="42"/>
      <c r="K910" s="42" t="str">
        <f ca="1">IF(ISERROR(F905),"",_xlfn.TEXTJOIN("/",FALSE,R910,U910))</f>
        <v/>
      </c>
      <c r="L910" s="42"/>
      <c r="M910" s="7" t="str">
        <f ca="1">IF(ISERROR(F905),"",IF(ISTEXT(P910),IF(P910="A","Ab",IF(P910="D","Dt",IF(P910="UFM","UFM",IF(P910="NA","-")))),IF(AND(ISBLANK(P910),ISBLANK(R910)),"",IF(P910&lt;0.3*S910,"F",IF(ISBLANK(R910),"",IF(ISTEXT(R910),R910,IF(R910&gt;=0.95*U910,"O",IF(R910&gt;=0.9*U910,"A+",IF(R910&gt;=0.85*U910,"A",IF(R910&gt;=0.8*U910,"B+",IF(R910&gt;=0.75*U910,"B",IF(R910&gt;=0.7*U910,"C+",IF(R910&gt;=0.65*U910,"C",IF(R910&gt;=0.6*U910,"D+",IF(R910&gt;=0.55*U910,"D",IF(R910&gt;=0.5*U910,"E+",IF(R910&gt;=0.45*U910,"E",IF(R910&gt;=0.4*U910,"P",IF(R910&lt;0.4*U910,"F",R910)))))))))))))))))))</f>
        <v/>
      </c>
      <c r="N910" s="8" t="e">
        <f ca="1">INDEX($Z$2:$Z$18,MATCH(M910,$Y$2:$Y$18,0))</f>
        <v>#N/A</v>
      </c>
      <c r="O910">
        <v>1</v>
      </c>
      <c r="P910" s="1" t="str">
        <f ca="1">IF(ISERROR(F905),"",IF(ISTEXT(VLOOKUP(B905,INDIRECT($F$8),6+(O910-1)*3)),(VLOOKUP(B905,INDIRECT($F$8),6+(O910-1)*3)),SUM(VLOOKUP(B905,INDIRECT($F$8),6+(O910-1)*3),IF(W924,W910,0))))</f>
        <v/>
      </c>
      <c r="Q910" s="1" t="str">
        <f ca="1">IF(ISERROR(F905),"",VLOOKUP(B905,INDIRECT($F$8),7+(O910-1)*3))</f>
        <v/>
      </c>
      <c r="R910" s="1" t="str">
        <f ca="1">IF(ISERROR(F905),"",SUM(P910:Q910))</f>
        <v/>
      </c>
      <c r="S910" s="1" t="str">
        <f ca="1">IF(ISERROR(F905),"",VLOOKUP(A905,INDIRECT($F$8),6+(O910-1)*3))</f>
        <v/>
      </c>
      <c r="T910" s="1" t="str">
        <f ca="1">IF(ISERROR(F905),"",VLOOKUP(A905,INDIRECT($F$8),7+(O910-1)*3))</f>
        <v/>
      </c>
      <c r="U910" s="1" t="str">
        <f ca="1">IF(ISERROR(F905),"",VLOOKUP(A905,INDIRECT($F$8),8+(O910-1)*3))</f>
        <v/>
      </c>
      <c r="V910" s="1" t="str">
        <f ca="1">IF(ISERROR(F905),"",IF(N910=0,A910,""))</f>
        <v/>
      </c>
      <c r="W910" s="1" t="str">
        <f ca="1">IF(ISERROR(F905),"",IF(ISTEXT(VLOOKUP(B905,INDIRECT($F$8),6+(O910-1)*3)),11,IF(VLOOKUP(B905,INDIRECT($F$8),6+(O910-1)*3)&lt;S910*0.3,IF(VLOOKUP(B905,INDIRECT($F$8),8+(O910-1)*3)&lt;U910*0.4,IF(AND(0.4*U910-VLOOKUP(B905,INDIRECT($F$8),8+(O910-1)*3)&lt;=5,0.3*S910-VLOOKUP(B905,INDIRECT($F$8),6+(O910-1)*3)&lt;=5),MAX(0.4*U910-VLOOKUP(B905,INDIRECT($F$8),8+(O910-1)*3),0.3*S910-VLOOKUP(B905,INDIRECT($F$8),6+(O910-1)*3)),11),IF(0.3*S910-VLOOKUP(B905,INDIRECT($F$8),6+(O910-1)*3)&lt;=5,0.3*S910-VLOOKUP(B905,INDIRECT($F$8),6+(O910-1)*3),11)),IF(VLOOKUP(B905,INDIRECT($F$8),8+(O910-1)*3)&lt;U910*0.4,IF(U910*0.4-VLOOKUP(B905,INDIRECT($F$8),8+(O910-1)*3)&lt;=5,U910*0.4-VLOOKUP(B905,INDIRECT($F$8),8+(O910-1)*3),11),0))))</f>
        <v/>
      </c>
      <c r="X910" s="1" t="str">
        <f ca="1">IF(ISERROR(F905),"",IF(W910=0,"",_xlfn.TEXTJOIN("",FALSE," G+",W910," in ",A910)))</f>
        <v/>
      </c>
    </row>
    <row r="911" spans="1:24" ht="11.25" customHeight="1" x14ac:dyDescent="0.2">
      <c r="A911" s="7" t="str">
        <f ca="1">IF(ISERROR(F905),"",VLOOKUP(C905,INDIRECT($F$8),6+(O911-1)*3,0))</f>
        <v/>
      </c>
      <c r="B911" s="41" t="str">
        <f ca="1">IF(ISERROR(F905),"",VLOOKUP(D905,INDIRECT($F$8),6+(O911-1)*3,0))</f>
        <v/>
      </c>
      <c r="C911" s="41"/>
      <c r="D911" s="41"/>
      <c r="E911" s="41"/>
      <c r="F911" s="7" t="str">
        <f ca="1">IF(ISERROR(F905),"",VLOOKUP(E905,INDIRECT($F$8),6+(O911-1)*3,0))</f>
        <v/>
      </c>
      <c r="G911" s="42" t="str">
        <f ca="1">IF(ISERROR(F905),"",_xlfn.TEXTJOIN("/",FALSE,P911,S911))</f>
        <v/>
      </c>
      <c r="H911" s="42"/>
      <c r="I911" s="42" t="str">
        <f ca="1">IF(ISERROR(F905),"",_xlfn.TEXTJOIN("/",FALSE,Q911,T911))</f>
        <v/>
      </c>
      <c r="J911" s="42"/>
      <c r="K911" s="42" t="str">
        <f ca="1">IF(ISERROR(F905),"",_xlfn.TEXTJOIN("/",FALSE,R911,U911))</f>
        <v/>
      </c>
      <c r="L911" s="42"/>
      <c r="M911" s="7" t="str">
        <f ca="1">IF(ISERROR(F905),"",IF(ISTEXT(P911),IF(P911="A","Ab",IF(P911="D","Dt",IF(P911="UFM","UFM",IF(P911="NA","-")))),IF(AND(ISBLANK(P911),ISBLANK(R911)),"",IF(P911&lt;0.3*S911,"F",IF(ISBLANK(R911),"",IF(ISTEXT(R911),R911,IF(R911&gt;=0.95*U911,"O",IF(R911&gt;=0.9*U911,"A+",IF(R911&gt;=0.85*U911,"A",IF(R911&gt;=0.8*U911,"B+",IF(R911&gt;=0.75*U911,"B",IF(R911&gt;=0.7*U911,"C+",IF(R911&gt;=0.65*U911,"C",IF(R911&gt;=0.6*U911,"D+",IF(R911&gt;=0.55*U911,"D",IF(R911&gt;=0.5*U911,"E+",IF(R911&gt;=0.45*U911,"E",IF(R911&gt;=0.4*U911,"P",IF(R911&lt;0.4*U911,"F",R911)))))))))))))))))))</f>
        <v/>
      </c>
      <c r="N911" s="8" t="e">
        <f t="shared" ref="N911:N922" ca="1" si="97">INDEX($Z$2:$Z$18,MATCH(M911,$Y$2:$Y$18,0))</f>
        <v>#N/A</v>
      </c>
      <c r="O911">
        <f>O910+1</f>
        <v>2</v>
      </c>
      <c r="P911" s="1" t="str">
        <f ca="1">IF(ISERROR(F905),"",IF(ISTEXT(VLOOKUP(B905,INDIRECT($F$8),6+(O911-1)*3)),(VLOOKUP(B905,INDIRECT($F$8),6+(O911-1)*3)),SUM(VLOOKUP(B905,INDIRECT($F$8),6+(O911-1)*3),IF(W924,W911,0))))</f>
        <v/>
      </c>
      <c r="Q911" s="1" t="str">
        <f ca="1">IF(ISERROR(F905),"",VLOOKUP(B905,INDIRECT($F$8),7+(O911-1)*3))</f>
        <v/>
      </c>
      <c r="R911" s="1" t="str">
        <f ca="1">IF(ISERROR(F905),"",SUM(P911:Q911))</f>
        <v/>
      </c>
      <c r="S911" s="1" t="str">
        <f ca="1">IF(ISERROR(F905),"",VLOOKUP(A905,INDIRECT($F$8),6+(O911-1)*3))</f>
        <v/>
      </c>
      <c r="T911" s="1" t="str">
        <f ca="1">IF(ISERROR(F905),"",VLOOKUP(A905,INDIRECT($F$8),7+(O911-1)*3))</f>
        <v/>
      </c>
      <c r="U911" s="1" t="str">
        <f ca="1">IF(ISERROR(F905),"",VLOOKUP(A905,INDIRECT($F$8),8+(O911-1)*3))</f>
        <v/>
      </c>
      <c r="V911" s="1" t="str">
        <f ca="1">IF(ISERROR(F905),"",IF(N911=0,A911,""))</f>
        <v/>
      </c>
      <c r="W911" s="1" t="str">
        <f ca="1">IF(ISERROR(F905),"",IF(ISTEXT(VLOOKUP(B905,INDIRECT($F$8),6+(O911-1)*3)),11,IF(VLOOKUP(B905,INDIRECT($F$8),6+(O911-1)*3)&lt;S911*0.3,IF(VLOOKUP(B905,INDIRECT($F$8),8+(O911-1)*3)&lt;U911*0.4,IF(AND(0.4*U911-VLOOKUP(B905,INDIRECT($F$8),8+(O911-1)*3)&lt;=5,0.3*S911-VLOOKUP(B905,INDIRECT($F$8),6+(O911-1)*3)&lt;=5),MAX(0.4*U911-VLOOKUP(B905,INDIRECT($F$8),8+(O911-1)*3),0.3*S911-VLOOKUP(B905,INDIRECT($F$8),6+(O911-1)*3)),11),IF(0.3*S911-VLOOKUP(B905,INDIRECT($F$8),6+(O911-1)*3)&lt;=5,0.3*S911-VLOOKUP(B905,INDIRECT($F$8),6+(O911-1)*3),11)),IF(VLOOKUP(B905,INDIRECT($F$8),8+(O911-1)*3)&lt;U911*0.4,IF(U911*0.4-VLOOKUP(B905,INDIRECT($F$8),8+(O911-1)*3)&lt;=5,U911*0.4-VLOOKUP(B905,INDIRECT($F$8),8+(O911-1)*3),11),0))))</f>
        <v/>
      </c>
      <c r="X911" s="1" t="str">
        <f ca="1">IF(ISERROR(F905),"",IF(W911=0,"",_xlfn.TEXTJOIN("",FALSE," G+",W911," in ",A911)))</f>
        <v/>
      </c>
    </row>
    <row r="912" spans="1:24" ht="11.25" customHeight="1" x14ac:dyDescent="0.2">
      <c r="A912" s="7" t="str">
        <f ca="1">IF(ISERROR(F905),"",VLOOKUP(C905,INDIRECT($F$8),6+(O912-1)*3,0))</f>
        <v/>
      </c>
      <c r="B912" s="41" t="str">
        <f ca="1">IF(ISERROR(F905),"",VLOOKUP(D905,INDIRECT($F$8),6+(O912-1)*3,0))</f>
        <v/>
      </c>
      <c r="C912" s="41"/>
      <c r="D912" s="41"/>
      <c r="E912" s="41"/>
      <c r="F912" s="7" t="str">
        <f ca="1">IF(ISERROR(F905),"",VLOOKUP(E905,INDIRECT($F$8),6+(O912-1)*3,0))</f>
        <v/>
      </c>
      <c r="G912" s="42" t="str">
        <f ca="1">IF(ISERROR(F905),"",_xlfn.TEXTJOIN("/",FALSE,P912,S912))</f>
        <v/>
      </c>
      <c r="H912" s="42"/>
      <c r="I912" s="42" t="str">
        <f ca="1">IF(ISERROR(F905),"",_xlfn.TEXTJOIN("/",FALSE,Q912,T912))</f>
        <v/>
      </c>
      <c r="J912" s="42"/>
      <c r="K912" s="42" t="str">
        <f ca="1">IF(ISERROR(F905),"",_xlfn.TEXTJOIN("/",FALSE,R912,U912))</f>
        <v/>
      </c>
      <c r="L912" s="42"/>
      <c r="M912" s="7" t="str">
        <f ca="1">IF(ISERROR(F905),"",IF(ISTEXT(P912),IF(P912="A","Ab",IF(P912="D","Dt",IF(P912="UFM","UFM",IF(P912="NA","-")))),IF(AND(ISBLANK(P912),ISBLANK(R912)),"",IF(P912&lt;0.3*S912,"F",IF(ISBLANK(R912),"",IF(ISTEXT(R912),R912,IF(R912&gt;=0.95*U912,"O",IF(R912&gt;=0.9*U912,"A+",IF(R912&gt;=0.85*U912,"A",IF(R912&gt;=0.8*U912,"B+",IF(R912&gt;=0.75*U912,"B",IF(R912&gt;=0.7*U912,"C+",IF(R912&gt;=0.65*U912,"C",IF(R912&gt;=0.6*U912,"D+",IF(R912&gt;=0.55*U912,"D",IF(R912&gt;=0.5*U912,"E+",IF(R912&gt;=0.45*U912,"E",IF(R912&gt;=0.4*U912,"P",IF(R912&lt;0.4*U912,"F",R912)))))))))))))))))))</f>
        <v/>
      </c>
      <c r="N912" s="8" t="e">
        <f t="shared" ca="1" si="97"/>
        <v>#N/A</v>
      </c>
      <c r="O912">
        <f>O911+1</f>
        <v>3</v>
      </c>
      <c r="P912" s="1" t="str">
        <f ca="1">IF(ISERROR(F905),"",IF(ISTEXT(VLOOKUP(B905,INDIRECT($F$8),6+(O912-1)*3)),(VLOOKUP(B905,INDIRECT($F$8),6+(O912-1)*3)),SUM(VLOOKUP(B905,INDIRECT($F$8),6+(O912-1)*3),IF(W924,W912,0))))</f>
        <v/>
      </c>
      <c r="Q912" s="1" t="str">
        <f ca="1">IF(ISERROR(F905),"",VLOOKUP(B905,INDIRECT($F$8),7+(O912-1)*3))</f>
        <v/>
      </c>
      <c r="R912" s="1" t="str">
        <f ca="1">IF(ISERROR(F905),"",SUM(P912:Q912))</f>
        <v/>
      </c>
      <c r="S912" s="1" t="str">
        <f ca="1">IF(ISERROR(F905),"",VLOOKUP(A905,INDIRECT($F$8),6+(O912-1)*3))</f>
        <v/>
      </c>
      <c r="T912" s="1" t="str">
        <f ca="1">IF(ISERROR(F905),"",VLOOKUP(A905,INDIRECT($F$8),7+(O912-1)*3))</f>
        <v/>
      </c>
      <c r="U912" s="1" t="str">
        <f ca="1">IF(ISERROR(F905),"",VLOOKUP(A905,INDIRECT($F$8),8+(O912-1)*3))</f>
        <v/>
      </c>
      <c r="V912" s="1" t="str">
        <f ca="1">IF(ISERROR(F905),"",IF(N912=0,A912,""))</f>
        <v/>
      </c>
      <c r="W912" s="1" t="str">
        <f ca="1">IF(ISERROR(F905),"",IF(ISTEXT(VLOOKUP(B905,INDIRECT($F$8),6+(O912-1)*3)),11,IF(VLOOKUP(B905,INDIRECT($F$8),6+(O912-1)*3)&lt;S912*0.3,IF(VLOOKUP(B905,INDIRECT($F$8),8+(O912-1)*3)&lt;U912*0.4,IF(AND(0.4*U912-VLOOKUP(B905,INDIRECT($F$8),8+(O912-1)*3)&lt;=5,0.3*S912-VLOOKUP(B905,INDIRECT($F$8),6+(O912-1)*3)&lt;=5),MAX(0.4*U912-VLOOKUP(B905,INDIRECT($F$8),8+(O912-1)*3),0.3*S912-VLOOKUP(B905,INDIRECT($F$8),6+(O912-1)*3)),11),IF(0.3*S912-VLOOKUP(B905,INDIRECT($F$8),6+(O912-1)*3)&lt;=5,0.3*S912-VLOOKUP(B905,INDIRECT($F$8),6+(O912-1)*3),11)),IF(VLOOKUP(B905,INDIRECT($F$8),8+(O912-1)*3)&lt;U912*0.4,IF(U912*0.4-VLOOKUP(B905,INDIRECT($F$8),8+(O912-1)*3)&lt;=5,U912*0.4-VLOOKUP(B905,INDIRECT($F$8),8+(O912-1)*3),11),0))))</f>
        <v/>
      </c>
      <c r="X912" s="1" t="str">
        <f ca="1">IF(ISERROR(F905),"",IF(W912=0,"",_xlfn.TEXTJOIN("",FALSE," G+",W912," in ",A912)))</f>
        <v/>
      </c>
    </row>
    <row r="913" spans="1:24" ht="11.25" customHeight="1" x14ac:dyDescent="0.2">
      <c r="A913" s="7" t="str">
        <f ca="1">IF(ISERROR(F905),"",VLOOKUP(C905,INDIRECT($F$8),6+(O913-1)*3,0))</f>
        <v/>
      </c>
      <c r="B913" s="41" t="str">
        <f ca="1">IF(ISERROR(F905),"",VLOOKUP(D905,INDIRECT($F$8),6+(O913-1)*3,0))</f>
        <v/>
      </c>
      <c r="C913" s="41"/>
      <c r="D913" s="41"/>
      <c r="E913" s="41"/>
      <c r="F913" s="7" t="str">
        <f ca="1">IF(ISERROR(F905),"",VLOOKUP(E905,INDIRECT($F$8),6+(O913-1)*3,0))</f>
        <v/>
      </c>
      <c r="G913" s="42" t="str">
        <f ca="1">IF(ISERROR(F905),"",_xlfn.TEXTJOIN("/",FALSE,P913,S913))</f>
        <v/>
      </c>
      <c r="H913" s="42"/>
      <c r="I913" s="42" t="str">
        <f ca="1">IF(ISERROR(F905),"",_xlfn.TEXTJOIN("/",FALSE,Q913,T913))</f>
        <v/>
      </c>
      <c r="J913" s="42"/>
      <c r="K913" s="42" t="str">
        <f ca="1">IF(ISERROR(F905),"",_xlfn.TEXTJOIN("/",FALSE,R913,U913))</f>
        <v/>
      </c>
      <c r="L913" s="42"/>
      <c r="M913" s="7" t="str">
        <f ca="1">IF(ISERROR(F905),"",IF(ISTEXT(P913),IF(P913="A","Ab",IF(P913="D","Dt",IF(P913="UFM","UFM",IF(P913="NA","-")))),IF(AND(ISBLANK(P913),ISBLANK(R913)),"",IF(P913&lt;0.3*S913,"F",IF(ISBLANK(R913),"",IF(ISTEXT(R913),R913,IF(R913&gt;=0.95*U913,"O",IF(R913&gt;=0.9*U913,"A+",IF(R913&gt;=0.85*U913,"A",IF(R913&gt;=0.8*U913,"B+",IF(R913&gt;=0.75*U913,"B",IF(R913&gt;=0.7*U913,"C+",IF(R913&gt;=0.65*U913,"C",IF(R913&gt;=0.6*U913,"D+",IF(R913&gt;=0.55*U913,"D",IF(R913&gt;=0.5*U913,"E+",IF(R913&gt;=0.45*U913,"E",IF(R913&gt;=0.4*U913,"P",IF(R913&lt;0.4*U913,"F",R913)))))))))))))))))))</f>
        <v/>
      </c>
      <c r="N913" s="8" t="e">
        <f t="shared" ca="1" si="97"/>
        <v>#N/A</v>
      </c>
      <c r="O913">
        <f>O912+1</f>
        <v>4</v>
      </c>
      <c r="P913" s="1" t="str">
        <f ca="1">IF(ISERROR(F905),"",IF(ISTEXT(VLOOKUP(B905,INDIRECT($F$8),6+(O913-1)*3)),(VLOOKUP(B905,INDIRECT($F$8),6+(O913-1)*3)),SUM(VLOOKUP(B905,INDIRECT($F$8),6+(O913-1)*3),IF(W924,W913,0))))</f>
        <v/>
      </c>
      <c r="Q913" s="1" t="str">
        <f ca="1">IF(ISERROR(F905),"",VLOOKUP(B905,INDIRECT($F$8),7+(O913-1)*3))</f>
        <v/>
      </c>
      <c r="R913" s="1" t="str">
        <f ca="1">IF(ISERROR(F905),"",SUM(P913:Q913))</f>
        <v/>
      </c>
      <c r="S913" s="1" t="str">
        <f ca="1">IF(ISERROR(F905),"",VLOOKUP(A905,INDIRECT($F$8),6+(O913-1)*3))</f>
        <v/>
      </c>
      <c r="T913" s="1" t="str">
        <f ca="1">IF(ISERROR(F905),"",VLOOKUP(A905,INDIRECT($F$8),7+(O913-1)*3))</f>
        <v/>
      </c>
      <c r="U913" s="1" t="str">
        <f ca="1">IF(ISERROR(F905),"",VLOOKUP(A905,INDIRECT($F$8),8+(O913-1)*3))</f>
        <v/>
      </c>
      <c r="V913" s="1" t="str">
        <f ca="1">IF(ISERROR(F905),"",IF(N913=0,A913,""))</f>
        <v/>
      </c>
      <c r="W913" s="1" t="str">
        <f ca="1">IF(ISERROR(F905),"",IF(ISTEXT(VLOOKUP(B905,INDIRECT($F$8),6+(O913-1)*3)),11,IF(VLOOKUP(B905,INDIRECT($F$8),6+(O913-1)*3)&lt;S913*0.3,IF(VLOOKUP(B905,INDIRECT($F$8),8+(O913-1)*3)&lt;U913*0.4,IF(AND(0.4*U913-VLOOKUP(B905,INDIRECT($F$8),8+(O913-1)*3)&lt;=5,0.3*S913-VLOOKUP(B905,INDIRECT($F$8),6+(O913-1)*3)&lt;=5),MAX(0.4*U913-VLOOKUP(B905,INDIRECT($F$8),8+(O913-1)*3),0.3*S913-VLOOKUP(B905,INDIRECT($F$8),6+(O913-1)*3)),11),IF(0.3*S913-VLOOKUP(B905,INDIRECT($F$8),6+(O913-1)*3)&lt;=5,0.3*S913-VLOOKUP(B905,INDIRECT($F$8),6+(O913-1)*3),11)),IF(VLOOKUP(B905,INDIRECT($F$8),8+(O913-1)*3)&lt;U913*0.4,IF(U913*0.4-VLOOKUP(B905,INDIRECT($F$8),8+(O913-1)*3)&lt;=5,U913*0.4-VLOOKUP(B905,INDIRECT($F$8),8+(O913-1)*3),11),0))))</f>
        <v/>
      </c>
      <c r="X913" s="1" t="str">
        <f ca="1">IF(ISERROR(F905),"",IF(W913=0,"",_xlfn.TEXTJOIN("",FALSE," G+",W913," in ",A913)))</f>
        <v/>
      </c>
    </row>
    <row r="914" spans="1:24" ht="11.25" customHeight="1" x14ac:dyDescent="0.2">
      <c r="A914" s="7" t="str">
        <f ca="1">IF(ISERROR(F905),"",VLOOKUP(C905,INDIRECT($F$8),6+(O914-1)*3,0))</f>
        <v/>
      </c>
      <c r="B914" s="41" t="str">
        <f ca="1">IF(ISERROR(F905),"",VLOOKUP(D905,INDIRECT($F$8),6+(O914-1)*3,0))</f>
        <v/>
      </c>
      <c r="C914" s="41"/>
      <c r="D914" s="41"/>
      <c r="E914" s="41"/>
      <c r="F914" s="7" t="str">
        <f ca="1">IF(ISERROR(F905),"",VLOOKUP(E905,INDIRECT($F$8),6+(O914-1)*3,0))</f>
        <v/>
      </c>
      <c r="G914" s="42" t="str">
        <f ca="1">IF(ISERROR(F905),"",_xlfn.TEXTJOIN("/",FALSE,P914,S914))</f>
        <v/>
      </c>
      <c r="H914" s="42"/>
      <c r="I914" s="42" t="str">
        <f ca="1">IF(ISERROR(F905),"",_xlfn.TEXTJOIN("/",FALSE,Q914,T914))</f>
        <v/>
      </c>
      <c r="J914" s="42"/>
      <c r="K914" s="42" t="str">
        <f ca="1">IF(ISERROR(F905),"",_xlfn.TEXTJOIN("/",FALSE,R914,U914))</f>
        <v/>
      </c>
      <c r="L914" s="42"/>
      <c r="M914" s="7" t="str">
        <f ca="1">IF(ISERROR(F905),"",IF(ISTEXT(P914),IF(P914="A","Ab",IF(P914="D","Dt",IF(P914="UFM","UFM",IF(P914="NA","-")))),IF(AND(ISBLANK(P914),ISBLANK(R914)),"",IF(P914&lt;0.3*S914,"F",IF(ISBLANK(R914),"",IF(ISTEXT(R914),R914,IF(R914&gt;=0.95*U914,"O",IF(R914&gt;=0.9*U914,"A+",IF(R914&gt;=0.85*U914,"A",IF(R914&gt;=0.8*U914,"B+",IF(R914&gt;=0.75*U914,"B",IF(R914&gt;=0.7*U914,"C+",IF(R914&gt;=0.65*U914,"C",IF(R914&gt;=0.6*U914,"D+",IF(R914&gt;=0.55*U914,"D",IF(R914&gt;=0.5*U914,"E+",IF(R914&gt;=0.45*U914,"E",IF(R914&gt;=0.4*U914,"P",IF(R914&lt;0.4*U914,"F",R914)))))))))))))))))))</f>
        <v/>
      </c>
      <c r="N914" s="8" t="e">
        <f t="shared" ca="1" si="97"/>
        <v>#N/A</v>
      </c>
      <c r="O914">
        <f t="shared" ref="O914:O923" si="98">O913+1</f>
        <v>5</v>
      </c>
      <c r="P914" s="1" t="str">
        <f ca="1">IF(ISERROR(F905),"",IF(ISTEXT(VLOOKUP(B905,INDIRECT($F$8),6+(O914-1)*3)),(VLOOKUP(B905,INDIRECT($F$8),6+(O914-1)*3)),SUM(VLOOKUP(B905,INDIRECT($F$8),6+(O914-1)*3),IF(W924,W914,0))))</f>
        <v/>
      </c>
      <c r="Q914" s="1" t="str">
        <f ca="1">IF(ISERROR(F905),"",VLOOKUP(B905,INDIRECT($F$8),7+(O914-1)*3))</f>
        <v/>
      </c>
      <c r="R914" s="1" t="str">
        <f ca="1">IF(ISERROR(F905),"",SUM(P914:Q914))</f>
        <v/>
      </c>
      <c r="S914" s="1" t="str">
        <f ca="1">IF(ISERROR(F905),"",VLOOKUP(A905,INDIRECT($F$8),6+(O914-1)*3))</f>
        <v/>
      </c>
      <c r="T914" s="1" t="str">
        <f ca="1">IF(ISERROR(F905),"",VLOOKUP(A905,INDIRECT($F$8),7+(O914-1)*3))</f>
        <v/>
      </c>
      <c r="U914" s="1" t="str">
        <f ca="1">IF(ISERROR(F905),"",VLOOKUP(A905,INDIRECT($F$8),8+(O914-1)*3))</f>
        <v/>
      </c>
      <c r="V914" s="1" t="str">
        <f ca="1">IF(ISERROR(F905),"",IF(N914=0,A914,""))</f>
        <v/>
      </c>
      <c r="W914" s="1" t="str">
        <f ca="1">IF(ISERROR(F905),"",IF(ISTEXT(VLOOKUP(B905,INDIRECT($F$8),6+(O914-1)*3)),11,IF(VLOOKUP(B905,INDIRECT($F$8),6+(O914-1)*3)&lt;S914*0.3,IF(VLOOKUP(B905,INDIRECT($F$8),8+(O914-1)*3)&lt;U914*0.4,IF(AND(0.4*U914-VLOOKUP(B905,INDIRECT($F$8),8+(O914-1)*3)&lt;=5,0.3*S914-VLOOKUP(B905,INDIRECT($F$8),6+(O914-1)*3)&lt;=5),MAX(0.4*U914-VLOOKUP(B905,INDIRECT($F$8),8+(O914-1)*3),0.3*S914-VLOOKUP(B905,INDIRECT($F$8),6+(O914-1)*3)),11),IF(0.3*S914-VLOOKUP(B905,INDIRECT($F$8),6+(O914-1)*3)&lt;=5,0.3*S914-VLOOKUP(B905,INDIRECT($F$8),6+(O914-1)*3),11)),IF(VLOOKUP(B905,INDIRECT($F$8),8+(O914-1)*3)&lt;U914*0.4,IF(U914*0.4-VLOOKUP(B905,INDIRECT($F$8),8+(O914-1)*3)&lt;=5,U914*0.4-VLOOKUP(B905,INDIRECT($F$8),8+(O914-1)*3),11),0))))</f>
        <v/>
      </c>
      <c r="X914" s="1" t="str">
        <f ca="1">IF(ISERROR(F905),"",IF(W914=0,"",_xlfn.TEXTJOIN("",FALSE," G+",W914," in ",A914)))</f>
        <v/>
      </c>
    </row>
    <row r="915" spans="1:24" ht="11.25" customHeight="1" x14ac:dyDescent="0.2">
      <c r="A915" s="7" t="str">
        <f ca="1">IF(ISERROR(F905),"",VLOOKUP(C905,INDIRECT($F$8),6+(O915-1)*3,0))</f>
        <v/>
      </c>
      <c r="B915" s="41" t="str">
        <f ca="1">IF(ISERROR(F905),"",VLOOKUP(D905,INDIRECT($F$8),6+(O915-1)*3,0))</f>
        <v/>
      </c>
      <c r="C915" s="41"/>
      <c r="D915" s="41"/>
      <c r="E915" s="41"/>
      <c r="F915" s="7" t="str">
        <f ca="1">IF(ISERROR(F905),"",VLOOKUP(E905,INDIRECT($F$8),6+(O915-1)*3,0))</f>
        <v/>
      </c>
      <c r="G915" s="42" t="str">
        <f ca="1">IF(ISERROR(F905),"",_xlfn.TEXTJOIN("/",FALSE,P915,S915))</f>
        <v/>
      </c>
      <c r="H915" s="42"/>
      <c r="I915" s="42" t="str">
        <f ca="1">IF(ISERROR(F905),"",_xlfn.TEXTJOIN("/",FALSE,Q915,T915))</f>
        <v/>
      </c>
      <c r="J915" s="42"/>
      <c r="K915" s="42" t="str">
        <f ca="1">IF(ISERROR(F905),"",_xlfn.TEXTJOIN("/",FALSE,R915,U915))</f>
        <v/>
      </c>
      <c r="L915" s="42"/>
      <c r="M915" s="7" t="str">
        <f ca="1">IF(ISERROR(F905),"",IF(ISTEXT(P915),IF(P915="A","Ab",IF(P915="D","Dt",IF(P915="UFM","UFM",IF(P915="NA","-")))),IF(AND(ISBLANK(P915),ISBLANK(R915)),"",IF(P915&lt;0.3*S915,"F",IF(ISBLANK(R915),"",IF(ISTEXT(R915),R915,IF(R915&gt;=0.95*U915,"O",IF(R915&gt;=0.9*U915,"A+",IF(R915&gt;=0.85*U915,"A",IF(R915&gt;=0.8*U915,"B+",IF(R915&gt;=0.75*U915,"B",IF(R915&gt;=0.7*U915,"C+",IF(R915&gt;=0.65*U915,"C",IF(R915&gt;=0.6*U915,"D+",IF(R915&gt;=0.55*U915,"D",IF(R915&gt;=0.5*U915,"E+",IF(R915&gt;=0.45*U915,"E",IF(R915&gt;=0.4*U915,"P",IF(R915&lt;0.4*U915,"F",R915)))))))))))))))))))</f>
        <v/>
      </c>
      <c r="N915" s="8" t="e">
        <f t="shared" ca="1" si="97"/>
        <v>#N/A</v>
      </c>
      <c r="O915">
        <f t="shared" si="98"/>
        <v>6</v>
      </c>
      <c r="P915" s="1" t="str">
        <f ca="1">IF(ISERROR(F905),"",IF(ISTEXT(VLOOKUP(B905,INDIRECT($F$8),6+(O915-1)*3)),(VLOOKUP(B905,INDIRECT($F$8),6+(O915-1)*3)),SUM(VLOOKUP(B905,INDIRECT($F$8),6+(O915-1)*3),IF(W924,W915,0))))</f>
        <v/>
      </c>
      <c r="Q915" s="1" t="str">
        <f ca="1">IF(ISERROR(F905),"",VLOOKUP(B905,INDIRECT($F$8),7+(O915-1)*3))</f>
        <v/>
      </c>
      <c r="R915" s="1" t="str">
        <f ca="1">IF(ISERROR(F905),"",SUM(P915:Q915))</f>
        <v/>
      </c>
      <c r="S915" s="1" t="str">
        <f ca="1">IF(ISERROR(F905),"",VLOOKUP(A905,INDIRECT($F$8),6+(O915-1)*3))</f>
        <v/>
      </c>
      <c r="T915" s="1" t="str">
        <f ca="1">IF(ISERROR(F905),"",VLOOKUP(A905,INDIRECT($F$8),7+(O915-1)*3))</f>
        <v/>
      </c>
      <c r="U915" s="1" t="str">
        <f ca="1">IF(ISERROR(F905),"",VLOOKUP(A905,INDIRECT($F$8),8+(O915-1)*3))</f>
        <v/>
      </c>
      <c r="V915" s="1" t="str">
        <f ca="1">IF(ISERROR(F905),"",IF(N915=0,A915,""))</f>
        <v/>
      </c>
      <c r="W915" s="1" t="str">
        <f ca="1">IF(ISERROR(F905),"",IF(ISTEXT(VLOOKUP(B905,INDIRECT($F$8),6+(O915-1)*3)),11,IF(VLOOKUP(B905,INDIRECT($F$8),6+(O915-1)*3)&lt;S915*0.3,IF(VLOOKUP(B905,INDIRECT($F$8),8+(O915-1)*3)&lt;U915*0.4,IF(AND(0.4*U915-VLOOKUP(B905,INDIRECT($F$8),8+(O915-1)*3)&lt;=5,0.3*S915-VLOOKUP(B905,INDIRECT($F$8),6+(O915-1)*3)&lt;=5),MAX(0.4*U915-VLOOKUP(B905,INDIRECT($F$8),8+(O915-1)*3),0.3*S915-VLOOKUP(B905,INDIRECT($F$8),6+(O915-1)*3)),11),IF(0.3*S915-VLOOKUP(B905,INDIRECT($F$8),6+(O915-1)*3)&lt;=5,0.3*S915-VLOOKUP(B905,INDIRECT($F$8),6+(O915-1)*3),11)),IF(VLOOKUP(B905,INDIRECT($F$8),8+(O915-1)*3)&lt;U915*0.4,IF(U915*0.4-VLOOKUP(B905,INDIRECT($F$8),8+(O915-1)*3)&lt;=5,U915*0.4-VLOOKUP(B905,INDIRECT($F$8),8+(O915-1)*3),11),0))))</f>
        <v/>
      </c>
      <c r="X915" s="1" t="str">
        <f ca="1">IF(ISERROR(F905),"",IF(W915=0,"",_xlfn.TEXTJOIN("",FALSE," G+",W915," in ",A915)))</f>
        <v/>
      </c>
    </row>
    <row r="916" spans="1:24" ht="11.25" customHeight="1" x14ac:dyDescent="0.2">
      <c r="A916" s="7" t="str">
        <f ca="1">IF(ISERROR(F905),"",VLOOKUP(C905,INDIRECT($F$8),6+(O916-1)*3,0))</f>
        <v/>
      </c>
      <c r="B916" s="41" t="str">
        <f ca="1">IF(ISERROR(F905),"",VLOOKUP(D905,INDIRECT($F$8),6+(O916-1)*3,0))</f>
        <v/>
      </c>
      <c r="C916" s="41"/>
      <c r="D916" s="41"/>
      <c r="E916" s="41"/>
      <c r="F916" s="7" t="str">
        <f ca="1">IF(ISERROR(F905),"",VLOOKUP(E905,INDIRECT($F$8),6+(O916-1)*3,0))</f>
        <v/>
      </c>
      <c r="G916" s="42" t="str">
        <f ca="1">IF(ISERROR(F905),"",_xlfn.TEXTJOIN("/",FALSE,P916,S916))</f>
        <v/>
      </c>
      <c r="H916" s="42"/>
      <c r="I916" s="42" t="str">
        <f ca="1">IF(ISERROR(F905),"",_xlfn.TEXTJOIN("/",FALSE,Q916,T916))</f>
        <v/>
      </c>
      <c r="J916" s="42"/>
      <c r="K916" s="42" t="str">
        <f ca="1">IF(ISERROR(F905),"",_xlfn.TEXTJOIN("/",FALSE,R916,U916))</f>
        <v/>
      </c>
      <c r="L916" s="42"/>
      <c r="M916" s="7" t="str">
        <f ca="1">IF(ISERROR(F905),"",IF(ISTEXT(P916),IF(P916="A","Ab",IF(P916="D","Dt",IF(P916="UFM","UFM",IF(P916="NA","-")))),IF(AND(ISBLANK(P916),ISBLANK(R916)),"",IF(P916&lt;0.3*S916,"F",IF(ISBLANK(R916),"",IF(ISTEXT(R916),R916,IF(R916&gt;=0.95*U916,"O",IF(R916&gt;=0.9*U916,"A+",IF(R916&gt;=0.85*U916,"A",IF(R916&gt;=0.8*U916,"B+",IF(R916&gt;=0.75*U916,"B",IF(R916&gt;=0.7*U916,"C+",IF(R916&gt;=0.65*U916,"C",IF(R916&gt;=0.6*U916,"D+",IF(R916&gt;=0.55*U916,"D",IF(R916&gt;=0.5*U916,"E+",IF(R916&gt;=0.45*U916,"E",IF(R916&gt;=0.4*U916,"P",IF(R916&lt;0.4*U916,"F",R916)))))))))))))))))))</f>
        <v/>
      </c>
      <c r="N916" s="8" t="e">
        <f t="shared" ca="1" si="97"/>
        <v>#N/A</v>
      </c>
      <c r="O916">
        <f t="shared" si="98"/>
        <v>7</v>
      </c>
      <c r="P916" s="1" t="str">
        <f ca="1">IF(ISERROR(F905),"",IF(ISTEXT(VLOOKUP(B905,INDIRECT($F$8),6+(O916-1)*3)),(VLOOKUP(B905,INDIRECT($F$8),6+(O916-1)*3)),SUM(VLOOKUP(B905,INDIRECT($F$8),6+(O916-1)*3),IF(W924,W916,0))))</f>
        <v/>
      </c>
      <c r="Q916" s="1" t="str">
        <f ca="1">IF(ISERROR(F905),"",VLOOKUP(B905,INDIRECT($F$8),7+(O916-1)*3))</f>
        <v/>
      </c>
      <c r="R916" s="1" t="str">
        <f ca="1">IF(ISERROR(F905),"",SUM(P916:Q916))</f>
        <v/>
      </c>
      <c r="S916" s="1" t="str">
        <f ca="1">IF(ISERROR(F905),"",VLOOKUP(A905,INDIRECT($F$8),6+(O916-1)*3))</f>
        <v/>
      </c>
      <c r="T916" s="1" t="str">
        <f ca="1">IF(ISERROR(F905),"",VLOOKUP(A905,INDIRECT($F$8),7+(O916-1)*3))</f>
        <v/>
      </c>
      <c r="U916" s="1" t="str">
        <f ca="1">IF(ISERROR(F905),"",VLOOKUP(A905,INDIRECT($F$8),8+(O916-1)*3))</f>
        <v/>
      </c>
      <c r="V916" s="1" t="str">
        <f ca="1">IF(ISERROR(F905),"",IF(N916=0,A916,""))</f>
        <v/>
      </c>
      <c r="W916" s="1" t="str">
        <f ca="1">IF(ISERROR(F905),"",IF(ISTEXT(VLOOKUP(B905,INDIRECT($F$8),6+(O916-1)*3)),11,IF(VLOOKUP(B905,INDIRECT($F$8),6+(O916-1)*3)&lt;S916*0.3,IF(VLOOKUP(B905,INDIRECT($F$8),8+(O916-1)*3)&lt;U916*0.4,IF(AND(0.4*U916-VLOOKUP(B905,INDIRECT($F$8),8+(O916-1)*3)&lt;=5,0.3*S916-VLOOKUP(B905,INDIRECT($F$8),6+(O916-1)*3)&lt;=5),MAX(0.4*U916-VLOOKUP(B905,INDIRECT($F$8),8+(O916-1)*3),0.3*S916-VLOOKUP(B905,INDIRECT($F$8),6+(O916-1)*3)),11),IF(0.3*S916-VLOOKUP(B905,INDIRECT($F$8),6+(O916-1)*3)&lt;=5,0.3*S916-VLOOKUP(B905,INDIRECT($F$8),6+(O916-1)*3),11)),IF(VLOOKUP(B905,INDIRECT($F$8),8+(O916-1)*3)&lt;U916*0.4,IF(U916*0.4-VLOOKUP(B905,INDIRECT($F$8),8+(O916-1)*3)&lt;=5,U916*0.4-VLOOKUP(B905,INDIRECT($F$8),8+(O916-1)*3),11),0))))</f>
        <v/>
      </c>
      <c r="X916" s="1" t="str">
        <f ca="1">IF(ISERROR(F905),"",IF(W916=0,"",_xlfn.TEXTJOIN("",FALSE," G+",W916," in ",A916)))</f>
        <v/>
      </c>
    </row>
    <row r="917" spans="1:24" ht="11.25" customHeight="1" x14ac:dyDescent="0.2">
      <c r="A917" s="7" t="str">
        <f ca="1">IF(ISERROR(F905),"",VLOOKUP(C905,INDIRECT($F$8),6+(O917-1)*3,0))</f>
        <v/>
      </c>
      <c r="B917" s="41" t="str">
        <f ca="1">IF(ISERROR(F905),"",VLOOKUP(D905,INDIRECT($F$8),6+(O917-1)*3,0))</f>
        <v/>
      </c>
      <c r="C917" s="41"/>
      <c r="D917" s="41"/>
      <c r="E917" s="41"/>
      <c r="F917" s="7" t="str">
        <f ca="1">IF(ISERROR(F905),"",VLOOKUP(E905,INDIRECT($F$8),6+(O917-1)*3,0))</f>
        <v/>
      </c>
      <c r="G917" s="42" t="str">
        <f ca="1">IF(ISERROR(F905),"",_xlfn.TEXTJOIN("/",FALSE,P917,S917))</f>
        <v/>
      </c>
      <c r="H917" s="42"/>
      <c r="I917" s="42" t="str">
        <f ca="1">IF(ISERROR(F905),"",_xlfn.TEXTJOIN("/",FALSE,Q917,T917))</f>
        <v/>
      </c>
      <c r="J917" s="42"/>
      <c r="K917" s="42" t="str">
        <f ca="1">IF(ISERROR(F905),"",_xlfn.TEXTJOIN("/",FALSE,R917,U917))</f>
        <v/>
      </c>
      <c r="L917" s="42"/>
      <c r="M917" s="7" t="str">
        <f ca="1">IF(ISERROR(F905),"",IF(ISTEXT(P917),IF(P917="A","Ab",IF(P917="D","Dt",IF(P917="UFM","UFM",IF(P917="NA","-")))),IF(AND(ISBLANK(P917),ISBLANK(R917)),"",IF(P917&lt;0.3*S917,"F",IF(ISBLANK(R917),"",IF(ISTEXT(R917),R917,IF(R917&gt;=0.95*U917,"O",IF(R917&gt;=0.9*U917,"A+",IF(R917&gt;=0.85*U917,"A",IF(R917&gt;=0.8*U917,"B+",IF(R917&gt;=0.75*U917,"B",IF(R917&gt;=0.7*U917,"C+",IF(R917&gt;=0.65*U917,"C",IF(R917&gt;=0.6*U917,"D+",IF(R917&gt;=0.55*U917,"D",IF(R917&gt;=0.5*U917,"E+",IF(R917&gt;=0.45*U917,"E",IF(R917&gt;=0.4*U917,"P",IF(R917&lt;0.4*U917,"F",R917)))))))))))))))))))</f>
        <v/>
      </c>
      <c r="N917" s="8" t="e">
        <f t="shared" ca="1" si="97"/>
        <v>#N/A</v>
      </c>
      <c r="O917">
        <f t="shared" si="98"/>
        <v>8</v>
      </c>
      <c r="P917" s="1" t="str">
        <f ca="1">IF(ISERROR(F905),"",IF(ISTEXT(VLOOKUP(B905,INDIRECT($F$8),6+(O917-1)*3)),(VLOOKUP(B905,INDIRECT($F$8),6+(O917-1)*3)),SUM(VLOOKUP(B905,INDIRECT($F$8),6+(O917-1)*3),IF(W924,W917,0))))</f>
        <v/>
      </c>
      <c r="Q917" s="1" t="str">
        <f ca="1">IF(ISERROR(F905),"",VLOOKUP(B905,INDIRECT($F$8),7+(O917-1)*3))</f>
        <v/>
      </c>
      <c r="R917" s="1" t="str">
        <f ca="1">IF(ISERROR(F905),"",SUM(P917:Q917))</f>
        <v/>
      </c>
      <c r="S917" s="1" t="str">
        <f ca="1">IF(ISERROR(F905),"",VLOOKUP(A905,INDIRECT($F$8),6+(O917-1)*3))</f>
        <v/>
      </c>
      <c r="T917" s="1" t="str">
        <f ca="1">IF(ISERROR(F905),"",VLOOKUP(A905,INDIRECT($F$8),7+(O917-1)*3))</f>
        <v/>
      </c>
      <c r="U917" s="1" t="str">
        <f ca="1">IF(ISERROR(F905),"",VLOOKUP(A905,INDIRECT($F$8),8+(O917-1)*3))</f>
        <v/>
      </c>
      <c r="V917" s="1" t="str">
        <f ca="1">IF(ISERROR(F905),"",IF(N917=0,A917,""))</f>
        <v/>
      </c>
      <c r="W917" s="1" t="str">
        <f ca="1">IF(ISERROR(F905),"",IF(ISTEXT(VLOOKUP(B905,INDIRECT($F$8),6+(O917-1)*3)),11,IF(VLOOKUP(B905,INDIRECT($F$8),6+(O917-1)*3)&lt;S917*0.3,IF(VLOOKUP(B905,INDIRECT($F$8),8+(O917-1)*3)&lt;U917*0.4,IF(AND(0.4*U917-VLOOKUP(B905,INDIRECT($F$8),8+(O917-1)*3)&lt;=5,0.3*S917-VLOOKUP(B905,INDIRECT($F$8),6+(O917-1)*3)&lt;=5),MAX(0.4*U917-VLOOKUP(B905,INDIRECT($F$8),8+(O917-1)*3),0.3*S917-VLOOKUP(B905,INDIRECT($F$8),6+(O917-1)*3)),11),IF(0.3*S917-VLOOKUP(B905,INDIRECT($F$8),6+(O917-1)*3)&lt;=5,0.3*S917-VLOOKUP(B905,INDIRECT($F$8),6+(O917-1)*3),11)),IF(VLOOKUP(B905,INDIRECT($F$8),8+(O917-1)*3)&lt;U917*0.4,IF(U917*0.4-VLOOKUP(B905,INDIRECT($F$8),8+(O917-1)*3)&lt;=5,U917*0.4-VLOOKUP(B905,INDIRECT($F$8),8+(O917-1)*3),11),0))))</f>
        <v/>
      </c>
      <c r="X917" s="1" t="str">
        <f ca="1">IF(ISERROR(F905),"",IF(W917=0,"",_xlfn.TEXTJOIN("",FALSE," G+",W917," in ",A917)))</f>
        <v/>
      </c>
    </row>
    <row r="918" spans="1:24" ht="11.25" customHeight="1" x14ac:dyDescent="0.2">
      <c r="A918" s="7" t="str">
        <f ca="1">IF(ISERROR(F905),"",VLOOKUP(C905,INDIRECT($F$8),6+(O918-1)*3,0))</f>
        <v/>
      </c>
      <c r="B918" s="41" t="str">
        <f ca="1">IF(ISERROR(F905),"",VLOOKUP(D905,INDIRECT($F$8),6+(O918-1)*3-Z918,0))</f>
        <v/>
      </c>
      <c r="C918" s="41"/>
      <c r="D918" s="41"/>
      <c r="E918" s="41"/>
      <c r="F918" s="7" t="str">
        <f ca="1">IF(ISERROR(F905),"",VLOOKUP(E905,INDIRECT($F$8),6+(O918-1)*3,0))</f>
        <v/>
      </c>
      <c r="G918" s="42" t="str">
        <f ca="1">IF(ISERROR(F905),"",_xlfn.TEXTJOIN("/",FALSE,P918,S918))</f>
        <v/>
      </c>
      <c r="H918" s="42"/>
      <c r="I918" s="42" t="str">
        <f ca="1">IF(ISERROR(F905),"",_xlfn.TEXTJOIN("/",FALSE,Q918,T918))</f>
        <v/>
      </c>
      <c r="J918" s="42"/>
      <c r="K918" s="42" t="str">
        <f ca="1">IF(ISERROR(F905),"",_xlfn.TEXTJOIN("/",FALSE,R918,U918))</f>
        <v/>
      </c>
      <c r="L918" s="42"/>
      <c r="M918" s="7" t="str">
        <f ca="1">IF(ISERROR(F905),"",IF(ISTEXT(P918),IF(P918="A","Ab",IF(P918="D","Dt",IF(P918="UFM","UFM",IF(P918="NA","-")))),IF(AND(ISBLANK(P918),ISBLANK(R918)),"",IF(P918&lt;0.3*S918,"F",IF(ISBLANK(R918),"",IF(ISTEXT(R918),R918,IF(R918&gt;=0.95*U918,"O",IF(R918&gt;=0.9*U918,"A+",IF(R918&gt;=0.85*U918,"A",IF(R918&gt;=0.8*U918,"B+",IF(R918&gt;=0.75*U918,"B",IF(R918&gt;=0.7*U918,"C+",IF(R918&gt;=0.65*U918,"C",IF(R918&gt;=0.6*U918,"D+",IF(R918&gt;=0.55*U918,"D",IF(R918&gt;=0.5*U918,"E+",IF(R918&gt;=0.45*U918,"E",IF(R918&gt;=0.4*U918,"P",IF(R918&lt;0.4*U918,"F",R918)))))))))))))))))))</f>
        <v/>
      </c>
      <c r="N918" s="8" t="e">
        <f t="shared" ca="1" si="97"/>
        <v>#N/A</v>
      </c>
      <c r="O918">
        <f t="shared" si="98"/>
        <v>9</v>
      </c>
      <c r="P918" s="1" t="str">
        <f ca="1">IF(ISERROR(F905),"",IF(ISTEXT(VLOOKUP(B905,INDIRECT($F$8),6+(O918-1)*3)),(VLOOKUP(B905,INDIRECT($F$8),6+(O918-1)*3)),SUM(VLOOKUP(B905,INDIRECT($F$8),6+(O918-1)*3),IF(W924,W918,0))))</f>
        <v/>
      </c>
      <c r="Q918" s="1" t="str">
        <f ca="1">IF(ISERROR(F905),"",VLOOKUP(B905,INDIRECT($F$8),7+(O918-1)*3))</f>
        <v/>
      </c>
      <c r="R918" s="1" t="str">
        <f ca="1">IF(ISERROR(F905),"",SUM(P918:Q918))</f>
        <v/>
      </c>
      <c r="S918" s="1" t="str">
        <f ca="1">IF(ISERROR(F905),"",VLOOKUP(A905,INDIRECT($F$8),6+(O918-1)*3))</f>
        <v/>
      </c>
      <c r="T918" s="1" t="str">
        <f ca="1">IF(ISERROR(F905),"",VLOOKUP(A905,INDIRECT($F$8),7+(O918-1)*3))</f>
        <v/>
      </c>
      <c r="U918" s="1" t="str">
        <f ca="1">IF(ISERROR(F905),"",VLOOKUP(A905,INDIRECT($F$8),8+(O918-1)*3))</f>
        <v/>
      </c>
      <c r="V918" s="1" t="str">
        <f ca="1">IF(ISERROR(F905),"",IF(N918=0,A918,""))</f>
        <v/>
      </c>
      <c r="W918" s="1" t="str">
        <f ca="1">IF(ISERROR(F905),"",IF(ISTEXT(VLOOKUP(B905,INDIRECT($F$8),6+(O918-1)*3)),11,IF(VLOOKUP(B905,INDIRECT($F$8),6+(O918-1)*3)&lt;S918*0.3,IF(VLOOKUP(B905,INDIRECT($F$8),8+(O918-1)*3)&lt;U918*0.4,IF(AND(0.4*U918-VLOOKUP(B905,INDIRECT($F$8),8+(O918-1)*3)&lt;=5,0.3*S918-VLOOKUP(B905,INDIRECT($F$8),6+(O918-1)*3)&lt;=5),MAX(0.4*U918-VLOOKUP(B905,INDIRECT($F$8),8+(O918-1)*3),0.3*S918-VLOOKUP(B905,INDIRECT($F$8),6+(O918-1)*3)),11),IF(0.3*S918-VLOOKUP(B905,INDIRECT($F$8),6+(O918-1)*3)&lt;=5,0.3*S918-VLOOKUP(B905,INDIRECT($F$8),6+(O918-1)*3),11)),IF(VLOOKUP(B905,INDIRECT($F$8),8+(O918-1)*3)&lt;U918*0.4,IF(U918*0.4-VLOOKUP(B905,INDIRECT($F$8),8+(O918-1)*3)&lt;=5,U918*0.4-VLOOKUP(B905,INDIRECT($F$8),8+(O918-1)*3),11),0))))</f>
        <v/>
      </c>
      <c r="X918" s="1" t="str">
        <f ca="1">IF(ISERROR(F905),"",IF(W918=0,"",_xlfn.TEXTJOIN("",FALSE," G+",W918," in ",A918)))</f>
        <v/>
      </c>
    </row>
    <row r="919" spans="1:24" ht="11.25" customHeight="1" x14ac:dyDescent="0.2">
      <c r="A919" s="7" t="str">
        <f ca="1">IF(ISERROR(F905),"",VLOOKUP(C905,INDIRECT($F$8),6+(O919-1)*3,0))</f>
        <v/>
      </c>
      <c r="B919" s="41" t="str">
        <f ca="1">IF(ISERROR(F905),"",VLOOKUP(D905,INDIRECT($F$8),6+(O919-1)*3-Z919,0))</f>
        <v/>
      </c>
      <c r="C919" s="41"/>
      <c r="D919" s="41"/>
      <c r="E919" s="41"/>
      <c r="F919" s="7" t="str">
        <f ca="1">IF(ISERROR(F905),"",VLOOKUP(E905,INDIRECT($F$8),6+(O919-1)*3,0))</f>
        <v/>
      </c>
      <c r="G919" s="42" t="str">
        <f ca="1">IF(ISERROR(F905),"",_xlfn.TEXTJOIN("/",FALSE,P919,S919))</f>
        <v/>
      </c>
      <c r="H919" s="42"/>
      <c r="I919" s="42" t="str">
        <f ca="1">IF(ISERROR(F905),"",_xlfn.TEXTJOIN("/",FALSE,Q919,T919))</f>
        <v/>
      </c>
      <c r="J919" s="42"/>
      <c r="K919" s="42" t="str">
        <f ca="1">IF(ISERROR(F905),"",_xlfn.TEXTJOIN("/",FALSE,R919,U919))</f>
        <v/>
      </c>
      <c r="L919" s="42"/>
      <c r="M919" s="7" t="str">
        <f ca="1">IF(ISERROR(F905),"",IF(ISTEXT(P919),IF(P919="A","Ab",IF(P919="D","Dt",IF(P919="UFM","UFM",IF(P919="NA","-")))),IF(AND(ISBLANK(P919),ISBLANK(R919)),"",IF(P919&lt;0.3*S919,"F",IF(ISBLANK(R919),"",IF(ISTEXT(R919),R919,IF(R919&gt;=0.95*U919,"O",IF(R919&gt;=0.9*U919,"A+",IF(R919&gt;=0.85*U919,"A",IF(R919&gt;=0.8*U919,"B+",IF(R919&gt;=0.75*U919,"B",IF(R919&gt;=0.7*U919,"C+",IF(R919&gt;=0.65*U919,"C",IF(R919&gt;=0.6*U919,"D+",IF(R919&gt;=0.55*U919,"D",IF(R919&gt;=0.5*U919,"E+",IF(R919&gt;=0.45*U919,"E",IF(R919&gt;=0.4*U919,"P",IF(R919&lt;0.4*U919,"F",R919)))))))))))))))))))</f>
        <v/>
      </c>
      <c r="N919" s="8" t="e">
        <f t="shared" ca="1" si="97"/>
        <v>#N/A</v>
      </c>
      <c r="O919">
        <f t="shared" si="98"/>
        <v>10</v>
      </c>
      <c r="P919" s="1" t="str">
        <f ca="1">IF(ISERROR(F905),"",IF(ISTEXT(VLOOKUP(B905,INDIRECT($F$8),6+(O919-1)*3)),(VLOOKUP(B905,INDIRECT($F$8),6+(O919-1)*3)),SUM(VLOOKUP(B905,INDIRECT($F$8),6+(O919-1)*3),IF(W924,W919,0))))</f>
        <v/>
      </c>
      <c r="Q919" s="1" t="str">
        <f ca="1">IF(ISERROR(F905),"",VLOOKUP(B905,INDIRECT($F$8),7+(O919-1)*3))</f>
        <v/>
      </c>
      <c r="R919" s="1" t="str">
        <f ca="1">IF(ISERROR(F905),"",SUM(P919:Q919))</f>
        <v/>
      </c>
      <c r="S919" s="1" t="str">
        <f ca="1">IF(ISERROR(F905),"",VLOOKUP(A905,INDIRECT($F$8),6+(O919-1)*3))</f>
        <v/>
      </c>
      <c r="T919" s="1" t="str">
        <f ca="1">IF(ISERROR(F905),"",VLOOKUP(A905,INDIRECT($F$8),7+(O919-1)*3))</f>
        <v/>
      </c>
      <c r="U919" s="1" t="str">
        <f ca="1">IF(ISERROR(F905),"",VLOOKUP(A905,INDIRECT($F$8),8+(O919-1)*3))</f>
        <v/>
      </c>
      <c r="V919" s="1" t="str">
        <f ca="1">IF(ISERROR(F905),"",IF(N919=0,A919,""))</f>
        <v/>
      </c>
      <c r="W919" s="1" t="str">
        <f ca="1">IF(ISERROR(F905),"",IF(ISTEXT(VLOOKUP(B905,INDIRECT($F$8),6+(O919-1)*3)),11,IF(VLOOKUP(B905,INDIRECT($F$8),6+(O919-1)*3)&lt;S919*0.3,IF(VLOOKUP(B905,INDIRECT($F$8),8+(O919-1)*3)&lt;U919*0.4,IF(AND(0.4*U919-VLOOKUP(B905,INDIRECT($F$8),8+(O919-1)*3)&lt;=5,0.3*S919-VLOOKUP(B905,INDIRECT($F$8),6+(O919-1)*3)&lt;=5),MAX(0.4*U919-VLOOKUP(B905,INDIRECT($F$8),8+(O919-1)*3),0.3*S919-VLOOKUP(B905,INDIRECT($F$8),6+(O919-1)*3)),11),IF(0.3*S919-VLOOKUP(B905,INDIRECT($F$8),6+(O919-1)*3)&lt;=5,0.3*S919-VLOOKUP(B905,INDIRECT($F$8),6+(O919-1)*3),11)),IF(VLOOKUP(B905,INDIRECT($F$8),8+(O919-1)*3)&lt;U919*0.4,IF(U919*0.4-VLOOKUP(B905,INDIRECT($F$8),8+(O919-1)*3)&lt;=5,U919*0.4-VLOOKUP(B905,INDIRECT($F$8),8+(O919-1)*3),11),0))))</f>
        <v/>
      </c>
      <c r="X919" s="1" t="str">
        <f ca="1">IF(ISERROR(F905),"",IF(W919=0,"",_xlfn.TEXTJOIN("",FALSE," G+",W919," in ",A919)))</f>
        <v/>
      </c>
    </row>
    <row r="920" spans="1:24" ht="11.25" customHeight="1" x14ac:dyDescent="0.2">
      <c r="A920" s="7" t="str">
        <f ca="1">IF(ISERROR(F905),"",VLOOKUP(C905,INDIRECT($F$8),6+(O920-1)*3,0))</f>
        <v/>
      </c>
      <c r="B920" s="41" t="str">
        <f ca="1">IF(ISERROR(F905),"",VLOOKUP(D905,INDIRECT($F$8),6+(O920-1)*3,0))</f>
        <v/>
      </c>
      <c r="C920" s="41"/>
      <c r="D920" s="41"/>
      <c r="E920" s="41"/>
      <c r="F920" s="7" t="str">
        <f ca="1">IF(ISERROR(F905),"",VLOOKUP(E905,INDIRECT($F$8),6+(O920-1)*3,0))</f>
        <v/>
      </c>
      <c r="G920" s="42" t="str">
        <f ca="1">IF(ISERROR(F905),"",_xlfn.TEXTJOIN("/",FALSE,P920,S920))</f>
        <v/>
      </c>
      <c r="H920" s="42"/>
      <c r="I920" s="42" t="str">
        <f ca="1">IF(ISERROR(F905),"",_xlfn.TEXTJOIN("/",FALSE,Q920,T920))</f>
        <v/>
      </c>
      <c r="J920" s="42"/>
      <c r="K920" s="42" t="str">
        <f ca="1">IF(ISERROR(F905),"",_xlfn.TEXTJOIN("/",FALSE,R920,U920))</f>
        <v/>
      </c>
      <c r="L920" s="42"/>
      <c r="M920" s="7" t="str">
        <f ca="1">IF(ISERROR(F905),"",IF(ISTEXT(P920),IF(P920="A","Ab",IF(P920="D","Dt",IF(P920="UFM","UFM",IF(P920="NA","-")))),IF(AND(ISBLANK(P920),ISBLANK(R920)),"",IF(P920&lt;0.3*S920,"F",IF(ISBLANK(R920),"",IF(ISTEXT(R920),R920,IF(R920&gt;=0.95*U920,"O",IF(R920&gt;=0.9*U920,"A+",IF(R920&gt;=0.85*U920,"A",IF(R920&gt;=0.8*U920,"B+",IF(R920&gt;=0.75*U920,"B",IF(R920&gt;=0.7*U920,"C+",IF(R920&gt;=0.65*U920,"C",IF(R920&gt;=0.6*U920,"D+",IF(R920&gt;=0.55*U920,"D",IF(R920&gt;=0.5*U920,"E+",IF(R920&gt;=0.45*U920,"E",IF(R920&gt;=0.4*U920,"P",IF(R920&lt;0.4*U920,"F",R920)))))))))))))))))))</f>
        <v/>
      </c>
      <c r="N920" s="8" t="e">
        <f t="shared" ca="1" si="97"/>
        <v>#N/A</v>
      </c>
      <c r="O920">
        <f t="shared" si="98"/>
        <v>11</v>
      </c>
      <c r="P920" s="1" t="str">
        <f ca="1">IF(ISERROR(F905),"",IF(ISTEXT(VLOOKUP(B905,INDIRECT($F$8),6+(O920-1)*3)),(VLOOKUP(B905,INDIRECT($F$8),6+(O920-1)*3)),SUM(VLOOKUP(B905,INDIRECT($F$8),6+(O920-1)*3),IF(W924,W920,0))))</f>
        <v/>
      </c>
      <c r="Q920" s="1" t="str">
        <f ca="1">IF(ISERROR(F905),"",VLOOKUP(B905,INDIRECT($F$8),7+(O920-1)*3))</f>
        <v/>
      </c>
      <c r="R920" s="1" t="str">
        <f ca="1">IF(ISERROR(F905),"",SUM(P920:Q920))</f>
        <v/>
      </c>
      <c r="S920" s="1" t="str">
        <f ca="1">IF(ISERROR(F905),"",VLOOKUP(A905,INDIRECT($F$8),6+(O920-1)*3))</f>
        <v/>
      </c>
      <c r="T920" s="1" t="str">
        <f ca="1">IF(ISERROR(F905),"",VLOOKUP(A905,INDIRECT($F$8),7+(O920-1)*3))</f>
        <v/>
      </c>
      <c r="U920" s="1" t="str">
        <f ca="1">IF(ISERROR(F905),"",VLOOKUP(A905,INDIRECT($F$8),8+(O920-1)*3))</f>
        <v/>
      </c>
      <c r="V920" s="1" t="str">
        <f ca="1">IF(ISERROR(F905),"",IF(N920=0,A920,""))</f>
        <v/>
      </c>
      <c r="W920" s="1" t="str">
        <f ca="1">IF(ISERROR(F905),"",IF(ISTEXT(VLOOKUP(B905,INDIRECT($F$8),6+(O920-1)*3)),11,IF(VLOOKUP(B905,INDIRECT($F$8),6+(O920-1)*3)&lt;S920*0.3,IF(VLOOKUP(B905,INDIRECT($F$8),8+(O920-1)*3)&lt;U920*0.4,IF(AND(0.4*U920-VLOOKUP(B905,INDIRECT($F$8),8+(O920-1)*3)&lt;=5,0.3*S920-VLOOKUP(B905,INDIRECT($F$8),6+(O920-1)*3)&lt;=5),MAX(0.4*U920-VLOOKUP(B905,INDIRECT($F$8),8+(O920-1)*3),0.3*S920-VLOOKUP(B905,INDIRECT($F$8),6+(O920-1)*3)),11),IF(0.3*S920-VLOOKUP(B905,INDIRECT($F$8),6+(O920-1)*3)&lt;=5,0.3*S920-VLOOKUP(B905,INDIRECT($F$8),6+(O920-1)*3),11)),IF(VLOOKUP(B905,INDIRECT($F$8),8+(O920-1)*3)&lt;U920*0.4,IF(U920*0.4-VLOOKUP(B905,INDIRECT($F$8),8+(O920-1)*3)&lt;=5,U920*0.4-VLOOKUP(B905,INDIRECT($F$8),8+(O920-1)*3),11),0))))</f>
        <v/>
      </c>
      <c r="X920" s="1" t="str">
        <f ca="1">IF(ISERROR(F905),"",IF(W920=0,"",_xlfn.TEXTJOIN("",FALSE," G+",W920," in ",A920)))</f>
        <v/>
      </c>
    </row>
    <row r="921" spans="1:24" ht="11.25" customHeight="1" x14ac:dyDescent="0.2">
      <c r="A921" s="7" t="str">
        <f ca="1">IF(ISERROR(F905),"",VLOOKUP(C905,INDIRECT($F$8),6+(O921-1)*3,0))</f>
        <v/>
      </c>
      <c r="B921" s="41" t="str">
        <f ca="1">IF(ISERROR(F905),"",VLOOKUP(D905,INDIRECT($F$8),6+(O921-1)*3,0))</f>
        <v/>
      </c>
      <c r="C921" s="41"/>
      <c r="D921" s="41"/>
      <c r="E921" s="41"/>
      <c r="F921" s="7" t="str">
        <f ca="1">IF(ISERROR(F905),"",VLOOKUP(E905,INDIRECT($F$8),6+(O921-1)*3,0))</f>
        <v/>
      </c>
      <c r="G921" s="42" t="str">
        <f ca="1">IF(ISERROR(F905),"",_xlfn.TEXTJOIN("/",FALSE,P921,S921))</f>
        <v/>
      </c>
      <c r="H921" s="42"/>
      <c r="I921" s="42" t="str">
        <f ca="1">IF(ISERROR(F905),"",_xlfn.TEXTJOIN("/",FALSE,Q921,T921))</f>
        <v/>
      </c>
      <c r="J921" s="42"/>
      <c r="K921" s="42" t="str">
        <f ca="1">IF(ISERROR(F905),"",_xlfn.TEXTJOIN("/",FALSE,R921,U921))</f>
        <v/>
      </c>
      <c r="L921" s="42"/>
      <c r="M921" s="7" t="str">
        <f ca="1">IF(ISERROR(F905),"",IF(ISTEXT(P921),IF(P921="A","Ab",IF(P921="D","Dt",IF(P921="UFM","UFM",IF(P921="NA","-")))),IF(AND(ISBLANK(P921),ISBLANK(R921)),"",IF(P921&lt;0.3*S921,"F",IF(ISBLANK(R921),"",IF(ISTEXT(R921),R921,IF(R921&gt;=0.95*U921,"O",IF(R921&gt;=0.9*U921,"A+",IF(R921&gt;=0.85*U921,"A",IF(R921&gt;=0.8*U921,"B+",IF(R921&gt;=0.75*U921,"B",IF(R921&gt;=0.7*U921,"C+",IF(R921&gt;=0.65*U921,"C",IF(R921&gt;=0.6*U921,"D+",IF(R921&gt;=0.55*U921,"D",IF(R921&gt;=0.5*U921,"E+",IF(R921&gt;=0.45*U921,"E",IF(R921&gt;=0.4*U921,"P",IF(R921&lt;0.4*U921,"F",R921)))))))))))))))))))</f>
        <v/>
      </c>
      <c r="N921" s="8" t="e">
        <f t="shared" ca="1" si="97"/>
        <v>#N/A</v>
      </c>
      <c r="O921">
        <f t="shared" si="98"/>
        <v>12</v>
      </c>
      <c r="P921" s="1" t="str">
        <f ca="1">IF(ISERROR(F905),"",IF(ISTEXT(VLOOKUP(B905,INDIRECT($F$8),6+(O921-1)*3)),(VLOOKUP(B905,INDIRECT($F$8),6+(O921-1)*3)),SUM(VLOOKUP(B905,INDIRECT($F$8),6+(O921-1)*3),IF(W924,W921,0))))</f>
        <v/>
      </c>
      <c r="Q921" s="1" t="str">
        <f ca="1">IF(ISERROR(F905),"",VLOOKUP(B905,INDIRECT($F$8),7+(O921-1)*3))</f>
        <v/>
      </c>
      <c r="R921" s="1" t="str">
        <f ca="1">IF(ISERROR(F905),"",SUM(P921:Q921))</f>
        <v/>
      </c>
      <c r="S921" s="1" t="str">
        <f ca="1">IF(ISERROR(F905),"",VLOOKUP(A905,INDIRECT($F$8),6+(O921-1)*3))</f>
        <v/>
      </c>
      <c r="T921" s="1" t="str">
        <f ca="1">IF(ISERROR(F905),"",VLOOKUP(A905,INDIRECT($F$8),7+(O921-1)*3))</f>
        <v/>
      </c>
      <c r="U921" s="1" t="str">
        <f ca="1">IF(ISERROR(F905),"",VLOOKUP(A905,INDIRECT($F$8),8+(O921-1)*3))</f>
        <v/>
      </c>
      <c r="V921" s="1" t="str">
        <f ca="1">IF(ISERROR(F905),"",IF(N921=0,A921,""))</f>
        <v/>
      </c>
      <c r="W921" s="1" t="str">
        <f ca="1">IF(ISERROR(F905),"",IF(ISTEXT(VLOOKUP(B905,INDIRECT($F$8),6+(O921-1)*3)),11,IF(VLOOKUP(B905,INDIRECT($F$8),6+(O921-1)*3)&lt;S921*0.3,IF(VLOOKUP(B905,INDIRECT($F$8),8+(O921-1)*3)&lt;U921*0.4,IF(AND(0.4*U921-VLOOKUP(B905,INDIRECT($F$8),8+(O921-1)*3)&lt;=5,0.3*S921-VLOOKUP(B905,INDIRECT($F$8),6+(O921-1)*3)&lt;=5),MAX(0.4*U921-VLOOKUP(B905,INDIRECT($F$8),8+(O921-1)*3),0.3*S921-VLOOKUP(B905,INDIRECT($F$8),6+(O921-1)*3)),11),IF(0.3*S921-VLOOKUP(B905,INDIRECT($F$8),6+(O921-1)*3)&lt;=5,0.3*S921-VLOOKUP(B905,INDIRECT($F$8),6+(O921-1)*3),11)),IF(VLOOKUP(B905,INDIRECT($F$8),8+(O921-1)*3)&lt;U921*0.4,IF(U921*0.4-VLOOKUP(B905,INDIRECT($F$8),8+(O921-1)*3)&lt;=5,U921*0.4-VLOOKUP(B905,INDIRECT($F$8),8+(O921-1)*3),11),0))))</f>
        <v/>
      </c>
      <c r="X921" s="1" t="str">
        <f ca="1">IF(ISERROR(F905),"",IF(W921=0,"",_xlfn.TEXTJOIN("",FALSE," G+",W921," in ",A921)))</f>
        <v/>
      </c>
    </row>
    <row r="922" spans="1:24" ht="11.25" customHeight="1" x14ac:dyDescent="0.2">
      <c r="A922" s="7" t="str">
        <f ca="1">IF(ISERROR(F905),"",VLOOKUP(C905,INDIRECT($F$8),6+(O922-1)*3,0))</f>
        <v/>
      </c>
      <c r="B922" s="41" t="str">
        <f ca="1">IF(ISERROR(F905),"",VLOOKUP(D905,INDIRECT($F$8),6+(O922-1)*3,0))</f>
        <v/>
      </c>
      <c r="C922" s="41"/>
      <c r="D922" s="41"/>
      <c r="E922" s="41"/>
      <c r="F922" s="7" t="str">
        <f ca="1">IF(ISERROR(F905),"",VLOOKUP(E905,INDIRECT($F$8),6+(O922-1)*3,0))</f>
        <v/>
      </c>
      <c r="G922" s="42" t="str">
        <f ca="1">IF(ISERROR(F905),"",_xlfn.TEXTJOIN("/",FALSE,P922,S922))</f>
        <v/>
      </c>
      <c r="H922" s="42"/>
      <c r="I922" s="42" t="str">
        <f ca="1">IF(ISERROR(F905),"",_xlfn.TEXTJOIN("/",FALSE,Q922,T922))</f>
        <v/>
      </c>
      <c r="J922" s="42"/>
      <c r="K922" s="42" t="str">
        <f ca="1">IF(ISERROR(F905),"",_xlfn.TEXTJOIN("/",FALSE,R922,U922))</f>
        <v/>
      </c>
      <c r="L922" s="42"/>
      <c r="M922" s="7" t="str">
        <f ca="1">IF(ISERROR(F905),"",IF(ISTEXT(P922),IF(P922="A","Ab",IF(P922="D","Dt",IF(P922="UFM","UFM",IF(P922="NA","-")))),IF(AND(ISBLANK(P922),ISBLANK(R922)),"",IF(P922&lt;0.3*S922,"F",IF(ISBLANK(R922),"",IF(ISTEXT(R922),R922,IF(R922&gt;=0.95*U922,"O",IF(R922&gt;=0.9*U922,"A+",IF(R922&gt;=0.85*U922,"A",IF(R922&gt;=0.8*U922,"B+",IF(R922&gt;=0.75*U922,"B",IF(R922&gt;=0.7*U922,"C+",IF(R922&gt;=0.65*U922,"C",IF(R922&gt;=0.6*U922,"D+",IF(R922&gt;=0.55*U922,"D",IF(R922&gt;=0.5*U922,"E+",IF(R922&gt;=0.45*U922,"E",IF(R922&gt;=0.4*U922,"P",IF(R922&lt;0.4*U922,"F",R922)))))))))))))))))))</f>
        <v/>
      </c>
      <c r="N922" s="8" t="e">
        <f t="shared" ca="1" si="97"/>
        <v>#N/A</v>
      </c>
      <c r="O922">
        <f t="shared" si="98"/>
        <v>13</v>
      </c>
      <c r="P922" s="1" t="str">
        <f ca="1">IF(ISERROR(F905),"",IF(ISTEXT(VLOOKUP(B905,INDIRECT($F$8),6+(O922-1)*3)),(VLOOKUP(B905,INDIRECT($F$8),6+(O922-1)*3)),SUM(VLOOKUP(B905,INDIRECT($F$8),6+(O922-1)*3),IF(W924,W922,0))))</f>
        <v/>
      </c>
      <c r="Q922" s="1" t="str">
        <f ca="1">IF(ISERROR(F905),"",VLOOKUP(B905,INDIRECT($F$8),7+(O922-1)*3))</f>
        <v/>
      </c>
      <c r="R922" s="1" t="str">
        <f ca="1">IF(ISERROR(F905),"",SUM(P922:Q922))</f>
        <v/>
      </c>
      <c r="S922" s="1" t="str">
        <f ca="1">IF(ISERROR(F905),"",VLOOKUP(A905,INDIRECT($F$8),6+(O922-1)*3))</f>
        <v/>
      </c>
      <c r="T922" s="1" t="str">
        <f ca="1">IF(ISERROR(F905),"",VLOOKUP(A905,INDIRECT($F$8),7+(O922-1)*3))</f>
        <v/>
      </c>
      <c r="U922" s="1" t="str">
        <f ca="1">IF(ISERROR(F905),"",VLOOKUP(A905,INDIRECT($F$8),8+(O922-1)*3))</f>
        <v/>
      </c>
      <c r="V922" s="1"/>
      <c r="W922" s="1" t="str">
        <f ca="1">IF(ISERROR(F905),"",IF(ISTEXT(VLOOKUP(B905,INDIRECT($F$8),6+(O922-1)*3)),11,IF(VLOOKUP(B905,INDIRECT($F$8),6+(O922-1)*3)&lt;S922*0.3,IF(VLOOKUP(B905,INDIRECT($F$8),8+(O922-1)*3)&lt;U922*0.4,IF(AND(0.4*U922-VLOOKUP(B905,INDIRECT($F$8),8+(O922-1)*3)&lt;=5,0.3*S922-VLOOKUP(B905,INDIRECT($F$8),6+(O922-1)*3)&lt;=5),MAX(0.4*U922-VLOOKUP(B905,INDIRECT($F$8),8+(O922-1)*3),0.3*S922-VLOOKUP(B905,INDIRECT($F$8),6+(O922-1)*3)),11),IF(0.3*S922-VLOOKUP(B905,INDIRECT($F$8),6+(O922-1)*3)&lt;=5,0.3*S922-VLOOKUP(B905,INDIRECT($F$8),6+(O922-1)*3),11)),IF(VLOOKUP(B905,INDIRECT($F$8),8+(O922-1)*3)&lt;U922*0.4,IF(U922*0.4-VLOOKUP(B905,INDIRECT($F$8),8+(O922-1)*3)&lt;=5,U922*0.4-VLOOKUP(B905,INDIRECT($F$8),8+(O922-1)*3),11),0))))</f>
        <v/>
      </c>
      <c r="X922" s="1" t="str">
        <f ca="1">IF(ISERROR(F905),"",IF(W922=0,"",_xlfn.TEXTJOIN("",FALSE," G+",W922," in ",A922)))</f>
        <v/>
      </c>
    </row>
    <row r="923" spans="1:24" s="32" customFormat="1" ht="11.25" customHeight="1" x14ac:dyDescent="0.2">
      <c r="A923" s="31" t="str">
        <f ca="1">IF(ISERROR(F905),"",VLOOKUP(C905,INDIRECT($F$8),6+(O923-1)*3-Y923,0))</f>
        <v/>
      </c>
      <c r="B923" s="49" t="str">
        <f ca="1">IF(ISERROR(F905),"",VLOOKUP(D905,INDIRECT($F$8),6+(O923-1)*3-Z923,0))</f>
        <v/>
      </c>
      <c r="C923" s="49"/>
      <c r="D923" s="49"/>
      <c r="E923" s="49"/>
      <c r="F923" s="31" t="str">
        <f ca="1">IF(ISERROR(F905),"",VLOOKUP(E905,INDIRECT($F$8),6+(O923-1)*3-AA923,0))</f>
        <v/>
      </c>
      <c r="G923" s="50" t="str">
        <f ca="1">IF(ISERROR(F905),"","-")</f>
        <v/>
      </c>
      <c r="H923" s="50"/>
      <c r="I923" s="50" t="str">
        <f ca="1">IF(ISERROR(F905),"",_xlfn.TEXTJOIN("/",FALSE,Q923,T923))</f>
        <v/>
      </c>
      <c r="J923" s="50"/>
      <c r="K923" s="50" t="str">
        <f ca="1">IF(ISERROR(F905),"",_xlfn.TEXTJOIN("/",FALSE,R923,U923))</f>
        <v/>
      </c>
      <c r="L923" s="50"/>
      <c r="M923" s="7" t="b">
        <f ca="1">IF(ISERROR(F906),"",IF(ISTEXT(P923),IF(P923="A","Ab",IF(P923="D","Dt",IF(P923="UFM","UFM",IF(P923="NA","")))),IF(AND(ISBLANK(P923),ISBLANK(R923)),"",IF(P923&lt;0.3*S923,"F",IF(ISBLANK(R923),"",IF(ISTEXT(R923),R923,IF(R923&gt;=0.95*U923,"O",IF(R923&gt;=0.9*U923,"A+",IF(R923&gt;=0.85*U923,"A",IF(R923&gt;=0.8*U923,"B+",IF(R923&gt;=0.75*U923,"B",IF(R923&gt;=0.7*U923,"C+",IF(R923&gt;=0.65*U923,"C",IF(R923&gt;=0.6*U923,"D+",IF(R923&gt;=0.55*U923,"D",IF(R923&gt;=0.5*U923,"E+",IF(R923&gt;=0.45*U923,"E",IF(R923&gt;=0.4*U923,"P",IF(R923&lt;0.4*U923,"F",R923)))))))))))))))))))</f>
        <v>0</v>
      </c>
      <c r="N923" s="8" t="e">
        <f t="shared" ref="N912:N923" ca="1" si="99">INDEX($Z$2:$Z$18,MATCH(M923,$Y$2:$Y$18,0))</f>
        <v>#N/A</v>
      </c>
      <c r="O923" s="32">
        <f t="shared" si="98"/>
        <v>14</v>
      </c>
      <c r="P923" s="33" t="str">
        <f ca="1">IF(ISERROR(F905),"",IF(ISTEXT(VLOOKUP(B\28,INDIRECT($F$8),6+(O923-1)*3)),(VLOOKUP(B905,INDIRECT($F$8),6+(O923-1)*3)),SUM(VLOOKUP(B905,INDIRECT($F$8),6+(O923-1)*3),IF(W924,W923,0))))</f>
        <v/>
      </c>
      <c r="Q923" s="33" t="str">
        <f ca="1">IF(ISERROR(F905),"",VLOOKUP(B905,INDIRECT($F$8),7+(O923-1)*3))</f>
        <v/>
      </c>
      <c r="R923" s="33" t="str">
        <f ca="1">IF(ISERROR(F905),"",SUM(P923:Q923))</f>
        <v/>
      </c>
      <c r="S923" s="33" t="str">
        <f ca="1">IF(ISERROR(F905),"",VLOOKUP(A905,INDIRECT($F$8),6+(O923-1)*3))</f>
        <v/>
      </c>
      <c r="T923" s="33" t="str">
        <f ca="1">IF(ISERROR(F905),"",VLOOKUP(A905,INDIRECT($F$8),7+(O923-1)*3))</f>
        <v/>
      </c>
      <c r="U923" s="33" t="str">
        <f ca="1">IF(ISERROR(F905),"",VLOOKUP(A905,INDIRECT($F$8),8+(O923-1)*3))</f>
        <v/>
      </c>
      <c r="V923" s="33"/>
      <c r="W923" s="33"/>
      <c r="X923" s="33" t="str">
        <f ca="1">IF(ISERROR(F905),"",IF(W923=0,"",_xlfn.TEXTJOIN("",FALSE," G+",W923," in ",A923)))</f>
        <v/>
      </c>
    </row>
    <row r="924" spans="1:24" ht="11.25" customHeight="1" x14ac:dyDescent="0.2">
      <c r="A924" s="43" t="str">
        <f ca="1">IF(ISERROR(F905),"",A901)</f>
        <v/>
      </c>
      <c r="B924" s="43"/>
      <c r="C924" s="43"/>
      <c r="D924" s="43"/>
      <c r="E924" s="43"/>
      <c r="F924" s="10" t="str">
        <f ca="1">IF(ISERROR(F905),"",SUM(F910:F923))</f>
        <v/>
      </c>
      <c r="G924" s="44" t="str">
        <f ca="1">IF(ISERROR(F905),"",_xlfn.TEXTJOIN("/",TRUE,SUMIF(F910:F923,"&gt;0",P910:P923),SUMIF(F910:F923,"&gt;0",S910:S923)))</f>
        <v/>
      </c>
      <c r="H924" s="44"/>
      <c r="I924" s="44" t="str">
        <f ca="1">IF(ISERROR(F905),"",_xlfn.TEXTJOIN("/",TRUE,SUMIF(F910:F923,"&gt;0",Q910:Q923),SUMIF(F910:F923,"&gt;0",T910:T923)))</f>
        <v/>
      </c>
      <c r="J924" s="44"/>
      <c r="K924" s="44" t="str">
        <f ca="1">IF(ISERROR(F905),"",_xlfn.TEXTJOIN("/",TRUE,SUMIF(F910:F923,"&gt;0",R910:R923),SUMIF(F910:F923,"&gt;0",U910:U923)))</f>
        <v/>
      </c>
      <c r="L924" s="44"/>
      <c r="M924" s="43" t="str">
        <f ca="1">IF(ISERROR(F905),"",SUMPRODUCT(N910:N922,F910:F922))</f>
        <v/>
      </c>
      <c r="N924" s="43"/>
      <c r="V924" s="1" t="str">
        <f ca="1">IF(ISERROR(F905),"",_xlfn.TEXTJOIN(", ",TRUE,V910:V923))</f>
        <v/>
      </c>
      <c r="W924" t="str">
        <f ca="1">IF(ISERROR(F905),"",IF(SUM(W910:W923)&lt;=W909,TRUE,FALSE))</f>
        <v/>
      </c>
      <c r="X924" s="1" t="str">
        <f ca="1">_xlfn.TEXTJOIN(",",TRUE,X910:X923)</f>
        <v/>
      </c>
    </row>
    <row r="925" spans="1:24" ht="11.25" customHeight="1" x14ac:dyDescent="0.2">
      <c r="A925" s="43" t="str">
        <f ca="1">IF(ISERROR(F905),"",A902)</f>
        <v/>
      </c>
      <c r="B925" s="45" t="str">
        <f ca="1">IF(ISERROR(F905),"",IF(V924="","PASS","CARRY OVER"))</f>
        <v/>
      </c>
      <c r="C925" s="45"/>
      <c r="D925" s="43" t="str">
        <f ca="1">IF(ISERROR(F905),"",D902)</f>
        <v/>
      </c>
      <c r="E925" s="45" t="str">
        <f ca="1">IF(ISERROR(F905),"",IF(W924,X924,IF(V924="","",_xlfn.TEXTJOIN("",TRUE,"BACK IN ",V924))))</f>
        <v/>
      </c>
      <c r="F925" s="45"/>
      <c r="G925" s="43" t="str">
        <f ca="1">IF(ISERROR(F905),"",G902)</f>
        <v/>
      </c>
      <c r="H925" s="46" t="str">
        <f ca="1">IF(ISERROR(F905),"",M924/F924)</f>
        <v/>
      </c>
      <c r="I925" s="43" t="str">
        <f ca="1">IF(ISERROR(F905),"",I902)</f>
        <v/>
      </c>
      <c r="J925" s="46" t="str">
        <f ca="1">IF(ISERROR(F905),"",VLOOKUP(B905,INDIRECT($F$8),12+(O923-1)*3,0))</f>
        <v/>
      </c>
      <c r="K925" s="45" t="str">
        <f ca="1">IF(ISERROR(F905),"",K902)</f>
        <v/>
      </c>
      <c r="L925" s="43" t="str">
        <f ca="1">IF(ISERROR(F905),"",SUMIF(N910:N922,"&gt;0",F910:F922))</f>
        <v/>
      </c>
      <c r="M925" s="45" t="str">
        <f ca="1">IF(ISERROR(F905),"",M902)</f>
        <v/>
      </c>
      <c r="N925" s="43" t="str">
        <f ca="1">IF(ISERROR(F905),"",VLOOKUP(B905,INDIRECT($F$8),10+(O923-1)*3,0))</f>
        <v/>
      </c>
    </row>
    <row r="926" spans="1:24" ht="11.25" customHeight="1" x14ac:dyDescent="0.2">
      <c r="A926" s="43"/>
      <c r="B926" s="45"/>
      <c r="C926" s="45"/>
      <c r="D926" s="43"/>
      <c r="E926" s="45"/>
      <c r="F926" s="45"/>
      <c r="G926" s="43"/>
      <c r="H926" s="46"/>
      <c r="I926" s="43"/>
      <c r="J926" s="46"/>
      <c r="K926" s="45"/>
      <c r="L926" s="43"/>
      <c r="M926" s="45"/>
      <c r="N926" s="43"/>
    </row>
    <row r="927" spans="1:24" ht="11.25" customHeight="1" x14ac:dyDescent="0.2">
      <c r="A927" s="43"/>
      <c r="B927" s="45"/>
      <c r="C927" s="45"/>
      <c r="D927" s="43"/>
      <c r="E927" s="45"/>
      <c r="F927" s="45"/>
      <c r="G927" s="43"/>
      <c r="H927" s="46"/>
      <c r="I927" s="43"/>
      <c r="J927" s="46"/>
      <c r="K927" s="45"/>
      <c r="L927" s="43"/>
      <c r="M927" s="45"/>
      <c r="N927" s="43"/>
    </row>
    <row r="928" spans="1:24" ht="11.25" customHeight="1" x14ac:dyDescent="0.2">
      <c r="A928" s="11" t="str">
        <f>A905</f>
        <v>MM</v>
      </c>
      <c r="B928" s="11">
        <f>B905+1</f>
        <v>41</v>
      </c>
      <c r="C928" s="11" t="str">
        <f>C905</f>
        <v>SC</v>
      </c>
      <c r="D928" s="11" t="str">
        <f>D905</f>
        <v>SN</v>
      </c>
      <c r="E928" s="11" t="str">
        <f>E905</f>
        <v>C</v>
      </c>
      <c r="F928" s="11" t="e">
        <f ca="1">VLOOKUP(B928,INDIRECT($F$8),4,0)</f>
        <v>#N/A</v>
      </c>
    </row>
    <row r="929" spans="1:24" ht="11.25" customHeight="1" x14ac:dyDescent="0.2">
      <c r="A929" s="47" t="str">
        <f ca="1">IF(ISERROR(F928),"",A906)</f>
        <v/>
      </c>
      <c r="B929" s="47" t="str">
        <f ca="1">IFERROR(VLOOKUP(B928,INDIRECT($F$8),4,0),"")</f>
        <v/>
      </c>
      <c r="C929" s="47"/>
      <c r="D929" s="47" t="str">
        <f ca="1">IF(ISERROR(F928),"",D906)</f>
        <v/>
      </c>
      <c r="E929" s="47" t="str">
        <f ca="1">IFERROR(VLOOKUP(B928,INDIRECT($F$8),5,0),"")</f>
        <v/>
      </c>
      <c r="F929" s="47"/>
      <c r="G929" s="47" t="str">
        <f ca="1">IF(ISERROR(F928),"",G906)</f>
        <v/>
      </c>
      <c r="H929" s="47"/>
      <c r="I929" s="48" t="str">
        <f ca="1">IFERROR(VLOOKUP(B928,INDIRECT($F$8),2,0),"")</f>
        <v/>
      </c>
      <c r="J929" s="48"/>
      <c r="K929" s="47" t="str">
        <f ca="1">IF(ISERROR(F928),"",K906)</f>
        <v/>
      </c>
      <c r="L929" s="47"/>
      <c r="M929" s="48" t="str">
        <f ca="1">IFERROR(VLOOKUP(B928,INDIRECT($F$8),3,0),"")</f>
        <v/>
      </c>
      <c r="N929" s="48"/>
    </row>
    <row r="930" spans="1:24" ht="11.25" customHeight="1" x14ac:dyDescent="0.2">
      <c r="A930" s="47"/>
      <c r="B930" s="47"/>
      <c r="C930" s="47"/>
      <c r="D930" s="47"/>
      <c r="E930" s="47"/>
      <c r="F930" s="47"/>
      <c r="G930" s="47"/>
      <c r="H930" s="47"/>
      <c r="I930" s="48"/>
      <c r="J930" s="48"/>
      <c r="K930" s="47"/>
      <c r="L930" s="47"/>
      <c r="M930" s="48"/>
      <c r="N930" s="48"/>
    </row>
    <row r="931" spans="1:24" ht="11.25" customHeight="1" x14ac:dyDescent="0.2">
      <c r="A931" s="45" t="str">
        <f ca="1">IF(ISERROR(F928),"",A908)</f>
        <v/>
      </c>
      <c r="B931" s="45" t="str">
        <f ca="1">IF(ISERROR(F928),"",B908)</f>
        <v/>
      </c>
      <c r="C931" s="45"/>
      <c r="D931" s="45"/>
      <c r="E931" s="45"/>
      <c r="F931" s="45" t="str">
        <f ca="1">IF(ISERROR(F928),"",F908)</f>
        <v/>
      </c>
      <c r="G931" s="45" t="str">
        <f ca="1">IF(ISERROR(F928),"",G908)</f>
        <v/>
      </c>
      <c r="H931" s="45"/>
      <c r="I931" s="45" t="str">
        <f ca="1">IF(ISERROR(F928),"",I908)</f>
        <v/>
      </c>
      <c r="J931" s="45"/>
      <c r="K931" s="45" t="str">
        <f ca="1">IF(ISERROR(F928),"",K908)</f>
        <v/>
      </c>
      <c r="L931" s="45"/>
      <c r="M931" s="45" t="str">
        <f ca="1">IF(ISERROR(F928),"",M908)</f>
        <v/>
      </c>
      <c r="N931" s="45" t="str">
        <f ca="1">IF(ISERROR(F928),"",N908)</f>
        <v/>
      </c>
    </row>
    <row r="932" spans="1:24" ht="11.25" customHeight="1" x14ac:dyDescent="0.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W932">
        <f ca="1">IF(ISNUMBER(MATCH($F$8,{"I","III","V","VII"},0)),10,10-INDEX(INDIRECT(_xlfn.TEXTJOIN("",TRUE,"SEM_",$G$8,"!",ADDRESS(6,4+$I$8*3+4),":",ADDRESS(5+$H$8,4+$I$8*3+4))),MATCH(INDIRECT(_xlfn.TEXTJOIN("",TRUE,"TC_",$F$8,"!",ADDRESS(ROW(I929),COLUMN(I929)))),INDIRECT(_xlfn.TEXTJOIN("",TRUE,"SEM_",$G$8,"!",ADDRESS(6,2),":",ADDRESS(5+$H$8,2))))))</f>
        <v>10</v>
      </c>
    </row>
    <row r="933" spans="1:24" ht="11.25" customHeight="1" x14ac:dyDescent="0.2">
      <c r="A933" s="7" t="str">
        <f ca="1">IF(ISERROR(F928),"",VLOOKUP(C928,INDIRECT($F$8),6+(O933-1)*3,0))</f>
        <v/>
      </c>
      <c r="B933" s="41" t="str">
        <f ca="1">IF(ISERROR(F928),"",VLOOKUP(D928,INDIRECT($F$8),6+(O933-1)*3,0))</f>
        <v/>
      </c>
      <c r="C933" s="41"/>
      <c r="D933" s="41"/>
      <c r="E933" s="41"/>
      <c r="F933" s="7" t="str">
        <f ca="1">IF(ISERROR(F928),"",VLOOKUP(E928,INDIRECT($F$8),6+(O933-1)*3,0))</f>
        <v/>
      </c>
      <c r="G933" s="42" t="str">
        <f ca="1">IF(ISERROR(F928),"",_xlfn.TEXTJOIN("/",FALSE,P933,S933))</f>
        <v/>
      </c>
      <c r="H933" s="42"/>
      <c r="I933" s="42" t="str">
        <f ca="1">IF(ISERROR(F928),"",_xlfn.TEXTJOIN("/",FALSE,Q933,T933))</f>
        <v/>
      </c>
      <c r="J933" s="42"/>
      <c r="K933" s="42" t="str">
        <f ca="1">IF(ISERROR(F928),"",_xlfn.TEXTJOIN("/",FALSE,R933,U933))</f>
        <v/>
      </c>
      <c r="L933" s="42"/>
      <c r="M933" s="7" t="str">
        <f ca="1">IF(ISERROR(F928),"",IF(ISTEXT(P933),IF(P933="A","Ab",IF(P933="D","Dt",IF(P933="UFM","UFM",IF(P933="NA","-")))),IF(AND(ISBLANK(P933),ISBLANK(R933)),"",IF(P933&lt;0.3*S933,"F",IF(ISBLANK(R933),"",IF(ISTEXT(R933),R933,IF(R933&gt;=0.95*U933,"O",IF(R933&gt;=0.9*U933,"A+",IF(R933&gt;=0.85*U933,"A",IF(R933&gt;=0.8*U933,"B+",IF(R933&gt;=0.75*U933,"B",IF(R933&gt;=0.7*U933,"C+",IF(R933&gt;=0.65*U933,"C",IF(R933&gt;=0.6*U933,"D+",IF(R933&gt;=0.55*U933,"D",IF(R933&gt;=0.5*U933,"E+",IF(R933&gt;=0.45*U933,"E",IF(R933&gt;=0.4*U933,"P",IF(R933&lt;0.4*U933,"F",R933)))))))))))))))))))</f>
        <v/>
      </c>
      <c r="N933" s="8" t="e">
        <f ca="1">INDEX($Z$2:$Z$18,MATCH(M933,$Y$2:$Y$18,0))</f>
        <v>#N/A</v>
      </c>
      <c r="O933">
        <v>1</v>
      </c>
      <c r="P933" s="1" t="str">
        <f ca="1">IF(ISERROR(F928),"",IF(ISTEXT(VLOOKUP(B928,INDIRECT($F$8),6+(O933-1)*3)),(VLOOKUP(B928,INDIRECT($F$8),6+(O933-1)*3)),SUM(VLOOKUP(B928,INDIRECT($F$8),6+(O933-1)*3),IF(W947,W933,0))))</f>
        <v/>
      </c>
      <c r="Q933" s="1" t="str">
        <f ca="1">IF(ISERROR(F928),"",VLOOKUP(B928,INDIRECT($F$8),7+(O933-1)*3))</f>
        <v/>
      </c>
      <c r="R933" s="1" t="str">
        <f ca="1">IF(ISERROR(F928),"",SUM(P933:Q933))</f>
        <v/>
      </c>
      <c r="S933" s="1" t="str">
        <f ca="1">IF(ISERROR(F928),"",VLOOKUP(A928,INDIRECT($F$8),6+(O933-1)*3))</f>
        <v/>
      </c>
      <c r="T933" s="1" t="str">
        <f ca="1">IF(ISERROR(F928),"",VLOOKUP(A928,INDIRECT($F$8),7+(O933-1)*3))</f>
        <v/>
      </c>
      <c r="U933" s="1" t="str">
        <f ca="1">IF(ISERROR(F928),"",VLOOKUP(A928,INDIRECT($F$8),8+(O933-1)*3))</f>
        <v/>
      </c>
      <c r="V933" s="1" t="str">
        <f ca="1">IF(ISERROR(F928),"",IF(N933=0,A933,""))</f>
        <v/>
      </c>
      <c r="W933" s="1" t="str">
        <f ca="1">IF(ISERROR(F928),"",IF(ISTEXT(VLOOKUP(B928,INDIRECT($F$8),6+(O933-1)*3)),11,IF(VLOOKUP(B928,INDIRECT($F$8),6+(O933-1)*3)&lt;S933*0.3,IF(VLOOKUP(B928,INDIRECT($F$8),8+(O933-1)*3)&lt;U933*0.4,IF(AND(0.4*U933-VLOOKUP(B928,INDIRECT($F$8),8+(O933-1)*3)&lt;=5,0.3*S933-VLOOKUP(B928,INDIRECT($F$8),6+(O933-1)*3)&lt;=5),MAX(0.4*U933-VLOOKUP(B928,INDIRECT($F$8),8+(O933-1)*3),0.3*S933-VLOOKUP(B928,INDIRECT($F$8),6+(O933-1)*3)),11),IF(0.3*S933-VLOOKUP(B928,INDIRECT($F$8),6+(O933-1)*3)&lt;=5,0.3*S933-VLOOKUP(B928,INDIRECT($F$8),6+(O933-1)*3),11)),IF(VLOOKUP(B928,INDIRECT($F$8),8+(O933-1)*3)&lt;U933*0.4,IF(U933*0.4-VLOOKUP(B928,INDIRECT($F$8),8+(O933-1)*3)&lt;=5,U933*0.4-VLOOKUP(B928,INDIRECT($F$8),8+(O933-1)*3),11),0))))</f>
        <v/>
      </c>
      <c r="X933" s="1" t="str">
        <f ca="1">IF(ISERROR(F928),"",IF(W933=0,"",_xlfn.TEXTJOIN("",FALSE," G+",W933," in ",A933)))</f>
        <v/>
      </c>
    </row>
    <row r="934" spans="1:24" ht="11.25" customHeight="1" x14ac:dyDescent="0.2">
      <c r="A934" s="7" t="str">
        <f ca="1">IF(ISERROR(F928),"",VLOOKUP(C928,INDIRECT($F$8),6+(O934-1)*3,0))</f>
        <v/>
      </c>
      <c r="B934" s="41" t="str">
        <f ca="1">IF(ISERROR(F928),"",VLOOKUP(D928,INDIRECT($F$8),6+(O934-1)*3,0))</f>
        <v/>
      </c>
      <c r="C934" s="41"/>
      <c r="D934" s="41"/>
      <c r="E934" s="41"/>
      <c r="F934" s="7" t="str">
        <f ca="1">IF(ISERROR(F928),"",VLOOKUP(E928,INDIRECT($F$8),6+(O934-1)*3,0))</f>
        <v/>
      </c>
      <c r="G934" s="42" t="str">
        <f ca="1">IF(ISERROR(F928),"",_xlfn.TEXTJOIN("/",FALSE,P934,S934))</f>
        <v/>
      </c>
      <c r="H934" s="42"/>
      <c r="I934" s="42" t="str">
        <f ca="1">IF(ISERROR(F928),"",_xlfn.TEXTJOIN("/",FALSE,Q934,T934))</f>
        <v/>
      </c>
      <c r="J934" s="42"/>
      <c r="K934" s="42" t="str">
        <f ca="1">IF(ISERROR(F928),"",_xlfn.TEXTJOIN("/",FALSE,R934,U934))</f>
        <v/>
      </c>
      <c r="L934" s="42"/>
      <c r="M934" s="7" t="str">
        <f ca="1">IF(ISERROR(F928),"",IF(ISTEXT(P934),IF(P934="A","Ab",IF(P934="D","Dt",IF(P934="UFM","UFM",IF(P934="NA","-")))),IF(AND(ISBLANK(P934),ISBLANK(R934)),"",IF(P934&lt;0.3*S934,"F",IF(ISBLANK(R934),"",IF(ISTEXT(R934),R934,IF(R934&gt;=0.95*U934,"O",IF(R934&gt;=0.9*U934,"A+",IF(R934&gt;=0.85*U934,"A",IF(R934&gt;=0.8*U934,"B+",IF(R934&gt;=0.75*U934,"B",IF(R934&gt;=0.7*U934,"C+",IF(R934&gt;=0.65*U934,"C",IF(R934&gt;=0.6*U934,"D+",IF(R934&gt;=0.55*U934,"D",IF(R934&gt;=0.5*U934,"E+",IF(R934&gt;=0.45*U934,"E",IF(R934&gt;=0.4*U934,"P",IF(R934&lt;0.4*U934,"F",R934)))))))))))))))))))</f>
        <v/>
      </c>
      <c r="N934" s="8" t="e">
        <f t="shared" ref="N934:N945" ca="1" si="100">INDEX($Z$2:$Z$18,MATCH(M934,$Y$2:$Y$18,0))</f>
        <v>#N/A</v>
      </c>
      <c r="O934">
        <f>O933+1</f>
        <v>2</v>
      </c>
      <c r="P934" s="1" t="str">
        <f ca="1">IF(ISERROR(F928),"",IF(ISTEXT(VLOOKUP(B928,INDIRECT($F$8),6+(O934-1)*3)),(VLOOKUP(B928,INDIRECT($F$8),6+(O934-1)*3)),SUM(VLOOKUP(B928,INDIRECT($F$8),6+(O934-1)*3),IF(W947,W934,0))))</f>
        <v/>
      </c>
      <c r="Q934" s="1" t="str">
        <f ca="1">IF(ISERROR(F928),"",VLOOKUP(B928,INDIRECT($F$8),7+(O934-1)*3))</f>
        <v/>
      </c>
      <c r="R934" s="1" t="str">
        <f ca="1">IF(ISERROR(F928),"",SUM(P934:Q934))</f>
        <v/>
      </c>
      <c r="S934" s="1" t="str">
        <f ca="1">IF(ISERROR(F928),"",VLOOKUP(A928,INDIRECT($F$8),6+(O934-1)*3))</f>
        <v/>
      </c>
      <c r="T934" s="1" t="str">
        <f ca="1">IF(ISERROR(F928),"",VLOOKUP(A928,INDIRECT($F$8),7+(O934-1)*3))</f>
        <v/>
      </c>
      <c r="U934" s="1" t="str">
        <f ca="1">IF(ISERROR(F928),"",VLOOKUP(A928,INDIRECT($F$8),8+(O934-1)*3))</f>
        <v/>
      </c>
      <c r="V934" s="1" t="str">
        <f ca="1">IF(ISERROR(F928),"",IF(N934=0,A934,""))</f>
        <v/>
      </c>
      <c r="W934" s="1" t="str">
        <f ca="1">IF(ISERROR(F928),"",IF(ISTEXT(VLOOKUP(B928,INDIRECT($F$8),6+(O934-1)*3)),11,IF(VLOOKUP(B928,INDIRECT($F$8),6+(O934-1)*3)&lt;S934*0.3,IF(VLOOKUP(B928,INDIRECT($F$8),8+(O934-1)*3)&lt;U934*0.4,IF(AND(0.4*U934-VLOOKUP(B928,INDIRECT($F$8),8+(O934-1)*3)&lt;=5,0.3*S934-VLOOKUP(B928,INDIRECT($F$8),6+(O934-1)*3)&lt;=5),MAX(0.4*U934-VLOOKUP(B928,INDIRECT($F$8),8+(O934-1)*3),0.3*S934-VLOOKUP(B928,INDIRECT($F$8),6+(O934-1)*3)),11),IF(0.3*S934-VLOOKUP(B928,INDIRECT($F$8),6+(O934-1)*3)&lt;=5,0.3*S934-VLOOKUP(B928,INDIRECT($F$8),6+(O934-1)*3),11)),IF(VLOOKUP(B928,INDIRECT($F$8),8+(O934-1)*3)&lt;U934*0.4,IF(U934*0.4-VLOOKUP(B928,INDIRECT($F$8),8+(O934-1)*3)&lt;=5,U934*0.4-VLOOKUP(B928,INDIRECT($F$8),8+(O934-1)*3),11),0))))</f>
        <v/>
      </c>
      <c r="X934" s="1" t="str">
        <f ca="1">IF(ISERROR(F928),"",IF(W934=0,"",_xlfn.TEXTJOIN("",FALSE," G+",W934," in ",A934)))</f>
        <v/>
      </c>
    </row>
    <row r="935" spans="1:24" ht="11.25" customHeight="1" x14ac:dyDescent="0.2">
      <c r="A935" s="7" t="str">
        <f ca="1">IF(ISERROR(F928),"",VLOOKUP(C928,INDIRECT($F$8),6+(O935-1)*3,0))</f>
        <v/>
      </c>
      <c r="B935" s="41" t="str">
        <f ca="1">IF(ISERROR(F928),"",VLOOKUP(D928,INDIRECT($F$8),6+(O935-1)*3,0))</f>
        <v/>
      </c>
      <c r="C935" s="41"/>
      <c r="D935" s="41"/>
      <c r="E935" s="41"/>
      <c r="F935" s="7" t="str">
        <f ca="1">IF(ISERROR(F928),"",VLOOKUP(E928,INDIRECT($F$8),6+(O935-1)*3,0))</f>
        <v/>
      </c>
      <c r="G935" s="42" t="str">
        <f ca="1">IF(ISERROR(F928),"",_xlfn.TEXTJOIN("/",FALSE,P935,S935))</f>
        <v/>
      </c>
      <c r="H935" s="42"/>
      <c r="I935" s="42" t="str">
        <f ca="1">IF(ISERROR(F928),"",_xlfn.TEXTJOIN("/",FALSE,Q935,T935))</f>
        <v/>
      </c>
      <c r="J935" s="42"/>
      <c r="K935" s="42" t="str">
        <f ca="1">IF(ISERROR(F928),"",_xlfn.TEXTJOIN("/",FALSE,R935,U935))</f>
        <v/>
      </c>
      <c r="L935" s="42"/>
      <c r="M935" s="7" t="str">
        <f ca="1">IF(ISERROR(F928),"",IF(ISTEXT(P935),IF(P935="A","Ab",IF(P935="D","Dt",IF(P935="UFM","UFM",IF(P935="NA","-")))),IF(AND(ISBLANK(P935),ISBLANK(R935)),"",IF(P935&lt;0.3*S935,"F",IF(ISBLANK(R935),"",IF(ISTEXT(R935),R935,IF(R935&gt;=0.95*U935,"O",IF(R935&gt;=0.9*U935,"A+",IF(R935&gt;=0.85*U935,"A",IF(R935&gt;=0.8*U935,"B+",IF(R935&gt;=0.75*U935,"B",IF(R935&gt;=0.7*U935,"C+",IF(R935&gt;=0.65*U935,"C",IF(R935&gt;=0.6*U935,"D+",IF(R935&gt;=0.55*U935,"D",IF(R935&gt;=0.5*U935,"E+",IF(R935&gt;=0.45*U935,"E",IF(R935&gt;=0.4*U935,"P",IF(R935&lt;0.4*U935,"F",R935)))))))))))))))))))</f>
        <v/>
      </c>
      <c r="N935" s="8" t="e">
        <f t="shared" ca="1" si="100"/>
        <v>#N/A</v>
      </c>
      <c r="O935">
        <f>O934+1</f>
        <v>3</v>
      </c>
      <c r="P935" s="1" t="str">
        <f ca="1">IF(ISERROR(F928),"",IF(ISTEXT(VLOOKUP(B928,INDIRECT($F$8),6+(O935-1)*3)),(VLOOKUP(B928,INDIRECT($F$8),6+(O935-1)*3)),SUM(VLOOKUP(B928,INDIRECT($F$8),6+(O935-1)*3),IF(W947,W935,0))))</f>
        <v/>
      </c>
      <c r="Q935" s="1" t="str">
        <f ca="1">IF(ISERROR(F928),"",VLOOKUP(B928,INDIRECT($F$8),7+(O935-1)*3))</f>
        <v/>
      </c>
      <c r="R935" s="1" t="str">
        <f ca="1">IF(ISERROR(F928),"",SUM(P935:Q935))</f>
        <v/>
      </c>
      <c r="S935" s="1" t="str">
        <f ca="1">IF(ISERROR(F928),"",VLOOKUP(A928,INDIRECT($F$8),6+(O935-1)*3))</f>
        <v/>
      </c>
      <c r="T935" s="1" t="str">
        <f ca="1">IF(ISERROR(F928),"",VLOOKUP(A928,INDIRECT($F$8),7+(O935-1)*3))</f>
        <v/>
      </c>
      <c r="U935" s="1" t="str">
        <f ca="1">IF(ISERROR(F928),"",VLOOKUP(A928,INDIRECT($F$8),8+(O935-1)*3))</f>
        <v/>
      </c>
      <c r="V935" s="1" t="str">
        <f ca="1">IF(ISERROR(F928),"",IF(N935=0,A935,""))</f>
        <v/>
      </c>
      <c r="W935" s="1" t="str">
        <f ca="1">IF(ISERROR(F928),"",IF(ISTEXT(VLOOKUP(B928,INDIRECT($F$8),6+(O935-1)*3)),11,IF(VLOOKUP(B928,INDIRECT($F$8),6+(O935-1)*3)&lt;S935*0.3,IF(VLOOKUP(B928,INDIRECT($F$8),8+(O935-1)*3)&lt;U935*0.4,IF(AND(0.4*U935-VLOOKUP(B928,INDIRECT($F$8),8+(O935-1)*3)&lt;=5,0.3*S935-VLOOKUP(B928,INDIRECT($F$8),6+(O935-1)*3)&lt;=5),MAX(0.4*U935-VLOOKUP(B928,INDIRECT($F$8),8+(O935-1)*3),0.3*S935-VLOOKUP(B928,INDIRECT($F$8),6+(O935-1)*3)),11),IF(0.3*S935-VLOOKUP(B928,INDIRECT($F$8),6+(O935-1)*3)&lt;=5,0.3*S935-VLOOKUP(B928,INDIRECT($F$8),6+(O935-1)*3),11)),IF(VLOOKUP(B928,INDIRECT($F$8),8+(O935-1)*3)&lt;U935*0.4,IF(U935*0.4-VLOOKUP(B928,INDIRECT($F$8),8+(O935-1)*3)&lt;=5,U935*0.4-VLOOKUP(B928,INDIRECT($F$8),8+(O935-1)*3),11),0))))</f>
        <v/>
      </c>
      <c r="X935" s="1" t="str">
        <f ca="1">IF(ISERROR(F928),"",IF(W935=0,"",_xlfn.TEXTJOIN("",FALSE," G+",W935," in ",A935)))</f>
        <v/>
      </c>
    </row>
    <row r="936" spans="1:24" ht="11.25" customHeight="1" x14ac:dyDescent="0.2">
      <c r="A936" s="7" t="str">
        <f ca="1">IF(ISERROR(F928),"",VLOOKUP(C928,INDIRECT($F$8),6+(O936-1)*3,0))</f>
        <v/>
      </c>
      <c r="B936" s="41" t="str">
        <f ca="1">IF(ISERROR(F928),"",VLOOKUP(D928,INDIRECT($F$8),6+(O936-1)*3,0))</f>
        <v/>
      </c>
      <c r="C936" s="41"/>
      <c r="D936" s="41"/>
      <c r="E936" s="41"/>
      <c r="F936" s="7" t="str">
        <f ca="1">IF(ISERROR(F928),"",VLOOKUP(E928,INDIRECT($F$8),6+(O936-1)*3,0))</f>
        <v/>
      </c>
      <c r="G936" s="42" t="str">
        <f ca="1">IF(ISERROR(F928),"",_xlfn.TEXTJOIN("/",FALSE,P936,S936))</f>
        <v/>
      </c>
      <c r="H936" s="42"/>
      <c r="I936" s="42" t="str">
        <f ca="1">IF(ISERROR(F928),"",_xlfn.TEXTJOIN("/",FALSE,Q936,T936))</f>
        <v/>
      </c>
      <c r="J936" s="42"/>
      <c r="K936" s="42" t="str">
        <f ca="1">IF(ISERROR(F928),"",_xlfn.TEXTJOIN("/",FALSE,R936,U936))</f>
        <v/>
      </c>
      <c r="L936" s="42"/>
      <c r="M936" s="7" t="str">
        <f ca="1">IF(ISERROR(F928),"",IF(ISTEXT(P936),IF(P936="A","Ab",IF(P936="D","Dt",IF(P936="UFM","UFM",IF(P936="NA","-")))),IF(AND(ISBLANK(P936),ISBLANK(R936)),"",IF(P936&lt;0.3*S936,"F",IF(ISBLANK(R936),"",IF(ISTEXT(R936),R936,IF(R936&gt;=0.95*U936,"O",IF(R936&gt;=0.9*U936,"A+",IF(R936&gt;=0.85*U936,"A",IF(R936&gt;=0.8*U936,"B+",IF(R936&gt;=0.75*U936,"B",IF(R936&gt;=0.7*U936,"C+",IF(R936&gt;=0.65*U936,"C",IF(R936&gt;=0.6*U936,"D+",IF(R936&gt;=0.55*U936,"D",IF(R936&gt;=0.5*U936,"E+",IF(R936&gt;=0.45*U936,"E",IF(R936&gt;=0.4*U936,"P",IF(R936&lt;0.4*U936,"F",R936)))))))))))))))))))</f>
        <v/>
      </c>
      <c r="N936" s="8" t="e">
        <f t="shared" ca="1" si="100"/>
        <v>#N/A</v>
      </c>
      <c r="O936">
        <f>O935+1</f>
        <v>4</v>
      </c>
      <c r="P936" s="1" t="str">
        <f ca="1">IF(ISERROR(F928),"",IF(ISTEXT(VLOOKUP(B928,INDIRECT($F$8),6+(O936-1)*3)),(VLOOKUP(B928,INDIRECT($F$8),6+(O936-1)*3)),SUM(VLOOKUP(B928,INDIRECT($F$8),6+(O936-1)*3),IF(W947,W936,0))))</f>
        <v/>
      </c>
      <c r="Q936" s="1" t="str">
        <f ca="1">IF(ISERROR(F928),"",VLOOKUP(B928,INDIRECT($F$8),7+(O936-1)*3))</f>
        <v/>
      </c>
      <c r="R936" s="1" t="str">
        <f ca="1">IF(ISERROR(F928),"",SUM(P936:Q936))</f>
        <v/>
      </c>
      <c r="S936" s="1" t="str">
        <f ca="1">IF(ISERROR(F928),"",VLOOKUP(A928,INDIRECT($F$8),6+(O936-1)*3))</f>
        <v/>
      </c>
      <c r="T936" s="1" t="str">
        <f ca="1">IF(ISERROR(F928),"",VLOOKUP(A928,INDIRECT($F$8),7+(O936-1)*3))</f>
        <v/>
      </c>
      <c r="U936" s="1" t="str">
        <f ca="1">IF(ISERROR(F928),"",VLOOKUP(A928,INDIRECT($F$8),8+(O936-1)*3))</f>
        <v/>
      </c>
      <c r="V936" s="1" t="str">
        <f ca="1">IF(ISERROR(F928),"",IF(N936=0,A936,""))</f>
        <v/>
      </c>
      <c r="W936" s="1" t="str">
        <f ca="1">IF(ISERROR(F928),"",IF(ISTEXT(VLOOKUP(B928,INDIRECT($F$8),6+(O936-1)*3)),11,IF(VLOOKUP(B928,INDIRECT($F$8),6+(O936-1)*3)&lt;S936*0.3,IF(VLOOKUP(B928,INDIRECT($F$8),8+(O936-1)*3)&lt;U936*0.4,IF(AND(0.4*U936-VLOOKUP(B928,INDIRECT($F$8),8+(O936-1)*3)&lt;=5,0.3*S936-VLOOKUP(B928,INDIRECT($F$8),6+(O936-1)*3)&lt;=5),MAX(0.4*U936-VLOOKUP(B928,INDIRECT($F$8),8+(O936-1)*3),0.3*S936-VLOOKUP(B928,INDIRECT($F$8),6+(O936-1)*3)),11),IF(0.3*S936-VLOOKUP(B928,INDIRECT($F$8),6+(O936-1)*3)&lt;=5,0.3*S936-VLOOKUP(B928,INDIRECT($F$8),6+(O936-1)*3),11)),IF(VLOOKUP(B928,INDIRECT($F$8),8+(O936-1)*3)&lt;U936*0.4,IF(U936*0.4-VLOOKUP(B928,INDIRECT($F$8),8+(O936-1)*3)&lt;=5,U936*0.4-VLOOKUP(B928,INDIRECT($F$8),8+(O936-1)*3),11),0))))</f>
        <v/>
      </c>
      <c r="X936" s="1" t="str">
        <f ca="1">IF(ISERROR(F928),"",IF(W936=0,"",_xlfn.TEXTJOIN("",FALSE," G+",W936," in ",A936)))</f>
        <v/>
      </c>
    </row>
    <row r="937" spans="1:24" ht="11.25" customHeight="1" x14ac:dyDescent="0.2">
      <c r="A937" s="7" t="str">
        <f ca="1">IF(ISERROR(F928),"",VLOOKUP(C928,INDIRECT($F$8),6+(O937-1)*3,0))</f>
        <v/>
      </c>
      <c r="B937" s="41" t="str">
        <f ca="1">IF(ISERROR(F928),"",VLOOKUP(D928,INDIRECT($F$8),6+(O937-1)*3,0))</f>
        <v/>
      </c>
      <c r="C937" s="41"/>
      <c r="D937" s="41"/>
      <c r="E937" s="41"/>
      <c r="F937" s="7" t="str">
        <f ca="1">IF(ISERROR(F928),"",VLOOKUP(E928,INDIRECT($F$8),6+(O937-1)*3,0))</f>
        <v/>
      </c>
      <c r="G937" s="42" t="str">
        <f ca="1">IF(ISERROR(F928),"",_xlfn.TEXTJOIN("/",FALSE,P937,S937))</f>
        <v/>
      </c>
      <c r="H937" s="42"/>
      <c r="I937" s="42" t="str">
        <f ca="1">IF(ISERROR(F928),"",_xlfn.TEXTJOIN("/",FALSE,Q937,T937))</f>
        <v/>
      </c>
      <c r="J937" s="42"/>
      <c r="K937" s="42" t="str">
        <f ca="1">IF(ISERROR(F928),"",_xlfn.TEXTJOIN("/",FALSE,R937,U937))</f>
        <v/>
      </c>
      <c r="L937" s="42"/>
      <c r="M937" s="7" t="str">
        <f ca="1">IF(ISERROR(F928),"",IF(ISTEXT(P937),IF(P937="A","Ab",IF(P937="D","Dt",IF(P937="UFM","UFM",IF(P937="NA","-")))),IF(AND(ISBLANK(P937),ISBLANK(R937)),"",IF(P937&lt;0.3*S937,"F",IF(ISBLANK(R937),"",IF(ISTEXT(R937),R937,IF(R937&gt;=0.95*U937,"O",IF(R937&gt;=0.9*U937,"A+",IF(R937&gt;=0.85*U937,"A",IF(R937&gt;=0.8*U937,"B+",IF(R937&gt;=0.75*U937,"B",IF(R937&gt;=0.7*U937,"C+",IF(R937&gt;=0.65*U937,"C",IF(R937&gt;=0.6*U937,"D+",IF(R937&gt;=0.55*U937,"D",IF(R937&gt;=0.5*U937,"E+",IF(R937&gt;=0.45*U937,"E",IF(R937&gt;=0.4*U937,"P",IF(R937&lt;0.4*U937,"F",R937)))))))))))))))))))</f>
        <v/>
      </c>
      <c r="N937" s="8" t="e">
        <f t="shared" ca="1" si="100"/>
        <v>#N/A</v>
      </c>
      <c r="O937">
        <f t="shared" ref="O937:O946" si="101">O936+1</f>
        <v>5</v>
      </c>
      <c r="P937" s="1" t="str">
        <f ca="1">IF(ISERROR(F928),"",IF(ISTEXT(VLOOKUP(B928,INDIRECT($F$8),6+(O937-1)*3)),(VLOOKUP(B928,INDIRECT($F$8),6+(O937-1)*3)),SUM(VLOOKUP(B928,INDIRECT($F$8),6+(O937-1)*3),IF(W947,W937,0))))</f>
        <v/>
      </c>
      <c r="Q937" s="1" t="str">
        <f ca="1">IF(ISERROR(F928),"",VLOOKUP(B928,INDIRECT($F$8),7+(O937-1)*3))</f>
        <v/>
      </c>
      <c r="R937" s="1" t="str">
        <f ca="1">IF(ISERROR(F928),"",SUM(P937:Q937))</f>
        <v/>
      </c>
      <c r="S937" s="1" t="str">
        <f ca="1">IF(ISERROR(F928),"",VLOOKUP(A928,INDIRECT($F$8),6+(O937-1)*3))</f>
        <v/>
      </c>
      <c r="T937" s="1" t="str">
        <f ca="1">IF(ISERROR(F928),"",VLOOKUP(A928,INDIRECT($F$8),7+(O937-1)*3))</f>
        <v/>
      </c>
      <c r="U937" s="1" t="str">
        <f ca="1">IF(ISERROR(F928),"",VLOOKUP(A928,INDIRECT($F$8),8+(O937-1)*3))</f>
        <v/>
      </c>
      <c r="V937" s="1" t="str">
        <f ca="1">IF(ISERROR(F928),"",IF(N937=0,A937,""))</f>
        <v/>
      </c>
      <c r="W937" s="1" t="str">
        <f ca="1">IF(ISERROR(F928),"",IF(ISTEXT(VLOOKUP(B928,INDIRECT($F$8),6+(O937-1)*3)),11,IF(VLOOKUP(B928,INDIRECT($F$8),6+(O937-1)*3)&lt;S937*0.3,IF(VLOOKUP(B928,INDIRECT($F$8),8+(O937-1)*3)&lt;U937*0.4,IF(AND(0.4*U937-VLOOKUP(B928,INDIRECT($F$8),8+(O937-1)*3)&lt;=5,0.3*S937-VLOOKUP(B928,INDIRECT($F$8),6+(O937-1)*3)&lt;=5),MAX(0.4*U937-VLOOKUP(B928,INDIRECT($F$8),8+(O937-1)*3),0.3*S937-VLOOKUP(B928,INDIRECT($F$8),6+(O937-1)*3)),11),IF(0.3*S937-VLOOKUP(B928,INDIRECT($F$8),6+(O937-1)*3)&lt;=5,0.3*S937-VLOOKUP(B928,INDIRECT($F$8),6+(O937-1)*3),11)),IF(VLOOKUP(B928,INDIRECT($F$8),8+(O937-1)*3)&lt;U937*0.4,IF(U937*0.4-VLOOKUP(B928,INDIRECT($F$8),8+(O937-1)*3)&lt;=5,U937*0.4-VLOOKUP(B928,INDIRECT($F$8),8+(O937-1)*3),11),0))))</f>
        <v/>
      </c>
      <c r="X937" s="1" t="str">
        <f ca="1">IF(ISERROR(F928),"",IF(W937=0,"",_xlfn.TEXTJOIN("",FALSE," G+",W937," in ",A937)))</f>
        <v/>
      </c>
    </row>
    <row r="938" spans="1:24" ht="11.25" customHeight="1" x14ac:dyDescent="0.2">
      <c r="A938" s="7" t="str">
        <f ca="1">IF(ISERROR(F928),"",VLOOKUP(C928,INDIRECT($F$8),6+(O938-1)*3,0))</f>
        <v/>
      </c>
      <c r="B938" s="41" t="str">
        <f ca="1">IF(ISERROR(F928),"",VLOOKUP(D928,INDIRECT($F$8),6+(O938-1)*3,0))</f>
        <v/>
      </c>
      <c r="C938" s="41"/>
      <c r="D938" s="41"/>
      <c r="E938" s="41"/>
      <c r="F938" s="7" t="str">
        <f ca="1">IF(ISERROR(F928),"",VLOOKUP(E928,INDIRECT($F$8),6+(O938-1)*3,0))</f>
        <v/>
      </c>
      <c r="G938" s="42" t="str">
        <f ca="1">IF(ISERROR(F928),"",_xlfn.TEXTJOIN("/",FALSE,P938,S938))</f>
        <v/>
      </c>
      <c r="H938" s="42"/>
      <c r="I938" s="42" t="str">
        <f ca="1">IF(ISERROR(F928),"",_xlfn.TEXTJOIN("/",FALSE,Q938,T938))</f>
        <v/>
      </c>
      <c r="J938" s="42"/>
      <c r="K938" s="42" t="str">
        <f ca="1">IF(ISERROR(F928),"",_xlfn.TEXTJOIN("/",FALSE,R938,U938))</f>
        <v/>
      </c>
      <c r="L938" s="42"/>
      <c r="M938" s="7" t="str">
        <f ca="1">IF(ISERROR(F928),"",IF(ISTEXT(P938),IF(P938="A","Ab",IF(P938="D","Dt",IF(P938="UFM","UFM",IF(P938="NA","-")))),IF(AND(ISBLANK(P938),ISBLANK(R938)),"",IF(P938&lt;0.3*S938,"F",IF(ISBLANK(R938),"",IF(ISTEXT(R938),R938,IF(R938&gt;=0.95*U938,"O",IF(R938&gt;=0.9*U938,"A+",IF(R938&gt;=0.85*U938,"A",IF(R938&gt;=0.8*U938,"B+",IF(R938&gt;=0.75*U938,"B",IF(R938&gt;=0.7*U938,"C+",IF(R938&gt;=0.65*U938,"C",IF(R938&gt;=0.6*U938,"D+",IF(R938&gt;=0.55*U938,"D",IF(R938&gt;=0.5*U938,"E+",IF(R938&gt;=0.45*U938,"E",IF(R938&gt;=0.4*U938,"P",IF(R938&lt;0.4*U938,"F",R938)))))))))))))))))))</f>
        <v/>
      </c>
      <c r="N938" s="8" t="e">
        <f t="shared" ca="1" si="100"/>
        <v>#N/A</v>
      </c>
      <c r="O938">
        <f t="shared" si="101"/>
        <v>6</v>
      </c>
      <c r="P938" s="1" t="str">
        <f ca="1">IF(ISERROR(F928),"",IF(ISTEXT(VLOOKUP(B928,INDIRECT($F$8),6+(O938-1)*3)),(VLOOKUP(B928,INDIRECT($F$8),6+(O938-1)*3)),SUM(VLOOKUP(B928,INDIRECT($F$8),6+(O938-1)*3),IF(W947,W938,0))))</f>
        <v/>
      </c>
      <c r="Q938" s="1" t="str">
        <f ca="1">IF(ISERROR(F928),"",VLOOKUP(B928,INDIRECT($F$8),7+(O938-1)*3))</f>
        <v/>
      </c>
      <c r="R938" s="1" t="str">
        <f ca="1">IF(ISERROR(F928),"",SUM(P938:Q938))</f>
        <v/>
      </c>
      <c r="S938" s="1" t="str">
        <f ca="1">IF(ISERROR(F928),"",VLOOKUP(A928,INDIRECT($F$8),6+(O938-1)*3))</f>
        <v/>
      </c>
      <c r="T938" s="1" t="str">
        <f ca="1">IF(ISERROR(F928),"",VLOOKUP(A928,INDIRECT($F$8),7+(O938-1)*3))</f>
        <v/>
      </c>
      <c r="U938" s="1" t="str">
        <f ca="1">IF(ISERROR(F928),"",VLOOKUP(A928,INDIRECT($F$8),8+(O938-1)*3))</f>
        <v/>
      </c>
      <c r="V938" s="1" t="str">
        <f ca="1">IF(ISERROR(F928),"",IF(N938=0,A938,""))</f>
        <v/>
      </c>
      <c r="W938" s="1" t="str">
        <f ca="1">IF(ISERROR(F928),"",IF(ISTEXT(VLOOKUP(B928,INDIRECT($F$8),6+(O938-1)*3)),11,IF(VLOOKUP(B928,INDIRECT($F$8),6+(O938-1)*3)&lt;S938*0.3,IF(VLOOKUP(B928,INDIRECT($F$8),8+(O938-1)*3)&lt;U938*0.4,IF(AND(0.4*U938-VLOOKUP(B928,INDIRECT($F$8),8+(O938-1)*3)&lt;=5,0.3*S938-VLOOKUP(B928,INDIRECT($F$8),6+(O938-1)*3)&lt;=5),MAX(0.4*U938-VLOOKUP(B928,INDIRECT($F$8),8+(O938-1)*3),0.3*S938-VLOOKUP(B928,INDIRECT($F$8),6+(O938-1)*3)),11),IF(0.3*S938-VLOOKUP(B928,INDIRECT($F$8),6+(O938-1)*3)&lt;=5,0.3*S938-VLOOKUP(B928,INDIRECT($F$8),6+(O938-1)*3),11)),IF(VLOOKUP(B928,INDIRECT($F$8),8+(O938-1)*3)&lt;U938*0.4,IF(U938*0.4-VLOOKUP(B928,INDIRECT($F$8),8+(O938-1)*3)&lt;=5,U938*0.4-VLOOKUP(B928,INDIRECT($F$8),8+(O938-1)*3),11),0))))</f>
        <v/>
      </c>
      <c r="X938" s="1" t="str">
        <f ca="1">IF(ISERROR(F928),"",IF(W938=0,"",_xlfn.TEXTJOIN("",FALSE," G+",W938," in ",A938)))</f>
        <v/>
      </c>
    </row>
    <row r="939" spans="1:24" ht="11.25" customHeight="1" x14ac:dyDescent="0.2">
      <c r="A939" s="7" t="str">
        <f ca="1">IF(ISERROR(F928),"",VLOOKUP(C928,INDIRECT($F$8),6+(O939-1)*3,0))</f>
        <v/>
      </c>
      <c r="B939" s="41" t="str">
        <f ca="1">IF(ISERROR(F928),"",VLOOKUP(D928,INDIRECT($F$8),6+(O939-1)*3,0))</f>
        <v/>
      </c>
      <c r="C939" s="41"/>
      <c r="D939" s="41"/>
      <c r="E939" s="41"/>
      <c r="F939" s="7" t="str">
        <f ca="1">IF(ISERROR(F928),"",VLOOKUP(E928,INDIRECT($F$8),6+(O939-1)*3,0))</f>
        <v/>
      </c>
      <c r="G939" s="42" t="str">
        <f ca="1">IF(ISERROR(F928),"",_xlfn.TEXTJOIN("/",FALSE,P939,S939))</f>
        <v/>
      </c>
      <c r="H939" s="42"/>
      <c r="I939" s="42" t="str">
        <f ca="1">IF(ISERROR(F928),"",_xlfn.TEXTJOIN("/",FALSE,Q939,T939))</f>
        <v/>
      </c>
      <c r="J939" s="42"/>
      <c r="K939" s="42" t="str">
        <f ca="1">IF(ISERROR(F928),"",_xlfn.TEXTJOIN("/",FALSE,R939,U939))</f>
        <v/>
      </c>
      <c r="L939" s="42"/>
      <c r="M939" s="7" t="str">
        <f ca="1">IF(ISERROR(F928),"",IF(ISTEXT(P939),IF(P939="A","Ab",IF(P939="D","Dt",IF(P939="UFM","UFM",IF(P939="NA","-")))),IF(AND(ISBLANK(P939),ISBLANK(R939)),"",IF(P939&lt;0.3*S939,"F",IF(ISBLANK(R939),"",IF(ISTEXT(R939),R939,IF(R939&gt;=0.95*U939,"O",IF(R939&gt;=0.9*U939,"A+",IF(R939&gt;=0.85*U939,"A",IF(R939&gt;=0.8*U939,"B+",IF(R939&gt;=0.75*U939,"B",IF(R939&gt;=0.7*U939,"C+",IF(R939&gt;=0.65*U939,"C",IF(R939&gt;=0.6*U939,"D+",IF(R939&gt;=0.55*U939,"D",IF(R939&gt;=0.5*U939,"E+",IF(R939&gt;=0.45*U939,"E",IF(R939&gt;=0.4*U939,"P",IF(R939&lt;0.4*U939,"F",R939)))))))))))))))))))</f>
        <v/>
      </c>
      <c r="N939" s="8" t="e">
        <f t="shared" ca="1" si="100"/>
        <v>#N/A</v>
      </c>
      <c r="O939">
        <f t="shared" si="101"/>
        <v>7</v>
      </c>
      <c r="P939" s="1" t="str">
        <f ca="1">IF(ISERROR(F928),"",IF(ISTEXT(VLOOKUP(B928,INDIRECT($F$8),6+(O939-1)*3)),(VLOOKUP(B928,INDIRECT($F$8),6+(O939-1)*3)),SUM(VLOOKUP(B928,INDIRECT($F$8),6+(O939-1)*3),IF(W947,W939,0))))</f>
        <v/>
      </c>
      <c r="Q939" s="1" t="str">
        <f ca="1">IF(ISERROR(F928),"",VLOOKUP(B928,INDIRECT($F$8),7+(O939-1)*3))</f>
        <v/>
      </c>
      <c r="R939" s="1" t="str">
        <f ca="1">IF(ISERROR(F928),"",SUM(P939:Q939))</f>
        <v/>
      </c>
      <c r="S939" s="1" t="str">
        <f ca="1">IF(ISERROR(F928),"",VLOOKUP(A928,INDIRECT($F$8),6+(O939-1)*3))</f>
        <v/>
      </c>
      <c r="T939" s="1" t="str">
        <f ca="1">IF(ISERROR(F928),"",VLOOKUP(A928,INDIRECT($F$8),7+(O939-1)*3))</f>
        <v/>
      </c>
      <c r="U939" s="1" t="str">
        <f ca="1">IF(ISERROR(F928),"",VLOOKUP(A928,INDIRECT($F$8),8+(O939-1)*3))</f>
        <v/>
      </c>
      <c r="V939" s="1" t="str">
        <f ca="1">IF(ISERROR(F928),"",IF(N939=0,A939,""))</f>
        <v/>
      </c>
      <c r="W939" s="1" t="str">
        <f ca="1">IF(ISERROR(F928),"",IF(ISTEXT(VLOOKUP(B928,INDIRECT($F$8),6+(O939-1)*3)),11,IF(VLOOKUP(B928,INDIRECT($F$8),6+(O939-1)*3)&lt;S939*0.3,IF(VLOOKUP(B928,INDIRECT($F$8),8+(O939-1)*3)&lt;U939*0.4,IF(AND(0.4*U939-VLOOKUP(B928,INDIRECT($F$8),8+(O939-1)*3)&lt;=5,0.3*S939-VLOOKUP(B928,INDIRECT($F$8),6+(O939-1)*3)&lt;=5),MAX(0.4*U939-VLOOKUP(B928,INDIRECT($F$8),8+(O939-1)*3),0.3*S939-VLOOKUP(B928,INDIRECT($F$8),6+(O939-1)*3)),11),IF(0.3*S939-VLOOKUP(B928,INDIRECT($F$8),6+(O939-1)*3)&lt;=5,0.3*S939-VLOOKUP(B928,INDIRECT($F$8),6+(O939-1)*3),11)),IF(VLOOKUP(B928,INDIRECT($F$8),8+(O939-1)*3)&lt;U939*0.4,IF(U939*0.4-VLOOKUP(B928,INDIRECT($F$8),8+(O939-1)*3)&lt;=5,U939*0.4-VLOOKUP(B928,INDIRECT($F$8),8+(O939-1)*3),11),0))))</f>
        <v/>
      </c>
      <c r="X939" s="1" t="str">
        <f ca="1">IF(ISERROR(F928),"",IF(W939=0,"",_xlfn.TEXTJOIN("",FALSE," G+",W939," in ",A939)))</f>
        <v/>
      </c>
    </row>
    <row r="940" spans="1:24" ht="11.25" customHeight="1" x14ac:dyDescent="0.2">
      <c r="A940" s="7" t="str">
        <f ca="1">IF(ISERROR(F928),"",VLOOKUP(C928,INDIRECT($F$8),6+(O940-1)*3,0))</f>
        <v/>
      </c>
      <c r="B940" s="41" t="str">
        <f ca="1">IF(ISERROR(F928),"",VLOOKUP(D928,INDIRECT($F$8),6+(O940-1)*3,0))</f>
        <v/>
      </c>
      <c r="C940" s="41"/>
      <c r="D940" s="41"/>
      <c r="E940" s="41"/>
      <c r="F940" s="7" t="str">
        <f ca="1">IF(ISERROR(F928),"",VLOOKUP(E928,INDIRECT($F$8),6+(O940-1)*3,0))</f>
        <v/>
      </c>
      <c r="G940" s="42" t="str">
        <f ca="1">IF(ISERROR(F928),"",_xlfn.TEXTJOIN("/",FALSE,P940,S940))</f>
        <v/>
      </c>
      <c r="H940" s="42"/>
      <c r="I940" s="42" t="str">
        <f ca="1">IF(ISERROR(F928),"",_xlfn.TEXTJOIN("/",FALSE,Q940,T940))</f>
        <v/>
      </c>
      <c r="J940" s="42"/>
      <c r="K940" s="42" t="str">
        <f ca="1">IF(ISERROR(F928),"",_xlfn.TEXTJOIN("/",FALSE,R940,U940))</f>
        <v/>
      </c>
      <c r="L940" s="42"/>
      <c r="M940" s="7" t="str">
        <f ca="1">IF(ISERROR(F928),"",IF(ISTEXT(P940),IF(P940="A","Ab",IF(P940="D","Dt",IF(P940="UFM","UFM",IF(P940="NA","-")))),IF(AND(ISBLANK(P940),ISBLANK(R940)),"",IF(P940&lt;0.3*S940,"F",IF(ISBLANK(R940),"",IF(ISTEXT(R940),R940,IF(R940&gt;=0.95*U940,"O",IF(R940&gt;=0.9*U940,"A+",IF(R940&gt;=0.85*U940,"A",IF(R940&gt;=0.8*U940,"B+",IF(R940&gt;=0.75*U940,"B",IF(R940&gt;=0.7*U940,"C+",IF(R940&gt;=0.65*U940,"C",IF(R940&gt;=0.6*U940,"D+",IF(R940&gt;=0.55*U940,"D",IF(R940&gt;=0.5*U940,"E+",IF(R940&gt;=0.45*U940,"E",IF(R940&gt;=0.4*U940,"P",IF(R940&lt;0.4*U940,"F",R940)))))))))))))))))))</f>
        <v/>
      </c>
      <c r="N940" s="8" t="e">
        <f t="shared" ca="1" si="100"/>
        <v>#N/A</v>
      </c>
      <c r="O940">
        <f t="shared" si="101"/>
        <v>8</v>
      </c>
      <c r="P940" s="1" t="str">
        <f ca="1">IF(ISERROR(F928),"",IF(ISTEXT(VLOOKUP(B928,INDIRECT($F$8),6+(O940-1)*3)),(VLOOKUP(B928,INDIRECT($F$8),6+(O940-1)*3)),SUM(VLOOKUP(B928,INDIRECT($F$8),6+(O940-1)*3),IF(W947,W940,0))))</f>
        <v/>
      </c>
      <c r="Q940" s="1" t="str">
        <f ca="1">IF(ISERROR(F928),"",VLOOKUP(B928,INDIRECT($F$8),7+(O940-1)*3))</f>
        <v/>
      </c>
      <c r="R940" s="1" t="str">
        <f ca="1">IF(ISERROR(F928),"",SUM(P940:Q940))</f>
        <v/>
      </c>
      <c r="S940" s="1" t="str">
        <f ca="1">IF(ISERROR(F928),"",VLOOKUP(A928,INDIRECT($F$8),6+(O940-1)*3))</f>
        <v/>
      </c>
      <c r="T940" s="1" t="str">
        <f ca="1">IF(ISERROR(F928),"",VLOOKUP(A928,INDIRECT($F$8),7+(O940-1)*3))</f>
        <v/>
      </c>
      <c r="U940" s="1" t="str">
        <f ca="1">IF(ISERROR(F928),"",VLOOKUP(A928,INDIRECT($F$8),8+(O940-1)*3))</f>
        <v/>
      </c>
      <c r="V940" s="1" t="str">
        <f ca="1">IF(ISERROR(F928),"",IF(N940=0,A940,""))</f>
        <v/>
      </c>
      <c r="W940" s="1" t="str">
        <f ca="1">IF(ISERROR(F928),"",IF(ISTEXT(VLOOKUP(B928,INDIRECT($F$8),6+(O940-1)*3)),11,IF(VLOOKUP(B928,INDIRECT($F$8),6+(O940-1)*3)&lt;S940*0.3,IF(VLOOKUP(B928,INDIRECT($F$8),8+(O940-1)*3)&lt;U940*0.4,IF(AND(0.4*U940-VLOOKUP(B928,INDIRECT($F$8),8+(O940-1)*3)&lt;=5,0.3*S940-VLOOKUP(B928,INDIRECT($F$8),6+(O940-1)*3)&lt;=5),MAX(0.4*U940-VLOOKUP(B928,INDIRECT($F$8),8+(O940-1)*3),0.3*S940-VLOOKUP(B928,INDIRECT($F$8),6+(O940-1)*3)),11),IF(0.3*S940-VLOOKUP(B928,INDIRECT($F$8),6+(O940-1)*3)&lt;=5,0.3*S940-VLOOKUP(B928,INDIRECT($F$8),6+(O940-1)*3),11)),IF(VLOOKUP(B928,INDIRECT($F$8),8+(O940-1)*3)&lt;U940*0.4,IF(U940*0.4-VLOOKUP(B928,INDIRECT($F$8),8+(O940-1)*3)&lt;=5,U940*0.4-VLOOKUP(B928,INDIRECT($F$8),8+(O940-1)*3),11),0))))</f>
        <v/>
      </c>
      <c r="X940" s="1" t="str">
        <f ca="1">IF(ISERROR(F928),"",IF(W940=0,"",_xlfn.TEXTJOIN("",FALSE," G+",W940," in ",A940)))</f>
        <v/>
      </c>
    </row>
    <row r="941" spans="1:24" ht="11.25" customHeight="1" x14ac:dyDescent="0.2">
      <c r="A941" s="7" t="str">
        <f ca="1">IF(ISERROR(F928),"",VLOOKUP(C928,INDIRECT($F$8),6+(O941-1)*3,0))</f>
        <v/>
      </c>
      <c r="B941" s="41" t="str">
        <f ca="1">IF(ISERROR(F928),"",VLOOKUP(D928,INDIRECT($F$8),6+(O941-1)*3-Z941,0))</f>
        <v/>
      </c>
      <c r="C941" s="41"/>
      <c r="D941" s="41"/>
      <c r="E941" s="41"/>
      <c r="F941" s="7" t="str">
        <f ca="1">IF(ISERROR(F928),"",VLOOKUP(E928,INDIRECT($F$8),6+(O941-1)*3,0))</f>
        <v/>
      </c>
      <c r="G941" s="42" t="str">
        <f ca="1">IF(ISERROR(F928),"",_xlfn.TEXTJOIN("/",FALSE,P941,S941))</f>
        <v/>
      </c>
      <c r="H941" s="42"/>
      <c r="I941" s="42" t="str">
        <f ca="1">IF(ISERROR(F928),"",_xlfn.TEXTJOIN("/",FALSE,Q941,T941))</f>
        <v/>
      </c>
      <c r="J941" s="42"/>
      <c r="K941" s="42" t="str">
        <f ca="1">IF(ISERROR(F928),"",_xlfn.TEXTJOIN("/",FALSE,R941,U941))</f>
        <v/>
      </c>
      <c r="L941" s="42"/>
      <c r="M941" s="7" t="str">
        <f ca="1">IF(ISERROR(F928),"",IF(ISTEXT(P941),IF(P941="A","Ab",IF(P941="D","Dt",IF(P941="UFM","UFM",IF(P941="NA","-")))),IF(AND(ISBLANK(P941),ISBLANK(R941)),"",IF(P941&lt;0.3*S941,"F",IF(ISBLANK(R941),"",IF(ISTEXT(R941),R941,IF(R941&gt;=0.95*U941,"O",IF(R941&gt;=0.9*U941,"A+",IF(R941&gt;=0.85*U941,"A",IF(R941&gt;=0.8*U941,"B+",IF(R941&gt;=0.75*U941,"B",IF(R941&gt;=0.7*U941,"C+",IF(R941&gt;=0.65*U941,"C",IF(R941&gt;=0.6*U941,"D+",IF(R941&gt;=0.55*U941,"D",IF(R941&gt;=0.5*U941,"E+",IF(R941&gt;=0.45*U941,"E",IF(R941&gt;=0.4*U941,"P",IF(R941&lt;0.4*U941,"F",R941)))))))))))))))))))</f>
        <v/>
      </c>
      <c r="N941" s="8" t="e">
        <f t="shared" ca="1" si="100"/>
        <v>#N/A</v>
      </c>
      <c r="O941">
        <f t="shared" si="101"/>
        <v>9</v>
      </c>
      <c r="P941" s="1" t="str">
        <f ca="1">IF(ISERROR(F928),"",IF(ISTEXT(VLOOKUP(B928,INDIRECT($F$8),6+(O941-1)*3)),(VLOOKUP(B928,INDIRECT($F$8),6+(O941-1)*3)),SUM(VLOOKUP(B928,INDIRECT($F$8),6+(O941-1)*3),IF(W947,W941,0))))</f>
        <v/>
      </c>
      <c r="Q941" s="1" t="str">
        <f ca="1">IF(ISERROR(F928),"",VLOOKUP(B928,INDIRECT($F$8),7+(O941-1)*3))</f>
        <v/>
      </c>
      <c r="R941" s="1" t="str">
        <f ca="1">IF(ISERROR(F928),"",SUM(P941:Q941))</f>
        <v/>
      </c>
      <c r="S941" s="1" t="str">
        <f ca="1">IF(ISERROR(F928),"",VLOOKUP(A928,INDIRECT($F$8),6+(O941-1)*3))</f>
        <v/>
      </c>
      <c r="T941" s="1" t="str">
        <f ca="1">IF(ISERROR(F928),"",VLOOKUP(A928,INDIRECT($F$8),7+(O941-1)*3))</f>
        <v/>
      </c>
      <c r="U941" s="1" t="str">
        <f ca="1">IF(ISERROR(F928),"",VLOOKUP(A928,INDIRECT($F$8),8+(O941-1)*3))</f>
        <v/>
      </c>
      <c r="V941" s="1" t="str">
        <f ca="1">IF(ISERROR(F928),"",IF(N941=0,A941,""))</f>
        <v/>
      </c>
      <c r="W941" s="1" t="str">
        <f ca="1">IF(ISERROR(F928),"",IF(ISTEXT(VLOOKUP(B928,INDIRECT($F$8),6+(O941-1)*3)),11,IF(VLOOKUP(B928,INDIRECT($F$8),6+(O941-1)*3)&lt;S941*0.3,IF(VLOOKUP(B928,INDIRECT($F$8),8+(O941-1)*3)&lt;U941*0.4,IF(AND(0.4*U941-VLOOKUP(B928,INDIRECT($F$8),8+(O941-1)*3)&lt;=5,0.3*S941-VLOOKUP(B928,INDIRECT($F$8),6+(O941-1)*3)&lt;=5),MAX(0.4*U941-VLOOKUP(B928,INDIRECT($F$8),8+(O941-1)*3),0.3*S941-VLOOKUP(B928,INDIRECT($F$8),6+(O941-1)*3)),11),IF(0.3*S941-VLOOKUP(B928,INDIRECT($F$8),6+(O941-1)*3)&lt;=5,0.3*S941-VLOOKUP(B928,INDIRECT($F$8),6+(O941-1)*3),11)),IF(VLOOKUP(B928,INDIRECT($F$8),8+(O941-1)*3)&lt;U941*0.4,IF(U941*0.4-VLOOKUP(B928,INDIRECT($F$8),8+(O941-1)*3)&lt;=5,U941*0.4-VLOOKUP(B928,INDIRECT($F$8),8+(O941-1)*3),11),0))))</f>
        <v/>
      </c>
      <c r="X941" s="1" t="str">
        <f ca="1">IF(ISERROR(F928),"",IF(W941=0,"",_xlfn.TEXTJOIN("",FALSE," G+",W941," in ",A941)))</f>
        <v/>
      </c>
    </row>
    <row r="942" spans="1:24" ht="11.25" customHeight="1" x14ac:dyDescent="0.2">
      <c r="A942" s="7" t="str">
        <f ca="1">IF(ISERROR(F928),"",VLOOKUP(C928,INDIRECT($F$8),6+(O942-1)*3,0))</f>
        <v/>
      </c>
      <c r="B942" s="41" t="str">
        <f ca="1">IF(ISERROR(F928),"",VLOOKUP(D928,INDIRECT($F$8),6+(O942-1)*3-Z942,0))</f>
        <v/>
      </c>
      <c r="C942" s="41"/>
      <c r="D942" s="41"/>
      <c r="E942" s="41"/>
      <c r="F942" s="7" t="str">
        <f ca="1">IF(ISERROR(F928),"",VLOOKUP(E928,INDIRECT($F$8),6+(O942-1)*3,0))</f>
        <v/>
      </c>
      <c r="G942" s="42" t="str">
        <f ca="1">IF(ISERROR(F928),"",_xlfn.TEXTJOIN("/",FALSE,P942,S942))</f>
        <v/>
      </c>
      <c r="H942" s="42"/>
      <c r="I942" s="42" t="str">
        <f ca="1">IF(ISERROR(F928),"",_xlfn.TEXTJOIN("/",FALSE,Q942,T942))</f>
        <v/>
      </c>
      <c r="J942" s="42"/>
      <c r="K942" s="42" t="str">
        <f ca="1">IF(ISERROR(F928),"",_xlfn.TEXTJOIN("/",FALSE,R942,U942))</f>
        <v/>
      </c>
      <c r="L942" s="42"/>
      <c r="M942" s="7" t="str">
        <f ca="1">IF(ISERROR(F928),"",IF(ISTEXT(P942),IF(P942="A","Ab",IF(P942="D","Dt",IF(P942="UFM","UFM",IF(P942="NA","-")))),IF(AND(ISBLANK(P942),ISBLANK(R942)),"",IF(P942&lt;0.3*S942,"F",IF(ISBLANK(R942),"",IF(ISTEXT(R942),R942,IF(R942&gt;=0.95*U942,"O",IF(R942&gt;=0.9*U942,"A+",IF(R942&gt;=0.85*U942,"A",IF(R942&gt;=0.8*U942,"B+",IF(R942&gt;=0.75*U942,"B",IF(R942&gt;=0.7*U942,"C+",IF(R942&gt;=0.65*U942,"C",IF(R942&gt;=0.6*U942,"D+",IF(R942&gt;=0.55*U942,"D",IF(R942&gt;=0.5*U942,"E+",IF(R942&gt;=0.45*U942,"E",IF(R942&gt;=0.4*U942,"P",IF(R942&lt;0.4*U942,"F",R942)))))))))))))))))))</f>
        <v/>
      </c>
      <c r="N942" s="8" t="e">
        <f t="shared" ca="1" si="100"/>
        <v>#N/A</v>
      </c>
      <c r="O942">
        <f t="shared" si="101"/>
        <v>10</v>
      </c>
      <c r="P942" s="1" t="str">
        <f ca="1">IF(ISERROR(F928),"",IF(ISTEXT(VLOOKUP(B928,INDIRECT($F$8),6+(O942-1)*3)),(VLOOKUP(B928,INDIRECT($F$8),6+(O942-1)*3)),SUM(VLOOKUP(B928,INDIRECT($F$8),6+(O942-1)*3),IF(W947,W942,0))))</f>
        <v/>
      </c>
      <c r="Q942" s="1" t="str">
        <f ca="1">IF(ISERROR(F928),"",VLOOKUP(B928,INDIRECT($F$8),7+(O942-1)*3))</f>
        <v/>
      </c>
      <c r="R942" s="1" t="str">
        <f ca="1">IF(ISERROR(F928),"",SUM(P942:Q942))</f>
        <v/>
      </c>
      <c r="S942" s="1" t="str">
        <f ca="1">IF(ISERROR(F928),"",VLOOKUP(A928,INDIRECT($F$8),6+(O942-1)*3))</f>
        <v/>
      </c>
      <c r="T942" s="1" t="str">
        <f ca="1">IF(ISERROR(F928),"",VLOOKUP(A928,INDIRECT($F$8),7+(O942-1)*3))</f>
        <v/>
      </c>
      <c r="U942" s="1" t="str">
        <f ca="1">IF(ISERROR(F928),"",VLOOKUP(A928,INDIRECT($F$8),8+(O942-1)*3))</f>
        <v/>
      </c>
      <c r="V942" s="1" t="str">
        <f ca="1">IF(ISERROR(F928),"",IF(N942=0,A942,""))</f>
        <v/>
      </c>
      <c r="W942" s="1" t="str">
        <f ca="1">IF(ISERROR(F928),"",IF(ISTEXT(VLOOKUP(B928,INDIRECT($F$8),6+(O942-1)*3)),11,IF(VLOOKUP(B928,INDIRECT($F$8),6+(O942-1)*3)&lt;S942*0.3,IF(VLOOKUP(B928,INDIRECT($F$8),8+(O942-1)*3)&lt;U942*0.4,IF(AND(0.4*U942-VLOOKUP(B928,INDIRECT($F$8),8+(O942-1)*3)&lt;=5,0.3*S942-VLOOKUP(B928,INDIRECT($F$8),6+(O942-1)*3)&lt;=5),MAX(0.4*U942-VLOOKUP(B928,INDIRECT($F$8),8+(O942-1)*3),0.3*S942-VLOOKUP(B928,INDIRECT($F$8),6+(O942-1)*3)),11),IF(0.3*S942-VLOOKUP(B928,INDIRECT($F$8),6+(O942-1)*3)&lt;=5,0.3*S942-VLOOKUP(B928,INDIRECT($F$8),6+(O942-1)*3),11)),IF(VLOOKUP(B928,INDIRECT($F$8),8+(O942-1)*3)&lt;U942*0.4,IF(U942*0.4-VLOOKUP(B928,INDIRECT($F$8),8+(O942-1)*3)&lt;=5,U942*0.4-VLOOKUP(B928,INDIRECT($F$8),8+(O942-1)*3),11),0))))</f>
        <v/>
      </c>
      <c r="X942" s="1" t="str">
        <f ca="1">IF(ISERROR(F928),"",IF(W942=0,"",_xlfn.TEXTJOIN("",FALSE," G+",W942," in ",A942)))</f>
        <v/>
      </c>
    </row>
    <row r="943" spans="1:24" ht="11.25" customHeight="1" x14ac:dyDescent="0.2">
      <c r="A943" s="7" t="str">
        <f ca="1">IF(ISERROR(F928),"",VLOOKUP(C928,INDIRECT($F$8),6+(O943-1)*3,0))</f>
        <v/>
      </c>
      <c r="B943" s="41" t="str">
        <f ca="1">IF(ISERROR(F928),"",VLOOKUP(D928,INDIRECT($F$8),6+(O943-1)*3,0))</f>
        <v/>
      </c>
      <c r="C943" s="41"/>
      <c r="D943" s="41"/>
      <c r="E943" s="41"/>
      <c r="F943" s="7" t="str">
        <f ca="1">IF(ISERROR(F928),"",VLOOKUP(E928,INDIRECT($F$8),6+(O943-1)*3,0))</f>
        <v/>
      </c>
      <c r="G943" s="42" t="str">
        <f ca="1">IF(ISERROR(F928),"",_xlfn.TEXTJOIN("/",FALSE,P943,S943))</f>
        <v/>
      </c>
      <c r="H943" s="42"/>
      <c r="I943" s="42" t="str">
        <f ca="1">IF(ISERROR(F928),"",_xlfn.TEXTJOIN("/",FALSE,Q943,T943))</f>
        <v/>
      </c>
      <c r="J943" s="42"/>
      <c r="K943" s="42" t="str">
        <f ca="1">IF(ISERROR(F928),"",_xlfn.TEXTJOIN("/",FALSE,R943,U943))</f>
        <v/>
      </c>
      <c r="L943" s="42"/>
      <c r="M943" s="7" t="str">
        <f ca="1">IF(ISERROR(F928),"",IF(ISTEXT(P943),IF(P943="A","Ab",IF(P943="D","Dt",IF(P943="UFM","UFM",IF(P943="NA","-")))),IF(AND(ISBLANK(P943),ISBLANK(R943)),"",IF(P943&lt;0.3*S943,"F",IF(ISBLANK(R943),"",IF(ISTEXT(R943),R943,IF(R943&gt;=0.95*U943,"O",IF(R943&gt;=0.9*U943,"A+",IF(R943&gt;=0.85*U943,"A",IF(R943&gt;=0.8*U943,"B+",IF(R943&gt;=0.75*U943,"B",IF(R943&gt;=0.7*U943,"C+",IF(R943&gt;=0.65*U943,"C",IF(R943&gt;=0.6*U943,"D+",IF(R943&gt;=0.55*U943,"D",IF(R943&gt;=0.5*U943,"E+",IF(R943&gt;=0.45*U943,"E",IF(R943&gt;=0.4*U943,"P",IF(R943&lt;0.4*U943,"F",R943)))))))))))))))))))</f>
        <v/>
      </c>
      <c r="N943" s="8" t="e">
        <f t="shared" ca="1" si="100"/>
        <v>#N/A</v>
      </c>
      <c r="O943">
        <f t="shared" si="101"/>
        <v>11</v>
      </c>
      <c r="P943" s="1" t="str">
        <f ca="1">IF(ISERROR(F928),"",IF(ISTEXT(VLOOKUP(B928,INDIRECT($F$8),6+(O943-1)*3)),(VLOOKUP(B928,INDIRECT($F$8),6+(O943-1)*3)),SUM(VLOOKUP(B928,INDIRECT($F$8),6+(O943-1)*3),IF(W947,W943,0))))</f>
        <v/>
      </c>
      <c r="Q943" s="1" t="str">
        <f ca="1">IF(ISERROR(F928),"",VLOOKUP(B928,INDIRECT($F$8),7+(O943-1)*3))</f>
        <v/>
      </c>
      <c r="R943" s="1" t="str">
        <f ca="1">IF(ISERROR(F928),"",SUM(P943:Q943))</f>
        <v/>
      </c>
      <c r="S943" s="1" t="str">
        <f ca="1">IF(ISERROR(F928),"",VLOOKUP(A928,INDIRECT($F$8),6+(O943-1)*3))</f>
        <v/>
      </c>
      <c r="T943" s="1" t="str">
        <f ca="1">IF(ISERROR(F928),"",VLOOKUP(A928,INDIRECT($F$8),7+(O943-1)*3))</f>
        <v/>
      </c>
      <c r="U943" s="1" t="str">
        <f ca="1">IF(ISERROR(F928),"",VLOOKUP(A928,INDIRECT($F$8),8+(O943-1)*3))</f>
        <v/>
      </c>
      <c r="V943" s="1" t="str">
        <f ca="1">IF(ISERROR(F928),"",IF(N943=0,A943,""))</f>
        <v/>
      </c>
      <c r="W943" s="1" t="str">
        <f ca="1">IF(ISERROR(F928),"",IF(ISTEXT(VLOOKUP(B928,INDIRECT($F$8),6+(O943-1)*3)),11,IF(VLOOKUP(B928,INDIRECT($F$8),6+(O943-1)*3)&lt;S943*0.3,IF(VLOOKUP(B928,INDIRECT($F$8),8+(O943-1)*3)&lt;U943*0.4,IF(AND(0.4*U943-VLOOKUP(B928,INDIRECT($F$8),8+(O943-1)*3)&lt;=5,0.3*S943-VLOOKUP(B928,INDIRECT($F$8),6+(O943-1)*3)&lt;=5),MAX(0.4*U943-VLOOKUP(B928,INDIRECT($F$8),8+(O943-1)*3),0.3*S943-VLOOKUP(B928,INDIRECT($F$8),6+(O943-1)*3)),11),IF(0.3*S943-VLOOKUP(B928,INDIRECT($F$8),6+(O943-1)*3)&lt;=5,0.3*S943-VLOOKUP(B928,INDIRECT($F$8),6+(O943-1)*3),11)),IF(VLOOKUP(B928,INDIRECT($F$8),8+(O943-1)*3)&lt;U943*0.4,IF(U943*0.4-VLOOKUP(B928,INDIRECT($F$8),8+(O943-1)*3)&lt;=5,U943*0.4-VLOOKUP(B928,INDIRECT($F$8),8+(O943-1)*3),11),0))))</f>
        <v/>
      </c>
      <c r="X943" s="1" t="str">
        <f ca="1">IF(ISERROR(F928),"",IF(W943=0,"",_xlfn.TEXTJOIN("",FALSE," G+",W943," in ",A943)))</f>
        <v/>
      </c>
    </row>
    <row r="944" spans="1:24" ht="11.25" customHeight="1" x14ac:dyDescent="0.2">
      <c r="A944" s="7" t="str">
        <f ca="1">IF(ISERROR(F928),"",VLOOKUP(C928,INDIRECT($F$8),6+(O944-1)*3,0))</f>
        <v/>
      </c>
      <c r="B944" s="41" t="str">
        <f ca="1">IF(ISERROR(F928),"",VLOOKUP(D928,INDIRECT($F$8),6+(O944-1)*3,0))</f>
        <v/>
      </c>
      <c r="C944" s="41"/>
      <c r="D944" s="41"/>
      <c r="E944" s="41"/>
      <c r="F944" s="7" t="str">
        <f ca="1">IF(ISERROR(F928),"",VLOOKUP(E928,INDIRECT($F$8),6+(O944-1)*3,0))</f>
        <v/>
      </c>
      <c r="G944" s="42" t="str">
        <f ca="1">IF(ISERROR(F928),"",_xlfn.TEXTJOIN("/",FALSE,P944,S944))</f>
        <v/>
      </c>
      <c r="H944" s="42"/>
      <c r="I944" s="42" t="str">
        <f ca="1">IF(ISERROR(F928),"",_xlfn.TEXTJOIN("/",FALSE,Q944,T944))</f>
        <v/>
      </c>
      <c r="J944" s="42"/>
      <c r="K944" s="42" t="str">
        <f ca="1">IF(ISERROR(F928),"",_xlfn.TEXTJOIN("/",FALSE,R944,U944))</f>
        <v/>
      </c>
      <c r="L944" s="42"/>
      <c r="M944" s="7" t="str">
        <f ca="1">IF(ISERROR(F928),"",IF(ISTEXT(P944),IF(P944="A","Ab",IF(P944="D","Dt",IF(P944="UFM","UFM",IF(P944="NA","-")))),IF(AND(ISBLANK(P944),ISBLANK(R944)),"",IF(P944&lt;0.3*S944,"F",IF(ISBLANK(R944),"",IF(ISTEXT(R944),R944,IF(R944&gt;=0.95*U944,"O",IF(R944&gt;=0.9*U944,"A+",IF(R944&gt;=0.85*U944,"A",IF(R944&gt;=0.8*U944,"B+",IF(R944&gt;=0.75*U944,"B",IF(R944&gt;=0.7*U944,"C+",IF(R944&gt;=0.65*U944,"C",IF(R944&gt;=0.6*U944,"D+",IF(R944&gt;=0.55*U944,"D",IF(R944&gt;=0.5*U944,"E+",IF(R944&gt;=0.45*U944,"E",IF(R944&gt;=0.4*U944,"P",IF(R944&lt;0.4*U944,"F",R944)))))))))))))))))))</f>
        <v/>
      </c>
      <c r="N944" s="8" t="e">
        <f t="shared" ca="1" si="100"/>
        <v>#N/A</v>
      </c>
      <c r="O944">
        <f t="shared" si="101"/>
        <v>12</v>
      </c>
      <c r="P944" s="1" t="str">
        <f ca="1">IF(ISERROR(F928),"",IF(ISTEXT(VLOOKUP(B928,INDIRECT($F$8),6+(O944-1)*3)),(VLOOKUP(B928,INDIRECT($F$8),6+(O944-1)*3)),SUM(VLOOKUP(B928,INDIRECT($F$8),6+(O944-1)*3),IF(W947,W944,0))))</f>
        <v/>
      </c>
      <c r="Q944" s="1" t="str">
        <f ca="1">IF(ISERROR(F928),"",VLOOKUP(B928,INDIRECT($F$8),7+(O944-1)*3))</f>
        <v/>
      </c>
      <c r="R944" s="1" t="str">
        <f ca="1">IF(ISERROR(F928),"",SUM(P944:Q944))</f>
        <v/>
      </c>
      <c r="S944" s="1" t="str">
        <f ca="1">IF(ISERROR(F928),"",VLOOKUP(A928,INDIRECT($F$8),6+(O944-1)*3))</f>
        <v/>
      </c>
      <c r="T944" s="1" t="str">
        <f ca="1">IF(ISERROR(F928),"",VLOOKUP(A928,INDIRECT($F$8),7+(O944-1)*3))</f>
        <v/>
      </c>
      <c r="U944" s="1" t="str">
        <f ca="1">IF(ISERROR(F928),"",VLOOKUP(A928,INDIRECT($F$8),8+(O944-1)*3))</f>
        <v/>
      </c>
      <c r="V944" s="1" t="str">
        <f ca="1">IF(ISERROR(F928),"",IF(N944=0,A944,""))</f>
        <v/>
      </c>
      <c r="W944" s="1" t="str">
        <f ca="1">IF(ISERROR(F928),"",IF(ISTEXT(VLOOKUP(B928,INDIRECT($F$8),6+(O944-1)*3)),11,IF(VLOOKUP(B928,INDIRECT($F$8),6+(O944-1)*3)&lt;S944*0.3,IF(VLOOKUP(B928,INDIRECT($F$8),8+(O944-1)*3)&lt;U944*0.4,IF(AND(0.4*U944-VLOOKUP(B928,INDIRECT($F$8),8+(O944-1)*3)&lt;=5,0.3*S944-VLOOKUP(B928,INDIRECT($F$8),6+(O944-1)*3)&lt;=5),MAX(0.4*U944-VLOOKUP(B928,INDIRECT($F$8),8+(O944-1)*3),0.3*S944-VLOOKUP(B928,INDIRECT($F$8),6+(O944-1)*3)),11),IF(0.3*S944-VLOOKUP(B928,INDIRECT($F$8),6+(O944-1)*3)&lt;=5,0.3*S944-VLOOKUP(B928,INDIRECT($F$8),6+(O944-1)*3),11)),IF(VLOOKUP(B928,INDIRECT($F$8),8+(O944-1)*3)&lt;U944*0.4,IF(U944*0.4-VLOOKUP(B928,INDIRECT($F$8),8+(O944-1)*3)&lt;=5,U944*0.4-VLOOKUP(B928,INDIRECT($F$8),8+(O944-1)*3),11),0))))</f>
        <v/>
      </c>
      <c r="X944" s="1" t="str">
        <f ca="1">IF(ISERROR(F928),"",IF(W944=0,"",_xlfn.TEXTJOIN("",FALSE," G+",W944," in ",A944)))</f>
        <v/>
      </c>
    </row>
    <row r="945" spans="1:24" ht="11.25" customHeight="1" x14ac:dyDescent="0.2">
      <c r="A945" s="7" t="str">
        <f ca="1">IF(ISERROR(F928),"",VLOOKUP(C928,INDIRECT($F$8),6+(O945-1)*3,0))</f>
        <v/>
      </c>
      <c r="B945" s="41" t="str">
        <f ca="1">IF(ISERROR(F928),"",VLOOKUP(D928,INDIRECT($F$8),6+(O945-1)*3,0))</f>
        <v/>
      </c>
      <c r="C945" s="41"/>
      <c r="D945" s="41"/>
      <c r="E945" s="41"/>
      <c r="F945" s="7" t="str">
        <f ca="1">IF(ISERROR(F928),"",VLOOKUP(E928,INDIRECT($F$8),6+(O945-1)*3,0))</f>
        <v/>
      </c>
      <c r="G945" s="42" t="str">
        <f ca="1">IF(ISERROR(F928),"",_xlfn.TEXTJOIN("/",FALSE,P945,S945))</f>
        <v/>
      </c>
      <c r="H945" s="42"/>
      <c r="I945" s="42" t="str">
        <f ca="1">IF(ISERROR(F928),"",_xlfn.TEXTJOIN("/",FALSE,Q945,T945))</f>
        <v/>
      </c>
      <c r="J945" s="42"/>
      <c r="K945" s="42" t="str">
        <f ca="1">IF(ISERROR(F928),"",_xlfn.TEXTJOIN("/",FALSE,R945,U945))</f>
        <v/>
      </c>
      <c r="L945" s="42"/>
      <c r="M945" s="7" t="str">
        <f ca="1">IF(ISERROR(F928),"",IF(ISTEXT(P945),IF(P945="A","Ab",IF(P945="D","Dt",IF(P945="UFM","UFM",IF(P945="NA","-")))),IF(AND(ISBLANK(P945),ISBLANK(R945)),"",IF(P945&lt;0.3*S945,"F",IF(ISBLANK(R945),"",IF(ISTEXT(R945),R945,IF(R945&gt;=0.95*U945,"O",IF(R945&gt;=0.9*U945,"A+",IF(R945&gt;=0.85*U945,"A",IF(R945&gt;=0.8*U945,"B+",IF(R945&gt;=0.75*U945,"B",IF(R945&gt;=0.7*U945,"C+",IF(R945&gt;=0.65*U945,"C",IF(R945&gt;=0.6*U945,"D+",IF(R945&gt;=0.55*U945,"D",IF(R945&gt;=0.5*U945,"E+",IF(R945&gt;=0.45*U945,"E",IF(R945&gt;=0.4*U945,"P",IF(R945&lt;0.4*U945,"F",R945)))))))))))))))))))</f>
        <v/>
      </c>
      <c r="N945" s="8" t="e">
        <f t="shared" ca="1" si="100"/>
        <v>#N/A</v>
      </c>
      <c r="O945">
        <f t="shared" si="101"/>
        <v>13</v>
      </c>
      <c r="P945" s="1" t="str">
        <f ca="1">IF(ISERROR(F928),"",IF(ISTEXT(VLOOKUP(B928,INDIRECT($F$8),6+(O945-1)*3)),(VLOOKUP(B928,INDIRECT($F$8),6+(O945-1)*3)),SUM(VLOOKUP(B928,INDIRECT($F$8),6+(O945-1)*3),IF(W947,W945,0))))</f>
        <v/>
      </c>
      <c r="Q945" s="1" t="str">
        <f ca="1">IF(ISERROR(F928),"",VLOOKUP(B928,INDIRECT($F$8),7+(O945-1)*3))</f>
        <v/>
      </c>
      <c r="R945" s="1" t="str">
        <f ca="1">IF(ISERROR(F928),"",SUM(P945:Q945))</f>
        <v/>
      </c>
      <c r="S945" s="1" t="str">
        <f ca="1">IF(ISERROR(F928),"",VLOOKUP(A928,INDIRECT($F$8),6+(O945-1)*3))</f>
        <v/>
      </c>
      <c r="T945" s="1" t="str">
        <f ca="1">IF(ISERROR(F928),"",VLOOKUP(A928,INDIRECT($F$8),7+(O945-1)*3))</f>
        <v/>
      </c>
      <c r="U945" s="1" t="str">
        <f ca="1">IF(ISERROR(F928),"",VLOOKUP(A928,INDIRECT($F$8),8+(O945-1)*3))</f>
        <v/>
      </c>
      <c r="V945" s="1"/>
      <c r="W945" s="1" t="str">
        <f ca="1">IF(ISERROR(F928),"",IF(ISTEXT(VLOOKUP(B928,INDIRECT($F$8),6+(O945-1)*3)),11,IF(VLOOKUP(B928,INDIRECT($F$8),6+(O945-1)*3)&lt;S945*0.3,IF(VLOOKUP(B928,INDIRECT($F$8),8+(O945-1)*3)&lt;U945*0.4,IF(AND(0.4*U945-VLOOKUP(B928,INDIRECT($F$8),8+(O945-1)*3)&lt;=5,0.3*S945-VLOOKUP(B928,INDIRECT($F$8),6+(O945-1)*3)&lt;=5),MAX(0.4*U945-VLOOKUP(B928,INDIRECT($F$8),8+(O945-1)*3),0.3*S945-VLOOKUP(B928,INDIRECT($F$8),6+(O945-1)*3)),11),IF(0.3*S945-VLOOKUP(B928,INDIRECT($F$8),6+(O945-1)*3)&lt;=5,0.3*S945-VLOOKUP(B928,INDIRECT($F$8),6+(O945-1)*3),11)),IF(VLOOKUP(B928,INDIRECT($F$8),8+(O945-1)*3)&lt;U945*0.4,IF(U945*0.4-VLOOKUP(B928,INDIRECT($F$8),8+(O945-1)*3)&lt;=5,U945*0.4-VLOOKUP(B928,INDIRECT($F$8),8+(O945-1)*3),11),0))))</f>
        <v/>
      </c>
      <c r="X945" s="1" t="str">
        <f ca="1">IF(ISERROR(F928),"",IF(W945=0,"",_xlfn.TEXTJOIN("",FALSE," G+",W945," in ",A945)))</f>
        <v/>
      </c>
    </row>
    <row r="946" spans="1:24" ht="11.25" customHeight="1" x14ac:dyDescent="0.2">
      <c r="A946" s="7" t="str">
        <f ca="1">IF(ISERROR(F928),"",VLOOKUP(C928,INDIRECT($F$8),6+(O946-1)*3-Y946,0))</f>
        <v/>
      </c>
      <c r="B946" s="41" t="str">
        <f ca="1">IF(ISERROR(F928),"",VLOOKUP(D928,INDIRECT($F$8),6+(O946-1)*3-Z946,0))</f>
        <v/>
      </c>
      <c r="C946" s="41"/>
      <c r="D946" s="41"/>
      <c r="E946" s="41"/>
      <c r="F946" s="7" t="str">
        <f ca="1">IF(ISERROR(F928),"",VLOOKUP(E928,INDIRECT($F$8),6+(O946-1)*3-AA946,0))</f>
        <v/>
      </c>
      <c r="G946" s="42" t="str">
        <f ca="1">IF(ISERROR(F928),"","-")</f>
        <v/>
      </c>
      <c r="H946" s="42"/>
      <c r="I946" s="42" t="str">
        <f ca="1">IF(ISERROR(F928),"",_xlfn.TEXTJOIN("/",FALSE,Q946,T946))</f>
        <v/>
      </c>
      <c r="J946" s="42"/>
      <c r="K946" s="42" t="str">
        <f ca="1">IF(ISERROR(F928),"",_xlfn.TEXTJOIN("/",FALSE,R946,U946))</f>
        <v/>
      </c>
      <c r="L946" s="42"/>
      <c r="M946" s="7" t="b">
        <f ca="1">IF(ISERROR(F929),"",IF(ISTEXT(P946),IF(P946="A","Ab",IF(P946="D","Dt",IF(P946="UFM","UFM",IF(P946="NA","")))),IF(AND(ISBLANK(P946),ISBLANK(R946)),"",IF(P946&lt;0.3*S946,"F",IF(ISBLANK(R946),"",IF(ISTEXT(R946),R946,IF(R946&gt;=0.95*U946,"O",IF(R946&gt;=0.9*U946,"A+",IF(R946&gt;=0.85*U946,"A",IF(R946&gt;=0.8*U946,"B+",IF(R946&gt;=0.75*U946,"B",IF(R946&gt;=0.7*U946,"C+",IF(R946&gt;=0.65*U946,"C",IF(R946&gt;=0.6*U946,"D+",IF(R946&gt;=0.55*U946,"D",IF(R946&gt;=0.5*U946,"E+",IF(R946&gt;=0.45*U946,"E",IF(R946&gt;=0.4*U946,"P",IF(R946&lt;0.4*U946,"F",R946)))))))))))))))))))</f>
        <v>0</v>
      </c>
      <c r="N946" s="8" t="e">
        <f t="shared" ref="N935:N946" ca="1" si="102">INDEX($Z$2:$Z$18,MATCH(M946,$Y$2:$Y$18,0))</f>
        <v>#N/A</v>
      </c>
      <c r="O946">
        <f t="shared" si="101"/>
        <v>14</v>
      </c>
      <c r="P946" s="1" t="str">
        <f ca="1">IF(ISERROR(F928),"",IF(ISTEXT(VLOOKUP(B\28,INDIRECT($F$8),6+(O946-1)*3)),(VLOOKUP(B928,INDIRECT($F$8),6+(O946-1)*3)),SUM(VLOOKUP(B928,INDIRECT($F$8),6+(O946-1)*3),IF(W947,W946,0))))</f>
        <v/>
      </c>
      <c r="Q946" s="1" t="str">
        <f ca="1">IF(ISERROR(F928),"",VLOOKUP(B928,INDIRECT($F$8),7+(O946-1)*3))</f>
        <v/>
      </c>
      <c r="R946" s="1" t="str">
        <f ca="1">IF(ISERROR(F928),"",SUM(P946:Q946))</f>
        <v/>
      </c>
      <c r="S946" s="1" t="str">
        <f ca="1">IF(ISERROR(F928),"",VLOOKUP(A928,INDIRECT($F$8),6+(O946-1)*3))</f>
        <v/>
      </c>
      <c r="T946" s="1" t="str">
        <f ca="1">IF(ISERROR(F928),"",VLOOKUP(A928,INDIRECT($F$8),7+(O946-1)*3))</f>
        <v/>
      </c>
      <c r="U946" s="1" t="str">
        <f ca="1">IF(ISERROR(F928),"",VLOOKUP(A928,INDIRECT($F$8),8+(O946-1)*3))</f>
        <v/>
      </c>
      <c r="V946" s="1"/>
      <c r="W946" s="1"/>
      <c r="X946" s="1" t="str">
        <f ca="1">IF(ISERROR(F928),"",IF(W946=0,"",_xlfn.TEXTJOIN("",FALSE," G+",W946," in ",A946)))</f>
        <v/>
      </c>
    </row>
    <row r="947" spans="1:24" ht="11.25" customHeight="1" x14ac:dyDescent="0.2">
      <c r="A947" s="43" t="str">
        <f ca="1">IF(ISERROR(F928),"",A924)</f>
        <v/>
      </c>
      <c r="B947" s="43"/>
      <c r="C947" s="43"/>
      <c r="D947" s="43"/>
      <c r="E947" s="43"/>
      <c r="F947" s="10" t="str">
        <f ca="1">IF(ISERROR(F928),"",SUM(F933:F946))</f>
        <v/>
      </c>
      <c r="G947" s="44" t="str">
        <f ca="1">IF(ISERROR(F928),"",_xlfn.TEXTJOIN("/",TRUE,SUMIF(F933:F946,"&gt;0",P933:P946),SUMIF(F933:F946,"&gt;0",S933:S946)))</f>
        <v/>
      </c>
      <c r="H947" s="44"/>
      <c r="I947" s="44" t="str">
        <f ca="1">IF(ISERROR(F928),"",_xlfn.TEXTJOIN("/",TRUE,SUMIF(F933:F946,"&gt;0",Q933:Q946),SUMIF(F933:F946,"&gt;0",T933:T946)))</f>
        <v/>
      </c>
      <c r="J947" s="44"/>
      <c r="K947" s="44" t="str">
        <f ca="1">IF(ISERROR(F928),"",_xlfn.TEXTJOIN("/",TRUE,SUMIF(F933:F946,"&gt;0",R933:R946),SUMIF(F933:F946,"&gt;0",U933:U946)))</f>
        <v/>
      </c>
      <c r="L947" s="44"/>
      <c r="M947" s="43" t="str">
        <f ca="1">IF(ISERROR(F928),"",SUMPRODUCT(N933:N945,F933:F945))</f>
        <v/>
      </c>
      <c r="N947" s="43"/>
      <c r="V947" s="1" t="str">
        <f ca="1">IF(ISERROR(F928),"",_xlfn.TEXTJOIN(", ",TRUE,V933:V946))</f>
        <v/>
      </c>
      <c r="W947" t="str">
        <f ca="1">IF(ISERROR(F928),"",IF(SUM(W933:W946)&lt;=W932,TRUE,FALSE))</f>
        <v/>
      </c>
      <c r="X947" s="1" t="str">
        <f ca="1">_xlfn.TEXTJOIN(",",TRUE,X933:X946)</f>
        <v/>
      </c>
    </row>
    <row r="948" spans="1:24" ht="11.25" customHeight="1" x14ac:dyDescent="0.2">
      <c r="A948" s="43" t="str">
        <f ca="1">IF(ISERROR(F928),"",A925)</f>
        <v/>
      </c>
      <c r="B948" s="45" t="str">
        <f ca="1">IF(ISERROR(F928),"",IF(V947="","PASS","CARRY OVER"))</f>
        <v/>
      </c>
      <c r="C948" s="45"/>
      <c r="D948" s="43" t="str">
        <f ca="1">IF(ISERROR(F928),"",D925)</f>
        <v/>
      </c>
      <c r="E948" s="45" t="str">
        <f ca="1">IF(ISERROR(F928),"",IF(W947,X947,IF(V947="","",_xlfn.TEXTJOIN("",TRUE,"BACK IN ",V947))))</f>
        <v/>
      </c>
      <c r="F948" s="45"/>
      <c r="G948" s="43" t="str">
        <f ca="1">IF(ISERROR(F928),"",G925)</f>
        <v/>
      </c>
      <c r="H948" s="46" t="str">
        <f ca="1">IF(ISERROR(F928),"",M947/F947)</f>
        <v/>
      </c>
      <c r="I948" s="43" t="str">
        <f ca="1">IF(ISERROR(F928),"",I925)</f>
        <v/>
      </c>
      <c r="J948" s="46" t="str">
        <f ca="1">IF(ISERROR(F928),"",VLOOKUP(B928,INDIRECT($F$8),12+(O946-1)*3,0))</f>
        <v/>
      </c>
      <c r="K948" s="45" t="str">
        <f ca="1">IF(ISERROR(F928),"",K925)</f>
        <v/>
      </c>
      <c r="L948" s="43" t="str">
        <f ca="1">IF(ISERROR(F928),"",SUMIF(N933:N945,"&gt;0",F933:F945))</f>
        <v/>
      </c>
      <c r="M948" s="45" t="str">
        <f ca="1">IF(ISERROR(F928),"",M925)</f>
        <v/>
      </c>
      <c r="N948" s="43" t="str">
        <f ca="1">IF(ISERROR(F928),"",VLOOKUP(B928,INDIRECT($F$8),10+(O946-1)*3,0))</f>
        <v/>
      </c>
    </row>
    <row r="949" spans="1:24" ht="11.25" customHeight="1" x14ac:dyDescent="0.2">
      <c r="A949" s="43"/>
      <c r="B949" s="45"/>
      <c r="C949" s="45"/>
      <c r="D949" s="43"/>
      <c r="E949" s="45"/>
      <c r="F949" s="45"/>
      <c r="G949" s="43"/>
      <c r="H949" s="46"/>
      <c r="I949" s="43"/>
      <c r="J949" s="46"/>
      <c r="K949" s="45"/>
      <c r="L949" s="43"/>
      <c r="M949" s="45"/>
      <c r="N949" s="43"/>
    </row>
    <row r="950" spans="1:24" ht="11.25" customHeight="1" x14ac:dyDescent="0.2">
      <c r="A950" s="43"/>
      <c r="B950" s="45"/>
      <c r="C950" s="45"/>
      <c r="D950" s="43"/>
      <c r="E950" s="45"/>
      <c r="F950" s="45"/>
      <c r="G950" s="43"/>
      <c r="H950" s="46"/>
      <c r="I950" s="43"/>
      <c r="J950" s="46"/>
      <c r="K950" s="45"/>
      <c r="L950" s="43"/>
      <c r="M950" s="45"/>
      <c r="N950" s="43"/>
    </row>
  </sheetData>
  <mergeCells count="3673"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B20:E20"/>
    <mergeCell ref="G20:H20"/>
    <mergeCell ref="I20:J20"/>
    <mergeCell ref="K20:L20"/>
    <mergeCell ref="B21:E21"/>
    <mergeCell ref="G21:H21"/>
    <mergeCell ref="I21:J21"/>
    <mergeCell ref="K21:L21"/>
    <mergeCell ref="B17:E17"/>
    <mergeCell ref="G17:H17"/>
    <mergeCell ref="I17:J17"/>
    <mergeCell ref="K17:L17"/>
    <mergeCell ref="B19:E19"/>
    <mergeCell ref="G19:H19"/>
    <mergeCell ref="I19:J19"/>
    <mergeCell ref="K19:L19"/>
    <mergeCell ref="B15:E15"/>
    <mergeCell ref="G15:H15"/>
    <mergeCell ref="I15:J15"/>
    <mergeCell ref="K15:L15"/>
    <mergeCell ref="B16:E16"/>
    <mergeCell ref="G16:H16"/>
    <mergeCell ref="I16:J16"/>
    <mergeCell ref="K16:L16"/>
    <mergeCell ref="B18:E18"/>
    <mergeCell ref="G18:H18"/>
    <mergeCell ref="I18:J18"/>
    <mergeCell ref="K18:L18"/>
    <mergeCell ref="M26:N26"/>
    <mergeCell ref="A27:E27"/>
    <mergeCell ref="G27:H27"/>
    <mergeCell ref="I27:J27"/>
    <mergeCell ref="K27:L27"/>
    <mergeCell ref="M27:N27"/>
    <mergeCell ref="B24:E24"/>
    <mergeCell ref="G24:H24"/>
    <mergeCell ref="I24:J24"/>
    <mergeCell ref="K24:L24"/>
    <mergeCell ref="B26:E26"/>
    <mergeCell ref="G26:H26"/>
    <mergeCell ref="I26:J26"/>
    <mergeCell ref="K26:L26"/>
    <mergeCell ref="B22:E22"/>
    <mergeCell ref="G22:H22"/>
    <mergeCell ref="I22:J22"/>
    <mergeCell ref="K22:L22"/>
    <mergeCell ref="B23:E23"/>
    <mergeCell ref="G23:H23"/>
    <mergeCell ref="I23:J23"/>
    <mergeCell ref="K23:L23"/>
    <mergeCell ref="B25:E25"/>
    <mergeCell ref="G25:H25"/>
    <mergeCell ref="I25:J25"/>
    <mergeCell ref="K25:L25"/>
    <mergeCell ref="M32:N33"/>
    <mergeCell ref="A34:A35"/>
    <mergeCell ref="B34:E35"/>
    <mergeCell ref="F34:F35"/>
    <mergeCell ref="G34:H35"/>
    <mergeCell ref="I34:J35"/>
    <mergeCell ref="K34:L35"/>
    <mergeCell ref="M34:M35"/>
    <mergeCell ref="N34:N35"/>
    <mergeCell ref="A32:A33"/>
    <mergeCell ref="B32:C33"/>
    <mergeCell ref="D32:D33"/>
    <mergeCell ref="E32:F33"/>
    <mergeCell ref="G32:H33"/>
    <mergeCell ref="I32:J33"/>
    <mergeCell ref="I28:I30"/>
    <mergeCell ref="J28:J30"/>
    <mergeCell ref="K28:K30"/>
    <mergeCell ref="L28:L30"/>
    <mergeCell ref="M28:M30"/>
    <mergeCell ref="N28:N30"/>
    <mergeCell ref="A28:A30"/>
    <mergeCell ref="B28:C30"/>
    <mergeCell ref="D28:D30"/>
    <mergeCell ref="E28:F30"/>
    <mergeCell ref="G28:G30"/>
    <mergeCell ref="H28:H30"/>
    <mergeCell ref="B38:E38"/>
    <mergeCell ref="G38:H38"/>
    <mergeCell ref="I38:J38"/>
    <mergeCell ref="K38:L38"/>
    <mergeCell ref="B39:E39"/>
    <mergeCell ref="G39:H39"/>
    <mergeCell ref="I39:J39"/>
    <mergeCell ref="K39:L39"/>
    <mergeCell ref="B36:E36"/>
    <mergeCell ref="G36:H36"/>
    <mergeCell ref="I36:J36"/>
    <mergeCell ref="K36:L36"/>
    <mergeCell ref="B37:E37"/>
    <mergeCell ref="G37:H37"/>
    <mergeCell ref="I37:J37"/>
    <mergeCell ref="K37:L37"/>
    <mergeCell ref="K32:L33"/>
    <mergeCell ref="B43:E43"/>
    <mergeCell ref="G43:H43"/>
    <mergeCell ref="I43:J43"/>
    <mergeCell ref="K43:L43"/>
    <mergeCell ref="B44:E44"/>
    <mergeCell ref="G44:H44"/>
    <mergeCell ref="I44:J44"/>
    <mergeCell ref="K44:L44"/>
    <mergeCell ref="B48:E48"/>
    <mergeCell ref="G48:H48"/>
    <mergeCell ref="I48:J48"/>
    <mergeCell ref="K48:L48"/>
    <mergeCell ref="B41:E41"/>
    <mergeCell ref="G41:H41"/>
    <mergeCell ref="I41:J41"/>
    <mergeCell ref="K41:L41"/>
    <mergeCell ref="B42:E42"/>
    <mergeCell ref="G42:H42"/>
    <mergeCell ref="I42:J42"/>
    <mergeCell ref="K42:L42"/>
    <mergeCell ref="M49:N49"/>
    <mergeCell ref="A50:E50"/>
    <mergeCell ref="G50:H50"/>
    <mergeCell ref="I50:J50"/>
    <mergeCell ref="K50:L50"/>
    <mergeCell ref="M50:N50"/>
    <mergeCell ref="B47:E47"/>
    <mergeCell ref="G47:H47"/>
    <mergeCell ref="I47:J47"/>
    <mergeCell ref="K47:L47"/>
    <mergeCell ref="B49:E49"/>
    <mergeCell ref="G49:H49"/>
    <mergeCell ref="I49:J49"/>
    <mergeCell ref="K49:L49"/>
    <mergeCell ref="B45:E45"/>
    <mergeCell ref="G45:H45"/>
    <mergeCell ref="I45:J45"/>
    <mergeCell ref="K45:L45"/>
    <mergeCell ref="B46:E46"/>
    <mergeCell ref="G46:H46"/>
    <mergeCell ref="I46:J46"/>
    <mergeCell ref="K46:L46"/>
    <mergeCell ref="A55:A56"/>
    <mergeCell ref="G55:H56"/>
    <mergeCell ref="I55:J56"/>
    <mergeCell ref="K55:L56"/>
    <mergeCell ref="B55:C56"/>
    <mergeCell ref="D55:D56"/>
    <mergeCell ref="E55:F56"/>
    <mergeCell ref="M55:N56"/>
    <mergeCell ref="A57:A58"/>
    <mergeCell ref="B57:E58"/>
    <mergeCell ref="F57:F58"/>
    <mergeCell ref="G57:H58"/>
    <mergeCell ref="I57:J58"/>
    <mergeCell ref="K57:L58"/>
    <mergeCell ref="M57:M58"/>
    <mergeCell ref="N57:N58"/>
    <mergeCell ref="I51:I53"/>
    <mergeCell ref="J51:J53"/>
    <mergeCell ref="K51:K53"/>
    <mergeCell ref="L51:L53"/>
    <mergeCell ref="M51:M53"/>
    <mergeCell ref="N51:N53"/>
    <mergeCell ref="A51:A53"/>
    <mergeCell ref="B51:C53"/>
    <mergeCell ref="D51:D53"/>
    <mergeCell ref="E51:F53"/>
    <mergeCell ref="G51:G53"/>
    <mergeCell ref="H51:H53"/>
    <mergeCell ref="B63:E63"/>
    <mergeCell ref="G63:H63"/>
    <mergeCell ref="I63:J63"/>
    <mergeCell ref="K63:L63"/>
    <mergeCell ref="B64:E64"/>
    <mergeCell ref="G64:H64"/>
    <mergeCell ref="I64:J64"/>
    <mergeCell ref="K64:L64"/>
    <mergeCell ref="B61:E61"/>
    <mergeCell ref="G61:H61"/>
    <mergeCell ref="I61:J61"/>
    <mergeCell ref="K61:L61"/>
    <mergeCell ref="B62:E62"/>
    <mergeCell ref="G62:H62"/>
    <mergeCell ref="I62:J62"/>
    <mergeCell ref="K62:L62"/>
    <mergeCell ref="B59:E59"/>
    <mergeCell ref="G59:H59"/>
    <mergeCell ref="I59:J59"/>
    <mergeCell ref="K59:L59"/>
    <mergeCell ref="B60:E60"/>
    <mergeCell ref="G60:H60"/>
    <mergeCell ref="I60:J60"/>
    <mergeCell ref="K60:L60"/>
    <mergeCell ref="G69:H69"/>
    <mergeCell ref="I69:J69"/>
    <mergeCell ref="K69:L69"/>
    <mergeCell ref="B69:E69"/>
    <mergeCell ref="B70:E70"/>
    <mergeCell ref="G70:H70"/>
    <mergeCell ref="I70:J70"/>
    <mergeCell ref="K70:L70"/>
    <mergeCell ref="B71:E71"/>
    <mergeCell ref="G71:H71"/>
    <mergeCell ref="I71:J71"/>
    <mergeCell ref="K71:L71"/>
    <mergeCell ref="A73:E73"/>
    <mergeCell ref="G73:H73"/>
    <mergeCell ref="I73:J73"/>
    <mergeCell ref="K73:L73"/>
    <mergeCell ref="A78:A79"/>
    <mergeCell ref="B78:C79"/>
    <mergeCell ref="D78:D79"/>
    <mergeCell ref="E78:F79"/>
    <mergeCell ref="G78:H79"/>
    <mergeCell ref="I78:J79"/>
    <mergeCell ref="K78:L79"/>
    <mergeCell ref="G72:H72"/>
    <mergeCell ref="I72:J72"/>
    <mergeCell ref="K72:L72"/>
    <mergeCell ref="A74:A76"/>
    <mergeCell ref="D74:D76"/>
    <mergeCell ref="E74:F76"/>
    <mergeCell ref="G74:G76"/>
    <mergeCell ref="H74:H76"/>
    <mergeCell ref="I74:I76"/>
    <mergeCell ref="G87:H87"/>
    <mergeCell ref="I87:J87"/>
    <mergeCell ref="K87:L87"/>
    <mergeCell ref="B84:E84"/>
    <mergeCell ref="G84:H84"/>
    <mergeCell ref="I84:J84"/>
    <mergeCell ref="K84:L84"/>
    <mergeCell ref="B85:E85"/>
    <mergeCell ref="G85:H85"/>
    <mergeCell ref="I85:J85"/>
    <mergeCell ref="K85:L85"/>
    <mergeCell ref="B82:E82"/>
    <mergeCell ref="G82:H82"/>
    <mergeCell ref="I82:J82"/>
    <mergeCell ref="K82:L82"/>
    <mergeCell ref="B83:E83"/>
    <mergeCell ref="G83:H83"/>
    <mergeCell ref="I83:J83"/>
    <mergeCell ref="K83:L83"/>
    <mergeCell ref="H97:H99"/>
    <mergeCell ref="I97:I99"/>
    <mergeCell ref="J97:J99"/>
    <mergeCell ref="K97:K99"/>
    <mergeCell ref="L97:L99"/>
    <mergeCell ref="A97:A99"/>
    <mergeCell ref="B116:E116"/>
    <mergeCell ref="B117:E117"/>
    <mergeCell ref="G117:H117"/>
    <mergeCell ref="I117:J117"/>
    <mergeCell ref="K117:L117"/>
    <mergeCell ref="B107:E107"/>
    <mergeCell ref="G107:H107"/>
    <mergeCell ref="I107:J107"/>
    <mergeCell ref="K107:L107"/>
    <mergeCell ref="I88:J88"/>
    <mergeCell ref="K88:L88"/>
    <mergeCell ref="B89:E89"/>
    <mergeCell ref="G89:H89"/>
    <mergeCell ref="I89:J89"/>
    <mergeCell ref="K89:L89"/>
    <mergeCell ref="G90:H90"/>
    <mergeCell ref="I90:J90"/>
    <mergeCell ref="K90:L90"/>
    <mergeCell ref="B90:E90"/>
    <mergeCell ref="B91:E91"/>
    <mergeCell ref="B111:E111"/>
    <mergeCell ref="B112:E112"/>
    <mergeCell ref="I115:J115"/>
    <mergeCell ref="K115:L115"/>
    <mergeCell ref="K106:L106"/>
    <mergeCell ref="G112:H112"/>
    <mergeCell ref="K181:L181"/>
    <mergeCell ref="I182:J182"/>
    <mergeCell ref="K182:L182"/>
    <mergeCell ref="B178:E178"/>
    <mergeCell ref="I137:J137"/>
    <mergeCell ref="K137:L137"/>
    <mergeCell ref="I151:J151"/>
    <mergeCell ref="K151:L151"/>
    <mergeCell ref="B152:E152"/>
    <mergeCell ref="G152:H152"/>
    <mergeCell ref="I152:J152"/>
    <mergeCell ref="K152:L152"/>
    <mergeCell ref="B140:E140"/>
    <mergeCell ref="G140:H140"/>
    <mergeCell ref="I140:J140"/>
    <mergeCell ref="K140:L140"/>
    <mergeCell ref="A101:A102"/>
    <mergeCell ref="G101:H102"/>
    <mergeCell ref="I101:J102"/>
    <mergeCell ref="K101:L102"/>
    <mergeCell ref="G118:H118"/>
    <mergeCell ref="I118:J118"/>
    <mergeCell ref="K118:L118"/>
    <mergeCell ref="G116:H116"/>
    <mergeCell ref="I116:J116"/>
    <mergeCell ref="A124:A125"/>
    <mergeCell ref="I109:J109"/>
    <mergeCell ref="K109:L109"/>
    <mergeCell ref="B110:E110"/>
    <mergeCell ref="G110:H110"/>
    <mergeCell ref="I110:J110"/>
    <mergeCell ref="K110:L110"/>
    <mergeCell ref="B252:E252"/>
    <mergeCell ref="G252:H252"/>
    <mergeCell ref="I252:J252"/>
    <mergeCell ref="K252:L252"/>
    <mergeCell ref="B176:E176"/>
    <mergeCell ref="G176:H176"/>
    <mergeCell ref="I176:J176"/>
    <mergeCell ref="K176:L176"/>
    <mergeCell ref="B177:E177"/>
    <mergeCell ref="G204:H204"/>
    <mergeCell ref="I204:J204"/>
    <mergeCell ref="K204:L204"/>
    <mergeCell ref="B205:E205"/>
    <mergeCell ref="G205:H205"/>
    <mergeCell ref="I205:J205"/>
    <mergeCell ref="K205:L205"/>
    <mergeCell ref="B154:E154"/>
    <mergeCell ref="G154:H154"/>
    <mergeCell ref="I154:J154"/>
    <mergeCell ref="K154:L154"/>
    <mergeCell ref="K200:L200"/>
    <mergeCell ref="B201:E201"/>
    <mergeCell ref="G201:H201"/>
    <mergeCell ref="I201:J201"/>
    <mergeCell ref="K201:L201"/>
    <mergeCell ref="B174:E174"/>
    <mergeCell ref="G160:H160"/>
    <mergeCell ref="I160:J160"/>
    <mergeCell ref="K160:L160"/>
    <mergeCell ref="B161:E161"/>
    <mergeCell ref="G161:H161"/>
    <mergeCell ref="I161:J161"/>
    <mergeCell ref="B229:E229"/>
    <mergeCell ref="G229:H229"/>
    <mergeCell ref="I229:J229"/>
    <mergeCell ref="K229:L229"/>
    <mergeCell ref="G178:H178"/>
    <mergeCell ref="K180:L180"/>
    <mergeCell ref="B183:E183"/>
    <mergeCell ref="G183:H183"/>
    <mergeCell ref="I183:J183"/>
    <mergeCell ref="K183:L183"/>
    <mergeCell ref="B184:E184"/>
    <mergeCell ref="G184:H184"/>
    <mergeCell ref="B155:E155"/>
    <mergeCell ref="G155:H155"/>
    <mergeCell ref="I155:J155"/>
    <mergeCell ref="K155:L155"/>
    <mergeCell ref="B156:E156"/>
    <mergeCell ref="G156:H156"/>
    <mergeCell ref="I156:J156"/>
    <mergeCell ref="K156:L156"/>
    <mergeCell ref="K161:L161"/>
    <mergeCell ref="B162:E162"/>
    <mergeCell ref="G162:H162"/>
    <mergeCell ref="I162:J162"/>
    <mergeCell ref="K162:L162"/>
    <mergeCell ref="B163:E163"/>
    <mergeCell ref="G163:H163"/>
    <mergeCell ref="I163:J163"/>
    <mergeCell ref="B157:E157"/>
    <mergeCell ref="G157:H157"/>
    <mergeCell ref="I157:J157"/>
    <mergeCell ref="I181:J181"/>
    <mergeCell ref="I276:J276"/>
    <mergeCell ref="K276:L276"/>
    <mergeCell ref="B277:E277"/>
    <mergeCell ref="I292:J292"/>
    <mergeCell ref="G277:H277"/>
    <mergeCell ref="I277:J277"/>
    <mergeCell ref="K277:L277"/>
    <mergeCell ref="B278:E278"/>
    <mergeCell ref="G278:H278"/>
    <mergeCell ref="I278:J278"/>
    <mergeCell ref="K278:L278"/>
    <mergeCell ref="B275:E275"/>
    <mergeCell ref="G275:H275"/>
    <mergeCell ref="I275:J275"/>
    <mergeCell ref="K225:L225"/>
    <mergeCell ref="G226:H226"/>
    <mergeCell ref="I226:J226"/>
    <mergeCell ref="K226:L226"/>
    <mergeCell ref="B230:E230"/>
    <mergeCell ref="G230:H230"/>
    <mergeCell ref="I230:J230"/>
    <mergeCell ref="K230:L230"/>
    <mergeCell ref="B231:E231"/>
    <mergeCell ref="G231:H231"/>
    <mergeCell ref="I231:J231"/>
    <mergeCell ref="K231:L231"/>
    <mergeCell ref="B232:E232"/>
    <mergeCell ref="G232:H232"/>
    <mergeCell ref="I232:J232"/>
    <mergeCell ref="K232:L232"/>
    <mergeCell ref="B233:E233"/>
    <mergeCell ref="G233:H233"/>
    <mergeCell ref="A333:A334"/>
    <mergeCell ref="M333:M334"/>
    <mergeCell ref="N333:N334"/>
    <mergeCell ref="I338:J338"/>
    <mergeCell ref="K338:L338"/>
    <mergeCell ref="B339:E339"/>
    <mergeCell ref="B323:E323"/>
    <mergeCell ref="G323:H323"/>
    <mergeCell ref="I323:J323"/>
    <mergeCell ref="K323:L323"/>
    <mergeCell ref="B324:E324"/>
    <mergeCell ref="G324:H324"/>
    <mergeCell ref="I324:J324"/>
    <mergeCell ref="I293:J293"/>
    <mergeCell ref="K293:L293"/>
    <mergeCell ref="B294:E294"/>
    <mergeCell ref="G294:H294"/>
    <mergeCell ref="I294:J294"/>
    <mergeCell ref="K294:L294"/>
    <mergeCell ref="B295:E295"/>
    <mergeCell ref="B312:E312"/>
    <mergeCell ref="G312:H312"/>
    <mergeCell ref="I312:J312"/>
    <mergeCell ref="K324:L324"/>
    <mergeCell ref="B325:E325"/>
    <mergeCell ref="G325:H325"/>
    <mergeCell ref="I325:J325"/>
    <mergeCell ref="K325:L325"/>
    <mergeCell ref="M325:N325"/>
    <mergeCell ref="B333:E334"/>
    <mergeCell ref="F333:F334"/>
    <mergeCell ref="G333:H334"/>
    <mergeCell ref="I370:J370"/>
    <mergeCell ref="K370:L370"/>
    <mergeCell ref="B361:E361"/>
    <mergeCell ref="G361:H361"/>
    <mergeCell ref="I361:J361"/>
    <mergeCell ref="K361:L361"/>
    <mergeCell ref="B362:E362"/>
    <mergeCell ref="G362:H362"/>
    <mergeCell ref="B348:E348"/>
    <mergeCell ref="G348:H348"/>
    <mergeCell ref="I348:J348"/>
    <mergeCell ref="K348:L348"/>
    <mergeCell ref="B344:E344"/>
    <mergeCell ref="G344:H344"/>
    <mergeCell ref="I344:J344"/>
    <mergeCell ref="K344:L344"/>
    <mergeCell ref="I350:I352"/>
    <mergeCell ref="J350:J352"/>
    <mergeCell ref="B345:E345"/>
    <mergeCell ref="G345:H345"/>
    <mergeCell ref="I345:J345"/>
    <mergeCell ref="K345:L345"/>
    <mergeCell ref="B346:E346"/>
    <mergeCell ref="G346:H346"/>
    <mergeCell ref="I346:J346"/>
    <mergeCell ref="K346:L346"/>
    <mergeCell ref="B347:E347"/>
    <mergeCell ref="G347:H347"/>
    <mergeCell ref="I347:J347"/>
    <mergeCell ref="K347:L347"/>
    <mergeCell ref="B363:E363"/>
    <mergeCell ref="G363:H363"/>
    <mergeCell ref="B387:E387"/>
    <mergeCell ref="G387:H387"/>
    <mergeCell ref="I387:J387"/>
    <mergeCell ref="K387:L387"/>
    <mergeCell ref="B390:E390"/>
    <mergeCell ref="G390:H390"/>
    <mergeCell ref="I390:J390"/>
    <mergeCell ref="K390:L390"/>
    <mergeCell ref="B384:E384"/>
    <mergeCell ref="G384:H384"/>
    <mergeCell ref="I384:J384"/>
    <mergeCell ref="K384:L384"/>
    <mergeCell ref="B388:E388"/>
    <mergeCell ref="G388:H388"/>
    <mergeCell ref="I388:J388"/>
    <mergeCell ref="K388:L388"/>
    <mergeCell ref="B385:E385"/>
    <mergeCell ref="G385:H385"/>
    <mergeCell ref="I385:J385"/>
    <mergeCell ref="K385:L385"/>
    <mergeCell ref="G395:H395"/>
    <mergeCell ref="I395:J395"/>
    <mergeCell ref="K395:L395"/>
    <mergeCell ref="B393:E393"/>
    <mergeCell ref="G393:H393"/>
    <mergeCell ref="I393:J393"/>
    <mergeCell ref="K393:L393"/>
    <mergeCell ref="B394:E394"/>
    <mergeCell ref="G394:H394"/>
    <mergeCell ref="I394:J394"/>
    <mergeCell ref="K394:L394"/>
    <mergeCell ref="M394:N394"/>
    <mergeCell ref="A395:E395"/>
    <mergeCell ref="M395:N395"/>
    <mergeCell ref="A396:A398"/>
    <mergeCell ref="B396:C398"/>
    <mergeCell ref="D396:D398"/>
    <mergeCell ref="E396:F398"/>
    <mergeCell ref="G396:G398"/>
    <mergeCell ref="H396:H398"/>
    <mergeCell ref="I396:I398"/>
    <mergeCell ref="J396:J398"/>
    <mergeCell ref="K396:K398"/>
    <mergeCell ref="L396:L398"/>
    <mergeCell ref="M396:M398"/>
    <mergeCell ref="N396:N398"/>
    <mergeCell ref="K431:L431"/>
    <mergeCell ref="B432:E432"/>
    <mergeCell ref="G432:H432"/>
    <mergeCell ref="I432:J432"/>
    <mergeCell ref="K432:L432"/>
    <mergeCell ref="B433:E433"/>
    <mergeCell ref="G433:H433"/>
    <mergeCell ref="G414:H414"/>
    <mergeCell ref="I414:J414"/>
    <mergeCell ref="K414:L414"/>
    <mergeCell ref="B415:E415"/>
    <mergeCell ref="G415:H415"/>
    <mergeCell ref="I415:J415"/>
    <mergeCell ref="K415:L415"/>
    <mergeCell ref="B411:E411"/>
    <mergeCell ref="G411:H411"/>
    <mergeCell ref="I411:J411"/>
    <mergeCell ref="K411:L411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B414:E414"/>
    <mergeCell ref="B452:E452"/>
    <mergeCell ref="G452:H452"/>
    <mergeCell ref="I452:J452"/>
    <mergeCell ref="K452:L452"/>
    <mergeCell ref="B453:E453"/>
    <mergeCell ref="G453:H453"/>
    <mergeCell ref="I453:J453"/>
    <mergeCell ref="K453:L453"/>
    <mergeCell ref="I433:J433"/>
    <mergeCell ref="K433:L433"/>
    <mergeCell ref="B434:E434"/>
    <mergeCell ref="G434:H434"/>
    <mergeCell ref="I434:J434"/>
    <mergeCell ref="K434:L434"/>
    <mergeCell ref="G418:H418"/>
    <mergeCell ref="I418:J418"/>
    <mergeCell ref="K418:L418"/>
    <mergeCell ref="B428:E428"/>
    <mergeCell ref="G428:H428"/>
    <mergeCell ref="I428:J428"/>
    <mergeCell ref="K428:L428"/>
    <mergeCell ref="B429:E429"/>
    <mergeCell ref="G429:H429"/>
    <mergeCell ref="I429:J429"/>
    <mergeCell ref="K429:L429"/>
    <mergeCell ref="B430:E430"/>
    <mergeCell ref="G430:H430"/>
    <mergeCell ref="I430:J430"/>
    <mergeCell ref="K430:L430"/>
    <mergeCell ref="B431:E431"/>
    <mergeCell ref="G431:H431"/>
    <mergeCell ref="I431:J431"/>
    <mergeCell ref="B458:E458"/>
    <mergeCell ref="G458:H458"/>
    <mergeCell ref="I458:J458"/>
    <mergeCell ref="K458:L458"/>
    <mergeCell ref="B459:E459"/>
    <mergeCell ref="G459:H459"/>
    <mergeCell ref="I459:J459"/>
    <mergeCell ref="K459:L459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39:E439"/>
    <mergeCell ref="G439:H439"/>
    <mergeCell ref="I439:J439"/>
    <mergeCell ref="K439:L439"/>
    <mergeCell ref="B440:E440"/>
    <mergeCell ref="G440:H440"/>
    <mergeCell ref="I440:J440"/>
    <mergeCell ref="K440:L440"/>
    <mergeCell ref="B450:E450"/>
    <mergeCell ref="G450:H450"/>
    <mergeCell ref="I450:J450"/>
    <mergeCell ref="K450:L450"/>
    <mergeCell ref="B451:E451"/>
    <mergeCell ref="G451:H451"/>
    <mergeCell ref="I451:J451"/>
    <mergeCell ref="K451:L451"/>
    <mergeCell ref="G504:H504"/>
    <mergeCell ref="I504:J504"/>
    <mergeCell ref="B481:E481"/>
    <mergeCell ref="G481:H481"/>
    <mergeCell ref="I481:J481"/>
    <mergeCell ref="K481:L481"/>
    <mergeCell ref="B482:E482"/>
    <mergeCell ref="G482:H482"/>
    <mergeCell ref="I482:J482"/>
    <mergeCell ref="K482:L482"/>
    <mergeCell ref="B499:E499"/>
    <mergeCell ref="G499:H499"/>
    <mergeCell ref="A487:E487"/>
    <mergeCell ref="I476:J476"/>
    <mergeCell ref="K476:L476"/>
    <mergeCell ref="I463:J463"/>
    <mergeCell ref="K463:L463"/>
    <mergeCell ref="I471:J472"/>
    <mergeCell ref="K471:L472"/>
    <mergeCell ref="I515:J516"/>
    <mergeCell ref="K515:L516"/>
    <mergeCell ref="B508:E508"/>
    <mergeCell ref="G508:H508"/>
    <mergeCell ref="I508:J508"/>
    <mergeCell ref="K508:L508"/>
    <mergeCell ref="B509:E509"/>
    <mergeCell ref="G509:H509"/>
    <mergeCell ref="I499:J499"/>
    <mergeCell ref="K499:L499"/>
    <mergeCell ref="K486:L486"/>
    <mergeCell ref="B483:E483"/>
    <mergeCell ref="G483:H483"/>
    <mergeCell ref="I483:J483"/>
    <mergeCell ref="K483:L483"/>
    <mergeCell ref="B484:E484"/>
    <mergeCell ref="G484:H484"/>
    <mergeCell ref="I484:J484"/>
    <mergeCell ref="K484:L484"/>
    <mergeCell ref="G503:H503"/>
    <mergeCell ref="I503:J503"/>
    <mergeCell ref="K503:L503"/>
    <mergeCell ref="B500:E500"/>
    <mergeCell ref="G500:H500"/>
    <mergeCell ref="I509:J509"/>
    <mergeCell ref="K509:L509"/>
    <mergeCell ref="I500:J500"/>
    <mergeCell ref="K500:L500"/>
    <mergeCell ref="B501:E501"/>
    <mergeCell ref="G501:H501"/>
    <mergeCell ref="I501:J501"/>
    <mergeCell ref="K501:L501"/>
    <mergeCell ref="B522:E522"/>
    <mergeCell ref="G522:H522"/>
    <mergeCell ref="B97:C99"/>
    <mergeCell ref="D97:D99"/>
    <mergeCell ref="E97:F99"/>
    <mergeCell ref="B114:E114"/>
    <mergeCell ref="G114:H114"/>
    <mergeCell ref="I114:J114"/>
    <mergeCell ref="K504:L504"/>
    <mergeCell ref="B505:E505"/>
    <mergeCell ref="G505:H505"/>
    <mergeCell ref="I505:J505"/>
    <mergeCell ref="K505:L505"/>
    <mergeCell ref="B502:E502"/>
    <mergeCell ref="G502:H502"/>
    <mergeCell ref="B65:E65"/>
    <mergeCell ref="G65:H65"/>
    <mergeCell ref="I65:J65"/>
    <mergeCell ref="K65:L65"/>
    <mergeCell ref="B66:E66"/>
    <mergeCell ref="G66:H66"/>
    <mergeCell ref="I66:J66"/>
    <mergeCell ref="K66:L66"/>
    <mergeCell ref="B72:E72"/>
    <mergeCell ref="K114:L114"/>
    <mergeCell ref="G111:H111"/>
    <mergeCell ref="I111:J111"/>
    <mergeCell ref="K111:L111"/>
    <mergeCell ref="B109:E109"/>
    <mergeCell ref="G109:H109"/>
    <mergeCell ref="K116:L116"/>
    <mergeCell ref="B118:E118"/>
    <mergeCell ref="K528:L528"/>
    <mergeCell ref="B525:E525"/>
    <mergeCell ref="G525:H525"/>
    <mergeCell ref="I525:J525"/>
    <mergeCell ref="K525:L525"/>
    <mergeCell ref="B526:E526"/>
    <mergeCell ref="G526:H526"/>
    <mergeCell ref="I526:J526"/>
    <mergeCell ref="K526:L526"/>
    <mergeCell ref="B523:E523"/>
    <mergeCell ref="G523:H523"/>
    <mergeCell ref="I523:J523"/>
    <mergeCell ref="K523:L523"/>
    <mergeCell ref="B524:E524"/>
    <mergeCell ref="G524:H524"/>
    <mergeCell ref="I524:J524"/>
    <mergeCell ref="K524:L524"/>
    <mergeCell ref="M72:N72"/>
    <mergeCell ref="B67:E67"/>
    <mergeCell ref="G67:H67"/>
    <mergeCell ref="I67:J67"/>
    <mergeCell ref="K67:L67"/>
    <mergeCell ref="B68:E68"/>
    <mergeCell ref="G68:H68"/>
    <mergeCell ref="I68:J68"/>
    <mergeCell ref="K68:L68"/>
    <mergeCell ref="J74:J76"/>
    <mergeCell ref="K74:K76"/>
    <mergeCell ref="L74:L76"/>
    <mergeCell ref="M74:M76"/>
    <mergeCell ref="N74:N76"/>
    <mergeCell ref="I96:J96"/>
    <mergeCell ref="K96:L96"/>
    <mergeCell ref="M96:N96"/>
    <mergeCell ref="M78:N79"/>
    <mergeCell ref="G91:H91"/>
    <mergeCell ref="I91:J91"/>
    <mergeCell ref="K91:L91"/>
    <mergeCell ref="B92:E92"/>
    <mergeCell ref="G92:H92"/>
    <mergeCell ref="I92:J92"/>
    <mergeCell ref="K92:L92"/>
    <mergeCell ref="B86:E86"/>
    <mergeCell ref="G86:H86"/>
    <mergeCell ref="I86:J86"/>
    <mergeCell ref="K86:L86"/>
    <mergeCell ref="B87:E87"/>
    <mergeCell ref="M73:N73"/>
    <mergeCell ref="B74:C76"/>
    <mergeCell ref="B517:E518"/>
    <mergeCell ref="F517:F518"/>
    <mergeCell ref="B141:E141"/>
    <mergeCell ref="G141:H141"/>
    <mergeCell ref="I141:J141"/>
    <mergeCell ref="K141:L141"/>
    <mergeCell ref="M141:N141"/>
    <mergeCell ref="B132:E132"/>
    <mergeCell ref="B128:E128"/>
    <mergeCell ref="G128:H128"/>
    <mergeCell ref="I128:J128"/>
    <mergeCell ref="K128:L128"/>
    <mergeCell ref="B129:E129"/>
    <mergeCell ref="G129:H129"/>
    <mergeCell ref="I129:J129"/>
    <mergeCell ref="K129:L129"/>
    <mergeCell ref="K222:L222"/>
    <mergeCell ref="B130:E130"/>
    <mergeCell ref="G130:H130"/>
    <mergeCell ref="I130:J130"/>
    <mergeCell ref="K130:L130"/>
    <mergeCell ref="B131:E131"/>
    <mergeCell ref="K163:L163"/>
    <mergeCell ref="G174:H174"/>
    <mergeCell ref="I174:J174"/>
    <mergeCell ref="K174:L174"/>
    <mergeCell ref="B175:E175"/>
    <mergeCell ref="G175:H175"/>
    <mergeCell ref="I175:J175"/>
    <mergeCell ref="K175:L175"/>
    <mergeCell ref="I253:J253"/>
    <mergeCell ref="K253:L253"/>
    <mergeCell ref="B521:E521"/>
    <mergeCell ref="G521:H521"/>
    <mergeCell ref="I521:J521"/>
    <mergeCell ref="K521:L521"/>
    <mergeCell ref="B506:E506"/>
    <mergeCell ref="G506:H506"/>
    <mergeCell ref="I506:J506"/>
    <mergeCell ref="K506:L506"/>
    <mergeCell ref="B507:E507"/>
    <mergeCell ref="G507:H507"/>
    <mergeCell ref="I507:J507"/>
    <mergeCell ref="K507:L507"/>
    <mergeCell ref="M515:N516"/>
    <mergeCell ref="I502:J502"/>
    <mergeCell ref="K502:L502"/>
    <mergeCell ref="B503:E503"/>
    <mergeCell ref="H120:H122"/>
    <mergeCell ref="I120:I122"/>
    <mergeCell ref="J120:J122"/>
    <mergeCell ref="K120:K122"/>
    <mergeCell ref="L120:L122"/>
    <mergeCell ref="M120:M122"/>
    <mergeCell ref="N120:N122"/>
    <mergeCell ref="B221:E221"/>
    <mergeCell ref="G221:H221"/>
    <mergeCell ref="I221:J221"/>
    <mergeCell ref="K221:L221"/>
    <mergeCell ref="B222:E222"/>
    <mergeCell ref="G222:H222"/>
    <mergeCell ref="I222:J222"/>
    <mergeCell ref="B253:E253"/>
    <mergeCell ref="G253:H253"/>
    <mergeCell ref="M97:M99"/>
    <mergeCell ref="N97:N99"/>
    <mergeCell ref="B93:E93"/>
    <mergeCell ref="G93:H93"/>
    <mergeCell ref="I93:J93"/>
    <mergeCell ref="K93:L93"/>
    <mergeCell ref="B88:E88"/>
    <mergeCell ref="G88:H88"/>
    <mergeCell ref="M118:N118"/>
    <mergeCell ref="A119:E119"/>
    <mergeCell ref="G119:H119"/>
    <mergeCell ref="I119:J119"/>
    <mergeCell ref="K119:L119"/>
    <mergeCell ref="M119:N119"/>
    <mergeCell ref="A120:A122"/>
    <mergeCell ref="B120:C122"/>
    <mergeCell ref="D120:D122"/>
    <mergeCell ref="E120:F122"/>
    <mergeCell ref="G120:G122"/>
    <mergeCell ref="B108:E108"/>
    <mergeCell ref="G108:H108"/>
    <mergeCell ref="I108:J108"/>
    <mergeCell ref="K108:L108"/>
    <mergeCell ref="B105:E105"/>
    <mergeCell ref="G105:H105"/>
    <mergeCell ref="I105:J105"/>
    <mergeCell ref="K105:L105"/>
    <mergeCell ref="B106:E106"/>
    <mergeCell ref="G106:H106"/>
    <mergeCell ref="I106:J106"/>
    <mergeCell ref="B115:E115"/>
    <mergeCell ref="G115:H115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67:E267"/>
    <mergeCell ref="G267:H267"/>
    <mergeCell ref="I267:J267"/>
    <mergeCell ref="K267:L267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51:E251"/>
    <mergeCell ref="G251:H251"/>
    <mergeCell ref="I251:J251"/>
    <mergeCell ref="K251:L25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B273:E273"/>
    <mergeCell ref="G273:H273"/>
    <mergeCell ref="I273:J273"/>
    <mergeCell ref="K273:L273"/>
    <mergeCell ref="B317:E317"/>
    <mergeCell ref="G317:H317"/>
    <mergeCell ref="I317:J317"/>
    <mergeCell ref="K317:L317"/>
    <mergeCell ref="B301:E301"/>
    <mergeCell ref="G301:H301"/>
    <mergeCell ref="I301:J301"/>
    <mergeCell ref="K301:L301"/>
    <mergeCell ref="B300:E300"/>
    <mergeCell ref="G300:H300"/>
    <mergeCell ref="I300:J300"/>
    <mergeCell ref="K300:L300"/>
    <mergeCell ref="B290:E290"/>
    <mergeCell ref="G290:H290"/>
    <mergeCell ref="I290:J290"/>
    <mergeCell ref="K290:L290"/>
    <mergeCell ref="B291:E291"/>
    <mergeCell ref="G291:H291"/>
    <mergeCell ref="I291:J291"/>
    <mergeCell ref="K291:L291"/>
    <mergeCell ref="B302:E302"/>
    <mergeCell ref="G302:H302"/>
    <mergeCell ref="I302:J302"/>
    <mergeCell ref="B274:E274"/>
    <mergeCell ref="B293:E293"/>
    <mergeCell ref="G293:H293"/>
    <mergeCell ref="B276:E276"/>
    <mergeCell ref="G276:H276"/>
    <mergeCell ref="G274:H274"/>
    <mergeCell ref="I274:J274"/>
    <mergeCell ref="K274:L274"/>
    <mergeCell ref="K275:L275"/>
    <mergeCell ref="I337:J337"/>
    <mergeCell ref="K337:L337"/>
    <mergeCell ref="B338:E338"/>
    <mergeCell ref="G338:H338"/>
    <mergeCell ref="B335:E335"/>
    <mergeCell ref="G335:H335"/>
    <mergeCell ref="I335:J335"/>
    <mergeCell ref="K335:L335"/>
    <mergeCell ref="G336:H336"/>
    <mergeCell ref="I336:J336"/>
    <mergeCell ref="K336:L336"/>
    <mergeCell ref="G295:H295"/>
    <mergeCell ref="I295:J295"/>
    <mergeCell ref="K295:L295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8:E298"/>
    <mergeCell ref="G298:H298"/>
    <mergeCell ref="I298:J298"/>
    <mergeCell ref="K298:L298"/>
    <mergeCell ref="B299:E299"/>
    <mergeCell ref="G299:H299"/>
    <mergeCell ref="I363:J363"/>
    <mergeCell ref="K363:L363"/>
    <mergeCell ref="I362:J362"/>
    <mergeCell ref="K362:L362"/>
    <mergeCell ref="B364:E364"/>
    <mergeCell ref="G364:H364"/>
    <mergeCell ref="I364:J364"/>
    <mergeCell ref="K364:L364"/>
    <mergeCell ref="B365:E365"/>
    <mergeCell ref="G365:H365"/>
    <mergeCell ref="I365:J365"/>
    <mergeCell ref="K365:L365"/>
    <mergeCell ref="G349:H349"/>
    <mergeCell ref="I349:J349"/>
    <mergeCell ref="A349:E349"/>
    <mergeCell ref="G339:H339"/>
    <mergeCell ref="I339:J339"/>
    <mergeCell ref="K339:L339"/>
    <mergeCell ref="B340:E340"/>
    <mergeCell ref="G340:H340"/>
    <mergeCell ref="I340:J340"/>
    <mergeCell ref="K340:L340"/>
    <mergeCell ref="B341:E341"/>
    <mergeCell ref="G341:H341"/>
    <mergeCell ref="I341:J341"/>
    <mergeCell ref="K341:L341"/>
    <mergeCell ref="B342:E342"/>
    <mergeCell ref="G342:H342"/>
    <mergeCell ref="I342:J342"/>
    <mergeCell ref="K342:L342"/>
    <mergeCell ref="B343:E343"/>
    <mergeCell ref="G343:H343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B382:E382"/>
    <mergeCell ref="G382:H382"/>
    <mergeCell ref="I382:J382"/>
    <mergeCell ref="K382:L382"/>
    <mergeCell ref="B383:E383"/>
    <mergeCell ref="G383:H383"/>
    <mergeCell ref="I383:J383"/>
    <mergeCell ref="K383:L383"/>
    <mergeCell ref="B367:E367"/>
    <mergeCell ref="G367:H367"/>
    <mergeCell ref="I367:J367"/>
    <mergeCell ref="K367:L367"/>
    <mergeCell ref="B368:E368"/>
    <mergeCell ref="G368:H368"/>
    <mergeCell ref="I368:J368"/>
    <mergeCell ref="K368:L368"/>
    <mergeCell ref="B389:E389"/>
    <mergeCell ref="G389:H389"/>
    <mergeCell ref="I389:J389"/>
    <mergeCell ref="K389:L389"/>
    <mergeCell ref="B386:E386"/>
    <mergeCell ref="G386:H386"/>
    <mergeCell ref="I386:J386"/>
    <mergeCell ref="K386:L386"/>
    <mergeCell ref="M494:M495"/>
    <mergeCell ref="B455:E455"/>
    <mergeCell ref="G455:H455"/>
    <mergeCell ref="I455:J455"/>
    <mergeCell ref="K455:L455"/>
    <mergeCell ref="G487:H487"/>
    <mergeCell ref="I487:J487"/>
    <mergeCell ref="K487:L487"/>
    <mergeCell ref="B485:E485"/>
    <mergeCell ref="G485:H485"/>
    <mergeCell ref="I485:J485"/>
    <mergeCell ref="K485:L485"/>
    <mergeCell ref="B486:E486"/>
    <mergeCell ref="G486:H486"/>
    <mergeCell ref="I486:J486"/>
    <mergeCell ref="I462:J462"/>
    <mergeCell ref="K462:L462"/>
    <mergeCell ref="B463:E463"/>
    <mergeCell ref="G463:H463"/>
    <mergeCell ref="I469:J470"/>
    <mergeCell ref="K469:L470"/>
    <mergeCell ref="M469:N470"/>
    <mergeCell ref="B471:E472"/>
    <mergeCell ref="F471:F472"/>
    <mergeCell ref="G471:H472"/>
    <mergeCell ref="B479:E479"/>
    <mergeCell ref="G479:H479"/>
    <mergeCell ref="I479:J479"/>
    <mergeCell ref="K479:L479"/>
    <mergeCell ref="B480:E480"/>
    <mergeCell ref="G480:H480"/>
    <mergeCell ref="I480:J480"/>
    <mergeCell ref="B529:E529"/>
    <mergeCell ref="G529:H529"/>
    <mergeCell ref="I529:J529"/>
    <mergeCell ref="K529:L529"/>
    <mergeCell ref="B530:E530"/>
    <mergeCell ref="G530:H530"/>
    <mergeCell ref="I530:J530"/>
    <mergeCell ref="K530:L530"/>
    <mergeCell ref="B527:E527"/>
    <mergeCell ref="G527:H527"/>
    <mergeCell ref="I527:J527"/>
    <mergeCell ref="K527:L527"/>
    <mergeCell ref="B528:E528"/>
    <mergeCell ref="G528:H528"/>
    <mergeCell ref="I528:J528"/>
    <mergeCell ref="A494:A495"/>
    <mergeCell ref="B494:E495"/>
    <mergeCell ref="F494:F495"/>
    <mergeCell ref="G494:H495"/>
    <mergeCell ref="I494:J495"/>
    <mergeCell ref="K494:L495"/>
    <mergeCell ref="I522:J522"/>
    <mergeCell ref="K522:L522"/>
    <mergeCell ref="A517:A518"/>
    <mergeCell ref="G517:H518"/>
    <mergeCell ref="I517:J518"/>
    <mergeCell ref="K517:L518"/>
    <mergeCell ref="A515:A516"/>
    <mergeCell ref="B515:C516"/>
    <mergeCell ref="D515:D516"/>
    <mergeCell ref="E515:F516"/>
    <mergeCell ref="G515:H516"/>
    <mergeCell ref="B543:E543"/>
    <mergeCell ref="G543:H543"/>
    <mergeCell ref="I543:J543"/>
    <mergeCell ref="K543:L543"/>
    <mergeCell ref="A538:A539"/>
    <mergeCell ref="B538:C539"/>
    <mergeCell ref="D538:D539"/>
    <mergeCell ref="E538:F539"/>
    <mergeCell ref="G538:H539"/>
    <mergeCell ref="I538:J539"/>
    <mergeCell ref="K538:L539"/>
    <mergeCell ref="M538:N539"/>
    <mergeCell ref="A540:A541"/>
    <mergeCell ref="B540:E541"/>
    <mergeCell ref="F540:F541"/>
    <mergeCell ref="G540:H541"/>
    <mergeCell ref="M533:N533"/>
    <mergeCell ref="G533:H533"/>
    <mergeCell ref="I533:J533"/>
    <mergeCell ref="K533:L533"/>
    <mergeCell ref="I540:J541"/>
    <mergeCell ref="K540:L541"/>
    <mergeCell ref="M540:M541"/>
    <mergeCell ref="N540:N541"/>
    <mergeCell ref="B542:E542"/>
    <mergeCell ref="G542:H542"/>
    <mergeCell ref="I542:J542"/>
    <mergeCell ref="K542:L542"/>
    <mergeCell ref="B544:E544"/>
    <mergeCell ref="G544:H544"/>
    <mergeCell ref="I544:J544"/>
    <mergeCell ref="K544:L544"/>
    <mergeCell ref="B545:E545"/>
    <mergeCell ref="G545:H545"/>
    <mergeCell ref="I545:J545"/>
    <mergeCell ref="K545:L545"/>
    <mergeCell ref="B546:E546"/>
    <mergeCell ref="G546:H546"/>
    <mergeCell ref="I546:J546"/>
    <mergeCell ref="K546:L546"/>
    <mergeCell ref="B547:E547"/>
    <mergeCell ref="G547:H547"/>
    <mergeCell ref="I547:J547"/>
    <mergeCell ref="K547:L547"/>
    <mergeCell ref="B548:E548"/>
    <mergeCell ref="G548:H548"/>
    <mergeCell ref="I548:J548"/>
    <mergeCell ref="K548:L548"/>
    <mergeCell ref="B549:E549"/>
    <mergeCell ref="G549:H549"/>
    <mergeCell ref="I549:J549"/>
    <mergeCell ref="K549:L549"/>
    <mergeCell ref="B550:E550"/>
    <mergeCell ref="G550:H550"/>
    <mergeCell ref="I550:J550"/>
    <mergeCell ref="K550:L550"/>
    <mergeCell ref="B551:E551"/>
    <mergeCell ref="G551:H551"/>
    <mergeCell ref="I551:J551"/>
    <mergeCell ref="K551:L551"/>
    <mergeCell ref="B552:E552"/>
    <mergeCell ref="G552:H552"/>
    <mergeCell ref="I552:J552"/>
    <mergeCell ref="K552:L552"/>
    <mergeCell ref="B553:E553"/>
    <mergeCell ref="G553:H553"/>
    <mergeCell ref="I553:J553"/>
    <mergeCell ref="K553:L553"/>
    <mergeCell ref="B554:E554"/>
    <mergeCell ref="G554:H554"/>
    <mergeCell ref="I554:J554"/>
    <mergeCell ref="K554:L554"/>
    <mergeCell ref="B555:E555"/>
    <mergeCell ref="G555:H555"/>
    <mergeCell ref="I555:J555"/>
    <mergeCell ref="K555:L555"/>
    <mergeCell ref="A556:E556"/>
    <mergeCell ref="G556:H556"/>
    <mergeCell ref="I556:J556"/>
    <mergeCell ref="K556:L556"/>
    <mergeCell ref="M556:N556"/>
    <mergeCell ref="A557:A559"/>
    <mergeCell ref="B557:C559"/>
    <mergeCell ref="D557:D559"/>
    <mergeCell ref="E557:F559"/>
    <mergeCell ref="G557:G559"/>
    <mergeCell ref="H557:H559"/>
    <mergeCell ref="I557:I559"/>
    <mergeCell ref="J557:J559"/>
    <mergeCell ref="K557:K559"/>
    <mergeCell ref="L557:L559"/>
    <mergeCell ref="M557:M559"/>
    <mergeCell ref="N557:N559"/>
    <mergeCell ref="A561:A562"/>
    <mergeCell ref="B561:C562"/>
    <mergeCell ref="D561:D562"/>
    <mergeCell ref="E561:F562"/>
    <mergeCell ref="G561:H562"/>
    <mergeCell ref="I561:J562"/>
    <mergeCell ref="K561:L562"/>
    <mergeCell ref="M561:N562"/>
    <mergeCell ref="A563:A564"/>
    <mergeCell ref="B563:E564"/>
    <mergeCell ref="F563:F564"/>
    <mergeCell ref="G563:H564"/>
    <mergeCell ref="I563:J564"/>
    <mergeCell ref="K563:L564"/>
    <mergeCell ref="M563:M564"/>
    <mergeCell ref="N563:N564"/>
    <mergeCell ref="B565:E565"/>
    <mergeCell ref="G565:H565"/>
    <mergeCell ref="I565:J565"/>
    <mergeCell ref="K565:L565"/>
    <mergeCell ref="K575:L575"/>
    <mergeCell ref="B566:E566"/>
    <mergeCell ref="G566:H566"/>
    <mergeCell ref="I566:J566"/>
    <mergeCell ref="K566:L566"/>
    <mergeCell ref="B567:E567"/>
    <mergeCell ref="G567:H567"/>
    <mergeCell ref="I567:J567"/>
    <mergeCell ref="K567:L567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B570:E570"/>
    <mergeCell ref="G570:H570"/>
    <mergeCell ref="I570:J570"/>
    <mergeCell ref="K570:L570"/>
    <mergeCell ref="G592:H592"/>
    <mergeCell ref="I592:J592"/>
    <mergeCell ref="K592:L592"/>
    <mergeCell ref="A584:A585"/>
    <mergeCell ref="B584:C585"/>
    <mergeCell ref="D584:D585"/>
    <mergeCell ref="E584:F585"/>
    <mergeCell ref="G584:H585"/>
    <mergeCell ref="I584:J585"/>
    <mergeCell ref="K584:L585"/>
    <mergeCell ref="M584:N585"/>
    <mergeCell ref="A586:A587"/>
    <mergeCell ref="B586:E587"/>
    <mergeCell ref="F586:F587"/>
    <mergeCell ref="G586:H587"/>
    <mergeCell ref="B576:E576"/>
    <mergeCell ref="G576:H576"/>
    <mergeCell ref="I576:J576"/>
    <mergeCell ref="K576:L576"/>
    <mergeCell ref="B577:E577"/>
    <mergeCell ref="G577:H577"/>
    <mergeCell ref="I577:J577"/>
    <mergeCell ref="K577:L577"/>
    <mergeCell ref="G578:H578"/>
    <mergeCell ref="I578:J578"/>
    <mergeCell ref="K578:L578"/>
    <mergeCell ref="B578:E578"/>
    <mergeCell ref="A579:E579"/>
    <mergeCell ref="G579:H579"/>
    <mergeCell ref="I579:J579"/>
    <mergeCell ref="K579:L579"/>
    <mergeCell ref="G594:H594"/>
    <mergeCell ref="I594:J594"/>
    <mergeCell ref="K594:L594"/>
    <mergeCell ref="B595:E595"/>
    <mergeCell ref="G595:H595"/>
    <mergeCell ref="I595:J595"/>
    <mergeCell ref="K595:L595"/>
    <mergeCell ref="B596:E596"/>
    <mergeCell ref="G596:H596"/>
    <mergeCell ref="I596:J596"/>
    <mergeCell ref="K596:L596"/>
    <mergeCell ref="B597:E597"/>
    <mergeCell ref="G597:H597"/>
    <mergeCell ref="I597:J597"/>
    <mergeCell ref="K597:L597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92:E592"/>
    <mergeCell ref="A607:A608"/>
    <mergeCell ref="G607:H608"/>
    <mergeCell ref="I607:J608"/>
    <mergeCell ref="K607:L608"/>
    <mergeCell ref="B607:C608"/>
    <mergeCell ref="D607:D608"/>
    <mergeCell ref="E607:F608"/>
    <mergeCell ref="M607:N608"/>
    <mergeCell ref="A609:A610"/>
    <mergeCell ref="M609:M610"/>
    <mergeCell ref="N609:N610"/>
    <mergeCell ref="B598:E598"/>
    <mergeCell ref="G598:H598"/>
    <mergeCell ref="I598:J598"/>
    <mergeCell ref="K598:L598"/>
    <mergeCell ref="B599:E599"/>
    <mergeCell ref="G599:H599"/>
    <mergeCell ref="I599:J599"/>
    <mergeCell ref="K599:L599"/>
    <mergeCell ref="G600:H600"/>
    <mergeCell ref="I600:J600"/>
    <mergeCell ref="K600:L600"/>
    <mergeCell ref="B611:E611"/>
    <mergeCell ref="G611:H611"/>
    <mergeCell ref="I611:J611"/>
    <mergeCell ref="K611:L611"/>
    <mergeCell ref="B612:E612"/>
    <mergeCell ref="G612:H612"/>
    <mergeCell ref="I612:J612"/>
    <mergeCell ref="K612:L612"/>
    <mergeCell ref="B613:E613"/>
    <mergeCell ref="G613:H613"/>
    <mergeCell ref="I613:J613"/>
    <mergeCell ref="K613:L613"/>
    <mergeCell ref="B614:E614"/>
    <mergeCell ref="G614:H614"/>
    <mergeCell ref="I614:J614"/>
    <mergeCell ref="K614:L614"/>
    <mergeCell ref="B609:E610"/>
    <mergeCell ref="F609:F610"/>
    <mergeCell ref="G609:H610"/>
    <mergeCell ref="I609:J610"/>
    <mergeCell ref="K609:L610"/>
    <mergeCell ref="G624:H624"/>
    <mergeCell ref="I624:J624"/>
    <mergeCell ref="K624:L624"/>
    <mergeCell ref="A625:E625"/>
    <mergeCell ref="G625:H625"/>
    <mergeCell ref="I625:J625"/>
    <mergeCell ref="B615:E615"/>
    <mergeCell ref="G615:H615"/>
    <mergeCell ref="I615:J615"/>
    <mergeCell ref="K615:L615"/>
    <mergeCell ref="B616:E616"/>
    <mergeCell ref="G616:H616"/>
    <mergeCell ref="I616:J616"/>
    <mergeCell ref="K616:L616"/>
    <mergeCell ref="B617:E617"/>
    <mergeCell ref="G617:H617"/>
    <mergeCell ref="I617:J617"/>
    <mergeCell ref="K617:L617"/>
    <mergeCell ref="B618:E618"/>
    <mergeCell ref="G618:H618"/>
    <mergeCell ref="I618:J618"/>
    <mergeCell ref="K618:L618"/>
    <mergeCell ref="B619:E619"/>
    <mergeCell ref="G619:H619"/>
    <mergeCell ref="I619:J619"/>
    <mergeCell ref="K619:L619"/>
    <mergeCell ref="K625:L625"/>
    <mergeCell ref="M625:N625"/>
    <mergeCell ref="B639:E639"/>
    <mergeCell ref="G639:H639"/>
    <mergeCell ref="I639:J639"/>
    <mergeCell ref="K639:L639"/>
    <mergeCell ref="B640:E640"/>
    <mergeCell ref="G640:H640"/>
    <mergeCell ref="I640:J640"/>
    <mergeCell ref="A630:A631"/>
    <mergeCell ref="B630:C631"/>
    <mergeCell ref="D630:D631"/>
    <mergeCell ref="E630:F631"/>
    <mergeCell ref="G630:H631"/>
    <mergeCell ref="I630:J631"/>
    <mergeCell ref="K630:L631"/>
    <mergeCell ref="M630:N631"/>
    <mergeCell ref="B620:E620"/>
    <mergeCell ref="G620:H620"/>
    <mergeCell ref="I620:J620"/>
    <mergeCell ref="K620:L620"/>
    <mergeCell ref="B621:E621"/>
    <mergeCell ref="G621:H621"/>
    <mergeCell ref="I621:J621"/>
    <mergeCell ref="K621:L621"/>
    <mergeCell ref="G622:H622"/>
    <mergeCell ref="I622:J622"/>
    <mergeCell ref="K622:L622"/>
    <mergeCell ref="B622:E622"/>
    <mergeCell ref="B623:E623"/>
    <mergeCell ref="G623:H623"/>
    <mergeCell ref="I623:J623"/>
    <mergeCell ref="K623:L623"/>
    <mergeCell ref="B624:E624"/>
    <mergeCell ref="B634:E634"/>
    <mergeCell ref="G634:H634"/>
    <mergeCell ref="I634:J634"/>
    <mergeCell ref="K634:L634"/>
    <mergeCell ref="B635:E635"/>
    <mergeCell ref="G635:H635"/>
    <mergeCell ref="I635:J635"/>
    <mergeCell ref="K635:L635"/>
    <mergeCell ref="B636:E636"/>
    <mergeCell ref="G636:H636"/>
    <mergeCell ref="I636:J636"/>
    <mergeCell ref="K636:L636"/>
    <mergeCell ref="B637:E637"/>
    <mergeCell ref="G637:H637"/>
    <mergeCell ref="I637:J637"/>
    <mergeCell ref="K637:L637"/>
    <mergeCell ref="B638:E638"/>
    <mergeCell ref="G638:H638"/>
    <mergeCell ref="I638:J638"/>
    <mergeCell ref="K638:L638"/>
    <mergeCell ref="B644:E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A648:E648"/>
    <mergeCell ref="G648:H648"/>
    <mergeCell ref="I648:J648"/>
    <mergeCell ref="K648:L648"/>
    <mergeCell ref="M648:N648"/>
    <mergeCell ref="K640:L640"/>
    <mergeCell ref="B641:E641"/>
    <mergeCell ref="G641:H641"/>
    <mergeCell ref="I641:J641"/>
    <mergeCell ref="K641:L641"/>
    <mergeCell ref="B657:E657"/>
    <mergeCell ref="G657:H657"/>
    <mergeCell ref="I657:J657"/>
    <mergeCell ref="K657:L657"/>
    <mergeCell ref="B658:E658"/>
    <mergeCell ref="G658:H658"/>
    <mergeCell ref="I658:J658"/>
    <mergeCell ref="K658:L658"/>
    <mergeCell ref="B653:C654"/>
    <mergeCell ref="D653:D654"/>
    <mergeCell ref="E653:F654"/>
    <mergeCell ref="G653:H654"/>
    <mergeCell ref="I653:J654"/>
    <mergeCell ref="K653:L654"/>
    <mergeCell ref="A653:A654"/>
    <mergeCell ref="M653:N654"/>
    <mergeCell ref="B642:E642"/>
    <mergeCell ref="G642:H642"/>
    <mergeCell ref="I642:J642"/>
    <mergeCell ref="K642:L642"/>
    <mergeCell ref="B643:E643"/>
    <mergeCell ref="G643:H643"/>
    <mergeCell ref="I643:J643"/>
    <mergeCell ref="K643:L643"/>
    <mergeCell ref="G644:H644"/>
    <mergeCell ref="I644:J644"/>
    <mergeCell ref="K644:L644"/>
    <mergeCell ref="B647:E647"/>
    <mergeCell ref="G647:H647"/>
    <mergeCell ref="I647:J647"/>
    <mergeCell ref="K647:L647"/>
    <mergeCell ref="K684:L684"/>
    <mergeCell ref="B685:E685"/>
    <mergeCell ref="G685:H685"/>
    <mergeCell ref="I685:J685"/>
    <mergeCell ref="K685:L685"/>
    <mergeCell ref="B680:E680"/>
    <mergeCell ref="G680:H680"/>
    <mergeCell ref="I680:J680"/>
    <mergeCell ref="K680:L680"/>
    <mergeCell ref="B664:E664"/>
    <mergeCell ref="G664:H664"/>
    <mergeCell ref="I664:J664"/>
    <mergeCell ref="K664:L664"/>
    <mergeCell ref="B665:E665"/>
    <mergeCell ref="G665:H665"/>
    <mergeCell ref="I665:J665"/>
    <mergeCell ref="K665:L665"/>
    <mergeCell ref="G666:H666"/>
    <mergeCell ref="I666:J666"/>
    <mergeCell ref="K666:L666"/>
    <mergeCell ref="B669:E669"/>
    <mergeCell ref="G669:H669"/>
    <mergeCell ref="I669:J669"/>
    <mergeCell ref="K669:L669"/>
    <mergeCell ref="B666:E666"/>
    <mergeCell ref="B667:E667"/>
    <mergeCell ref="G667:H667"/>
    <mergeCell ref="I667:J667"/>
    <mergeCell ref="K667:L667"/>
    <mergeCell ref="B668:E668"/>
    <mergeCell ref="G668:H668"/>
    <mergeCell ref="I668:J668"/>
    <mergeCell ref="A695:A697"/>
    <mergeCell ref="B695:C697"/>
    <mergeCell ref="D695:D697"/>
    <mergeCell ref="E695:F697"/>
    <mergeCell ref="G695:G697"/>
    <mergeCell ref="H695:H697"/>
    <mergeCell ref="I695:I697"/>
    <mergeCell ref="J695:J697"/>
    <mergeCell ref="K695:K697"/>
    <mergeCell ref="L695:L697"/>
    <mergeCell ref="M695:M697"/>
    <mergeCell ref="N695:N697"/>
    <mergeCell ref="B686:E686"/>
    <mergeCell ref="G686:H686"/>
    <mergeCell ref="I686:J686"/>
    <mergeCell ref="K686:L686"/>
    <mergeCell ref="B687:E687"/>
    <mergeCell ref="G687:H687"/>
    <mergeCell ref="I687:J687"/>
    <mergeCell ref="K687:L687"/>
    <mergeCell ref="G688:H688"/>
    <mergeCell ref="I688:J688"/>
    <mergeCell ref="K688:L688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B691:E691"/>
    <mergeCell ref="B726:E726"/>
    <mergeCell ref="G726:H726"/>
    <mergeCell ref="I726:J726"/>
    <mergeCell ref="K726:L726"/>
    <mergeCell ref="B711:E711"/>
    <mergeCell ref="G711:H711"/>
    <mergeCell ref="I711:J711"/>
    <mergeCell ref="K711:L711"/>
    <mergeCell ref="B712:E712"/>
    <mergeCell ref="G712:H712"/>
    <mergeCell ref="B703:E703"/>
    <mergeCell ref="G703:H703"/>
    <mergeCell ref="I703:J703"/>
    <mergeCell ref="K703:L703"/>
    <mergeCell ref="B704:E704"/>
    <mergeCell ref="G704:H704"/>
    <mergeCell ref="I704:J704"/>
    <mergeCell ref="K704:L704"/>
    <mergeCell ref="B705:E705"/>
    <mergeCell ref="G705:H705"/>
    <mergeCell ref="I705:J705"/>
    <mergeCell ref="K705:L705"/>
    <mergeCell ref="B706:E706"/>
    <mergeCell ref="G706:H706"/>
    <mergeCell ref="I706:J706"/>
    <mergeCell ref="K706:L706"/>
    <mergeCell ref="B707:E707"/>
    <mergeCell ref="G707:H707"/>
    <mergeCell ref="I707:J707"/>
    <mergeCell ref="K707:L707"/>
    <mergeCell ref="I712:J712"/>
    <mergeCell ref="K712:L712"/>
    <mergeCell ref="A717:E717"/>
    <mergeCell ref="G717:H717"/>
    <mergeCell ref="I717:J717"/>
    <mergeCell ref="K717:L717"/>
    <mergeCell ref="M717:N717"/>
    <mergeCell ref="A718:A720"/>
    <mergeCell ref="M718:M720"/>
    <mergeCell ref="N718:N720"/>
    <mergeCell ref="M722:N723"/>
    <mergeCell ref="A724:A725"/>
    <mergeCell ref="B724:E725"/>
    <mergeCell ref="F724:F725"/>
    <mergeCell ref="G724:H725"/>
    <mergeCell ref="I724:J725"/>
    <mergeCell ref="K724:L725"/>
    <mergeCell ref="M724:M725"/>
    <mergeCell ref="N724:N725"/>
    <mergeCell ref="I760:J760"/>
    <mergeCell ref="K760:L760"/>
    <mergeCell ref="G763:H763"/>
    <mergeCell ref="I763:J763"/>
    <mergeCell ref="K763:L763"/>
    <mergeCell ref="B761:E761"/>
    <mergeCell ref="A740:E740"/>
    <mergeCell ref="G740:H740"/>
    <mergeCell ref="I740:J740"/>
    <mergeCell ref="K740:L740"/>
    <mergeCell ref="M740:N740"/>
    <mergeCell ref="A741:A743"/>
    <mergeCell ref="M741:M743"/>
    <mergeCell ref="B730:E730"/>
    <mergeCell ref="G730:H730"/>
    <mergeCell ref="I730:J730"/>
    <mergeCell ref="K730:L730"/>
    <mergeCell ref="B731:E731"/>
    <mergeCell ref="G731:H731"/>
    <mergeCell ref="I731:J731"/>
    <mergeCell ref="K731:L731"/>
    <mergeCell ref="G732:H732"/>
    <mergeCell ref="I732:J732"/>
    <mergeCell ref="K732:L732"/>
    <mergeCell ref="B733:E733"/>
    <mergeCell ref="G733:H733"/>
    <mergeCell ref="I733:J733"/>
    <mergeCell ref="K733:L733"/>
    <mergeCell ref="B734:E734"/>
    <mergeCell ref="G734:H734"/>
    <mergeCell ref="B732:E732"/>
    <mergeCell ref="G798:H798"/>
    <mergeCell ref="I798:J798"/>
    <mergeCell ref="K798:L798"/>
    <mergeCell ref="B801:E801"/>
    <mergeCell ref="G801:H801"/>
    <mergeCell ref="I801:J801"/>
    <mergeCell ref="A763:E763"/>
    <mergeCell ref="M763:N763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G754:H754"/>
    <mergeCell ref="I754:J754"/>
    <mergeCell ref="K754:L754"/>
    <mergeCell ref="B754:E754"/>
    <mergeCell ref="B755:E755"/>
    <mergeCell ref="G755:H755"/>
    <mergeCell ref="I755:J755"/>
    <mergeCell ref="K755:L755"/>
    <mergeCell ref="B756:E756"/>
    <mergeCell ref="B759:E759"/>
    <mergeCell ref="G759:H759"/>
    <mergeCell ref="I759:J759"/>
    <mergeCell ref="K759:L759"/>
    <mergeCell ref="B760:E760"/>
    <mergeCell ref="G760:H760"/>
    <mergeCell ref="B806:E806"/>
    <mergeCell ref="G806:H806"/>
    <mergeCell ref="I806:J806"/>
    <mergeCell ref="K806:L806"/>
    <mergeCell ref="B823:E823"/>
    <mergeCell ref="G823:H823"/>
    <mergeCell ref="I823:J823"/>
    <mergeCell ref="K823:L823"/>
    <mergeCell ref="B772:E772"/>
    <mergeCell ref="G772:H772"/>
    <mergeCell ref="I772:J772"/>
    <mergeCell ref="K772:L772"/>
    <mergeCell ref="B773:E773"/>
    <mergeCell ref="G773:H773"/>
    <mergeCell ref="I773:J773"/>
    <mergeCell ref="K773:L773"/>
    <mergeCell ref="B780:E780"/>
    <mergeCell ref="G780:H780"/>
    <mergeCell ref="I780:J780"/>
    <mergeCell ref="K780:L780"/>
    <mergeCell ref="B781:E781"/>
    <mergeCell ref="G781:H781"/>
    <mergeCell ref="B807:E807"/>
    <mergeCell ref="G807:H807"/>
    <mergeCell ref="I807:J807"/>
    <mergeCell ref="K807:L807"/>
    <mergeCell ref="B796:E796"/>
    <mergeCell ref="G796:H796"/>
    <mergeCell ref="I796:J796"/>
    <mergeCell ref="K796:L796"/>
    <mergeCell ref="B797:E797"/>
    <mergeCell ref="G797:H797"/>
    <mergeCell ref="B824:E824"/>
    <mergeCell ref="G824:H824"/>
    <mergeCell ref="I824:J824"/>
    <mergeCell ref="K824:L824"/>
    <mergeCell ref="B825:E825"/>
    <mergeCell ref="G825:H825"/>
    <mergeCell ref="I825:J825"/>
    <mergeCell ref="K825:L825"/>
    <mergeCell ref="B826:E826"/>
    <mergeCell ref="G826:H826"/>
    <mergeCell ref="I826:J826"/>
    <mergeCell ref="K826:L826"/>
    <mergeCell ref="B827:E827"/>
    <mergeCell ref="G827:H827"/>
    <mergeCell ref="I827:J827"/>
    <mergeCell ref="K827:L827"/>
    <mergeCell ref="A839:A840"/>
    <mergeCell ref="B839:E840"/>
    <mergeCell ref="F839:F840"/>
    <mergeCell ref="G839:H840"/>
    <mergeCell ref="I839:J840"/>
    <mergeCell ref="K839:L840"/>
    <mergeCell ref="B830:E830"/>
    <mergeCell ref="G830:H830"/>
    <mergeCell ref="I830:J830"/>
    <mergeCell ref="K830:L830"/>
    <mergeCell ref="B831:E831"/>
    <mergeCell ref="G831:H831"/>
    <mergeCell ref="I831:J831"/>
    <mergeCell ref="K831:L831"/>
    <mergeCell ref="G832:H832"/>
    <mergeCell ref="I832:J832"/>
    <mergeCell ref="A837:A838"/>
    <mergeCell ref="B837:C838"/>
    <mergeCell ref="D837:D838"/>
    <mergeCell ref="E837:F838"/>
    <mergeCell ref="G837:H838"/>
    <mergeCell ref="I837:J838"/>
    <mergeCell ref="K837:L838"/>
    <mergeCell ref="B851:E851"/>
    <mergeCell ref="G851:H851"/>
    <mergeCell ref="I851:J851"/>
    <mergeCell ref="K851:L851"/>
    <mergeCell ref="B847:E847"/>
    <mergeCell ref="G847:H847"/>
    <mergeCell ref="I847:J847"/>
    <mergeCell ref="K847:L847"/>
    <mergeCell ref="B848:E848"/>
    <mergeCell ref="G848:H848"/>
    <mergeCell ref="I848:J848"/>
    <mergeCell ref="K848:L848"/>
    <mergeCell ref="B849:E849"/>
    <mergeCell ref="G849:H849"/>
    <mergeCell ref="I849:J849"/>
    <mergeCell ref="K849:L849"/>
    <mergeCell ref="B850:E850"/>
    <mergeCell ref="G850:H850"/>
    <mergeCell ref="I850:J850"/>
    <mergeCell ref="K850:L850"/>
    <mergeCell ref="B865:E865"/>
    <mergeCell ref="G865:H865"/>
    <mergeCell ref="I865:J865"/>
    <mergeCell ref="K865:L865"/>
    <mergeCell ref="B866:E866"/>
    <mergeCell ref="G866:H866"/>
    <mergeCell ref="I866:J866"/>
    <mergeCell ref="K866:L866"/>
    <mergeCell ref="B867:E867"/>
    <mergeCell ref="G867:H867"/>
    <mergeCell ref="I867:J867"/>
    <mergeCell ref="K867:L867"/>
    <mergeCell ref="B868:E868"/>
    <mergeCell ref="G868:H868"/>
    <mergeCell ref="I868:J868"/>
    <mergeCell ref="K868:L868"/>
    <mergeCell ref="B869:E869"/>
    <mergeCell ref="G869:H869"/>
    <mergeCell ref="I869:J869"/>
    <mergeCell ref="K869:L869"/>
    <mergeCell ref="B40:E40"/>
    <mergeCell ref="G40:H40"/>
    <mergeCell ref="I40:J40"/>
    <mergeCell ref="K40:L40"/>
    <mergeCell ref="A885:A886"/>
    <mergeCell ref="B885:E886"/>
    <mergeCell ref="F885:F886"/>
    <mergeCell ref="G885:H886"/>
    <mergeCell ref="I885:J886"/>
    <mergeCell ref="K885:L886"/>
    <mergeCell ref="B874:E874"/>
    <mergeCell ref="G874:H874"/>
    <mergeCell ref="I874:J874"/>
    <mergeCell ref="K874:L874"/>
    <mergeCell ref="B875:E875"/>
    <mergeCell ref="G875:H875"/>
    <mergeCell ref="I875:J875"/>
    <mergeCell ref="K875:L875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G878:H878"/>
    <mergeCell ref="I878:J878"/>
    <mergeCell ref="K878:L878"/>
    <mergeCell ref="B873:E873"/>
    <mergeCell ref="G873:H873"/>
    <mergeCell ref="I873:J873"/>
    <mergeCell ref="A80:A81"/>
    <mergeCell ref="B80:E81"/>
    <mergeCell ref="F80:F81"/>
    <mergeCell ref="G80:H81"/>
    <mergeCell ref="I80:J81"/>
    <mergeCell ref="K80:L81"/>
    <mergeCell ref="M80:M81"/>
    <mergeCell ref="N80:N81"/>
    <mergeCell ref="B101:C102"/>
    <mergeCell ref="D101:D102"/>
    <mergeCell ref="E101:F102"/>
    <mergeCell ref="M101:N102"/>
    <mergeCell ref="A103:A104"/>
    <mergeCell ref="B103:E104"/>
    <mergeCell ref="F103:F104"/>
    <mergeCell ref="G103:H104"/>
    <mergeCell ref="I103:J104"/>
    <mergeCell ref="K103:L104"/>
    <mergeCell ref="M103:M104"/>
    <mergeCell ref="N103:N104"/>
    <mergeCell ref="G94:H94"/>
    <mergeCell ref="I94:J94"/>
    <mergeCell ref="K94:L94"/>
    <mergeCell ref="B94:E94"/>
    <mergeCell ref="B95:E95"/>
    <mergeCell ref="G95:H95"/>
    <mergeCell ref="I95:J95"/>
    <mergeCell ref="K95:L95"/>
    <mergeCell ref="M95:N95"/>
    <mergeCell ref="A96:E96"/>
    <mergeCell ref="G96:H96"/>
    <mergeCell ref="G97:G99"/>
    <mergeCell ref="I112:J112"/>
    <mergeCell ref="K112:L112"/>
    <mergeCell ref="B113:E113"/>
    <mergeCell ref="G113:H113"/>
    <mergeCell ref="I113:J113"/>
    <mergeCell ref="K113:L113"/>
    <mergeCell ref="B124:C125"/>
    <mergeCell ref="D124:D125"/>
    <mergeCell ref="E124:F125"/>
    <mergeCell ref="G124:H125"/>
    <mergeCell ref="I124:J125"/>
    <mergeCell ref="K124:L125"/>
    <mergeCell ref="M124:N125"/>
    <mergeCell ref="A126:A127"/>
    <mergeCell ref="B126:E127"/>
    <mergeCell ref="F126:F127"/>
    <mergeCell ref="G126:H127"/>
    <mergeCell ref="I126:J127"/>
    <mergeCell ref="K126:L127"/>
    <mergeCell ref="M126:M127"/>
    <mergeCell ref="N126:N127"/>
    <mergeCell ref="B138:E138"/>
    <mergeCell ref="B139:E139"/>
    <mergeCell ref="G139:H139"/>
    <mergeCell ref="I139:J139"/>
    <mergeCell ref="K139:L139"/>
    <mergeCell ref="G138:H138"/>
    <mergeCell ref="I138:J138"/>
    <mergeCell ref="K138:L138"/>
    <mergeCell ref="G131:H131"/>
    <mergeCell ref="I131:J131"/>
    <mergeCell ref="K131:L131"/>
    <mergeCell ref="G132:H132"/>
    <mergeCell ref="I132:J132"/>
    <mergeCell ref="K132:L132"/>
    <mergeCell ref="B133:E133"/>
    <mergeCell ref="G133:H133"/>
    <mergeCell ref="I133:J133"/>
    <mergeCell ref="K133:L133"/>
    <mergeCell ref="B134:E134"/>
    <mergeCell ref="G134:H134"/>
    <mergeCell ref="I134:J134"/>
    <mergeCell ref="K134:L134"/>
    <mergeCell ref="B135:E135"/>
    <mergeCell ref="G135:H135"/>
    <mergeCell ref="I135:J135"/>
    <mergeCell ref="K135:L135"/>
    <mergeCell ref="B136:E136"/>
    <mergeCell ref="G136:H136"/>
    <mergeCell ref="I136:J136"/>
    <mergeCell ref="K136:L136"/>
    <mergeCell ref="B137:E137"/>
    <mergeCell ref="G137:H137"/>
    <mergeCell ref="A142:E142"/>
    <mergeCell ref="G142:H142"/>
    <mergeCell ref="I142:J142"/>
    <mergeCell ref="K142:L142"/>
    <mergeCell ref="M142:N142"/>
    <mergeCell ref="A143:A145"/>
    <mergeCell ref="B143:C145"/>
    <mergeCell ref="D143:D145"/>
    <mergeCell ref="E143:F145"/>
    <mergeCell ref="G143:G145"/>
    <mergeCell ref="H143:H145"/>
    <mergeCell ref="I143:I145"/>
    <mergeCell ref="J143:J145"/>
    <mergeCell ref="K143:K145"/>
    <mergeCell ref="L143:L145"/>
    <mergeCell ref="M143:M145"/>
    <mergeCell ref="N143:N145"/>
    <mergeCell ref="A147:A148"/>
    <mergeCell ref="B147:C148"/>
    <mergeCell ref="D147:D148"/>
    <mergeCell ref="E147:F148"/>
    <mergeCell ref="G147:H148"/>
    <mergeCell ref="I147:J148"/>
    <mergeCell ref="K147:L148"/>
    <mergeCell ref="M147:N148"/>
    <mergeCell ref="A149:A150"/>
    <mergeCell ref="B149:E150"/>
    <mergeCell ref="F149:F150"/>
    <mergeCell ref="G149:H150"/>
    <mergeCell ref="I149:J150"/>
    <mergeCell ref="K149:L150"/>
    <mergeCell ref="M149:M150"/>
    <mergeCell ref="N149:N150"/>
    <mergeCell ref="B160:E160"/>
    <mergeCell ref="B153:E153"/>
    <mergeCell ref="K157:L157"/>
    <mergeCell ref="B158:E158"/>
    <mergeCell ref="G158:H158"/>
    <mergeCell ref="I158:J158"/>
    <mergeCell ref="K158:L158"/>
    <mergeCell ref="B159:E159"/>
    <mergeCell ref="G159:H159"/>
    <mergeCell ref="I159:J159"/>
    <mergeCell ref="K159:L159"/>
    <mergeCell ref="G153:H153"/>
    <mergeCell ref="I153:J153"/>
    <mergeCell ref="K153:L153"/>
    <mergeCell ref="B151:E151"/>
    <mergeCell ref="G151:H151"/>
    <mergeCell ref="B164:E164"/>
    <mergeCell ref="G164:H164"/>
    <mergeCell ref="I164:J164"/>
    <mergeCell ref="K164:L164"/>
    <mergeCell ref="M164:N164"/>
    <mergeCell ref="A165:E165"/>
    <mergeCell ref="G165:H165"/>
    <mergeCell ref="I165:J165"/>
    <mergeCell ref="K165:L165"/>
    <mergeCell ref="M165:N165"/>
    <mergeCell ref="A166:A168"/>
    <mergeCell ref="B166:C168"/>
    <mergeCell ref="D166:D168"/>
    <mergeCell ref="E166:F168"/>
    <mergeCell ref="G166:G168"/>
    <mergeCell ref="H166:H168"/>
    <mergeCell ref="I166:I168"/>
    <mergeCell ref="J166:J168"/>
    <mergeCell ref="K166:K168"/>
    <mergeCell ref="L166:L168"/>
    <mergeCell ref="M166:M168"/>
    <mergeCell ref="N166:N168"/>
    <mergeCell ref="A170:A171"/>
    <mergeCell ref="B170:C171"/>
    <mergeCell ref="D170:D171"/>
    <mergeCell ref="E170:F171"/>
    <mergeCell ref="G170:H171"/>
    <mergeCell ref="I170:J171"/>
    <mergeCell ref="K170:L171"/>
    <mergeCell ref="M170:N171"/>
    <mergeCell ref="A172:A173"/>
    <mergeCell ref="B172:E173"/>
    <mergeCell ref="F172:F173"/>
    <mergeCell ref="G172:H173"/>
    <mergeCell ref="I172:J173"/>
    <mergeCell ref="K172:L173"/>
    <mergeCell ref="M172:M173"/>
    <mergeCell ref="N172:N173"/>
    <mergeCell ref="B182:E182"/>
    <mergeCell ref="G182:H182"/>
    <mergeCell ref="G177:H177"/>
    <mergeCell ref="I177:J177"/>
    <mergeCell ref="K177:L177"/>
    <mergeCell ref="I178:J178"/>
    <mergeCell ref="K178:L178"/>
    <mergeCell ref="B179:E179"/>
    <mergeCell ref="G179:H179"/>
    <mergeCell ref="I179:J179"/>
    <mergeCell ref="K179:L179"/>
    <mergeCell ref="B180:E180"/>
    <mergeCell ref="G180:H180"/>
    <mergeCell ref="I180:J180"/>
    <mergeCell ref="B181:E181"/>
    <mergeCell ref="G181:H181"/>
    <mergeCell ref="I184:J184"/>
    <mergeCell ref="K184:L184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B187:E187"/>
    <mergeCell ref="G187:H187"/>
    <mergeCell ref="I187:J187"/>
    <mergeCell ref="K187:L187"/>
    <mergeCell ref="M187:N187"/>
    <mergeCell ref="A188:E188"/>
    <mergeCell ref="G188:H188"/>
    <mergeCell ref="I188:J188"/>
    <mergeCell ref="K188:L188"/>
    <mergeCell ref="M188:N188"/>
    <mergeCell ref="A189:A191"/>
    <mergeCell ref="B189:C191"/>
    <mergeCell ref="D189:D191"/>
    <mergeCell ref="E189:F191"/>
    <mergeCell ref="G189:G191"/>
    <mergeCell ref="H189:H191"/>
    <mergeCell ref="I189:I191"/>
    <mergeCell ref="J189:J191"/>
    <mergeCell ref="K189:K191"/>
    <mergeCell ref="L189:L191"/>
    <mergeCell ref="M189:M191"/>
    <mergeCell ref="N189:N191"/>
    <mergeCell ref="A193:A194"/>
    <mergeCell ref="B193:C194"/>
    <mergeCell ref="D193:D194"/>
    <mergeCell ref="E193:F194"/>
    <mergeCell ref="G193:H194"/>
    <mergeCell ref="I193:J194"/>
    <mergeCell ref="K193:L194"/>
    <mergeCell ref="M193:N194"/>
    <mergeCell ref="A195:A196"/>
    <mergeCell ref="B195:E196"/>
    <mergeCell ref="F195:F196"/>
    <mergeCell ref="G195:H196"/>
    <mergeCell ref="I195:J196"/>
    <mergeCell ref="K195:L196"/>
    <mergeCell ref="M195:M196"/>
    <mergeCell ref="N195:N196"/>
    <mergeCell ref="B204:E204"/>
    <mergeCell ref="B198:E198"/>
    <mergeCell ref="G198:H198"/>
    <mergeCell ref="I198:J198"/>
    <mergeCell ref="K198:L198"/>
    <mergeCell ref="B199:E199"/>
    <mergeCell ref="G199:H199"/>
    <mergeCell ref="I199:J199"/>
    <mergeCell ref="K199:L199"/>
    <mergeCell ref="B197:E197"/>
    <mergeCell ref="G197:H197"/>
    <mergeCell ref="I197:J197"/>
    <mergeCell ref="K197:L197"/>
    <mergeCell ref="B200:E200"/>
    <mergeCell ref="G200:H200"/>
    <mergeCell ref="I200:J200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B210:E210"/>
    <mergeCell ref="G210:H210"/>
    <mergeCell ref="I210:J210"/>
    <mergeCell ref="K210:L210"/>
    <mergeCell ref="M210:N210"/>
    <mergeCell ref="A211:E211"/>
    <mergeCell ref="G211:H211"/>
    <mergeCell ref="I211:J211"/>
    <mergeCell ref="K211:L211"/>
    <mergeCell ref="M211:N211"/>
    <mergeCell ref="A212:A214"/>
    <mergeCell ref="B212:C214"/>
    <mergeCell ref="D212:D214"/>
    <mergeCell ref="E212:F214"/>
    <mergeCell ref="G212:G214"/>
    <mergeCell ref="H212:H214"/>
    <mergeCell ref="I212:I214"/>
    <mergeCell ref="J212:J214"/>
    <mergeCell ref="K212:K214"/>
    <mergeCell ref="L212:L214"/>
    <mergeCell ref="M212:M214"/>
    <mergeCell ref="N212:N214"/>
    <mergeCell ref="A216:A217"/>
    <mergeCell ref="B216:C217"/>
    <mergeCell ref="D216:D217"/>
    <mergeCell ref="E216:F217"/>
    <mergeCell ref="G216:H217"/>
    <mergeCell ref="I216:J217"/>
    <mergeCell ref="K216:L217"/>
    <mergeCell ref="M216:N217"/>
    <mergeCell ref="A218:A219"/>
    <mergeCell ref="B218:E219"/>
    <mergeCell ref="F218:F219"/>
    <mergeCell ref="G218:H219"/>
    <mergeCell ref="I218:J219"/>
    <mergeCell ref="K218:L219"/>
    <mergeCell ref="M218:M219"/>
    <mergeCell ref="N218:N219"/>
    <mergeCell ref="B226:E226"/>
    <mergeCell ref="B227:E227"/>
    <mergeCell ref="G227:H227"/>
    <mergeCell ref="I227:J227"/>
    <mergeCell ref="K227:L227"/>
    <mergeCell ref="B228:E228"/>
    <mergeCell ref="G228:H228"/>
    <mergeCell ref="I228:J228"/>
    <mergeCell ref="K228:L228"/>
    <mergeCell ref="B224:E224"/>
    <mergeCell ref="G224:H224"/>
    <mergeCell ref="I224:J224"/>
    <mergeCell ref="K224:L224"/>
    <mergeCell ref="B220:E220"/>
    <mergeCell ref="G220:H220"/>
    <mergeCell ref="I220:J220"/>
    <mergeCell ref="K220:L220"/>
    <mergeCell ref="B223:E223"/>
    <mergeCell ref="G223:H223"/>
    <mergeCell ref="I223:J223"/>
    <mergeCell ref="K223:L223"/>
    <mergeCell ref="B225:E225"/>
    <mergeCell ref="G225:H225"/>
    <mergeCell ref="I225:J225"/>
    <mergeCell ref="M233:N233"/>
    <mergeCell ref="A234:E234"/>
    <mergeCell ref="G234:H234"/>
    <mergeCell ref="I234:J234"/>
    <mergeCell ref="K234:L234"/>
    <mergeCell ref="M234:N234"/>
    <mergeCell ref="A235:A237"/>
    <mergeCell ref="B235:C237"/>
    <mergeCell ref="D235:D237"/>
    <mergeCell ref="E235:F237"/>
    <mergeCell ref="G235:G237"/>
    <mergeCell ref="H235:H237"/>
    <mergeCell ref="I235:I237"/>
    <mergeCell ref="J235:J237"/>
    <mergeCell ref="K235:K237"/>
    <mergeCell ref="L235:L237"/>
    <mergeCell ref="M235:M237"/>
    <mergeCell ref="N235:N237"/>
    <mergeCell ref="I233:J233"/>
    <mergeCell ref="K233:L233"/>
    <mergeCell ref="A239:A240"/>
    <mergeCell ref="B239:C240"/>
    <mergeCell ref="D239:D240"/>
    <mergeCell ref="E239:F240"/>
    <mergeCell ref="G239:H240"/>
    <mergeCell ref="I239:J240"/>
    <mergeCell ref="K239:L240"/>
    <mergeCell ref="M239:N240"/>
    <mergeCell ref="A241:A242"/>
    <mergeCell ref="B241:E242"/>
    <mergeCell ref="F241:F242"/>
    <mergeCell ref="G241:H242"/>
    <mergeCell ref="I241:J242"/>
    <mergeCell ref="K241:L242"/>
    <mergeCell ref="M241:M242"/>
    <mergeCell ref="N241:N242"/>
    <mergeCell ref="B248:E248"/>
    <mergeCell ref="B244:E244"/>
    <mergeCell ref="G244:H244"/>
    <mergeCell ref="I244:J244"/>
    <mergeCell ref="K244:L244"/>
    <mergeCell ref="B245:E245"/>
    <mergeCell ref="G245:H245"/>
    <mergeCell ref="I245:J245"/>
    <mergeCell ref="K245:L245"/>
    <mergeCell ref="B243:E243"/>
    <mergeCell ref="G243:H243"/>
    <mergeCell ref="I243:J243"/>
    <mergeCell ref="K243:L243"/>
    <mergeCell ref="G249:H249"/>
    <mergeCell ref="I249:J249"/>
    <mergeCell ref="K249:L249"/>
    <mergeCell ref="B250:E250"/>
    <mergeCell ref="G250:H250"/>
    <mergeCell ref="I250:J250"/>
    <mergeCell ref="K250:L250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G248:H248"/>
    <mergeCell ref="I248:J248"/>
    <mergeCell ref="K248:L248"/>
    <mergeCell ref="B249:E249"/>
    <mergeCell ref="M256:N256"/>
    <mergeCell ref="A257:E257"/>
    <mergeCell ref="M257:N257"/>
    <mergeCell ref="A258:A260"/>
    <mergeCell ref="B258:C260"/>
    <mergeCell ref="D258:D260"/>
    <mergeCell ref="E258:F260"/>
    <mergeCell ref="G258:G260"/>
    <mergeCell ref="H258:H260"/>
    <mergeCell ref="I258:I260"/>
    <mergeCell ref="J258:J260"/>
    <mergeCell ref="K258:K260"/>
    <mergeCell ref="L258:L260"/>
    <mergeCell ref="M258:M260"/>
    <mergeCell ref="N258:N260"/>
    <mergeCell ref="A262:A263"/>
    <mergeCell ref="B262:C263"/>
    <mergeCell ref="D262:D263"/>
    <mergeCell ref="E262:F263"/>
    <mergeCell ref="G262:H263"/>
    <mergeCell ref="I262:J263"/>
    <mergeCell ref="K262:L263"/>
    <mergeCell ref="M262:N263"/>
    <mergeCell ref="G257:H257"/>
    <mergeCell ref="I257:J257"/>
    <mergeCell ref="K257:L257"/>
    <mergeCell ref="B256:E256"/>
    <mergeCell ref="G256:H256"/>
    <mergeCell ref="I256:J256"/>
    <mergeCell ref="K256:L256"/>
    <mergeCell ref="A264:A265"/>
    <mergeCell ref="B264:E265"/>
    <mergeCell ref="F264:F265"/>
    <mergeCell ref="G264:H265"/>
    <mergeCell ref="I264:J265"/>
    <mergeCell ref="K264:L265"/>
    <mergeCell ref="M264:M265"/>
    <mergeCell ref="N264:N265"/>
    <mergeCell ref="B270:E270"/>
    <mergeCell ref="B271:E271"/>
    <mergeCell ref="G271:H271"/>
    <mergeCell ref="I271:J271"/>
    <mergeCell ref="K271:L271"/>
    <mergeCell ref="B272:E272"/>
    <mergeCell ref="G272:H272"/>
    <mergeCell ref="I272:J272"/>
    <mergeCell ref="K272:L272"/>
    <mergeCell ref="I270:J270"/>
    <mergeCell ref="K270:L270"/>
    <mergeCell ref="G269:H269"/>
    <mergeCell ref="I269:J269"/>
    <mergeCell ref="K269:L269"/>
    <mergeCell ref="G270:H270"/>
    <mergeCell ref="B268:E268"/>
    <mergeCell ref="G268:H268"/>
    <mergeCell ref="I268:J268"/>
    <mergeCell ref="K268:L268"/>
    <mergeCell ref="B269:E269"/>
    <mergeCell ref="B266:E266"/>
    <mergeCell ref="G266:H266"/>
    <mergeCell ref="I266:J266"/>
    <mergeCell ref="K266:L266"/>
    <mergeCell ref="M279:N279"/>
    <mergeCell ref="A280:E280"/>
    <mergeCell ref="M280:N280"/>
    <mergeCell ref="A281:A283"/>
    <mergeCell ref="B281:C283"/>
    <mergeCell ref="D281:D283"/>
    <mergeCell ref="E281:F283"/>
    <mergeCell ref="G281:G283"/>
    <mergeCell ref="H281:H283"/>
    <mergeCell ref="I281:I283"/>
    <mergeCell ref="J281:J283"/>
    <mergeCell ref="K281:K283"/>
    <mergeCell ref="L281:L283"/>
    <mergeCell ref="M281:M283"/>
    <mergeCell ref="N281:N283"/>
    <mergeCell ref="G280:H280"/>
    <mergeCell ref="I280:J280"/>
    <mergeCell ref="K280:L280"/>
    <mergeCell ref="G279:H279"/>
    <mergeCell ref="I279:J279"/>
    <mergeCell ref="K279:L279"/>
    <mergeCell ref="B279:E279"/>
    <mergeCell ref="A285:A286"/>
    <mergeCell ref="B285:C286"/>
    <mergeCell ref="D285:D286"/>
    <mergeCell ref="E285:F286"/>
    <mergeCell ref="G285:H286"/>
    <mergeCell ref="I285:J286"/>
    <mergeCell ref="K285:L286"/>
    <mergeCell ref="M285:N286"/>
    <mergeCell ref="A287:A288"/>
    <mergeCell ref="B287:E288"/>
    <mergeCell ref="F287:F288"/>
    <mergeCell ref="G287:H288"/>
    <mergeCell ref="I287:J288"/>
    <mergeCell ref="K287:L288"/>
    <mergeCell ref="M287:M288"/>
    <mergeCell ref="N287:N288"/>
    <mergeCell ref="B292:E292"/>
    <mergeCell ref="B289:E289"/>
    <mergeCell ref="G289:H289"/>
    <mergeCell ref="I289:J289"/>
    <mergeCell ref="K289:L289"/>
    <mergeCell ref="G292:H292"/>
    <mergeCell ref="K292:L292"/>
    <mergeCell ref="I299:J299"/>
    <mergeCell ref="K299:L299"/>
    <mergeCell ref="M302:N302"/>
    <mergeCell ref="A303:E303"/>
    <mergeCell ref="M303:N303"/>
    <mergeCell ref="A304:A306"/>
    <mergeCell ref="B304:C306"/>
    <mergeCell ref="D304:D306"/>
    <mergeCell ref="E304:F306"/>
    <mergeCell ref="G304:G306"/>
    <mergeCell ref="H304:H306"/>
    <mergeCell ref="I304:I306"/>
    <mergeCell ref="J304:J306"/>
    <mergeCell ref="K304:K306"/>
    <mergeCell ref="L304:L306"/>
    <mergeCell ref="M304:M306"/>
    <mergeCell ref="N304:N306"/>
    <mergeCell ref="K302:L302"/>
    <mergeCell ref="G303:H303"/>
    <mergeCell ref="I303:J303"/>
    <mergeCell ref="K303:L303"/>
    <mergeCell ref="A308:A309"/>
    <mergeCell ref="B308:C309"/>
    <mergeCell ref="D308:D309"/>
    <mergeCell ref="E308:F309"/>
    <mergeCell ref="G308:H309"/>
    <mergeCell ref="I308:J309"/>
    <mergeCell ref="K308:L309"/>
    <mergeCell ref="M308:N309"/>
    <mergeCell ref="A310:A311"/>
    <mergeCell ref="B310:E311"/>
    <mergeCell ref="F310:F311"/>
    <mergeCell ref="G310:H311"/>
    <mergeCell ref="I310:J311"/>
    <mergeCell ref="K310:L311"/>
    <mergeCell ref="M310:M311"/>
    <mergeCell ref="N310:N311"/>
    <mergeCell ref="B314:E314"/>
    <mergeCell ref="B315:E315"/>
    <mergeCell ref="G315:H315"/>
    <mergeCell ref="I315:J315"/>
    <mergeCell ref="K315:L315"/>
    <mergeCell ref="B316:E316"/>
    <mergeCell ref="G316:H316"/>
    <mergeCell ref="I316:J316"/>
    <mergeCell ref="K316:L316"/>
    <mergeCell ref="B313:E313"/>
    <mergeCell ref="G313:H313"/>
    <mergeCell ref="I313:J313"/>
    <mergeCell ref="K313:L313"/>
    <mergeCell ref="G314:H314"/>
    <mergeCell ref="I314:J314"/>
    <mergeCell ref="K314:L314"/>
    <mergeCell ref="K312:L312"/>
    <mergeCell ref="B318:E318"/>
    <mergeCell ref="G318:H318"/>
    <mergeCell ref="I318:J318"/>
    <mergeCell ref="K318:L318"/>
    <mergeCell ref="B319:E319"/>
    <mergeCell ref="G319:H319"/>
    <mergeCell ref="I319:J319"/>
    <mergeCell ref="K319:L319"/>
    <mergeCell ref="B320:E320"/>
    <mergeCell ref="G320:H320"/>
    <mergeCell ref="I320:J320"/>
    <mergeCell ref="K320:L320"/>
    <mergeCell ref="B321:E321"/>
    <mergeCell ref="G321:H321"/>
    <mergeCell ref="I321:J321"/>
    <mergeCell ref="K321:L321"/>
    <mergeCell ref="B322:E322"/>
    <mergeCell ref="G322:H322"/>
    <mergeCell ref="I322:J322"/>
    <mergeCell ref="K322:L322"/>
    <mergeCell ref="A350:A352"/>
    <mergeCell ref="B350:C352"/>
    <mergeCell ref="D350:D352"/>
    <mergeCell ref="E350:F352"/>
    <mergeCell ref="G350:G352"/>
    <mergeCell ref="H350:H352"/>
    <mergeCell ref="K349:L349"/>
    <mergeCell ref="I343:J343"/>
    <mergeCell ref="K343:L343"/>
    <mergeCell ref="K350:K352"/>
    <mergeCell ref="L350:L352"/>
    <mergeCell ref="I333:J334"/>
    <mergeCell ref="K333:L334"/>
    <mergeCell ref="B336:E336"/>
    <mergeCell ref="B337:E337"/>
    <mergeCell ref="G337:H337"/>
    <mergeCell ref="M326:N326"/>
    <mergeCell ref="A327:A329"/>
    <mergeCell ref="B327:C329"/>
    <mergeCell ref="D327:D329"/>
    <mergeCell ref="E327:F329"/>
    <mergeCell ref="G327:G329"/>
    <mergeCell ref="H327:H329"/>
    <mergeCell ref="I327:I329"/>
    <mergeCell ref="J327:J329"/>
    <mergeCell ref="K327:K329"/>
    <mergeCell ref="L327:L329"/>
    <mergeCell ref="M327:M329"/>
    <mergeCell ref="N327:N329"/>
    <mergeCell ref="A331:A332"/>
    <mergeCell ref="B331:C332"/>
    <mergeCell ref="D331:D332"/>
    <mergeCell ref="E331:F332"/>
    <mergeCell ref="G331:H332"/>
    <mergeCell ref="I331:J332"/>
    <mergeCell ref="K331:L332"/>
    <mergeCell ref="M331:N332"/>
    <mergeCell ref="G326:H326"/>
    <mergeCell ref="I326:J326"/>
    <mergeCell ref="K326:L326"/>
    <mergeCell ref="A326:E326"/>
    <mergeCell ref="M348:N348"/>
    <mergeCell ref="A356:A357"/>
    <mergeCell ref="B356:E357"/>
    <mergeCell ref="F356:F357"/>
    <mergeCell ref="G356:H357"/>
    <mergeCell ref="I356:J357"/>
    <mergeCell ref="K356:L357"/>
    <mergeCell ref="M356:M357"/>
    <mergeCell ref="N356:N357"/>
    <mergeCell ref="B358:E358"/>
    <mergeCell ref="B359:E359"/>
    <mergeCell ref="G359:H359"/>
    <mergeCell ref="I359:J359"/>
    <mergeCell ref="K359:L359"/>
    <mergeCell ref="B360:E360"/>
    <mergeCell ref="G360:H360"/>
    <mergeCell ref="I360:J360"/>
    <mergeCell ref="K360:L360"/>
    <mergeCell ref="G358:H358"/>
    <mergeCell ref="I358:J358"/>
    <mergeCell ref="K358:L358"/>
    <mergeCell ref="M350:M352"/>
    <mergeCell ref="N350:N352"/>
    <mergeCell ref="A354:A355"/>
    <mergeCell ref="B354:C355"/>
    <mergeCell ref="D354:D355"/>
    <mergeCell ref="E354:F355"/>
    <mergeCell ref="G354:H355"/>
    <mergeCell ref="I354:J355"/>
    <mergeCell ref="K354:L355"/>
    <mergeCell ref="M354:N355"/>
    <mergeCell ref="M349:N349"/>
    <mergeCell ref="B366:E366"/>
    <mergeCell ref="G366:H366"/>
    <mergeCell ref="I366:J366"/>
    <mergeCell ref="K366:L366"/>
    <mergeCell ref="M371:N371"/>
    <mergeCell ref="A372:E372"/>
    <mergeCell ref="M372:N372"/>
    <mergeCell ref="A373:A375"/>
    <mergeCell ref="B373:C375"/>
    <mergeCell ref="D373:D375"/>
    <mergeCell ref="E373:F375"/>
    <mergeCell ref="G373:G375"/>
    <mergeCell ref="H373:H375"/>
    <mergeCell ref="I373:I375"/>
    <mergeCell ref="J373:J375"/>
    <mergeCell ref="K373:K375"/>
    <mergeCell ref="L373:L375"/>
    <mergeCell ref="M373:M375"/>
    <mergeCell ref="N373:N375"/>
    <mergeCell ref="G372:H372"/>
    <mergeCell ref="I372:J372"/>
    <mergeCell ref="K372:L372"/>
    <mergeCell ref="B371:E371"/>
    <mergeCell ref="G371:H371"/>
    <mergeCell ref="I371:J371"/>
    <mergeCell ref="K371:L371"/>
    <mergeCell ref="B369:E369"/>
    <mergeCell ref="G369:H369"/>
    <mergeCell ref="I369:J369"/>
    <mergeCell ref="K369:L369"/>
    <mergeCell ref="B370:E370"/>
    <mergeCell ref="G370:H370"/>
    <mergeCell ref="A377:A378"/>
    <mergeCell ref="B377:C378"/>
    <mergeCell ref="D377:D378"/>
    <mergeCell ref="E377:F378"/>
    <mergeCell ref="G377:H378"/>
    <mergeCell ref="I377:J378"/>
    <mergeCell ref="K377:L378"/>
    <mergeCell ref="M377:N378"/>
    <mergeCell ref="A379:A380"/>
    <mergeCell ref="B379:E380"/>
    <mergeCell ref="F379:F380"/>
    <mergeCell ref="G379:H380"/>
    <mergeCell ref="I379:J380"/>
    <mergeCell ref="K379:L380"/>
    <mergeCell ref="M379:M380"/>
    <mergeCell ref="N379:N380"/>
    <mergeCell ref="B381:E381"/>
    <mergeCell ref="G381:H381"/>
    <mergeCell ref="I381:J381"/>
    <mergeCell ref="K381:L381"/>
    <mergeCell ref="A400:A401"/>
    <mergeCell ref="B400:C401"/>
    <mergeCell ref="D400:D401"/>
    <mergeCell ref="E400:F401"/>
    <mergeCell ref="G400:H401"/>
    <mergeCell ref="I400:J401"/>
    <mergeCell ref="K400:L401"/>
    <mergeCell ref="M400:N401"/>
    <mergeCell ref="I404:J404"/>
    <mergeCell ref="K404:L404"/>
    <mergeCell ref="B405:E405"/>
    <mergeCell ref="G405:H405"/>
    <mergeCell ref="I405:J405"/>
    <mergeCell ref="K405:L405"/>
    <mergeCell ref="A402:A403"/>
    <mergeCell ref="B402:E403"/>
    <mergeCell ref="F402:F403"/>
    <mergeCell ref="G402:H403"/>
    <mergeCell ref="I402:J403"/>
    <mergeCell ref="K402:L403"/>
    <mergeCell ref="M402:M403"/>
    <mergeCell ref="N402:N403"/>
    <mergeCell ref="B404:E404"/>
    <mergeCell ref="G404:H404"/>
    <mergeCell ref="B406:E406"/>
    <mergeCell ref="G406:H406"/>
    <mergeCell ref="I406:J406"/>
    <mergeCell ref="K406:L406"/>
    <mergeCell ref="B407:E407"/>
    <mergeCell ref="G407:H407"/>
    <mergeCell ref="I407:J407"/>
    <mergeCell ref="K407:L407"/>
    <mergeCell ref="B408:E408"/>
    <mergeCell ref="G408:H408"/>
    <mergeCell ref="I408:J408"/>
    <mergeCell ref="K408:L408"/>
    <mergeCell ref="B409:E409"/>
    <mergeCell ref="G409:H409"/>
    <mergeCell ref="I409:J409"/>
    <mergeCell ref="K409:L409"/>
    <mergeCell ref="B410:E410"/>
    <mergeCell ref="G410:H410"/>
    <mergeCell ref="I410:J410"/>
    <mergeCell ref="K410:L410"/>
    <mergeCell ref="M417:N417"/>
    <mergeCell ref="A418:E418"/>
    <mergeCell ref="M418:N418"/>
    <mergeCell ref="A419:A421"/>
    <mergeCell ref="B419:C421"/>
    <mergeCell ref="D419:D421"/>
    <mergeCell ref="E419:F421"/>
    <mergeCell ref="G419:G421"/>
    <mergeCell ref="H419:H421"/>
    <mergeCell ref="I419:I421"/>
    <mergeCell ref="J419:J421"/>
    <mergeCell ref="K419:K421"/>
    <mergeCell ref="L419:L421"/>
    <mergeCell ref="M419:M421"/>
    <mergeCell ref="N419:N421"/>
    <mergeCell ref="B416:E416"/>
    <mergeCell ref="G416:H416"/>
    <mergeCell ref="I416:J416"/>
    <mergeCell ref="K416:L416"/>
    <mergeCell ref="B417:E417"/>
    <mergeCell ref="G417:H417"/>
    <mergeCell ref="I417:J417"/>
    <mergeCell ref="K417:L417"/>
    <mergeCell ref="A423:A424"/>
    <mergeCell ref="B423:C424"/>
    <mergeCell ref="D423:D424"/>
    <mergeCell ref="E423:F424"/>
    <mergeCell ref="G423:H424"/>
    <mergeCell ref="I423:J424"/>
    <mergeCell ref="K423:L424"/>
    <mergeCell ref="M423:N424"/>
    <mergeCell ref="A425:A426"/>
    <mergeCell ref="B425:E426"/>
    <mergeCell ref="F425:F426"/>
    <mergeCell ref="G425:H426"/>
    <mergeCell ref="I425:J426"/>
    <mergeCell ref="K425:L426"/>
    <mergeCell ref="M425:M426"/>
    <mergeCell ref="N425:N426"/>
    <mergeCell ref="B427:E427"/>
    <mergeCell ref="G427:H427"/>
    <mergeCell ref="I427:J427"/>
    <mergeCell ref="K427:L427"/>
    <mergeCell ref="M440:N440"/>
    <mergeCell ref="A441:E441"/>
    <mergeCell ref="M441:N441"/>
    <mergeCell ref="A442:A444"/>
    <mergeCell ref="B442:C444"/>
    <mergeCell ref="D442:D444"/>
    <mergeCell ref="E442:F444"/>
    <mergeCell ref="G442:G444"/>
    <mergeCell ref="H442:H444"/>
    <mergeCell ref="I442:I444"/>
    <mergeCell ref="J442:J444"/>
    <mergeCell ref="K442:K444"/>
    <mergeCell ref="L442:L444"/>
    <mergeCell ref="M442:M444"/>
    <mergeCell ref="N442:N444"/>
    <mergeCell ref="B435:E435"/>
    <mergeCell ref="G435:H435"/>
    <mergeCell ref="I435:J435"/>
    <mergeCell ref="K435:L435"/>
    <mergeCell ref="B436:E436"/>
    <mergeCell ref="G436:H436"/>
    <mergeCell ref="I436:J436"/>
    <mergeCell ref="K436:L436"/>
    <mergeCell ref="B437:E437"/>
    <mergeCell ref="G437:H437"/>
    <mergeCell ref="I437:J437"/>
    <mergeCell ref="K437:L437"/>
    <mergeCell ref="B438:E438"/>
    <mergeCell ref="G438:H438"/>
    <mergeCell ref="I438:J438"/>
    <mergeCell ref="K438:L438"/>
    <mergeCell ref="A446:A447"/>
    <mergeCell ref="B446:C447"/>
    <mergeCell ref="D446:D447"/>
    <mergeCell ref="E446:F447"/>
    <mergeCell ref="G446:H447"/>
    <mergeCell ref="I446:J447"/>
    <mergeCell ref="K446:L447"/>
    <mergeCell ref="M446:N447"/>
    <mergeCell ref="G441:H441"/>
    <mergeCell ref="I441:J441"/>
    <mergeCell ref="K441:L441"/>
    <mergeCell ref="A448:A449"/>
    <mergeCell ref="B448:E449"/>
    <mergeCell ref="F448:F449"/>
    <mergeCell ref="G448:H449"/>
    <mergeCell ref="I448:J449"/>
    <mergeCell ref="K448:L449"/>
    <mergeCell ref="M448:M449"/>
    <mergeCell ref="N448:N449"/>
    <mergeCell ref="B454:E454"/>
    <mergeCell ref="G454:H454"/>
    <mergeCell ref="I454:J454"/>
    <mergeCell ref="K454:L454"/>
    <mergeCell ref="M463:N463"/>
    <mergeCell ref="A464:E464"/>
    <mergeCell ref="M464:N464"/>
    <mergeCell ref="A465:A467"/>
    <mergeCell ref="B465:C467"/>
    <mergeCell ref="D465:D467"/>
    <mergeCell ref="E465:F467"/>
    <mergeCell ref="G465:G467"/>
    <mergeCell ref="H465:H467"/>
    <mergeCell ref="I465:I467"/>
    <mergeCell ref="J465:J467"/>
    <mergeCell ref="K465:K467"/>
    <mergeCell ref="L465:L467"/>
    <mergeCell ref="M465:M467"/>
    <mergeCell ref="N465:N467"/>
    <mergeCell ref="G464:H464"/>
    <mergeCell ref="I464:J464"/>
    <mergeCell ref="K464:L464"/>
    <mergeCell ref="B462:E462"/>
    <mergeCell ref="G462:H462"/>
    <mergeCell ref="B460:E460"/>
    <mergeCell ref="G460:H460"/>
    <mergeCell ref="I460:J460"/>
    <mergeCell ref="K460:L460"/>
    <mergeCell ref="B461:E461"/>
    <mergeCell ref="G461:H461"/>
    <mergeCell ref="I461:J461"/>
    <mergeCell ref="K461:L461"/>
    <mergeCell ref="M471:M472"/>
    <mergeCell ref="N471:N472"/>
    <mergeCell ref="B473:E473"/>
    <mergeCell ref="G473:H473"/>
    <mergeCell ref="I473:J473"/>
    <mergeCell ref="K473:L473"/>
    <mergeCell ref="B474:E474"/>
    <mergeCell ref="G474:H474"/>
    <mergeCell ref="I474:J474"/>
    <mergeCell ref="K474:L474"/>
    <mergeCell ref="A469:A470"/>
    <mergeCell ref="B469:C470"/>
    <mergeCell ref="D469:D470"/>
    <mergeCell ref="E469:F470"/>
    <mergeCell ref="G469:H470"/>
    <mergeCell ref="A471:A472"/>
    <mergeCell ref="K480:L480"/>
    <mergeCell ref="B477:E477"/>
    <mergeCell ref="G477:H477"/>
    <mergeCell ref="I477:J477"/>
    <mergeCell ref="K477:L477"/>
    <mergeCell ref="B478:E478"/>
    <mergeCell ref="G478:H478"/>
    <mergeCell ref="I478:J478"/>
    <mergeCell ref="K478:L478"/>
    <mergeCell ref="B475:E475"/>
    <mergeCell ref="G475:H475"/>
    <mergeCell ref="I475:J475"/>
    <mergeCell ref="K475:L475"/>
    <mergeCell ref="B476:E476"/>
    <mergeCell ref="G476:H476"/>
    <mergeCell ref="M487:N487"/>
    <mergeCell ref="A488:A490"/>
    <mergeCell ref="B488:C490"/>
    <mergeCell ref="D488:D490"/>
    <mergeCell ref="E488:F490"/>
    <mergeCell ref="G488:G490"/>
    <mergeCell ref="H488:H490"/>
    <mergeCell ref="I488:I490"/>
    <mergeCell ref="J488:J490"/>
    <mergeCell ref="K488:K490"/>
    <mergeCell ref="L488:L490"/>
    <mergeCell ref="M488:M490"/>
    <mergeCell ref="N488:N490"/>
    <mergeCell ref="A492:A493"/>
    <mergeCell ref="B492:C493"/>
    <mergeCell ref="D492:D493"/>
    <mergeCell ref="E492:F493"/>
    <mergeCell ref="G492:H493"/>
    <mergeCell ref="I492:J493"/>
    <mergeCell ref="K492:L493"/>
    <mergeCell ref="M492:N493"/>
    <mergeCell ref="N494:N495"/>
    <mergeCell ref="B496:E496"/>
    <mergeCell ref="G496:H496"/>
    <mergeCell ref="I496:J496"/>
    <mergeCell ref="K496:L496"/>
    <mergeCell ref="B497:E497"/>
    <mergeCell ref="G497:H497"/>
    <mergeCell ref="I497:J497"/>
    <mergeCell ref="K497:L497"/>
    <mergeCell ref="B498:E498"/>
    <mergeCell ref="G498:H498"/>
    <mergeCell ref="I498:J498"/>
    <mergeCell ref="K498:L498"/>
    <mergeCell ref="A510:E510"/>
    <mergeCell ref="M510:N510"/>
    <mergeCell ref="A511:A513"/>
    <mergeCell ref="B511:C513"/>
    <mergeCell ref="D511:D513"/>
    <mergeCell ref="E511:F513"/>
    <mergeCell ref="G511:G513"/>
    <mergeCell ref="H511:H513"/>
    <mergeCell ref="I511:I513"/>
    <mergeCell ref="J511:J513"/>
    <mergeCell ref="K511:K513"/>
    <mergeCell ref="L511:L513"/>
    <mergeCell ref="M511:M513"/>
    <mergeCell ref="N511:N513"/>
    <mergeCell ref="G510:H510"/>
    <mergeCell ref="I510:J510"/>
    <mergeCell ref="K510:L510"/>
    <mergeCell ref="B504:E504"/>
    <mergeCell ref="M517:M518"/>
    <mergeCell ref="N517:N518"/>
    <mergeCell ref="B519:E519"/>
    <mergeCell ref="G519:H519"/>
    <mergeCell ref="I519:J519"/>
    <mergeCell ref="K519:L519"/>
    <mergeCell ref="B520:E520"/>
    <mergeCell ref="G520:H520"/>
    <mergeCell ref="I520:J520"/>
    <mergeCell ref="K520:L520"/>
    <mergeCell ref="A533:E533"/>
    <mergeCell ref="A534:A536"/>
    <mergeCell ref="B534:C536"/>
    <mergeCell ref="D534:D536"/>
    <mergeCell ref="E534:F536"/>
    <mergeCell ref="G534:G536"/>
    <mergeCell ref="H534:H536"/>
    <mergeCell ref="I534:I536"/>
    <mergeCell ref="J534:J536"/>
    <mergeCell ref="K534:K536"/>
    <mergeCell ref="L534:L536"/>
    <mergeCell ref="M534:M536"/>
    <mergeCell ref="N534:N536"/>
    <mergeCell ref="B531:E531"/>
    <mergeCell ref="B532:E532"/>
    <mergeCell ref="G532:H532"/>
    <mergeCell ref="I532:J532"/>
    <mergeCell ref="K532:L532"/>
    <mergeCell ref="G531:H531"/>
    <mergeCell ref="I531:J531"/>
    <mergeCell ref="K531:L531"/>
    <mergeCell ref="M579:N579"/>
    <mergeCell ref="A580:A582"/>
    <mergeCell ref="B580:C582"/>
    <mergeCell ref="D580:D582"/>
    <mergeCell ref="E580:F582"/>
    <mergeCell ref="G580:G582"/>
    <mergeCell ref="H580:H582"/>
    <mergeCell ref="I580:I582"/>
    <mergeCell ref="J580:J582"/>
    <mergeCell ref="K580:K582"/>
    <mergeCell ref="L580:L582"/>
    <mergeCell ref="M580:M582"/>
    <mergeCell ref="N580:N582"/>
    <mergeCell ref="B571:E571"/>
    <mergeCell ref="G571:H571"/>
    <mergeCell ref="I571:J571"/>
    <mergeCell ref="K571:L571"/>
    <mergeCell ref="B572:E572"/>
    <mergeCell ref="G572:H572"/>
    <mergeCell ref="I572:J572"/>
    <mergeCell ref="K572:L572"/>
    <mergeCell ref="B573:E573"/>
    <mergeCell ref="G573:H573"/>
    <mergeCell ref="I573:J573"/>
    <mergeCell ref="K573:L573"/>
    <mergeCell ref="B574:E574"/>
    <mergeCell ref="G574:H574"/>
    <mergeCell ref="I574:J574"/>
    <mergeCell ref="K574:L574"/>
    <mergeCell ref="B575:E575"/>
    <mergeCell ref="G575:H575"/>
    <mergeCell ref="I575:J575"/>
    <mergeCell ref="I586:J587"/>
    <mergeCell ref="K586:L587"/>
    <mergeCell ref="M586:M587"/>
    <mergeCell ref="N586:N587"/>
    <mergeCell ref="B600:E600"/>
    <mergeCell ref="B601:E601"/>
    <mergeCell ref="G601:H601"/>
    <mergeCell ref="I601:J601"/>
    <mergeCell ref="K601:L601"/>
    <mergeCell ref="A602:E602"/>
    <mergeCell ref="G602:H602"/>
    <mergeCell ref="I602:J602"/>
    <mergeCell ref="K602:L602"/>
    <mergeCell ref="M602:N602"/>
    <mergeCell ref="A603:A605"/>
    <mergeCell ref="B603:C605"/>
    <mergeCell ref="D603:D605"/>
    <mergeCell ref="E603:F605"/>
    <mergeCell ref="G603:G605"/>
    <mergeCell ref="H603:H605"/>
    <mergeCell ref="I603:I605"/>
    <mergeCell ref="J603:J605"/>
    <mergeCell ref="K603:K605"/>
    <mergeCell ref="L603:L605"/>
    <mergeCell ref="M603:M605"/>
    <mergeCell ref="N603:N605"/>
    <mergeCell ref="B593:E593"/>
    <mergeCell ref="G593:H593"/>
    <mergeCell ref="I593:J593"/>
    <mergeCell ref="K593:L593"/>
    <mergeCell ref="B594:E594"/>
    <mergeCell ref="A626:A628"/>
    <mergeCell ref="B626:C628"/>
    <mergeCell ref="D626:D628"/>
    <mergeCell ref="E626:F628"/>
    <mergeCell ref="G626:G628"/>
    <mergeCell ref="H626:H628"/>
    <mergeCell ref="I626:I628"/>
    <mergeCell ref="J626:J628"/>
    <mergeCell ref="K626:K628"/>
    <mergeCell ref="L626:L628"/>
    <mergeCell ref="M626:M628"/>
    <mergeCell ref="N626:N628"/>
    <mergeCell ref="A632:A633"/>
    <mergeCell ref="B632:E633"/>
    <mergeCell ref="F632:F633"/>
    <mergeCell ref="G632:H633"/>
    <mergeCell ref="I632:J633"/>
    <mergeCell ref="K632:L633"/>
    <mergeCell ref="M632:M633"/>
    <mergeCell ref="N632:N633"/>
    <mergeCell ref="A649:A651"/>
    <mergeCell ref="B649:C651"/>
    <mergeCell ref="D649:D651"/>
    <mergeCell ref="E649:F651"/>
    <mergeCell ref="G649:G651"/>
    <mergeCell ref="H649:H651"/>
    <mergeCell ref="I649:I651"/>
    <mergeCell ref="J649:J651"/>
    <mergeCell ref="K649:K651"/>
    <mergeCell ref="L649:L651"/>
    <mergeCell ref="M649:M651"/>
    <mergeCell ref="N649:N651"/>
    <mergeCell ref="A655:A656"/>
    <mergeCell ref="B655:E656"/>
    <mergeCell ref="F655:F656"/>
    <mergeCell ref="G655:H656"/>
    <mergeCell ref="I655:J656"/>
    <mergeCell ref="K655:L656"/>
    <mergeCell ref="M655:M656"/>
    <mergeCell ref="N655:N656"/>
    <mergeCell ref="K668:L668"/>
    <mergeCell ref="B659:E659"/>
    <mergeCell ref="G659:H659"/>
    <mergeCell ref="I659:J659"/>
    <mergeCell ref="K659:L659"/>
    <mergeCell ref="B660:E660"/>
    <mergeCell ref="G660:H660"/>
    <mergeCell ref="I660:J660"/>
    <mergeCell ref="K660:L660"/>
    <mergeCell ref="B661:E661"/>
    <mergeCell ref="G661:H661"/>
    <mergeCell ref="I661:J661"/>
    <mergeCell ref="K661:L661"/>
    <mergeCell ref="B662:E662"/>
    <mergeCell ref="G662:H662"/>
    <mergeCell ref="I662:J662"/>
    <mergeCell ref="B670:E670"/>
    <mergeCell ref="G670:H670"/>
    <mergeCell ref="I670:J670"/>
    <mergeCell ref="K670:L670"/>
    <mergeCell ref="K662:L662"/>
    <mergeCell ref="B663:E663"/>
    <mergeCell ref="G663:H663"/>
    <mergeCell ref="I663:J663"/>
    <mergeCell ref="K663:L663"/>
    <mergeCell ref="A671:E671"/>
    <mergeCell ref="G671:H671"/>
    <mergeCell ref="I671:J671"/>
    <mergeCell ref="K671:L671"/>
    <mergeCell ref="M671:N671"/>
    <mergeCell ref="A672:A674"/>
    <mergeCell ref="B672:C674"/>
    <mergeCell ref="D672:D674"/>
    <mergeCell ref="E672:F674"/>
    <mergeCell ref="G672:G674"/>
    <mergeCell ref="H672:H674"/>
    <mergeCell ref="I672:I674"/>
    <mergeCell ref="J672:J674"/>
    <mergeCell ref="K672:K674"/>
    <mergeCell ref="L672:L674"/>
    <mergeCell ref="M672:M674"/>
    <mergeCell ref="N672:N674"/>
    <mergeCell ref="A676:A677"/>
    <mergeCell ref="B676:C677"/>
    <mergeCell ref="D676:D677"/>
    <mergeCell ref="E676:F677"/>
    <mergeCell ref="G676:H677"/>
    <mergeCell ref="I676:J677"/>
    <mergeCell ref="K676:L677"/>
    <mergeCell ref="M676:N677"/>
    <mergeCell ref="A678:A679"/>
    <mergeCell ref="B678:E679"/>
    <mergeCell ref="F678:F679"/>
    <mergeCell ref="G678:H679"/>
    <mergeCell ref="I678:J679"/>
    <mergeCell ref="K678:L679"/>
    <mergeCell ref="M678:M679"/>
    <mergeCell ref="N678:N679"/>
    <mergeCell ref="B688:E688"/>
    <mergeCell ref="B681:E681"/>
    <mergeCell ref="G681:H681"/>
    <mergeCell ref="I681:J681"/>
    <mergeCell ref="K681:L681"/>
    <mergeCell ref="B682:E682"/>
    <mergeCell ref="G682:H682"/>
    <mergeCell ref="I682:J682"/>
    <mergeCell ref="K682:L682"/>
    <mergeCell ref="B683:E683"/>
    <mergeCell ref="G683:H683"/>
    <mergeCell ref="I683:J683"/>
    <mergeCell ref="K683:L683"/>
    <mergeCell ref="B684:E684"/>
    <mergeCell ref="G684:H684"/>
    <mergeCell ref="I684:J684"/>
    <mergeCell ref="G691:H691"/>
    <mergeCell ref="I691:J691"/>
    <mergeCell ref="K691:L691"/>
    <mergeCell ref="B692:E692"/>
    <mergeCell ref="G692:H692"/>
    <mergeCell ref="I692:J692"/>
    <mergeCell ref="K692:L692"/>
    <mergeCell ref="B693:E693"/>
    <mergeCell ref="G693:H693"/>
    <mergeCell ref="I693:J693"/>
    <mergeCell ref="K693:L693"/>
    <mergeCell ref="A694:E694"/>
    <mergeCell ref="G694:H694"/>
    <mergeCell ref="I694:J694"/>
    <mergeCell ref="K694:L694"/>
    <mergeCell ref="M694:N694"/>
    <mergeCell ref="A699:A700"/>
    <mergeCell ref="B699:C700"/>
    <mergeCell ref="D699:D700"/>
    <mergeCell ref="E699:F700"/>
    <mergeCell ref="G699:H700"/>
    <mergeCell ref="I699:J700"/>
    <mergeCell ref="K699:L700"/>
    <mergeCell ref="M699:N700"/>
    <mergeCell ref="A701:A702"/>
    <mergeCell ref="B701:E702"/>
    <mergeCell ref="F701:F702"/>
    <mergeCell ref="G701:H702"/>
    <mergeCell ref="I701:J702"/>
    <mergeCell ref="K701:L702"/>
    <mergeCell ref="M701:M702"/>
    <mergeCell ref="N701:N702"/>
    <mergeCell ref="B710:E710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G710:H710"/>
    <mergeCell ref="I710:J710"/>
    <mergeCell ref="K710:L710"/>
    <mergeCell ref="B713:E713"/>
    <mergeCell ref="G713:H713"/>
    <mergeCell ref="I713:J713"/>
    <mergeCell ref="K713:L713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6:E716"/>
    <mergeCell ref="G716:H716"/>
    <mergeCell ref="I716:J716"/>
    <mergeCell ref="K716:L716"/>
    <mergeCell ref="A722:A723"/>
    <mergeCell ref="B722:C723"/>
    <mergeCell ref="D722:D723"/>
    <mergeCell ref="E722:F723"/>
    <mergeCell ref="G722:H723"/>
    <mergeCell ref="I722:J723"/>
    <mergeCell ref="K722:L723"/>
    <mergeCell ref="B718:C720"/>
    <mergeCell ref="D718:D720"/>
    <mergeCell ref="E718:F720"/>
    <mergeCell ref="G718:G720"/>
    <mergeCell ref="H718:H720"/>
    <mergeCell ref="I718:I720"/>
    <mergeCell ref="J718:J720"/>
    <mergeCell ref="K718:K720"/>
    <mergeCell ref="L718:L720"/>
    <mergeCell ref="I739:J739"/>
    <mergeCell ref="K739:L739"/>
    <mergeCell ref="B727:E727"/>
    <mergeCell ref="G727:H727"/>
    <mergeCell ref="I727:J727"/>
    <mergeCell ref="K727:L727"/>
    <mergeCell ref="B728:E728"/>
    <mergeCell ref="G728:H728"/>
    <mergeCell ref="I728:J728"/>
    <mergeCell ref="K728:L728"/>
    <mergeCell ref="B729:E729"/>
    <mergeCell ref="G729:H729"/>
    <mergeCell ref="I729:J729"/>
    <mergeCell ref="I734:J734"/>
    <mergeCell ref="K734:L734"/>
    <mergeCell ref="B735:E735"/>
    <mergeCell ref="G735:H735"/>
    <mergeCell ref="I735:J735"/>
    <mergeCell ref="K735:L735"/>
    <mergeCell ref="K729:L729"/>
    <mergeCell ref="B736:E736"/>
    <mergeCell ref="G736:H736"/>
    <mergeCell ref="I736:J736"/>
    <mergeCell ref="K736:L736"/>
    <mergeCell ref="B737:E737"/>
    <mergeCell ref="G737:H737"/>
    <mergeCell ref="I750:J750"/>
    <mergeCell ref="K750:L750"/>
    <mergeCell ref="B751:E751"/>
    <mergeCell ref="G751:H751"/>
    <mergeCell ref="I751:J751"/>
    <mergeCell ref="K751:L751"/>
    <mergeCell ref="I737:J737"/>
    <mergeCell ref="K737:L737"/>
    <mergeCell ref="B738:E738"/>
    <mergeCell ref="G738:H738"/>
    <mergeCell ref="I738:J738"/>
    <mergeCell ref="K738:L738"/>
    <mergeCell ref="N741:N743"/>
    <mergeCell ref="A745:A746"/>
    <mergeCell ref="B745:C746"/>
    <mergeCell ref="D745:D746"/>
    <mergeCell ref="E745:F746"/>
    <mergeCell ref="G745:H746"/>
    <mergeCell ref="I745:J746"/>
    <mergeCell ref="K745:L746"/>
    <mergeCell ref="M745:N746"/>
    <mergeCell ref="B741:C743"/>
    <mergeCell ref="D741:D743"/>
    <mergeCell ref="E741:F743"/>
    <mergeCell ref="G741:G743"/>
    <mergeCell ref="H741:H743"/>
    <mergeCell ref="I741:I743"/>
    <mergeCell ref="J741:J743"/>
    <mergeCell ref="K741:K743"/>
    <mergeCell ref="L741:L743"/>
    <mergeCell ref="B739:E739"/>
    <mergeCell ref="G739:H739"/>
    <mergeCell ref="G761:H761"/>
    <mergeCell ref="I761:J761"/>
    <mergeCell ref="K761:L761"/>
    <mergeCell ref="B762:E762"/>
    <mergeCell ref="G762:H762"/>
    <mergeCell ref="I762:J762"/>
    <mergeCell ref="K762:L762"/>
    <mergeCell ref="A747:A748"/>
    <mergeCell ref="B747:E748"/>
    <mergeCell ref="F747:F748"/>
    <mergeCell ref="G747:H748"/>
    <mergeCell ref="I747:J748"/>
    <mergeCell ref="K747:L748"/>
    <mergeCell ref="M747:M748"/>
    <mergeCell ref="N747:N748"/>
    <mergeCell ref="G756:H756"/>
    <mergeCell ref="I756:J756"/>
    <mergeCell ref="K756:L756"/>
    <mergeCell ref="B757:E757"/>
    <mergeCell ref="G757:H757"/>
    <mergeCell ref="I757:J757"/>
    <mergeCell ref="K757:L757"/>
    <mergeCell ref="B758:E758"/>
    <mergeCell ref="G758:H758"/>
    <mergeCell ref="I758:J758"/>
    <mergeCell ref="K758:L758"/>
    <mergeCell ref="B749:E749"/>
    <mergeCell ref="G749:H749"/>
    <mergeCell ref="I749:J749"/>
    <mergeCell ref="K749:L749"/>
    <mergeCell ref="B750:E750"/>
    <mergeCell ref="G750:H750"/>
    <mergeCell ref="M764:M766"/>
    <mergeCell ref="N764:N766"/>
    <mergeCell ref="A768:A769"/>
    <mergeCell ref="B768:C769"/>
    <mergeCell ref="D768:D769"/>
    <mergeCell ref="E768:F769"/>
    <mergeCell ref="G768:H769"/>
    <mergeCell ref="I768:J769"/>
    <mergeCell ref="K768:L769"/>
    <mergeCell ref="M768:N769"/>
    <mergeCell ref="A770:A771"/>
    <mergeCell ref="B770:E771"/>
    <mergeCell ref="F770:F771"/>
    <mergeCell ref="G770:H771"/>
    <mergeCell ref="I770:J771"/>
    <mergeCell ref="K770:L771"/>
    <mergeCell ref="M770:M771"/>
    <mergeCell ref="N770:N771"/>
    <mergeCell ref="A764:A766"/>
    <mergeCell ref="B764:C766"/>
    <mergeCell ref="D764:D766"/>
    <mergeCell ref="E764:F766"/>
    <mergeCell ref="G764:G766"/>
    <mergeCell ref="H764:H766"/>
    <mergeCell ref="I764:I766"/>
    <mergeCell ref="J764:J766"/>
    <mergeCell ref="K764:K766"/>
    <mergeCell ref="L764:L766"/>
    <mergeCell ref="I781:J781"/>
    <mergeCell ref="K781:L781"/>
    <mergeCell ref="B782:E782"/>
    <mergeCell ref="G782:H782"/>
    <mergeCell ref="I782:J782"/>
    <mergeCell ref="K782:L782"/>
    <mergeCell ref="B774:E774"/>
    <mergeCell ref="G774:H774"/>
    <mergeCell ref="I774:J774"/>
    <mergeCell ref="K774:L774"/>
    <mergeCell ref="B775:E775"/>
    <mergeCell ref="G775:H775"/>
    <mergeCell ref="I775:J775"/>
    <mergeCell ref="K775:L775"/>
    <mergeCell ref="G776:H776"/>
    <mergeCell ref="I776:J776"/>
    <mergeCell ref="K776:L776"/>
    <mergeCell ref="B779:E779"/>
    <mergeCell ref="G779:H779"/>
    <mergeCell ref="I779:J779"/>
    <mergeCell ref="K779:L779"/>
    <mergeCell ref="B776:E776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K783:L783"/>
    <mergeCell ref="B784:E784"/>
    <mergeCell ref="G784:H784"/>
    <mergeCell ref="I784:J784"/>
    <mergeCell ref="K784:L784"/>
    <mergeCell ref="M786:N786"/>
    <mergeCell ref="A787:A789"/>
    <mergeCell ref="B787:C789"/>
    <mergeCell ref="D787:D789"/>
    <mergeCell ref="E787:F789"/>
    <mergeCell ref="G787:G789"/>
    <mergeCell ref="H787:H789"/>
    <mergeCell ref="I787:I789"/>
    <mergeCell ref="J787:J789"/>
    <mergeCell ref="K787:K789"/>
    <mergeCell ref="L787:L789"/>
    <mergeCell ref="M787:M789"/>
    <mergeCell ref="N787:N789"/>
    <mergeCell ref="B785:E785"/>
    <mergeCell ref="G785:H785"/>
    <mergeCell ref="I785:J785"/>
    <mergeCell ref="K785:L785"/>
    <mergeCell ref="B783:E783"/>
    <mergeCell ref="G783:H783"/>
    <mergeCell ref="I783:J783"/>
    <mergeCell ref="A791:A792"/>
    <mergeCell ref="B791:C792"/>
    <mergeCell ref="D791:D792"/>
    <mergeCell ref="E791:F792"/>
    <mergeCell ref="G791:H792"/>
    <mergeCell ref="I791:J792"/>
    <mergeCell ref="K791:L792"/>
    <mergeCell ref="M791:N792"/>
    <mergeCell ref="G786:H786"/>
    <mergeCell ref="I786:J786"/>
    <mergeCell ref="K786:L786"/>
    <mergeCell ref="A786:E786"/>
    <mergeCell ref="A793:A794"/>
    <mergeCell ref="B793:E794"/>
    <mergeCell ref="F793:F794"/>
    <mergeCell ref="G793:H794"/>
    <mergeCell ref="I793:J794"/>
    <mergeCell ref="K793:L794"/>
    <mergeCell ref="M793:M794"/>
    <mergeCell ref="N793:N794"/>
    <mergeCell ref="B795:E795"/>
    <mergeCell ref="G795:H795"/>
    <mergeCell ref="I795:J795"/>
    <mergeCell ref="K795:L795"/>
    <mergeCell ref="B802:E802"/>
    <mergeCell ref="G802:H802"/>
    <mergeCell ref="I802:J802"/>
    <mergeCell ref="K802:L802"/>
    <mergeCell ref="B803:E803"/>
    <mergeCell ref="G803:H803"/>
    <mergeCell ref="I803:J803"/>
    <mergeCell ref="K803:L803"/>
    <mergeCell ref="B804:E804"/>
    <mergeCell ref="G804:H804"/>
    <mergeCell ref="I804:J804"/>
    <mergeCell ref="K804:L804"/>
    <mergeCell ref="B805:E805"/>
    <mergeCell ref="G805:H805"/>
    <mergeCell ref="I805:J805"/>
    <mergeCell ref="K805:L805"/>
    <mergeCell ref="K801:L801"/>
    <mergeCell ref="B798:E798"/>
    <mergeCell ref="B799:E799"/>
    <mergeCell ref="G799:H799"/>
    <mergeCell ref="I799:J799"/>
    <mergeCell ref="K799:L799"/>
    <mergeCell ref="B800:E800"/>
    <mergeCell ref="G800:H800"/>
    <mergeCell ref="I800:J800"/>
    <mergeCell ref="K800:L800"/>
    <mergeCell ref="I797:J797"/>
    <mergeCell ref="K797:L797"/>
    <mergeCell ref="A809:E809"/>
    <mergeCell ref="M809:N809"/>
    <mergeCell ref="A810:A812"/>
    <mergeCell ref="B810:C812"/>
    <mergeCell ref="D810:D812"/>
    <mergeCell ref="E810:F812"/>
    <mergeCell ref="G810:G812"/>
    <mergeCell ref="H810:H812"/>
    <mergeCell ref="I810:I812"/>
    <mergeCell ref="J810:J812"/>
    <mergeCell ref="K810:K812"/>
    <mergeCell ref="L810:L812"/>
    <mergeCell ref="M810:M812"/>
    <mergeCell ref="N810:N812"/>
    <mergeCell ref="A814:A815"/>
    <mergeCell ref="B814:C815"/>
    <mergeCell ref="D814:D815"/>
    <mergeCell ref="E814:F815"/>
    <mergeCell ref="G814:H815"/>
    <mergeCell ref="I814:J815"/>
    <mergeCell ref="K814:L815"/>
    <mergeCell ref="M814:N815"/>
    <mergeCell ref="B808:E808"/>
    <mergeCell ref="G808:H808"/>
    <mergeCell ref="I808:J808"/>
    <mergeCell ref="K808:L808"/>
    <mergeCell ref="G809:H809"/>
    <mergeCell ref="I809:J809"/>
    <mergeCell ref="K809:L809"/>
    <mergeCell ref="A816:A817"/>
    <mergeCell ref="B816:E817"/>
    <mergeCell ref="F816:F817"/>
    <mergeCell ref="G816:H817"/>
    <mergeCell ref="I816:J817"/>
    <mergeCell ref="K816:L817"/>
    <mergeCell ref="M816:M817"/>
    <mergeCell ref="N816:N817"/>
    <mergeCell ref="B820:E820"/>
    <mergeCell ref="B821:E821"/>
    <mergeCell ref="G821:H821"/>
    <mergeCell ref="I821:J821"/>
    <mergeCell ref="K821:L821"/>
    <mergeCell ref="B822:E822"/>
    <mergeCell ref="G822:H822"/>
    <mergeCell ref="I822:J822"/>
    <mergeCell ref="K822:L822"/>
    <mergeCell ref="B818:E818"/>
    <mergeCell ref="G818:H818"/>
    <mergeCell ref="I818:J818"/>
    <mergeCell ref="K818:L818"/>
    <mergeCell ref="B819:E819"/>
    <mergeCell ref="G819:H819"/>
    <mergeCell ref="I819:J819"/>
    <mergeCell ref="K819:L819"/>
    <mergeCell ref="G820:H820"/>
    <mergeCell ref="I820:J820"/>
    <mergeCell ref="K820:L820"/>
    <mergeCell ref="B828:E828"/>
    <mergeCell ref="G828:H828"/>
    <mergeCell ref="I828:J828"/>
    <mergeCell ref="K828:L828"/>
    <mergeCell ref="A832:E832"/>
    <mergeCell ref="M832:N832"/>
    <mergeCell ref="A833:A835"/>
    <mergeCell ref="B833:C835"/>
    <mergeCell ref="D833:D835"/>
    <mergeCell ref="E833:F835"/>
    <mergeCell ref="G833:G835"/>
    <mergeCell ref="H833:H835"/>
    <mergeCell ref="I833:I835"/>
    <mergeCell ref="J833:J835"/>
    <mergeCell ref="K833:K835"/>
    <mergeCell ref="L833:L835"/>
    <mergeCell ref="M833:M835"/>
    <mergeCell ref="N833:N835"/>
    <mergeCell ref="B829:E829"/>
    <mergeCell ref="G829:H829"/>
    <mergeCell ref="I829:J829"/>
    <mergeCell ref="K829:L829"/>
    <mergeCell ref="K832:L832"/>
    <mergeCell ref="M837:N838"/>
    <mergeCell ref="M839:M840"/>
    <mergeCell ref="N839:N840"/>
    <mergeCell ref="B842:E842"/>
    <mergeCell ref="B843:E843"/>
    <mergeCell ref="G843:H843"/>
    <mergeCell ref="I843:J843"/>
    <mergeCell ref="K843:L843"/>
    <mergeCell ref="B844:E844"/>
    <mergeCell ref="G844:H844"/>
    <mergeCell ref="I844:J844"/>
    <mergeCell ref="K844:L844"/>
    <mergeCell ref="B845:E845"/>
    <mergeCell ref="G845:H845"/>
    <mergeCell ref="I845:J845"/>
    <mergeCell ref="K845:L845"/>
    <mergeCell ref="B846:E846"/>
    <mergeCell ref="G846:H846"/>
    <mergeCell ref="I846:J846"/>
    <mergeCell ref="K846:L846"/>
    <mergeCell ref="B841:E841"/>
    <mergeCell ref="G841:H841"/>
    <mergeCell ref="I841:J841"/>
    <mergeCell ref="K841:L841"/>
    <mergeCell ref="G842:H842"/>
    <mergeCell ref="I842:J842"/>
    <mergeCell ref="K842:L842"/>
    <mergeCell ref="A855:E855"/>
    <mergeCell ref="M855:N855"/>
    <mergeCell ref="A856:A858"/>
    <mergeCell ref="B856:C858"/>
    <mergeCell ref="D856:D858"/>
    <mergeCell ref="E856:F858"/>
    <mergeCell ref="G856:G858"/>
    <mergeCell ref="H856:H858"/>
    <mergeCell ref="I856:I858"/>
    <mergeCell ref="J856:J858"/>
    <mergeCell ref="K856:K858"/>
    <mergeCell ref="L856:L858"/>
    <mergeCell ref="M856:M858"/>
    <mergeCell ref="N856:N858"/>
    <mergeCell ref="B852:E852"/>
    <mergeCell ref="G852:H852"/>
    <mergeCell ref="I852:J852"/>
    <mergeCell ref="K852:L852"/>
    <mergeCell ref="B853:E853"/>
    <mergeCell ref="G853:H853"/>
    <mergeCell ref="I853:J853"/>
    <mergeCell ref="K853:L853"/>
    <mergeCell ref="B854:E854"/>
    <mergeCell ref="G854:H854"/>
    <mergeCell ref="I854:J854"/>
    <mergeCell ref="K854:L854"/>
    <mergeCell ref="G855:H855"/>
    <mergeCell ref="I855:J855"/>
    <mergeCell ref="K855:L855"/>
    <mergeCell ref="A860:A861"/>
    <mergeCell ref="B860:C861"/>
    <mergeCell ref="D860:D861"/>
    <mergeCell ref="E860:F861"/>
    <mergeCell ref="G860:H861"/>
    <mergeCell ref="I860:J861"/>
    <mergeCell ref="K860:L861"/>
    <mergeCell ref="M860:N861"/>
    <mergeCell ref="A862:A863"/>
    <mergeCell ref="B862:E863"/>
    <mergeCell ref="F862:F863"/>
    <mergeCell ref="G862:H863"/>
    <mergeCell ref="I862:J863"/>
    <mergeCell ref="K862:L863"/>
    <mergeCell ref="M862:M863"/>
    <mergeCell ref="N862:N863"/>
    <mergeCell ref="B864:E864"/>
    <mergeCell ref="G864:H864"/>
    <mergeCell ref="I864:J864"/>
    <mergeCell ref="K864:L864"/>
    <mergeCell ref="B870:E870"/>
    <mergeCell ref="G870:H870"/>
    <mergeCell ref="I870:J870"/>
    <mergeCell ref="K870:L870"/>
    <mergeCell ref="A878:E878"/>
    <mergeCell ref="M878:N878"/>
    <mergeCell ref="A879:A881"/>
    <mergeCell ref="B879:C881"/>
    <mergeCell ref="D879:D881"/>
    <mergeCell ref="E879:F881"/>
    <mergeCell ref="G879:G881"/>
    <mergeCell ref="H879:H881"/>
    <mergeCell ref="I879:I881"/>
    <mergeCell ref="J879:J881"/>
    <mergeCell ref="K879:K881"/>
    <mergeCell ref="L879:L881"/>
    <mergeCell ref="M879:M881"/>
    <mergeCell ref="N879:N881"/>
    <mergeCell ref="K873:L873"/>
    <mergeCell ref="B871:E871"/>
    <mergeCell ref="G871:H871"/>
    <mergeCell ref="I871:J871"/>
    <mergeCell ref="K871:L871"/>
    <mergeCell ref="B872:E872"/>
    <mergeCell ref="G872:H872"/>
    <mergeCell ref="I872:J872"/>
    <mergeCell ref="K872:L872"/>
    <mergeCell ref="A883:A884"/>
    <mergeCell ref="B883:C884"/>
    <mergeCell ref="D883:D884"/>
    <mergeCell ref="E883:F884"/>
    <mergeCell ref="G883:H884"/>
    <mergeCell ref="I883:J884"/>
    <mergeCell ref="K883:L884"/>
    <mergeCell ref="M883:N884"/>
    <mergeCell ref="M885:M886"/>
    <mergeCell ref="N885:N886"/>
    <mergeCell ref="B887:E887"/>
    <mergeCell ref="G887:H887"/>
    <mergeCell ref="I887:J887"/>
    <mergeCell ref="K887:L887"/>
    <mergeCell ref="B888:E888"/>
    <mergeCell ref="G888:H888"/>
    <mergeCell ref="I888:J888"/>
    <mergeCell ref="K888:L888"/>
    <mergeCell ref="B889:E889"/>
    <mergeCell ref="G889:H889"/>
    <mergeCell ref="I889:J889"/>
    <mergeCell ref="K889:L889"/>
    <mergeCell ref="B890:E890"/>
    <mergeCell ref="G890:H890"/>
    <mergeCell ref="I890:J890"/>
    <mergeCell ref="K890:L890"/>
    <mergeCell ref="B891:E891"/>
    <mergeCell ref="G891:H891"/>
    <mergeCell ref="I891:J891"/>
    <mergeCell ref="K891:L891"/>
    <mergeCell ref="B892:E892"/>
    <mergeCell ref="G892:H892"/>
    <mergeCell ref="I892:J892"/>
    <mergeCell ref="K892:L892"/>
    <mergeCell ref="B893:E893"/>
    <mergeCell ref="G893:H893"/>
    <mergeCell ref="I893:J893"/>
    <mergeCell ref="K893:L893"/>
    <mergeCell ref="B894:E894"/>
    <mergeCell ref="G894:H894"/>
    <mergeCell ref="I894:J894"/>
    <mergeCell ref="K894:L894"/>
    <mergeCell ref="B895:E895"/>
    <mergeCell ref="G895:H895"/>
    <mergeCell ref="I895:J895"/>
    <mergeCell ref="K895:L895"/>
    <mergeCell ref="B896:E896"/>
    <mergeCell ref="G896:H896"/>
    <mergeCell ref="I896:J896"/>
    <mergeCell ref="K896:L896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A901:E901"/>
    <mergeCell ref="G901:H901"/>
    <mergeCell ref="I901:J901"/>
    <mergeCell ref="K901:L901"/>
    <mergeCell ref="M901:N901"/>
    <mergeCell ref="A902:A904"/>
    <mergeCell ref="B902:C904"/>
    <mergeCell ref="D902:D904"/>
    <mergeCell ref="E902:F904"/>
    <mergeCell ref="G902:G904"/>
    <mergeCell ref="H902:H904"/>
    <mergeCell ref="I902:I904"/>
    <mergeCell ref="J902:J904"/>
    <mergeCell ref="K902:K904"/>
    <mergeCell ref="L902:L904"/>
    <mergeCell ref="M902:M904"/>
    <mergeCell ref="N902:N904"/>
    <mergeCell ref="A906:A907"/>
    <mergeCell ref="B906:C907"/>
    <mergeCell ref="D906:D907"/>
    <mergeCell ref="E906:F907"/>
    <mergeCell ref="G906:H907"/>
    <mergeCell ref="I906:J907"/>
    <mergeCell ref="K906:L907"/>
    <mergeCell ref="M906:N907"/>
    <mergeCell ref="A908:A909"/>
    <mergeCell ref="B908:E909"/>
    <mergeCell ref="F908:F909"/>
    <mergeCell ref="G908:H909"/>
    <mergeCell ref="I908:J909"/>
    <mergeCell ref="K908:L909"/>
    <mergeCell ref="M908:M909"/>
    <mergeCell ref="N908:N909"/>
    <mergeCell ref="B910:E910"/>
    <mergeCell ref="G910:H910"/>
    <mergeCell ref="I910:J910"/>
    <mergeCell ref="K910:L910"/>
    <mergeCell ref="B911:E911"/>
    <mergeCell ref="G911:H911"/>
    <mergeCell ref="I911:J911"/>
    <mergeCell ref="K911:L911"/>
    <mergeCell ref="B912:E912"/>
    <mergeCell ref="G912:H912"/>
    <mergeCell ref="I912:J912"/>
    <mergeCell ref="K912:L912"/>
    <mergeCell ref="B913:E913"/>
    <mergeCell ref="G913:H913"/>
    <mergeCell ref="I913:J913"/>
    <mergeCell ref="K913:L913"/>
    <mergeCell ref="B914:E914"/>
    <mergeCell ref="G914:H914"/>
    <mergeCell ref="I914:J914"/>
    <mergeCell ref="K914:L914"/>
    <mergeCell ref="B915:E915"/>
    <mergeCell ref="G915:H915"/>
    <mergeCell ref="I915:J915"/>
    <mergeCell ref="K915:L915"/>
    <mergeCell ref="B916:E916"/>
    <mergeCell ref="G916:H916"/>
    <mergeCell ref="I916:J916"/>
    <mergeCell ref="K916:L916"/>
    <mergeCell ref="B917:E917"/>
    <mergeCell ref="G917:H917"/>
    <mergeCell ref="I917:J917"/>
    <mergeCell ref="K917:L917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A924:E924"/>
    <mergeCell ref="G924:H924"/>
    <mergeCell ref="I924:J924"/>
    <mergeCell ref="K924:L924"/>
    <mergeCell ref="M924:N924"/>
    <mergeCell ref="A925:A927"/>
    <mergeCell ref="B925:C927"/>
    <mergeCell ref="D925:D927"/>
    <mergeCell ref="E925:F927"/>
    <mergeCell ref="G925:G927"/>
    <mergeCell ref="H925:H927"/>
    <mergeCell ref="I925:I927"/>
    <mergeCell ref="J925:J927"/>
    <mergeCell ref="K925:K927"/>
    <mergeCell ref="L925:L927"/>
    <mergeCell ref="M925:M927"/>
    <mergeCell ref="N925:N927"/>
    <mergeCell ref="A929:A930"/>
    <mergeCell ref="B929:C930"/>
    <mergeCell ref="D929:D930"/>
    <mergeCell ref="E929:F930"/>
    <mergeCell ref="G929:H930"/>
    <mergeCell ref="I929:J930"/>
    <mergeCell ref="K929:L930"/>
    <mergeCell ref="M929:N930"/>
    <mergeCell ref="A931:A932"/>
    <mergeCell ref="B931:E932"/>
    <mergeCell ref="F931:F932"/>
    <mergeCell ref="G931:H932"/>
    <mergeCell ref="I931:J932"/>
    <mergeCell ref="K931:L932"/>
    <mergeCell ref="M931:M932"/>
    <mergeCell ref="N931:N932"/>
    <mergeCell ref="B933:E933"/>
    <mergeCell ref="G933:H933"/>
    <mergeCell ref="I933:J933"/>
    <mergeCell ref="K933:L933"/>
    <mergeCell ref="B934:E934"/>
    <mergeCell ref="G934:H934"/>
    <mergeCell ref="I934:J934"/>
    <mergeCell ref="K934:L934"/>
    <mergeCell ref="B935:E935"/>
    <mergeCell ref="G935:H935"/>
    <mergeCell ref="I935:J935"/>
    <mergeCell ref="K935:L935"/>
    <mergeCell ref="B936:E936"/>
    <mergeCell ref="G936:H936"/>
    <mergeCell ref="I936:J936"/>
    <mergeCell ref="K936:L936"/>
    <mergeCell ref="B937:E937"/>
    <mergeCell ref="G937:H937"/>
    <mergeCell ref="I937:J937"/>
    <mergeCell ref="K937:L937"/>
    <mergeCell ref="B938:E938"/>
    <mergeCell ref="G938:H938"/>
    <mergeCell ref="I938:J938"/>
    <mergeCell ref="K938:L938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A947:E947"/>
    <mergeCell ref="G947:H947"/>
    <mergeCell ref="I947:J947"/>
    <mergeCell ref="K947:L947"/>
    <mergeCell ref="M947:N947"/>
    <mergeCell ref="A948:A950"/>
    <mergeCell ref="B948:C950"/>
    <mergeCell ref="D948:D950"/>
    <mergeCell ref="E948:F950"/>
    <mergeCell ref="G948:G950"/>
    <mergeCell ref="H948:H950"/>
    <mergeCell ref="I948:I950"/>
    <mergeCell ref="J948:J950"/>
    <mergeCell ref="K948:K950"/>
    <mergeCell ref="L948:L950"/>
    <mergeCell ref="M948:M950"/>
    <mergeCell ref="N948:N950"/>
  </mergeCells>
  <pageMargins left="0.70866141732283472" right="0.70866141732283472" top="0.24264705882352941" bottom="0.84926470588235292" header="0.11811023622047245" footer="0.31496062992125984"/>
  <pageSetup paperSize="8" scale="98" orientation="portrait" horizontalDpi="4294967293" verticalDpi="300" r:id="rId1"/>
  <headerFooter>
    <oddFooter xml:space="preserve">&amp;L&amp;"Times New Roman,Bold"&amp;10Prepared by                        Checked by
Date: 24.04.2026&amp;C&amp;"Times New Roman,Bold"&amp;10Controller(GBPIET)
&amp;R&amp;"Times New Roman,Bold"&amp;10
Director (GBPIET)                        Contoller(UTU)               
</oddFooter>
  </headerFooter>
  <rowBreaks count="10" manualBreakCount="10">
    <brk id="99" max="16383" man="1"/>
    <brk id="191" max="16383" man="1"/>
    <brk id="283" max="16383" man="1"/>
    <brk id="375" max="16383" man="1"/>
    <brk id="467" max="16383" man="1"/>
    <brk id="559" max="16383" man="1"/>
    <brk id="651" max="16383" man="1"/>
    <brk id="743" max="16383" man="1"/>
    <brk id="835" max="16383" man="1"/>
    <brk id="927" max="16383" man="1"/>
  </rowBreaks>
  <colBreaks count="1" manualBreakCount="1">
    <brk id="14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7C1E-902D-4F5F-9686-3FAE2338BBB8}">
  <dimension ref="A1:Z767"/>
  <sheetViews>
    <sheetView zoomScaleNormal="100" zoomScalePageLayoutView="70" workbookViewId="0">
      <selection activeCell="Y13" sqref="Y13:Z13"/>
    </sheetView>
  </sheetViews>
  <sheetFormatPr baseColWidth="10" defaultColWidth="8.83203125" defaultRowHeight="13" customHeight="1" x14ac:dyDescent="0.2"/>
  <cols>
    <col min="5" max="5" width="14.33203125" customWidth="1"/>
  </cols>
  <sheetData>
    <row r="1" spans="1:26" ht="26" x14ac:dyDescent="0.2">
      <c r="A1" s="51" t="s">
        <v>19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Y1" s="2" t="s">
        <v>9</v>
      </c>
      <c r="Z1" s="3" t="s">
        <v>10</v>
      </c>
    </row>
    <row r="2" spans="1:26" ht="15" x14ac:dyDescent="0.2">
      <c r="A2" s="52" t="s">
        <v>20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Y2" s="4" t="s">
        <v>11</v>
      </c>
      <c r="Z2" s="4">
        <v>10</v>
      </c>
    </row>
    <row r="3" spans="1:26" ht="15" x14ac:dyDescent="0.2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Y3" s="4" t="s">
        <v>54</v>
      </c>
      <c r="Z3" s="4">
        <v>9</v>
      </c>
    </row>
    <row r="4" spans="1:26" ht="15" x14ac:dyDescent="0.2">
      <c r="A4" s="52" t="s">
        <v>21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Y4" s="4" t="s">
        <v>8</v>
      </c>
      <c r="Z4" s="4">
        <v>8</v>
      </c>
    </row>
    <row r="5" spans="1:26" ht="15" x14ac:dyDescent="0.2">
      <c r="A5" s="53" t="s">
        <v>241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Y5" s="4" t="s">
        <v>55</v>
      </c>
      <c r="Z5" s="4">
        <v>7</v>
      </c>
    </row>
    <row r="6" spans="1:26" ht="15" x14ac:dyDescent="0.2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Y6" s="4" t="s">
        <v>12</v>
      </c>
      <c r="Z6" s="4">
        <v>6</v>
      </c>
    </row>
    <row r="7" spans="1:26" ht="13" customHeight="1" x14ac:dyDescent="0.2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Y7" s="4" t="s">
        <v>13</v>
      </c>
      <c r="Z7" s="4">
        <v>5</v>
      </c>
    </row>
    <row r="8" spans="1:26" ht="13" customHeight="1" x14ac:dyDescent="0.2">
      <c r="A8" s="5" t="s">
        <v>43</v>
      </c>
      <c r="B8" s="5">
        <v>1</v>
      </c>
      <c r="C8" s="5" t="s">
        <v>22</v>
      </c>
      <c r="D8" s="5" t="s">
        <v>23</v>
      </c>
      <c r="E8" s="5" t="s">
        <v>13</v>
      </c>
      <c r="F8" s="5" t="s">
        <v>56</v>
      </c>
      <c r="G8" s="5" t="s">
        <v>42</v>
      </c>
      <c r="H8" s="5">
        <v>40</v>
      </c>
      <c r="I8" s="5">
        <v>14</v>
      </c>
      <c r="J8" s="6"/>
      <c r="K8" s="6"/>
      <c r="L8" s="6"/>
      <c r="M8" s="6"/>
      <c r="N8" s="6"/>
      <c r="Y8" s="4" t="s">
        <v>14</v>
      </c>
      <c r="Z8" s="4">
        <v>4</v>
      </c>
    </row>
    <row r="9" spans="1:26" ht="13" customHeight="1" x14ac:dyDescent="0.2">
      <c r="A9" s="47" t="s">
        <v>24</v>
      </c>
      <c r="B9" s="47" t="str">
        <f ca="1">VLOOKUP(B8,INDIRECT($F$8),4,0)</f>
        <v>ALOK NEGI</v>
      </c>
      <c r="C9" s="47"/>
      <c r="D9" s="47" t="s">
        <v>25</v>
      </c>
      <c r="E9" s="47" t="str">
        <f ca="1">VLOOKUP(B8,INDIRECT($F$8),5,0)</f>
        <v>PRATAP SINGH NEGI</v>
      </c>
      <c r="F9" s="47"/>
      <c r="G9" s="47" t="s">
        <v>26</v>
      </c>
      <c r="H9" s="47"/>
      <c r="I9" s="48">
        <f ca="1">VLOOKUP(B8,INDIRECT($F$8),2,0)</f>
        <v>240090600001</v>
      </c>
      <c r="J9" s="48"/>
      <c r="K9" s="47" t="s">
        <v>27</v>
      </c>
      <c r="L9" s="47"/>
      <c r="M9" s="48" t="str">
        <f ca="1">VLOOKUP(B8,INDIRECT($F$8),3,0)</f>
        <v>UTU/2406100187</v>
      </c>
      <c r="N9" s="48"/>
      <c r="Y9" s="4" t="s">
        <v>15</v>
      </c>
      <c r="Z9" s="4">
        <v>0</v>
      </c>
    </row>
    <row r="10" spans="1:26" ht="15" x14ac:dyDescent="0.2">
      <c r="A10" s="47"/>
      <c r="B10" s="47"/>
      <c r="C10" s="47"/>
      <c r="D10" s="47"/>
      <c r="E10" s="47"/>
      <c r="F10" s="47"/>
      <c r="G10" s="47"/>
      <c r="H10" s="47"/>
      <c r="I10" s="48"/>
      <c r="J10" s="48"/>
      <c r="K10" s="47"/>
      <c r="L10" s="47"/>
      <c r="M10" s="48"/>
      <c r="N10" s="48"/>
      <c r="Y10" s="4" t="s">
        <v>16</v>
      </c>
      <c r="Z10" s="4">
        <v>0</v>
      </c>
    </row>
    <row r="11" spans="1:26" ht="13" customHeight="1" x14ac:dyDescent="0.2">
      <c r="A11" s="45" t="s">
        <v>28</v>
      </c>
      <c r="B11" s="45" t="s">
        <v>29</v>
      </c>
      <c r="C11" s="45"/>
      <c r="D11" s="45"/>
      <c r="E11" s="45"/>
      <c r="F11" s="45" t="s">
        <v>30</v>
      </c>
      <c r="G11" s="45" t="s">
        <v>31</v>
      </c>
      <c r="H11" s="45"/>
      <c r="I11" s="45" t="s">
        <v>32</v>
      </c>
      <c r="J11" s="45"/>
      <c r="K11" s="45" t="s">
        <v>33</v>
      </c>
      <c r="L11" s="45"/>
      <c r="M11" s="45" t="s">
        <v>9</v>
      </c>
      <c r="N11" s="45" t="s">
        <v>34</v>
      </c>
      <c r="Y11" s="4" t="s">
        <v>17</v>
      </c>
      <c r="Z11" s="4">
        <v>0</v>
      </c>
    </row>
    <row r="12" spans="1:26" ht="15" x14ac:dyDescent="0.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W12" t="e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#N/A</v>
      </c>
      <c r="Y12" s="4" t="s">
        <v>18</v>
      </c>
      <c r="Z12" s="4">
        <v>0</v>
      </c>
    </row>
    <row r="13" spans="1:26" ht="13" customHeight="1" x14ac:dyDescent="0.2">
      <c r="A13" s="7" t="str">
        <f ca="1">IF(ISERROR(F8),"",VLOOKUP(C8,INDIRECT($F$8),6+(O13-1)*3,0))</f>
        <v>CAT 009</v>
      </c>
      <c r="B13" s="41" t="str">
        <f ca="1">IF(ISERROR(F8),"",VLOOKUP(D8,INDIRECT($F$8),6+(O13-1)*3,0))</f>
        <v>Computer Based Numerical and Statistical Techniques</v>
      </c>
      <c r="C13" s="41"/>
      <c r="D13" s="41"/>
      <c r="E13" s="41"/>
      <c r="F13" s="7">
        <f ca="1">IF(ISERROR(F8),"",VLOOKUP(E8,INDIRECT($F$8),6+(O13-1)*3,0))</f>
        <v>4</v>
      </c>
      <c r="G13" s="42" t="e">
        <f ca="1">IF(ISERROR(F8),"",_xlfn.TEXTJOIN("/",FALSE,P13,S13))</f>
        <v>#N/A</v>
      </c>
      <c r="H13" s="42"/>
      <c r="I13" s="42" t="str">
        <f ca="1">IF(ISERROR(F8),"",_xlfn.TEXTJOIN("/",FALSE,Q13,T13))</f>
        <v>46/50</v>
      </c>
      <c r="J13" s="42"/>
      <c r="K13" s="42" t="e">
        <f ca="1">IF(ISERROR(F8),"",_xlfn.TEXTJOIN("/",FALSE,R13,U13))</f>
        <v>#N/A</v>
      </c>
      <c r="L13" s="42"/>
      <c r="M13" s="7" t="e">
        <f ca="1">IF(ISERROR(F8),"",IF(ISTEXT(P13),IF(P13="A","Ab",IF(P13="D","Dt",IF(P13="UFM","UFM",IF(P13="NA","")))),IF(AND(ISBLANK(P13),ISBLANK(R13)),"",IF(P13&lt;0.3*S13,"F",IF(ISBLANK(R13),"",IF(ISTEXT(R13),R13,IF(R13&gt;=0.9*U13,"O",IF(R13&gt;=0.85*U13,"A+",IF(R13&gt;=0.8*U13,"A",IF(R13&gt;=0.7*U13,"B+",IF(R13&gt;=0.6*U13,"B",IF(R13&gt;=0.5*U13,"C",IF(R13&gt;=0.4*U13,"P",IF(R13&lt;0.4*U13,"F",R13))))))))))))))</f>
        <v>#N/A</v>
      </c>
      <c r="N13" s="8" t="e">
        <f t="shared" ref="N13:N22" ca="1" si="0">INDEX($Z$2:$Z$13,MATCH(M13,$Y$2:$Y$13,0))</f>
        <v>#N/A</v>
      </c>
      <c r="O13">
        <v>1</v>
      </c>
      <c r="P13" s="1" t="e">
        <f ca="1">IF(ISERROR(F8),"",IF(ISTEXT(VLOOKUP(B8,INDIRECT($F$8),6+(O13-1)*3)),(VLOOKUP(B8,INDIRECT($F$8),6+(O13-1)*3)),SUM(VLOOKUP(B8,INDIRECT($F$8),6+(O13-1)*3),IF(W23,W13,0))))</f>
        <v>#N/A</v>
      </c>
      <c r="Q13" s="1">
        <f ca="1">IF(ISERROR(F8),"",VLOOKUP(B8,INDIRECT($F$8),7+(O13-1)*3))</f>
        <v>46</v>
      </c>
      <c r="R13" s="1" t="e">
        <f ca="1">IF(ISERROR(F8),"",SUM(P13:Q13))</f>
        <v>#N/A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e">
        <f ca="1">IF(ISERROR(F8),"",IF(N13=0,A13,""))</f>
        <v>#N/A</v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0</v>
      </c>
      <c r="X13" s="1" t="str">
        <f ca="1">IF(ISERROR(F8),"",IF(W13=0,"",_xlfn.TEXTJOIN("",FALSE," G+",W13," in ",A13)))</f>
        <v/>
      </c>
      <c r="Y13" s="4" t="str">
        <f>""</f>
        <v/>
      </c>
      <c r="Z13" s="4" t="str">
        <f>""</f>
        <v/>
      </c>
    </row>
    <row r="14" spans="1:26" ht="13" customHeight="1" x14ac:dyDescent="0.2">
      <c r="A14" s="7" t="str">
        <f ca="1">IF(ISERROR(F8),"",VLOOKUP(C8,INDIRECT($F$8),6+(O14-1)*3,0))</f>
        <v>CAT 010</v>
      </c>
      <c r="B14" s="41" t="str">
        <f ca="1">IF(ISERROR(F8),"",VLOOKUP(D8,INDIRECT($F$8),6+(O14-1)*3,0))</f>
        <v>Data Structures and Analysis of Algorithms</v>
      </c>
      <c r="C14" s="41"/>
      <c r="D14" s="41"/>
      <c r="E14" s="41"/>
      <c r="F14" s="7">
        <f ca="1">IF(ISERROR(F8),"",VLOOKUP(E8,INDIRECT($F$8),6+(O14-1)*3,0))</f>
        <v>4</v>
      </c>
      <c r="G14" s="42" t="e">
        <f ca="1">IF(ISERROR(F8),"",_xlfn.TEXTJOIN("/",FALSE,P14,S14))</f>
        <v>#N/A</v>
      </c>
      <c r="H14" s="42"/>
      <c r="I14" s="42" t="str">
        <f ca="1">IF(ISERROR(F8),"",_xlfn.TEXTJOIN("/",FALSE,Q14,T14))</f>
        <v>43/50</v>
      </c>
      <c r="J14" s="42"/>
      <c r="K14" s="42" t="e">
        <f ca="1">IF(ISERROR(F8),"",_xlfn.TEXTJOIN("/",FALSE,R14,U14))</f>
        <v>#N/A</v>
      </c>
      <c r="L14" s="42"/>
      <c r="M14" s="7" t="e">
        <f ca="1">IF(ISERROR(F8),"",IF(ISTEXT(P14),IF(P14="A","Ab",IF(P14="D","Dt",IF(P14="UFM","UFM",IF(P14="NA","")))),IF(AND(ISBLANK(P14),ISBLANK(R14)),"",IF(P14&lt;0.3*S14,"F",IF(ISBLANK(R14),"",IF(ISTEXT(R14),R14,IF(R14&gt;=0.9*U14,"O",IF(R14&gt;=0.85*U14,"A+",IF(R14&gt;=0.8*U14,"A",IF(R14&gt;=0.7*U14,"B+",IF(R14&gt;=0.6*U14,"B",IF(R14&gt;=0.5*U14,"C",IF(R14&gt;=0.4*U14,"P",IF(R14&lt;0.4*U14,"F",R14))))))))))))))</f>
        <v>#N/A</v>
      </c>
      <c r="N14" s="8" t="e">
        <f t="shared" ca="1" si="0"/>
        <v>#N/A</v>
      </c>
      <c r="O14">
        <f>O13+1</f>
        <v>2</v>
      </c>
      <c r="P14" s="1" t="e">
        <f ca="1">IF(ISERROR(F8),"",IF(ISTEXT(VLOOKUP(B8,INDIRECT($F$8),6+(O14-1)*3)),(VLOOKUP(B8,INDIRECT($F$8),6+(O14-1)*3)),SUM(VLOOKUP(B8,INDIRECT($F$8),6+(O14-1)*3),IF(W23,W14,0))))</f>
        <v>#N/A</v>
      </c>
      <c r="Q14" s="1">
        <f ca="1">IF(ISERROR(F8),"",VLOOKUP(B8,INDIRECT($F$8),7+(O14-1)*3))</f>
        <v>43</v>
      </c>
      <c r="R14" s="1" t="e">
        <f ca="1">IF(ISERROR(F8),"",SUM(P14:Q14))</f>
        <v>#N/A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e">
        <f ca="1">IF(ISERROR(F8),"",IF(N14=0,A14,""))</f>
        <v>#N/A</v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0</v>
      </c>
      <c r="X14" s="1" t="str">
        <f ca="1">IF(ISERROR(F8),"",IF(W14=0,"",_xlfn.TEXTJOIN("",FALSE," G+",W14," in ",A14)))</f>
        <v/>
      </c>
    </row>
    <row r="15" spans="1:26" ht="13" customHeight="1" x14ac:dyDescent="0.2">
      <c r="A15" s="7" t="str">
        <f ca="1">IF(ISERROR(F8),"",VLOOKUP(C8,INDIRECT($F$8),6+(O15-1)*3,0))</f>
        <v>CAT 011</v>
      </c>
      <c r="B15" s="41" t="str">
        <f ca="1">IF(ISERROR(F8),"",VLOOKUP(D8,INDIRECT($F$8),6+(O15-1)*3,0))</f>
        <v>Object Oriented Programming with JAVA</v>
      </c>
      <c r="C15" s="41"/>
      <c r="D15" s="41"/>
      <c r="E15" s="41"/>
      <c r="F15" s="7">
        <f ca="1">IF(ISERROR(F8),"",VLOOKUP(E8,INDIRECT($F$8),6+(O15-1)*3,0))</f>
        <v>4</v>
      </c>
      <c r="G15" s="42" t="e">
        <f ca="1">IF(ISERROR(F8),"",_xlfn.TEXTJOIN("/",FALSE,P15,S15))</f>
        <v>#N/A</v>
      </c>
      <c r="H15" s="42"/>
      <c r="I15" s="42" t="str">
        <f ca="1">IF(ISERROR(F8),"",_xlfn.TEXTJOIN("/",FALSE,Q15,T15))</f>
        <v>44/50</v>
      </c>
      <c r="J15" s="42"/>
      <c r="K15" s="42" t="e">
        <f ca="1">IF(ISERROR(F8),"",_xlfn.TEXTJOIN("/",FALSE,R15,U15))</f>
        <v>#N/A</v>
      </c>
      <c r="L15" s="42"/>
      <c r="M15" s="7" t="e">
        <f ca="1">IF(ISERROR(F8),"",IF(ISTEXT(P15),IF(P15="A","Ab",IF(P15="D","Dt",IF(P15="UFM","UFM",IF(P15="NA","")))),IF(AND(ISBLANK(P15),ISBLANK(R15)),"",IF(P15&lt;0.3*S15,"F",IF(ISBLANK(R15),"",IF(ISTEXT(R15),R15,IF(R15&gt;=0.9*U15,"O",IF(R15&gt;=0.85*U15,"A+",IF(R15&gt;=0.8*U15,"A",IF(R15&gt;=0.7*U15,"B+",IF(R15&gt;=0.6*U15,"B",IF(R15&gt;=0.5*U15,"C",IF(R15&gt;=0.4*U15,"P",IF(R15&lt;0.4*U15,"F",R15))))))))))))))</f>
        <v>#N/A</v>
      </c>
      <c r="N15" s="8" t="e">
        <f t="shared" ca="1" si="0"/>
        <v>#N/A</v>
      </c>
      <c r="O15">
        <f>O14+1</f>
        <v>3</v>
      </c>
      <c r="P15" s="1" t="e">
        <f ca="1">IF(ISERROR(F8),"",IF(ISTEXT(VLOOKUP(B8,INDIRECT($F$8),6+(O15-1)*3)),(VLOOKUP(B8,INDIRECT($F$8),6+(O15-1)*3)),SUM(VLOOKUP(B8,INDIRECT($F$8),6+(O15-1)*3),IF(W23,W15,0))))</f>
        <v>#N/A</v>
      </c>
      <c r="Q15" s="1">
        <f ca="1">IF(ISERROR(F8),"",VLOOKUP(B8,INDIRECT($F$8),7+(O15-1)*3))</f>
        <v>44</v>
      </c>
      <c r="R15" s="1" t="e">
        <f ca="1">IF(ISERROR(F8),"",SUM(P15:Q15))</f>
        <v>#N/A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e">
        <f ca="1">IF(ISERROR(F8),"",IF(N15=0,A15,""))</f>
        <v>#N/A</v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0</v>
      </c>
      <c r="X15" s="1" t="str">
        <f ca="1">IF(ISERROR(F8),"",IF(W15=0,"",_xlfn.TEXTJOIN("",FALSE," G+",W15," in ",A15)))</f>
        <v/>
      </c>
    </row>
    <row r="16" spans="1:26" ht="13" customHeight="1" x14ac:dyDescent="0.2">
      <c r="A16" s="7" t="str">
        <f ca="1">IF(ISERROR(F8),"",VLOOKUP(C8,INDIRECT($F$8),6+(O16-1)*3,0))</f>
        <v>CAT 012</v>
      </c>
      <c r="B16" s="41" t="str">
        <f ca="1">IF(ISERROR(F8),"",VLOOKUP(D8,INDIRECT($F$8),6+(O16-1)*3,0))</f>
        <v>Computer Networks</v>
      </c>
      <c r="C16" s="41"/>
      <c r="D16" s="41"/>
      <c r="E16" s="41"/>
      <c r="F16" s="7">
        <f ca="1">IF(ISERROR(F8),"",VLOOKUP(E8,INDIRECT($F$8),6+(O16-1)*3,0))</f>
        <v>4</v>
      </c>
      <c r="G16" s="42" t="e">
        <f ca="1">IF(ISERROR(F8),"",_xlfn.TEXTJOIN("/",FALSE,P16,S16))</f>
        <v>#N/A</v>
      </c>
      <c r="H16" s="42"/>
      <c r="I16" s="42" t="str">
        <f ca="1">IF(ISERROR(F8),"",_xlfn.TEXTJOIN("/",FALSE,Q16,T16))</f>
        <v>42/50</v>
      </c>
      <c r="J16" s="42"/>
      <c r="K16" s="42" t="e">
        <f ca="1">IF(ISERROR(F8),"",_xlfn.TEXTJOIN("/",FALSE,R16,U16))</f>
        <v>#N/A</v>
      </c>
      <c r="L16" s="42"/>
      <c r="M16" s="7" t="e">
        <f ca="1">IF(ISERROR(F8),"",IF(ISTEXT(P16),IF(P16="A","Ab",IF(P16="D","Dt",IF(P16="UFM","UFM",IF(P16="NA","")))),IF(AND(ISBLANK(P16),ISBLANK(R16)),"",IF(P16&lt;0.3*S16,"F",IF(ISBLANK(R16),"",IF(ISTEXT(R16),R16,IF(R16&gt;=0.9*U16,"O",IF(R16&gt;=0.85*U16,"A+",IF(R16&gt;=0.8*U16,"A",IF(R16&gt;=0.7*U16,"B+",IF(R16&gt;=0.6*U16,"B",IF(R16&gt;=0.5*U16,"C",IF(R16&gt;=0.4*U16,"P",IF(R16&lt;0.4*U16,"F",R16))))))))))))))</f>
        <v>#N/A</v>
      </c>
      <c r="N16" s="8" t="e">
        <f t="shared" ca="1" si="0"/>
        <v>#N/A</v>
      </c>
      <c r="O16">
        <f>O15+1</f>
        <v>4</v>
      </c>
      <c r="P16" s="1" t="e">
        <f ca="1">IF(ISERROR(F8),"",IF(ISTEXT(VLOOKUP(B8,INDIRECT($F$8),6+(O16-1)*3)),(VLOOKUP(B8,INDIRECT($F$8),6+(O16-1)*3)),SUM(VLOOKUP(B8,INDIRECT($F$8),6+(O16-1)*3),IF(W23,W16,0))))</f>
        <v>#N/A</v>
      </c>
      <c r="Q16" s="1">
        <f ca="1">IF(ISERROR(F8),"",VLOOKUP(B8,INDIRECT($F$8),7+(O16-1)*3))</f>
        <v>42</v>
      </c>
      <c r="R16" s="1" t="e">
        <f ca="1">IF(ISERROR(F8),"",SUM(P16:Q16))</f>
        <v>#N/A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e">
        <f ca="1">IF(ISERROR(F8),"",IF(N16=0,A16,""))</f>
        <v>#N/A</v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</row>
    <row r="17" spans="1:24" ht="13" customHeight="1" x14ac:dyDescent="0.2">
      <c r="A17" s="7" t="str">
        <f ca="1">IF(ISERROR(F8),"",VLOOKUP(C8,INDIRECT($F$8),6+(O17-1)*3,0))</f>
        <v>CAT 013</v>
      </c>
      <c r="B17" s="41" t="str">
        <f ca="1">IF(ISERROR(F8),"",VLOOKUP(D8,INDIRECT($F$8),6+(O17-1)*3,0))</f>
        <v>Artificial Intelligence</v>
      </c>
      <c r="C17" s="41"/>
      <c r="D17" s="41"/>
      <c r="E17" s="41"/>
      <c r="F17" s="7">
        <f ca="1">IF(ISERROR(F8),"",VLOOKUP(E8,INDIRECT($F$8),6+(O17-1)*3,0))</f>
        <v>4</v>
      </c>
      <c r="G17" s="42" t="e">
        <f ca="1">IF(ISERROR(F8),"",_xlfn.TEXTJOIN("/",FALSE,P17,S17))</f>
        <v>#N/A</v>
      </c>
      <c r="H17" s="42"/>
      <c r="I17" s="42" t="str">
        <f ca="1">IF(ISERROR(F8),"",_xlfn.TEXTJOIN("/",FALSE,Q17,T17))</f>
        <v>46/50</v>
      </c>
      <c r="J17" s="42"/>
      <c r="K17" s="42" t="e">
        <f ca="1">IF(ISERROR(F8),"",_xlfn.TEXTJOIN("/",FALSE,R17,U17))</f>
        <v>#N/A</v>
      </c>
      <c r="L17" s="42"/>
      <c r="M17" s="7" t="e">
        <f ca="1">IF(ISERROR(F8),"",IF(ISTEXT(P17),IF(P17="A","Ab",IF(P17="D","Dt",IF(P17="UFM","UFM",IF(P17="NA","")))),IF(AND(ISBLANK(P17),ISBLANK(R17)),"",IF(P17&lt;0.3*S17,"F",IF(ISBLANK(R17),"",IF(ISTEXT(R17),R17,IF(R17&gt;=0.9*U17,"O",IF(R17&gt;=0.85*U17,"A+",IF(R17&gt;=0.8*U17,"A",IF(R17&gt;=0.7*U17,"B+",IF(R17&gt;=0.6*U17,"B",IF(R17&gt;=0.5*U17,"C",IF(R17&gt;=0.4*U17,"P",IF(R17&lt;0.4*U17,"F",R17))))))))))))))</f>
        <v>#N/A</v>
      </c>
      <c r="N17" s="8" t="e">
        <f t="shared" ca="1" si="0"/>
        <v>#N/A</v>
      </c>
      <c r="O17">
        <f>O16+1</f>
        <v>5</v>
      </c>
      <c r="P17" s="1" t="e">
        <f ca="1">IF(ISERROR(F8),"",IF(ISTEXT(VLOOKUP(B8,INDIRECT($F$8),6+(O17-1)*3)),(VLOOKUP(B8,INDIRECT($F$8),6+(O17-1)*3)),SUM(VLOOKUP(B8,INDIRECT($F$8),6+(O17-1)*3),IF(W23,W17,0))))</f>
        <v>#N/A</v>
      </c>
      <c r="Q17" s="1">
        <f ca="1">IF(ISERROR(F8),"",VLOOKUP(B8,INDIRECT($F$8),7+(O17-1)*3))</f>
        <v>46</v>
      </c>
      <c r="R17" s="1" t="e">
        <f ca="1">IF(ISERROR(F8),"",SUM(P17:Q17))</f>
        <v>#N/A</v>
      </c>
      <c r="S17" s="1">
        <f ca="1">IF(ISERROR(F8),"",VLOOKUP(A8,INDIRECT($F$8),6+(O17-1)*3))</f>
        <v>100</v>
      </c>
      <c r="T17" s="1">
        <f ca="1">IF(ISERROR(F8),"",VLOOKUP(A8,INDIRECT($F$8),7+(O17-1)*3))</f>
        <v>50</v>
      </c>
      <c r="U17" s="1">
        <f ca="1">IF(ISERROR(F8),"",VLOOKUP(A8,INDIRECT($F$8),8+(O17-1)*3))</f>
        <v>150</v>
      </c>
      <c r="V17" s="1" t="e">
        <f ca="1">IF(ISERROR(F8),"",IF(N17=0,A17,""))</f>
        <v>#N/A</v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</row>
    <row r="18" spans="1:24" ht="13" customHeight="1" x14ac:dyDescent="0.2">
      <c r="A18" s="7" t="str">
        <f ca="1">IF(ISERROR(F8),"",VLOOKUP(C8,INDIRECT($F$8),6+(O18-1)*3,0))</f>
        <v>AHT 304</v>
      </c>
      <c r="B18" s="41" t="str">
        <f ca="1">IF(ISERROR(F8),"",VLOOKUP(D8,INDIRECT($F$8),6+(O18-1)*3,0))</f>
        <v>Accounting and Financial Management ($)</v>
      </c>
      <c r="C18" s="41"/>
      <c r="D18" s="41"/>
      <c r="E18" s="41"/>
      <c r="F18" s="7">
        <f ca="1">IF(ISERROR(F8),"",VLOOKUP(E8,INDIRECT($F$8),6+(O18-1)*3,0))</f>
        <v>0</v>
      </c>
      <c r="G18" s="42" t="s">
        <v>154</v>
      </c>
      <c r="H18" s="42"/>
      <c r="I18" s="42" t="str">
        <f ca="1">IF(ISERROR(F8),"",_xlfn.TEXTJOIN("/",FALSE,Q18,T18))</f>
        <v>27/50</v>
      </c>
      <c r="J18" s="42"/>
      <c r="K18" s="42" t="e">
        <f ca="1">IF(ISERROR(F8),"",_xlfn.TEXTJOIN("/",FALSE,R18,U18))</f>
        <v>#N/A</v>
      </c>
      <c r="L18" s="42"/>
      <c r="M18" s="7" t="e">
        <f ca="1">IF(ISERROR(F8),"",IF(ISTEXT(P18),IF(P18="A","Ab",IF(P18="D","Dt",IF(P18="UFM","UFM",IF(P18="NA","")))),IF(AND(ISBLANK(P18),ISBLANK(R18)),"",IF(AND(NOT(ISBLANK(P18)),P18&lt;0.3*S18),"F",IF(ISBLANK(R18),"",IF(ISTEXT(R18),R18,IF(R18&gt;=0.9*U18,"O",IF(R18&gt;=0.85*U18,"A+",IF(R18&gt;=0.8*U18,"A",IF(R18&gt;=0.7*U18,"B+",IF(R18&gt;=0.6*U18,"B",IF(R18&gt;=0.5*U18,"C",IF(R18&gt;=0.4*U18,"P",IF(R18&lt;0.4*U18,"F",R18))))))))))))))</f>
        <v>#N/A</v>
      </c>
      <c r="N18" s="8" t="e">
        <f t="shared" ca="1" si="0"/>
        <v>#N/A</v>
      </c>
      <c r="O18">
        <f t="shared" ref="O18:O22" si="1">O17+1</f>
        <v>6</v>
      </c>
      <c r="P18" s="1" t="e">
        <f ca="1">IF(ISERROR(F8),"",IF(ISTEXT(VLOOKUP(B8,INDIRECT($F$8),6+(O18-1)*3)),(VLOOKUP(B8,INDIRECT($F$8),6+(O18-1)*3)),SUM(VLOOKUP(B8,INDIRECT($F$8),6+(O18-1)*3),IF(W23,W18,0))))</f>
        <v>#N/A</v>
      </c>
      <c r="Q18" s="1">
        <f ca="1">IF(ISERROR(F8),"",VLOOKUP(B8,INDIRECT($F$8),7+(O18-1)*3))</f>
        <v>27</v>
      </c>
      <c r="R18" s="1" t="e">
        <f ca="1">IF(ISERROR(F8),"",SUM(P18:Q18))</f>
        <v>#N/A</v>
      </c>
      <c r="S18" s="1">
        <f ca="1">IF(ISERROR(F8),"",VLOOKUP(A8,INDIRECT($F$8),6+(O18-1)*3))</f>
        <v>0</v>
      </c>
      <c r="T18" s="1">
        <f ca="1">IF(ISERROR(F8),"",VLOOKUP(A8,INDIRECT($F$8),7+(O18-1)*3))</f>
        <v>50</v>
      </c>
      <c r="U18" s="1">
        <f ca="1">IF(ISERROR(F8),"",VLOOKUP(A8,INDIRECT($F$8),8+(O18-1)*3))</f>
        <v>50</v>
      </c>
      <c r="V18" s="1" t="e">
        <f ca="1">IF(ISERROR(F8),"",IF(N18=0,A18,""))</f>
        <v>#N/A</v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4" ht="13" customHeight="1" x14ac:dyDescent="0.2">
      <c r="A19" s="7" t="str">
        <f ca="1">IF(ISERROR(F8),"",VLOOKUP(C8,INDIRECT($F$8),6+(O19-1)*3,0))</f>
        <v>CAP 004</v>
      </c>
      <c r="B19" s="41" t="str">
        <f ca="1">IF(ISERROR(F8),"",VLOOKUP(D8,INDIRECT($F$8),6+(O19-1)*3,0))</f>
        <v>Data Structures and Analysis of Algorithms Lab</v>
      </c>
      <c r="C19" s="41"/>
      <c r="D19" s="41"/>
      <c r="E19" s="41"/>
      <c r="F19" s="7">
        <f ca="1">IF(ISERROR(F8),"",VLOOKUP(E8,INDIRECT($F$8),6+(O19-1)*3,0))</f>
        <v>1</v>
      </c>
      <c r="G19" s="42" t="e">
        <f ca="1">IF(ISERROR(F8),"",_xlfn.TEXTJOIN("/",FALSE,P19,S19))</f>
        <v>#N/A</v>
      </c>
      <c r="H19" s="42"/>
      <c r="I19" s="42" t="str">
        <f ca="1">IF(ISERROR(F8),"",_xlfn.TEXTJOIN("/",FALSE,Q19,T19))</f>
        <v>18/20</v>
      </c>
      <c r="J19" s="42"/>
      <c r="K19" s="42" t="e">
        <f ca="1">IF(ISERROR(F8),"",_xlfn.TEXTJOIN("/",FALSE,R19,U19))</f>
        <v>#N/A</v>
      </c>
      <c r="L19" s="42"/>
      <c r="M19" s="7" t="e">
        <f ca="1">IF(ISERROR(F8),"",IF(ISTEXT(P19),IF(P19="A","Ab",IF(P19="D","Dt",IF(P19="UFM","UFM",IF(P19="NA","")))),IF(AND(ISBLANK(P19),ISBLANK(R19)),"",IF(P19&lt;0.3*S19,"F",IF(ISBLANK(R19),"",IF(ISTEXT(R19),R19,IF(R19&gt;=0.9*U19,"O",IF(R19&gt;=0.85*U19,"A+",IF(R19&gt;=0.8*U19,"A",IF(R19&gt;=0.7*U19,"B+",IF(R19&gt;=0.6*U19,"B",IF(R19&gt;=0.5*U19,"C",IF(R19&gt;=0.4*U19,"P",IF(R19&lt;0.4*U19,"F",R19))))))))))))))</f>
        <v>#N/A</v>
      </c>
      <c r="N19" s="8" t="e">
        <f t="shared" ca="1" si="0"/>
        <v>#N/A</v>
      </c>
      <c r="O19">
        <f t="shared" si="1"/>
        <v>7</v>
      </c>
      <c r="P19" s="1" t="e">
        <f ca="1">IF(ISERROR(F8),"",IF(ISTEXT(VLOOKUP(B8,INDIRECT($F$8),6+(O19-1)*3)),(VLOOKUP(B8,INDIRECT($F$8),6+(O19-1)*3)),SUM(VLOOKUP(B8,INDIRECT($F$8),6+(O19-1)*3),IF(W23,W19,0))))</f>
        <v>#N/A</v>
      </c>
      <c r="Q19" s="1">
        <f ca="1">IF(ISERROR(F8),"",VLOOKUP(B8,INDIRECT($F$8),7+(O19-1)*3))</f>
        <v>18</v>
      </c>
      <c r="R19" s="1" t="e">
        <f ca="1">IF(ISERROR(F8),"",SUM(P19:Q19))</f>
        <v>#N/A</v>
      </c>
      <c r="S19" s="1">
        <f ca="1">IF(ISERROR(F8),"",VLOOKUP(A8,INDIRECT($F$8),6+(O19-1)*3))</f>
        <v>30</v>
      </c>
      <c r="T19" s="1">
        <f ca="1">IF(ISERROR(F8),"",VLOOKUP(A8,INDIRECT($F$8),7+(O19-1)*3))</f>
        <v>20</v>
      </c>
      <c r="U19" s="1">
        <f ca="1">IF(ISERROR(F8),"",VLOOKUP(A8,INDIRECT($F$8),8+(O19-1)*3))</f>
        <v>50</v>
      </c>
      <c r="V19" s="1" t="e">
        <f ca="1">IF(ISERROR(F8),"",IF(N19=0,A19,""))</f>
        <v>#N/A</v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4" ht="13" customHeight="1" x14ac:dyDescent="0.2">
      <c r="A20" s="7" t="str">
        <f ca="1">IF(ISERROR(F8),"",VLOOKUP(C8,INDIRECT($F$8),6+(O20-1)*3,0))</f>
        <v>CAP 005</v>
      </c>
      <c r="B20" s="41" t="str">
        <f ca="1">IF(ISERROR(F8),"",VLOOKUP(D8,INDIRECT($F$8),6+(O20-1)*3-Z20,0))</f>
        <v>Object Oriented Programming with JAVA Lab</v>
      </c>
      <c r="C20" s="41"/>
      <c r="D20" s="41"/>
      <c r="E20" s="41"/>
      <c r="F20" s="7">
        <f ca="1">IF(ISERROR(F8),"",VLOOKUP(E8,INDIRECT($F$8),6+(O20-1)*3,0))</f>
        <v>1</v>
      </c>
      <c r="G20" s="42" t="e">
        <f ca="1">IF(ISERROR(F8),"",_xlfn.TEXTJOIN("/",FALSE,P20,S20))</f>
        <v>#N/A</v>
      </c>
      <c r="H20" s="42"/>
      <c r="I20" s="42" t="str">
        <f ca="1">IF(ISERROR(F8),"",_xlfn.TEXTJOIN("/",FALSE,Q20,T20))</f>
        <v>17/20</v>
      </c>
      <c r="J20" s="42"/>
      <c r="K20" s="42" t="e">
        <f ca="1">IF(ISERROR(F8),"",_xlfn.TEXTJOIN("/",FALSE,R20,U20))</f>
        <v>#N/A</v>
      </c>
      <c r="L20" s="42"/>
      <c r="M20" s="7" t="e">
        <f ca="1">IF(ISERROR(F8),"",IF(ISTEXT(P20),IF(P20="A","Ab",IF(P20="D","Dt",IF(P20="UFM","UFM",IF(P20="NA","")))),IF(AND(ISBLANK(P20),ISBLANK(R20)),"",IF(P20&lt;0.3*S20,"F",IF(ISBLANK(R20),"",IF(ISTEXT(R20),R20,IF(R20&gt;=0.9*U20,"O",IF(R20&gt;=0.85*U20,"A+",IF(R20&gt;=0.8*U20,"A",IF(R20&gt;=0.7*U20,"B+",IF(R20&gt;=0.6*U20,"B",IF(R20&gt;=0.5*U20,"C",IF(R20&gt;=0.4*U20,"P",IF(R20&lt;0.4*U20,"F",R20))))))))))))))</f>
        <v>#N/A</v>
      </c>
      <c r="N20" s="8" t="e">
        <f t="shared" ca="1" si="0"/>
        <v>#N/A</v>
      </c>
      <c r="O20">
        <f t="shared" si="1"/>
        <v>8</v>
      </c>
      <c r="P20" s="1" t="e">
        <f ca="1">IF(ISERROR(F8),"",IF(ISTEXT(VLOOKUP(B8,INDIRECT($F$8),6+(O20-1)*3)),(VLOOKUP(B8,INDIRECT($F$8),6+(O20-1)*3)),SUM(VLOOKUP(B8,INDIRECT($F$8),6+(O20-1)*3),IF(W23,W20,0))))</f>
        <v>#N/A</v>
      </c>
      <c r="Q20" s="1">
        <f ca="1">IF(ISERROR(F8),"",VLOOKUP(B8,INDIRECT($F$8),7+(O20-1)*3))</f>
        <v>17</v>
      </c>
      <c r="R20" s="1" t="e">
        <f ca="1">IF(ISERROR(F8),"",SUM(P20:Q20))</f>
        <v>#N/A</v>
      </c>
      <c r="S20" s="1">
        <f ca="1">IF(ISERROR(F8),"",VLOOKUP(A8,INDIRECT($F$8),6+(O20-1)*3))</f>
        <v>30</v>
      </c>
      <c r="T20" s="1">
        <f ca="1">IF(ISERROR(F8),"",VLOOKUP(A8,INDIRECT($F$8),7+(O20-1)*3))</f>
        <v>20</v>
      </c>
      <c r="U20" s="1">
        <f ca="1">IF(ISERROR(F8),"",VLOOKUP(A8,INDIRECT($F$8),8+(O20-1)*3))</f>
        <v>50</v>
      </c>
      <c r="V20" s="1" t="e">
        <f ca="1">IF(ISERROR(F8),"",IF(N20=0,A20,""))</f>
        <v>#N/A</v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4" ht="13" customHeight="1" x14ac:dyDescent="0.2">
      <c r="A21" s="7" t="str">
        <f ca="1">IF(ISERROR(F8),"",VLOOKUP(C8,INDIRECT($F$8),6+(O21-1)*3,0))</f>
        <v>CAP 006</v>
      </c>
      <c r="B21" s="41" t="str">
        <f ca="1">IF(ISERROR(F8),"",VLOOKUP(D8,INDIRECT($F$8),6+(O21-1)*3-Z21,0))</f>
        <v>Computer Networks Lab</v>
      </c>
      <c r="C21" s="41"/>
      <c r="D21" s="41"/>
      <c r="E21" s="41"/>
      <c r="F21" s="7">
        <f ca="1">IF(ISERROR(F8),"",VLOOKUP(E8,INDIRECT($F$8),6+(O21-1)*3,0))</f>
        <v>1</v>
      </c>
      <c r="G21" s="42" t="e">
        <f ca="1">IF(ISERROR(F8),"",_xlfn.TEXTJOIN("/",FALSE,P21,S21))</f>
        <v>#N/A</v>
      </c>
      <c r="H21" s="42"/>
      <c r="I21" s="42" t="str">
        <f ca="1">IF(ISERROR(F8),"",_xlfn.TEXTJOIN("/",FALSE,Q21,T21))</f>
        <v>18/20</v>
      </c>
      <c r="J21" s="42"/>
      <c r="K21" s="42" t="e">
        <f ca="1">IF(ISERROR(F8),"",_xlfn.TEXTJOIN("/",FALSE,R21,U21))</f>
        <v>#N/A</v>
      </c>
      <c r="L21" s="42"/>
      <c r="M21" s="7" t="e">
        <f ca="1">IF(ISERROR(F8),"",IF(ISTEXT(P21),IF(P21="A","Ab",IF(P21="D","Dt",IF(P21="UFM","UFM",IF(P21="NA","")))),IF(AND(ISBLANK(P21),ISBLANK(R21)),"",IF(P21&lt;0.3*S21,"F",IF(ISBLANK(R21),"",IF(ISTEXT(R21),R21,IF(R21&gt;=0.9*U21,"O",IF(R21&gt;=0.85*U21,"A+",IF(R21&gt;=0.8*U21,"A",IF(R21&gt;=0.7*U21,"B+",IF(R21&gt;=0.6*U21,"B",IF(R21&gt;=0.5*U21,"C",IF(R21&gt;=0.4*U21,"P",IF(R21&lt;0.4*U21,"F",R21))))))))))))))</f>
        <v>#N/A</v>
      </c>
      <c r="N21" s="8" t="e">
        <f t="shared" ca="1" si="0"/>
        <v>#N/A</v>
      </c>
      <c r="O21">
        <f t="shared" si="1"/>
        <v>9</v>
      </c>
      <c r="P21" s="1" t="e">
        <f ca="1">IF(ISERROR(F8),"",IF(ISTEXT(VLOOKUP(B8,INDIRECT($F$8),6+(O21-1)*3)),(VLOOKUP(B8,INDIRECT($F$8),6+(O21-1)*3)),SUM(VLOOKUP(B8,INDIRECT($F$8),6+(O21-1)*3),IF(W23,W21,0))))</f>
        <v>#N/A</v>
      </c>
      <c r="Q21" s="1">
        <f ca="1">IF(ISERROR(F8),"",VLOOKUP(B8,INDIRECT($F$8),7+(O21-1)*3))</f>
        <v>18</v>
      </c>
      <c r="R21" s="1" t="e">
        <f ca="1">IF(ISERROR(F8),"",SUM(P21:Q21))</f>
        <v>#N/A</v>
      </c>
      <c r="S21" s="1">
        <f ca="1">IF(ISERROR(F8),"",VLOOKUP(A8,INDIRECT($F$8),6+(O21-1)*3))</f>
        <v>30</v>
      </c>
      <c r="T21" s="1">
        <f ca="1">IF(ISERROR(F8),"",VLOOKUP(A8,INDIRECT($F$8),7+(O21-1)*3))</f>
        <v>20</v>
      </c>
      <c r="U21" s="1">
        <f ca="1">IF(ISERROR(F8),"",VLOOKUP(A8,INDIRECT($F$8),8+(O21-1)*3))</f>
        <v>50</v>
      </c>
      <c r="V21" s="1" t="e">
        <f ca="1">IF(ISERROR(F8),"",IF(N21=0,A21,""))</f>
        <v>#N/A</v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4" ht="13" customHeight="1" x14ac:dyDescent="0.2">
      <c r="A22" s="7" t="str">
        <f ca="1">IF(ISERROR(F8),"",VLOOKUP(C8,INDIRECT($F$8),6+(O22-1)*3,0))</f>
        <v>CAP 007</v>
      </c>
      <c r="B22" s="41" t="str">
        <f ca="1">IF(ISERROR(F8),"",VLOOKUP(D8,INDIRECT($F$8),6+(O22-1)*3,0))</f>
        <v>Artificial Intelligence Lab</v>
      </c>
      <c r="C22" s="41"/>
      <c r="D22" s="41"/>
      <c r="E22" s="41"/>
      <c r="F22" s="7">
        <f ca="1">IF(ISERROR(F8),"",VLOOKUP(E8,INDIRECT($F$8),6+(O22-1)*3,0))</f>
        <v>1</v>
      </c>
      <c r="G22" s="42" t="e">
        <f ca="1">IF(ISERROR(F8),"",_xlfn.TEXTJOIN("/",FALSE,P22,S22))</f>
        <v>#N/A</v>
      </c>
      <c r="H22" s="42"/>
      <c r="I22" s="42" t="str">
        <f ca="1">IF(ISERROR(F8),"",_xlfn.TEXTJOIN("/",FALSE,Q22,T22))</f>
        <v>19/20</v>
      </c>
      <c r="J22" s="42"/>
      <c r="K22" s="42" t="e">
        <f ca="1">IF(ISERROR(F8),"",_xlfn.TEXTJOIN("/",FALSE,R22,U22))</f>
        <v>#N/A</v>
      </c>
      <c r="L22" s="42"/>
      <c r="M22" s="7" t="e">
        <f ca="1">IF(ISERROR(F8),"",IF(ISTEXT(P22),IF(P22="A","Ab",IF(P22="D","Dt",IF(P22="UFM","UFM",IF(P22="NA","")))),IF(AND(ISBLANK(P22),ISBLANK(R22)),"",IF(P22&lt;0.3*S22,"F",IF(ISBLANK(R22),"",IF(ISTEXT(R22),R22,IF(R22&gt;=0.9*U22,"O",IF(R22&gt;=0.85*U22,"A+",IF(R22&gt;=0.8*U22,"A",IF(R22&gt;=0.7*U22,"B+",IF(R22&gt;=0.6*U22,"B",IF(R22&gt;=0.5*U22,"C",IF(R22&gt;=0.4*U22,"P",IF(R22&lt;0.4*U22,"F",R22))))))))))))))</f>
        <v>#N/A</v>
      </c>
      <c r="N22" s="8" t="e">
        <f t="shared" ca="1" si="0"/>
        <v>#N/A</v>
      </c>
      <c r="O22">
        <f t="shared" si="1"/>
        <v>10</v>
      </c>
      <c r="P22" s="1" t="e">
        <f ca="1">IF(ISERROR(F8),"",IF(ISTEXT(VLOOKUP(B8,INDIRECT($F$8),6+(O22-1)*3)),(VLOOKUP(B8,INDIRECT($F$8),6+(O22-1)*3)),SUM(VLOOKUP(B8,INDIRECT($F$8),6+(O22-1)*3),IF(W23,W22,0))))</f>
        <v>#N/A</v>
      </c>
      <c r="Q22" s="1">
        <f ca="1">IF(ISERROR(F8),"",VLOOKUP(B8,INDIRECT($F$8),7+(O22-1)*3))</f>
        <v>19</v>
      </c>
      <c r="R22" s="1" t="e">
        <f ca="1">IF(ISERROR(F8),"",SUM(P22:Q22))</f>
        <v>#N/A</v>
      </c>
      <c r="S22" s="1">
        <f ca="1">IF(ISERROR(F8),"",VLOOKUP(A8,INDIRECT($F$8),6+(O22-1)*3))</f>
        <v>30</v>
      </c>
      <c r="T22" s="1">
        <f ca="1">IF(ISERROR(F8),"",VLOOKUP(A8,INDIRECT($F$8),7+(O22-1)*3))</f>
        <v>20</v>
      </c>
      <c r="U22" s="1">
        <f ca="1">IF(ISERROR(F8),"",VLOOKUP(A8,INDIRECT($F$8),8+(O22-1)*3))</f>
        <v>50</v>
      </c>
      <c r="V22" s="1" t="e">
        <f ca="1">IF(ISERROR(F8),"",IF(N22=0,A22,""))</f>
        <v>#N/A</v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4" ht="13" customHeight="1" x14ac:dyDescent="0.2">
      <c r="A23" s="44" t="s">
        <v>35</v>
      </c>
      <c r="B23" s="44"/>
      <c r="C23" s="44"/>
      <c r="D23" s="44"/>
      <c r="E23" s="44"/>
      <c r="F23" s="9">
        <f ca="1">SUM(F13:F22)</f>
        <v>24</v>
      </c>
      <c r="G23" s="44" t="e">
        <f ca="1">_xlfn.TEXTJOIN("/",TRUE,SUMIF(F13:F22,"&gt;0",P13:P22),SUMIF(F13:F22,"&gt;0",S13:S22))</f>
        <v>#N/A</v>
      </c>
      <c r="H23" s="44"/>
      <c r="I23" s="44" t="str">
        <f ca="1">_xlfn.TEXTJOIN("/",TRUE,SUMIF(F13:F22,"&gt;0",Q13:Q22),SUMIF(F13:F22,"&gt;0",T13:T22))</f>
        <v>293/330</v>
      </c>
      <c r="J23" s="44"/>
      <c r="K23" s="44" t="e">
        <f ca="1">_xlfn.TEXTJOIN("/",TRUE,SUMIF(F13:F22,"&gt;0",R13:R22),SUMIF(F13:F22,"&gt;0",U13:U22))</f>
        <v>#N/A</v>
      </c>
      <c r="L23" s="44"/>
      <c r="M23" s="43" t="e">
        <f ca="1">SUMPRODUCT(N13:N22,F13:F22)</f>
        <v>#N/A</v>
      </c>
      <c r="N23" s="43"/>
      <c r="V23" s="1" t="e">
        <f ca="1">_xlfn.TEXTJOIN(", ",TRUE,V13:V22)</f>
        <v>#N/A</v>
      </c>
      <c r="W23" t="e">
        <f ca="1">IF(SUM(W13:W22)&lt;=W12,TRUE,FALSE)</f>
        <v>#N/A</v>
      </c>
      <c r="X23" s="1" t="str">
        <f ca="1">_xlfn.TEXTJOIN(",",TRUE,X13:X22)</f>
        <v/>
      </c>
    </row>
    <row r="24" spans="1:24" ht="13" customHeight="1" x14ac:dyDescent="0.2">
      <c r="A24" s="43" t="s">
        <v>36</v>
      </c>
      <c r="B24" s="45" t="e">
        <f ca="1">IF(V23="","PASS","CARRY OVER")</f>
        <v>#N/A</v>
      </c>
      <c r="C24" s="45"/>
      <c r="D24" s="43" t="s">
        <v>37</v>
      </c>
      <c r="E24" s="45" t="e">
        <f ca="1">IF(V23="",IF(X23="","",X23),_xlfn.TEXTJOIN(" ",TRUE,"BACK IN",V23))</f>
        <v>#N/A</v>
      </c>
      <c r="F24" s="45"/>
      <c r="G24" s="43" t="s">
        <v>38</v>
      </c>
      <c r="H24" s="46" t="e">
        <f ca="1">M23/F23</f>
        <v>#N/A</v>
      </c>
      <c r="I24" s="43" t="s">
        <v>39</v>
      </c>
      <c r="J24" s="46" t="e">
        <f ca="1">IF(ISERROR(F8),"",VLOOKUP(B8,INDIRECT($F$8),12+(O22-1)*3,0))</f>
        <v>#N/A</v>
      </c>
      <c r="K24" s="45" t="s">
        <v>40</v>
      </c>
      <c r="L24" s="43">
        <f ca="1">SUMIF(N13:N22,"&gt;0",F13:F22)</f>
        <v>0</v>
      </c>
      <c r="M24" s="45" t="s">
        <v>41</v>
      </c>
      <c r="N24" s="43" t="e">
        <f ca="1">IF(ISERROR(F8),"",VLOOKUP(B8,INDIRECT($F$8),10+(O22-1)*3,0))</f>
        <v>#N/A</v>
      </c>
    </row>
    <row r="25" spans="1:24" ht="13" customHeight="1" x14ac:dyDescent="0.2">
      <c r="A25" s="43"/>
      <c r="B25" s="45"/>
      <c r="C25" s="45"/>
      <c r="D25" s="43"/>
      <c r="E25" s="45"/>
      <c r="F25" s="45"/>
      <c r="G25" s="43"/>
      <c r="H25" s="46"/>
      <c r="I25" s="43"/>
      <c r="J25" s="46"/>
      <c r="K25" s="45"/>
      <c r="L25" s="43"/>
      <c r="M25" s="45"/>
      <c r="N25" s="43"/>
    </row>
    <row r="26" spans="1:24" ht="17" customHeight="1" x14ac:dyDescent="0.2">
      <c r="A26" s="43"/>
      <c r="B26" s="45"/>
      <c r="C26" s="45"/>
      <c r="D26" s="43"/>
      <c r="E26" s="45"/>
      <c r="F26" s="45"/>
      <c r="G26" s="43"/>
      <c r="H26" s="46"/>
      <c r="I26" s="43"/>
      <c r="J26" s="46"/>
      <c r="K26" s="45"/>
      <c r="L26" s="43"/>
      <c r="M26" s="45"/>
      <c r="N26" s="43"/>
    </row>
    <row r="27" spans="1:24" ht="13" customHeight="1" x14ac:dyDescent="0.2">
      <c r="A27" s="11" t="str">
        <f>A8</f>
        <v>MM</v>
      </c>
      <c r="B27" s="11">
        <f>B8+1</f>
        <v>2</v>
      </c>
      <c r="C27" s="11" t="str">
        <f>C8</f>
        <v>SC</v>
      </c>
      <c r="D27" s="11" t="str">
        <f>D8</f>
        <v>SN</v>
      </c>
      <c r="E27" s="11" t="str">
        <f>E8</f>
        <v>C</v>
      </c>
      <c r="F27" s="11" t="str">
        <f ca="1">VLOOKUP(B27,INDIRECT($F$8),4,0)</f>
        <v>AMAN POKHRIYAL</v>
      </c>
    </row>
    <row r="28" spans="1:24" ht="13" customHeight="1" x14ac:dyDescent="0.2">
      <c r="A28" s="47" t="str">
        <f ca="1">IF(ISERROR(F27),"",A9)</f>
        <v>Name:</v>
      </c>
      <c r="B28" s="47" t="str">
        <f ca="1">IFERROR(VLOOKUP(B27,INDIRECT($F$8),4,0),"")</f>
        <v>AMAN POKHRIYAL</v>
      </c>
      <c r="C28" s="47"/>
      <c r="D28" s="47" t="str">
        <f ca="1">IF(ISERROR(F27),"",D9)</f>
        <v>Father's Name:</v>
      </c>
      <c r="E28" s="47" t="str">
        <f ca="1">IFERROR(VLOOKUP(B27,INDIRECT($F$8),5,0),"")</f>
        <v>VINOD PRASSAD POKHRIYAL</v>
      </c>
      <c r="F28" s="47"/>
      <c r="G28" s="47" t="str">
        <f ca="1">IF(ISERROR(F27),"",G9)</f>
        <v>University Roll No:</v>
      </c>
      <c r="H28" s="47"/>
      <c r="I28" s="48">
        <f ca="1">IFERROR(VLOOKUP(B27,INDIRECT($F$8),2,0),"")</f>
        <v>240090600002</v>
      </c>
      <c r="J28" s="48"/>
      <c r="K28" s="47" t="str">
        <f ca="1">IF(ISERROR(F27),"",K9)</f>
        <v>University Enrol. No:</v>
      </c>
      <c r="L28" s="47"/>
      <c r="M28" s="48" t="str">
        <f ca="1">IFERROR(VLOOKUP(B27,INDIRECT($F$8),3,0),"")</f>
        <v>UTU/2406100171</v>
      </c>
      <c r="N28" s="48"/>
    </row>
    <row r="29" spans="1:24" ht="15" x14ac:dyDescent="0.2">
      <c r="A29" s="47"/>
      <c r="B29" s="47"/>
      <c r="C29" s="47"/>
      <c r="D29" s="47"/>
      <c r="E29" s="47"/>
      <c r="F29" s="47"/>
      <c r="G29" s="47"/>
      <c r="H29" s="47"/>
      <c r="I29" s="48"/>
      <c r="J29" s="48"/>
      <c r="K29" s="47"/>
      <c r="L29" s="47"/>
      <c r="M29" s="48"/>
      <c r="N29" s="48"/>
    </row>
    <row r="30" spans="1:24" ht="13" customHeight="1" x14ac:dyDescent="0.2">
      <c r="A30" s="45" t="str">
        <f ca="1">IF(ISERROR(F27),"",A11)</f>
        <v>Subject Code</v>
      </c>
      <c r="B30" s="45" t="str">
        <f ca="1">IF(ISERROR(F27),"",B11)</f>
        <v>Subject Name</v>
      </c>
      <c r="C30" s="45"/>
      <c r="D30" s="45"/>
      <c r="E30" s="45"/>
      <c r="F30" s="45" t="str">
        <f ca="1">IF(ISERROR(F27),"",F11)</f>
        <v>Credits</v>
      </c>
      <c r="G30" s="45" t="str">
        <f ca="1">IF(ISERROR(F27),"",G11)</f>
        <v>External Marks</v>
      </c>
      <c r="H30" s="45"/>
      <c r="I30" s="45" t="str">
        <f ca="1">IF(ISERROR(F27),"",I11)</f>
        <v>Sessional Marks</v>
      </c>
      <c r="J30" s="45"/>
      <c r="K30" s="45" t="str">
        <f ca="1">IF(ISERROR(F27),"",K11)</f>
        <v>Total Marks</v>
      </c>
      <c r="L30" s="45"/>
      <c r="M30" s="45" t="str">
        <f ca="1">IF(ISERROR(F27),"",M11)</f>
        <v>Grade</v>
      </c>
      <c r="N30" s="45" t="str">
        <f ca="1">IF(ISERROR(F27),"",N11)</f>
        <v>Grade Points</v>
      </c>
    </row>
    <row r="31" spans="1:24" ht="15" x14ac:dyDescent="0.2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W31" t="e">
        <f ca="1">IF(ISNUMBER(MATCH($F$8,{"I","III","V","VII"},0)),10,10-INDEX(INDIRECT(_xlfn.TEXTJOIN("",TRUE,"SEM_",$G$8,"!",ADDRESS(6,4+$I$8*3+4),":",ADDRESS(5+$H$8,4+$I$8*3+4))),MATCH(INDIRECT(_xlfn.TEXTJOIN("",TRUE,"TC_",$F$8,"!",ADDRESS(ROW(I28),COLUMN(I28)))),INDIRECT(_xlfn.TEXTJOIN("",TRUE,"SEM_",$G$8,"!",ADDRESS(6,2),":",ADDRESS(5+$H$8,2))))))</f>
        <v>#N/A</v>
      </c>
    </row>
    <row r="32" spans="1:24" ht="13" customHeight="1" x14ac:dyDescent="0.2">
      <c r="A32" s="7" t="str">
        <f ca="1">IF(ISERROR(F27),"",VLOOKUP(C27,INDIRECT($F$8),6+(O32-1)*3,0))</f>
        <v>CAT 009</v>
      </c>
      <c r="B32" s="41" t="str">
        <f ca="1">IF(ISERROR(F27),"",VLOOKUP(D27,INDIRECT($F$8),6+(O32-1)*3,0))</f>
        <v>Computer Based Numerical and Statistical Techniques</v>
      </c>
      <c r="C32" s="41"/>
      <c r="D32" s="41"/>
      <c r="E32" s="41"/>
      <c r="F32" s="7">
        <f ca="1">IF(ISERROR(F27),"",VLOOKUP(E27,INDIRECT($F$8),6+(O32-1)*3,0))</f>
        <v>4</v>
      </c>
      <c r="G32" s="42" t="e">
        <f ca="1">IF(ISERROR(F27),"",_xlfn.TEXTJOIN("/",FALSE,P32,S32))</f>
        <v>#N/A</v>
      </c>
      <c r="H32" s="42"/>
      <c r="I32" s="42" t="str">
        <f ca="1">IF(ISERROR(F27),"",_xlfn.TEXTJOIN("/",FALSE,Q32,T32))</f>
        <v>42/50</v>
      </c>
      <c r="J32" s="42"/>
      <c r="K32" s="42" t="e">
        <f ca="1">IF(ISERROR(F27),"",_xlfn.TEXTJOIN("/",FALSE,R32,U32))</f>
        <v>#N/A</v>
      </c>
      <c r="L32" s="42"/>
      <c r="M32" s="7" t="e">
        <f ca="1">IF(ISERROR(F27),"",IF(ISTEXT(P32),IF(P32="A","Ab",IF(P32="D","Dt",IF(P32="UFM","UFM",IF(P32="NA","")))),IF(AND(ISBLANK(P32),ISBLANK(R32)),"",IF(P32&lt;0.3*S32,"F",IF(ISBLANK(R32),"",IF(ISTEXT(R32),R32,IF(R32&gt;=0.9*U32,"O",IF(R32&gt;=0.85*U32,"A+",IF(R32&gt;=0.8*U32,"A",IF(R32&gt;=0.7*U32,"B+",IF(R32&gt;=0.6*U32,"B",IF(R32&gt;=0.5*U32,"C",IF(R32&gt;=0.4*U32,"P",IF(R32&lt;0.4*U32,"F",R32))))))))))))))</f>
        <v>#N/A</v>
      </c>
      <c r="N32" s="8" t="e">
        <f t="shared" ref="N32:N41" ca="1" si="2">INDEX($Z$2:$Z$13,MATCH(M32,$Y$2:$Y$13,0))</f>
        <v>#N/A</v>
      </c>
      <c r="O32">
        <v>1</v>
      </c>
      <c r="P32" s="1" t="e">
        <f ca="1">IF(ISERROR(F27),"",IF(ISTEXT(VLOOKUP(B27,INDIRECT($F$8),6+(O32-1)*3)),(VLOOKUP(B27,INDIRECT($F$8),6+(O32-1)*3)),SUM(VLOOKUP(B27,INDIRECT($F$8),6+(O32-1)*3),IF(W42,W32,0))))</f>
        <v>#N/A</v>
      </c>
      <c r="Q32" s="1">
        <f ca="1">IF(ISERROR(F27),"",VLOOKUP(B27,INDIRECT($F$8),7+(O32-1)*3))</f>
        <v>42</v>
      </c>
      <c r="R32" s="1" t="e">
        <f ca="1">IF(ISERROR(F27),"",SUM(P32:Q32))</f>
        <v>#N/A</v>
      </c>
      <c r="S32" s="1">
        <f ca="1">IF(ISERROR(F27),"",VLOOKUP(A27,INDIRECT($F$8),6+(O32-1)*3))</f>
        <v>100</v>
      </c>
      <c r="T32" s="1">
        <f ca="1">IF(ISERROR(F27),"",VLOOKUP(A27,INDIRECT($F$8),7+(O32-1)*3))</f>
        <v>50</v>
      </c>
      <c r="U32" s="1">
        <f ca="1">IF(ISERROR(F27),"",VLOOKUP(A27,INDIRECT($F$8),8+(O32-1)*3))</f>
        <v>150</v>
      </c>
      <c r="V32" s="1" t="e">
        <f ca="1">IF(ISERROR(F27),"",IF(N32=0,A32,""))</f>
        <v>#N/A</v>
      </c>
      <c r="W32" s="1">
        <f ca="1">IF(ISERROR(F27),"",IF(ISTEXT(VLOOKUP(B27,INDIRECT($F$8),6+(O32-1)*3)),11,IF(VLOOKUP(B27,INDIRECT($F$8),6+(O32-1)*3)&lt;S32*0.3,IF(VLOOKUP(B27,INDIRECT($F$8),8+(O32-1)*3)&lt;U32*0.4,IF(AND(0.4*U32-VLOOKUP(B27,INDIRECT($F$8),8+(O32-1)*3)&lt;=5,0.3*S32-VLOOKUP(B27,INDIRECT($F$8),6+(O32-1)*3)&lt;=5),MAX(0.4*U32-VLOOKUP(B27,INDIRECT($F$8),8+(O32-1)*3),0.3*S32-VLOOKUP(B27,INDIRECT($F$8),6+(O32-1)*3)),11),IF(0.3*S32-VLOOKUP(B27,INDIRECT($F$8),6+(O32-1)*3)&lt;=5,0.3*S32-VLOOKUP(B27,INDIRECT($F$8),6+(O32-1)*3),11)),IF(VLOOKUP(B27,INDIRECT($F$8),8+(O32-1)*3)&lt;U32*0.4,IF(U32*0.4-VLOOKUP(B27,INDIRECT($F$8),8+(O32-1)*3)&lt;=5,U32*0.4-VLOOKUP(B27,INDIRECT($F$8),8+(O32-1)*3),11),0))))</f>
        <v>0</v>
      </c>
      <c r="X32" s="1" t="str">
        <f ca="1">IF(ISERROR(F27),"",IF(W32=0,"",_xlfn.TEXTJOIN("",FALSE," G+",W32," in ",A32)))</f>
        <v/>
      </c>
    </row>
    <row r="33" spans="1:24" ht="13" customHeight="1" x14ac:dyDescent="0.2">
      <c r="A33" s="7" t="str">
        <f ca="1">IF(ISERROR(F27),"",VLOOKUP(C27,INDIRECT($F$8),6+(O33-1)*3,0))</f>
        <v>CAT 010</v>
      </c>
      <c r="B33" s="41" t="str">
        <f ca="1">IF(ISERROR(F27),"",VLOOKUP(D27,INDIRECT($F$8),6+(O33-1)*3,0))</f>
        <v>Data Structures and Analysis of Algorithms</v>
      </c>
      <c r="C33" s="41"/>
      <c r="D33" s="41"/>
      <c r="E33" s="41"/>
      <c r="F33" s="7">
        <f ca="1">IF(ISERROR(F27),"",VLOOKUP(E27,INDIRECT($F$8),6+(O33-1)*3,0))</f>
        <v>4</v>
      </c>
      <c r="G33" s="42" t="e">
        <f ca="1">IF(ISERROR(F27),"",_xlfn.TEXTJOIN("/",FALSE,P33,S33))</f>
        <v>#N/A</v>
      </c>
      <c r="H33" s="42"/>
      <c r="I33" s="42" t="str">
        <f ca="1">IF(ISERROR(F27),"",_xlfn.TEXTJOIN("/",FALSE,Q33,T33))</f>
        <v>40/50</v>
      </c>
      <c r="J33" s="42"/>
      <c r="K33" s="42" t="e">
        <f ca="1">IF(ISERROR(F27),"",_xlfn.TEXTJOIN("/",FALSE,R33,U33))</f>
        <v>#N/A</v>
      </c>
      <c r="L33" s="42"/>
      <c r="M33" s="7" t="e">
        <f ca="1">IF(ISERROR(F27),"",IF(ISTEXT(P33),IF(P33="A","Ab",IF(P33="D","Dt",IF(P33="UFM","UFM",IF(P33="NA","")))),IF(AND(ISBLANK(P33),ISBLANK(R33)),"",IF(P33&lt;0.3*S33,"F",IF(ISBLANK(R33),"",IF(ISTEXT(R33),R33,IF(R33&gt;=0.9*U33,"O",IF(R33&gt;=0.85*U33,"A+",IF(R33&gt;=0.8*U33,"A",IF(R33&gt;=0.7*U33,"B+",IF(R33&gt;=0.6*U33,"B",IF(R33&gt;=0.5*U33,"C",IF(R33&gt;=0.4*U33,"P",IF(R33&lt;0.4*U33,"F",R33))))))))))))))</f>
        <v>#N/A</v>
      </c>
      <c r="N33" s="8" t="e">
        <f t="shared" ca="1" si="2"/>
        <v>#N/A</v>
      </c>
      <c r="O33">
        <f>O32+1</f>
        <v>2</v>
      </c>
      <c r="P33" s="1" t="e">
        <f ca="1">IF(ISERROR(F27),"",IF(ISTEXT(VLOOKUP(B27,INDIRECT($F$8),6+(O33-1)*3)),(VLOOKUP(B27,INDIRECT($F$8),6+(O33-1)*3)),SUM(VLOOKUP(B27,INDIRECT($F$8),6+(O33-1)*3),IF(W42,W33,0))))</f>
        <v>#N/A</v>
      </c>
      <c r="Q33" s="1">
        <f ca="1">IF(ISERROR(F27),"",VLOOKUP(B27,INDIRECT($F$8),7+(O33-1)*3))</f>
        <v>40</v>
      </c>
      <c r="R33" s="1" t="e">
        <f ca="1">IF(ISERROR(F27),"",SUM(P33:Q33))</f>
        <v>#N/A</v>
      </c>
      <c r="S33" s="1">
        <f ca="1">IF(ISERROR(F27),"",VLOOKUP(A27,INDIRECT($F$8),6+(O33-1)*3))</f>
        <v>100</v>
      </c>
      <c r="T33" s="1">
        <f ca="1">IF(ISERROR(F27),"",VLOOKUP(A27,INDIRECT($F$8),7+(O33-1)*3))</f>
        <v>50</v>
      </c>
      <c r="U33" s="1">
        <f ca="1">IF(ISERROR(F27),"",VLOOKUP(A27,INDIRECT($F$8),8+(O33-1)*3))</f>
        <v>150</v>
      </c>
      <c r="V33" s="1" t="e">
        <f ca="1">IF(ISERROR(F27),"",IF(N33=0,A33,""))</f>
        <v>#N/A</v>
      </c>
      <c r="W33" s="1">
        <f ca="1">IF(ISERROR(F27),"",IF(ISTEXT(VLOOKUP(B27,INDIRECT($F$8),6+(O33-1)*3)),11,IF(VLOOKUP(B27,INDIRECT($F$8),6+(O33-1)*3)&lt;S33*0.3,IF(VLOOKUP(B27,INDIRECT($F$8),8+(O33-1)*3)&lt;U33*0.4,IF(AND(0.4*U33-VLOOKUP(B27,INDIRECT($F$8),8+(O33-1)*3)&lt;=5,0.3*S33-VLOOKUP(B27,INDIRECT($F$8),6+(O33-1)*3)&lt;=5),MAX(0.4*U33-VLOOKUP(B27,INDIRECT($F$8),8+(O33-1)*3),0.3*S33-VLOOKUP(B27,INDIRECT($F$8),6+(O33-1)*3)),11),IF(0.3*S33-VLOOKUP(B27,INDIRECT($F$8),6+(O33-1)*3)&lt;=5,0.3*S33-VLOOKUP(B27,INDIRECT($F$8),6+(O33-1)*3),11)),IF(VLOOKUP(B27,INDIRECT($F$8),8+(O33-1)*3)&lt;U33*0.4,IF(U33*0.4-VLOOKUP(B27,INDIRECT($F$8),8+(O33-1)*3)&lt;=5,U33*0.4-VLOOKUP(B27,INDIRECT($F$8),8+(O33-1)*3),11),0))))</f>
        <v>0</v>
      </c>
      <c r="X33" s="1" t="str">
        <f ca="1">IF(ISERROR(F27),"",IF(W33=0,"",_xlfn.TEXTJOIN("",FALSE," G+",W33," in ",A33)))</f>
        <v/>
      </c>
    </row>
    <row r="34" spans="1:24" ht="13" customHeight="1" x14ac:dyDescent="0.2">
      <c r="A34" s="7" t="str">
        <f ca="1">IF(ISERROR(F27),"",VLOOKUP(C27,INDIRECT($F$8),6+(O34-1)*3,0))</f>
        <v>CAT 011</v>
      </c>
      <c r="B34" s="41" t="str">
        <f ca="1">IF(ISERROR(F27),"",VLOOKUP(D27,INDIRECT($F$8),6+(O34-1)*3,0))</f>
        <v>Object Oriented Programming with JAVA</v>
      </c>
      <c r="C34" s="41"/>
      <c r="D34" s="41"/>
      <c r="E34" s="41"/>
      <c r="F34" s="7">
        <f ca="1">IF(ISERROR(F27),"",VLOOKUP(E27,INDIRECT($F$8),6+(O34-1)*3,0))</f>
        <v>4</v>
      </c>
      <c r="G34" s="42" t="e">
        <f ca="1">IF(ISERROR(F27),"",_xlfn.TEXTJOIN("/",FALSE,P34,S34))</f>
        <v>#N/A</v>
      </c>
      <c r="H34" s="42"/>
      <c r="I34" s="42" t="str">
        <f ca="1">IF(ISERROR(F27),"",_xlfn.TEXTJOIN("/",FALSE,Q34,T34))</f>
        <v>36/50</v>
      </c>
      <c r="J34" s="42"/>
      <c r="K34" s="42" t="e">
        <f ca="1">IF(ISERROR(F27),"",_xlfn.TEXTJOIN("/",FALSE,R34,U34))</f>
        <v>#N/A</v>
      </c>
      <c r="L34" s="42"/>
      <c r="M34" s="7" t="e">
        <f ca="1">IF(ISERROR(F27),"",IF(ISTEXT(P34),IF(P34="A","Ab",IF(P34="D","Dt",IF(P34="UFM","UFM",IF(P34="NA","")))),IF(AND(ISBLANK(P34),ISBLANK(R34)),"",IF(P34&lt;0.3*S34,"F",IF(ISBLANK(R34),"",IF(ISTEXT(R34),R34,IF(R34&gt;=0.9*U34,"O",IF(R34&gt;=0.85*U34,"A+",IF(R34&gt;=0.8*U34,"A",IF(R34&gt;=0.7*U34,"B+",IF(R34&gt;=0.6*U34,"B",IF(R34&gt;=0.5*U34,"C",IF(R34&gt;=0.4*U34,"P",IF(R34&lt;0.4*U34,"F",R34))))))))))))))</f>
        <v>#N/A</v>
      </c>
      <c r="N34" s="8" t="e">
        <f t="shared" ca="1" si="2"/>
        <v>#N/A</v>
      </c>
      <c r="O34">
        <f>O33+1</f>
        <v>3</v>
      </c>
      <c r="P34" s="1" t="e">
        <f ca="1">IF(ISERROR(F27),"",IF(ISTEXT(VLOOKUP(B27,INDIRECT($F$8),6+(O34-1)*3)),(VLOOKUP(B27,INDIRECT($F$8),6+(O34-1)*3)),SUM(VLOOKUP(B27,INDIRECT($F$8),6+(O34-1)*3),IF(W42,W34,0))))</f>
        <v>#N/A</v>
      </c>
      <c r="Q34" s="1">
        <f ca="1">IF(ISERROR(F27),"",VLOOKUP(B27,INDIRECT($F$8),7+(O34-1)*3))</f>
        <v>36</v>
      </c>
      <c r="R34" s="1" t="e">
        <f ca="1">IF(ISERROR(F27),"",SUM(P34:Q34))</f>
        <v>#N/A</v>
      </c>
      <c r="S34" s="1">
        <f ca="1">IF(ISERROR(F27),"",VLOOKUP(A27,INDIRECT($F$8),6+(O34-1)*3))</f>
        <v>100</v>
      </c>
      <c r="T34" s="1">
        <f ca="1">IF(ISERROR(F27),"",VLOOKUP(A27,INDIRECT($F$8),7+(O34-1)*3))</f>
        <v>50</v>
      </c>
      <c r="U34" s="1">
        <f ca="1">IF(ISERROR(F27),"",VLOOKUP(A27,INDIRECT($F$8),8+(O34-1)*3))</f>
        <v>150</v>
      </c>
      <c r="V34" s="1" t="e">
        <f ca="1">IF(ISERROR(F27),"",IF(N34=0,A34,""))</f>
        <v>#N/A</v>
      </c>
      <c r="W34" s="1">
        <f ca="1">IF(ISERROR(F27),"",IF(ISTEXT(VLOOKUP(B27,INDIRECT($F$8),6+(O34-1)*3)),11,IF(VLOOKUP(B27,INDIRECT($F$8),6+(O34-1)*3)&lt;S34*0.3,IF(VLOOKUP(B27,INDIRECT($F$8),8+(O34-1)*3)&lt;U34*0.4,IF(AND(0.4*U34-VLOOKUP(B27,INDIRECT($F$8),8+(O34-1)*3)&lt;=5,0.3*S34-VLOOKUP(B27,INDIRECT($F$8),6+(O34-1)*3)&lt;=5),MAX(0.4*U34-VLOOKUP(B27,INDIRECT($F$8),8+(O34-1)*3),0.3*S34-VLOOKUP(B27,INDIRECT($F$8),6+(O34-1)*3)),11),IF(0.3*S34-VLOOKUP(B27,INDIRECT($F$8),6+(O34-1)*3)&lt;=5,0.3*S34-VLOOKUP(B27,INDIRECT($F$8),6+(O34-1)*3),11)),IF(VLOOKUP(B27,INDIRECT($F$8),8+(O34-1)*3)&lt;U34*0.4,IF(U34*0.4-VLOOKUP(B27,INDIRECT($F$8),8+(O34-1)*3)&lt;=5,U34*0.4-VLOOKUP(B27,INDIRECT($F$8),8+(O34-1)*3),11),0))))</f>
        <v>0</v>
      </c>
      <c r="X34" s="1" t="str">
        <f ca="1">IF(ISERROR(F27),"",IF(W34=0,"",_xlfn.TEXTJOIN("",FALSE," G+",W34," in ",A34)))</f>
        <v/>
      </c>
    </row>
    <row r="35" spans="1:24" ht="13" customHeight="1" x14ac:dyDescent="0.2">
      <c r="A35" s="7" t="str">
        <f ca="1">IF(ISERROR(F27),"",VLOOKUP(C27,INDIRECT($F$8),6+(O35-1)*3,0))</f>
        <v>CAT 012</v>
      </c>
      <c r="B35" s="41" t="str">
        <f ca="1">IF(ISERROR(F27),"",VLOOKUP(D27,INDIRECT($F$8),6+(O35-1)*3,0))</f>
        <v>Computer Networks</v>
      </c>
      <c r="C35" s="41"/>
      <c r="D35" s="41"/>
      <c r="E35" s="41"/>
      <c r="F35" s="7">
        <f ca="1">IF(ISERROR(F27),"",VLOOKUP(E27,INDIRECT($F$8),6+(O35-1)*3,0))</f>
        <v>4</v>
      </c>
      <c r="G35" s="42" t="e">
        <f ca="1">IF(ISERROR(F27),"",_xlfn.TEXTJOIN("/",FALSE,P35,S35))</f>
        <v>#N/A</v>
      </c>
      <c r="H35" s="42"/>
      <c r="I35" s="42" t="str">
        <f ca="1">IF(ISERROR(F27),"",_xlfn.TEXTJOIN("/",FALSE,Q35,T35))</f>
        <v>38/50</v>
      </c>
      <c r="J35" s="42"/>
      <c r="K35" s="42" t="e">
        <f ca="1">IF(ISERROR(F27),"",_xlfn.TEXTJOIN("/",FALSE,R35,U35))</f>
        <v>#N/A</v>
      </c>
      <c r="L35" s="42"/>
      <c r="M35" s="7" t="e">
        <f ca="1">IF(ISERROR(F27),"",IF(ISTEXT(P35),IF(P35="A","Ab",IF(P35="D","Dt",IF(P35="UFM","UFM",IF(P35="NA","")))),IF(AND(ISBLANK(P35),ISBLANK(R35)),"",IF(P35&lt;0.3*S35,"F",IF(ISBLANK(R35),"",IF(ISTEXT(R35),R35,IF(R35&gt;=0.9*U35,"O",IF(R35&gt;=0.85*U35,"A+",IF(R35&gt;=0.8*U35,"A",IF(R35&gt;=0.7*U35,"B+",IF(R35&gt;=0.6*U35,"B",IF(R35&gt;=0.5*U35,"C",IF(R35&gt;=0.4*U35,"P",IF(R35&lt;0.4*U35,"F",R35))))))))))))))</f>
        <v>#N/A</v>
      </c>
      <c r="N35" s="8" t="e">
        <f t="shared" ca="1" si="2"/>
        <v>#N/A</v>
      </c>
      <c r="O35">
        <f t="shared" ref="O35:O41" si="3">O34+1</f>
        <v>4</v>
      </c>
      <c r="P35" s="1" t="e">
        <f ca="1">IF(ISERROR(F27),"",IF(ISTEXT(VLOOKUP(B27,INDIRECT($F$8),6+(O35-1)*3)),(VLOOKUP(B27,INDIRECT($F$8),6+(O35-1)*3)),SUM(VLOOKUP(B27,INDIRECT($F$8),6+(O35-1)*3),IF(W42,W35,0))))</f>
        <v>#N/A</v>
      </c>
      <c r="Q35" s="1">
        <f ca="1">IF(ISERROR(F27),"",VLOOKUP(B27,INDIRECT($F$8),7+(O35-1)*3))</f>
        <v>38</v>
      </c>
      <c r="R35" s="1" t="e">
        <f ca="1">IF(ISERROR(F27),"",SUM(P35:Q35))</f>
        <v>#N/A</v>
      </c>
      <c r="S35" s="1">
        <f ca="1">IF(ISERROR(F27),"",VLOOKUP(A27,INDIRECT($F$8),6+(O35-1)*3))</f>
        <v>100</v>
      </c>
      <c r="T35" s="1">
        <f ca="1">IF(ISERROR(F27),"",VLOOKUP(A27,INDIRECT($F$8),7+(O35-1)*3))</f>
        <v>50</v>
      </c>
      <c r="U35" s="1">
        <f ca="1">IF(ISERROR(F27),"",VLOOKUP(A27,INDIRECT($F$8),8+(O35-1)*3))</f>
        <v>150</v>
      </c>
      <c r="V35" s="1" t="e">
        <f ca="1">IF(ISERROR(F27),"",IF(N35=0,A35,""))</f>
        <v>#N/A</v>
      </c>
      <c r="W35" s="1">
        <f ca="1">IF(ISERROR(F27),"",IF(ISTEXT(VLOOKUP(B27,INDIRECT($F$8),6+(O35-1)*3)),11,IF(VLOOKUP(B27,INDIRECT($F$8),6+(O35-1)*3)&lt;S35*0.3,IF(VLOOKUP(B27,INDIRECT($F$8),8+(O35-1)*3)&lt;U35*0.4,IF(AND(0.4*U35-VLOOKUP(B27,INDIRECT($F$8),8+(O35-1)*3)&lt;=5,0.3*S35-VLOOKUP(B27,INDIRECT($F$8),6+(O35-1)*3)&lt;=5),MAX(0.4*U35-VLOOKUP(B27,INDIRECT($F$8),8+(O35-1)*3),0.3*S35-VLOOKUP(B27,INDIRECT($F$8),6+(O35-1)*3)),11),IF(0.3*S35-VLOOKUP(B27,INDIRECT($F$8),6+(O35-1)*3)&lt;=5,0.3*S35-VLOOKUP(B27,INDIRECT($F$8),6+(O35-1)*3),11)),IF(VLOOKUP(B27,INDIRECT($F$8),8+(O35-1)*3)&lt;U35*0.4,IF(U35*0.4-VLOOKUP(B27,INDIRECT($F$8),8+(O35-1)*3)&lt;=5,U35*0.4-VLOOKUP(B27,INDIRECT($F$8),8+(O35-1)*3),11),0))))</f>
        <v>0</v>
      </c>
      <c r="X35" s="1" t="str">
        <f ca="1">IF(ISERROR(F27),"",IF(W35=0,"",_xlfn.TEXTJOIN("",FALSE," G+",W35," in ",A35)))</f>
        <v/>
      </c>
    </row>
    <row r="36" spans="1:24" ht="13" customHeight="1" x14ac:dyDescent="0.2">
      <c r="A36" s="7" t="str">
        <f ca="1">IF(ISERROR(F27),"",VLOOKUP(C27,INDIRECT($F$8),6+(O36-1)*3,0))</f>
        <v>CAT 013</v>
      </c>
      <c r="B36" s="41" t="str">
        <f ca="1">IF(ISERROR(F27),"",VLOOKUP(D27,INDIRECT($F$8),6+(O36-1)*3,0))</f>
        <v>Artificial Intelligence</v>
      </c>
      <c r="C36" s="41"/>
      <c r="D36" s="41"/>
      <c r="E36" s="41"/>
      <c r="F36" s="7">
        <f ca="1">IF(ISERROR(F27),"",VLOOKUP(E27,INDIRECT($F$8),6+(O36-1)*3,0))</f>
        <v>4</v>
      </c>
      <c r="G36" s="42" t="e">
        <f ca="1">IF(ISERROR(F27),"",_xlfn.TEXTJOIN("/",FALSE,P36,S36))</f>
        <v>#N/A</v>
      </c>
      <c r="H36" s="42"/>
      <c r="I36" s="42" t="str">
        <f ca="1">IF(ISERROR(F27),"",_xlfn.TEXTJOIN("/",FALSE,Q36,T36))</f>
        <v>48/50</v>
      </c>
      <c r="J36" s="42"/>
      <c r="K36" s="42" t="e">
        <f ca="1">IF(ISERROR(F27),"",_xlfn.TEXTJOIN("/",FALSE,R36,U36))</f>
        <v>#N/A</v>
      </c>
      <c r="L36" s="42"/>
      <c r="M36" s="7" t="e">
        <f ca="1">IF(ISERROR(F27),"",IF(ISTEXT(P36),IF(P36="A","Ab",IF(P36="D","Dt",IF(P36="UFM","UFM",IF(P36="NA","")))),IF(AND(ISBLANK(P36),ISBLANK(R36)),"",IF(P36&lt;0.3*S36,"F",IF(ISBLANK(R36),"",IF(ISTEXT(R36),R36,IF(R36&gt;=0.9*U36,"O",IF(R36&gt;=0.85*U36,"A+",IF(R36&gt;=0.8*U36,"A",IF(R36&gt;=0.7*U36,"B+",IF(R36&gt;=0.6*U36,"B",IF(R36&gt;=0.5*U36,"C",IF(R36&gt;=0.4*U36,"P",IF(R36&lt;0.4*U36,"F",R36))))))))))))))</f>
        <v>#N/A</v>
      </c>
      <c r="N36" s="8" t="e">
        <f t="shared" ca="1" si="2"/>
        <v>#N/A</v>
      </c>
      <c r="O36">
        <f t="shared" si="3"/>
        <v>5</v>
      </c>
      <c r="P36" s="1" t="e">
        <f ca="1">IF(ISERROR(F27),"",IF(ISTEXT(VLOOKUP(B27,INDIRECT($F$8),6+(O36-1)*3)),(VLOOKUP(B27,INDIRECT($F$8),6+(O36-1)*3)),SUM(VLOOKUP(B27,INDIRECT($F$8),6+(O36-1)*3),IF(W42,W36,0))))</f>
        <v>#N/A</v>
      </c>
      <c r="Q36" s="1">
        <f ca="1">IF(ISERROR(F27),"",VLOOKUP(B27,INDIRECT($F$8),7+(O36-1)*3))</f>
        <v>48</v>
      </c>
      <c r="R36" s="1" t="e">
        <f ca="1">IF(ISERROR(F27),"",SUM(P36:Q36))</f>
        <v>#N/A</v>
      </c>
      <c r="S36" s="1">
        <f ca="1">IF(ISERROR(F27),"",VLOOKUP(A27,INDIRECT($F$8),6+(O36-1)*3))</f>
        <v>100</v>
      </c>
      <c r="T36" s="1">
        <f ca="1">IF(ISERROR(F27),"",VLOOKUP(A27,INDIRECT($F$8),7+(O36-1)*3))</f>
        <v>50</v>
      </c>
      <c r="U36" s="1">
        <f ca="1">IF(ISERROR(F27),"",VLOOKUP(A27,INDIRECT($F$8),8+(O36-1)*3))</f>
        <v>150</v>
      </c>
      <c r="V36" s="1" t="e">
        <f ca="1">IF(ISERROR(F27),"",IF(N36=0,A36,""))</f>
        <v>#N/A</v>
      </c>
      <c r="W36" s="1">
        <f ca="1">IF(ISERROR(F27),"",IF(ISTEXT(VLOOKUP(B27,INDIRECT($F$8),6+(O36-1)*3)),11,IF(VLOOKUP(B27,INDIRECT($F$8),6+(O36-1)*3)&lt;S36*0.3,IF(VLOOKUP(B27,INDIRECT($F$8),8+(O36-1)*3)&lt;U36*0.4,IF(AND(0.4*U36-VLOOKUP(B27,INDIRECT($F$8),8+(O36-1)*3)&lt;=5,0.3*S36-VLOOKUP(B27,INDIRECT($F$8),6+(O36-1)*3)&lt;=5),MAX(0.4*U36-VLOOKUP(B27,INDIRECT($F$8),8+(O36-1)*3),0.3*S36-VLOOKUP(B27,INDIRECT($F$8),6+(O36-1)*3)),11),IF(0.3*S36-VLOOKUP(B27,INDIRECT($F$8),6+(O36-1)*3)&lt;=5,0.3*S36-VLOOKUP(B27,INDIRECT($F$8),6+(O36-1)*3),11)),IF(VLOOKUP(B27,INDIRECT($F$8),8+(O36-1)*3)&lt;U36*0.4,IF(U36*0.4-VLOOKUP(B27,INDIRECT($F$8),8+(O36-1)*3)&lt;=5,U36*0.4-VLOOKUP(B27,INDIRECT($F$8),8+(O36-1)*3),11),0))))</f>
        <v>0</v>
      </c>
      <c r="X36" s="1" t="str">
        <f ca="1">IF(ISERROR(F27),"",IF(W36=0,"",_xlfn.TEXTJOIN("",FALSE," G+",W36," in ",A36)))</f>
        <v/>
      </c>
    </row>
    <row r="37" spans="1:24" ht="13" customHeight="1" x14ac:dyDescent="0.2">
      <c r="A37" s="7" t="str">
        <f ca="1">IF(ISERROR(F27),"",VLOOKUP(C27,INDIRECT($F$8),6+(O37-1)*3,0))</f>
        <v>AHT 304</v>
      </c>
      <c r="B37" s="41" t="str">
        <f ca="1">IF(ISERROR(F27),"",VLOOKUP(D27,INDIRECT($F$8),6+(O37-1)*3,0))</f>
        <v>Accounting and Financial Management ($)</v>
      </c>
      <c r="C37" s="41"/>
      <c r="D37" s="41"/>
      <c r="E37" s="41"/>
      <c r="F37" s="7">
        <f ca="1">IF(ISERROR(F27),"",VLOOKUP(E27,INDIRECT($F$8),6+(O37-1)*3,0))</f>
        <v>0</v>
      </c>
      <c r="G37" s="42" t="e">
        <f ca="1">IF(ISERROR(F27),"",_xlfn.TEXTJOIN("/",FALSE,P37,S37))</f>
        <v>#N/A</v>
      </c>
      <c r="H37" s="42"/>
      <c r="I37" s="42" t="str">
        <f ca="1">IF(ISERROR(F27),"",_xlfn.TEXTJOIN("/",FALSE,Q37,T37))</f>
        <v>35/50</v>
      </c>
      <c r="J37" s="42"/>
      <c r="K37" s="42" t="e">
        <f ca="1">IF(ISERROR(F27),"",_xlfn.TEXTJOIN("/",FALSE,R37,U37))</f>
        <v>#N/A</v>
      </c>
      <c r="L37" s="42"/>
      <c r="M37" s="7" t="e">
        <f ca="1">IF(ISERROR(F27),"",IF(ISTEXT(P37),IF(P37="A","Ab",IF(P37="D","Dt",IF(P37="UFM","UFM",IF(P37="NA","")))),IF(AND(ISBLANK(P37),ISBLANK(R37)),"",IF(P37&lt;0.3*S37,"F",IF(ISBLANK(R37),"",IF(ISTEXT(R37),R37,IF(R37&gt;=0.9*U37,"O",IF(R37&gt;=0.85*U37,"A+",IF(R37&gt;=0.8*U37,"A",IF(R37&gt;=0.7*U37,"B+",IF(R37&gt;=0.6*U37,"B",IF(R37&gt;=0.5*U37,"C",IF(R37&gt;=0.4*U37,"P",IF(R37&lt;0.4*U37,"F",R37))))))))))))))</f>
        <v>#N/A</v>
      </c>
      <c r="N37" s="8" t="e">
        <f t="shared" ca="1" si="2"/>
        <v>#N/A</v>
      </c>
      <c r="O37">
        <f t="shared" si="3"/>
        <v>6</v>
      </c>
      <c r="P37" s="1" t="e">
        <f ca="1">IF(ISERROR(F27),"",IF(ISTEXT(VLOOKUP(B27,INDIRECT($F$8),6+(O37-1)*3)),(VLOOKUP(B27,INDIRECT($F$8),6+(O37-1)*3)),SUM(VLOOKUP(B27,INDIRECT($F$8),6+(O37-1)*3),IF(W42,W37,0))))</f>
        <v>#N/A</v>
      </c>
      <c r="Q37" s="1">
        <f ca="1">IF(ISERROR(F27),"",VLOOKUP(B27,INDIRECT($F$8),7+(O37-1)*3))</f>
        <v>35</v>
      </c>
      <c r="R37" s="1" t="e">
        <f ca="1">IF(ISERROR(F27),"",SUM(P37:Q37))</f>
        <v>#N/A</v>
      </c>
      <c r="S37" s="1">
        <f ca="1">IF(ISERROR(F27),"",VLOOKUP(A27,INDIRECT($F$8),6+(O37-1)*3))</f>
        <v>0</v>
      </c>
      <c r="T37" s="1">
        <f ca="1">IF(ISERROR(F27),"",VLOOKUP(A27,INDIRECT($F$8),7+(O37-1)*3))</f>
        <v>50</v>
      </c>
      <c r="U37" s="1">
        <f ca="1">IF(ISERROR(F27),"",VLOOKUP(A27,INDIRECT($F$8),8+(O37-1)*3))</f>
        <v>50</v>
      </c>
      <c r="V37" s="1" t="e">
        <f ca="1">IF(ISERROR(F27),"",IF(N37=0,A37,""))</f>
        <v>#N/A</v>
      </c>
      <c r="W37" s="1">
        <f ca="1">IF(ISERROR(F27),"",IF(ISTEXT(VLOOKUP(B27,INDIRECT($F$8),6+(O37-1)*3)),11,IF(VLOOKUP(B27,INDIRECT($F$8),6+(O37-1)*3)&lt;S37*0.3,IF(VLOOKUP(B27,INDIRECT($F$8),8+(O37-1)*3)&lt;U37*0.4,IF(AND(0.4*U37-VLOOKUP(B27,INDIRECT($F$8),8+(O37-1)*3)&lt;=5,0.3*S37-VLOOKUP(B27,INDIRECT($F$8),6+(O37-1)*3)&lt;=5),MAX(0.4*U37-VLOOKUP(B27,INDIRECT($F$8),8+(O37-1)*3),0.3*S37-VLOOKUP(B27,INDIRECT($F$8),6+(O37-1)*3)),11),IF(0.3*S37-VLOOKUP(B27,INDIRECT($F$8),6+(O37-1)*3)&lt;=5,0.3*S37-VLOOKUP(B27,INDIRECT($F$8),6+(O37-1)*3),11)),IF(VLOOKUP(B27,INDIRECT($F$8),8+(O37-1)*3)&lt;U37*0.4,IF(U37*0.4-VLOOKUP(B27,INDIRECT($F$8),8+(O37-1)*3)&lt;=5,U37*0.4-VLOOKUP(B27,INDIRECT($F$8),8+(O37-1)*3),11),0))))</f>
        <v>0</v>
      </c>
      <c r="X37" s="1" t="str">
        <f ca="1">IF(ISERROR(F27),"",IF(W37=0,"",_xlfn.TEXTJOIN("",FALSE," G+",W37," in ",A37)))</f>
        <v/>
      </c>
    </row>
    <row r="38" spans="1:24" ht="13" customHeight="1" x14ac:dyDescent="0.2">
      <c r="A38" s="7" t="str">
        <f ca="1">IF(ISERROR(F27),"",VLOOKUP(C27,INDIRECT($F$8),6+(O38-1)*3,0))</f>
        <v>CAP 004</v>
      </c>
      <c r="B38" s="41" t="str">
        <f ca="1">IF(ISERROR(F27),"",VLOOKUP(D27,INDIRECT($F$8),6+(O38-1)*3,0))</f>
        <v>Data Structures and Analysis of Algorithms Lab</v>
      </c>
      <c r="C38" s="41"/>
      <c r="D38" s="41"/>
      <c r="E38" s="41"/>
      <c r="F38" s="7">
        <f ca="1">IF(ISERROR(F27),"",VLOOKUP(E27,INDIRECT($F$8),6+(O38-1)*3,0))</f>
        <v>1</v>
      </c>
      <c r="G38" s="42" t="e">
        <f ca="1">IF(ISERROR(F27),"",_xlfn.TEXTJOIN("/",FALSE,P38,S38))</f>
        <v>#N/A</v>
      </c>
      <c r="H38" s="42"/>
      <c r="I38" s="42" t="str">
        <f ca="1">IF(ISERROR(F27),"",_xlfn.TEXTJOIN("/",FALSE,Q38,T38))</f>
        <v>16/20</v>
      </c>
      <c r="J38" s="42"/>
      <c r="K38" s="42" t="e">
        <f ca="1">IF(ISERROR(F27),"",_xlfn.TEXTJOIN("/",FALSE,R38,U38))</f>
        <v>#N/A</v>
      </c>
      <c r="L38" s="42"/>
      <c r="M38" s="7" t="e">
        <f ca="1">IF(ISERROR(F27),"",IF(ISTEXT(P38),IF(P38="A","Ab",IF(P38="D","Dt",IF(P38="UFM","UFM",IF(P38="NA","")))),IF(AND(ISBLANK(P38),ISBLANK(R38)),"",IF(P38&lt;0.3*S38,"F",IF(ISBLANK(R38),"",IF(ISTEXT(R38),R38,IF(R38&gt;=0.9*U38,"O",IF(R38&gt;=0.85*U38,"A+",IF(R38&gt;=0.8*U38,"A",IF(R38&gt;=0.7*U38,"B+",IF(R38&gt;=0.6*U38,"B",IF(R38&gt;=0.5*U38,"C",IF(R38&gt;=0.4*U38,"P",IF(R38&lt;0.4*U38,"F",R38))))))))))))))</f>
        <v>#N/A</v>
      </c>
      <c r="N38" s="8" t="e">
        <f t="shared" ca="1" si="2"/>
        <v>#N/A</v>
      </c>
      <c r="O38">
        <f t="shared" si="3"/>
        <v>7</v>
      </c>
      <c r="P38" s="1" t="e">
        <f ca="1">IF(ISERROR(F27),"",IF(ISTEXT(VLOOKUP(B27,INDIRECT($F$8),6+(O38-1)*3)),(VLOOKUP(B27,INDIRECT($F$8),6+(O38-1)*3)),SUM(VLOOKUP(B27,INDIRECT($F$8),6+(O38-1)*3),IF(W42,W38,0))))</f>
        <v>#N/A</v>
      </c>
      <c r="Q38" s="1">
        <f ca="1">IF(ISERROR(F27),"",VLOOKUP(B27,INDIRECT($F$8),7+(O38-1)*3))</f>
        <v>16</v>
      </c>
      <c r="R38" s="1" t="e">
        <f ca="1">IF(ISERROR(F27),"",SUM(P38:Q38))</f>
        <v>#N/A</v>
      </c>
      <c r="S38" s="1">
        <f ca="1">IF(ISERROR(F27),"",VLOOKUP(A27,INDIRECT($F$8),6+(O38-1)*3))</f>
        <v>30</v>
      </c>
      <c r="T38" s="1">
        <f ca="1">IF(ISERROR(F27),"",VLOOKUP(A27,INDIRECT($F$8),7+(O38-1)*3))</f>
        <v>20</v>
      </c>
      <c r="U38" s="1">
        <f ca="1">IF(ISERROR(F27),"",VLOOKUP(A27,INDIRECT($F$8),8+(O38-1)*3))</f>
        <v>50</v>
      </c>
      <c r="V38" s="1" t="e">
        <f ca="1">IF(ISERROR(F27),"",IF(N38=0,A38,""))</f>
        <v>#N/A</v>
      </c>
      <c r="W38" s="1">
        <f ca="1">IF(ISERROR(F27),"",IF(ISTEXT(VLOOKUP(B27,INDIRECT($F$8),6+(O38-1)*3)),11,IF(VLOOKUP(B27,INDIRECT($F$8),6+(O38-1)*3)&lt;S38*0.3,IF(VLOOKUP(B27,INDIRECT($F$8),8+(O38-1)*3)&lt;U38*0.4,IF(AND(0.4*U38-VLOOKUP(B27,INDIRECT($F$8),8+(O38-1)*3)&lt;=5,0.3*S38-VLOOKUP(B27,INDIRECT($F$8),6+(O38-1)*3)&lt;=5),MAX(0.4*U38-VLOOKUP(B27,INDIRECT($F$8),8+(O38-1)*3),0.3*S38-VLOOKUP(B27,INDIRECT($F$8),6+(O38-1)*3)),11),IF(0.3*S38-VLOOKUP(B27,INDIRECT($F$8),6+(O38-1)*3)&lt;=5,0.3*S38-VLOOKUP(B27,INDIRECT($F$8),6+(O38-1)*3),11)),IF(VLOOKUP(B27,INDIRECT($F$8),8+(O38-1)*3)&lt;U38*0.4,IF(U38*0.4-VLOOKUP(B27,INDIRECT($F$8),8+(O38-1)*3)&lt;=5,U38*0.4-VLOOKUP(B27,INDIRECT($F$8),8+(O38-1)*3),11),0))))</f>
        <v>0</v>
      </c>
      <c r="X38" s="1" t="str">
        <f ca="1">IF(ISERROR(F27),"",IF(W38=0,"",_xlfn.TEXTJOIN("",FALSE," G+",W38," in ",A38)))</f>
        <v/>
      </c>
    </row>
    <row r="39" spans="1:24" ht="13" customHeight="1" x14ac:dyDescent="0.2">
      <c r="A39" s="7" t="str">
        <f ca="1">IF(ISERROR(F27),"",VLOOKUP(C27,INDIRECT($F$8),6+(O39-1)*3,0))</f>
        <v>CAP 005</v>
      </c>
      <c r="B39" s="41" t="str">
        <f ca="1">IF(ISERROR(F27),"",VLOOKUP(D27,INDIRECT($F$8),6+(O39-1)*3-Z39,0))</f>
        <v>Object Oriented Programming with JAVA Lab</v>
      </c>
      <c r="C39" s="41"/>
      <c r="D39" s="41"/>
      <c r="E39" s="41"/>
      <c r="F39" s="7">
        <f ca="1">IF(ISERROR(F27),"",VLOOKUP(E27,INDIRECT($F$8),6+(O39-1)*3,0))</f>
        <v>1</v>
      </c>
      <c r="G39" s="42" t="e">
        <f ca="1">IF(ISERROR(F27),"",_xlfn.TEXTJOIN("/",FALSE,P39,S39))</f>
        <v>#N/A</v>
      </c>
      <c r="H39" s="42"/>
      <c r="I39" s="42" t="str">
        <f ca="1">IF(ISERROR(F27),"",_xlfn.TEXTJOIN("/",FALSE,Q39,T39))</f>
        <v>14/20</v>
      </c>
      <c r="J39" s="42"/>
      <c r="K39" s="42" t="e">
        <f ca="1">IF(ISERROR(F27),"",_xlfn.TEXTJOIN("/",FALSE,R39,U39))</f>
        <v>#N/A</v>
      </c>
      <c r="L39" s="42"/>
      <c r="M39" s="7" t="e">
        <f ca="1">IF(ISERROR(F27),"",IF(ISTEXT(P39),IF(P39="A","Ab",IF(P39="D","Dt",IF(P39="UFM","UFM",IF(P39="NA","")))),IF(AND(ISBLANK(P39),ISBLANK(R39)),"",IF(P39&lt;0.3*S39,"F",IF(ISBLANK(R39),"",IF(ISTEXT(R39),R39,IF(R39&gt;=0.9*U39,"O",IF(R39&gt;=0.85*U39,"A+",IF(R39&gt;=0.8*U39,"A",IF(R39&gt;=0.7*U39,"B+",IF(R39&gt;=0.6*U39,"B",IF(R39&gt;=0.5*U39,"C",IF(R39&gt;=0.4*U39,"P",IF(R39&lt;0.4*U39,"F",R39))))))))))))))</f>
        <v>#N/A</v>
      </c>
      <c r="N39" s="8" t="e">
        <f t="shared" ca="1" si="2"/>
        <v>#N/A</v>
      </c>
      <c r="O39">
        <f t="shared" si="3"/>
        <v>8</v>
      </c>
      <c r="P39" s="1" t="e">
        <f ca="1">IF(ISERROR(F27),"",IF(ISTEXT(VLOOKUP(B27,INDIRECT($F$8),6+(O39-1)*3)),(VLOOKUP(B27,INDIRECT($F$8),6+(O39-1)*3)),SUM(VLOOKUP(B27,INDIRECT($F$8),6+(O39-1)*3),IF(W42,W39,0))))</f>
        <v>#N/A</v>
      </c>
      <c r="Q39" s="1">
        <f ca="1">IF(ISERROR(F27),"",VLOOKUP(B27,INDIRECT($F$8),7+(O39-1)*3))</f>
        <v>14</v>
      </c>
      <c r="R39" s="1" t="e">
        <f ca="1">IF(ISERROR(F27),"",SUM(P39:Q39))</f>
        <v>#N/A</v>
      </c>
      <c r="S39" s="1">
        <f ca="1">IF(ISERROR(F27),"",VLOOKUP(A27,INDIRECT($F$8),6+(O39-1)*3))</f>
        <v>30</v>
      </c>
      <c r="T39" s="1">
        <f ca="1">IF(ISERROR(F27),"",VLOOKUP(A27,INDIRECT($F$8),7+(O39-1)*3))</f>
        <v>20</v>
      </c>
      <c r="U39" s="1">
        <f ca="1">IF(ISERROR(F27),"",VLOOKUP(A27,INDIRECT($F$8),8+(O39-1)*3))</f>
        <v>50</v>
      </c>
      <c r="V39" s="1" t="e">
        <f ca="1">IF(ISERROR(F27),"",IF(N39=0,A39,""))</f>
        <v>#N/A</v>
      </c>
      <c r="W39" s="1">
        <f ca="1">IF(ISERROR(F27),"",IF(ISTEXT(VLOOKUP(B27,INDIRECT($F$8),6+(O39-1)*3)),11,IF(VLOOKUP(B27,INDIRECT($F$8),6+(O39-1)*3)&lt;S39*0.3,IF(VLOOKUP(B27,INDIRECT($F$8),8+(O39-1)*3)&lt;U39*0.4,IF(AND(0.4*U39-VLOOKUP(B27,INDIRECT($F$8),8+(O39-1)*3)&lt;=5,0.3*S39-VLOOKUP(B27,INDIRECT($F$8),6+(O39-1)*3)&lt;=5),MAX(0.4*U39-VLOOKUP(B27,INDIRECT($F$8),8+(O39-1)*3),0.3*S39-VLOOKUP(B27,INDIRECT($F$8),6+(O39-1)*3)),11),IF(0.3*S39-VLOOKUP(B27,INDIRECT($F$8),6+(O39-1)*3)&lt;=5,0.3*S39-VLOOKUP(B27,INDIRECT($F$8),6+(O39-1)*3),11)),IF(VLOOKUP(B27,INDIRECT($F$8),8+(O39-1)*3)&lt;U39*0.4,IF(U39*0.4-VLOOKUP(B27,INDIRECT($F$8),8+(O39-1)*3)&lt;=5,U39*0.4-VLOOKUP(B27,INDIRECT($F$8),8+(O39-1)*3),11),0))))</f>
        <v>0</v>
      </c>
      <c r="X39" s="1" t="str">
        <f ca="1">IF(ISERROR(F27),"",IF(W39=0,"",_xlfn.TEXTJOIN("",FALSE," G+",W39," in ",A39)))</f>
        <v/>
      </c>
    </row>
    <row r="40" spans="1:24" ht="13" customHeight="1" x14ac:dyDescent="0.2">
      <c r="A40" s="7" t="str">
        <f ca="1">IF(ISERROR(F27),"",VLOOKUP(C27,INDIRECT($F$8),6+(O40-1)*3,0))</f>
        <v>CAP 006</v>
      </c>
      <c r="B40" s="41" t="str">
        <f ca="1">IF(ISERROR(F27),"",VLOOKUP(D27,INDIRECT($F$8),6+(O40-1)*3-Z40,0))</f>
        <v>Computer Networks Lab</v>
      </c>
      <c r="C40" s="41"/>
      <c r="D40" s="41"/>
      <c r="E40" s="41"/>
      <c r="F40" s="7">
        <f ca="1">IF(ISERROR(F27),"",VLOOKUP(E27,INDIRECT($F$8),6+(O40-1)*3,0))</f>
        <v>1</v>
      </c>
      <c r="G40" s="42" t="e">
        <f ca="1">IF(ISERROR(F27),"",_xlfn.TEXTJOIN("/",FALSE,P40,S40))</f>
        <v>#N/A</v>
      </c>
      <c r="H40" s="42"/>
      <c r="I40" s="42" t="str">
        <f ca="1">IF(ISERROR(F27),"",_xlfn.TEXTJOIN("/",FALSE,Q40,T40))</f>
        <v>17/20</v>
      </c>
      <c r="J40" s="42"/>
      <c r="K40" s="42" t="e">
        <f ca="1">IF(ISERROR(F27),"",_xlfn.TEXTJOIN("/",FALSE,R40,U40))</f>
        <v>#N/A</v>
      </c>
      <c r="L40" s="42"/>
      <c r="M40" s="7" t="e">
        <f ca="1">IF(ISERROR(F27),"",IF(ISTEXT(P40),IF(P40="A","Ab",IF(P40="D","Dt",IF(P40="UFM","UFM",IF(P40="NA","")))),IF(AND(ISBLANK(P40),ISBLANK(R40)),"",IF(P40&lt;0.3*S40,"F",IF(ISBLANK(R40),"",IF(ISTEXT(R40),R40,IF(R40&gt;=0.9*U40,"O",IF(R40&gt;=0.85*U40,"A+",IF(R40&gt;=0.8*U40,"A",IF(R40&gt;=0.7*U40,"B+",IF(R40&gt;=0.6*U40,"B",IF(R40&gt;=0.5*U40,"C",IF(R40&gt;=0.4*U40,"P",IF(R40&lt;0.4*U40,"F",R40))))))))))))))</f>
        <v>#N/A</v>
      </c>
      <c r="N40" s="8" t="e">
        <f t="shared" ca="1" si="2"/>
        <v>#N/A</v>
      </c>
      <c r="O40">
        <f t="shared" si="3"/>
        <v>9</v>
      </c>
      <c r="P40" s="1" t="e">
        <f ca="1">IF(ISERROR(F27),"",IF(ISTEXT(VLOOKUP(B27,INDIRECT($F$8),6+(O40-1)*3)),(VLOOKUP(B27,INDIRECT($F$8),6+(O40-1)*3)),SUM(VLOOKUP(B27,INDIRECT($F$8),6+(O40-1)*3),IF(W42,W40,0))))</f>
        <v>#N/A</v>
      </c>
      <c r="Q40" s="1">
        <f ca="1">IF(ISERROR(F27),"",VLOOKUP(B27,INDIRECT($F$8),7+(O40-1)*3))</f>
        <v>17</v>
      </c>
      <c r="R40" s="1" t="e">
        <f ca="1">IF(ISERROR(F27),"",SUM(P40:Q40))</f>
        <v>#N/A</v>
      </c>
      <c r="S40" s="1">
        <f ca="1">IF(ISERROR(F27),"",VLOOKUP(A27,INDIRECT($F$8),6+(O40-1)*3))</f>
        <v>30</v>
      </c>
      <c r="T40" s="1">
        <f ca="1">IF(ISERROR(F27),"",VLOOKUP(A27,INDIRECT($F$8),7+(O40-1)*3))</f>
        <v>20</v>
      </c>
      <c r="U40" s="1">
        <f ca="1">IF(ISERROR(F27),"",VLOOKUP(A27,INDIRECT($F$8),8+(O40-1)*3))</f>
        <v>50</v>
      </c>
      <c r="V40" s="1" t="e">
        <f ca="1">IF(ISERROR(F27),"",IF(N40=0,A40,""))</f>
        <v>#N/A</v>
      </c>
      <c r="W40" s="1">
        <f ca="1">IF(ISERROR(F27),"",IF(ISTEXT(VLOOKUP(B27,INDIRECT($F$8),6+(O40-1)*3)),11,IF(VLOOKUP(B27,INDIRECT($F$8),6+(O40-1)*3)&lt;S40*0.3,IF(VLOOKUP(B27,INDIRECT($F$8),8+(O40-1)*3)&lt;U40*0.4,IF(AND(0.4*U40-VLOOKUP(B27,INDIRECT($F$8),8+(O40-1)*3)&lt;=5,0.3*S40-VLOOKUP(B27,INDIRECT($F$8),6+(O40-1)*3)&lt;=5),MAX(0.4*U40-VLOOKUP(B27,INDIRECT($F$8),8+(O40-1)*3),0.3*S40-VLOOKUP(B27,INDIRECT($F$8),6+(O40-1)*3)),11),IF(0.3*S40-VLOOKUP(B27,INDIRECT($F$8),6+(O40-1)*3)&lt;=5,0.3*S40-VLOOKUP(B27,INDIRECT($F$8),6+(O40-1)*3),11)),IF(VLOOKUP(B27,INDIRECT($F$8),8+(O40-1)*3)&lt;U40*0.4,IF(U40*0.4-VLOOKUP(B27,INDIRECT($F$8),8+(O40-1)*3)&lt;=5,U40*0.4-VLOOKUP(B27,INDIRECT($F$8),8+(O40-1)*3),11),0))))</f>
        <v>0</v>
      </c>
      <c r="X40" s="1" t="str">
        <f ca="1">IF(ISERROR(F27),"",IF(W40=0,"",_xlfn.TEXTJOIN("",FALSE," G+",W40," in ",A40)))</f>
        <v/>
      </c>
    </row>
    <row r="41" spans="1:24" ht="13" customHeight="1" x14ac:dyDescent="0.2">
      <c r="A41" s="7" t="str">
        <f ca="1">IF(ISERROR(F27),"",VLOOKUP(C27,INDIRECT($F$8),6+(O41-1)*3,0))</f>
        <v>CAP 007</v>
      </c>
      <c r="B41" s="41" t="str">
        <f ca="1">IF(ISERROR(F27),"",VLOOKUP(D27,INDIRECT($F$8),6+(O41-1)*3,0))</f>
        <v>Artificial Intelligence Lab</v>
      </c>
      <c r="C41" s="41"/>
      <c r="D41" s="41"/>
      <c r="E41" s="41"/>
      <c r="F41" s="7">
        <f ca="1">IF(ISERROR(F27),"",VLOOKUP(E27,INDIRECT($F$8),6+(O41-1)*3,0))</f>
        <v>1</v>
      </c>
      <c r="G41" s="42" t="e">
        <f ca="1">IF(ISERROR(F27),"",_xlfn.TEXTJOIN("/",FALSE,P41,S41))</f>
        <v>#N/A</v>
      </c>
      <c r="H41" s="42"/>
      <c r="I41" s="42" t="str">
        <f ca="1">IF(ISERROR(F27),"",_xlfn.TEXTJOIN("/",FALSE,Q41,T41))</f>
        <v>19/20</v>
      </c>
      <c r="J41" s="42"/>
      <c r="K41" s="42" t="e">
        <f ca="1">IF(ISERROR(F27),"",_xlfn.TEXTJOIN("/",FALSE,R41,U41))</f>
        <v>#N/A</v>
      </c>
      <c r="L41" s="42"/>
      <c r="M41" s="7" t="e">
        <f ca="1">IF(ISERROR(F27),"",IF(ISTEXT(P41),IF(P41="A","Ab",IF(P41="D","Dt",IF(P41="UFM","UFM",IF(P41="NA","")))),IF(AND(ISBLANK(P41),ISBLANK(R41)),"",IF(P41&lt;0.3*S41,"F",IF(ISBLANK(R41),"",IF(ISTEXT(R41),R41,IF(R41&gt;=0.9*U41,"O",IF(R41&gt;=0.85*U41,"A+",IF(R41&gt;=0.8*U41,"A",IF(R41&gt;=0.7*U41,"B+",IF(R41&gt;=0.6*U41,"B",IF(R41&gt;=0.5*U41,"C",IF(R41&gt;=0.4*U41,"P",IF(R41&lt;0.4*U41,"F",R41))))))))))))))</f>
        <v>#N/A</v>
      </c>
      <c r="N41" s="8" t="e">
        <f t="shared" ca="1" si="2"/>
        <v>#N/A</v>
      </c>
      <c r="O41">
        <f t="shared" si="3"/>
        <v>10</v>
      </c>
      <c r="P41" s="1" t="e">
        <f ca="1">IF(ISERROR(F27),"",IF(ISTEXT(VLOOKUP(B27,INDIRECT($F$8),6+(O41-1)*3)),(VLOOKUP(B27,INDIRECT($F$8),6+(O41-1)*3)),SUM(VLOOKUP(B27,INDIRECT($F$8),6+(O41-1)*3),IF(W42,W41,0))))</f>
        <v>#N/A</v>
      </c>
      <c r="Q41" s="1">
        <f ca="1">IF(ISERROR(F27),"",VLOOKUP(B27,INDIRECT($F$8),7+(O41-1)*3))</f>
        <v>19</v>
      </c>
      <c r="R41" s="1" t="e">
        <f ca="1">IF(ISERROR(F27),"",SUM(P41:Q41))</f>
        <v>#N/A</v>
      </c>
      <c r="S41" s="1">
        <f ca="1">IF(ISERROR(F27),"",VLOOKUP(A27,INDIRECT($F$8),6+(O41-1)*3))</f>
        <v>30</v>
      </c>
      <c r="T41" s="1">
        <f ca="1">IF(ISERROR(F27),"",VLOOKUP(A27,INDIRECT($F$8),7+(O41-1)*3))</f>
        <v>20</v>
      </c>
      <c r="U41" s="1">
        <f ca="1">IF(ISERROR(F27),"",VLOOKUP(A27,INDIRECT($F$8),8+(O41-1)*3))</f>
        <v>50</v>
      </c>
      <c r="V41" s="1" t="e">
        <f ca="1">IF(ISERROR(F27),"",IF(N41=0,A41,""))</f>
        <v>#N/A</v>
      </c>
      <c r="W41" s="1">
        <f ca="1">IF(ISERROR(F27),"",IF(ISTEXT(VLOOKUP(B27,INDIRECT($F$8),6+(O41-1)*3)),11,IF(VLOOKUP(B27,INDIRECT($F$8),6+(O41-1)*3)&lt;S41*0.3,IF(VLOOKUP(B27,INDIRECT($F$8),8+(O41-1)*3)&lt;U41*0.4,IF(AND(0.4*U41-VLOOKUP(B27,INDIRECT($F$8),8+(O41-1)*3)&lt;=5,0.3*S41-VLOOKUP(B27,INDIRECT($F$8),6+(O41-1)*3)&lt;=5),MAX(0.4*U41-VLOOKUP(B27,INDIRECT($F$8),8+(O41-1)*3),0.3*S41-VLOOKUP(B27,INDIRECT($F$8),6+(O41-1)*3)),11),IF(0.3*S41-VLOOKUP(B27,INDIRECT($F$8),6+(O41-1)*3)&lt;=5,0.3*S41-VLOOKUP(B27,INDIRECT($F$8),6+(O41-1)*3),11)),IF(VLOOKUP(B27,INDIRECT($F$8),8+(O41-1)*3)&lt;U41*0.4,IF(U41*0.4-VLOOKUP(B27,INDIRECT($F$8),8+(O41-1)*3)&lt;=5,U41*0.4-VLOOKUP(B27,INDIRECT($F$8),8+(O41-1)*3),11),0))))</f>
        <v>0</v>
      </c>
      <c r="X41" s="1" t="str">
        <f ca="1">IF(ISERROR(F27),"",IF(W41=0,"",_xlfn.TEXTJOIN("",FALSE," G+",W41," in ",A41)))</f>
        <v/>
      </c>
    </row>
    <row r="42" spans="1:24" ht="13" customHeight="1" x14ac:dyDescent="0.2">
      <c r="A42" s="43" t="str">
        <f ca="1">IF(ISERROR(F27),"",A23)</f>
        <v>Total Credits/ Marks/ Total Grade Points</v>
      </c>
      <c r="B42" s="43"/>
      <c r="C42" s="43"/>
      <c r="D42" s="43"/>
      <c r="E42" s="43"/>
      <c r="F42" s="10">
        <f ca="1">IF(ISERROR(F27),"",SUM(F32:F41))</f>
        <v>24</v>
      </c>
      <c r="G42" s="44" t="e">
        <f ca="1">IF(ISERROR(F27),"",_xlfn.TEXTJOIN("/",TRUE,SUMIF(F32:F41,"&gt;0",P32:P41),SUMIF(F32:F41,"&gt;0",S32:S41)))</f>
        <v>#N/A</v>
      </c>
      <c r="H42" s="44"/>
      <c r="I42" s="44" t="str">
        <f ca="1">IF(ISERROR(F27),"",_xlfn.TEXTJOIN("/",TRUE,SUMIF(F32:F41,"&gt;0",Q32:Q41),SUMIF(F32:F41,"&gt;0",T32:T41)))</f>
        <v>270/330</v>
      </c>
      <c r="J42" s="44"/>
      <c r="K42" s="44" t="e">
        <f ca="1">IF(ISERROR(F27),"",_xlfn.TEXTJOIN("/",TRUE,SUMIF(F32:F41,"&gt;0",R32:R41),SUMIF(F32:F41,"&gt;0",U32:U41)))</f>
        <v>#N/A</v>
      </c>
      <c r="L42" s="44"/>
      <c r="M42" s="43" t="e">
        <f ca="1">IF(ISERROR(F27),"",SUMPRODUCT(N32:N41,F32:F41))</f>
        <v>#N/A</v>
      </c>
      <c r="N42" s="43"/>
      <c r="V42" s="1" t="e">
        <f ca="1">IF(ISERROR(F27),"",_xlfn.TEXTJOIN(", ",TRUE,V32:V41))</f>
        <v>#N/A</v>
      </c>
      <c r="W42" t="e">
        <f ca="1">IF(ISERROR(F27),"",IF(SUM(W32:W41)&lt;=W31,TRUE,FALSE))</f>
        <v>#N/A</v>
      </c>
      <c r="X42" s="1" t="str">
        <f ca="1">IF(ISERROR(F27),"",_xlfn.TEXTJOIN(",",TRUE,X32:X41))</f>
        <v/>
      </c>
    </row>
    <row r="43" spans="1:24" ht="13" customHeight="1" x14ac:dyDescent="0.2">
      <c r="A43" s="43" t="str">
        <f ca="1">IF(ISERROR(F27),"",A24)</f>
        <v>Result:</v>
      </c>
      <c r="B43" s="45" t="e">
        <f ca="1">IF(ISERROR(F27),"",IF(V42="","PASS","CARRY OVER"))</f>
        <v>#N/A</v>
      </c>
      <c r="C43" s="45"/>
      <c r="D43" s="43" t="str">
        <f ca="1">IF(ISERROR(F27),"",D24)</f>
        <v>Remark:</v>
      </c>
      <c r="E43" s="45" t="e">
        <f ca="1">IF(ISERROR(F27),"",IF(V42="",IF(X42="","",X42),_xlfn.TEXTJOIN(" ",TRUE,"BACK IN",V42)))</f>
        <v>#N/A</v>
      </c>
      <c r="F43" s="45"/>
      <c r="G43" s="43" t="str">
        <f ca="1">IF(ISERROR(F27),"",G24)</f>
        <v>SGPA:</v>
      </c>
      <c r="H43" s="46" t="e">
        <f ca="1">IF(ISERROR(F27),"",M42/F42)</f>
        <v>#N/A</v>
      </c>
      <c r="I43" s="43" t="str">
        <f ca="1">IF(ISERROR(F27),"",I24)</f>
        <v>CGPA:</v>
      </c>
      <c r="J43" s="46" t="e">
        <f ca="1">IF(ISERROR(F27),"",VLOOKUP(B27,INDIRECT($F$8),12+(O41-1)*3,0))</f>
        <v>#N/A</v>
      </c>
      <c r="K43" s="45" t="str">
        <f ca="1">IF(ISERROR(F27),"",K24)</f>
        <v>Earned Credits:</v>
      </c>
      <c r="L43" s="43">
        <f ca="1">IF(ISERROR(F27),"",SUMIF(N32:N41,"&gt;0",F32:F41))</f>
        <v>0</v>
      </c>
      <c r="M43" s="45" t="str">
        <f ca="1">IF(ISERROR(F27),"",M24)</f>
        <v>Cuml. Earned Credits:</v>
      </c>
      <c r="N43" s="43" t="e">
        <f ca="1">IF(ISERROR(F27),"",VLOOKUP(B27,INDIRECT($F$8),10+(O41-1)*3,0))</f>
        <v>#N/A</v>
      </c>
    </row>
    <row r="44" spans="1:24" ht="13" customHeight="1" x14ac:dyDescent="0.2">
      <c r="A44" s="43"/>
      <c r="B44" s="45"/>
      <c r="C44" s="45"/>
      <c r="D44" s="43"/>
      <c r="E44" s="45"/>
      <c r="F44" s="45"/>
      <c r="G44" s="43"/>
      <c r="H44" s="46"/>
      <c r="I44" s="43"/>
      <c r="J44" s="46"/>
      <c r="K44" s="45"/>
      <c r="L44" s="43"/>
      <c r="M44" s="45"/>
      <c r="N44" s="43"/>
    </row>
    <row r="45" spans="1:24" ht="15" x14ac:dyDescent="0.2">
      <c r="A45" s="43"/>
      <c r="B45" s="45"/>
      <c r="C45" s="45"/>
      <c r="D45" s="43"/>
      <c r="E45" s="45"/>
      <c r="F45" s="45"/>
      <c r="G45" s="43"/>
      <c r="H45" s="46"/>
      <c r="I45" s="43"/>
      <c r="J45" s="46"/>
      <c r="K45" s="45"/>
      <c r="L45" s="43"/>
      <c r="M45" s="45"/>
      <c r="N45" s="43"/>
    </row>
    <row r="46" spans="1:24" ht="13" customHeight="1" x14ac:dyDescent="0.2">
      <c r="A46" s="11" t="str">
        <f>A27</f>
        <v>MM</v>
      </c>
      <c r="B46" s="11">
        <f>B27+1</f>
        <v>3</v>
      </c>
      <c r="C46" s="11" t="str">
        <f>C27</f>
        <v>SC</v>
      </c>
      <c r="D46" s="11" t="str">
        <f>D27</f>
        <v>SN</v>
      </c>
      <c r="E46" s="11" t="str">
        <f>E27</f>
        <v>C</v>
      </c>
      <c r="F46" s="11" t="str">
        <f ca="1">VLOOKUP(B46,INDIRECT($F$8),4,0)</f>
        <v>ANAS SAIFI</v>
      </c>
    </row>
    <row r="47" spans="1:24" ht="13" customHeight="1" x14ac:dyDescent="0.2">
      <c r="A47" s="47" t="str">
        <f ca="1">IF(ISERROR(F46),"",A28)</f>
        <v>Name:</v>
      </c>
      <c r="B47" s="47" t="str">
        <f ca="1">IFERROR(VLOOKUP(B46,INDIRECT($F$8),4,0),"")</f>
        <v>ANAS SAIFI</v>
      </c>
      <c r="C47" s="47"/>
      <c r="D47" s="47" t="str">
        <f ca="1">IF(ISERROR(F46),"",D28)</f>
        <v>Father's Name:</v>
      </c>
      <c r="E47" s="47" t="str">
        <f ca="1">IFERROR(VLOOKUP(B46,INDIRECT($F$8),5,0),"")</f>
        <v>SALMUDDIN SAIFI</v>
      </c>
      <c r="F47" s="47"/>
      <c r="G47" s="47" t="str">
        <f ca="1">IF(ISERROR(F46),"",G28)</f>
        <v>University Roll No:</v>
      </c>
      <c r="H47" s="47"/>
      <c r="I47" s="48">
        <f ca="1">IFERROR(VLOOKUP(B46,INDIRECT($F$8),2,0),"")</f>
        <v>240090600003</v>
      </c>
      <c r="J47" s="48"/>
      <c r="K47" s="47" t="str">
        <f ca="1">IF(ISERROR(F46),"",K28)</f>
        <v>University Enrol. No:</v>
      </c>
      <c r="L47" s="47"/>
      <c r="M47" s="48" t="str">
        <f ca="1">IFERROR(VLOOKUP(B46,INDIRECT($F$8),3,0),"")</f>
        <v>UTU/2406100173</v>
      </c>
      <c r="N47" s="48"/>
    </row>
    <row r="48" spans="1:24" ht="15" x14ac:dyDescent="0.2">
      <c r="A48" s="47"/>
      <c r="B48" s="47"/>
      <c r="C48" s="47"/>
      <c r="D48" s="47"/>
      <c r="E48" s="47"/>
      <c r="F48" s="47"/>
      <c r="G48" s="47"/>
      <c r="H48" s="47"/>
      <c r="I48" s="48"/>
      <c r="J48" s="48"/>
      <c r="K48" s="47"/>
      <c r="L48" s="47"/>
      <c r="M48" s="48"/>
      <c r="N48" s="48"/>
    </row>
    <row r="49" spans="1:24" ht="13" customHeight="1" x14ac:dyDescent="0.2">
      <c r="A49" s="45" t="str">
        <f ca="1">IF(ISERROR(F46),"",A30)</f>
        <v>Subject Code</v>
      </c>
      <c r="B49" s="45" t="str">
        <f ca="1">IF(ISERROR(F46),"",B30)</f>
        <v>Subject Name</v>
      </c>
      <c r="C49" s="45"/>
      <c r="D49" s="45"/>
      <c r="E49" s="45"/>
      <c r="F49" s="45" t="str">
        <f ca="1">IF(ISERROR(F46),"",F30)</f>
        <v>Credits</v>
      </c>
      <c r="G49" s="45" t="str">
        <f ca="1">IF(ISERROR(F46),"",G30)</f>
        <v>External Marks</v>
      </c>
      <c r="H49" s="45"/>
      <c r="I49" s="45" t="str">
        <f ca="1">IF(ISERROR(F46),"",I30)</f>
        <v>Sessional Marks</v>
      </c>
      <c r="J49" s="45"/>
      <c r="K49" s="45" t="str">
        <f ca="1">IF(ISERROR(F46),"",K30)</f>
        <v>Total Marks</v>
      </c>
      <c r="L49" s="45"/>
      <c r="M49" s="45" t="str">
        <f ca="1">IF(ISERROR(F46),"",M30)</f>
        <v>Grade</v>
      </c>
      <c r="N49" s="45" t="str">
        <f ca="1">IF(ISERROR(F46),"",N30)</f>
        <v>Grade Points</v>
      </c>
    </row>
    <row r="50" spans="1:24" ht="15" x14ac:dyDescent="0.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W50" t="e">
        <f ca="1">IF(ISNUMBER(MATCH($F$8,{"I","III","V","VII"},0)),10,10-INDEX(INDIRECT(_xlfn.TEXTJOIN("",TRUE,"SEM_",$G$8,"!",ADDRESS(6,4+$I$8*3+4),":",ADDRESS(5+$H$8,4+$I$8*3+4))),MATCH(INDIRECT(_xlfn.TEXTJOIN("",TRUE,"TC_",$F$8,"!",ADDRESS(ROW(I47),COLUMN(I47)))),INDIRECT(_xlfn.TEXTJOIN("",TRUE,"SEM_",$G$8,"!",ADDRESS(6,2),":",ADDRESS(5+$H$8,2))))))</f>
        <v>#N/A</v>
      </c>
    </row>
    <row r="51" spans="1:24" ht="13" customHeight="1" x14ac:dyDescent="0.2">
      <c r="A51" s="7" t="str">
        <f ca="1">IF(ISERROR(F46),"",VLOOKUP(C46,INDIRECT($F$8),6+(O51-1)*3,0))</f>
        <v>CAT 009</v>
      </c>
      <c r="B51" s="41" t="str">
        <f ca="1">IF(ISERROR(F46),"",VLOOKUP(D46,INDIRECT($F$8),6+(O51-1)*3,0))</f>
        <v>Computer Based Numerical and Statistical Techniques</v>
      </c>
      <c r="C51" s="41"/>
      <c r="D51" s="41"/>
      <c r="E51" s="41"/>
      <c r="F51" s="7">
        <f ca="1">IF(ISERROR(F46),"",VLOOKUP(E46,INDIRECT($F$8),6+(O51-1)*3,0))</f>
        <v>4</v>
      </c>
      <c r="G51" s="42" t="e">
        <f ca="1">IF(ISERROR(F46),"",_xlfn.TEXTJOIN("/",FALSE,P51,S51))</f>
        <v>#N/A</v>
      </c>
      <c r="H51" s="42"/>
      <c r="I51" s="42" t="str">
        <f ca="1">IF(ISERROR(F46),"",_xlfn.TEXTJOIN("/",FALSE,Q51,T51))</f>
        <v>37/50</v>
      </c>
      <c r="J51" s="42"/>
      <c r="K51" s="42" t="e">
        <f ca="1">IF(ISERROR(F46),"",_xlfn.TEXTJOIN("/",FALSE,R51,U51))</f>
        <v>#N/A</v>
      </c>
      <c r="L51" s="42"/>
      <c r="M51" s="7" t="e">
        <f ca="1">IF(ISERROR(F46),"",IF(ISTEXT(P51),IF(P51="A","Ab",IF(P51="D","Dt",IF(P51="UFM","UFM",IF(P51="NA","")))),IF(AND(ISBLANK(P51),ISBLANK(R51)),"",IF(P51&lt;0.3*S51,"F",IF(ISBLANK(R51),"",IF(ISTEXT(R51),R51,IF(R51&gt;=0.9*U51,"O",IF(R51&gt;=0.85*U51,"A+",IF(R51&gt;=0.8*U51,"A",IF(R51&gt;=0.7*U51,"B+",IF(R51&gt;=0.6*U51,"B",IF(R51&gt;=0.5*U51,"C",IF(R51&gt;=0.4*U51,"P",IF(R51&lt;0.4*U51,"F",R51))))))))))))))</f>
        <v>#N/A</v>
      </c>
      <c r="N51" s="8" t="e">
        <f t="shared" ref="N51:N60" ca="1" si="4">INDEX($Z$2:$Z$13,MATCH(M51,$Y$2:$Y$13,0))</f>
        <v>#N/A</v>
      </c>
      <c r="O51">
        <v>1</v>
      </c>
      <c r="P51" s="1" t="e">
        <f ca="1">IF(ISERROR(F46),"",IF(ISTEXT(VLOOKUP(B46,INDIRECT($F$8),6+(O51-1)*3)),(VLOOKUP(B46,INDIRECT($F$8),6+(O51-1)*3)),SUM(VLOOKUP(B46,INDIRECT($F$8),6+(O51-1)*3),IF(W61,W51,0))))</f>
        <v>#N/A</v>
      </c>
      <c r="Q51" s="1">
        <f ca="1">IF(ISERROR(F46),"",VLOOKUP(B46,INDIRECT($F$8),7+(O51-1)*3))</f>
        <v>37</v>
      </c>
      <c r="R51" s="1" t="e">
        <f ca="1">IF(ISERROR(F46),"",SUM(P51:Q51))</f>
        <v>#N/A</v>
      </c>
      <c r="S51" s="1">
        <f ca="1">IF(ISERROR(F46),"",VLOOKUP(A46,INDIRECT($F$8),6+(O51-1)*3))</f>
        <v>100</v>
      </c>
      <c r="T51" s="1">
        <f ca="1">IF(ISERROR(F46),"",VLOOKUP(A46,INDIRECT($F$8),7+(O51-1)*3))</f>
        <v>50</v>
      </c>
      <c r="U51" s="1">
        <f ca="1">IF(ISERROR(F46),"",VLOOKUP(A46,INDIRECT($F$8),8+(O51-1)*3))</f>
        <v>150</v>
      </c>
      <c r="V51" s="1" t="e">
        <f ca="1">IF(ISERROR(F46),"",IF(N51=0,A51,""))</f>
        <v>#N/A</v>
      </c>
      <c r="W51" s="1">
        <f ca="1">IF(ISERROR(F46),"",IF(ISTEXT(VLOOKUP(B46,INDIRECT($F$8),6+(O51-1)*3)),11,IF(VLOOKUP(B46,INDIRECT($F$8),6+(O51-1)*3)&lt;S51*0.3,IF(VLOOKUP(B46,INDIRECT($F$8),8+(O51-1)*3)&lt;U51*0.4,IF(AND(0.4*U51-VLOOKUP(B46,INDIRECT($F$8),8+(O51-1)*3)&lt;=5,0.3*S51-VLOOKUP(B46,INDIRECT($F$8),6+(O51-1)*3)&lt;=5),MAX(0.4*U51-VLOOKUP(B46,INDIRECT($F$8),8+(O51-1)*3),0.3*S51-VLOOKUP(B46,INDIRECT($F$8),6+(O51-1)*3)),11),IF(0.3*S51-VLOOKUP(B46,INDIRECT($F$8),6+(O51-1)*3)&lt;=5,0.3*S51-VLOOKUP(B46,INDIRECT($F$8),6+(O51-1)*3),11)),IF(VLOOKUP(B46,INDIRECT($F$8),8+(O51-1)*3)&lt;U51*0.4,IF(U51*0.4-VLOOKUP(B46,INDIRECT($F$8),8+(O51-1)*3)&lt;=5,U51*0.4-VLOOKUP(B46,INDIRECT($F$8),8+(O51-1)*3),11),0))))</f>
        <v>0</v>
      </c>
      <c r="X51" s="1" t="str">
        <f ca="1">IF(ISERROR(F46),"",IF(W51=0,"",_xlfn.TEXTJOIN("",FALSE," G+",W51," in ",A51)))</f>
        <v/>
      </c>
    </row>
    <row r="52" spans="1:24" ht="13" customHeight="1" x14ac:dyDescent="0.2">
      <c r="A52" s="7" t="str">
        <f ca="1">IF(ISERROR(F46),"",VLOOKUP(C46,INDIRECT($F$8),6+(O52-1)*3,0))</f>
        <v>CAT 010</v>
      </c>
      <c r="B52" s="41" t="str">
        <f ca="1">IF(ISERROR(F46),"",VLOOKUP(D46,INDIRECT($F$8),6+(O52-1)*3,0))</f>
        <v>Data Structures and Analysis of Algorithms</v>
      </c>
      <c r="C52" s="41"/>
      <c r="D52" s="41"/>
      <c r="E52" s="41"/>
      <c r="F52" s="7">
        <f ca="1">IF(ISERROR(F46),"",VLOOKUP(E46,INDIRECT($F$8),6+(O52-1)*3,0))</f>
        <v>4</v>
      </c>
      <c r="G52" s="42" t="e">
        <f ca="1">IF(ISERROR(F46),"",_xlfn.TEXTJOIN("/",FALSE,P52,S52))</f>
        <v>#N/A</v>
      </c>
      <c r="H52" s="42"/>
      <c r="I52" s="42" t="str">
        <f ca="1">IF(ISERROR(F46),"",_xlfn.TEXTJOIN("/",FALSE,Q52,T52))</f>
        <v>37/50</v>
      </c>
      <c r="J52" s="42"/>
      <c r="K52" s="42" t="e">
        <f ca="1">IF(ISERROR(F46),"",_xlfn.TEXTJOIN("/",FALSE,R52,U52))</f>
        <v>#N/A</v>
      </c>
      <c r="L52" s="42"/>
      <c r="M52" s="7" t="e">
        <f ca="1">IF(ISERROR(F46),"",IF(ISTEXT(P52),IF(P52="A","Ab",IF(P52="D","Dt",IF(P52="UFM","UFM",IF(P52="NA","")))),IF(AND(ISBLANK(P52),ISBLANK(R52)),"",IF(P52&lt;0.3*S52,"F",IF(ISBLANK(R52),"",IF(ISTEXT(R52),R52,IF(R52&gt;=0.9*U52,"O",IF(R52&gt;=0.85*U52,"A+",IF(R52&gt;=0.8*U52,"A",IF(R52&gt;=0.7*U52,"B+",IF(R52&gt;=0.6*U52,"B",IF(R52&gt;=0.5*U52,"C",IF(R52&gt;=0.4*U52,"P",IF(R52&lt;0.4*U52,"F",R52))))))))))))))</f>
        <v>#N/A</v>
      </c>
      <c r="N52" s="8" t="e">
        <f t="shared" ca="1" si="4"/>
        <v>#N/A</v>
      </c>
      <c r="O52">
        <f>O51+1</f>
        <v>2</v>
      </c>
      <c r="P52" s="1" t="e">
        <f ca="1">IF(ISERROR(F46),"",IF(ISTEXT(VLOOKUP(B46,INDIRECT($F$8),6+(O52-1)*3)),(VLOOKUP(B46,INDIRECT($F$8),6+(O52-1)*3)),SUM(VLOOKUP(B46,INDIRECT($F$8),6+(O52-1)*3),IF(W61,W52,0))))</f>
        <v>#N/A</v>
      </c>
      <c r="Q52" s="1">
        <f ca="1">IF(ISERROR(F46),"",VLOOKUP(B46,INDIRECT($F$8),7+(O52-1)*3))</f>
        <v>37</v>
      </c>
      <c r="R52" s="1" t="e">
        <f ca="1">IF(ISERROR(F46),"",SUM(P52:Q52))</f>
        <v>#N/A</v>
      </c>
      <c r="S52" s="1">
        <f ca="1">IF(ISERROR(F46),"",VLOOKUP(A46,INDIRECT($F$8),6+(O52-1)*3))</f>
        <v>100</v>
      </c>
      <c r="T52" s="1">
        <f ca="1">IF(ISERROR(F46),"",VLOOKUP(A46,INDIRECT($F$8),7+(O52-1)*3))</f>
        <v>50</v>
      </c>
      <c r="U52" s="1">
        <f ca="1">IF(ISERROR(F46),"",VLOOKUP(A46,INDIRECT($F$8),8+(O52-1)*3))</f>
        <v>150</v>
      </c>
      <c r="V52" s="1" t="e">
        <f ca="1">IF(ISERROR(F46),"",IF(N52=0,A52,""))</f>
        <v>#N/A</v>
      </c>
      <c r="W52" s="1">
        <f ca="1">IF(ISERROR(F46),"",IF(ISTEXT(VLOOKUP(B46,INDIRECT($F$8),6+(O52-1)*3)),11,IF(VLOOKUP(B46,INDIRECT($F$8),6+(O52-1)*3)&lt;S52*0.3,IF(VLOOKUP(B46,INDIRECT($F$8),8+(O52-1)*3)&lt;U52*0.4,IF(AND(0.4*U52-VLOOKUP(B46,INDIRECT($F$8),8+(O52-1)*3)&lt;=5,0.3*S52-VLOOKUP(B46,INDIRECT($F$8),6+(O52-1)*3)&lt;=5),MAX(0.4*U52-VLOOKUP(B46,INDIRECT($F$8),8+(O52-1)*3),0.3*S52-VLOOKUP(B46,INDIRECT($F$8),6+(O52-1)*3)),11),IF(0.3*S52-VLOOKUP(B46,INDIRECT($F$8),6+(O52-1)*3)&lt;=5,0.3*S52-VLOOKUP(B46,INDIRECT($F$8),6+(O52-1)*3),11)),IF(VLOOKUP(B46,INDIRECT($F$8),8+(O52-1)*3)&lt;U52*0.4,IF(U52*0.4-VLOOKUP(B46,INDIRECT($F$8),8+(O52-1)*3)&lt;=5,U52*0.4-VLOOKUP(B46,INDIRECT($F$8),8+(O52-1)*3),11),0))))</f>
        <v>0</v>
      </c>
      <c r="X52" s="1" t="str">
        <f ca="1">IF(ISERROR(F46),"",IF(W52=0,"",_xlfn.TEXTJOIN("",FALSE," G+",W52," in ",A52)))</f>
        <v/>
      </c>
    </row>
    <row r="53" spans="1:24" ht="13" customHeight="1" x14ac:dyDescent="0.2">
      <c r="A53" s="7" t="str">
        <f ca="1">IF(ISERROR(F46),"",VLOOKUP(C46,INDIRECT($F$8),6+(O53-1)*3,0))</f>
        <v>CAT 011</v>
      </c>
      <c r="B53" s="41" t="str">
        <f ca="1">IF(ISERROR(F46),"",VLOOKUP(D46,INDIRECT($F$8),6+(O53-1)*3,0))</f>
        <v>Object Oriented Programming with JAVA</v>
      </c>
      <c r="C53" s="41"/>
      <c r="D53" s="41"/>
      <c r="E53" s="41"/>
      <c r="F53" s="7">
        <f ca="1">IF(ISERROR(F46),"",VLOOKUP(E46,INDIRECT($F$8),6+(O53-1)*3,0))</f>
        <v>4</v>
      </c>
      <c r="G53" s="42" t="e">
        <f ca="1">IF(ISERROR(F46),"",_xlfn.TEXTJOIN("/",FALSE,P53,S53))</f>
        <v>#N/A</v>
      </c>
      <c r="H53" s="42"/>
      <c r="I53" s="42" t="str">
        <f ca="1">IF(ISERROR(F46),"",_xlfn.TEXTJOIN("/",FALSE,Q53,T53))</f>
        <v>40/50</v>
      </c>
      <c r="J53" s="42"/>
      <c r="K53" s="42" t="e">
        <f ca="1">IF(ISERROR(F46),"",_xlfn.TEXTJOIN("/",FALSE,R53,U53))</f>
        <v>#N/A</v>
      </c>
      <c r="L53" s="42"/>
      <c r="M53" s="7" t="e">
        <f ca="1">IF(ISERROR(F46),"",IF(ISTEXT(P53),IF(P53="A","Ab",IF(P53="D","Dt",IF(P53="UFM","UFM",IF(P53="NA","")))),IF(AND(ISBLANK(P53),ISBLANK(R53)),"",IF(P53&lt;0.3*S53,"F",IF(ISBLANK(R53),"",IF(ISTEXT(R53),R53,IF(R53&gt;=0.9*U53,"O",IF(R53&gt;=0.85*U53,"A+",IF(R53&gt;=0.8*U53,"A",IF(R53&gt;=0.7*U53,"B+",IF(R53&gt;=0.6*U53,"B",IF(R53&gt;=0.5*U53,"C",IF(R53&gt;=0.4*U53,"P",IF(R53&lt;0.4*U53,"F",R53))))))))))))))</f>
        <v>#N/A</v>
      </c>
      <c r="N53" s="8" t="e">
        <f t="shared" ca="1" si="4"/>
        <v>#N/A</v>
      </c>
      <c r="O53">
        <f>O52+1</f>
        <v>3</v>
      </c>
      <c r="P53" s="1" t="e">
        <f ca="1">IF(ISERROR(F46),"",IF(ISTEXT(VLOOKUP(B46,INDIRECT($F$8),6+(O53-1)*3)),(VLOOKUP(B46,INDIRECT($F$8),6+(O53-1)*3)),SUM(VLOOKUP(B46,INDIRECT($F$8),6+(O53-1)*3),IF(W61,W53,0))))</f>
        <v>#N/A</v>
      </c>
      <c r="Q53" s="1">
        <f ca="1">IF(ISERROR(F46),"",VLOOKUP(B46,INDIRECT($F$8),7+(O53-1)*3))</f>
        <v>40</v>
      </c>
      <c r="R53" s="1" t="e">
        <f ca="1">IF(ISERROR(F46),"",SUM(P53:Q53))</f>
        <v>#N/A</v>
      </c>
      <c r="S53" s="1">
        <f ca="1">IF(ISERROR(F46),"",VLOOKUP(A46,INDIRECT($F$8),6+(O53-1)*3))</f>
        <v>100</v>
      </c>
      <c r="T53" s="1">
        <f ca="1">IF(ISERROR(F46),"",VLOOKUP(A46,INDIRECT($F$8),7+(O53-1)*3))</f>
        <v>50</v>
      </c>
      <c r="U53" s="1">
        <f ca="1">IF(ISERROR(F46),"",VLOOKUP(A46,INDIRECT($F$8),8+(O53-1)*3))</f>
        <v>150</v>
      </c>
      <c r="V53" s="1" t="e">
        <f ca="1">IF(ISERROR(F46),"",IF(N53=0,A53,""))</f>
        <v>#N/A</v>
      </c>
      <c r="W53" s="1">
        <f ca="1">IF(ISERROR(F46),"",IF(ISTEXT(VLOOKUP(B46,INDIRECT($F$8),6+(O53-1)*3)),11,IF(VLOOKUP(B46,INDIRECT($F$8),6+(O53-1)*3)&lt;S53*0.3,IF(VLOOKUP(B46,INDIRECT($F$8),8+(O53-1)*3)&lt;U53*0.4,IF(AND(0.4*U53-VLOOKUP(B46,INDIRECT($F$8),8+(O53-1)*3)&lt;=5,0.3*S53-VLOOKUP(B46,INDIRECT($F$8),6+(O53-1)*3)&lt;=5),MAX(0.4*U53-VLOOKUP(B46,INDIRECT($F$8),8+(O53-1)*3),0.3*S53-VLOOKUP(B46,INDIRECT($F$8),6+(O53-1)*3)),11),IF(0.3*S53-VLOOKUP(B46,INDIRECT($F$8),6+(O53-1)*3)&lt;=5,0.3*S53-VLOOKUP(B46,INDIRECT($F$8),6+(O53-1)*3),11)),IF(VLOOKUP(B46,INDIRECT($F$8),8+(O53-1)*3)&lt;U53*0.4,IF(U53*0.4-VLOOKUP(B46,INDIRECT($F$8),8+(O53-1)*3)&lt;=5,U53*0.4-VLOOKUP(B46,INDIRECT($F$8),8+(O53-1)*3),11),0))))</f>
        <v>0</v>
      </c>
      <c r="X53" s="1" t="str">
        <f ca="1">IF(ISERROR(F46),"",IF(W53=0,"",_xlfn.TEXTJOIN("",FALSE," G+",W53," in ",A53)))</f>
        <v/>
      </c>
    </row>
    <row r="54" spans="1:24" ht="13" customHeight="1" x14ac:dyDescent="0.2">
      <c r="A54" s="7" t="str">
        <f ca="1">IF(ISERROR(F46),"",VLOOKUP(C46,INDIRECT($F$8),6+(O54-1)*3,0))</f>
        <v>CAT 012</v>
      </c>
      <c r="B54" s="41" t="str">
        <f ca="1">IF(ISERROR(F46),"",VLOOKUP(D46,INDIRECT($F$8),6+(O54-1)*3,0))</f>
        <v>Computer Networks</v>
      </c>
      <c r="C54" s="41"/>
      <c r="D54" s="41"/>
      <c r="E54" s="41"/>
      <c r="F54" s="7">
        <f ca="1">IF(ISERROR(F46),"",VLOOKUP(E46,INDIRECT($F$8),6+(O54-1)*3,0))</f>
        <v>4</v>
      </c>
      <c r="G54" s="42" t="e">
        <f ca="1">IF(ISERROR(F46),"",_xlfn.TEXTJOIN("/",FALSE,P54,S54))</f>
        <v>#N/A</v>
      </c>
      <c r="H54" s="42"/>
      <c r="I54" s="42" t="str">
        <f ca="1">IF(ISERROR(F46),"",_xlfn.TEXTJOIN("/",FALSE,Q54,T54))</f>
        <v>40/50</v>
      </c>
      <c r="J54" s="42"/>
      <c r="K54" s="42" t="e">
        <f ca="1">IF(ISERROR(F46),"",_xlfn.TEXTJOIN("/",FALSE,R54,U54))</f>
        <v>#N/A</v>
      </c>
      <c r="L54" s="42"/>
      <c r="M54" s="7" t="e">
        <f ca="1">IF(ISERROR(F46),"",IF(ISTEXT(P54),IF(P54="A","Ab",IF(P54="D","Dt",IF(P54="UFM","UFM",IF(P54="NA","")))),IF(AND(ISBLANK(P54),ISBLANK(R54)),"",IF(P54&lt;0.3*S54,"F",IF(ISBLANK(R54),"",IF(ISTEXT(R54),R54,IF(R54&gt;=0.9*U54,"O",IF(R54&gt;=0.85*U54,"A+",IF(R54&gt;=0.8*U54,"A",IF(R54&gt;=0.7*U54,"B+",IF(R54&gt;=0.6*U54,"B",IF(R54&gt;=0.5*U54,"C",IF(R54&gt;=0.4*U54,"P",IF(R54&lt;0.4*U54,"F",R54))))))))))))))</f>
        <v>#N/A</v>
      </c>
      <c r="N54" s="8" t="e">
        <f t="shared" ca="1" si="4"/>
        <v>#N/A</v>
      </c>
      <c r="O54">
        <f t="shared" ref="O54:O60" si="5">O53+1</f>
        <v>4</v>
      </c>
      <c r="P54" s="1" t="e">
        <f ca="1">IF(ISERROR(F46),"",IF(ISTEXT(VLOOKUP(B46,INDIRECT($F$8),6+(O54-1)*3)),(VLOOKUP(B46,INDIRECT($F$8),6+(O54-1)*3)),SUM(VLOOKUP(B46,INDIRECT($F$8),6+(O54-1)*3),IF(W61,W54,0))))</f>
        <v>#N/A</v>
      </c>
      <c r="Q54" s="1">
        <f ca="1">IF(ISERROR(F46),"",VLOOKUP(B46,INDIRECT($F$8),7+(O54-1)*3))</f>
        <v>40</v>
      </c>
      <c r="R54" s="1" t="e">
        <f ca="1">IF(ISERROR(F46),"",SUM(P54:Q54))</f>
        <v>#N/A</v>
      </c>
      <c r="S54" s="1">
        <f ca="1">IF(ISERROR(F46),"",VLOOKUP(A46,INDIRECT($F$8),6+(O54-1)*3))</f>
        <v>100</v>
      </c>
      <c r="T54" s="1">
        <f ca="1">IF(ISERROR(F46),"",VLOOKUP(A46,INDIRECT($F$8),7+(O54-1)*3))</f>
        <v>50</v>
      </c>
      <c r="U54" s="1">
        <f ca="1">IF(ISERROR(F46),"",VLOOKUP(A46,INDIRECT($F$8),8+(O54-1)*3))</f>
        <v>150</v>
      </c>
      <c r="V54" s="1" t="e">
        <f ca="1">IF(ISERROR(F46),"",IF(N54=0,A54,""))</f>
        <v>#N/A</v>
      </c>
      <c r="W54" s="1">
        <f ca="1">IF(ISERROR(F46),"",IF(ISTEXT(VLOOKUP(B46,INDIRECT($F$8),6+(O54-1)*3)),11,IF(VLOOKUP(B46,INDIRECT($F$8),6+(O54-1)*3)&lt;S54*0.3,IF(VLOOKUP(B46,INDIRECT($F$8),8+(O54-1)*3)&lt;U54*0.4,IF(AND(0.4*U54-VLOOKUP(B46,INDIRECT($F$8),8+(O54-1)*3)&lt;=5,0.3*S54-VLOOKUP(B46,INDIRECT($F$8),6+(O54-1)*3)&lt;=5),MAX(0.4*U54-VLOOKUP(B46,INDIRECT($F$8),8+(O54-1)*3),0.3*S54-VLOOKUP(B46,INDIRECT($F$8),6+(O54-1)*3)),11),IF(0.3*S54-VLOOKUP(B46,INDIRECT($F$8),6+(O54-1)*3)&lt;=5,0.3*S54-VLOOKUP(B46,INDIRECT($F$8),6+(O54-1)*3),11)),IF(VLOOKUP(B46,INDIRECT($F$8),8+(O54-1)*3)&lt;U54*0.4,IF(U54*0.4-VLOOKUP(B46,INDIRECT($F$8),8+(O54-1)*3)&lt;=5,U54*0.4-VLOOKUP(B46,INDIRECT($F$8),8+(O54-1)*3),11),0))))</f>
        <v>0</v>
      </c>
      <c r="X54" s="1" t="str">
        <f ca="1">IF(ISERROR(F46),"",IF(W54=0,"",_xlfn.TEXTJOIN("",FALSE," G+",W54," in ",A54)))</f>
        <v/>
      </c>
    </row>
    <row r="55" spans="1:24" ht="13" customHeight="1" x14ac:dyDescent="0.2">
      <c r="A55" s="7" t="str">
        <f ca="1">IF(ISERROR(F46),"",VLOOKUP(C46,INDIRECT($F$8),6+(O55-1)*3,0))</f>
        <v>CAT 013</v>
      </c>
      <c r="B55" s="41" t="str">
        <f ca="1">IF(ISERROR(F46),"",VLOOKUP(D46,INDIRECT($F$8),6+(O55-1)*3,0))</f>
        <v>Artificial Intelligence</v>
      </c>
      <c r="C55" s="41"/>
      <c r="D55" s="41"/>
      <c r="E55" s="41"/>
      <c r="F55" s="7">
        <f ca="1">IF(ISERROR(F46),"",VLOOKUP(E46,INDIRECT($F$8),6+(O55-1)*3,0))</f>
        <v>4</v>
      </c>
      <c r="G55" s="42" t="e">
        <f ca="1">IF(ISERROR(F46),"",_xlfn.TEXTJOIN("/",FALSE,P55,S55))</f>
        <v>#N/A</v>
      </c>
      <c r="H55" s="42"/>
      <c r="I55" s="42" t="str">
        <f ca="1">IF(ISERROR(F46),"",_xlfn.TEXTJOIN("/",FALSE,Q55,T55))</f>
        <v>45/50</v>
      </c>
      <c r="J55" s="42"/>
      <c r="K55" s="42" t="e">
        <f ca="1">IF(ISERROR(F46),"",_xlfn.TEXTJOIN("/",FALSE,R55,U55))</f>
        <v>#N/A</v>
      </c>
      <c r="L55" s="42"/>
      <c r="M55" s="7" t="e">
        <f ca="1">IF(ISERROR(F46),"",IF(ISTEXT(P55),IF(P55="A","Ab",IF(P55="D","Dt",IF(P55="UFM","UFM",IF(P55="NA","")))),IF(AND(ISBLANK(P55),ISBLANK(R55)),"",IF(P55&lt;0.3*S55,"F",IF(ISBLANK(R55),"",IF(ISTEXT(R55),R55,IF(R55&gt;=0.9*U55,"O",IF(R55&gt;=0.85*U55,"A+",IF(R55&gt;=0.8*U55,"A",IF(R55&gt;=0.7*U55,"B+",IF(R55&gt;=0.6*U55,"B",IF(R55&gt;=0.5*U55,"C",IF(R55&gt;=0.4*U55,"P",IF(R55&lt;0.4*U55,"F",R55))))))))))))))</f>
        <v>#N/A</v>
      </c>
      <c r="N55" s="8" t="e">
        <f t="shared" ca="1" si="4"/>
        <v>#N/A</v>
      </c>
      <c r="O55">
        <f t="shared" si="5"/>
        <v>5</v>
      </c>
      <c r="P55" s="1" t="e">
        <f ca="1">IF(ISERROR(F46),"",IF(ISTEXT(VLOOKUP(B46,INDIRECT($F$8),6+(O55-1)*3)),(VLOOKUP(B46,INDIRECT($F$8),6+(O55-1)*3)),SUM(VLOOKUP(B46,INDIRECT($F$8),6+(O55-1)*3),IF(W61,W55,0))))</f>
        <v>#N/A</v>
      </c>
      <c r="Q55" s="1">
        <f ca="1">IF(ISERROR(F46),"",VLOOKUP(B46,INDIRECT($F$8),7+(O55-1)*3))</f>
        <v>45</v>
      </c>
      <c r="R55" s="1" t="e">
        <f ca="1">IF(ISERROR(F46),"",SUM(P55:Q55))</f>
        <v>#N/A</v>
      </c>
      <c r="S55" s="1">
        <f ca="1">IF(ISERROR(F46),"",VLOOKUP(A46,INDIRECT($F$8),6+(O55-1)*3))</f>
        <v>100</v>
      </c>
      <c r="T55" s="1">
        <f ca="1">IF(ISERROR(F46),"",VLOOKUP(A46,INDIRECT($F$8),7+(O55-1)*3))</f>
        <v>50</v>
      </c>
      <c r="U55" s="1">
        <f ca="1">IF(ISERROR(F46),"",VLOOKUP(A46,INDIRECT($F$8),8+(O55-1)*3))</f>
        <v>150</v>
      </c>
      <c r="V55" s="1" t="e">
        <f ca="1">IF(ISERROR(F46),"",IF(N55=0,A55,""))</f>
        <v>#N/A</v>
      </c>
      <c r="W55" s="1">
        <f ca="1">IF(ISERROR(F46),"",IF(ISTEXT(VLOOKUP(B46,INDIRECT($F$8),6+(O55-1)*3)),11,IF(VLOOKUP(B46,INDIRECT($F$8),6+(O55-1)*3)&lt;S55*0.3,IF(VLOOKUP(B46,INDIRECT($F$8),8+(O55-1)*3)&lt;U55*0.4,IF(AND(0.4*U55-VLOOKUP(B46,INDIRECT($F$8),8+(O55-1)*3)&lt;=5,0.3*S55-VLOOKUP(B46,INDIRECT($F$8),6+(O55-1)*3)&lt;=5),MAX(0.4*U55-VLOOKUP(B46,INDIRECT($F$8),8+(O55-1)*3),0.3*S55-VLOOKUP(B46,INDIRECT($F$8),6+(O55-1)*3)),11),IF(0.3*S55-VLOOKUP(B46,INDIRECT($F$8),6+(O55-1)*3)&lt;=5,0.3*S55-VLOOKUP(B46,INDIRECT($F$8),6+(O55-1)*3),11)),IF(VLOOKUP(B46,INDIRECT($F$8),8+(O55-1)*3)&lt;U55*0.4,IF(U55*0.4-VLOOKUP(B46,INDIRECT($F$8),8+(O55-1)*3)&lt;=5,U55*0.4-VLOOKUP(B46,INDIRECT($F$8),8+(O55-1)*3),11),0))))</f>
        <v>0</v>
      </c>
      <c r="X55" s="1" t="str">
        <f ca="1">IF(ISERROR(F46),"",IF(W55=0,"",_xlfn.TEXTJOIN("",FALSE," G+",W55," in ",A55)))</f>
        <v/>
      </c>
    </row>
    <row r="56" spans="1:24" ht="13" customHeight="1" x14ac:dyDescent="0.2">
      <c r="A56" s="7" t="str">
        <f ca="1">IF(ISERROR(F46),"",VLOOKUP(C46,INDIRECT($F$8),6+(O56-1)*3,0))</f>
        <v>AHT 304</v>
      </c>
      <c r="B56" s="41" t="str">
        <f ca="1">IF(ISERROR(F46),"",VLOOKUP(D46,INDIRECT($F$8),6+(O56-1)*3,0))</f>
        <v>Accounting and Financial Management ($)</v>
      </c>
      <c r="C56" s="41"/>
      <c r="D56" s="41"/>
      <c r="E56" s="41"/>
      <c r="F56" s="7">
        <f ca="1">IF(ISERROR(F46),"",VLOOKUP(E46,INDIRECT($F$8),6+(O56-1)*3,0))</f>
        <v>0</v>
      </c>
      <c r="G56" s="42" t="e">
        <f ca="1">IF(ISERROR(F46),"",_xlfn.TEXTJOIN("/",FALSE,P56,S56))</f>
        <v>#N/A</v>
      </c>
      <c r="H56" s="42"/>
      <c r="I56" s="42" t="str">
        <f ca="1">IF(ISERROR(F46),"",_xlfn.TEXTJOIN("/",FALSE,Q56,T56))</f>
        <v>28/50</v>
      </c>
      <c r="J56" s="42"/>
      <c r="K56" s="42" t="e">
        <f ca="1">IF(ISERROR(F46),"",_xlfn.TEXTJOIN("/",FALSE,R56,U56))</f>
        <v>#N/A</v>
      </c>
      <c r="L56" s="42"/>
      <c r="M56" s="7" t="e">
        <f ca="1">IF(ISERROR(F46),"",IF(ISTEXT(P56),IF(P56="A","Ab",IF(P56="D","Dt",IF(P56="UFM","UFM",IF(P56="NA","")))),IF(AND(ISBLANK(P56),ISBLANK(R56)),"",IF(P56&lt;0.3*S56,"F",IF(ISBLANK(R56),"",IF(ISTEXT(R56),R56,IF(R56&gt;=0.9*U56,"O",IF(R56&gt;=0.85*U56,"A+",IF(R56&gt;=0.8*U56,"A",IF(R56&gt;=0.7*U56,"B+",IF(R56&gt;=0.6*U56,"B",IF(R56&gt;=0.5*U56,"C",IF(R56&gt;=0.4*U56,"P",IF(R56&lt;0.4*U56,"F",R56))))))))))))))</f>
        <v>#N/A</v>
      </c>
      <c r="N56" s="8" t="e">
        <f t="shared" ca="1" si="4"/>
        <v>#N/A</v>
      </c>
      <c r="O56">
        <f t="shared" si="5"/>
        <v>6</v>
      </c>
      <c r="P56" s="1" t="e">
        <f ca="1">IF(ISERROR(F46),"",IF(ISTEXT(VLOOKUP(B46,INDIRECT($F$8),6+(O56-1)*3)),(VLOOKUP(B46,INDIRECT($F$8),6+(O56-1)*3)),SUM(VLOOKUP(B46,INDIRECT($F$8),6+(O56-1)*3),IF(W61,W56,0))))</f>
        <v>#N/A</v>
      </c>
      <c r="Q56" s="1">
        <f ca="1">IF(ISERROR(F46),"",VLOOKUP(B46,INDIRECT($F$8),7+(O56-1)*3))</f>
        <v>28</v>
      </c>
      <c r="R56" s="1" t="e">
        <f ca="1">IF(ISERROR(F46),"",SUM(P56:Q56))</f>
        <v>#N/A</v>
      </c>
      <c r="S56" s="1">
        <f ca="1">IF(ISERROR(F46),"",VLOOKUP(A46,INDIRECT($F$8),6+(O56-1)*3))</f>
        <v>0</v>
      </c>
      <c r="T56" s="1">
        <f ca="1">IF(ISERROR(F46),"",VLOOKUP(A46,INDIRECT($F$8),7+(O56-1)*3))</f>
        <v>50</v>
      </c>
      <c r="U56" s="1">
        <f ca="1">IF(ISERROR(F46),"",VLOOKUP(A46,INDIRECT($F$8),8+(O56-1)*3))</f>
        <v>50</v>
      </c>
      <c r="V56" s="1" t="e">
        <f ca="1">IF(ISERROR(F46),"",IF(N56=0,A56,""))</f>
        <v>#N/A</v>
      </c>
      <c r="W56" s="1">
        <f ca="1">IF(ISERROR(F46),"",IF(ISTEXT(VLOOKUP(B46,INDIRECT($F$8),6+(O56-1)*3)),11,IF(VLOOKUP(B46,INDIRECT($F$8),6+(O56-1)*3)&lt;S56*0.3,IF(VLOOKUP(B46,INDIRECT($F$8),8+(O56-1)*3)&lt;U56*0.4,IF(AND(0.4*U56-VLOOKUP(B46,INDIRECT($F$8),8+(O56-1)*3)&lt;=5,0.3*S56-VLOOKUP(B46,INDIRECT($F$8),6+(O56-1)*3)&lt;=5),MAX(0.4*U56-VLOOKUP(B46,INDIRECT($F$8),8+(O56-1)*3),0.3*S56-VLOOKUP(B46,INDIRECT($F$8),6+(O56-1)*3)),11),IF(0.3*S56-VLOOKUP(B46,INDIRECT($F$8),6+(O56-1)*3)&lt;=5,0.3*S56-VLOOKUP(B46,INDIRECT($F$8),6+(O56-1)*3),11)),IF(VLOOKUP(B46,INDIRECT($F$8),8+(O56-1)*3)&lt;U56*0.4,IF(U56*0.4-VLOOKUP(B46,INDIRECT($F$8),8+(O56-1)*3)&lt;=5,U56*0.4-VLOOKUP(B46,INDIRECT($F$8),8+(O56-1)*3),11),0))))</f>
        <v>0</v>
      </c>
      <c r="X56" s="1" t="str">
        <f ca="1">IF(ISERROR(F46),"",IF(W56=0,"",_xlfn.TEXTJOIN("",FALSE," G+",W56," in ",A56)))</f>
        <v/>
      </c>
    </row>
    <row r="57" spans="1:24" ht="13" customHeight="1" x14ac:dyDescent="0.2">
      <c r="A57" s="7" t="str">
        <f ca="1">IF(ISERROR(F46),"",VLOOKUP(C46,INDIRECT($F$8),6+(O57-1)*3,0))</f>
        <v>CAP 004</v>
      </c>
      <c r="B57" s="41" t="str">
        <f ca="1">IF(ISERROR(F46),"",VLOOKUP(D46,INDIRECT($F$8),6+(O57-1)*3,0))</f>
        <v>Data Structures and Analysis of Algorithms Lab</v>
      </c>
      <c r="C57" s="41"/>
      <c r="D57" s="41"/>
      <c r="E57" s="41"/>
      <c r="F57" s="7">
        <f ca="1">IF(ISERROR(F46),"",VLOOKUP(E46,INDIRECT($F$8),6+(O57-1)*3,0))</f>
        <v>1</v>
      </c>
      <c r="G57" s="42" t="e">
        <f ca="1">IF(ISERROR(F46),"",_xlfn.TEXTJOIN("/",FALSE,P57,S57))</f>
        <v>#N/A</v>
      </c>
      <c r="H57" s="42"/>
      <c r="I57" s="42" t="str">
        <f ca="1">IF(ISERROR(F46),"",_xlfn.TEXTJOIN("/",FALSE,Q57,T57))</f>
        <v>15/20</v>
      </c>
      <c r="J57" s="42"/>
      <c r="K57" s="42" t="e">
        <f ca="1">IF(ISERROR(F46),"",_xlfn.TEXTJOIN("/",FALSE,R57,U57))</f>
        <v>#N/A</v>
      </c>
      <c r="L57" s="42"/>
      <c r="M57" s="7" t="e">
        <f ca="1">IF(ISERROR(F46),"",IF(ISTEXT(P57),IF(P57="A","Ab",IF(P57="D","Dt",IF(P57="UFM","UFM",IF(P57="NA","")))),IF(AND(ISBLANK(P57),ISBLANK(R57)),"",IF(P57&lt;0.3*S57,"F",IF(ISBLANK(R57),"",IF(ISTEXT(R57),R57,IF(R57&gt;=0.9*U57,"O",IF(R57&gt;=0.85*U57,"A+",IF(R57&gt;=0.8*U57,"A",IF(R57&gt;=0.7*U57,"B+",IF(R57&gt;=0.6*U57,"B",IF(R57&gt;=0.5*U57,"C",IF(R57&gt;=0.4*U57,"P",IF(R57&lt;0.4*U57,"F",R57))))))))))))))</f>
        <v>#N/A</v>
      </c>
      <c r="N57" s="8" t="e">
        <f t="shared" ca="1" si="4"/>
        <v>#N/A</v>
      </c>
      <c r="O57">
        <f t="shared" si="5"/>
        <v>7</v>
      </c>
      <c r="P57" s="1" t="e">
        <f ca="1">IF(ISERROR(F46),"",IF(ISTEXT(VLOOKUP(B46,INDIRECT($F$8),6+(O57-1)*3)),(VLOOKUP(B46,INDIRECT($F$8),6+(O57-1)*3)),SUM(VLOOKUP(B46,INDIRECT($F$8),6+(O57-1)*3),IF(W61,W57,0))))</f>
        <v>#N/A</v>
      </c>
      <c r="Q57" s="1">
        <f ca="1">IF(ISERROR(F46),"",VLOOKUP(B46,INDIRECT($F$8),7+(O57-1)*3))</f>
        <v>15</v>
      </c>
      <c r="R57" s="1" t="e">
        <f ca="1">IF(ISERROR(F46),"",SUM(P57:Q57))</f>
        <v>#N/A</v>
      </c>
      <c r="S57" s="1">
        <f ca="1">IF(ISERROR(F46),"",VLOOKUP(A46,INDIRECT($F$8),6+(O57-1)*3))</f>
        <v>30</v>
      </c>
      <c r="T57" s="1">
        <f ca="1">IF(ISERROR(F46),"",VLOOKUP(A46,INDIRECT($F$8),7+(O57-1)*3))</f>
        <v>20</v>
      </c>
      <c r="U57" s="1">
        <f ca="1">IF(ISERROR(F46),"",VLOOKUP(A46,INDIRECT($F$8),8+(O57-1)*3))</f>
        <v>50</v>
      </c>
      <c r="V57" s="1" t="e">
        <f ca="1">IF(ISERROR(F46),"",IF(N57=0,A57,""))</f>
        <v>#N/A</v>
      </c>
      <c r="W57" s="1">
        <f ca="1">IF(ISERROR(F46),"",IF(ISTEXT(VLOOKUP(B46,INDIRECT($F$8),6+(O57-1)*3)),11,IF(VLOOKUP(B46,INDIRECT($F$8),6+(O57-1)*3)&lt;S57*0.3,IF(VLOOKUP(B46,INDIRECT($F$8),8+(O57-1)*3)&lt;U57*0.4,IF(AND(0.4*U57-VLOOKUP(B46,INDIRECT($F$8),8+(O57-1)*3)&lt;=5,0.3*S57-VLOOKUP(B46,INDIRECT($F$8),6+(O57-1)*3)&lt;=5),MAX(0.4*U57-VLOOKUP(B46,INDIRECT($F$8),8+(O57-1)*3),0.3*S57-VLOOKUP(B46,INDIRECT($F$8),6+(O57-1)*3)),11),IF(0.3*S57-VLOOKUP(B46,INDIRECT($F$8),6+(O57-1)*3)&lt;=5,0.3*S57-VLOOKUP(B46,INDIRECT($F$8),6+(O57-1)*3),11)),IF(VLOOKUP(B46,INDIRECT($F$8),8+(O57-1)*3)&lt;U57*0.4,IF(U57*0.4-VLOOKUP(B46,INDIRECT($F$8),8+(O57-1)*3)&lt;=5,U57*0.4-VLOOKUP(B46,INDIRECT($F$8),8+(O57-1)*3),11),0))))</f>
        <v>0</v>
      </c>
      <c r="X57" s="1" t="str">
        <f ca="1">IF(ISERROR(F46),"",IF(W57=0,"",_xlfn.TEXTJOIN("",FALSE," G+",W57," in ",A57)))</f>
        <v/>
      </c>
    </row>
    <row r="58" spans="1:24" ht="13" customHeight="1" x14ac:dyDescent="0.2">
      <c r="A58" s="7" t="str">
        <f ca="1">IF(ISERROR(F46),"",VLOOKUP(C46,INDIRECT($F$8),6+(O58-1)*3,0))</f>
        <v>CAP 005</v>
      </c>
      <c r="B58" s="41" t="str">
        <f ca="1">IF(ISERROR(F46),"",VLOOKUP(D46,INDIRECT($F$8),6+(O58-1)*3-Z58,0))</f>
        <v>Object Oriented Programming with JAVA Lab</v>
      </c>
      <c r="C58" s="41"/>
      <c r="D58" s="41"/>
      <c r="E58" s="41"/>
      <c r="F58" s="7">
        <f ca="1">IF(ISERROR(F46),"",VLOOKUP(E46,INDIRECT($F$8),6+(O58-1)*3,0))</f>
        <v>1</v>
      </c>
      <c r="G58" s="42" t="e">
        <f ca="1">IF(ISERROR(F46),"",_xlfn.TEXTJOIN("/",FALSE,P58,S58))</f>
        <v>#N/A</v>
      </c>
      <c r="H58" s="42"/>
      <c r="I58" s="42" t="str">
        <f ca="1">IF(ISERROR(F46),"",_xlfn.TEXTJOIN("/",FALSE,Q58,T58))</f>
        <v>16/20</v>
      </c>
      <c r="J58" s="42"/>
      <c r="K58" s="42" t="e">
        <f ca="1">IF(ISERROR(F46),"",_xlfn.TEXTJOIN("/",FALSE,R58,U58))</f>
        <v>#N/A</v>
      </c>
      <c r="L58" s="42"/>
      <c r="M58" s="7" t="e">
        <f ca="1">IF(ISERROR(F46),"",IF(ISTEXT(P58),IF(P58="A","Ab",IF(P58="D","Dt",IF(P58="UFM","UFM",IF(P58="NA","")))),IF(AND(ISBLANK(P58),ISBLANK(R58)),"",IF(P58&lt;0.3*S58,"F",IF(ISBLANK(R58),"",IF(ISTEXT(R58),R58,IF(R58&gt;=0.9*U58,"O",IF(R58&gt;=0.85*U58,"A+",IF(R58&gt;=0.8*U58,"A",IF(R58&gt;=0.7*U58,"B+",IF(R58&gt;=0.6*U58,"B",IF(R58&gt;=0.5*U58,"C",IF(R58&gt;=0.4*U58,"P",IF(R58&lt;0.4*U58,"F",R58))))))))))))))</f>
        <v>#N/A</v>
      </c>
      <c r="N58" s="8" t="e">
        <f t="shared" ca="1" si="4"/>
        <v>#N/A</v>
      </c>
      <c r="O58">
        <f t="shared" si="5"/>
        <v>8</v>
      </c>
      <c r="P58" s="1" t="e">
        <f ca="1">IF(ISERROR(F46),"",IF(ISTEXT(VLOOKUP(B46,INDIRECT($F$8),6+(O58-1)*3)),(VLOOKUP(B46,INDIRECT($F$8),6+(O58-1)*3)),SUM(VLOOKUP(B46,INDIRECT($F$8),6+(O58-1)*3),IF(W61,W58,0))))</f>
        <v>#N/A</v>
      </c>
      <c r="Q58" s="1">
        <f ca="1">IF(ISERROR(F46),"",VLOOKUP(B46,INDIRECT($F$8),7+(O58-1)*3))</f>
        <v>16</v>
      </c>
      <c r="R58" s="1" t="e">
        <f ca="1">IF(ISERROR(F46),"",SUM(P58:Q58))</f>
        <v>#N/A</v>
      </c>
      <c r="S58" s="1">
        <f ca="1">IF(ISERROR(F46),"",VLOOKUP(A46,INDIRECT($F$8),6+(O58-1)*3))</f>
        <v>30</v>
      </c>
      <c r="T58" s="1">
        <f ca="1">IF(ISERROR(F46),"",VLOOKUP(A46,INDIRECT($F$8),7+(O58-1)*3))</f>
        <v>20</v>
      </c>
      <c r="U58" s="1">
        <f ca="1">IF(ISERROR(F46),"",VLOOKUP(A46,INDIRECT($F$8),8+(O58-1)*3))</f>
        <v>50</v>
      </c>
      <c r="V58" s="1" t="e">
        <f ca="1">IF(ISERROR(F46),"",IF(N58=0,A58,""))</f>
        <v>#N/A</v>
      </c>
      <c r="W58" s="1">
        <f ca="1">IF(ISERROR(F46),"",IF(ISTEXT(VLOOKUP(B46,INDIRECT($F$8),6+(O58-1)*3)),11,IF(VLOOKUP(B46,INDIRECT($F$8),6+(O58-1)*3)&lt;S58*0.3,IF(VLOOKUP(B46,INDIRECT($F$8),8+(O58-1)*3)&lt;U58*0.4,IF(AND(0.4*U58-VLOOKUP(B46,INDIRECT($F$8),8+(O58-1)*3)&lt;=5,0.3*S58-VLOOKUP(B46,INDIRECT($F$8),6+(O58-1)*3)&lt;=5),MAX(0.4*U58-VLOOKUP(B46,INDIRECT($F$8),8+(O58-1)*3),0.3*S58-VLOOKUP(B46,INDIRECT($F$8),6+(O58-1)*3)),11),IF(0.3*S58-VLOOKUP(B46,INDIRECT($F$8),6+(O58-1)*3)&lt;=5,0.3*S58-VLOOKUP(B46,INDIRECT($F$8),6+(O58-1)*3),11)),IF(VLOOKUP(B46,INDIRECT($F$8),8+(O58-1)*3)&lt;U58*0.4,IF(U58*0.4-VLOOKUP(B46,INDIRECT($F$8),8+(O58-1)*3)&lt;=5,U58*0.4-VLOOKUP(B46,INDIRECT($F$8),8+(O58-1)*3),11),0))))</f>
        <v>0</v>
      </c>
      <c r="X58" s="1" t="str">
        <f ca="1">IF(ISERROR(F46),"",IF(W58=0,"",_xlfn.TEXTJOIN("",FALSE," G+",W58," in ",A58)))</f>
        <v/>
      </c>
    </row>
    <row r="59" spans="1:24" ht="13" customHeight="1" x14ac:dyDescent="0.2">
      <c r="A59" s="7" t="str">
        <f ca="1">IF(ISERROR(F46),"",VLOOKUP(C46,INDIRECT($F$8),6+(O59-1)*3,0))</f>
        <v>CAP 006</v>
      </c>
      <c r="B59" s="41" t="str">
        <f ca="1">IF(ISERROR(F46),"",VLOOKUP(D46,INDIRECT($F$8),6+(O59-1)*3-Z59,0))</f>
        <v>Computer Networks Lab</v>
      </c>
      <c r="C59" s="41"/>
      <c r="D59" s="41"/>
      <c r="E59" s="41"/>
      <c r="F59" s="7">
        <f ca="1">IF(ISERROR(F46),"",VLOOKUP(E46,INDIRECT($F$8),6+(O59-1)*3,0))</f>
        <v>1</v>
      </c>
      <c r="G59" s="42" t="e">
        <f ca="1">IF(ISERROR(F46),"",_xlfn.TEXTJOIN("/",FALSE,P59,S59))</f>
        <v>#N/A</v>
      </c>
      <c r="H59" s="42"/>
      <c r="I59" s="42" t="str">
        <f ca="1">IF(ISERROR(F46),"",_xlfn.TEXTJOIN("/",FALSE,Q59,T59))</f>
        <v>16/20</v>
      </c>
      <c r="J59" s="42"/>
      <c r="K59" s="42" t="e">
        <f ca="1">IF(ISERROR(F46),"",_xlfn.TEXTJOIN("/",FALSE,R59,U59))</f>
        <v>#N/A</v>
      </c>
      <c r="L59" s="42"/>
      <c r="M59" s="7" t="e">
        <f ca="1">IF(ISERROR(F46),"",IF(ISTEXT(P59),IF(P59="A","Ab",IF(P59="D","Dt",IF(P59="UFM","UFM",IF(P59="NA","")))),IF(AND(ISBLANK(P59),ISBLANK(R59)),"",IF(P59&lt;0.3*S59,"F",IF(ISBLANK(R59),"",IF(ISTEXT(R59),R59,IF(R59&gt;=0.9*U59,"O",IF(R59&gt;=0.85*U59,"A+",IF(R59&gt;=0.8*U59,"A",IF(R59&gt;=0.7*U59,"B+",IF(R59&gt;=0.6*U59,"B",IF(R59&gt;=0.5*U59,"C",IF(R59&gt;=0.4*U59,"P",IF(R59&lt;0.4*U59,"F",R59))))))))))))))</f>
        <v>#N/A</v>
      </c>
      <c r="N59" s="8" t="e">
        <f t="shared" ca="1" si="4"/>
        <v>#N/A</v>
      </c>
      <c r="O59">
        <f t="shared" si="5"/>
        <v>9</v>
      </c>
      <c r="P59" s="1" t="e">
        <f ca="1">IF(ISERROR(F46),"",IF(ISTEXT(VLOOKUP(B46,INDIRECT($F$8),6+(O59-1)*3)),(VLOOKUP(B46,INDIRECT($F$8),6+(O59-1)*3)),SUM(VLOOKUP(B46,INDIRECT($F$8),6+(O59-1)*3),IF(W61,W59,0))))</f>
        <v>#N/A</v>
      </c>
      <c r="Q59" s="1">
        <f ca="1">IF(ISERROR(F46),"",VLOOKUP(B46,INDIRECT($F$8),7+(O59-1)*3))</f>
        <v>16</v>
      </c>
      <c r="R59" s="1" t="e">
        <f ca="1">IF(ISERROR(F46),"",SUM(P59:Q59))</f>
        <v>#N/A</v>
      </c>
      <c r="S59" s="1">
        <f ca="1">IF(ISERROR(F46),"",VLOOKUP(A46,INDIRECT($F$8),6+(O59-1)*3))</f>
        <v>30</v>
      </c>
      <c r="T59" s="1">
        <f ca="1">IF(ISERROR(F46),"",VLOOKUP(A46,INDIRECT($F$8),7+(O59-1)*3))</f>
        <v>20</v>
      </c>
      <c r="U59" s="1">
        <f ca="1">IF(ISERROR(F46),"",VLOOKUP(A46,INDIRECT($F$8),8+(O59-1)*3))</f>
        <v>50</v>
      </c>
      <c r="V59" s="1" t="e">
        <f ca="1">IF(ISERROR(F46),"",IF(N59=0,A59,""))</f>
        <v>#N/A</v>
      </c>
      <c r="W59" s="1">
        <f ca="1">IF(ISERROR(F46),"",IF(ISTEXT(VLOOKUP(B46,INDIRECT($F$8),6+(O59-1)*3)),11,IF(VLOOKUP(B46,INDIRECT($F$8),6+(O59-1)*3)&lt;S59*0.3,IF(VLOOKUP(B46,INDIRECT($F$8),8+(O59-1)*3)&lt;U59*0.4,IF(AND(0.4*U59-VLOOKUP(B46,INDIRECT($F$8),8+(O59-1)*3)&lt;=5,0.3*S59-VLOOKUP(B46,INDIRECT($F$8),6+(O59-1)*3)&lt;=5),MAX(0.4*U59-VLOOKUP(B46,INDIRECT($F$8),8+(O59-1)*3),0.3*S59-VLOOKUP(B46,INDIRECT($F$8),6+(O59-1)*3)),11),IF(0.3*S59-VLOOKUP(B46,INDIRECT($F$8),6+(O59-1)*3)&lt;=5,0.3*S59-VLOOKUP(B46,INDIRECT($F$8),6+(O59-1)*3),11)),IF(VLOOKUP(B46,INDIRECT($F$8),8+(O59-1)*3)&lt;U59*0.4,IF(U59*0.4-VLOOKUP(B46,INDIRECT($F$8),8+(O59-1)*3)&lt;=5,U59*0.4-VLOOKUP(B46,INDIRECT($F$8),8+(O59-1)*3),11),0))))</f>
        <v>0</v>
      </c>
      <c r="X59" s="1" t="str">
        <f ca="1">IF(ISERROR(F46),"",IF(W59=0,"",_xlfn.TEXTJOIN("",FALSE," G+",W59," in ",A59)))</f>
        <v/>
      </c>
    </row>
    <row r="60" spans="1:24" ht="13" customHeight="1" x14ac:dyDescent="0.2">
      <c r="A60" s="7" t="str">
        <f ca="1">IF(ISERROR(F46),"",VLOOKUP(C46,INDIRECT($F$8),6+(O60-1)*3,0))</f>
        <v>CAP 007</v>
      </c>
      <c r="B60" s="41" t="str">
        <f ca="1">IF(ISERROR(F46),"",VLOOKUP(D46,INDIRECT($F$8),6+(O60-1)*3,0))</f>
        <v>Artificial Intelligence Lab</v>
      </c>
      <c r="C60" s="41"/>
      <c r="D60" s="41"/>
      <c r="E60" s="41"/>
      <c r="F60" s="7">
        <f ca="1">IF(ISERROR(F46),"",VLOOKUP(E46,INDIRECT($F$8),6+(O60-1)*3,0))</f>
        <v>1</v>
      </c>
      <c r="G60" s="42" t="e">
        <f ca="1">IF(ISERROR(F46),"",_xlfn.TEXTJOIN("/",FALSE,P60,S60))</f>
        <v>#N/A</v>
      </c>
      <c r="H60" s="42"/>
      <c r="I60" s="42" t="str">
        <f ca="1">IF(ISERROR(F46),"",_xlfn.TEXTJOIN("/",FALSE,Q60,T60))</f>
        <v>17/20</v>
      </c>
      <c r="J60" s="42"/>
      <c r="K60" s="42" t="e">
        <f ca="1">IF(ISERROR(F46),"",_xlfn.TEXTJOIN("/",FALSE,R60,U60))</f>
        <v>#N/A</v>
      </c>
      <c r="L60" s="42"/>
      <c r="M60" s="7" t="e">
        <f ca="1">IF(ISERROR(F46),"",IF(ISTEXT(P60),IF(P60="A","Ab",IF(P60="D","Dt",IF(P60="UFM","UFM",IF(P60="NA","")))),IF(AND(ISBLANK(P60),ISBLANK(R60)),"",IF(P60&lt;0.3*S60,"F",IF(ISBLANK(R60),"",IF(ISTEXT(R60),R60,IF(R60&gt;=0.9*U60,"O",IF(R60&gt;=0.85*U60,"A+",IF(R60&gt;=0.8*U60,"A",IF(R60&gt;=0.7*U60,"B+",IF(R60&gt;=0.6*U60,"B",IF(R60&gt;=0.5*U60,"C",IF(R60&gt;=0.4*U60,"P",IF(R60&lt;0.4*U60,"F",R60))))))))))))))</f>
        <v>#N/A</v>
      </c>
      <c r="N60" s="8" t="e">
        <f t="shared" ca="1" si="4"/>
        <v>#N/A</v>
      </c>
      <c r="O60">
        <f t="shared" si="5"/>
        <v>10</v>
      </c>
      <c r="P60" s="1" t="e">
        <f ca="1">IF(ISERROR(F46),"",IF(ISTEXT(VLOOKUP(B46,INDIRECT($F$8),6+(O60-1)*3)),(VLOOKUP(B46,INDIRECT($F$8),6+(O60-1)*3)),SUM(VLOOKUP(B46,INDIRECT($F$8),6+(O60-1)*3),IF(W61,W60,0))))</f>
        <v>#N/A</v>
      </c>
      <c r="Q60" s="1">
        <f ca="1">IF(ISERROR(F46),"",VLOOKUP(B46,INDIRECT($F$8),7+(O60-1)*3))</f>
        <v>17</v>
      </c>
      <c r="R60" s="1" t="e">
        <f ca="1">IF(ISERROR(F46),"",SUM(P60:Q60))</f>
        <v>#N/A</v>
      </c>
      <c r="S60" s="1">
        <f ca="1">IF(ISERROR(F46),"",VLOOKUP(A46,INDIRECT($F$8),6+(O60-1)*3))</f>
        <v>30</v>
      </c>
      <c r="T60" s="1">
        <f ca="1">IF(ISERROR(F46),"",VLOOKUP(A46,INDIRECT($F$8),7+(O60-1)*3))</f>
        <v>20</v>
      </c>
      <c r="U60" s="1">
        <f ca="1">IF(ISERROR(F46),"",VLOOKUP(A46,INDIRECT($F$8),8+(O60-1)*3))</f>
        <v>50</v>
      </c>
      <c r="V60" s="1" t="e">
        <f ca="1">IF(ISERROR(F46),"",IF(N60=0,A60,""))</f>
        <v>#N/A</v>
      </c>
      <c r="W60" s="1">
        <f ca="1">IF(ISERROR(F46),"",IF(ISTEXT(VLOOKUP(B46,INDIRECT($F$8),6+(O60-1)*3)),11,IF(VLOOKUP(B46,INDIRECT($F$8),6+(O60-1)*3)&lt;S60*0.3,IF(VLOOKUP(B46,INDIRECT($F$8),8+(O60-1)*3)&lt;U60*0.4,IF(AND(0.4*U60-VLOOKUP(B46,INDIRECT($F$8),8+(O60-1)*3)&lt;=5,0.3*S60-VLOOKUP(B46,INDIRECT($F$8),6+(O60-1)*3)&lt;=5),MAX(0.4*U60-VLOOKUP(B46,INDIRECT($F$8),8+(O60-1)*3),0.3*S60-VLOOKUP(B46,INDIRECT($F$8),6+(O60-1)*3)),11),IF(0.3*S60-VLOOKUP(B46,INDIRECT($F$8),6+(O60-1)*3)&lt;=5,0.3*S60-VLOOKUP(B46,INDIRECT($F$8),6+(O60-1)*3),11)),IF(VLOOKUP(B46,INDIRECT($F$8),8+(O60-1)*3)&lt;U60*0.4,IF(U60*0.4-VLOOKUP(B46,INDIRECT($F$8),8+(O60-1)*3)&lt;=5,U60*0.4-VLOOKUP(B46,INDIRECT($F$8),8+(O60-1)*3),11),0))))</f>
        <v>0</v>
      </c>
      <c r="X60" s="1" t="str">
        <f ca="1">IF(ISERROR(F46),"",IF(W60=0,"",_xlfn.TEXTJOIN("",FALSE," G+",W60," in ",A60)))</f>
        <v/>
      </c>
    </row>
    <row r="61" spans="1:24" ht="13" customHeight="1" x14ac:dyDescent="0.2">
      <c r="A61" s="43" t="str">
        <f ca="1">IF(ISERROR(F46),"",A42)</f>
        <v>Total Credits/ Marks/ Total Grade Points</v>
      </c>
      <c r="B61" s="43"/>
      <c r="C61" s="43"/>
      <c r="D61" s="43"/>
      <c r="E61" s="43"/>
      <c r="F61" s="10">
        <f ca="1">IF(ISERROR(F46),"",SUM(F51:F60))</f>
        <v>24</v>
      </c>
      <c r="G61" s="44" t="e">
        <f ca="1">IF(ISERROR(F46),"",_xlfn.TEXTJOIN("/",TRUE,SUMIF(F51:F60,"&gt;0",P51:P60),SUMIF(F51:F60,"&gt;0",S51:S60)))</f>
        <v>#N/A</v>
      </c>
      <c r="H61" s="44"/>
      <c r="I61" s="44" t="str">
        <f ca="1">IF(ISERROR(F46),"",_xlfn.TEXTJOIN("/",TRUE,SUMIF(F51:F60,"&gt;0",Q51:Q60),SUMIF(F51:F60,"&gt;0",T51:T60)))</f>
        <v>263/330</v>
      </c>
      <c r="J61" s="44"/>
      <c r="K61" s="44" t="e">
        <f ca="1">IF(ISERROR(F46),"",_xlfn.TEXTJOIN("/",TRUE,SUMIF(F51:F60,"&gt;0",R51:R60),SUMIF(F51:F60,"&gt;0",U51:U60)))</f>
        <v>#N/A</v>
      </c>
      <c r="L61" s="44"/>
      <c r="M61" s="43" t="e">
        <f ca="1">IF(ISERROR(F46),"",SUMPRODUCT(N51:N60,F51:F60))</f>
        <v>#N/A</v>
      </c>
      <c r="N61" s="43"/>
      <c r="V61" s="1" t="e">
        <f ca="1">IF(ISERROR(F46),"",_xlfn.TEXTJOIN(", ",TRUE,V51:V60))</f>
        <v>#N/A</v>
      </c>
      <c r="W61" t="e">
        <f ca="1">IF(ISERROR(F46),"",IF(SUM(W51:W60)&lt;=W50,TRUE,FALSE))</f>
        <v>#N/A</v>
      </c>
      <c r="X61" s="1" t="str">
        <f ca="1">IF(ISERROR(F46),"",_xlfn.TEXTJOIN(",",TRUE,X51:X60))</f>
        <v/>
      </c>
    </row>
    <row r="62" spans="1:24" ht="13" customHeight="1" x14ac:dyDescent="0.2">
      <c r="A62" s="43" t="str">
        <f ca="1">IF(ISERROR(F46),"",A43)</f>
        <v>Result:</v>
      </c>
      <c r="B62" s="45" t="e">
        <f ca="1">IF(ISERROR(F46),"",IF(V61="","PASS","CARRY OVER"))</f>
        <v>#N/A</v>
      </c>
      <c r="C62" s="45"/>
      <c r="D62" s="43" t="str">
        <f ca="1">IF(ISERROR(F46),"",D43)</f>
        <v>Remark:</v>
      </c>
      <c r="E62" s="45" t="e">
        <f ca="1">IF(ISERROR(F46),"",IF(V61="",IF(X61="","",X61),_xlfn.TEXTJOIN(" ",TRUE,"BACK IN",V61)))</f>
        <v>#N/A</v>
      </c>
      <c r="F62" s="45"/>
      <c r="G62" s="43" t="str">
        <f ca="1">IF(ISERROR(F46),"",G43)</f>
        <v>SGPA:</v>
      </c>
      <c r="H62" s="46" t="e">
        <f ca="1">IF(ISERROR(F46),"",M61/F61)</f>
        <v>#N/A</v>
      </c>
      <c r="I62" s="43" t="str">
        <f ca="1">IF(ISERROR(F46),"",I43)</f>
        <v>CGPA:</v>
      </c>
      <c r="J62" s="46" t="e">
        <f ca="1">IF(ISERROR(F46),"",VLOOKUP(B46,INDIRECT($F$8),12+(O60-1)*3,0))</f>
        <v>#N/A</v>
      </c>
      <c r="K62" s="45" t="str">
        <f ca="1">IF(ISERROR(F46),"",K43)</f>
        <v>Earned Credits:</v>
      </c>
      <c r="L62" s="43">
        <f ca="1">IF(ISERROR(F46),"",SUMIF(N51:N60,"&gt;0",F51:F60))</f>
        <v>0</v>
      </c>
      <c r="M62" s="45" t="str">
        <f ca="1">IF(ISERROR(F46),"",M43)</f>
        <v>Cuml. Earned Credits:</v>
      </c>
      <c r="N62" s="43" t="e">
        <f ca="1">IF(ISERROR(F46),"",VLOOKUP(B46,INDIRECT($F$8),10+(O60-1)*3,0))</f>
        <v>#N/A</v>
      </c>
    </row>
    <row r="63" spans="1:24" ht="13" customHeight="1" x14ac:dyDescent="0.2">
      <c r="A63" s="43"/>
      <c r="B63" s="45"/>
      <c r="C63" s="45"/>
      <c r="D63" s="43"/>
      <c r="E63" s="45"/>
      <c r="F63" s="45"/>
      <c r="G63" s="43"/>
      <c r="H63" s="46"/>
      <c r="I63" s="43"/>
      <c r="J63" s="46"/>
      <c r="K63" s="45"/>
      <c r="L63" s="43"/>
      <c r="M63" s="45"/>
      <c r="N63" s="43"/>
    </row>
    <row r="64" spans="1:24" ht="15" x14ac:dyDescent="0.2">
      <c r="A64" s="43"/>
      <c r="B64" s="45"/>
      <c r="C64" s="45"/>
      <c r="D64" s="43"/>
      <c r="E64" s="45"/>
      <c r="F64" s="45"/>
      <c r="G64" s="43"/>
      <c r="H64" s="46"/>
      <c r="I64" s="43"/>
      <c r="J64" s="46"/>
      <c r="K64" s="45"/>
      <c r="L64" s="43"/>
      <c r="M64" s="45"/>
      <c r="N64" s="43"/>
    </row>
    <row r="65" spans="1:24" ht="13" customHeight="1" x14ac:dyDescent="0.2">
      <c r="A65" s="11" t="str">
        <f>A46</f>
        <v>MM</v>
      </c>
      <c r="B65" s="11">
        <f>B46+1</f>
        <v>4</v>
      </c>
      <c r="C65" s="11" t="str">
        <f>C46</f>
        <v>SC</v>
      </c>
      <c r="D65" s="11" t="str">
        <f>D46</f>
        <v>SN</v>
      </c>
      <c r="E65" s="11" t="str">
        <f>E46</f>
        <v>C</v>
      </c>
      <c r="F65" s="11" t="str">
        <f ca="1">VLOOKUP(B65,INDIRECT($F$8),4,0)</f>
        <v>ANJALI GUSAIN</v>
      </c>
    </row>
    <row r="66" spans="1:24" ht="13" customHeight="1" x14ac:dyDescent="0.2">
      <c r="A66" s="47" t="str">
        <f ca="1">IF(ISERROR(F65),"",A47)</f>
        <v>Name:</v>
      </c>
      <c r="B66" s="47" t="str">
        <f ca="1">IFERROR(VLOOKUP(B65,INDIRECT($F$8),4,0),"")</f>
        <v>ANJALI GUSAIN</v>
      </c>
      <c r="C66" s="47"/>
      <c r="D66" s="47" t="str">
        <f ca="1">IF(ISERROR(F65),"",D47)</f>
        <v>Father's Name:</v>
      </c>
      <c r="E66" s="47" t="str">
        <f ca="1">IFERROR(VLOOKUP(B65,INDIRECT($F$8),5,0),"")</f>
        <v>JAIBEER SINGH GUSAIN</v>
      </c>
      <c r="F66" s="47"/>
      <c r="G66" s="47" t="str">
        <f ca="1">IF(ISERROR(F65),"",G47)</f>
        <v>University Roll No:</v>
      </c>
      <c r="H66" s="47"/>
      <c r="I66" s="48">
        <f ca="1">IFERROR(VLOOKUP(B65,INDIRECT($F$8),2,0),"")</f>
        <v>240090600004</v>
      </c>
      <c r="J66" s="48"/>
      <c r="K66" s="47" t="str">
        <f ca="1">IF(ISERROR(F65),"",K47)</f>
        <v>University Enrol. No:</v>
      </c>
      <c r="L66" s="47"/>
      <c r="M66" s="48" t="str">
        <f ca="1">IFERROR(VLOOKUP(B65,INDIRECT($F$8),3,0),"")</f>
        <v>UTU/2406100161</v>
      </c>
      <c r="N66" s="48"/>
    </row>
    <row r="67" spans="1:24" ht="15" x14ac:dyDescent="0.2">
      <c r="A67" s="47"/>
      <c r="B67" s="47"/>
      <c r="C67" s="47"/>
      <c r="D67" s="47"/>
      <c r="E67" s="47"/>
      <c r="F67" s="47"/>
      <c r="G67" s="47"/>
      <c r="H67" s="47"/>
      <c r="I67" s="48"/>
      <c r="J67" s="48"/>
      <c r="K67" s="47"/>
      <c r="L67" s="47"/>
      <c r="M67" s="48"/>
      <c r="N67" s="48"/>
    </row>
    <row r="68" spans="1:24" ht="13" customHeight="1" x14ac:dyDescent="0.2">
      <c r="A68" s="45" t="str">
        <f ca="1">IF(ISERROR(F65),"",A49)</f>
        <v>Subject Code</v>
      </c>
      <c r="B68" s="45" t="str">
        <f ca="1">IF(ISERROR(F65),"",B49)</f>
        <v>Subject Name</v>
      </c>
      <c r="C68" s="45"/>
      <c r="D68" s="45"/>
      <c r="E68" s="45"/>
      <c r="F68" s="45" t="str">
        <f ca="1">IF(ISERROR(F65),"",F49)</f>
        <v>Credits</v>
      </c>
      <c r="G68" s="45" t="str">
        <f ca="1">IF(ISERROR(F65),"",G49)</f>
        <v>External Marks</v>
      </c>
      <c r="H68" s="45"/>
      <c r="I68" s="45" t="str">
        <f ca="1">IF(ISERROR(F65),"",I49)</f>
        <v>Sessional Marks</v>
      </c>
      <c r="J68" s="45"/>
      <c r="K68" s="45" t="str">
        <f ca="1">IF(ISERROR(F65),"",K49)</f>
        <v>Total Marks</v>
      </c>
      <c r="L68" s="45"/>
      <c r="M68" s="45" t="str">
        <f ca="1">IF(ISERROR(F65),"",M49)</f>
        <v>Grade</v>
      </c>
      <c r="N68" s="45" t="str">
        <f ca="1">IF(ISERROR(F65),"",N49)</f>
        <v>Grade Points</v>
      </c>
    </row>
    <row r="69" spans="1:24" ht="15" x14ac:dyDescent="0.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W69" t="e">
        <f ca="1">IF(ISNUMBER(MATCH($F$8,{"I","III","V","VII"},0)),10,10-INDEX(INDIRECT(_xlfn.TEXTJOIN("",TRUE,"SEM_",$G$8,"!",ADDRESS(6,4+$I$8*3+4),":",ADDRESS(5+$H$8,4+$I$8*3+4))),MATCH(INDIRECT(_xlfn.TEXTJOIN("",TRUE,"TC_",$F$8,"!",ADDRESS(ROW(I66),COLUMN(I66)))),INDIRECT(_xlfn.TEXTJOIN("",TRUE,"SEM_",$G$8,"!",ADDRESS(6,2),":",ADDRESS(5+$H$8,2))))))</f>
        <v>#N/A</v>
      </c>
    </row>
    <row r="70" spans="1:24" ht="13" customHeight="1" x14ac:dyDescent="0.2">
      <c r="A70" s="7" t="str">
        <f ca="1">IF(ISERROR(F65),"",VLOOKUP(C65,INDIRECT($F$8),6+(O70-1)*3,0))</f>
        <v>CAT 009</v>
      </c>
      <c r="B70" s="41" t="str">
        <f ca="1">IF(ISERROR(F65),"",VLOOKUP(D65,INDIRECT($F$8),6+(O70-1)*3,0))</f>
        <v>Computer Based Numerical and Statistical Techniques</v>
      </c>
      <c r="C70" s="41"/>
      <c r="D70" s="41"/>
      <c r="E70" s="41"/>
      <c r="F70" s="7">
        <f ca="1">IF(ISERROR(F65),"",VLOOKUP(E65,INDIRECT($F$8),6+(O70-1)*3,0))</f>
        <v>4</v>
      </c>
      <c r="G70" s="42" t="e">
        <f ca="1">IF(ISERROR(F65),"",_xlfn.TEXTJOIN("/",FALSE,P70,S70))</f>
        <v>#N/A</v>
      </c>
      <c r="H70" s="42"/>
      <c r="I70" s="42" t="str">
        <f ca="1">IF(ISERROR(F65),"",_xlfn.TEXTJOIN("/",FALSE,Q70,T70))</f>
        <v>43/50</v>
      </c>
      <c r="J70" s="42"/>
      <c r="K70" s="42" t="e">
        <f ca="1">IF(ISERROR(F65),"",_xlfn.TEXTJOIN("/",FALSE,R70,U70))</f>
        <v>#N/A</v>
      </c>
      <c r="L70" s="42"/>
      <c r="M70" s="7" t="e">
        <f ca="1">IF(ISERROR(F65),"",IF(ISTEXT(P70),IF(P70="A","Ab",IF(P70="D","Dt",IF(P70="UFM","UFM",IF(P70="NA","")))),IF(AND(ISBLANK(P70),ISBLANK(R70)),"",IF(P70&lt;0.3*S70,"F",IF(ISBLANK(R70),"",IF(ISTEXT(R70),R70,IF(R70&gt;=0.9*U70,"O",IF(R70&gt;=0.85*U70,"A+",IF(R70&gt;=0.8*U70,"A",IF(R70&gt;=0.7*U70,"B+",IF(R70&gt;=0.6*U70,"B",IF(R70&gt;=0.5*U70,"C",IF(R70&gt;=0.4*U70,"P",IF(R70&lt;0.4*U70,"F",R70))))))))))))))</f>
        <v>#N/A</v>
      </c>
      <c r="N70" s="8" t="e">
        <f t="shared" ref="N70:N79" ca="1" si="6">INDEX($Z$2:$Z$13,MATCH(M70,$Y$2:$Y$13,0))</f>
        <v>#N/A</v>
      </c>
      <c r="O70">
        <v>1</v>
      </c>
      <c r="P70" s="1" t="e">
        <f ca="1">IF(ISERROR(F65),"",IF(ISTEXT(VLOOKUP(B65,INDIRECT($F$8),6+(O70-1)*3)),(VLOOKUP(B65,INDIRECT($F$8),6+(O70-1)*3)),SUM(VLOOKUP(B65,INDIRECT($F$8),6+(O70-1)*3),IF(W80,W70,0))))</f>
        <v>#N/A</v>
      </c>
      <c r="Q70" s="1">
        <f ca="1">IF(ISERROR(F65),"",VLOOKUP(B65,INDIRECT($F$8),7+(O70-1)*3))</f>
        <v>43</v>
      </c>
      <c r="R70" s="1" t="e">
        <f ca="1">IF(ISERROR(F65),"",SUM(P70:Q70))</f>
        <v>#N/A</v>
      </c>
      <c r="S70" s="1">
        <f ca="1">IF(ISERROR(F65),"",VLOOKUP(A65,INDIRECT($F$8),6+(O70-1)*3))</f>
        <v>100</v>
      </c>
      <c r="T70" s="1">
        <f ca="1">IF(ISERROR(F65),"",VLOOKUP(A65,INDIRECT($F$8),7+(O70-1)*3))</f>
        <v>50</v>
      </c>
      <c r="U70" s="1">
        <f ca="1">IF(ISERROR(F65),"",VLOOKUP(A65,INDIRECT($F$8),8+(O70-1)*3))</f>
        <v>150</v>
      </c>
      <c r="V70" s="1" t="e">
        <f ca="1">IF(ISERROR(F65),"",IF(N70=0,A70,""))</f>
        <v>#N/A</v>
      </c>
      <c r="W70" s="1">
        <f ca="1">IF(ISERROR(F65),"",IF(ISTEXT(VLOOKUP(B65,INDIRECT($F$8),6+(O70-1)*3)),11,IF(VLOOKUP(B65,INDIRECT($F$8),6+(O70-1)*3)&lt;S70*0.3,IF(VLOOKUP(B65,INDIRECT($F$8),8+(O70-1)*3)&lt;U70*0.4,IF(AND(0.4*U70-VLOOKUP(B65,INDIRECT($F$8),8+(O70-1)*3)&lt;=5,0.3*S70-VLOOKUP(B65,INDIRECT($F$8),6+(O70-1)*3)&lt;=5),MAX(0.4*U70-VLOOKUP(B65,INDIRECT($F$8),8+(O70-1)*3),0.3*S70-VLOOKUP(B65,INDIRECT($F$8),6+(O70-1)*3)),11),IF(0.3*S70-VLOOKUP(B65,INDIRECT($F$8),6+(O70-1)*3)&lt;=5,0.3*S70-VLOOKUP(B65,INDIRECT($F$8),6+(O70-1)*3),11)),IF(VLOOKUP(B65,INDIRECT($F$8),8+(O70-1)*3)&lt;U70*0.4,IF(U70*0.4-VLOOKUP(B65,INDIRECT($F$8),8+(O70-1)*3)&lt;=5,U70*0.4-VLOOKUP(B65,INDIRECT($F$8),8+(O70-1)*3),11),0))))</f>
        <v>0</v>
      </c>
      <c r="X70" s="1" t="str">
        <f ca="1">IF(ISERROR(F65),"",IF(W70=0,"",_xlfn.TEXTJOIN("",FALSE," G+",W70," in ",A70)))</f>
        <v/>
      </c>
    </row>
    <row r="71" spans="1:24" ht="13" customHeight="1" x14ac:dyDescent="0.2">
      <c r="A71" s="7" t="str">
        <f ca="1">IF(ISERROR(F65),"",VLOOKUP(C65,INDIRECT($F$8),6+(O71-1)*3,0))</f>
        <v>CAT 010</v>
      </c>
      <c r="B71" s="41" t="str">
        <f ca="1">IF(ISERROR(F65),"",VLOOKUP(D65,INDIRECT($F$8),6+(O71-1)*3,0))</f>
        <v>Data Structures and Analysis of Algorithms</v>
      </c>
      <c r="C71" s="41"/>
      <c r="D71" s="41"/>
      <c r="E71" s="41"/>
      <c r="F71" s="7">
        <f ca="1">IF(ISERROR(F65),"",VLOOKUP(E65,INDIRECT($F$8),6+(O71-1)*3,0))</f>
        <v>4</v>
      </c>
      <c r="G71" s="42" t="e">
        <f ca="1">IF(ISERROR(F65),"",_xlfn.TEXTJOIN("/",FALSE,P71,S71))</f>
        <v>#N/A</v>
      </c>
      <c r="H71" s="42"/>
      <c r="I71" s="42" t="str">
        <f ca="1">IF(ISERROR(F65),"",_xlfn.TEXTJOIN("/",FALSE,Q71,T71))</f>
        <v>37/50</v>
      </c>
      <c r="J71" s="42"/>
      <c r="K71" s="42" t="e">
        <f ca="1">IF(ISERROR(F65),"",_xlfn.TEXTJOIN("/",FALSE,R71,U71))</f>
        <v>#N/A</v>
      </c>
      <c r="L71" s="42"/>
      <c r="M71" s="7" t="e">
        <f ca="1">IF(ISERROR(F65),"",IF(ISTEXT(P71),IF(P71="A","Ab",IF(P71="D","Dt",IF(P71="UFM","UFM",IF(P71="NA","")))),IF(AND(ISBLANK(P71),ISBLANK(R71)),"",IF(P71&lt;0.3*S71,"F",IF(ISBLANK(R71),"",IF(ISTEXT(R71),R71,IF(R71&gt;=0.9*U71,"O",IF(R71&gt;=0.85*U71,"A+",IF(R71&gt;=0.8*U71,"A",IF(R71&gt;=0.7*U71,"B+",IF(R71&gt;=0.6*U71,"B",IF(R71&gt;=0.5*U71,"C",IF(R71&gt;=0.4*U71,"P",IF(R71&lt;0.4*U71,"F",R71))))))))))))))</f>
        <v>#N/A</v>
      </c>
      <c r="N71" s="8" t="e">
        <f t="shared" ca="1" si="6"/>
        <v>#N/A</v>
      </c>
      <c r="O71">
        <f>O70+1</f>
        <v>2</v>
      </c>
      <c r="P71" s="1" t="e">
        <f ca="1">IF(ISERROR(F65),"",IF(ISTEXT(VLOOKUP(B65,INDIRECT($F$8),6+(O71-1)*3)),(VLOOKUP(B65,INDIRECT($F$8),6+(O71-1)*3)),SUM(VLOOKUP(B65,INDIRECT($F$8),6+(O71-1)*3),IF(W80,W71,0))))</f>
        <v>#N/A</v>
      </c>
      <c r="Q71" s="1">
        <f ca="1">IF(ISERROR(F65),"",VLOOKUP(B65,INDIRECT($F$8),7+(O71-1)*3))</f>
        <v>37</v>
      </c>
      <c r="R71" s="1" t="e">
        <f ca="1">IF(ISERROR(F65),"",SUM(P71:Q71))</f>
        <v>#N/A</v>
      </c>
      <c r="S71" s="1">
        <f ca="1">IF(ISERROR(F65),"",VLOOKUP(A65,INDIRECT($F$8),6+(O71-1)*3))</f>
        <v>100</v>
      </c>
      <c r="T71" s="1">
        <f ca="1">IF(ISERROR(F65),"",VLOOKUP(A65,INDIRECT($F$8),7+(O71-1)*3))</f>
        <v>50</v>
      </c>
      <c r="U71" s="1">
        <f ca="1">IF(ISERROR(F65),"",VLOOKUP(A65,INDIRECT($F$8),8+(O71-1)*3))</f>
        <v>150</v>
      </c>
      <c r="V71" s="1" t="e">
        <f ca="1">IF(ISERROR(F65),"",IF(N71=0,A71,""))</f>
        <v>#N/A</v>
      </c>
      <c r="W71" s="1">
        <f ca="1">IF(ISERROR(F65),"",IF(ISTEXT(VLOOKUP(B65,INDIRECT($F$8),6+(O71-1)*3)),11,IF(VLOOKUP(B65,INDIRECT($F$8),6+(O71-1)*3)&lt;S71*0.3,IF(VLOOKUP(B65,INDIRECT($F$8),8+(O71-1)*3)&lt;U71*0.4,IF(AND(0.4*U71-VLOOKUP(B65,INDIRECT($F$8),8+(O71-1)*3)&lt;=5,0.3*S71-VLOOKUP(B65,INDIRECT($F$8),6+(O71-1)*3)&lt;=5),MAX(0.4*U71-VLOOKUP(B65,INDIRECT($F$8),8+(O71-1)*3),0.3*S71-VLOOKUP(B65,INDIRECT($F$8),6+(O71-1)*3)),11),IF(0.3*S71-VLOOKUP(B65,INDIRECT($F$8),6+(O71-1)*3)&lt;=5,0.3*S71-VLOOKUP(B65,INDIRECT($F$8),6+(O71-1)*3),11)),IF(VLOOKUP(B65,INDIRECT($F$8),8+(O71-1)*3)&lt;U71*0.4,IF(U71*0.4-VLOOKUP(B65,INDIRECT($F$8),8+(O71-1)*3)&lt;=5,U71*0.4-VLOOKUP(B65,INDIRECT($F$8),8+(O71-1)*3),11),0))))</f>
        <v>0</v>
      </c>
      <c r="X71" s="1" t="str">
        <f ca="1">IF(ISERROR(F65),"",IF(W71=0,"",_xlfn.TEXTJOIN("",FALSE," G+",W71," in ",A71)))</f>
        <v/>
      </c>
    </row>
    <row r="72" spans="1:24" ht="13" customHeight="1" x14ac:dyDescent="0.2">
      <c r="A72" s="7" t="str">
        <f ca="1">IF(ISERROR(F65),"",VLOOKUP(C65,INDIRECT($F$8),6+(O72-1)*3,0))</f>
        <v>CAT 011</v>
      </c>
      <c r="B72" s="41" t="str">
        <f ca="1">IF(ISERROR(F65),"",VLOOKUP(D65,INDIRECT($F$8),6+(O72-1)*3,0))</f>
        <v>Object Oriented Programming with JAVA</v>
      </c>
      <c r="C72" s="41"/>
      <c r="D72" s="41"/>
      <c r="E72" s="41"/>
      <c r="F72" s="7">
        <f ca="1">IF(ISERROR(F65),"",VLOOKUP(E65,INDIRECT($F$8),6+(O72-1)*3,0))</f>
        <v>4</v>
      </c>
      <c r="G72" s="42" t="e">
        <f ca="1">IF(ISERROR(F65),"",_xlfn.TEXTJOIN("/",FALSE,P72,S72))</f>
        <v>#N/A</v>
      </c>
      <c r="H72" s="42"/>
      <c r="I72" s="42" t="str">
        <f ca="1">IF(ISERROR(F65),"",_xlfn.TEXTJOIN("/",FALSE,Q72,T72))</f>
        <v>34/50</v>
      </c>
      <c r="J72" s="42"/>
      <c r="K72" s="42" t="e">
        <f ca="1">IF(ISERROR(F65),"",_xlfn.TEXTJOIN("/",FALSE,R72,U72))</f>
        <v>#N/A</v>
      </c>
      <c r="L72" s="42"/>
      <c r="M72" s="7" t="e">
        <f ca="1">IF(ISERROR(F65),"",IF(ISTEXT(P72),IF(P72="A","Ab",IF(P72="D","Dt",IF(P72="UFM","UFM",IF(P72="NA","")))),IF(AND(ISBLANK(P72),ISBLANK(R72)),"",IF(P72&lt;0.3*S72,"F",IF(ISBLANK(R72),"",IF(ISTEXT(R72),R72,IF(R72&gt;=0.9*U72,"O",IF(R72&gt;=0.85*U72,"A+",IF(R72&gt;=0.8*U72,"A",IF(R72&gt;=0.7*U72,"B+",IF(R72&gt;=0.6*U72,"B",IF(R72&gt;=0.5*U72,"C",IF(R72&gt;=0.4*U72,"P",IF(R72&lt;0.4*U72,"F",R72))))))))))))))</f>
        <v>#N/A</v>
      </c>
      <c r="N72" s="8" t="e">
        <f t="shared" ca="1" si="6"/>
        <v>#N/A</v>
      </c>
      <c r="O72">
        <f>O71+1</f>
        <v>3</v>
      </c>
      <c r="P72" s="1" t="e">
        <f ca="1">IF(ISERROR(F65),"",IF(ISTEXT(VLOOKUP(B65,INDIRECT($F$8),6+(O72-1)*3)),(VLOOKUP(B65,INDIRECT($F$8),6+(O72-1)*3)),SUM(VLOOKUP(B65,INDIRECT($F$8),6+(O72-1)*3),IF(W80,W72,0))))</f>
        <v>#N/A</v>
      </c>
      <c r="Q72" s="1">
        <f ca="1">IF(ISERROR(F65),"",VLOOKUP(B65,INDIRECT($F$8),7+(O72-1)*3))</f>
        <v>34</v>
      </c>
      <c r="R72" s="1" t="e">
        <f ca="1">IF(ISERROR(F65),"",SUM(P72:Q72))</f>
        <v>#N/A</v>
      </c>
      <c r="S72" s="1">
        <f ca="1">IF(ISERROR(F65),"",VLOOKUP(A65,INDIRECT($F$8),6+(O72-1)*3))</f>
        <v>100</v>
      </c>
      <c r="T72" s="1">
        <f ca="1">IF(ISERROR(F65),"",VLOOKUP(A65,INDIRECT($F$8),7+(O72-1)*3))</f>
        <v>50</v>
      </c>
      <c r="U72" s="1">
        <f ca="1">IF(ISERROR(F65),"",VLOOKUP(A65,INDIRECT($F$8),8+(O72-1)*3))</f>
        <v>150</v>
      </c>
      <c r="V72" s="1" t="e">
        <f ca="1">IF(ISERROR(F65),"",IF(N72=0,A72,""))</f>
        <v>#N/A</v>
      </c>
      <c r="W72" s="1">
        <f ca="1">IF(ISERROR(F65),"",IF(ISTEXT(VLOOKUP(B65,INDIRECT($F$8),6+(O72-1)*3)),11,IF(VLOOKUP(B65,INDIRECT($F$8),6+(O72-1)*3)&lt;S72*0.3,IF(VLOOKUP(B65,INDIRECT($F$8),8+(O72-1)*3)&lt;U72*0.4,IF(AND(0.4*U72-VLOOKUP(B65,INDIRECT($F$8),8+(O72-1)*3)&lt;=5,0.3*S72-VLOOKUP(B65,INDIRECT($F$8),6+(O72-1)*3)&lt;=5),MAX(0.4*U72-VLOOKUP(B65,INDIRECT($F$8),8+(O72-1)*3),0.3*S72-VLOOKUP(B65,INDIRECT($F$8),6+(O72-1)*3)),11),IF(0.3*S72-VLOOKUP(B65,INDIRECT($F$8),6+(O72-1)*3)&lt;=5,0.3*S72-VLOOKUP(B65,INDIRECT($F$8),6+(O72-1)*3),11)),IF(VLOOKUP(B65,INDIRECT($F$8),8+(O72-1)*3)&lt;U72*0.4,IF(U72*0.4-VLOOKUP(B65,INDIRECT($F$8),8+(O72-1)*3)&lt;=5,U72*0.4-VLOOKUP(B65,INDIRECT($F$8),8+(O72-1)*3),11),0))))</f>
        <v>0</v>
      </c>
      <c r="X72" s="1" t="str">
        <f ca="1">IF(ISERROR(F65),"",IF(W72=0,"",_xlfn.TEXTJOIN("",FALSE," G+",W72," in ",A72)))</f>
        <v/>
      </c>
    </row>
    <row r="73" spans="1:24" ht="13" customHeight="1" x14ac:dyDescent="0.2">
      <c r="A73" s="7" t="str">
        <f ca="1">IF(ISERROR(F65),"",VLOOKUP(C65,INDIRECT($F$8),6+(O73-1)*3,0))</f>
        <v>CAT 012</v>
      </c>
      <c r="B73" s="41" t="str">
        <f ca="1">IF(ISERROR(F65),"",VLOOKUP(D65,INDIRECT($F$8),6+(O73-1)*3,0))</f>
        <v>Computer Networks</v>
      </c>
      <c r="C73" s="41"/>
      <c r="D73" s="41"/>
      <c r="E73" s="41"/>
      <c r="F73" s="7">
        <f ca="1">IF(ISERROR(F65),"",VLOOKUP(E65,INDIRECT($F$8),6+(O73-1)*3,0))</f>
        <v>4</v>
      </c>
      <c r="G73" s="42" t="e">
        <f ca="1">IF(ISERROR(F65),"",_xlfn.TEXTJOIN("/",FALSE,P73,S73))</f>
        <v>#N/A</v>
      </c>
      <c r="H73" s="42"/>
      <c r="I73" s="42" t="str">
        <f ca="1">IF(ISERROR(F65),"",_xlfn.TEXTJOIN("/",FALSE,Q73,T73))</f>
        <v>32/50</v>
      </c>
      <c r="J73" s="42"/>
      <c r="K73" s="42" t="e">
        <f ca="1">IF(ISERROR(F65),"",_xlfn.TEXTJOIN("/",FALSE,R73,U73))</f>
        <v>#N/A</v>
      </c>
      <c r="L73" s="42"/>
      <c r="M73" s="7" t="e">
        <f ca="1">IF(ISERROR(F65),"",IF(ISTEXT(P73),IF(P73="A","Ab",IF(P73="D","Dt",IF(P73="UFM","UFM",IF(P73="NA","")))),IF(AND(ISBLANK(P73),ISBLANK(R73)),"",IF(P73&lt;0.3*S73,"F",IF(ISBLANK(R73),"",IF(ISTEXT(R73),R73,IF(R73&gt;=0.9*U73,"O",IF(R73&gt;=0.85*U73,"A+",IF(R73&gt;=0.8*U73,"A",IF(R73&gt;=0.7*U73,"B+",IF(R73&gt;=0.6*U73,"B",IF(R73&gt;=0.5*U73,"C",IF(R73&gt;=0.4*U73,"P",IF(R73&lt;0.4*U73,"F",R73))))))))))))))</f>
        <v>#N/A</v>
      </c>
      <c r="N73" s="8" t="e">
        <f t="shared" ca="1" si="6"/>
        <v>#N/A</v>
      </c>
      <c r="O73">
        <f t="shared" ref="O73:O79" si="7">O72+1</f>
        <v>4</v>
      </c>
      <c r="P73" s="1" t="e">
        <f ca="1">IF(ISERROR(F65),"",IF(ISTEXT(VLOOKUP(B65,INDIRECT($F$8),6+(O73-1)*3)),(VLOOKUP(B65,INDIRECT($F$8),6+(O73-1)*3)),SUM(VLOOKUP(B65,INDIRECT($F$8),6+(O73-1)*3),IF(W80,W73,0))))</f>
        <v>#N/A</v>
      </c>
      <c r="Q73" s="1">
        <f ca="1">IF(ISERROR(F65),"",VLOOKUP(B65,INDIRECT($F$8),7+(O73-1)*3))</f>
        <v>32</v>
      </c>
      <c r="R73" s="1" t="e">
        <f ca="1">IF(ISERROR(F65),"",SUM(P73:Q73))</f>
        <v>#N/A</v>
      </c>
      <c r="S73" s="1">
        <f ca="1">IF(ISERROR(F65),"",VLOOKUP(A65,INDIRECT($F$8),6+(O73-1)*3))</f>
        <v>100</v>
      </c>
      <c r="T73" s="1">
        <f ca="1">IF(ISERROR(F65),"",VLOOKUP(A65,INDIRECT($F$8),7+(O73-1)*3))</f>
        <v>50</v>
      </c>
      <c r="U73" s="1">
        <f ca="1">IF(ISERROR(F65),"",VLOOKUP(A65,INDIRECT($F$8),8+(O73-1)*3))</f>
        <v>150</v>
      </c>
      <c r="V73" s="1" t="e">
        <f ca="1">IF(ISERROR(F65),"",IF(N73=0,A73,""))</f>
        <v>#N/A</v>
      </c>
      <c r="W73" s="1">
        <f ca="1">IF(ISERROR(F65),"",IF(ISTEXT(VLOOKUP(B65,INDIRECT($F$8),6+(O73-1)*3)),11,IF(VLOOKUP(B65,INDIRECT($F$8),6+(O73-1)*3)&lt;S73*0.3,IF(VLOOKUP(B65,INDIRECT($F$8),8+(O73-1)*3)&lt;U73*0.4,IF(AND(0.4*U73-VLOOKUP(B65,INDIRECT($F$8),8+(O73-1)*3)&lt;=5,0.3*S73-VLOOKUP(B65,INDIRECT($F$8),6+(O73-1)*3)&lt;=5),MAX(0.4*U73-VLOOKUP(B65,INDIRECT($F$8),8+(O73-1)*3),0.3*S73-VLOOKUP(B65,INDIRECT($F$8),6+(O73-1)*3)),11),IF(0.3*S73-VLOOKUP(B65,INDIRECT($F$8),6+(O73-1)*3)&lt;=5,0.3*S73-VLOOKUP(B65,INDIRECT($F$8),6+(O73-1)*3),11)),IF(VLOOKUP(B65,INDIRECT($F$8),8+(O73-1)*3)&lt;U73*0.4,IF(U73*0.4-VLOOKUP(B65,INDIRECT($F$8),8+(O73-1)*3)&lt;=5,U73*0.4-VLOOKUP(B65,INDIRECT($F$8),8+(O73-1)*3),11),0))))</f>
        <v>0</v>
      </c>
      <c r="X73" s="1" t="str">
        <f ca="1">IF(ISERROR(F65),"",IF(W73=0,"",_xlfn.TEXTJOIN("",FALSE," G+",W73," in ",A73)))</f>
        <v/>
      </c>
    </row>
    <row r="74" spans="1:24" ht="13" customHeight="1" x14ac:dyDescent="0.2">
      <c r="A74" s="7" t="str">
        <f ca="1">IF(ISERROR(F65),"",VLOOKUP(C65,INDIRECT($F$8),6+(O74-1)*3,0))</f>
        <v>CAT 013</v>
      </c>
      <c r="B74" s="41" t="str">
        <f ca="1">IF(ISERROR(F65),"",VLOOKUP(D65,INDIRECT($F$8),6+(O74-1)*3,0))</f>
        <v>Artificial Intelligence</v>
      </c>
      <c r="C74" s="41"/>
      <c r="D74" s="41"/>
      <c r="E74" s="41"/>
      <c r="F74" s="7">
        <f ca="1">IF(ISERROR(F65),"",VLOOKUP(E65,INDIRECT($F$8),6+(O74-1)*3,0))</f>
        <v>4</v>
      </c>
      <c r="G74" s="42" t="e">
        <f ca="1">IF(ISERROR(F65),"",_xlfn.TEXTJOIN("/",FALSE,P74,S74))</f>
        <v>#N/A</v>
      </c>
      <c r="H74" s="42"/>
      <c r="I74" s="42" t="str">
        <f ca="1">IF(ISERROR(F65),"",_xlfn.TEXTJOIN("/",FALSE,Q74,T74))</f>
        <v>34/50</v>
      </c>
      <c r="J74" s="42"/>
      <c r="K74" s="42" t="e">
        <f ca="1">IF(ISERROR(F65),"",_xlfn.TEXTJOIN("/",FALSE,R74,U74))</f>
        <v>#N/A</v>
      </c>
      <c r="L74" s="42"/>
      <c r="M74" s="7" t="e">
        <f ca="1">IF(ISERROR(F65),"",IF(ISTEXT(P74),IF(P74="A","Ab",IF(P74="D","Dt",IF(P74="UFM","UFM",IF(P74="NA","")))),IF(AND(ISBLANK(P74),ISBLANK(R74)),"",IF(P74&lt;0.3*S74,"F",IF(ISBLANK(R74),"",IF(ISTEXT(R74),R74,IF(R74&gt;=0.9*U74,"O",IF(R74&gt;=0.85*U74,"A+",IF(R74&gt;=0.8*U74,"A",IF(R74&gt;=0.7*U74,"B+",IF(R74&gt;=0.6*U74,"B",IF(R74&gt;=0.5*U74,"C",IF(R74&gt;=0.4*U74,"P",IF(R74&lt;0.4*U74,"F",R74))))))))))))))</f>
        <v>#N/A</v>
      </c>
      <c r="N74" s="8" t="e">
        <f t="shared" ca="1" si="6"/>
        <v>#N/A</v>
      </c>
      <c r="O74">
        <f t="shared" si="7"/>
        <v>5</v>
      </c>
      <c r="P74" s="1" t="e">
        <f ca="1">IF(ISERROR(F65),"",IF(ISTEXT(VLOOKUP(B65,INDIRECT($F$8),6+(O74-1)*3)),(VLOOKUP(B65,INDIRECT($F$8),6+(O74-1)*3)),SUM(VLOOKUP(B65,INDIRECT($F$8),6+(O74-1)*3),IF(W80,W74,0))))</f>
        <v>#N/A</v>
      </c>
      <c r="Q74" s="1">
        <f ca="1">IF(ISERROR(F65),"",VLOOKUP(B65,INDIRECT($F$8),7+(O74-1)*3))</f>
        <v>34</v>
      </c>
      <c r="R74" s="1" t="e">
        <f ca="1">IF(ISERROR(F65),"",SUM(P74:Q74))</f>
        <v>#N/A</v>
      </c>
      <c r="S74" s="1">
        <f ca="1">IF(ISERROR(F65),"",VLOOKUP(A65,INDIRECT($F$8),6+(O74-1)*3))</f>
        <v>100</v>
      </c>
      <c r="T74" s="1">
        <f ca="1">IF(ISERROR(F65),"",VLOOKUP(A65,INDIRECT($F$8),7+(O74-1)*3))</f>
        <v>50</v>
      </c>
      <c r="U74" s="1">
        <f ca="1">IF(ISERROR(F65),"",VLOOKUP(A65,INDIRECT($F$8),8+(O74-1)*3))</f>
        <v>150</v>
      </c>
      <c r="V74" s="1" t="e">
        <f ca="1">IF(ISERROR(F65),"",IF(N74=0,A74,""))</f>
        <v>#N/A</v>
      </c>
      <c r="W74" s="1">
        <f ca="1">IF(ISERROR(F65),"",IF(ISTEXT(VLOOKUP(B65,INDIRECT($F$8),6+(O74-1)*3)),11,IF(VLOOKUP(B65,INDIRECT($F$8),6+(O74-1)*3)&lt;S74*0.3,IF(VLOOKUP(B65,INDIRECT($F$8),8+(O74-1)*3)&lt;U74*0.4,IF(AND(0.4*U74-VLOOKUP(B65,INDIRECT($F$8),8+(O74-1)*3)&lt;=5,0.3*S74-VLOOKUP(B65,INDIRECT($F$8),6+(O74-1)*3)&lt;=5),MAX(0.4*U74-VLOOKUP(B65,INDIRECT($F$8),8+(O74-1)*3),0.3*S74-VLOOKUP(B65,INDIRECT($F$8),6+(O74-1)*3)),11),IF(0.3*S74-VLOOKUP(B65,INDIRECT($F$8),6+(O74-1)*3)&lt;=5,0.3*S74-VLOOKUP(B65,INDIRECT($F$8),6+(O74-1)*3),11)),IF(VLOOKUP(B65,INDIRECT($F$8),8+(O74-1)*3)&lt;U74*0.4,IF(U74*0.4-VLOOKUP(B65,INDIRECT($F$8),8+(O74-1)*3)&lt;=5,U74*0.4-VLOOKUP(B65,INDIRECT($F$8),8+(O74-1)*3),11),0))))</f>
        <v>0</v>
      </c>
      <c r="X74" s="1" t="str">
        <f ca="1">IF(ISERROR(F65),"",IF(W74=0,"",_xlfn.TEXTJOIN("",FALSE," G+",W74," in ",A74)))</f>
        <v/>
      </c>
    </row>
    <row r="75" spans="1:24" ht="13" customHeight="1" x14ac:dyDescent="0.2">
      <c r="A75" s="7" t="str">
        <f ca="1">IF(ISERROR(F65),"",VLOOKUP(C65,INDIRECT($F$8),6+(O75-1)*3,0))</f>
        <v>AHT 304</v>
      </c>
      <c r="B75" s="41" t="str">
        <f ca="1">IF(ISERROR(F65),"",VLOOKUP(D65,INDIRECT($F$8),6+(O75-1)*3,0))</f>
        <v>Accounting and Financial Management ($)</v>
      </c>
      <c r="C75" s="41"/>
      <c r="D75" s="41"/>
      <c r="E75" s="41"/>
      <c r="F75" s="7">
        <f ca="1">IF(ISERROR(F65),"",VLOOKUP(E65,INDIRECT($F$8),6+(O75-1)*3,0))</f>
        <v>0</v>
      </c>
      <c r="G75" s="42" t="e">
        <f ca="1">IF(ISERROR(F65),"",_xlfn.TEXTJOIN("/",FALSE,P75,S75))</f>
        <v>#N/A</v>
      </c>
      <c r="H75" s="42"/>
      <c r="I75" s="42" t="str">
        <f ca="1">IF(ISERROR(F65),"",_xlfn.TEXTJOIN("/",FALSE,Q75,T75))</f>
        <v>32/50</v>
      </c>
      <c r="J75" s="42"/>
      <c r="K75" s="42" t="e">
        <f ca="1">IF(ISERROR(F65),"",_xlfn.TEXTJOIN("/",FALSE,R75,U75))</f>
        <v>#N/A</v>
      </c>
      <c r="L75" s="42"/>
      <c r="M75" s="7" t="e">
        <f ca="1">IF(ISERROR(F65),"",IF(ISTEXT(P75),IF(P75="A","Ab",IF(P75="D","Dt",IF(P75="UFM","UFM",IF(P75="NA","")))),IF(AND(ISBLANK(P75),ISBLANK(R75)),"",IF(P75&lt;0.3*S75,"F",IF(ISBLANK(R75),"",IF(ISTEXT(R75),R75,IF(R75&gt;=0.9*U75,"O",IF(R75&gt;=0.85*U75,"A+",IF(R75&gt;=0.8*U75,"A",IF(R75&gt;=0.7*U75,"B+",IF(R75&gt;=0.6*U75,"B",IF(R75&gt;=0.5*U75,"C",IF(R75&gt;=0.4*U75,"P",IF(R75&lt;0.4*U75,"F",R75))))))))))))))</f>
        <v>#N/A</v>
      </c>
      <c r="N75" s="8" t="e">
        <f t="shared" ca="1" si="6"/>
        <v>#N/A</v>
      </c>
      <c r="O75">
        <f t="shared" si="7"/>
        <v>6</v>
      </c>
      <c r="P75" s="1" t="e">
        <f ca="1">IF(ISERROR(F65),"",IF(ISTEXT(VLOOKUP(B65,INDIRECT($F$8),6+(O75-1)*3)),(VLOOKUP(B65,INDIRECT($F$8),6+(O75-1)*3)),SUM(VLOOKUP(B65,INDIRECT($F$8),6+(O75-1)*3),IF(W80,W75,0))))</f>
        <v>#N/A</v>
      </c>
      <c r="Q75" s="1">
        <f ca="1">IF(ISERROR(F65),"",VLOOKUP(B65,INDIRECT($F$8),7+(O75-1)*3))</f>
        <v>32</v>
      </c>
      <c r="R75" s="1" t="e">
        <f ca="1">IF(ISERROR(F65),"",SUM(P75:Q75))</f>
        <v>#N/A</v>
      </c>
      <c r="S75" s="1">
        <f ca="1">IF(ISERROR(F65),"",VLOOKUP(A65,INDIRECT($F$8),6+(O75-1)*3))</f>
        <v>0</v>
      </c>
      <c r="T75" s="1">
        <f ca="1">IF(ISERROR(F65),"",VLOOKUP(A65,INDIRECT($F$8),7+(O75-1)*3))</f>
        <v>50</v>
      </c>
      <c r="U75" s="1">
        <f ca="1">IF(ISERROR(F65),"",VLOOKUP(A65,INDIRECT($F$8),8+(O75-1)*3))</f>
        <v>50</v>
      </c>
      <c r="V75" s="1" t="e">
        <f ca="1">IF(ISERROR(F65),"",IF(N75=0,A75,""))</f>
        <v>#N/A</v>
      </c>
      <c r="W75" s="1">
        <f ca="1">IF(ISERROR(F65),"",IF(ISTEXT(VLOOKUP(B65,INDIRECT($F$8),6+(O75-1)*3)),11,IF(VLOOKUP(B65,INDIRECT($F$8),6+(O75-1)*3)&lt;S75*0.3,IF(VLOOKUP(B65,INDIRECT($F$8),8+(O75-1)*3)&lt;U75*0.4,IF(AND(0.4*U75-VLOOKUP(B65,INDIRECT($F$8),8+(O75-1)*3)&lt;=5,0.3*S75-VLOOKUP(B65,INDIRECT($F$8),6+(O75-1)*3)&lt;=5),MAX(0.4*U75-VLOOKUP(B65,INDIRECT($F$8),8+(O75-1)*3),0.3*S75-VLOOKUP(B65,INDIRECT($F$8),6+(O75-1)*3)),11),IF(0.3*S75-VLOOKUP(B65,INDIRECT($F$8),6+(O75-1)*3)&lt;=5,0.3*S75-VLOOKUP(B65,INDIRECT($F$8),6+(O75-1)*3),11)),IF(VLOOKUP(B65,INDIRECT($F$8),8+(O75-1)*3)&lt;U75*0.4,IF(U75*0.4-VLOOKUP(B65,INDIRECT($F$8),8+(O75-1)*3)&lt;=5,U75*0.4-VLOOKUP(B65,INDIRECT($F$8),8+(O75-1)*3),11),0))))</f>
        <v>0</v>
      </c>
      <c r="X75" s="1" t="str">
        <f ca="1">IF(ISERROR(F65),"",IF(W75=0,"",_xlfn.TEXTJOIN("",FALSE," G+",W75," in ",A75)))</f>
        <v/>
      </c>
    </row>
    <row r="76" spans="1:24" ht="13" customHeight="1" x14ac:dyDescent="0.2">
      <c r="A76" s="7" t="str">
        <f ca="1">IF(ISERROR(F65),"",VLOOKUP(C65,INDIRECT($F$8),6+(O76-1)*3,0))</f>
        <v>CAP 004</v>
      </c>
      <c r="B76" s="41" t="str">
        <f ca="1">IF(ISERROR(F65),"",VLOOKUP(D65,INDIRECT($F$8),6+(O76-1)*3,0))</f>
        <v>Data Structures and Analysis of Algorithms Lab</v>
      </c>
      <c r="C76" s="41"/>
      <c r="D76" s="41"/>
      <c r="E76" s="41"/>
      <c r="F76" s="7">
        <f ca="1">IF(ISERROR(F65),"",VLOOKUP(E65,INDIRECT($F$8),6+(O76-1)*3,0))</f>
        <v>1</v>
      </c>
      <c r="G76" s="42" t="e">
        <f ca="1">IF(ISERROR(F65),"",_xlfn.TEXTJOIN("/",FALSE,P76,S76))</f>
        <v>#N/A</v>
      </c>
      <c r="H76" s="42"/>
      <c r="I76" s="42" t="str">
        <f ca="1">IF(ISERROR(F65),"",_xlfn.TEXTJOIN("/",FALSE,Q76,T76))</f>
        <v>15/20</v>
      </c>
      <c r="J76" s="42"/>
      <c r="K76" s="42" t="e">
        <f ca="1">IF(ISERROR(F65),"",_xlfn.TEXTJOIN("/",FALSE,R76,U76))</f>
        <v>#N/A</v>
      </c>
      <c r="L76" s="42"/>
      <c r="M76" s="7" t="e">
        <f ca="1">IF(ISERROR(F65),"",IF(ISTEXT(P76),IF(P76="A","Ab",IF(P76="D","Dt",IF(P76="UFM","UFM",IF(P76="NA","")))),IF(AND(ISBLANK(P76),ISBLANK(R76)),"",IF(P76&lt;0.3*S76,"F",IF(ISBLANK(R76),"",IF(ISTEXT(R76),R76,IF(R76&gt;=0.9*U76,"O",IF(R76&gt;=0.85*U76,"A+",IF(R76&gt;=0.8*U76,"A",IF(R76&gt;=0.7*U76,"B+",IF(R76&gt;=0.6*U76,"B",IF(R76&gt;=0.5*U76,"C",IF(R76&gt;=0.4*U76,"P",IF(R76&lt;0.4*U76,"F",R76))))))))))))))</f>
        <v>#N/A</v>
      </c>
      <c r="N76" s="8" t="e">
        <f t="shared" ca="1" si="6"/>
        <v>#N/A</v>
      </c>
      <c r="O76">
        <f t="shared" si="7"/>
        <v>7</v>
      </c>
      <c r="P76" s="1" t="e">
        <f ca="1">IF(ISERROR(F65),"",IF(ISTEXT(VLOOKUP(B65,INDIRECT($F$8),6+(O76-1)*3)),(VLOOKUP(B65,INDIRECT($F$8),6+(O76-1)*3)),SUM(VLOOKUP(B65,INDIRECT($F$8),6+(O76-1)*3),IF(W80,W76,0))))</f>
        <v>#N/A</v>
      </c>
      <c r="Q76" s="1">
        <f ca="1">IF(ISERROR(F65),"",VLOOKUP(B65,INDIRECT($F$8),7+(O76-1)*3))</f>
        <v>15</v>
      </c>
      <c r="R76" s="1" t="e">
        <f ca="1">IF(ISERROR(F65),"",SUM(P76:Q76))</f>
        <v>#N/A</v>
      </c>
      <c r="S76" s="1">
        <f ca="1">IF(ISERROR(F65),"",VLOOKUP(A65,INDIRECT($F$8),6+(O76-1)*3))</f>
        <v>30</v>
      </c>
      <c r="T76" s="1">
        <f ca="1">IF(ISERROR(F65),"",VLOOKUP(A65,INDIRECT($F$8),7+(O76-1)*3))</f>
        <v>20</v>
      </c>
      <c r="U76" s="1">
        <f ca="1">IF(ISERROR(F65),"",VLOOKUP(A65,INDIRECT($F$8),8+(O76-1)*3))</f>
        <v>50</v>
      </c>
      <c r="V76" s="1" t="e">
        <f ca="1">IF(ISERROR(F65),"",IF(N76=0,A76,""))</f>
        <v>#N/A</v>
      </c>
      <c r="W76" s="1">
        <f ca="1">IF(ISERROR(F65),"",IF(ISTEXT(VLOOKUP(B65,INDIRECT($F$8),6+(O76-1)*3)),11,IF(VLOOKUP(B65,INDIRECT($F$8),6+(O76-1)*3)&lt;S76*0.3,IF(VLOOKUP(B65,INDIRECT($F$8),8+(O76-1)*3)&lt;U76*0.4,IF(AND(0.4*U76-VLOOKUP(B65,INDIRECT($F$8),8+(O76-1)*3)&lt;=5,0.3*S76-VLOOKUP(B65,INDIRECT($F$8),6+(O76-1)*3)&lt;=5),MAX(0.4*U76-VLOOKUP(B65,INDIRECT($F$8),8+(O76-1)*3),0.3*S76-VLOOKUP(B65,INDIRECT($F$8),6+(O76-1)*3)),11),IF(0.3*S76-VLOOKUP(B65,INDIRECT($F$8),6+(O76-1)*3)&lt;=5,0.3*S76-VLOOKUP(B65,INDIRECT($F$8),6+(O76-1)*3),11)),IF(VLOOKUP(B65,INDIRECT($F$8),8+(O76-1)*3)&lt;U76*0.4,IF(U76*0.4-VLOOKUP(B65,INDIRECT($F$8),8+(O76-1)*3)&lt;=5,U76*0.4-VLOOKUP(B65,INDIRECT($F$8),8+(O76-1)*3),11),0))))</f>
        <v>0</v>
      </c>
      <c r="X76" s="1" t="str">
        <f ca="1">IF(ISERROR(F65),"",IF(W76=0,"",_xlfn.TEXTJOIN("",FALSE," G+",W76," in ",A76)))</f>
        <v/>
      </c>
    </row>
    <row r="77" spans="1:24" ht="13" customHeight="1" x14ac:dyDescent="0.2">
      <c r="A77" s="7" t="str">
        <f ca="1">IF(ISERROR(F65),"",VLOOKUP(C65,INDIRECT($F$8),6+(O77-1)*3,0))</f>
        <v>CAP 005</v>
      </c>
      <c r="B77" s="41" t="str">
        <f ca="1">IF(ISERROR(F65),"",VLOOKUP(D65,INDIRECT($F$8),6+(O77-1)*3-Z77,0))</f>
        <v>Object Oriented Programming with JAVA Lab</v>
      </c>
      <c r="C77" s="41"/>
      <c r="D77" s="41"/>
      <c r="E77" s="41"/>
      <c r="F77" s="7">
        <f ca="1">IF(ISERROR(F65),"",VLOOKUP(E65,INDIRECT($F$8),6+(O77-1)*3,0))</f>
        <v>1</v>
      </c>
      <c r="G77" s="42" t="e">
        <f ca="1">IF(ISERROR(F65),"",_xlfn.TEXTJOIN("/",FALSE,P77,S77))</f>
        <v>#N/A</v>
      </c>
      <c r="H77" s="42"/>
      <c r="I77" s="42" t="str">
        <f ca="1">IF(ISERROR(F65),"",_xlfn.TEXTJOIN("/",FALSE,Q77,T77))</f>
        <v>14/20</v>
      </c>
      <c r="J77" s="42"/>
      <c r="K77" s="42" t="e">
        <f ca="1">IF(ISERROR(F65),"",_xlfn.TEXTJOIN("/",FALSE,R77,U77))</f>
        <v>#N/A</v>
      </c>
      <c r="L77" s="42"/>
      <c r="M77" s="7" t="e">
        <f ca="1">IF(ISERROR(F65),"",IF(ISTEXT(P77),IF(P77="A","Ab",IF(P77="D","Dt",IF(P77="UFM","UFM",IF(P77="NA","")))),IF(AND(ISBLANK(P77),ISBLANK(R77)),"",IF(P77&lt;0.3*S77,"F",IF(ISBLANK(R77),"",IF(ISTEXT(R77),R77,IF(R77&gt;=0.9*U77,"O",IF(R77&gt;=0.85*U77,"A+",IF(R77&gt;=0.8*U77,"A",IF(R77&gt;=0.7*U77,"B+",IF(R77&gt;=0.6*U77,"B",IF(R77&gt;=0.5*U77,"C",IF(R77&gt;=0.4*U77,"P",IF(R77&lt;0.4*U77,"F",R77))))))))))))))</f>
        <v>#N/A</v>
      </c>
      <c r="N77" s="8" t="e">
        <f t="shared" ca="1" si="6"/>
        <v>#N/A</v>
      </c>
      <c r="O77">
        <f t="shared" si="7"/>
        <v>8</v>
      </c>
      <c r="P77" s="1" t="e">
        <f ca="1">IF(ISERROR(F65),"",IF(ISTEXT(VLOOKUP(B65,INDIRECT($F$8),6+(O77-1)*3)),(VLOOKUP(B65,INDIRECT($F$8),6+(O77-1)*3)),SUM(VLOOKUP(B65,INDIRECT($F$8),6+(O77-1)*3),IF(W80,W77,0))))</f>
        <v>#N/A</v>
      </c>
      <c r="Q77" s="1">
        <f ca="1">IF(ISERROR(F65),"",VLOOKUP(B65,INDIRECT($F$8),7+(O77-1)*3))</f>
        <v>14</v>
      </c>
      <c r="R77" s="1" t="e">
        <f ca="1">IF(ISERROR(F65),"",SUM(P77:Q77))</f>
        <v>#N/A</v>
      </c>
      <c r="S77" s="1">
        <f ca="1">IF(ISERROR(F65),"",VLOOKUP(A65,INDIRECT($F$8),6+(O77-1)*3))</f>
        <v>30</v>
      </c>
      <c r="T77" s="1">
        <f ca="1">IF(ISERROR(F65),"",VLOOKUP(A65,INDIRECT($F$8),7+(O77-1)*3))</f>
        <v>20</v>
      </c>
      <c r="U77" s="1">
        <f ca="1">IF(ISERROR(F65),"",VLOOKUP(A65,INDIRECT($F$8),8+(O77-1)*3))</f>
        <v>50</v>
      </c>
      <c r="V77" s="1" t="e">
        <f ca="1">IF(ISERROR(F65),"",IF(N77=0,A77,""))</f>
        <v>#N/A</v>
      </c>
      <c r="W77" s="1">
        <f ca="1">IF(ISERROR(F65),"",IF(ISTEXT(VLOOKUP(B65,INDIRECT($F$8),6+(O77-1)*3)),11,IF(VLOOKUP(B65,INDIRECT($F$8),6+(O77-1)*3)&lt;S77*0.3,IF(VLOOKUP(B65,INDIRECT($F$8),8+(O77-1)*3)&lt;U77*0.4,IF(AND(0.4*U77-VLOOKUP(B65,INDIRECT($F$8),8+(O77-1)*3)&lt;=5,0.3*S77-VLOOKUP(B65,INDIRECT($F$8),6+(O77-1)*3)&lt;=5),MAX(0.4*U77-VLOOKUP(B65,INDIRECT($F$8),8+(O77-1)*3),0.3*S77-VLOOKUP(B65,INDIRECT($F$8),6+(O77-1)*3)),11),IF(0.3*S77-VLOOKUP(B65,INDIRECT($F$8),6+(O77-1)*3)&lt;=5,0.3*S77-VLOOKUP(B65,INDIRECT($F$8),6+(O77-1)*3),11)),IF(VLOOKUP(B65,INDIRECT($F$8),8+(O77-1)*3)&lt;U77*0.4,IF(U77*0.4-VLOOKUP(B65,INDIRECT($F$8),8+(O77-1)*3)&lt;=5,U77*0.4-VLOOKUP(B65,INDIRECT($F$8),8+(O77-1)*3),11),0))))</f>
        <v>0</v>
      </c>
      <c r="X77" s="1" t="str">
        <f ca="1">IF(ISERROR(F65),"",IF(W77=0,"",_xlfn.TEXTJOIN("",FALSE," G+",W77," in ",A77)))</f>
        <v/>
      </c>
    </row>
    <row r="78" spans="1:24" ht="13" customHeight="1" x14ac:dyDescent="0.2">
      <c r="A78" s="7" t="str">
        <f ca="1">IF(ISERROR(F65),"",VLOOKUP(C65,INDIRECT($F$8),6+(O78-1)*3,0))</f>
        <v>CAP 006</v>
      </c>
      <c r="B78" s="41" t="str">
        <f ca="1">IF(ISERROR(F65),"",VLOOKUP(D65,INDIRECT($F$8),6+(O78-1)*3-Z78,0))</f>
        <v>Computer Networks Lab</v>
      </c>
      <c r="C78" s="41"/>
      <c r="D78" s="41"/>
      <c r="E78" s="41"/>
      <c r="F78" s="7">
        <f ca="1">IF(ISERROR(F65),"",VLOOKUP(E65,INDIRECT($F$8),6+(O78-1)*3,0))</f>
        <v>1</v>
      </c>
      <c r="G78" s="42" t="e">
        <f ca="1">IF(ISERROR(F65),"",_xlfn.TEXTJOIN("/",FALSE,P78,S78))</f>
        <v>#N/A</v>
      </c>
      <c r="H78" s="42"/>
      <c r="I78" s="42" t="str">
        <f ca="1">IF(ISERROR(F65),"",_xlfn.TEXTJOIN("/",FALSE,Q78,T78))</f>
        <v>16/20</v>
      </c>
      <c r="J78" s="42"/>
      <c r="K78" s="42" t="e">
        <f ca="1">IF(ISERROR(F65),"",_xlfn.TEXTJOIN("/",FALSE,R78,U78))</f>
        <v>#N/A</v>
      </c>
      <c r="L78" s="42"/>
      <c r="M78" s="7" t="e">
        <f ca="1">IF(ISERROR(F65),"",IF(ISTEXT(P78),IF(P78="A","Ab",IF(P78="D","Dt",IF(P78="UFM","UFM",IF(P78="NA","")))),IF(AND(ISBLANK(P78),ISBLANK(R78)),"",IF(P78&lt;0.3*S78,"F",IF(ISBLANK(R78),"",IF(ISTEXT(R78),R78,IF(R78&gt;=0.9*U78,"O",IF(R78&gt;=0.85*U78,"A+",IF(R78&gt;=0.8*U78,"A",IF(R78&gt;=0.7*U78,"B+",IF(R78&gt;=0.6*U78,"B",IF(R78&gt;=0.5*U78,"C",IF(R78&gt;=0.4*U78,"P",IF(R78&lt;0.4*U78,"F",R78))))))))))))))</f>
        <v>#N/A</v>
      </c>
      <c r="N78" s="8" t="e">
        <f t="shared" ca="1" si="6"/>
        <v>#N/A</v>
      </c>
      <c r="O78">
        <f t="shared" si="7"/>
        <v>9</v>
      </c>
      <c r="P78" s="1" t="e">
        <f ca="1">IF(ISERROR(F65),"",IF(ISTEXT(VLOOKUP(B65,INDIRECT($F$8),6+(O78-1)*3)),(VLOOKUP(B65,INDIRECT($F$8),6+(O78-1)*3)),SUM(VLOOKUP(B65,INDIRECT($F$8),6+(O78-1)*3),IF(W80,W78,0))))</f>
        <v>#N/A</v>
      </c>
      <c r="Q78" s="1">
        <f ca="1">IF(ISERROR(F65),"",VLOOKUP(B65,INDIRECT($F$8),7+(O78-1)*3))</f>
        <v>16</v>
      </c>
      <c r="R78" s="1" t="e">
        <f ca="1">IF(ISERROR(F65),"",SUM(P78:Q78))</f>
        <v>#N/A</v>
      </c>
      <c r="S78" s="1">
        <f ca="1">IF(ISERROR(F65),"",VLOOKUP(A65,INDIRECT($F$8),6+(O78-1)*3))</f>
        <v>30</v>
      </c>
      <c r="T78" s="1">
        <f ca="1">IF(ISERROR(F65),"",VLOOKUP(A65,INDIRECT($F$8),7+(O78-1)*3))</f>
        <v>20</v>
      </c>
      <c r="U78" s="1">
        <f ca="1">IF(ISERROR(F65),"",VLOOKUP(A65,INDIRECT($F$8),8+(O78-1)*3))</f>
        <v>50</v>
      </c>
      <c r="V78" s="1" t="e">
        <f ca="1">IF(ISERROR(F65),"",IF(N78=0,A78,""))</f>
        <v>#N/A</v>
      </c>
      <c r="W78" s="1">
        <f ca="1">IF(ISERROR(F65),"",IF(ISTEXT(VLOOKUP(B65,INDIRECT($F$8),6+(O78-1)*3)),11,IF(VLOOKUP(B65,INDIRECT($F$8),6+(O78-1)*3)&lt;S78*0.3,IF(VLOOKUP(B65,INDIRECT($F$8),8+(O78-1)*3)&lt;U78*0.4,IF(AND(0.4*U78-VLOOKUP(B65,INDIRECT($F$8),8+(O78-1)*3)&lt;=5,0.3*S78-VLOOKUP(B65,INDIRECT($F$8),6+(O78-1)*3)&lt;=5),MAX(0.4*U78-VLOOKUP(B65,INDIRECT($F$8),8+(O78-1)*3),0.3*S78-VLOOKUP(B65,INDIRECT($F$8),6+(O78-1)*3)),11),IF(0.3*S78-VLOOKUP(B65,INDIRECT($F$8),6+(O78-1)*3)&lt;=5,0.3*S78-VLOOKUP(B65,INDIRECT($F$8),6+(O78-1)*3),11)),IF(VLOOKUP(B65,INDIRECT($F$8),8+(O78-1)*3)&lt;U78*0.4,IF(U78*0.4-VLOOKUP(B65,INDIRECT($F$8),8+(O78-1)*3)&lt;=5,U78*0.4-VLOOKUP(B65,INDIRECT($F$8),8+(O78-1)*3),11),0))))</f>
        <v>0</v>
      </c>
      <c r="X78" s="1" t="str">
        <f ca="1">IF(ISERROR(F65),"",IF(W78=0,"",_xlfn.TEXTJOIN("",FALSE," G+",W78," in ",A78)))</f>
        <v/>
      </c>
    </row>
    <row r="79" spans="1:24" ht="13" customHeight="1" x14ac:dyDescent="0.2">
      <c r="A79" s="7" t="str">
        <f ca="1">IF(ISERROR(F65),"",VLOOKUP(C65,INDIRECT($F$8),6+(O79-1)*3,0))</f>
        <v>CAP 007</v>
      </c>
      <c r="B79" s="41" t="str">
        <f ca="1">IF(ISERROR(F65),"",VLOOKUP(D65,INDIRECT($F$8),6+(O79-1)*3,0))</f>
        <v>Artificial Intelligence Lab</v>
      </c>
      <c r="C79" s="41"/>
      <c r="D79" s="41"/>
      <c r="E79" s="41"/>
      <c r="F79" s="7">
        <f ca="1">IF(ISERROR(F65),"",VLOOKUP(E65,INDIRECT($F$8),6+(O79-1)*3,0))</f>
        <v>1</v>
      </c>
      <c r="G79" s="42" t="e">
        <f ca="1">IF(ISERROR(F65),"",_xlfn.TEXTJOIN("/",FALSE,P79,S79))</f>
        <v>#N/A</v>
      </c>
      <c r="H79" s="42"/>
      <c r="I79" s="42" t="str">
        <f ca="1">IF(ISERROR(F65),"",_xlfn.TEXTJOIN("/",FALSE,Q79,T79))</f>
        <v>17/20</v>
      </c>
      <c r="J79" s="42"/>
      <c r="K79" s="42" t="e">
        <f ca="1">IF(ISERROR(F65),"",_xlfn.TEXTJOIN("/",FALSE,R79,U79))</f>
        <v>#N/A</v>
      </c>
      <c r="L79" s="42"/>
      <c r="M79" s="7" t="e">
        <f ca="1">IF(ISERROR(F65),"",IF(ISTEXT(P79),IF(P79="A","Ab",IF(P79="D","Dt",IF(P79="UFM","UFM",IF(P79="NA","")))),IF(AND(ISBLANK(P79),ISBLANK(R79)),"",IF(P79&lt;0.3*S79,"F",IF(ISBLANK(R79),"",IF(ISTEXT(R79),R79,IF(R79&gt;=0.9*U79,"O",IF(R79&gt;=0.85*U79,"A+",IF(R79&gt;=0.8*U79,"A",IF(R79&gt;=0.7*U79,"B+",IF(R79&gt;=0.6*U79,"B",IF(R79&gt;=0.5*U79,"C",IF(R79&gt;=0.4*U79,"P",IF(R79&lt;0.4*U79,"F",R79))))))))))))))</f>
        <v>#N/A</v>
      </c>
      <c r="N79" s="8" t="e">
        <f t="shared" ca="1" si="6"/>
        <v>#N/A</v>
      </c>
      <c r="O79">
        <f t="shared" si="7"/>
        <v>10</v>
      </c>
      <c r="P79" s="1" t="e">
        <f ca="1">IF(ISERROR(F65),"",IF(ISTEXT(VLOOKUP(B65,INDIRECT($F$8),6+(O79-1)*3)),(VLOOKUP(B65,INDIRECT($F$8),6+(O79-1)*3)),SUM(VLOOKUP(B65,INDIRECT($F$8),6+(O79-1)*3),IF(W80,W79,0))))</f>
        <v>#N/A</v>
      </c>
      <c r="Q79" s="1">
        <f ca="1">IF(ISERROR(F65),"",VLOOKUP(B65,INDIRECT($F$8),7+(O79-1)*3))</f>
        <v>17</v>
      </c>
      <c r="R79" s="1" t="e">
        <f ca="1">IF(ISERROR(F65),"",SUM(P79:Q79))</f>
        <v>#N/A</v>
      </c>
      <c r="S79" s="1">
        <f ca="1">IF(ISERROR(F65),"",VLOOKUP(A65,INDIRECT($F$8),6+(O79-1)*3))</f>
        <v>30</v>
      </c>
      <c r="T79" s="1">
        <f ca="1">IF(ISERROR(F65),"",VLOOKUP(A65,INDIRECT($F$8),7+(O79-1)*3))</f>
        <v>20</v>
      </c>
      <c r="U79" s="1">
        <f ca="1">IF(ISERROR(F65),"",VLOOKUP(A65,INDIRECT($F$8),8+(O79-1)*3))</f>
        <v>50</v>
      </c>
      <c r="V79" s="1" t="e">
        <f ca="1">IF(ISERROR(F65),"",IF(N79=0,A79,""))</f>
        <v>#N/A</v>
      </c>
      <c r="W79" s="1">
        <f ca="1">IF(ISERROR(F65),"",IF(ISTEXT(VLOOKUP(B65,INDIRECT($F$8),6+(O79-1)*3)),11,IF(VLOOKUP(B65,INDIRECT($F$8),6+(O79-1)*3)&lt;S79*0.3,IF(VLOOKUP(B65,INDIRECT($F$8),8+(O79-1)*3)&lt;U79*0.4,IF(AND(0.4*U79-VLOOKUP(B65,INDIRECT($F$8),8+(O79-1)*3)&lt;=5,0.3*S79-VLOOKUP(B65,INDIRECT($F$8),6+(O79-1)*3)&lt;=5),MAX(0.4*U79-VLOOKUP(B65,INDIRECT($F$8),8+(O79-1)*3),0.3*S79-VLOOKUP(B65,INDIRECT($F$8),6+(O79-1)*3)),11),IF(0.3*S79-VLOOKUP(B65,INDIRECT($F$8),6+(O79-1)*3)&lt;=5,0.3*S79-VLOOKUP(B65,INDIRECT($F$8),6+(O79-1)*3),11)),IF(VLOOKUP(B65,INDIRECT($F$8),8+(O79-1)*3)&lt;U79*0.4,IF(U79*0.4-VLOOKUP(B65,INDIRECT($F$8),8+(O79-1)*3)&lt;=5,U79*0.4-VLOOKUP(B65,INDIRECT($F$8),8+(O79-1)*3),11),0))))</f>
        <v>0</v>
      </c>
      <c r="X79" s="1" t="str">
        <f ca="1">IF(ISERROR(F65),"",IF(W79=0,"",_xlfn.TEXTJOIN("",FALSE," G+",W79," in ",A79)))</f>
        <v/>
      </c>
    </row>
    <row r="80" spans="1:24" ht="13" customHeight="1" x14ac:dyDescent="0.2">
      <c r="A80" s="43" t="str">
        <f ca="1">IF(ISERROR(F65),"",A61)</f>
        <v>Total Credits/ Marks/ Total Grade Points</v>
      </c>
      <c r="B80" s="43"/>
      <c r="C80" s="43"/>
      <c r="D80" s="43"/>
      <c r="E80" s="43"/>
      <c r="F80" s="10">
        <f ca="1">IF(ISERROR(F65),"",SUM(F70:F79))</f>
        <v>24</v>
      </c>
      <c r="G80" s="44" t="e">
        <f ca="1">IF(ISERROR(F65),"",_xlfn.TEXTJOIN("/",TRUE,SUMIF(F70:F79,"&gt;0",P70:P79),SUMIF(F70:F79,"&gt;0",S70:S79)))</f>
        <v>#N/A</v>
      </c>
      <c r="H80" s="44"/>
      <c r="I80" s="44" t="str">
        <f ca="1">IF(ISERROR(F65),"",_xlfn.TEXTJOIN("/",TRUE,SUMIF(F70:F79,"&gt;0",Q70:Q79),SUMIF(F70:F79,"&gt;0",T70:T79)))</f>
        <v>242/330</v>
      </c>
      <c r="J80" s="44"/>
      <c r="K80" s="44" t="e">
        <f ca="1">IF(ISERROR(F65),"",_xlfn.TEXTJOIN("/",TRUE,SUMIF(F70:F79,"&gt;0",R70:R79),SUMIF(F70:F79,"&gt;0",U70:U79)))</f>
        <v>#N/A</v>
      </c>
      <c r="L80" s="44"/>
      <c r="M80" s="43" t="e">
        <f ca="1">IF(ISERROR(F65),"",SUMPRODUCT(N70:N79,F70:F79))</f>
        <v>#N/A</v>
      </c>
      <c r="N80" s="43"/>
      <c r="V80" s="1" t="e">
        <f ca="1">IF(ISERROR(F65),"",_xlfn.TEXTJOIN(", ",TRUE,V70:V79))</f>
        <v>#N/A</v>
      </c>
      <c r="W80" t="e">
        <f ca="1">IF(ISERROR(F65),"",IF(SUM(W70:W79)&lt;=W69,TRUE,FALSE))</f>
        <v>#N/A</v>
      </c>
      <c r="X80" s="1" t="str">
        <f ca="1">IF(ISERROR(F65),"",_xlfn.TEXTJOIN(",",TRUE,X70:X79))</f>
        <v/>
      </c>
    </row>
    <row r="81" spans="1:24" ht="13" customHeight="1" x14ac:dyDescent="0.2">
      <c r="A81" s="43" t="str">
        <f ca="1">IF(ISERROR(F65),"",A62)</f>
        <v>Result:</v>
      </c>
      <c r="B81" s="45" t="e">
        <f ca="1">IF(ISERROR(F65),"",IF(V80="","PASS","CARRY OVER"))</f>
        <v>#N/A</v>
      </c>
      <c r="C81" s="45"/>
      <c r="D81" s="43" t="str">
        <f ca="1">IF(ISERROR(F65),"",D62)</f>
        <v>Remark:</v>
      </c>
      <c r="E81" s="45" t="e">
        <f ca="1">IF(ISERROR(F65),"",IF(V80="",IF(X80="","",X80),_xlfn.TEXTJOIN(" ",TRUE,"BACK IN",V80)))</f>
        <v>#N/A</v>
      </c>
      <c r="F81" s="45"/>
      <c r="G81" s="43" t="str">
        <f ca="1">IF(ISERROR(F65),"",G62)</f>
        <v>SGPA:</v>
      </c>
      <c r="H81" s="46" t="e">
        <f ca="1">IF(ISERROR(F65),"",M80/F80)</f>
        <v>#N/A</v>
      </c>
      <c r="I81" s="43" t="str">
        <f ca="1">IF(ISERROR(F65),"",I62)</f>
        <v>CGPA:</v>
      </c>
      <c r="J81" s="46" t="e">
        <f ca="1">IF(ISERROR(F65),"",VLOOKUP(B65,INDIRECT($F$8),12+(O79-1)*3,0))</f>
        <v>#N/A</v>
      </c>
      <c r="K81" s="45" t="str">
        <f ca="1">IF(ISERROR(F65),"",K62)</f>
        <v>Earned Credits:</v>
      </c>
      <c r="L81" s="43">
        <f ca="1">IF(ISERROR(F65),"",SUMIF(N70:N79,"&gt;0",F70:F79))</f>
        <v>0</v>
      </c>
      <c r="M81" s="45" t="str">
        <f ca="1">IF(ISERROR(F65),"",M62)</f>
        <v>Cuml. Earned Credits:</v>
      </c>
      <c r="N81" s="43" t="e">
        <f ca="1">IF(ISERROR(F65),"",VLOOKUP(B65,INDIRECT($F$8),10+(O79-1)*3,0))</f>
        <v>#N/A</v>
      </c>
    </row>
    <row r="82" spans="1:24" ht="13" customHeight="1" x14ac:dyDescent="0.2">
      <c r="A82" s="43"/>
      <c r="B82" s="45"/>
      <c r="C82" s="45"/>
      <c r="D82" s="43"/>
      <c r="E82" s="45"/>
      <c r="F82" s="45"/>
      <c r="G82" s="43"/>
      <c r="H82" s="46"/>
      <c r="I82" s="43"/>
      <c r="J82" s="46"/>
      <c r="K82" s="45"/>
      <c r="L82" s="43"/>
      <c r="M82" s="45"/>
      <c r="N82" s="43"/>
    </row>
    <row r="83" spans="1:24" ht="15" x14ac:dyDescent="0.2">
      <c r="A83" s="43"/>
      <c r="B83" s="45"/>
      <c r="C83" s="45"/>
      <c r="D83" s="43"/>
      <c r="E83" s="45"/>
      <c r="F83" s="45"/>
      <c r="G83" s="43"/>
      <c r="H83" s="46"/>
      <c r="I83" s="43"/>
      <c r="J83" s="46"/>
      <c r="K83" s="45"/>
      <c r="L83" s="43"/>
      <c r="M83" s="45"/>
      <c r="N83" s="43"/>
    </row>
    <row r="84" spans="1:24" ht="13" customHeight="1" x14ac:dyDescent="0.2">
      <c r="A84" s="11" t="str">
        <f>A65</f>
        <v>MM</v>
      </c>
      <c r="B84" s="11">
        <f>B65+1</f>
        <v>5</v>
      </c>
      <c r="C84" s="11" t="str">
        <f>C65</f>
        <v>SC</v>
      </c>
      <c r="D84" s="11" t="str">
        <f>D65</f>
        <v>SN</v>
      </c>
      <c r="E84" s="11" t="str">
        <f>E65</f>
        <v>C</v>
      </c>
      <c r="F84" s="11" t="str">
        <f ca="1">VLOOKUP(B84,INDIRECT($F$8),4,0)</f>
        <v>ANJALI PATWAL</v>
      </c>
    </row>
    <row r="85" spans="1:24" ht="13" customHeight="1" x14ac:dyDescent="0.2">
      <c r="A85" s="47" t="str">
        <f ca="1">IF(ISERROR(F84),"",A66)</f>
        <v>Name:</v>
      </c>
      <c r="B85" s="47" t="str">
        <f ca="1">IFERROR(VLOOKUP(B84,INDIRECT($F$8),4,0),"")</f>
        <v>ANJALI PATWAL</v>
      </c>
      <c r="C85" s="47"/>
      <c r="D85" s="47" t="str">
        <f ca="1">IF(ISERROR(F84),"",D66)</f>
        <v>Father's Name:</v>
      </c>
      <c r="E85" s="47" t="str">
        <f ca="1">IFERROR(VLOOKUP(B84,INDIRECT($F$8),5,0),"")</f>
        <v>SANJAY SINGH PATWAL</v>
      </c>
      <c r="F85" s="47"/>
      <c r="G85" s="47" t="str">
        <f ca="1">IF(ISERROR(F84),"",G66)</f>
        <v>University Roll No:</v>
      </c>
      <c r="H85" s="47"/>
      <c r="I85" s="48">
        <f ca="1">IFERROR(VLOOKUP(B84,INDIRECT($F$8),2,0),"")</f>
        <v>240090600005</v>
      </c>
      <c r="J85" s="48"/>
      <c r="K85" s="47" t="str">
        <f ca="1">IF(ISERROR(F84),"",K66)</f>
        <v>University Enrol. No:</v>
      </c>
      <c r="L85" s="47"/>
      <c r="M85" s="48" t="str">
        <f ca="1">IFERROR(VLOOKUP(B84,INDIRECT($F$8),3,0),"")</f>
        <v>UTU/2406100178</v>
      </c>
      <c r="N85" s="48"/>
    </row>
    <row r="86" spans="1:24" ht="15" x14ac:dyDescent="0.2">
      <c r="A86" s="47"/>
      <c r="B86" s="47"/>
      <c r="C86" s="47"/>
      <c r="D86" s="47"/>
      <c r="E86" s="47"/>
      <c r="F86" s="47"/>
      <c r="G86" s="47"/>
      <c r="H86" s="47"/>
      <c r="I86" s="48"/>
      <c r="J86" s="48"/>
      <c r="K86" s="47"/>
      <c r="L86" s="47"/>
      <c r="M86" s="48"/>
      <c r="N86" s="48"/>
    </row>
    <row r="87" spans="1:24" ht="13" customHeight="1" x14ac:dyDescent="0.2">
      <c r="A87" s="45" t="str">
        <f ca="1">IF(ISERROR(F84),"",A68)</f>
        <v>Subject Code</v>
      </c>
      <c r="B87" s="45" t="str">
        <f ca="1">IF(ISERROR(F84),"",B68)</f>
        <v>Subject Name</v>
      </c>
      <c r="C87" s="45"/>
      <c r="D87" s="45"/>
      <c r="E87" s="45"/>
      <c r="F87" s="45" t="str">
        <f ca="1">IF(ISERROR(F84),"",F68)</f>
        <v>Credits</v>
      </c>
      <c r="G87" s="45" t="str">
        <f ca="1">IF(ISERROR(F84),"",G68)</f>
        <v>External Marks</v>
      </c>
      <c r="H87" s="45"/>
      <c r="I87" s="45" t="str">
        <f ca="1">IF(ISERROR(F84),"",I68)</f>
        <v>Sessional Marks</v>
      </c>
      <c r="J87" s="45"/>
      <c r="K87" s="45" t="str">
        <f ca="1">IF(ISERROR(F84),"",K68)</f>
        <v>Total Marks</v>
      </c>
      <c r="L87" s="45"/>
      <c r="M87" s="45" t="str">
        <f ca="1">IF(ISERROR(F84),"",M68)</f>
        <v>Grade</v>
      </c>
      <c r="N87" s="45" t="str">
        <f ca="1">IF(ISERROR(F84),"",N68)</f>
        <v>Grade Points</v>
      </c>
    </row>
    <row r="88" spans="1:24" ht="15" x14ac:dyDescent="0.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W88" t="e">
        <f ca="1">IF(ISNUMBER(MATCH($F$8,{"I","III","V","VII"},0)),10,10-INDEX(INDIRECT(_xlfn.TEXTJOIN("",TRUE,"SEM_",$G$8,"!",ADDRESS(6,4+$I$8*3+4),":",ADDRESS(5+$H$8,4+$I$8*3+4))),MATCH(INDIRECT(_xlfn.TEXTJOIN("",TRUE,"TC_",$F$8,"!",ADDRESS(ROW(I85),COLUMN(I85)))),INDIRECT(_xlfn.TEXTJOIN("",TRUE,"SEM_",$G$8,"!",ADDRESS(6,2),":",ADDRESS(5+$H$8,2))))))</f>
        <v>#N/A</v>
      </c>
    </row>
    <row r="89" spans="1:24" ht="13" customHeight="1" x14ac:dyDescent="0.2">
      <c r="A89" s="7" t="str">
        <f ca="1">IF(ISERROR(F84),"",VLOOKUP(C84,INDIRECT($F$8),6+(O89-1)*3,0))</f>
        <v>CAT 009</v>
      </c>
      <c r="B89" s="41" t="str">
        <f ca="1">IF(ISERROR(F84),"",VLOOKUP(D84,INDIRECT($F$8),6+(O89-1)*3,0))</f>
        <v>Computer Based Numerical and Statistical Techniques</v>
      </c>
      <c r="C89" s="41"/>
      <c r="D89" s="41"/>
      <c r="E89" s="41"/>
      <c r="F89" s="7">
        <f ca="1">IF(ISERROR(F84),"",VLOOKUP(E84,INDIRECT($F$8),6+(O89-1)*3,0))</f>
        <v>4</v>
      </c>
      <c r="G89" s="42" t="e">
        <f ca="1">IF(ISERROR(F84),"",_xlfn.TEXTJOIN("/",FALSE,P89,S89))</f>
        <v>#N/A</v>
      </c>
      <c r="H89" s="42"/>
      <c r="I89" s="42" t="str">
        <f ca="1">IF(ISERROR(F84),"",_xlfn.TEXTJOIN("/",FALSE,Q89,T89))</f>
        <v>48/50</v>
      </c>
      <c r="J89" s="42"/>
      <c r="K89" s="42" t="e">
        <f ca="1">IF(ISERROR(F84),"",_xlfn.TEXTJOIN("/",FALSE,R89,U89))</f>
        <v>#N/A</v>
      </c>
      <c r="L89" s="42"/>
      <c r="M89" s="7" t="e">
        <f ca="1">IF(ISERROR(F84),"",IF(ISTEXT(P89),IF(P89="A","Ab",IF(P89="D","Dt",IF(P89="UFM","UFM",IF(P89="NA","")))),IF(AND(ISBLANK(P89),ISBLANK(R89)),"",IF(P89&lt;0.3*S89,"F",IF(ISBLANK(R89),"",IF(ISTEXT(R89),R89,IF(R89&gt;=0.9*U89,"O",IF(R89&gt;=0.85*U89,"A+",IF(R89&gt;=0.8*U89,"A",IF(R89&gt;=0.7*U89,"B+",IF(R89&gt;=0.6*U89,"B",IF(R89&gt;=0.5*U89,"C",IF(R89&gt;=0.4*U89,"P",IF(R89&lt;0.4*U89,"F",R89))))))))))))))</f>
        <v>#N/A</v>
      </c>
      <c r="N89" s="8" t="e">
        <f t="shared" ref="N89:N98" ca="1" si="8">INDEX($Z$2:$Z$13,MATCH(M89,$Y$2:$Y$13,0))</f>
        <v>#N/A</v>
      </c>
      <c r="O89">
        <v>1</v>
      </c>
      <c r="P89" s="1" t="e">
        <f ca="1">IF(ISERROR(F84),"",IF(ISTEXT(VLOOKUP(B84,INDIRECT($F$8),6+(O89-1)*3)),(VLOOKUP(B84,INDIRECT($F$8),6+(O89-1)*3)),SUM(VLOOKUP(B84,INDIRECT($F$8),6+(O89-1)*3),IF(W99,W89,0))))</f>
        <v>#N/A</v>
      </c>
      <c r="Q89" s="1">
        <f ca="1">IF(ISERROR(F84),"",VLOOKUP(B84,INDIRECT($F$8),7+(O89-1)*3))</f>
        <v>48</v>
      </c>
      <c r="R89" s="1" t="e">
        <f ca="1">IF(ISERROR(F84),"",SUM(P89:Q89))</f>
        <v>#N/A</v>
      </c>
      <c r="S89" s="1">
        <f ca="1">IF(ISERROR(F84),"",VLOOKUP(A84,INDIRECT($F$8),6+(O89-1)*3))</f>
        <v>100</v>
      </c>
      <c r="T89" s="1">
        <f ca="1">IF(ISERROR(F84),"",VLOOKUP(A84,INDIRECT($F$8),7+(O89-1)*3))</f>
        <v>50</v>
      </c>
      <c r="U89" s="1">
        <f ca="1">IF(ISERROR(F84),"",VLOOKUP(A84,INDIRECT($F$8),8+(O89-1)*3))</f>
        <v>150</v>
      </c>
      <c r="V89" s="1" t="e">
        <f ca="1">IF(ISERROR(F84),"",IF(N89=0,A89,""))</f>
        <v>#N/A</v>
      </c>
      <c r="W89" s="1">
        <f ca="1">IF(ISERROR(F84),"",IF(ISTEXT(VLOOKUP(B84,INDIRECT($F$8),6+(O89-1)*3)),11,IF(VLOOKUP(B84,INDIRECT($F$8),6+(O89-1)*3)&lt;S89*0.3,IF(VLOOKUP(B84,INDIRECT($F$8),8+(O89-1)*3)&lt;U89*0.4,IF(AND(0.4*U89-VLOOKUP(B84,INDIRECT($F$8),8+(O89-1)*3)&lt;=5,0.3*S89-VLOOKUP(B84,INDIRECT($F$8),6+(O89-1)*3)&lt;=5),MAX(0.4*U89-VLOOKUP(B84,INDIRECT($F$8),8+(O89-1)*3),0.3*S89-VLOOKUP(B84,INDIRECT($F$8),6+(O89-1)*3)),11),IF(0.3*S89-VLOOKUP(B84,INDIRECT($F$8),6+(O89-1)*3)&lt;=5,0.3*S89-VLOOKUP(B84,INDIRECT($F$8),6+(O89-1)*3),11)),IF(VLOOKUP(B84,INDIRECT($F$8),8+(O89-1)*3)&lt;U89*0.4,IF(U89*0.4-VLOOKUP(B84,INDIRECT($F$8),8+(O89-1)*3)&lt;=5,U89*0.4-VLOOKUP(B84,INDIRECT($F$8),8+(O89-1)*3),11),0))))</f>
        <v>0</v>
      </c>
      <c r="X89" s="1" t="str">
        <f ca="1">IF(ISERROR(F84),"",IF(W89=0,"",_xlfn.TEXTJOIN("",FALSE," G+",W89," in ",A89)))</f>
        <v/>
      </c>
    </row>
    <row r="90" spans="1:24" ht="13" customHeight="1" x14ac:dyDescent="0.2">
      <c r="A90" s="7" t="str">
        <f ca="1">IF(ISERROR(F84),"",VLOOKUP(C84,INDIRECT($F$8),6+(O90-1)*3,0))</f>
        <v>CAT 010</v>
      </c>
      <c r="B90" s="41" t="str">
        <f ca="1">IF(ISERROR(F84),"",VLOOKUP(D84,INDIRECT($F$8),6+(O90-1)*3,0))</f>
        <v>Data Structures and Analysis of Algorithms</v>
      </c>
      <c r="C90" s="41"/>
      <c r="D90" s="41"/>
      <c r="E90" s="41"/>
      <c r="F90" s="7">
        <f ca="1">IF(ISERROR(F84),"",VLOOKUP(E84,INDIRECT($F$8),6+(O90-1)*3,0))</f>
        <v>4</v>
      </c>
      <c r="G90" s="42" t="e">
        <f ca="1">IF(ISERROR(F84),"",_xlfn.TEXTJOIN("/",FALSE,P90,S90))</f>
        <v>#N/A</v>
      </c>
      <c r="H90" s="42"/>
      <c r="I90" s="42" t="str">
        <f ca="1">IF(ISERROR(F84),"",_xlfn.TEXTJOIN("/",FALSE,Q90,T90))</f>
        <v>45/50</v>
      </c>
      <c r="J90" s="42"/>
      <c r="K90" s="42" t="e">
        <f ca="1">IF(ISERROR(F84),"",_xlfn.TEXTJOIN("/",FALSE,R90,U90))</f>
        <v>#N/A</v>
      </c>
      <c r="L90" s="42"/>
      <c r="M90" s="7" t="e">
        <f ca="1">IF(ISERROR(F84),"",IF(ISTEXT(P90),IF(P90="A","Ab",IF(P90="D","Dt",IF(P90="UFM","UFM",IF(P90="NA","")))),IF(AND(ISBLANK(P90),ISBLANK(R90)),"",IF(P90&lt;0.3*S90,"F",IF(ISBLANK(R90),"",IF(ISTEXT(R90),R90,IF(R90&gt;=0.9*U90,"O",IF(R90&gt;=0.85*U90,"A+",IF(R90&gt;=0.8*U90,"A",IF(R90&gt;=0.7*U90,"B+",IF(R90&gt;=0.6*U90,"B",IF(R90&gt;=0.5*U90,"C",IF(R90&gt;=0.4*U90,"P",IF(R90&lt;0.4*U90,"F",R90))))))))))))))</f>
        <v>#N/A</v>
      </c>
      <c r="N90" s="8" t="e">
        <f t="shared" ca="1" si="8"/>
        <v>#N/A</v>
      </c>
      <c r="O90">
        <f>O89+1</f>
        <v>2</v>
      </c>
      <c r="P90" s="1" t="e">
        <f ca="1">IF(ISERROR(F84),"",IF(ISTEXT(VLOOKUP(B84,INDIRECT($F$8),6+(O90-1)*3)),(VLOOKUP(B84,INDIRECT($F$8),6+(O90-1)*3)),SUM(VLOOKUP(B84,INDIRECT($F$8),6+(O90-1)*3),IF(W99,W90,0))))</f>
        <v>#N/A</v>
      </c>
      <c r="Q90" s="1">
        <f ca="1">IF(ISERROR(F84),"",VLOOKUP(B84,INDIRECT($F$8),7+(O90-1)*3))</f>
        <v>45</v>
      </c>
      <c r="R90" s="1" t="e">
        <f ca="1">IF(ISERROR(F84),"",SUM(P90:Q90))</f>
        <v>#N/A</v>
      </c>
      <c r="S90" s="1">
        <f ca="1">IF(ISERROR(F84),"",VLOOKUP(A84,INDIRECT($F$8),6+(O90-1)*3))</f>
        <v>100</v>
      </c>
      <c r="T90" s="1">
        <f ca="1">IF(ISERROR(F84),"",VLOOKUP(A84,INDIRECT($F$8),7+(O90-1)*3))</f>
        <v>50</v>
      </c>
      <c r="U90" s="1">
        <f ca="1">IF(ISERROR(F84),"",VLOOKUP(A84,INDIRECT($F$8),8+(O90-1)*3))</f>
        <v>150</v>
      </c>
      <c r="V90" s="1" t="e">
        <f ca="1">IF(ISERROR(F84),"",IF(N90=0,A90,""))</f>
        <v>#N/A</v>
      </c>
      <c r="W90" s="1">
        <f ca="1">IF(ISERROR(F84),"",IF(ISTEXT(VLOOKUP(B84,INDIRECT($F$8),6+(O90-1)*3)),11,IF(VLOOKUP(B84,INDIRECT($F$8),6+(O90-1)*3)&lt;S90*0.3,IF(VLOOKUP(B84,INDIRECT($F$8),8+(O90-1)*3)&lt;U90*0.4,IF(AND(0.4*U90-VLOOKUP(B84,INDIRECT($F$8),8+(O90-1)*3)&lt;=5,0.3*S90-VLOOKUP(B84,INDIRECT($F$8),6+(O90-1)*3)&lt;=5),MAX(0.4*U90-VLOOKUP(B84,INDIRECT($F$8),8+(O90-1)*3),0.3*S90-VLOOKUP(B84,INDIRECT($F$8),6+(O90-1)*3)),11),IF(0.3*S90-VLOOKUP(B84,INDIRECT($F$8),6+(O90-1)*3)&lt;=5,0.3*S90-VLOOKUP(B84,INDIRECT($F$8),6+(O90-1)*3),11)),IF(VLOOKUP(B84,INDIRECT($F$8),8+(O90-1)*3)&lt;U90*0.4,IF(U90*0.4-VLOOKUP(B84,INDIRECT($F$8),8+(O90-1)*3)&lt;=5,U90*0.4-VLOOKUP(B84,INDIRECT($F$8),8+(O90-1)*3),11),0))))</f>
        <v>0</v>
      </c>
      <c r="X90" s="1" t="str">
        <f ca="1">IF(ISERROR(F84),"",IF(W90=0,"",_xlfn.TEXTJOIN("",FALSE," G+",W90," in ",A90)))</f>
        <v/>
      </c>
    </row>
    <row r="91" spans="1:24" ht="13" customHeight="1" x14ac:dyDescent="0.2">
      <c r="A91" s="7" t="str">
        <f ca="1">IF(ISERROR(F84),"",VLOOKUP(C84,INDIRECT($F$8),6+(O91-1)*3,0))</f>
        <v>CAT 011</v>
      </c>
      <c r="B91" s="41" t="str">
        <f ca="1">IF(ISERROR(F84),"",VLOOKUP(D84,INDIRECT($F$8),6+(O91-1)*3,0))</f>
        <v>Object Oriented Programming with JAVA</v>
      </c>
      <c r="C91" s="41"/>
      <c r="D91" s="41"/>
      <c r="E91" s="41"/>
      <c r="F91" s="7">
        <f ca="1">IF(ISERROR(F84),"",VLOOKUP(E84,INDIRECT($F$8),6+(O91-1)*3,0))</f>
        <v>4</v>
      </c>
      <c r="G91" s="42" t="e">
        <f ca="1">IF(ISERROR(F84),"",_xlfn.TEXTJOIN("/",FALSE,P91,S91))</f>
        <v>#N/A</v>
      </c>
      <c r="H91" s="42"/>
      <c r="I91" s="42" t="str">
        <f ca="1">IF(ISERROR(F84),"",_xlfn.TEXTJOIN("/",FALSE,Q91,T91))</f>
        <v>43/50</v>
      </c>
      <c r="J91" s="42"/>
      <c r="K91" s="42" t="e">
        <f ca="1">IF(ISERROR(F84),"",_xlfn.TEXTJOIN("/",FALSE,R91,U91))</f>
        <v>#N/A</v>
      </c>
      <c r="L91" s="42"/>
      <c r="M91" s="7" t="e">
        <f ca="1">IF(ISERROR(F84),"",IF(ISTEXT(P91),IF(P91="A","Ab",IF(P91="D","Dt",IF(P91="UFM","UFM",IF(P91="NA","")))),IF(AND(ISBLANK(P91),ISBLANK(R91)),"",IF(P91&lt;0.3*S91,"F",IF(ISBLANK(R91),"",IF(ISTEXT(R91),R91,IF(R91&gt;=0.9*U91,"O",IF(R91&gt;=0.85*U91,"A+",IF(R91&gt;=0.8*U91,"A",IF(R91&gt;=0.7*U91,"B+",IF(R91&gt;=0.6*U91,"B",IF(R91&gt;=0.5*U91,"C",IF(R91&gt;=0.4*U91,"P",IF(R91&lt;0.4*U91,"F",R91))))))))))))))</f>
        <v>#N/A</v>
      </c>
      <c r="N91" s="8" t="e">
        <f t="shared" ca="1" si="8"/>
        <v>#N/A</v>
      </c>
      <c r="O91">
        <f>O90+1</f>
        <v>3</v>
      </c>
      <c r="P91" s="1" t="e">
        <f ca="1">IF(ISERROR(F84),"",IF(ISTEXT(VLOOKUP(B84,INDIRECT($F$8),6+(O91-1)*3)),(VLOOKUP(B84,INDIRECT($F$8),6+(O91-1)*3)),SUM(VLOOKUP(B84,INDIRECT($F$8),6+(O91-1)*3),IF(W99,W91,0))))</f>
        <v>#N/A</v>
      </c>
      <c r="Q91" s="1">
        <f ca="1">IF(ISERROR(F84),"",VLOOKUP(B84,INDIRECT($F$8),7+(O91-1)*3))</f>
        <v>43</v>
      </c>
      <c r="R91" s="1" t="e">
        <f ca="1">IF(ISERROR(F84),"",SUM(P91:Q91))</f>
        <v>#N/A</v>
      </c>
      <c r="S91" s="1">
        <f ca="1">IF(ISERROR(F84),"",VLOOKUP(A84,INDIRECT($F$8),6+(O91-1)*3))</f>
        <v>100</v>
      </c>
      <c r="T91" s="1">
        <f ca="1">IF(ISERROR(F84),"",VLOOKUP(A84,INDIRECT($F$8),7+(O91-1)*3))</f>
        <v>50</v>
      </c>
      <c r="U91" s="1">
        <f ca="1">IF(ISERROR(F84),"",VLOOKUP(A84,INDIRECT($F$8),8+(O91-1)*3))</f>
        <v>150</v>
      </c>
      <c r="V91" s="1" t="e">
        <f ca="1">IF(ISERROR(F84),"",IF(N91=0,A91,""))</f>
        <v>#N/A</v>
      </c>
      <c r="W91" s="1">
        <f ca="1">IF(ISERROR(F84),"",IF(ISTEXT(VLOOKUP(B84,INDIRECT($F$8),6+(O91-1)*3)),11,IF(VLOOKUP(B84,INDIRECT($F$8),6+(O91-1)*3)&lt;S91*0.3,IF(VLOOKUP(B84,INDIRECT($F$8),8+(O91-1)*3)&lt;U91*0.4,IF(AND(0.4*U91-VLOOKUP(B84,INDIRECT($F$8),8+(O91-1)*3)&lt;=5,0.3*S91-VLOOKUP(B84,INDIRECT($F$8),6+(O91-1)*3)&lt;=5),MAX(0.4*U91-VLOOKUP(B84,INDIRECT($F$8),8+(O91-1)*3),0.3*S91-VLOOKUP(B84,INDIRECT($F$8),6+(O91-1)*3)),11),IF(0.3*S91-VLOOKUP(B84,INDIRECT($F$8),6+(O91-1)*3)&lt;=5,0.3*S91-VLOOKUP(B84,INDIRECT($F$8),6+(O91-1)*3),11)),IF(VLOOKUP(B84,INDIRECT($F$8),8+(O91-1)*3)&lt;U91*0.4,IF(U91*0.4-VLOOKUP(B84,INDIRECT($F$8),8+(O91-1)*3)&lt;=5,U91*0.4-VLOOKUP(B84,INDIRECT($F$8),8+(O91-1)*3),11),0))))</f>
        <v>0</v>
      </c>
      <c r="X91" s="1" t="str">
        <f ca="1">IF(ISERROR(F84),"",IF(W91=0,"",_xlfn.TEXTJOIN("",FALSE," G+",W91," in ",A91)))</f>
        <v/>
      </c>
    </row>
    <row r="92" spans="1:24" ht="13" customHeight="1" x14ac:dyDescent="0.2">
      <c r="A92" s="7" t="str">
        <f ca="1">IF(ISERROR(F84),"",VLOOKUP(C84,INDIRECT($F$8),6+(O92-1)*3,0))</f>
        <v>CAT 012</v>
      </c>
      <c r="B92" s="41" t="str">
        <f ca="1">IF(ISERROR(F84),"",VLOOKUP(D84,INDIRECT($F$8),6+(O92-1)*3,0))</f>
        <v>Computer Networks</v>
      </c>
      <c r="C92" s="41"/>
      <c r="D92" s="41"/>
      <c r="E92" s="41"/>
      <c r="F92" s="7">
        <f ca="1">IF(ISERROR(F84),"",VLOOKUP(E84,INDIRECT($F$8),6+(O92-1)*3,0))</f>
        <v>4</v>
      </c>
      <c r="G92" s="42" t="e">
        <f ca="1">IF(ISERROR(F84),"",_xlfn.TEXTJOIN("/",FALSE,P92,S92))</f>
        <v>#N/A</v>
      </c>
      <c r="H92" s="42"/>
      <c r="I92" s="42" t="str">
        <f ca="1">IF(ISERROR(F84),"",_xlfn.TEXTJOIN("/",FALSE,Q92,T92))</f>
        <v>42/50</v>
      </c>
      <c r="J92" s="42"/>
      <c r="K92" s="42" t="e">
        <f ca="1">IF(ISERROR(F84),"",_xlfn.TEXTJOIN("/",FALSE,R92,U92))</f>
        <v>#N/A</v>
      </c>
      <c r="L92" s="42"/>
      <c r="M92" s="7" t="e">
        <f ca="1">IF(ISERROR(F84),"",IF(ISTEXT(P92),IF(P92="A","Ab",IF(P92="D","Dt",IF(P92="UFM","UFM",IF(P92="NA","")))),IF(AND(ISBLANK(P92),ISBLANK(R92)),"",IF(P92&lt;0.3*S92,"F",IF(ISBLANK(R92),"",IF(ISTEXT(R92),R92,IF(R92&gt;=0.9*U92,"O",IF(R92&gt;=0.85*U92,"A+",IF(R92&gt;=0.8*U92,"A",IF(R92&gt;=0.7*U92,"B+",IF(R92&gt;=0.6*U92,"B",IF(R92&gt;=0.5*U92,"C",IF(R92&gt;=0.4*U92,"P",IF(R92&lt;0.4*U92,"F",R92))))))))))))))</f>
        <v>#N/A</v>
      </c>
      <c r="N92" s="8" t="e">
        <f t="shared" ca="1" si="8"/>
        <v>#N/A</v>
      </c>
      <c r="O92">
        <f t="shared" ref="O92:O98" si="9">O91+1</f>
        <v>4</v>
      </c>
      <c r="P92" s="1" t="e">
        <f ca="1">IF(ISERROR(F84),"",IF(ISTEXT(VLOOKUP(B84,INDIRECT($F$8),6+(O92-1)*3)),(VLOOKUP(B84,INDIRECT($F$8),6+(O92-1)*3)),SUM(VLOOKUP(B84,INDIRECT($F$8),6+(O92-1)*3),IF(W99,W92,0))))</f>
        <v>#N/A</v>
      </c>
      <c r="Q92" s="1">
        <f ca="1">IF(ISERROR(F84),"",VLOOKUP(B84,INDIRECT($F$8),7+(O92-1)*3))</f>
        <v>42</v>
      </c>
      <c r="R92" s="1" t="e">
        <f ca="1">IF(ISERROR(F84),"",SUM(P92:Q92))</f>
        <v>#N/A</v>
      </c>
      <c r="S92" s="1">
        <f ca="1">IF(ISERROR(F84),"",VLOOKUP(A84,INDIRECT($F$8),6+(O92-1)*3))</f>
        <v>100</v>
      </c>
      <c r="T92" s="1">
        <f ca="1">IF(ISERROR(F84),"",VLOOKUP(A84,INDIRECT($F$8),7+(O92-1)*3))</f>
        <v>50</v>
      </c>
      <c r="U92" s="1">
        <f ca="1">IF(ISERROR(F84),"",VLOOKUP(A84,INDIRECT($F$8),8+(O92-1)*3))</f>
        <v>150</v>
      </c>
      <c r="V92" s="1" t="e">
        <f ca="1">IF(ISERROR(F84),"",IF(N92=0,A92,""))</f>
        <v>#N/A</v>
      </c>
      <c r="W92" s="1">
        <f ca="1">IF(ISERROR(F84),"",IF(ISTEXT(VLOOKUP(B84,INDIRECT($F$8),6+(O92-1)*3)),11,IF(VLOOKUP(B84,INDIRECT($F$8),6+(O92-1)*3)&lt;S92*0.3,IF(VLOOKUP(B84,INDIRECT($F$8),8+(O92-1)*3)&lt;U92*0.4,IF(AND(0.4*U92-VLOOKUP(B84,INDIRECT($F$8),8+(O92-1)*3)&lt;=5,0.3*S92-VLOOKUP(B84,INDIRECT($F$8),6+(O92-1)*3)&lt;=5),MAX(0.4*U92-VLOOKUP(B84,INDIRECT($F$8),8+(O92-1)*3),0.3*S92-VLOOKUP(B84,INDIRECT($F$8),6+(O92-1)*3)),11),IF(0.3*S92-VLOOKUP(B84,INDIRECT($F$8),6+(O92-1)*3)&lt;=5,0.3*S92-VLOOKUP(B84,INDIRECT($F$8),6+(O92-1)*3),11)),IF(VLOOKUP(B84,INDIRECT($F$8),8+(O92-1)*3)&lt;U92*0.4,IF(U92*0.4-VLOOKUP(B84,INDIRECT($F$8),8+(O92-1)*3)&lt;=5,U92*0.4-VLOOKUP(B84,INDIRECT($F$8),8+(O92-1)*3),11),0))))</f>
        <v>0</v>
      </c>
      <c r="X92" s="1" t="str">
        <f ca="1">IF(ISERROR(F84),"",IF(W92=0,"",_xlfn.TEXTJOIN("",FALSE," G+",W92," in ",A92)))</f>
        <v/>
      </c>
    </row>
    <row r="93" spans="1:24" ht="13" customHeight="1" x14ac:dyDescent="0.2">
      <c r="A93" s="7" t="str">
        <f ca="1">IF(ISERROR(F84),"",VLOOKUP(C84,INDIRECT($F$8),6+(O93-1)*3,0))</f>
        <v>CAT 013</v>
      </c>
      <c r="B93" s="41" t="str">
        <f ca="1">IF(ISERROR(F84),"",VLOOKUP(D84,INDIRECT($F$8),6+(O93-1)*3,0))</f>
        <v>Artificial Intelligence</v>
      </c>
      <c r="C93" s="41"/>
      <c r="D93" s="41"/>
      <c r="E93" s="41"/>
      <c r="F93" s="7">
        <f ca="1">IF(ISERROR(F84),"",VLOOKUP(E84,INDIRECT($F$8),6+(O93-1)*3,0))</f>
        <v>4</v>
      </c>
      <c r="G93" s="42" t="e">
        <f ca="1">IF(ISERROR(F84),"",_xlfn.TEXTJOIN("/",FALSE,P93,S93))</f>
        <v>#N/A</v>
      </c>
      <c r="H93" s="42"/>
      <c r="I93" s="42" t="str">
        <f ca="1">IF(ISERROR(F84),"",_xlfn.TEXTJOIN("/",FALSE,Q93,T93))</f>
        <v>47/50</v>
      </c>
      <c r="J93" s="42"/>
      <c r="K93" s="42" t="e">
        <f ca="1">IF(ISERROR(F84),"",_xlfn.TEXTJOIN("/",FALSE,R93,U93))</f>
        <v>#N/A</v>
      </c>
      <c r="L93" s="42"/>
      <c r="M93" s="7" t="e">
        <f ca="1">IF(ISERROR(F84),"",IF(ISTEXT(P93),IF(P93="A","Ab",IF(P93="D","Dt",IF(P93="UFM","UFM",IF(P93="NA","")))),IF(AND(ISBLANK(P93),ISBLANK(R93)),"",IF(P93&lt;0.3*S93,"F",IF(ISBLANK(R93),"",IF(ISTEXT(R93),R93,IF(R93&gt;=0.9*U93,"O",IF(R93&gt;=0.85*U93,"A+",IF(R93&gt;=0.8*U93,"A",IF(R93&gt;=0.7*U93,"B+",IF(R93&gt;=0.6*U93,"B",IF(R93&gt;=0.5*U93,"C",IF(R93&gt;=0.4*U93,"P",IF(R93&lt;0.4*U93,"F",R93))))))))))))))</f>
        <v>#N/A</v>
      </c>
      <c r="N93" s="8" t="e">
        <f t="shared" ca="1" si="8"/>
        <v>#N/A</v>
      </c>
      <c r="O93">
        <f t="shared" si="9"/>
        <v>5</v>
      </c>
      <c r="P93" s="1" t="e">
        <f ca="1">IF(ISERROR(F84),"",IF(ISTEXT(VLOOKUP(B84,INDIRECT($F$8),6+(O93-1)*3)),(VLOOKUP(B84,INDIRECT($F$8),6+(O93-1)*3)),SUM(VLOOKUP(B84,INDIRECT($F$8),6+(O93-1)*3),IF(W99,W93,0))))</f>
        <v>#N/A</v>
      </c>
      <c r="Q93" s="1">
        <f ca="1">IF(ISERROR(F84),"",VLOOKUP(B84,INDIRECT($F$8),7+(O93-1)*3))</f>
        <v>47</v>
      </c>
      <c r="R93" s="1" t="e">
        <f ca="1">IF(ISERROR(F84),"",SUM(P93:Q93))</f>
        <v>#N/A</v>
      </c>
      <c r="S93" s="1">
        <f ca="1">IF(ISERROR(F84),"",VLOOKUP(A84,INDIRECT($F$8),6+(O93-1)*3))</f>
        <v>100</v>
      </c>
      <c r="T93" s="1">
        <f ca="1">IF(ISERROR(F84),"",VLOOKUP(A84,INDIRECT($F$8),7+(O93-1)*3))</f>
        <v>50</v>
      </c>
      <c r="U93" s="1">
        <f ca="1">IF(ISERROR(F84),"",VLOOKUP(A84,INDIRECT($F$8),8+(O93-1)*3))</f>
        <v>150</v>
      </c>
      <c r="V93" s="1" t="e">
        <f ca="1">IF(ISERROR(F84),"",IF(N93=0,A93,""))</f>
        <v>#N/A</v>
      </c>
      <c r="W93" s="1">
        <f ca="1">IF(ISERROR(F84),"",IF(ISTEXT(VLOOKUP(B84,INDIRECT($F$8),6+(O93-1)*3)),11,IF(VLOOKUP(B84,INDIRECT($F$8),6+(O93-1)*3)&lt;S93*0.3,IF(VLOOKUP(B84,INDIRECT($F$8),8+(O93-1)*3)&lt;U93*0.4,IF(AND(0.4*U93-VLOOKUP(B84,INDIRECT($F$8),8+(O93-1)*3)&lt;=5,0.3*S93-VLOOKUP(B84,INDIRECT($F$8),6+(O93-1)*3)&lt;=5),MAX(0.4*U93-VLOOKUP(B84,INDIRECT($F$8),8+(O93-1)*3),0.3*S93-VLOOKUP(B84,INDIRECT($F$8),6+(O93-1)*3)),11),IF(0.3*S93-VLOOKUP(B84,INDIRECT($F$8),6+(O93-1)*3)&lt;=5,0.3*S93-VLOOKUP(B84,INDIRECT($F$8),6+(O93-1)*3),11)),IF(VLOOKUP(B84,INDIRECT($F$8),8+(O93-1)*3)&lt;U93*0.4,IF(U93*0.4-VLOOKUP(B84,INDIRECT($F$8),8+(O93-1)*3)&lt;=5,U93*0.4-VLOOKUP(B84,INDIRECT($F$8),8+(O93-1)*3),11),0))))</f>
        <v>0</v>
      </c>
      <c r="X93" s="1" t="str">
        <f ca="1">IF(ISERROR(F84),"",IF(W93=0,"",_xlfn.TEXTJOIN("",FALSE," G+",W93," in ",A93)))</f>
        <v/>
      </c>
    </row>
    <row r="94" spans="1:24" ht="13" customHeight="1" x14ac:dyDescent="0.2">
      <c r="A94" s="7" t="str">
        <f ca="1">IF(ISERROR(F84),"",VLOOKUP(C84,INDIRECT($F$8),6+(O94-1)*3,0))</f>
        <v>AHT 304</v>
      </c>
      <c r="B94" s="41" t="str">
        <f ca="1">IF(ISERROR(F84),"",VLOOKUP(D84,INDIRECT($F$8),6+(O94-1)*3,0))</f>
        <v>Accounting and Financial Management ($)</v>
      </c>
      <c r="C94" s="41"/>
      <c r="D94" s="41"/>
      <c r="E94" s="41"/>
      <c r="F94" s="7">
        <f ca="1">IF(ISERROR(F84),"",VLOOKUP(E84,INDIRECT($F$8),6+(O94-1)*3,0))</f>
        <v>0</v>
      </c>
      <c r="G94" s="42" t="e">
        <f ca="1">IF(ISERROR(F84),"",_xlfn.TEXTJOIN("/",FALSE,P94,S94))</f>
        <v>#N/A</v>
      </c>
      <c r="H94" s="42"/>
      <c r="I94" s="42" t="str">
        <f ca="1">IF(ISERROR(F84),"",_xlfn.TEXTJOIN("/",FALSE,Q94,T94))</f>
        <v>41/50</v>
      </c>
      <c r="J94" s="42"/>
      <c r="K94" s="42" t="e">
        <f ca="1">IF(ISERROR(F84),"",_xlfn.TEXTJOIN("/",FALSE,R94,U94))</f>
        <v>#N/A</v>
      </c>
      <c r="L94" s="42"/>
      <c r="M94" s="7" t="e">
        <f ca="1">IF(ISERROR(F84),"",IF(ISTEXT(P94),IF(P94="A","Ab",IF(P94="D","Dt",IF(P94="UFM","UFM",IF(P94="NA","")))),IF(AND(ISBLANK(P94),ISBLANK(R94)),"",IF(P94&lt;0.3*S94,"F",IF(ISBLANK(R94),"",IF(ISTEXT(R94),R94,IF(R94&gt;=0.9*U94,"O",IF(R94&gt;=0.85*U94,"A+",IF(R94&gt;=0.8*U94,"A",IF(R94&gt;=0.7*U94,"B+",IF(R94&gt;=0.6*U94,"B",IF(R94&gt;=0.5*U94,"C",IF(R94&gt;=0.4*U94,"P",IF(R94&lt;0.4*U94,"F",R94))))))))))))))</f>
        <v>#N/A</v>
      </c>
      <c r="N94" s="8" t="e">
        <f t="shared" ca="1" si="8"/>
        <v>#N/A</v>
      </c>
      <c r="O94">
        <f t="shared" si="9"/>
        <v>6</v>
      </c>
      <c r="P94" s="1" t="e">
        <f ca="1">IF(ISERROR(F84),"",IF(ISTEXT(VLOOKUP(B84,INDIRECT($F$8),6+(O94-1)*3)),(VLOOKUP(B84,INDIRECT($F$8),6+(O94-1)*3)),SUM(VLOOKUP(B84,INDIRECT($F$8),6+(O94-1)*3),IF(W99,W94,0))))</f>
        <v>#N/A</v>
      </c>
      <c r="Q94" s="1">
        <f ca="1">IF(ISERROR(F84),"",VLOOKUP(B84,INDIRECT($F$8),7+(O94-1)*3))</f>
        <v>41</v>
      </c>
      <c r="R94" s="1" t="e">
        <f ca="1">IF(ISERROR(F84),"",SUM(P94:Q94))</f>
        <v>#N/A</v>
      </c>
      <c r="S94" s="1">
        <f ca="1">IF(ISERROR(F84),"",VLOOKUP(A84,INDIRECT($F$8),6+(O94-1)*3))</f>
        <v>0</v>
      </c>
      <c r="T94" s="1">
        <f ca="1">IF(ISERROR(F84),"",VLOOKUP(A84,INDIRECT($F$8),7+(O94-1)*3))</f>
        <v>50</v>
      </c>
      <c r="U94" s="1">
        <f ca="1">IF(ISERROR(F84),"",VLOOKUP(A84,INDIRECT($F$8),8+(O94-1)*3))</f>
        <v>50</v>
      </c>
      <c r="V94" s="1" t="e">
        <f ca="1">IF(ISERROR(F84),"",IF(N94=0,A94,""))</f>
        <v>#N/A</v>
      </c>
      <c r="W94" s="1">
        <f ca="1">IF(ISERROR(F84),"",IF(ISTEXT(VLOOKUP(B84,INDIRECT($F$8),6+(O94-1)*3)),11,IF(VLOOKUP(B84,INDIRECT($F$8),6+(O94-1)*3)&lt;S94*0.3,IF(VLOOKUP(B84,INDIRECT($F$8),8+(O94-1)*3)&lt;U94*0.4,IF(AND(0.4*U94-VLOOKUP(B84,INDIRECT($F$8),8+(O94-1)*3)&lt;=5,0.3*S94-VLOOKUP(B84,INDIRECT($F$8),6+(O94-1)*3)&lt;=5),MAX(0.4*U94-VLOOKUP(B84,INDIRECT($F$8),8+(O94-1)*3),0.3*S94-VLOOKUP(B84,INDIRECT($F$8),6+(O94-1)*3)),11),IF(0.3*S94-VLOOKUP(B84,INDIRECT($F$8),6+(O94-1)*3)&lt;=5,0.3*S94-VLOOKUP(B84,INDIRECT($F$8),6+(O94-1)*3),11)),IF(VLOOKUP(B84,INDIRECT($F$8),8+(O94-1)*3)&lt;U94*0.4,IF(U94*0.4-VLOOKUP(B84,INDIRECT($F$8),8+(O94-1)*3)&lt;=5,U94*0.4-VLOOKUP(B84,INDIRECT($F$8),8+(O94-1)*3),11),0))))</f>
        <v>0</v>
      </c>
      <c r="X94" s="1" t="str">
        <f ca="1">IF(ISERROR(F84),"",IF(W94=0,"",_xlfn.TEXTJOIN("",FALSE," G+",W94," in ",A94)))</f>
        <v/>
      </c>
    </row>
    <row r="95" spans="1:24" ht="13" customHeight="1" x14ac:dyDescent="0.2">
      <c r="A95" s="7" t="str">
        <f ca="1">IF(ISERROR(F84),"",VLOOKUP(C84,INDIRECT($F$8),6+(O95-1)*3,0))</f>
        <v>CAP 004</v>
      </c>
      <c r="B95" s="41" t="str">
        <f ca="1">IF(ISERROR(F84),"",VLOOKUP(D84,INDIRECT($F$8),6+(O95-1)*3,0))</f>
        <v>Data Structures and Analysis of Algorithms Lab</v>
      </c>
      <c r="C95" s="41"/>
      <c r="D95" s="41"/>
      <c r="E95" s="41"/>
      <c r="F95" s="7">
        <f ca="1">IF(ISERROR(F84),"",VLOOKUP(E84,INDIRECT($F$8),6+(O95-1)*3,0))</f>
        <v>1</v>
      </c>
      <c r="G95" s="42" t="e">
        <f ca="1">IF(ISERROR(F84),"",_xlfn.TEXTJOIN("/",FALSE,P95,S95))</f>
        <v>#N/A</v>
      </c>
      <c r="H95" s="42"/>
      <c r="I95" s="42" t="str">
        <f ca="1">IF(ISERROR(F84),"",_xlfn.TEXTJOIN("/",FALSE,Q95,T95))</f>
        <v>18/20</v>
      </c>
      <c r="J95" s="42"/>
      <c r="K95" s="42" t="e">
        <f ca="1">IF(ISERROR(F84),"",_xlfn.TEXTJOIN("/",FALSE,R95,U95))</f>
        <v>#N/A</v>
      </c>
      <c r="L95" s="42"/>
      <c r="M95" s="7" t="e">
        <f ca="1">IF(ISERROR(F84),"",IF(ISTEXT(P95),IF(P95="A","Ab",IF(P95="D","Dt",IF(P95="UFM","UFM",IF(P95="NA","")))),IF(AND(ISBLANK(P95),ISBLANK(R95)),"",IF(P95&lt;0.3*S95,"F",IF(ISBLANK(R95),"",IF(ISTEXT(R95),R95,IF(R95&gt;=0.9*U95,"O",IF(R95&gt;=0.85*U95,"A+",IF(R95&gt;=0.8*U95,"A",IF(R95&gt;=0.7*U95,"B+",IF(R95&gt;=0.6*U95,"B",IF(R95&gt;=0.5*U95,"C",IF(R95&gt;=0.4*U95,"P",IF(R95&lt;0.4*U95,"F",R95))))))))))))))</f>
        <v>#N/A</v>
      </c>
      <c r="N95" s="8" t="e">
        <f t="shared" ca="1" si="8"/>
        <v>#N/A</v>
      </c>
      <c r="O95">
        <f t="shared" si="9"/>
        <v>7</v>
      </c>
      <c r="P95" s="1" t="e">
        <f ca="1">IF(ISERROR(F84),"",IF(ISTEXT(VLOOKUP(B84,INDIRECT($F$8),6+(O95-1)*3)),(VLOOKUP(B84,INDIRECT($F$8),6+(O95-1)*3)),SUM(VLOOKUP(B84,INDIRECT($F$8),6+(O95-1)*3),IF(W99,W95,0))))</f>
        <v>#N/A</v>
      </c>
      <c r="Q95" s="1">
        <f ca="1">IF(ISERROR(F84),"",VLOOKUP(B84,INDIRECT($F$8),7+(O95-1)*3))</f>
        <v>18</v>
      </c>
      <c r="R95" s="1" t="e">
        <f ca="1">IF(ISERROR(F84),"",SUM(P95:Q95))</f>
        <v>#N/A</v>
      </c>
      <c r="S95" s="1">
        <f ca="1">IF(ISERROR(F84),"",VLOOKUP(A84,INDIRECT($F$8),6+(O95-1)*3))</f>
        <v>30</v>
      </c>
      <c r="T95" s="1">
        <f ca="1">IF(ISERROR(F84),"",VLOOKUP(A84,INDIRECT($F$8),7+(O95-1)*3))</f>
        <v>20</v>
      </c>
      <c r="U95" s="1">
        <f ca="1">IF(ISERROR(F84),"",VLOOKUP(A84,INDIRECT($F$8),8+(O95-1)*3))</f>
        <v>50</v>
      </c>
      <c r="V95" s="1" t="e">
        <f ca="1">IF(ISERROR(F84),"",IF(N95=0,A95,""))</f>
        <v>#N/A</v>
      </c>
      <c r="W95" s="1">
        <f ca="1">IF(ISERROR(F84),"",IF(ISTEXT(VLOOKUP(B84,INDIRECT($F$8),6+(O95-1)*3)),11,IF(VLOOKUP(B84,INDIRECT($F$8),6+(O95-1)*3)&lt;S95*0.3,IF(VLOOKUP(B84,INDIRECT($F$8),8+(O95-1)*3)&lt;U95*0.4,IF(AND(0.4*U95-VLOOKUP(B84,INDIRECT($F$8),8+(O95-1)*3)&lt;=5,0.3*S95-VLOOKUP(B84,INDIRECT($F$8),6+(O95-1)*3)&lt;=5),MAX(0.4*U95-VLOOKUP(B84,INDIRECT($F$8),8+(O95-1)*3),0.3*S95-VLOOKUP(B84,INDIRECT($F$8),6+(O95-1)*3)),11),IF(0.3*S95-VLOOKUP(B84,INDIRECT($F$8),6+(O95-1)*3)&lt;=5,0.3*S95-VLOOKUP(B84,INDIRECT($F$8),6+(O95-1)*3),11)),IF(VLOOKUP(B84,INDIRECT($F$8),8+(O95-1)*3)&lt;U95*0.4,IF(U95*0.4-VLOOKUP(B84,INDIRECT($F$8),8+(O95-1)*3)&lt;=5,U95*0.4-VLOOKUP(B84,INDIRECT($F$8),8+(O95-1)*3),11),0))))</f>
        <v>0</v>
      </c>
      <c r="X95" s="1" t="str">
        <f ca="1">IF(ISERROR(F84),"",IF(W95=0,"",_xlfn.TEXTJOIN("",FALSE," G+",W95," in ",A95)))</f>
        <v/>
      </c>
    </row>
    <row r="96" spans="1:24" ht="13" customHeight="1" x14ac:dyDescent="0.2">
      <c r="A96" s="7" t="str">
        <f ca="1">IF(ISERROR(F84),"",VLOOKUP(C84,INDIRECT($F$8),6+(O96-1)*3,0))</f>
        <v>CAP 005</v>
      </c>
      <c r="B96" s="41" t="str">
        <f ca="1">IF(ISERROR(F84),"",VLOOKUP(D84,INDIRECT($F$8),6+(O96-1)*3-Z96,0))</f>
        <v>Object Oriented Programming with JAVA Lab</v>
      </c>
      <c r="C96" s="41"/>
      <c r="D96" s="41"/>
      <c r="E96" s="41"/>
      <c r="F96" s="7">
        <f ca="1">IF(ISERROR(F84),"",VLOOKUP(E84,INDIRECT($F$8),6+(O96-1)*3,0))</f>
        <v>1</v>
      </c>
      <c r="G96" s="42" t="e">
        <f ca="1">IF(ISERROR(F84),"",_xlfn.TEXTJOIN("/",FALSE,P96,S96))</f>
        <v>#N/A</v>
      </c>
      <c r="H96" s="42"/>
      <c r="I96" s="42" t="str">
        <f ca="1">IF(ISERROR(F84),"",_xlfn.TEXTJOIN("/",FALSE,Q96,T96))</f>
        <v>17/20</v>
      </c>
      <c r="J96" s="42"/>
      <c r="K96" s="42" t="e">
        <f ca="1">IF(ISERROR(F84),"",_xlfn.TEXTJOIN("/",FALSE,R96,U96))</f>
        <v>#N/A</v>
      </c>
      <c r="L96" s="42"/>
      <c r="M96" s="7" t="e">
        <f ca="1">IF(ISERROR(F84),"",IF(ISTEXT(P96),IF(P96="A","Ab",IF(P96="D","Dt",IF(P96="UFM","UFM",IF(P96="NA","")))),IF(AND(ISBLANK(P96),ISBLANK(R96)),"",IF(P96&lt;0.3*S96,"F",IF(ISBLANK(R96),"",IF(ISTEXT(R96),R96,IF(R96&gt;=0.9*U96,"O",IF(R96&gt;=0.85*U96,"A+",IF(R96&gt;=0.8*U96,"A",IF(R96&gt;=0.7*U96,"B+",IF(R96&gt;=0.6*U96,"B",IF(R96&gt;=0.5*U96,"C",IF(R96&gt;=0.4*U96,"P",IF(R96&lt;0.4*U96,"F",R96))))))))))))))</f>
        <v>#N/A</v>
      </c>
      <c r="N96" s="8" t="e">
        <f t="shared" ca="1" si="8"/>
        <v>#N/A</v>
      </c>
      <c r="O96">
        <f t="shared" si="9"/>
        <v>8</v>
      </c>
      <c r="P96" s="1" t="e">
        <f ca="1">IF(ISERROR(F84),"",IF(ISTEXT(VLOOKUP(B84,INDIRECT($F$8),6+(O96-1)*3)),(VLOOKUP(B84,INDIRECT($F$8),6+(O96-1)*3)),SUM(VLOOKUP(B84,INDIRECT($F$8),6+(O96-1)*3),IF(W99,W96,0))))</f>
        <v>#N/A</v>
      </c>
      <c r="Q96" s="1">
        <f ca="1">IF(ISERROR(F84),"",VLOOKUP(B84,INDIRECT($F$8),7+(O96-1)*3))</f>
        <v>17</v>
      </c>
      <c r="R96" s="1" t="e">
        <f ca="1">IF(ISERROR(F84),"",SUM(P96:Q96))</f>
        <v>#N/A</v>
      </c>
      <c r="S96" s="1">
        <f ca="1">IF(ISERROR(F84),"",VLOOKUP(A84,INDIRECT($F$8),6+(O96-1)*3))</f>
        <v>30</v>
      </c>
      <c r="T96" s="1">
        <f ca="1">IF(ISERROR(F84),"",VLOOKUP(A84,INDIRECT($F$8),7+(O96-1)*3))</f>
        <v>20</v>
      </c>
      <c r="U96" s="1">
        <f ca="1">IF(ISERROR(F84),"",VLOOKUP(A84,INDIRECT($F$8),8+(O96-1)*3))</f>
        <v>50</v>
      </c>
      <c r="V96" s="1" t="e">
        <f ca="1">IF(ISERROR(F84),"",IF(N96=0,A96,""))</f>
        <v>#N/A</v>
      </c>
      <c r="W96" s="1">
        <f ca="1">IF(ISERROR(F84),"",IF(ISTEXT(VLOOKUP(B84,INDIRECT($F$8),6+(O96-1)*3)),11,IF(VLOOKUP(B84,INDIRECT($F$8),6+(O96-1)*3)&lt;S96*0.3,IF(VLOOKUP(B84,INDIRECT($F$8),8+(O96-1)*3)&lt;U96*0.4,IF(AND(0.4*U96-VLOOKUP(B84,INDIRECT($F$8),8+(O96-1)*3)&lt;=5,0.3*S96-VLOOKUP(B84,INDIRECT($F$8),6+(O96-1)*3)&lt;=5),MAX(0.4*U96-VLOOKUP(B84,INDIRECT($F$8),8+(O96-1)*3),0.3*S96-VLOOKUP(B84,INDIRECT($F$8),6+(O96-1)*3)),11),IF(0.3*S96-VLOOKUP(B84,INDIRECT($F$8),6+(O96-1)*3)&lt;=5,0.3*S96-VLOOKUP(B84,INDIRECT($F$8),6+(O96-1)*3),11)),IF(VLOOKUP(B84,INDIRECT($F$8),8+(O96-1)*3)&lt;U96*0.4,IF(U96*0.4-VLOOKUP(B84,INDIRECT($F$8),8+(O96-1)*3)&lt;=5,U96*0.4-VLOOKUP(B84,INDIRECT($F$8),8+(O96-1)*3),11),0))))</f>
        <v>0</v>
      </c>
      <c r="X96" s="1" t="str">
        <f ca="1">IF(ISERROR(F84),"",IF(W96=0,"",_xlfn.TEXTJOIN("",FALSE," G+",W96," in ",A96)))</f>
        <v/>
      </c>
    </row>
    <row r="97" spans="1:24" ht="13" customHeight="1" x14ac:dyDescent="0.2">
      <c r="A97" s="7" t="str">
        <f ca="1">IF(ISERROR(F84),"",VLOOKUP(C84,INDIRECT($F$8),6+(O97-1)*3,0))</f>
        <v>CAP 006</v>
      </c>
      <c r="B97" s="41" t="str">
        <f ca="1">IF(ISERROR(F84),"",VLOOKUP(D84,INDIRECT($F$8),6+(O97-1)*3-Z97,0))</f>
        <v>Computer Networks Lab</v>
      </c>
      <c r="C97" s="41"/>
      <c r="D97" s="41"/>
      <c r="E97" s="41"/>
      <c r="F97" s="7">
        <f ca="1">IF(ISERROR(F84),"",VLOOKUP(E84,INDIRECT($F$8),6+(O97-1)*3,0))</f>
        <v>1</v>
      </c>
      <c r="G97" s="42" t="e">
        <f ca="1">IF(ISERROR(F84),"",_xlfn.TEXTJOIN("/",FALSE,P97,S97))</f>
        <v>#N/A</v>
      </c>
      <c r="H97" s="42"/>
      <c r="I97" s="42" t="str">
        <f ca="1">IF(ISERROR(F84),"",_xlfn.TEXTJOIN("/",FALSE,Q97,T97))</f>
        <v>17/20</v>
      </c>
      <c r="J97" s="42"/>
      <c r="K97" s="42" t="e">
        <f ca="1">IF(ISERROR(F84),"",_xlfn.TEXTJOIN("/",FALSE,R97,U97))</f>
        <v>#N/A</v>
      </c>
      <c r="L97" s="42"/>
      <c r="M97" s="7" t="e">
        <f ca="1">IF(ISERROR(F84),"",IF(ISTEXT(P97),IF(P97="A","Ab",IF(P97="D","Dt",IF(P97="UFM","UFM",IF(P97="NA","")))),IF(AND(ISBLANK(P97),ISBLANK(R97)),"",IF(P97&lt;0.3*S97,"F",IF(ISBLANK(R97),"",IF(ISTEXT(R97),R97,IF(R97&gt;=0.9*U97,"O",IF(R97&gt;=0.85*U97,"A+",IF(R97&gt;=0.8*U97,"A",IF(R97&gt;=0.7*U97,"B+",IF(R97&gt;=0.6*U97,"B",IF(R97&gt;=0.5*U97,"C",IF(R97&gt;=0.4*U97,"P",IF(R97&lt;0.4*U97,"F",R97))))))))))))))</f>
        <v>#N/A</v>
      </c>
      <c r="N97" s="8" t="e">
        <f t="shared" ca="1" si="8"/>
        <v>#N/A</v>
      </c>
      <c r="O97">
        <f t="shared" si="9"/>
        <v>9</v>
      </c>
      <c r="P97" s="1" t="e">
        <f ca="1">IF(ISERROR(F84),"",IF(ISTEXT(VLOOKUP(B84,INDIRECT($F$8),6+(O97-1)*3)),(VLOOKUP(B84,INDIRECT($F$8),6+(O97-1)*3)),SUM(VLOOKUP(B84,INDIRECT($F$8),6+(O97-1)*3),IF(W99,W97,0))))</f>
        <v>#N/A</v>
      </c>
      <c r="Q97" s="1">
        <f ca="1">IF(ISERROR(F84),"",VLOOKUP(B84,INDIRECT($F$8),7+(O97-1)*3))</f>
        <v>17</v>
      </c>
      <c r="R97" s="1" t="e">
        <f ca="1">IF(ISERROR(F84),"",SUM(P97:Q97))</f>
        <v>#N/A</v>
      </c>
      <c r="S97" s="1">
        <f ca="1">IF(ISERROR(F84),"",VLOOKUP(A84,INDIRECT($F$8),6+(O97-1)*3))</f>
        <v>30</v>
      </c>
      <c r="T97" s="1">
        <f ca="1">IF(ISERROR(F84),"",VLOOKUP(A84,INDIRECT($F$8),7+(O97-1)*3))</f>
        <v>20</v>
      </c>
      <c r="U97" s="1">
        <f ca="1">IF(ISERROR(F84),"",VLOOKUP(A84,INDIRECT($F$8),8+(O97-1)*3))</f>
        <v>50</v>
      </c>
      <c r="V97" s="1" t="e">
        <f ca="1">IF(ISERROR(F84),"",IF(N97=0,A97,""))</f>
        <v>#N/A</v>
      </c>
      <c r="W97" s="1">
        <f ca="1">IF(ISERROR(F84),"",IF(ISTEXT(VLOOKUP(B84,INDIRECT($F$8),6+(O97-1)*3)),11,IF(VLOOKUP(B84,INDIRECT($F$8),6+(O97-1)*3)&lt;S97*0.3,IF(VLOOKUP(B84,INDIRECT($F$8),8+(O97-1)*3)&lt;U97*0.4,IF(AND(0.4*U97-VLOOKUP(B84,INDIRECT($F$8),8+(O97-1)*3)&lt;=5,0.3*S97-VLOOKUP(B84,INDIRECT($F$8),6+(O97-1)*3)&lt;=5),MAX(0.4*U97-VLOOKUP(B84,INDIRECT($F$8),8+(O97-1)*3),0.3*S97-VLOOKUP(B84,INDIRECT($F$8),6+(O97-1)*3)),11),IF(0.3*S97-VLOOKUP(B84,INDIRECT($F$8),6+(O97-1)*3)&lt;=5,0.3*S97-VLOOKUP(B84,INDIRECT($F$8),6+(O97-1)*3),11)),IF(VLOOKUP(B84,INDIRECT($F$8),8+(O97-1)*3)&lt;U97*0.4,IF(U97*0.4-VLOOKUP(B84,INDIRECT($F$8),8+(O97-1)*3)&lt;=5,U97*0.4-VLOOKUP(B84,INDIRECT($F$8),8+(O97-1)*3),11),0))))</f>
        <v>0</v>
      </c>
      <c r="X97" s="1" t="str">
        <f ca="1">IF(ISERROR(F84),"",IF(W97=0,"",_xlfn.TEXTJOIN("",FALSE," G+",W97," in ",A97)))</f>
        <v/>
      </c>
    </row>
    <row r="98" spans="1:24" ht="13" customHeight="1" x14ac:dyDescent="0.2">
      <c r="A98" s="7" t="str">
        <f ca="1">IF(ISERROR(F84),"",VLOOKUP(C84,INDIRECT($F$8),6+(O98-1)*3,0))</f>
        <v>CAP 007</v>
      </c>
      <c r="B98" s="41" t="str">
        <f ca="1">IF(ISERROR(F84),"",VLOOKUP(D84,INDIRECT($F$8),6+(O98-1)*3,0))</f>
        <v>Artificial Intelligence Lab</v>
      </c>
      <c r="C98" s="41"/>
      <c r="D98" s="41"/>
      <c r="E98" s="41"/>
      <c r="F98" s="7">
        <f ca="1">IF(ISERROR(F84),"",VLOOKUP(E84,INDIRECT($F$8),6+(O98-1)*3,0))</f>
        <v>1</v>
      </c>
      <c r="G98" s="42" t="e">
        <f ca="1">IF(ISERROR(F84),"",_xlfn.TEXTJOIN("/",FALSE,P98,S98))</f>
        <v>#N/A</v>
      </c>
      <c r="H98" s="42"/>
      <c r="I98" s="42" t="str">
        <f ca="1">IF(ISERROR(F84),"",_xlfn.TEXTJOIN("/",FALSE,Q98,T98))</f>
        <v>19/20</v>
      </c>
      <c r="J98" s="42"/>
      <c r="K98" s="42" t="e">
        <f ca="1">IF(ISERROR(F84),"",_xlfn.TEXTJOIN("/",FALSE,R98,U98))</f>
        <v>#N/A</v>
      </c>
      <c r="L98" s="42"/>
      <c r="M98" s="7" t="e">
        <f ca="1">IF(ISERROR(F84),"",IF(ISTEXT(P98),IF(P98="A","Ab",IF(P98="D","Dt",IF(P98="UFM","UFM",IF(P98="NA","")))),IF(AND(ISBLANK(P98),ISBLANK(R98)),"",IF(P98&lt;0.3*S98,"F",IF(ISBLANK(R98),"",IF(ISTEXT(R98),R98,IF(R98&gt;=0.9*U98,"O",IF(R98&gt;=0.85*U98,"A+",IF(R98&gt;=0.8*U98,"A",IF(R98&gt;=0.7*U98,"B+",IF(R98&gt;=0.6*U98,"B",IF(R98&gt;=0.5*U98,"C",IF(R98&gt;=0.4*U98,"P",IF(R98&lt;0.4*U98,"F",R98))))))))))))))</f>
        <v>#N/A</v>
      </c>
      <c r="N98" s="8" t="e">
        <f t="shared" ca="1" si="8"/>
        <v>#N/A</v>
      </c>
      <c r="O98">
        <f t="shared" si="9"/>
        <v>10</v>
      </c>
      <c r="P98" s="1" t="e">
        <f ca="1">IF(ISERROR(F84),"",IF(ISTEXT(VLOOKUP(B84,INDIRECT($F$8),6+(O98-1)*3)),(VLOOKUP(B84,INDIRECT($F$8),6+(O98-1)*3)),SUM(VLOOKUP(B84,INDIRECT($F$8),6+(O98-1)*3),IF(W99,W98,0))))</f>
        <v>#N/A</v>
      </c>
      <c r="Q98" s="1">
        <f ca="1">IF(ISERROR(F84),"",VLOOKUP(B84,INDIRECT($F$8),7+(O98-1)*3))</f>
        <v>19</v>
      </c>
      <c r="R98" s="1" t="e">
        <f ca="1">IF(ISERROR(F84),"",SUM(P98:Q98))</f>
        <v>#N/A</v>
      </c>
      <c r="S98" s="1">
        <f ca="1">IF(ISERROR(F84),"",VLOOKUP(A84,INDIRECT($F$8),6+(O98-1)*3))</f>
        <v>30</v>
      </c>
      <c r="T98" s="1">
        <f ca="1">IF(ISERROR(F84),"",VLOOKUP(A84,INDIRECT($F$8),7+(O98-1)*3))</f>
        <v>20</v>
      </c>
      <c r="U98" s="1">
        <f ca="1">IF(ISERROR(F84),"",VLOOKUP(A84,INDIRECT($F$8),8+(O98-1)*3))</f>
        <v>50</v>
      </c>
      <c r="V98" s="1" t="e">
        <f ca="1">IF(ISERROR(F84),"",IF(N98=0,A98,""))</f>
        <v>#N/A</v>
      </c>
      <c r="W98" s="1">
        <f ca="1">IF(ISERROR(F84),"",IF(ISTEXT(VLOOKUP(B84,INDIRECT($F$8),6+(O98-1)*3)),11,IF(VLOOKUP(B84,INDIRECT($F$8),6+(O98-1)*3)&lt;S98*0.3,IF(VLOOKUP(B84,INDIRECT($F$8),8+(O98-1)*3)&lt;U98*0.4,IF(AND(0.4*U98-VLOOKUP(B84,INDIRECT($F$8),8+(O98-1)*3)&lt;=5,0.3*S98-VLOOKUP(B84,INDIRECT($F$8),6+(O98-1)*3)&lt;=5),MAX(0.4*U98-VLOOKUP(B84,INDIRECT($F$8),8+(O98-1)*3),0.3*S98-VLOOKUP(B84,INDIRECT($F$8),6+(O98-1)*3)),11),IF(0.3*S98-VLOOKUP(B84,INDIRECT($F$8),6+(O98-1)*3)&lt;=5,0.3*S98-VLOOKUP(B84,INDIRECT($F$8),6+(O98-1)*3),11)),IF(VLOOKUP(B84,INDIRECT($F$8),8+(O98-1)*3)&lt;U98*0.4,IF(U98*0.4-VLOOKUP(B84,INDIRECT($F$8),8+(O98-1)*3)&lt;=5,U98*0.4-VLOOKUP(B84,INDIRECT($F$8),8+(O98-1)*3),11),0))))</f>
        <v>0</v>
      </c>
      <c r="X98" s="1" t="str">
        <f ca="1">IF(ISERROR(F84),"",IF(W98=0,"",_xlfn.TEXTJOIN("",FALSE," G+",W98," in ",A98)))</f>
        <v/>
      </c>
    </row>
    <row r="99" spans="1:24" ht="13" customHeight="1" x14ac:dyDescent="0.2">
      <c r="A99" s="43" t="str">
        <f ca="1">IF(ISERROR(F84),"",A80)</f>
        <v>Total Credits/ Marks/ Total Grade Points</v>
      </c>
      <c r="B99" s="43"/>
      <c r="C99" s="43"/>
      <c r="D99" s="43"/>
      <c r="E99" s="43"/>
      <c r="F99" s="10">
        <f ca="1">IF(ISERROR(F84),"",SUM(F89:F98))</f>
        <v>24</v>
      </c>
      <c r="G99" s="44" t="e">
        <f ca="1">IF(ISERROR(F84),"",_xlfn.TEXTJOIN("/",TRUE,SUMIF(F89:F98,"&gt;0",P89:P98),SUMIF(F89:F98,"&gt;0",S89:S98)))</f>
        <v>#N/A</v>
      </c>
      <c r="H99" s="44"/>
      <c r="I99" s="44" t="str">
        <f ca="1">IF(ISERROR(F84),"",_xlfn.TEXTJOIN("/",TRUE,SUMIF(F89:F98,"&gt;0",Q89:Q98),SUMIF(F89:F98,"&gt;0",T89:T98)))</f>
        <v>296/330</v>
      </c>
      <c r="J99" s="44"/>
      <c r="K99" s="44" t="e">
        <f ca="1">IF(ISERROR(F84),"",_xlfn.TEXTJOIN("/",TRUE,SUMIF(F89:F98,"&gt;0",R89:R98),SUMIF(F89:F98,"&gt;0",U89:U98)))</f>
        <v>#N/A</v>
      </c>
      <c r="L99" s="44"/>
      <c r="M99" s="43" t="e">
        <f ca="1">IF(ISERROR(F84),"",SUMPRODUCT(N89:N98,F89:F98))</f>
        <v>#N/A</v>
      </c>
      <c r="N99" s="43"/>
      <c r="V99" s="1" t="e">
        <f ca="1">IF(ISERROR(F84),"",_xlfn.TEXTJOIN(", ",TRUE,V89:V98))</f>
        <v>#N/A</v>
      </c>
      <c r="W99" t="e">
        <f ca="1">IF(ISERROR(F84),"",IF(SUM(W89:W98)&lt;=W88,TRUE,FALSE))</f>
        <v>#N/A</v>
      </c>
      <c r="X99" s="1" t="str">
        <f ca="1">IF(ISERROR(F84),"",_xlfn.TEXTJOIN(",",TRUE,X89:X98))</f>
        <v/>
      </c>
    </row>
    <row r="100" spans="1:24" ht="13" customHeight="1" x14ac:dyDescent="0.2">
      <c r="A100" s="43" t="str">
        <f ca="1">IF(ISERROR(F84),"",A81)</f>
        <v>Result:</v>
      </c>
      <c r="B100" s="45" t="e">
        <f ca="1">IF(ISERROR(F84),"",IF(V99="","PASS","CARRY OVER"))</f>
        <v>#N/A</v>
      </c>
      <c r="C100" s="45"/>
      <c r="D100" s="43" t="str">
        <f ca="1">IF(ISERROR(F84),"",D81)</f>
        <v>Remark:</v>
      </c>
      <c r="E100" s="45" t="e">
        <f ca="1">IF(ISERROR(F84),"",IF(V99="",IF(X99="","",X99),_xlfn.TEXTJOIN(" ",TRUE,"BACK IN",V99)))</f>
        <v>#N/A</v>
      </c>
      <c r="F100" s="45"/>
      <c r="G100" s="43" t="str">
        <f ca="1">IF(ISERROR(F84),"",G81)</f>
        <v>SGPA:</v>
      </c>
      <c r="H100" s="46" t="e">
        <f ca="1">IF(ISERROR(F84),"",M99/F99)</f>
        <v>#N/A</v>
      </c>
      <c r="I100" s="43" t="str">
        <f ca="1">IF(ISERROR(F84),"",I81)</f>
        <v>CGPA:</v>
      </c>
      <c r="J100" s="46" t="e">
        <f ca="1">IF(ISERROR(F84),"",VLOOKUP(B84,INDIRECT($F$8),12+(O98-1)*3,0))</f>
        <v>#N/A</v>
      </c>
      <c r="K100" s="45" t="str">
        <f ca="1">IF(ISERROR(F84),"",K81)</f>
        <v>Earned Credits:</v>
      </c>
      <c r="L100" s="43">
        <f ca="1">IF(ISERROR(F84),"",SUMIF(N89:N98,"&gt;0",F89:F98))</f>
        <v>0</v>
      </c>
      <c r="M100" s="45" t="str">
        <f ca="1">IF(ISERROR(F84),"",M81)</f>
        <v>Cuml. Earned Credits:</v>
      </c>
      <c r="N100" s="43" t="e">
        <f ca="1">IF(ISERROR(F84),"",VLOOKUP(B84,INDIRECT($F$8),10+(O98-1)*3,0))</f>
        <v>#N/A</v>
      </c>
    </row>
    <row r="101" spans="1:24" ht="13" customHeight="1" x14ac:dyDescent="0.2">
      <c r="A101" s="43"/>
      <c r="B101" s="45"/>
      <c r="C101" s="45"/>
      <c r="D101" s="43"/>
      <c r="E101" s="45"/>
      <c r="F101" s="45"/>
      <c r="G101" s="43"/>
      <c r="H101" s="46"/>
      <c r="I101" s="43"/>
      <c r="J101" s="46"/>
      <c r="K101" s="45"/>
      <c r="L101" s="43"/>
      <c r="M101" s="45"/>
      <c r="N101" s="43"/>
    </row>
    <row r="102" spans="1:24" ht="15" x14ac:dyDescent="0.2">
      <c r="A102" s="43"/>
      <c r="B102" s="45"/>
      <c r="C102" s="45"/>
      <c r="D102" s="43"/>
      <c r="E102" s="45"/>
      <c r="F102" s="45"/>
      <c r="G102" s="43"/>
      <c r="H102" s="46"/>
      <c r="I102" s="43"/>
      <c r="J102" s="46"/>
      <c r="K102" s="45"/>
      <c r="L102" s="43"/>
      <c r="M102" s="45"/>
      <c r="N102" s="43"/>
    </row>
    <row r="103" spans="1:24" ht="13" customHeight="1" x14ac:dyDescent="0.2">
      <c r="A103" s="11" t="str">
        <f>A84</f>
        <v>MM</v>
      </c>
      <c r="B103" s="11">
        <f>B84+1</f>
        <v>6</v>
      </c>
      <c r="C103" s="11" t="str">
        <f>C84</f>
        <v>SC</v>
      </c>
      <c r="D103" s="11" t="str">
        <f>D84</f>
        <v>SN</v>
      </c>
      <c r="E103" s="11" t="str">
        <f>E84</f>
        <v>C</v>
      </c>
      <c r="F103" s="11" t="str">
        <f ca="1">VLOOKUP(B103,INDIRECT($F$8),4,0)</f>
        <v>ASMIT BHATT</v>
      </c>
    </row>
    <row r="104" spans="1:24" ht="13" customHeight="1" x14ac:dyDescent="0.2">
      <c r="A104" s="47" t="str">
        <f ca="1">IF(ISERROR(F103),"",A85)</f>
        <v>Name:</v>
      </c>
      <c r="B104" s="47" t="str">
        <f ca="1">IFERROR(VLOOKUP(B103,INDIRECT($F$8),4,0),"")</f>
        <v>ASMIT BHATT</v>
      </c>
      <c r="C104" s="47"/>
      <c r="D104" s="47" t="str">
        <f ca="1">IF(ISERROR(F103),"",D85)</f>
        <v>Father's Name:</v>
      </c>
      <c r="E104" s="47" t="str">
        <f ca="1">IFERROR(VLOOKUP(B103,INDIRECT($F$8),5,0),"")</f>
        <v>JANARDHAN BHATT</v>
      </c>
      <c r="F104" s="47"/>
      <c r="G104" s="47" t="str">
        <f ca="1">IF(ISERROR(F103),"",G85)</f>
        <v>University Roll No:</v>
      </c>
      <c r="H104" s="47"/>
      <c r="I104" s="48">
        <f ca="1">IFERROR(VLOOKUP(B103,INDIRECT($F$8),2,0),"")</f>
        <v>240090600006</v>
      </c>
      <c r="J104" s="48"/>
      <c r="K104" s="47" t="str">
        <f ca="1">IF(ISERROR(F103),"",K85)</f>
        <v>University Enrol. No:</v>
      </c>
      <c r="L104" s="47"/>
      <c r="M104" s="48" t="str">
        <f ca="1">IFERROR(VLOOKUP(B103,INDIRECT($F$8),3,0),"")</f>
        <v>UTU/2406100179</v>
      </c>
      <c r="N104" s="48"/>
    </row>
    <row r="105" spans="1:24" ht="15" x14ac:dyDescent="0.2">
      <c r="A105" s="47"/>
      <c r="B105" s="47"/>
      <c r="C105" s="47"/>
      <c r="D105" s="47"/>
      <c r="E105" s="47"/>
      <c r="F105" s="47"/>
      <c r="G105" s="47"/>
      <c r="H105" s="47"/>
      <c r="I105" s="48"/>
      <c r="J105" s="48"/>
      <c r="K105" s="47"/>
      <c r="L105" s="47"/>
      <c r="M105" s="48"/>
      <c r="N105" s="48"/>
    </row>
    <row r="106" spans="1:24" ht="13" customHeight="1" x14ac:dyDescent="0.2">
      <c r="A106" s="45" t="str">
        <f ca="1">IF(ISERROR(F103),"",A87)</f>
        <v>Subject Code</v>
      </c>
      <c r="B106" s="45" t="str">
        <f ca="1">IF(ISERROR(F103),"",B87)</f>
        <v>Subject Name</v>
      </c>
      <c r="C106" s="45"/>
      <c r="D106" s="45"/>
      <c r="E106" s="45"/>
      <c r="F106" s="45" t="str">
        <f ca="1">IF(ISERROR(F103),"",F87)</f>
        <v>Credits</v>
      </c>
      <c r="G106" s="45" t="str">
        <f ca="1">IF(ISERROR(F103),"",G87)</f>
        <v>External Marks</v>
      </c>
      <c r="H106" s="45"/>
      <c r="I106" s="45" t="str">
        <f ca="1">IF(ISERROR(F103),"",I87)</f>
        <v>Sessional Marks</v>
      </c>
      <c r="J106" s="45"/>
      <c r="K106" s="45" t="str">
        <f ca="1">IF(ISERROR(F103),"",K87)</f>
        <v>Total Marks</v>
      </c>
      <c r="L106" s="45"/>
      <c r="M106" s="45" t="str">
        <f ca="1">IF(ISERROR(F103),"",M87)</f>
        <v>Grade</v>
      </c>
      <c r="N106" s="45" t="str">
        <f ca="1">IF(ISERROR(F103),"",N87)</f>
        <v>Grade Points</v>
      </c>
    </row>
    <row r="107" spans="1:24" ht="15" x14ac:dyDescent="0.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W107" t="e">
        <f ca="1">IF(ISNUMBER(MATCH($F$8,{"I","III","V","VII"},0)),10,10-INDEX(INDIRECT(_xlfn.TEXTJOIN("",TRUE,"SEM_",$G$8,"!",ADDRESS(6,4+$I$8*3+4),":",ADDRESS(5+$H$8,4+$I$8*3+4))),MATCH(INDIRECT(_xlfn.TEXTJOIN("",TRUE,"TC_",$F$8,"!",ADDRESS(ROW(I104),COLUMN(I104)))),INDIRECT(_xlfn.TEXTJOIN("",TRUE,"SEM_",$G$8,"!",ADDRESS(6,2),":",ADDRESS(5+$H$8,2))))))</f>
        <v>#N/A</v>
      </c>
    </row>
    <row r="108" spans="1:24" ht="13" customHeight="1" x14ac:dyDescent="0.2">
      <c r="A108" s="7" t="str">
        <f ca="1">IF(ISERROR(F103),"",VLOOKUP(C103,INDIRECT($F$8),6+(O108-1)*3,0))</f>
        <v>CAT 009</v>
      </c>
      <c r="B108" s="41" t="str">
        <f ca="1">IF(ISERROR(F103),"",VLOOKUP(D103,INDIRECT($F$8),6+(O108-1)*3,0))</f>
        <v>Computer Based Numerical and Statistical Techniques</v>
      </c>
      <c r="C108" s="41"/>
      <c r="D108" s="41"/>
      <c r="E108" s="41"/>
      <c r="F108" s="7">
        <f ca="1">IF(ISERROR(F103),"",VLOOKUP(E103,INDIRECT($F$8),6+(O108-1)*3,0))</f>
        <v>4</v>
      </c>
      <c r="G108" s="42" t="e">
        <f ca="1">IF(ISERROR(F103),"",_xlfn.TEXTJOIN("/",FALSE,P108,S108))</f>
        <v>#N/A</v>
      </c>
      <c r="H108" s="42"/>
      <c r="I108" s="42" t="str">
        <f ca="1">IF(ISERROR(F103),"",_xlfn.TEXTJOIN("/",FALSE,Q108,T108))</f>
        <v>45/50</v>
      </c>
      <c r="J108" s="42"/>
      <c r="K108" s="42" t="e">
        <f ca="1">IF(ISERROR(F103),"",_xlfn.TEXTJOIN("/",FALSE,R108,U108))</f>
        <v>#N/A</v>
      </c>
      <c r="L108" s="42"/>
      <c r="M108" s="7" t="e">
        <f ca="1">IF(ISERROR(F103),"",IF(ISTEXT(P108),IF(P108="A","Ab",IF(P108="D","Dt",IF(P108="UFM","UFM",IF(P108="NA","")))),IF(AND(ISBLANK(P108),ISBLANK(R108)),"",IF(P108&lt;0.3*S108,"F",IF(ISBLANK(R108),"",IF(ISTEXT(R108),R108,IF(R108&gt;=0.9*U108,"O",IF(R108&gt;=0.85*U108,"A+",IF(R108&gt;=0.8*U108,"A",IF(R108&gt;=0.7*U108,"B+",IF(R108&gt;=0.6*U108,"B",IF(R108&gt;=0.5*U108,"C",IF(R108&gt;=0.4*U108,"P",IF(R108&lt;0.4*U108,"F",R108))))))))))))))</f>
        <v>#N/A</v>
      </c>
      <c r="N108" s="8" t="e">
        <f t="shared" ref="N108:N117" ca="1" si="10">INDEX($Z$2:$Z$13,MATCH(M108,$Y$2:$Y$13,0))</f>
        <v>#N/A</v>
      </c>
      <c r="O108">
        <v>1</v>
      </c>
      <c r="P108" s="1" t="e">
        <f ca="1">IF(ISERROR(F103),"",IF(ISTEXT(VLOOKUP(B103,INDIRECT($F$8),6+(O108-1)*3)),(VLOOKUP(B103,INDIRECT($F$8),6+(O108-1)*3)),SUM(VLOOKUP(B103,INDIRECT($F$8),6+(O108-1)*3),IF(W118,W108,0))))</f>
        <v>#N/A</v>
      </c>
      <c r="Q108" s="1">
        <f ca="1">IF(ISERROR(F103),"",VLOOKUP(B103,INDIRECT($F$8),7+(O108-1)*3))</f>
        <v>45</v>
      </c>
      <c r="R108" s="1" t="e">
        <f ca="1">IF(ISERROR(F103),"",SUM(P108:Q108))</f>
        <v>#N/A</v>
      </c>
      <c r="S108" s="1">
        <f ca="1">IF(ISERROR(F103),"",VLOOKUP(A103,INDIRECT($F$8),6+(O108-1)*3))</f>
        <v>100</v>
      </c>
      <c r="T108" s="1">
        <f ca="1">IF(ISERROR(F103),"",VLOOKUP(A103,INDIRECT($F$8),7+(O108-1)*3))</f>
        <v>50</v>
      </c>
      <c r="U108" s="1">
        <f ca="1">IF(ISERROR(F103),"",VLOOKUP(A103,INDIRECT($F$8),8+(O108-1)*3))</f>
        <v>150</v>
      </c>
      <c r="V108" s="1" t="e">
        <f ca="1">IF(ISERROR(F103),"",IF(N108=0,A108,""))</f>
        <v>#N/A</v>
      </c>
      <c r="W108" s="1">
        <f ca="1">IF(ISERROR(F103),"",IF(ISTEXT(VLOOKUP(B103,INDIRECT($F$8),6+(O108-1)*3)),11,IF(VLOOKUP(B103,INDIRECT($F$8),6+(O108-1)*3)&lt;S108*0.3,IF(VLOOKUP(B103,INDIRECT($F$8),8+(O108-1)*3)&lt;U108*0.4,IF(AND(0.4*U108-VLOOKUP(B103,INDIRECT($F$8),8+(O108-1)*3)&lt;=5,0.3*S108-VLOOKUP(B103,INDIRECT($F$8),6+(O108-1)*3)&lt;=5),MAX(0.4*U108-VLOOKUP(B103,INDIRECT($F$8),8+(O108-1)*3),0.3*S108-VLOOKUP(B103,INDIRECT($F$8),6+(O108-1)*3)),11),IF(0.3*S108-VLOOKUP(B103,INDIRECT($F$8),6+(O108-1)*3)&lt;=5,0.3*S108-VLOOKUP(B103,INDIRECT($F$8),6+(O108-1)*3),11)),IF(VLOOKUP(B103,INDIRECT($F$8),8+(O108-1)*3)&lt;U108*0.4,IF(U108*0.4-VLOOKUP(B103,INDIRECT($F$8),8+(O108-1)*3)&lt;=5,U108*0.4-VLOOKUP(B103,INDIRECT($F$8),8+(O108-1)*3),11),0))))</f>
        <v>0</v>
      </c>
      <c r="X108" s="1" t="str">
        <f ca="1">IF(ISERROR(F103),"",IF(W108=0,"",_xlfn.TEXTJOIN("",FALSE," G+",W108," in ",A108)))</f>
        <v/>
      </c>
    </row>
    <row r="109" spans="1:24" ht="13" customHeight="1" x14ac:dyDescent="0.2">
      <c r="A109" s="7" t="str">
        <f ca="1">IF(ISERROR(F103),"",VLOOKUP(C103,INDIRECT($F$8),6+(O109-1)*3,0))</f>
        <v>CAT 010</v>
      </c>
      <c r="B109" s="41" t="str">
        <f ca="1">IF(ISERROR(F103),"",VLOOKUP(D103,INDIRECT($F$8),6+(O109-1)*3,0))</f>
        <v>Data Structures and Analysis of Algorithms</v>
      </c>
      <c r="C109" s="41"/>
      <c r="D109" s="41"/>
      <c r="E109" s="41"/>
      <c r="F109" s="7">
        <f ca="1">IF(ISERROR(F103),"",VLOOKUP(E103,INDIRECT($F$8),6+(O109-1)*3,0))</f>
        <v>4</v>
      </c>
      <c r="G109" s="42" t="e">
        <f ca="1">IF(ISERROR(F103),"",_xlfn.TEXTJOIN("/",FALSE,P109,S109))</f>
        <v>#N/A</v>
      </c>
      <c r="H109" s="42"/>
      <c r="I109" s="42" t="str">
        <f ca="1">IF(ISERROR(F103),"",_xlfn.TEXTJOIN("/",FALSE,Q109,T109))</f>
        <v>43/50</v>
      </c>
      <c r="J109" s="42"/>
      <c r="K109" s="42" t="e">
        <f ca="1">IF(ISERROR(F103),"",_xlfn.TEXTJOIN("/",FALSE,R109,U109))</f>
        <v>#N/A</v>
      </c>
      <c r="L109" s="42"/>
      <c r="M109" s="7" t="e">
        <f ca="1">IF(ISERROR(F103),"",IF(ISTEXT(P109),IF(P109="A","Ab",IF(P109="D","Dt",IF(P109="UFM","UFM",IF(P109="NA","")))),IF(AND(ISBLANK(P109),ISBLANK(R109)),"",IF(P109&lt;0.3*S109,"F",IF(ISBLANK(R109),"",IF(ISTEXT(R109),R109,IF(R109&gt;=0.9*U109,"O",IF(R109&gt;=0.85*U109,"A+",IF(R109&gt;=0.8*U109,"A",IF(R109&gt;=0.7*U109,"B+",IF(R109&gt;=0.6*U109,"B",IF(R109&gt;=0.5*U109,"C",IF(R109&gt;=0.4*U109,"P",IF(R109&lt;0.4*U109,"F",R109))))))))))))))</f>
        <v>#N/A</v>
      </c>
      <c r="N109" s="8" t="e">
        <f t="shared" ca="1" si="10"/>
        <v>#N/A</v>
      </c>
      <c r="O109">
        <f>O108+1</f>
        <v>2</v>
      </c>
      <c r="P109" s="1" t="e">
        <f ca="1">IF(ISERROR(F103),"",IF(ISTEXT(VLOOKUP(B103,INDIRECT($F$8),6+(O109-1)*3)),(VLOOKUP(B103,INDIRECT($F$8),6+(O109-1)*3)),SUM(VLOOKUP(B103,INDIRECT($F$8),6+(O109-1)*3),IF(W118,W109,0))))</f>
        <v>#N/A</v>
      </c>
      <c r="Q109" s="1">
        <f ca="1">IF(ISERROR(F103),"",VLOOKUP(B103,INDIRECT($F$8),7+(O109-1)*3))</f>
        <v>43</v>
      </c>
      <c r="R109" s="1" t="e">
        <f ca="1">IF(ISERROR(F103),"",SUM(P109:Q109))</f>
        <v>#N/A</v>
      </c>
      <c r="S109" s="1">
        <f ca="1">IF(ISERROR(F103),"",VLOOKUP(A103,INDIRECT($F$8),6+(O109-1)*3))</f>
        <v>100</v>
      </c>
      <c r="T109" s="1">
        <f ca="1">IF(ISERROR(F103),"",VLOOKUP(A103,INDIRECT($F$8),7+(O109-1)*3))</f>
        <v>50</v>
      </c>
      <c r="U109" s="1">
        <f ca="1">IF(ISERROR(F103),"",VLOOKUP(A103,INDIRECT($F$8),8+(O109-1)*3))</f>
        <v>150</v>
      </c>
      <c r="V109" s="1" t="e">
        <f ca="1">IF(ISERROR(F103),"",IF(N109=0,A109,""))</f>
        <v>#N/A</v>
      </c>
      <c r="W109" s="1">
        <f ca="1">IF(ISERROR(F103),"",IF(ISTEXT(VLOOKUP(B103,INDIRECT($F$8),6+(O109-1)*3)),11,IF(VLOOKUP(B103,INDIRECT($F$8),6+(O109-1)*3)&lt;S109*0.3,IF(VLOOKUP(B103,INDIRECT($F$8),8+(O109-1)*3)&lt;U109*0.4,IF(AND(0.4*U109-VLOOKUP(B103,INDIRECT($F$8),8+(O109-1)*3)&lt;=5,0.3*S109-VLOOKUP(B103,INDIRECT($F$8),6+(O109-1)*3)&lt;=5),MAX(0.4*U109-VLOOKUP(B103,INDIRECT($F$8),8+(O109-1)*3),0.3*S109-VLOOKUP(B103,INDIRECT($F$8),6+(O109-1)*3)),11),IF(0.3*S109-VLOOKUP(B103,INDIRECT($F$8),6+(O109-1)*3)&lt;=5,0.3*S109-VLOOKUP(B103,INDIRECT($F$8),6+(O109-1)*3),11)),IF(VLOOKUP(B103,INDIRECT($F$8),8+(O109-1)*3)&lt;U109*0.4,IF(U109*0.4-VLOOKUP(B103,INDIRECT($F$8),8+(O109-1)*3)&lt;=5,U109*0.4-VLOOKUP(B103,INDIRECT($F$8),8+(O109-1)*3),11),0))))</f>
        <v>0</v>
      </c>
      <c r="X109" s="1" t="str">
        <f ca="1">IF(ISERROR(F103),"",IF(W109=0,"",_xlfn.TEXTJOIN("",FALSE," G+",W109," in ",A109)))</f>
        <v/>
      </c>
    </row>
    <row r="110" spans="1:24" ht="13" customHeight="1" x14ac:dyDescent="0.2">
      <c r="A110" s="7" t="str">
        <f ca="1">IF(ISERROR(F103),"",VLOOKUP(C103,INDIRECT($F$8),6+(O110-1)*3,0))</f>
        <v>CAT 011</v>
      </c>
      <c r="B110" s="41" t="str">
        <f ca="1">IF(ISERROR(F103),"",VLOOKUP(D103,INDIRECT($F$8),6+(O110-1)*3,0))</f>
        <v>Object Oriented Programming with JAVA</v>
      </c>
      <c r="C110" s="41"/>
      <c r="D110" s="41"/>
      <c r="E110" s="41"/>
      <c r="F110" s="7">
        <f ca="1">IF(ISERROR(F103),"",VLOOKUP(E103,INDIRECT($F$8),6+(O110-1)*3,0))</f>
        <v>4</v>
      </c>
      <c r="G110" s="42" t="e">
        <f ca="1">IF(ISERROR(F103),"",_xlfn.TEXTJOIN("/",FALSE,P110,S110))</f>
        <v>#N/A</v>
      </c>
      <c r="H110" s="42"/>
      <c r="I110" s="42" t="str">
        <f ca="1">IF(ISERROR(F103),"",_xlfn.TEXTJOIN("/",FALSE,Q110,T110))</f>
        <v>41/50</v>
      </c>
      <c r="J110" s="42"/>
      <c r="K110" s="42" t="e">
        <f ca="1">IF(ISERROR(F103),"",_xlfn.TEXTJOIN("/",FALSE,R110,U110))</f>
        <v>#N/A</v>
      </c>
      <c r="L110" s="42"/>
      <c r="M110" s="7" t="e">
        <f ca="1">IF(ISERROR(F103),"",IF(ISTEXT(P110),IF(P110="A","Ab",IF(P110="D","Dt",IF(P110="UFM","UFM",IF(P110="NA","")))),IF(AND(ISBLANK(P110),ISBLANK(R110)),"",IF(P110&lt;0.3*S110,"F",IF(ISBLANK(R110),"",IF(ISTEXT(R110),R110,IF(R110&gt;=0.9*U110,"O",IF(R110&gt;=0.85*U110,"A+",IF(R110&gt;=0.8*U110,"A",IF(R110&gt;=0.7*U110,"B+",IF(R110&gt;=0.6*U110,"B",IF(R110&gt;=0.5*U110,"C",IF(R110&gt;=0.4*U110,"P",IF(R110&lt;0.4*U110,"F",R110))))))))))))))</f>
        <v>#N/A</v>
      </c>
      <c r="N110" s="8" t="e">
        <f t="shared" ca="1" si="10"/>
        <v>#N/A</v>
      </c>
      <c r="O110">
        <f>O109+1</f>
        <v>3</v>
      </c>
      <c r="P110" s="1" t="e">
        <f ca="1">IF(ISERROR(F103),"",IF(ISTEXT(VLOOKUP(B103,INDIRECT($F$8),6+(O110-1)*3)),(VLOOKUP(B103,INDIRECT($F$8),6+(O110-1)*3)),SUM(VLOOKUP(B103,INDIRECT($F$8),6+(O110-1)*3),IF(W118,W110,0))))</f>
        <v>#N/A</v>
      </c>
      <c r="Q110" s="1">
        <f ca="1">IF(ISERROR(F103),"",VLOOKUP(B103,INDIRECT($F$8),7+(O110-1)*3))</f>
        <v>41</v>
      </c>
      <c r="R110" s="1" t="e">
        <f ca="1">IF(ISERROR(F103),"",SUM(P110:Q110))</f>
        <v>#N/A</v>
      </c>
      <c r="S110" s="1">
        <f ca="1">IF(ISERROR(F103),"",VLOOKUP(A103,INDIRECT($F$8),6+(O110-1)*3))</f>
        <v>100</v>
      </c>
      <c r="T110" s="1">
        <f ca="1">IF(ISERROR(F103),"",VLOOKUP(A103,INDIRECT($F$8),7+(O110-1)*3))</f>
        <v>50</v>
      </c>
      <c r="U110" s="1">
        <f ca="1">IF(ISERROR(F103),"",VLOOKUP(A103,INDIRECT($F$8),8+(O110-1)*3))</f>
        <v>150</v>
      </c>
      <c r="V110" s="1" t="e">
        <f ca="1">IF(ISERROR(F103),"",IF(N110=0,A110,""))</f>
        <v>#N/A</v>
      </c>
      <c r="W110" s="1">
        <f ca="1">IF(ISERROR(F103),"",IF(ISTEXT(VLOOKUP(B103,INDIRECT($F$8),6+(O110-1)*3)),11,IF(VLOOKUP(B103,INDIRECT($F$8),6+(O110-1)*3)&lt;S110*0.3,IF(VLOOKUP(B103,INDIRECT($F$8),8+(O110-1)*3)&lt;U110*0.4,IF(AND(0.4*U110-VLOOKUP(B103,INDIRECT($F$8),8+(O110-1)*3)&lt;=5,0.3*S110-VLOOKUP(B103,INDIRECT($F$8),6+(O110-1)*3)&lt;=5),MAX(0.4*U110-VLOOKUP(B103,INDIRECT($F$8),8+(O110-1)*3),0.3*S110-VLOOKUP(B103,INDIRECT($F$8),6+(O110-1)*3)),11),IF(0.3*S110-VLOOKUP(B103,INDIRECT($F$8),6+(O110-1)*3)&lt;=5,0.3*S110-VLOOKUP(B103,INDIRECT($F$8),6+(O110-1)*3),11)),IF(VLOOKUP(B103,INDIRECT($F$8),8+(O110-1)*3)&lt;U110*0.4,IF(U110*0.4-VLOOKUP(B103,INDIRECT($F$8),8+(O110-1)*3)&lt;=5,U110*0.4-VLOOKUP(B103,INDIRECT($F$8),8+(O110-1)*3),11),0))))</f>
        <v>0</v>
      </c>
      <c r="X110" s="1" t="str">
        <f ca="1">IF(ISERROR(F103),"",IF(W110=0,"",_xlfn.TEXTJOIN("",FALSE," G+",W110," in ",A110)))</f>
        <v/>
      </c>
    </row>
    <row r="111" spans="1:24" ht="13" customHeight="1" x14ac:dyDescent="0.2">
      <c r="A111" s="7" t="str">
        <f ca="1">IF(ISERROR(F103),"",VLOOKUP(C103,INDIRECT($F$8),6+(O111-1)*3,0))</f>
        <v>CAT 012</v>
      </c>
      <c r="B111" s="41" t="str">
        <f ca="1">IF(ISERROR(F103),"",VLOOKUP(D103,INDIRECT($F$8),6+(O111-1)*3,0))</f>
        <v>Computer Networks</v>
      </c>
      <c r="C111" s="41"/>
      <c r="D111" s="41"/>
      <c r="E111" s="41"/>
      <c r="F111" s="7">
        <f ca="1">IF(ISERROR(F103),"",VLOOKUP(E103,INDIRECT($F$8),6+(O111-1)*3,0))</f>
        <v>4</v>
      </c>
      <c r="G111" s="42" t="e">
        <f ca="1">IF(ISERROR(F103),"",_xlfn.TEXTJOIN("/",FALSE,P111,S111))</f>
        <v>#N/A</v>
      </c>
      <c r="H111" s="42"/>
      <c r="I111" s="42" t="str">
        <f ca="1">IF(ISERROR(F103),"",_xlfn.TEXTJOIN("/",FALSE,Q111,T111))</f>
        <v>37/50</v>
      </c>
      <c r="J111" s="42"/>
      <c r="K111" s="42" t="e">
        <f ca="1">IF(ISERROR(F103),"",_xlfn.TEXTJOIN("/",FALSE,R111,U111))</f>
        <v>#N/A</v>
      </c>
      <c r="L111" s="42"/>
      <c r="M111" s="7" t="e">
        <f ca="1">IF(ISERROR(F103),"",IF(ISTEXT(P111),IF(P111="A","Ab",IF(P111="D","Dt",IF(P111="UFM","UFM",IF(P111="NA","")))),IF(AND(ISBLANK(P111),ISBLANK(R111)),"",IF(P111&lt;0.3*S111,"F",IF(ISBLANK(R111),"",IF(ISTEXT(R111),R111,IF(R111&gt;=0.9*U111,"O",IF(R111&gt;=0.85*U111,"A+",IF(R111&gt;=0.8*U111,"A",IF(R111&gt;=0.7*U111,"B+",IF(R111&gt;=0.6*U111,"B",IF(R111&gt;=0.5*U111,"C",IF(R111&gt;=0.4*U111,"P",IF(R111&lt;0.4*U111,"F",R111))))))))))))))</f>
        <v>#N/A</v>
      </c>
      <c r="N111" s="8" t="e">
        <f t="shared" ca="1" si="10"/>
        <v>#N/A</v>
      </c>
      <c r="O111">
        <f t="shared" ref="O111:O117" si="11">O110+1</f>
        <v>4</v>
      </c>
      <c r="P111" s="1" t="e">
        <f ca="1">IF(ISERROR(F103),"",IF(ISTEXT(VLOOKUP(B103,INDIRECT($F$8),6+(O111-1)*3)),(VLOOKUP(B103,INDIRECT($F$8),6+(O111-1)*3)),SUM(VLOOKUP(B103,INDIRECT($F$8),6+(O111-1)*3),IF(W118,W111,0))))</f>
        <v>#N/A</v>
      </c>
      <c r="Q111" s="1">
        <f ca="1">IF(ISERROR(F103),"",VLOOKUP(B103,INDIRECT($F$8),7+(O111-1)*3))</f>
        <v>37</v>
      </c>
      <c r="R111" s="1" t="e">
        <f ca="1">IF(ISERROR(F103),"",SUM(P111:Q111))</f>
        <v>#N/A</v>
      </c>
      <c r="S111" s="1">
        <f ca="1">IF(ISERROR(F103),"",VLOOKUP(A103,INDIRECT($F$8),6+(O111-1)*3))</f>
        <v>100</v>
      </c>
      <c r="T111" s="1">
        <f ca="1">IF(ISERROR(F103),"",VLOOKUP(A103,INDIRECT($F$8),7+(O111-1)*3))</f>
        <v>50</v>
      </c>
      <c r="U111" s="1">
        <f ca="1">IF(ISERROR(F103),"",VLOOKUP(A103,INDIRECT($F$8),8+(O111-1)*3))</f>
        <v>150</v>
      </c>
      <c r="V111" s="1" t="e">
        <f ca="1">IF(ISERROR(F103),"",IF(N111=0,A111,""))</f>
        <v>#N/A</v>
      </c>
      <c r="W111" s="1">
        <f ca="1">IF(ISERROR(F103),"",IF(ISTEXT(VLOOKUP(B103,INDIRECT($F$8),6+(O111-1)*3)),11,IF(VLOOKUP(B103,INDIRECT($F$8),6+(O111-1)*3)&lt;S111*0.3,IF(VLOOKUP(B103,INDIRECT($F$8),8+(O111-1)*3)&lt;U111*0.4,IF(AND(0.4*U111-VLOOKUP(B103,INDIRECT($F$8),8+(O111-1)*3)&lt;=5,0.3*S111-VLOOKUP(B103,INDIRECT($F$8),6+(O111-1)*3)&lt;=5),MAX(0.4*U111-VLOOKUP(B103,INDIRECT($F$8),8+(O111-1)*3),0.3*S111-VLOOKUP(B103,INDIRECT($F$8),6+(O111-1)*3)),11),IF(0.3*S111-VLOOKUP(B103,INDIRECT($F$8),6+(O111-1)*3)&lt;=5,0.3*S111-VLOOKUP(B103,INDIRECT($F$8),6+(O111-1)*3),11)),IF(VLOOKUP(B103,INDIRECT($F$8),8+(O111-1)*3)&lt;U111*0.4,IF(U111*0.4-VLOOKUP(B103,INDIRECT($F$8),8+(O111-1)*3)&lt;=5,U111*0.4-VLOOKUP(B103,INDIRECT($F$8),8+(O111-1)*3),11),0))))</f>
        <v>0</v>
      </c>
      <c r="X111" s="1" t="str">
        <f ca="1">IF(ISERROR(F103),"",IF(W111=0,"",_xlfn.TEXTJOIN("",FALSE," G+",W111," in ",A111)))</f>
        <v/>
      </c>
    </row>
    <row r="112" spans="1:24" ht="13" customHeight="1" x14ac:dyDescent="0.2">
      <c r="A112" s="7" t="str">
        <f ca="1">IF(ISERROR(F103),"",VLOOKUP(C103,INDIRECT($F$8),6+(O112-1)*3,0))</f>
        <v>CAT 013</v>
      </c>
      <c r="B112" s="41" t="str">
        <f ca="1">IF(ISERROR(F103),"",VLOOKUP(D103,INDIRECT($F$8),6+(O112-1)*3,0))</f>
        <v>Artificial Intelligence</v>
      </c>
      <c r="C112" s="41"/>
      <c r="D112" s="41"/>
      <c r="E112" s="41"/>
      <c r="F112" s="7">
        <f ca="1">IF(ISERROR(F103),"",VLOOKUP(E103,INDIRECT($F$8),6+(O112-1)*3,0))</f>
        <v>4</v>
      </c>
      <c r="G112" s="42" t="e">
        <f ca="1">IF(ISERROR(F103),"",_xlfn.TEXTJOIN("/",FALSE,P112,S112))</f>
        <v>#N/A</v>
      </c>
      <c r="H112" s="42"/>
      <c r="I112" s="42" t="str">
        <f ca="1">IF(ISERROR(F103),"",_xlfn.TEXTJOIN("/",FALSE,Q112,T112))</f>
        <v>47/50</v>
      </c>
      <c r="J112" s="42"/>
      <c r="K112" s="42" t="e">
        <f ca="1">IF(ISERROR(F103),"",_xlfn.TEXTJOIN("/",FALSE,R112,U112))</f>
        <v>#N/A</v>
      </c>
      <c r="L112" s="42"/>
      <c r="M112" s="7" t="e">
        <f ca="1">IF(ISERROR(F103),"",IF(ISTEXT(P112),IF(P112="A","Ab",IF(P112="D","Dt",IF(P112="UFM","UFM",IF(P112="NA","")))),IF(AND(ISBLANK(P112),ISBLANK(R112)),"",IF(P112&lt;0.3*S112,"F",IF(ISBLANK(R112),"",IF(ISTEXT(R112),R112,IF(R112&gt;=0.9*U112,"O",IF(R112&gt;=0.85*U112,"A+",IF(R112&gt;=0.8*U112,"A",IF(R112&gt;=0.7*U112,"B+",IF(R112&gt;=0.6*U112,"B",IF(R112&gt;=0.5*U112,"C",IF(R112&gt;=0.4*U112,"P",IF(R112&lt;0.4*U112,"F",R112))))))))))))))</f>
        <v>#N/A</v>
      </c>
      <c r="N112" s="8" t="e">
        <f t="shared" ca="1" si="10"/>
        <v>#N/A</v>
      </c>
      <c r="O112">
        <f t="shared" si="11"/>
        <v>5</v>
      </c>
      <c r="P112" s="1" t="e">
        <f ca="1">IF(ISERROR(F103),"",IF(ISTEXT(VLOOKUP(B103,INDIRECT($F$8),6+(O112-1)*3)),(VLOOKUP(B103,INDIRECT($F$8),6+(O112-1)*3)),SUM(VLOOKUP(B103,INDIRECT($F$8),6+(O112-1)*3),IF(W118,W112,0))))</f>
        <v>#N/A</v>
      </c>
      <c r="Q112" s="1">
        <f ca="1">IF(ISERROR(F103),"",VLOOKUP(B103,INDIRECT($F$8),7+(O112-1)*3))</f>
        <v>47</v>
      </c>
      <c r="R112" s="1" t="e">
        <f ca="1">IF(ISERROR(F103),"",SUM(P112:Q112))</f>
        <v>#N/A</v>
      </c>
      <c r="S112" s="1">
        <f ca="1">IF(ISERROR(F103),"",VLOOKUP(A103,INDIRECT($F$8),6+(O112-1)*3))</f>
        <v>100</v>
      </c>
      <c r="T112" s="1">
        <f ca="1">IF(ISERROR(F103),"",VLOOKUP(A103,INDIRECT($F$8),7+(O112-1)*3))</f>
        <v>50</v>
      </c>
      <c r="U112" s="1">
        <f ca="1">IF(ISERROR(F103),"",VLOOKUP(A103,INDIRECT($F$8),8+(O112-1)*3))</f>
        <v>150</v>
      </c>
      <c r="V112" s="1" t="e">
        <f ca="1">IF(ISERROR(F103),"",IF(N112=0,A112,""))</f>
        <v>#N/A</v>
      </c>
      <c r="W112" s="1">
        <f ca="1">IF(ISERROR(F103),"",IF(ISTEXT(VLOOKUP(B103,INDIRECT($F$8),6+(O112-1)*3)),11,IF(VLOOKUP(B103,INDIRECT($F$8),6+(O112-1)*3)&lt;S112*0.3,IF(VLOOKUP(B103,INDIRECT($F$8),8+(O112-1)*3)&lt;U112*0.4,IF(AND(0.4*U112-VLOOKUP(B103,INDIRECT($F$8),8+(O112-1)*3)&lt;=5,0.3*S112-VLOOKUP(B103,INDIRECT($F$8),6+(O112-1)*3)&lt;=5),MAX(0.4*U112-VLOOKUP(B103,INDIRECT($F$8),8+(O112-1)*3),0.3*S112-VLOOKUP(B103,INDIRECT($F$8),6+(O112-1)*3)),11),IF(0.3*S112-VLOOKUP(B103,INDIRECT($F$8),6+(O112-1)*3)&lt;=5,0.3*S112-VLOOKUP(B103,INDIRECT($F$8),6+(O112-1)*3),11)),IF(VLOOKUP(B103,INDIRECT($F$8),8+(O112-1)*3)&lt;U112*0.4,IF(U112*0.4-VLOOKUP(B103,INDIRECT($F$8),8+(O112-1)*3)&lt;=5,U112*0.4-VLOOKUP(B103,INDIRECT($F$8),8+(O112-1)*3),11),0))))</f>
        <v>0</v>
      </c>
      <c r="X112" s="1" t="str">
        <f ca="1">IF(ISERROR(F103),"",IF(W112=0,"",_xlfn.TEXTJOIN("",FALSE," G+",W112," in ",A112)))</f>
        <v/>
      </c>
    </row>
    <row r="113" spans="1:24" ht="13" customHeight="1" x14ac:dyDescent="0.2">
      <c r="A113" s="7" t="str">
        <f ca="1">IF(ISERROR(F103),"",VLOOKUP(C103,INDIRECT($F$8),6+(O113-1)*3,0))</f>
        <v>AHT 304</v>
      </c>
      <c r="B113" s="41" t="str">
        <f ca="1">IF(ISERROR(F103),"",VLOOKUP(D103,INDIRECT($F$8),6+(O113-1)*3,0))</f>
        <v>Accounting and Financial Management ($)</v>
      </c>
      <c r="C113" s="41"/>
      <c r="D113" s="41"/>
      <c r="E113" s="41"/>
      <c r="F113" s="7">
        <f ca="1">IF(ISERROR(F103),"",VLOOKUP(E103,INDIRECT($F$8),6+(O113-1)*3,0))</f>
        <v>0</v>
      </c>
      <c r="G113" s="42" t="e">
        <f ca="1">IF(ISERROR(F103),"",_xlfn.TEXTJOIN("/",FALSE,P113,S113))</f>
        <v>#N/A</v>
      </c>
      <c r="H113" s="42"/>
      <c r="I113" s="42" t="str">
        <f ca="1">IF(ISERROR(F103),"",_xlfn.TEXTJOIN("/",FALSE,Q113,T113))</f>
        <v>32/50</v>
      </c>
      <c r="J113" s="42"/>
      <c r="K113" s="42" t="e">
        <f ca="1">IF(ISERROR(F103),"",_xlfn.TEXTJOIN("/",FALSE,R113,U113))</f>
        <v>#N/A</v>
      </c>
      <c r="L113" s="42"/>
      <c r="M113" s="7" t="e">
        <f ca="1">IF(ISERROR(F103),"",IF(ISTEXT(P113),IF(P113="A","Ab",IF(P113="D","Dt",IF(P113="UFM","UFM",IF(P113="NA","")))),IF(AND(ISBLANK(P113),ISBLANK(R113)),"",IF(P113&lt;0.3*S113,"F",IF(ISBLANK(R113),"",IF(ISTEXT(R113),R113,IF(R113&gt;=0.9*U113,"O",IF(R113&gt;=0.85*U113,"A+",IF(R113&gt;=0.8*U113,"A",IF(R113&gt;=0.7*U113,"B+",IF(R113&gt;=0.6*U113,"B",IF(R113&gt;=0.5*U113,"C",IF(R113&gt;=0.4*U113,"P",IF(R113&lt;0.4*U113,"F",R113))))))))))))))</f>
        <v>#N/A</v>
      </c>
      <c r="N113" s="8" t="e">
        <f t="shared" ca="1" si="10"/>
        <v>#N/A</v>
      </c>
      <c r="O113">
        <f t="shared" si="11"/>
        <v>6</v>
      </c>
      <c r="P113" s="1" t="e">
        <f ca="1">IF(ISERROR(F103),"",IF(ISTEXT(VLOOKUP(B103,INDIRECT($F$8),6+(O113-1)*3)),(VLOOKUP(B103,INDIRECT($F$8),6+(O113-1)*3)),SUM(VLOOKUP(B103,INDIRECT($F$8),6+(O113-1)*3),IF(W118,W113,0))))</f>
        <v>#N/A</v>
      </c>
      <c r="Q113" s="1">
        <f ca="1">IF(ISERROR(F103),"",VLOOKUP(B103,INDIRECT($F$8),7+(O113-1)*3))</f>
        <v>32</v>
      </c>
      <c r="R113" s="1" t="e">
        <f ca="1">IF(ISERROR(F103),"",SUM(P113:Q113))</f>
        <v>#N/A</v>
      </c>
      <c r="S113" s="1">
        <f ca="1">IF(ISERROR(F103),"",VLOOKUP(A103,INDIRECT($F$8),6+(O113-1)*3))</f>
        <v>0</v>
      </c>
      <c r="T113" s="1">
        <f ca="1">IF(ISERROR(F103),"",VLOOKUP(A103,INDIRECT($F$8),7+(O113-1)*3))</f>
        <v>50</v>
      </c>
      <c r="U113" s="1">
        <f ca="1">IF(ISERROR(F103),"",VLOOKUP(A103,INDIRECT($F$8),8+(O113-1)*3))</f>
        <v>50</v>
      </c>
      <c r="V113" s="1" t="e">
        <f ca="1">IF(ISERROR(F103),"",IF(N113=0,A113,""))</f>
        <v>#N/A</v>
      </c>
      <c r="W113" s="1">
        <f ca="1">IF(ISERROR(F103),"",IF(ISTEXT(VLOOKUP(B103,INDIRECT($F$8),6+(O113-1)*3)),11,IF(VLOOKUP(B103,INDIRECT($F$8),6+(O113-1)*3)&lt;S113*0.3,IF(VLOOKUP(B103,INDIRECT($F$8),8+(O113-1)*3)&lt;U113*0.4,IF(AND(0.4*U113-VLOOKUP(B103,INDIRECT($F$8),8+(O113-1)*3)&lt;=5,0.3*S113-VLOOKUP(B103,INDIRECT($F$8),6+(O113-1)*3)&lt;=5),MAX(0.4*U113-VLOOKUP(B103,INDIRECT($F$8),8+(O113-1)*3),0.3*S113-VLOOKUP(B103,INDIRECT($F$8),6+(O113-1)*3)),11),IF(0.3*S113-VLOOKUP(B103,INDIRECT($F$8),6+(O113-1)*3)&lt;=5,0.3*S113-VLOOKUP(B103,INDIRECT($F$8),6+(O113-1)*3),11)),IF(VLOOKUP(B103,INDIRECT($F$8),8+(O113-1)*3)&lt;U113*0.4,IF(U113*0.4-VLOOKUP(B103,INDIRECT($F$8),8+(O113-1)*3)&lt;=5,U113*0.4-VLOOKUP(B103,INDIRECT($F$8),8+(O113-1)*3),11),0))))</f>
        <v>0</v>
      </c>
      <c r="X113" s="1" t="str">
        <f ca="1">IF(ISERROR(F103),"",IF(W113=0,"",_xlfn.TEXTJOIN("",FALSE," G+",W113," in ",A113)))</f>
        <v/>
      </c>
    </row>
    <row r="114" spans="1:24" ht="13" customHeight="1" x14ac:dyDescent="0.2">
      <c r="A114" s="7" t="str">
        <f ca="1">IF(ISERROR(F103),"",VLOOKUP(C103,INDIRECT($F$8),6+(O114-1)*3,0))</f>
        <v>CAP 004</v>
      </c>
      <c r="B114" s="41" t="str">
        <f ca="1">IF(ISERROR(F103),"",VLOOKUP(D103,INDIRECT($F$8),6+(O114-1)*3,0))</f>
        <v>Data Structures and Analysis of Algorithms Lab</v>
      </c>
      <c r="C114" s="41"/>
      <c r="D114" s="41"/>
      <c r="E114" s="41"/>
      <c r="F114" s="7">
        <f ca="1">IF(ISERROR(F103),"",VLOOKUP(E103,INDIRECT($F$8),6+(O114-1)*3,0))</f>
        <v>1</v>
      </c>
      <c r="G114" s="42" t="e">
        <f ca="1">IF(ISERROR(F103),"",_xlfn.TEXTJOIN("/",FALSE,P114,S114))</f>
        <v>#N/A</v>
      </c>
      <c r="H114" s="42"/>
      <c r="I114" s="42" t="str">
        <f ca="1">IF(ISERROR(F103),"",_xlfn.TEXTJOIN("/",FALSE,Q114,T114))</f>
        <v>18/20</v>
      </c>
      <c r="J114" s="42"/>
      <c r="K114" s="42" t="e">
        <f ca="1">IF(ISERROR(F103),"",_xlfn.TEXTJOIN("/",FALSE,R114,U114))</f>
        <v>#N/A</v>
      </c>
      <c r="L114" s="42"/>
      <c r="M114" s="7" t="e">
        <f ca="1">IF(ISERROR(F103),"",IF(ISTEXT(P114),IF(P114="A","Ab",IF(P114="D","Dt",IF(P114="UFM","UFM",IF(P114="NA","")))),IF(AND(ISBLANK(P114),ISBLANK(R114)),"",IF(P114&lt;0.3*S114,"F",IF(ISBLANK(R114),"",IF(ISTEXT(R114),R114,IF(R114&gt;=0.9*U114,"O",IF(R114&gt;=0.85*U114,"A+",IF(R114&gt;=0.8*U114,"A",IF(R114&gt;=0.7*U114,"B+",IF(R114&gt;=0.6*U114,"B",IF(R114&gt;=0.5*U114,"C",IF(R114&gt;=0.4*U114,"P",IF(R114&lt;0.4*U114,"F",R114))))))))))))))</f>
        <v>#N/A</v>
      </c>
      <c r="N114" s="8" t="e">
        <f t="shared" ca="1" si="10"/>
        <v>#N/A</v>
      </c>
      <c r="O114">
        <f t="shared" si="11"/>
        <v>7</v>
      </c>
      <c r="P114" s="1" t="e">
        <f ca="1">IF(ISERROR(F103),"",IF(ISTEXT(VLOOKUP(B103,INDIRECT($F$8),6+(O114-1)*3)),(VLOOKUP(B103,INDIRECT($F$8),6+(O114-1)*3)),SUM(VLOOKUP(B103,INDIRECT($F$8),6+(O114-1)*3),IF(W118,W114,0))))</f>
        <v>#N/A</v>
      </c>
      <c r="Q114" s="1">
        <f ca="1">IF(ISERROR(F103),"",VLOOKUP(B103,INDIRECT($F$8),7+(O114-1)*3))</f>
        <v>18</v>
      </c>
      <c r="R114" s="1" t="e">
        <f ca="1">IF(ISERROR(F103),"",SUM(P114:Q114))</f>
        <v>#N/A</v>
      </c>
      <c r="S114" s="1">
        <f ca="1">IF(ISERROR(F103),"",VLOOKUP(A103,INDIRECT($F$8),6+(O114-1)*3))</f>
        <v>30</v>
      </c>
      <c r="T114" s="1">
        <f ca="1">IF(ISERROR(F103),"",VLOOKUP(A103,INDIRECT($F$8),7+(O114-1)*3))</f>
        <v>20</v>
      </c>
      <c r="U114" s="1">
        <f ca="1">IF(ISERROR(F103),"",VLOOKUP(A103,INDIRECT($F$8),8+(O114-1)*3))</f>
        <v>50</v>
      </c>
      <c r="V114" s="1" t="e">
        <f ca="1">IF(ISERROR(F103),"",IF(N114=0,A114,""))</f>
        <v>#N/A</v>
      </c>
      <c r="W114" s="1">
        <f ca="1">IF(ISERROR(F103),"",IF(ISTEXT(VLOOKUP(B103,INDIRECT($F$8),6+(O114-1)*3)),11,IF(VLOOKUP(B103,INDIRECT($F$8),6+(O114-1)*3)&lt;S114*0.3,IF(VLOOKUP(B103,INDIRECT($F$8),8+(O114-1)*3)&lt;U114*0.4,IF(AND(0.4*U114-VLOOKUP(B103,INDIRECT($F$8),8+(O114-1)*3)&lt;=5,0.3*S114-VLOOKUP(B103,INDIRECT($F$8),6+(O114-1)*3)&lt;=5),MAX(0.4*U114-VLOOKUP(B103,INDIRECT($F$8),8+(O114-1)*3),0.3*S114-VLOOKUP(B103,INDIRECT($F$8),6+(O114-1)*3)),11),IF(0.3*S114-VLOOKUP(B103,INDIRECT($F$8),6+(O114-1)*3)&lt;=5,0.3*S114-VLOOKUP(B103,INDIRECT($F$8),6+(O114-1)*3),11)),IF(VLOOKUP(B103,INDIRECT($F$8),8+(O114-1)*3)&lt;U114*0.4,IF(U114*0.4-VLOOKUP(B103,INDIRECT($F$8),8+(O114-1)*3)&lt;=5,U114*0.4-VLOOKUP(B103,INDIRECT($F$8),8+(O114-1)*3),11),0))))</f>
        <v>0</v>
      </c>
      <c r="X114" s="1" t="str">
        <f ca="1">IF(ISERROR(F103),"",IF(W114=0,"",_xlfn.TEXTJOIN("",FALSE," G+",W114," in ",A114)))</f>
        <v/>
      </c>
    </row>
    <row r="115" spans="1:24" ht="13" customHeight="1" x14ac:dyDescent="0.2">
      <c r="A115" s="7" t="str">
        <f ca="1">IF(ISERROR(F103),"",VLOOKUP(C103,INDIRECT($F$8),6+(O115-1)*3,0))</f>
        <v>CAP 005</v>
      </c>
      <c r="B115" s="41" t="str">
        <f ca="1">IF(ISERROR(F103),"",VLOOKUP(D103,INDIRECT($F$8),6+(O115-1)*3-Z115,0))</f>
        <v>Object Oriented Programming with JAVA Lab</v>
      </c>
      <c r="C115" s="41"/>
      <c r="D115" s="41"/>
      <c r="E115" s="41"/>
      <c r="F115" s="7">
        <f ca="1">IF(ISERROR(F103),"",VLOOKUP(E103,INDIRECT($F$8),6+(O115-1)*3,0))</f>
        <v>1</v>
      </c>
      <c r="G115" s="42" t="e">
        <f ca="1">IF(ISERROR(F103),"",_xlfn.TEXTJOIN("/",FALSE,P115,S115))</f>
        <v>#N/A</v>
      </c>
      <c r="H115" s="42"/>
      <c r="I115" s="42" t="str">
        <f ca="1">IF(ISERROR(F103),"",_xlfn.TEXTJOIN("/",FALSE,Q115,T115))</f>
        <v>16/20</v>
      </c>
      <c r="J115" s="42"/>
      <c r="K115" s="42" t="e">
        <f ca="1">IF(ISERROR(F103),"",_xlfn.TEXTJOIN("/",FALSE,R115,U115))</f>
        <v>#N/A</v>
      </c>
      <c r="L115" s="42"/>
      <c r="M115" s="7" t="e">
        <f ca="1">IF(ISERROR(F103),"",IF(ISTEXT(P115),IF(P115="A","Ab",IF(P115="D","Dt",IF(P115="UFM","UFM",IF(P115="NA","")))),IF(AND(ISBLANK(P115),ISBLANK(R115)),"",IF(P115&lt;0.3*S115,"F",IF(ISBLANK(R115),"",IF(ISTEXT(R115),R115,IF(R115&gt;=0.9*U115,"O",IF(R115&gt;=0.85*U115,"A+",IF(R115&gt;=0.8*U115,"A",IF(R115&gt;=0.7*U115,"B+",IF(R115&gt;=0.6*U115,"B",IF(R115&gt;=0.5*U115,"C",IF(R115&gt;=0.4*U115,"P",IF(R115&lt;0.4*U115,"F",R115))))))))))))))</f>
        <v>#N/A</v>
      </c>
      <c r="N115" s="8" t="e">
        <f t="shared" ca="1" si="10"/>
        <v>#N/A</v>
      </c>
      <c r="O115">
        <f t="shared" si="11"/>
        <v>8</v>
      </c>
      <c r="P115" s="1" t="e">
        <f ca="1">IF(ISERROR(F103),"",IF(ISTEXT(VLOOKUP(B103,INDIRECT($F$8),6+(O115-1)*3)),(VLOOKUP(B103,INDIRECT($F$8),6+(O115-1)*3)),SUM(VLOOKUP(B103,INDIRECT($F$8),6+(O115-1)*3),IF(W118,W115,0))))</f>
        <v>#N/A</v>
      </c>
      <c r="Q115" s="1">
        <f ca="1">IF(ISERROR(F103),"",VLOOKUP(B103,INDIRECT($F$8),7+(O115-1)*3))</f>
        <v>16</v>
      </c>
      <c r="R115" s="1" t="e">
        <f ca="1">IF(ISERROR(F103),"",SUM(P115:Q115))</f>
        <v>#N/A</v>
      </c>
      <c r="S115" s="1">
        <f ca="1">IF(ISERROR(F103),"",VLOOKUP(A103,INDIRECT($F$8),6+(O115-1)*3))</f>
        <v>30</v>
      </c>
      <c r="T115" s="1">
        <f ca="1">IF(ISERROR(F103),"",VLOOKUP(A103,INDIRECT($F$8),7+(O115-1)*3))</f>
        <v>20</v>
      </c>
      <c r="U115" s="1">
        <f ca="1">IF(ISERROR(F103),"",VLOOKUP(A103,INDIRECT($F$8),8+(O115-1)*3))</f>
        <v>50</v>
      </c>
      <c r="V115" s="1" t="e">
        <f ca="1">IF(ISERROR(F103),"",IF(N115=0,A115,""))</f>
        <v>#N/A</v>
      </c>
      <c r="W115" s="1">
        <f ca="1">IF(ISERROR(F103),"",IF(ISTEXT(VLOOKUP(B103,INDIRECT($F$8),6+(O115-1)*3)),11,IF(VLOOKUP(B103,INDIRECT($F$8),6+(O115-1)*3)&lt;S115*0.3,IF(VLOOKUP(B103,INDIRECT($F$8),8+(O115-1)*3)&lt;U115*0.4,IF(AND(0.4*U115-VLOOKUP(B103,INDIRECT($F$8),8+(O115-1)*3)&lt;=5,0.3*S115-VLOOKUP(B103,INDIRECT($F$8),6+(O115-1)*3)&lt;=5),MAX(0.4*U115-VLOOKUP(B103,INDIRECT($F$8),8+(O115-1)*3),0.3*S115-VLOOKUP(B103,INDIRECT($F$8),6+(O115-1)*3)),11),IF(0.3*S115-VLOOKUP(B103,INDIRECT($F$8),6+(O115-1)*3)&lt;=5,0.3*S115-VLOOKUP(B103,INDIRECT($F$8),6+(O115-1)*3),11)),IF(VLOOKUP(B103,INDIRECT($F$8),8+(O115-1)*3)&lt;U115*0.4,IF(U115*0.4-VLOOKUP(B103,INDIRECT($F$8),8+(O115-1)*3)&lt;=5,U115*0.4-VLOOKUP(B103,INDIRECT($F$8),8+(O115-1)*3),11),0))))</f>
        <v>0</v>
      </c>
      <c r="X115" s="1" t="str">
        <f ca="1">IF(ISERROR(F103),"",IF(W115=0,"",_xlfn.TEXTJOIN("",FALSE," G+",W115," in ",A115)))</f>
        <v/>
      </c>
    </row>
    <row r="116" spans="1:24" ht="13" customHeight="1" x14ac:dyDescent="0.2">
      <c r="A116" s="7" t="str">
        <f ca="1">IF(ISERROR(F103),"",VLOOKUP(C103,INDIRECT($F$8),6+(O116-1)*3,0))</f>
        <v>CAP 006</v>
      </c>
      <c r="B116" s="41" t="str">
        <f ca="1">IF(ISERROR(F103),"",VLOOKUP(D103,INDIRECT($F$8),6+(O116-1)*3-Z116,0))</f>
        <v>Computer Networks Lab</v>
      </c>
      <c r="C116" s="41"/>
      <c r="D116" s="41"/>
      <c r="E116" s="41"/>
      <c r="F116" s="7">
        <f ca="1">IF(ISERROR(F103),"",VLOOKUP(E103,INDIRECT($F$8),6+(O116-1)*3,0))</f>
        <v>1</v>
      </c>
      <c r="G116" s="42" t="e">
        <f ca="1">IF(ISERROR(F103),"",_xlfn.TEXTJOIN("/",FALSE,P116,S116))</f>
        <v>#N/A</v>
      </c>
      <c r="H116" s="42"/>
      <c r="I116" s="42" t="str">
        <f ca="1">IF(ISERROR(F103),"",_xlfn.TEXTJOIN("/",FALSE,Q116,T116))</f>
        <v>16/20</v>
      </c>
      <c r="J116" s="42"/>
      <c r="K116" s="42" t="e">
        <f ca="1">IF(ISERROR(F103),"",_xlfn.TEXTJOIN("/",FALSE,R116,U116))</f>
        <v>#N/A</v>
      </c>
      <c r="L116" s="42"/>
      <c r="M116" s="7" t="e">
        <f ca="1">IF(ISERROR(F103),"",IF(ISTEXT(P116),IF(P116="A","Ab",IF(P116="D","Dt",IF(P116="UFM","UFM",IF(P116="NA","")))),IF(AND(ISBLANK(P116),ISBLANK(R116)),"",IF(P116&lt;0.3*S116,"F",IF(ISBLANK(R116),"",IF(ISTEXT(R116),R116,IF(R116&gt;=0.9*U116,"O",IF(R116&gt;=0.85*U116,"A+",IF(R116&gt;=0.8*U116,"A",IF(R116&gt;=0.7*U116,"B+",IF(R116&gt;=0.6*U116,"B",IF(R116&gt;=0.5*U116,"C",IF(R116&gt;=0.4*U116,"P",IF(R116&lt;0.4*U116,"F",R116))))))))))))))</f>
        <v>#N/A</v>
      </c>
      <c r="N116" s="8" t="e">
        <f t="shared" ca="1" si="10"/>
        <v>#N/A</v>
      </c>
      <c r="O116">
        <f t="shared" si="11"/>
        <v>9</v>
      </c>
      <c r="P116" s="1" t="e">
        <f ca="1">IF(ISERROR(F103),"",IF(ISTEXT(VLOOKUP(B103,INDIRECT($F$8),6+(O116-1)*3)),(VLOOKUP(B103,INDIRECT($F$8),6+(O116-1)*3)),SUM(VLOOKUP(B103,INDIRECT($F$8),6+(O116-1)*3),IF(W118,W116,0))))</f>
        <v>#N/A</v>
      </c>
      <c r="Q116" s="1">
        <f ca="1">IF(ISERROR(F103),"",VLOOKUP(B103,INDIRECT($F$8),7+(O116-1)*3))</f>
        <v>16</v>
      </c>
      <c r="R116" s="1" t="e">
        <f ca="1">IF(ISERROR(F103),"",SUM(P116:Q116))</f>
        <v>#N/A</v>
      </c>
      <c r="S116" s="1">
        <f ca="1">IF(ISERROR(F103),"",VLOOKUP(A103,INDIRECT($F$8),6+(O116-1)*3))</f>
        <v>30</v>
      </c>
      <c r="T116" s="1">
        <f ca="1">IF(ISERROR(F103),"",VLOOKUP(A103,INDIRECT($F$8),7+(O116-1)*3))</f>
        <v>20</v>
      </c>
      <c r="U116" s="1">
        <f ca="1">IF(ISERROR(F103),"",VLOOKUP(A103,INDIRECT($F$8),8+(O116-1)*3))</f>
        <v>50</v>
      </c>
      <c r="V116" s="1" t="e">
        <f ca="1">IF(ISERROR(F103),"",IF(N116=0,A116,""))</f>
        <v>#N/A</v>
      </c>
      <c r="W116" s="1">
        <f ca="1">IF(ISERROR(F103),"",IF(ISTEXT(VLOOKUP(B103,INDIRECT($F$8),6+(O116-1)*3)),11,IF(VLOOKUP(B103,INDIRECT($F$8),6+(O116-1)*3)&lt;S116*0.3,IF(VLOOKUP(B103,INDIRECT($F$8),8+(O116-1)*3)&lt;U116*0.4,IF(AND(0.4*U116-VLOOKUP(B103,INDIRECT($F$8),8+(O116-1)*3)&lt;=5,0.3*S116-VLOOKUP(B103,INDIRECT($F$8),6+(O116-1)*3)&lt;=5),MAX(0.4*U116-VLOOKUP(B103,INDIRECT($F$8),8+(O116-1)*3),0.3*S116-VLOOKUP(B103,INDIRECT($F$8),6+(O116-1)*3)),11),IF(0.3*S116-VLOOKUP(B103,INDIRECT($F$8),6+(O116-1)*3)&lt;=5,0.3*S116-VLOOKUP(B103,INDIRECT($F$8),6+(O116-1)*3),11)),IF(VLOOKUP(B103,INDIRECT($F$8),8+(O116-1)*3)&lt;U116*0.4,IF(U116*0.4-VLOOKUP(B103,INDIRECT($F$8),8+(O116-1)*3)&lt;=5,U116*0.4-VLOOKUP(B103,INDIRECT($F$8),8+(O116-1)*3),11),0))))</f>
        <v>0</v>
      </c>
      <c r="X116" s="1" t="str">
        <f ca="1">IF(ISERROR(F103),"",IF(W116=0,"",_xlfn.TEXTJOIN("",FALSE," G+",W116," in ",A116)))</f>
        <v/>
      </c>
    </row>
    <row r="117" spans="1:24" ht="13" customHeight="1" x14ac:dyDescent="0.2">
      <c r="A117" s="7" t="str">
        <f ca="1">IF(ISERROR(F103),"",VLOOKUP(C103,INDIRECT($F$8),6+(O117-1)*3,0))</f>
        <v>CAP 007</v>
      </c>
      <c r="B117" s="41" t="str">
        <f ca="1">IF(ISERROR(F103),"",VLOOKUP(D103,INDIRECT($F$8),6+(O117-1)*3,0))</f>
        <v>Artificial Intelligence Lab</v>
      </c>
      <c r="C117" s="41"/>
      <c r="D117" s="41"/>
      <c r="E117" s="41"/>
      <c r="F117" s="7">
        <f ca="1">IF(ISERROR(F103),"",VLOOKUP(E103,INDIRECT($F$8),6+(O117-1)*3,0))</f>
        <v>1</v>
      </c>
      <c r="G117" s="42" t="e">
        <f ca="1">IF(ISERROR(F103),"",_xlfn.TEXTJOIN("/",FALSE,P117,S117))</f>
        <v>#N/A</v>
      </c>
      <c r="H117" s="42"/>
      <c r="I117" s="42" t="str">
        <f ca="1">IF(ISERROR(F103),"",_xlfn.TEXTJOIN("/",FALSE,Q117,T117))</f>
        <v>18/20</v>
      </c>
      <c r="J117" s="42"/>
      <c r="K117" s="42" t="e">
        <f ca="1">IF(ISERROR(F103),"",_xlfn.TEXTJOIN("/",FALSE,R117,U117))</f>
        <v>#N/A</v>
      </c>
      <c r="L117" s="42"/>
      <c r="M117" s="7" t="e">
        <f ca="1">IF(ISERROR(F103),"",IF(ISTEXT(P117),IF(P117="A","Ab",IF(P117="D","Dt",IF(P117="UFM","UFM",IF(P117="NA","")))),IF(AND(ISBLANK(P117),ISBLANK(R117)),"",IF(P117&lt;0.3*S117,"F",IF(ISBLANK(R117),"",IF(ISTEXT(R117),R117,IF(R117&gt;=0.9*U117,"O",IF(R117&gt;=0.85*U117,"A+",IF(R117&gt;=0.8*U117,"A",IF(R117&gt;=0.7*U117,"B+",IF(R117&gt;=0.6*U117,"B",IF(R117&gt;=0.5*U117,"C",IF(R117&gt;=0.4*U117,"P",IF(R117&lt;0.4*U117,"F",R117))))))))))))))</f>
        <v>#N/A</v>
      </c>
      <c r="N117" s="8" t="e">
        <f t="shared" ca="1" si="10"/>
        <v>#N/A</v>
      </c>
      <c r="O117">
        <f t="shared" si="11"/>
        <v>10</v>
      </c>
      <c r="P117" s="1" t="e">
        <f ca="1">IF(ISERROR(F103),"",IF(ISTEXT(VLOOKUP(B103,INDIRECT($F$8),6+(O117-1)*3)),(VLOOKUP(B103,INDIRECT($F$8),6+(O117-1)*3)),SUM(VLOOKUP(B103,INDIRECT($F$8),6+(O117-1)*3),IF(W118,W117,0))))</f>
        <v>#N/A</v>
      </c>
      <c r="Q117" s="1">
        <f ca="1">IF(ISERROR(F103),"",VLOOKUP(B103,INDIRECT($F$8),7+(O117-1)*3))</f>
        <v>18</v>
      </c>
      <c r="R117" s="1" t="e">
        <f ca="1">IF(ISERROR(F103),"",SUM(P117:Q117))</f>
        <v>#N/A</v>
      </c>
      <c r="S117" s="1">
        <f ca="1">IF(ISERROR(F103),"",VLOOKUP(A103,INDIRECT($F$8),6+(O117-1)*3))</f>
        <v>30</v>
      </c>
      <c r="T117" s="1">
        <f ca="1">IF(ISERROR(F103),"",VLOOKUP(A103,INDIRECT($F$8),7+(O117-1)*3))</f>
        <v>20</v>
      </c>
      <c r="U117" s="1">
        <f ca="1">IF(ISERROR(F103),"",VLOOKUP(A103,INDIRECT($F$8),8+(O117-1)*3))</f>
        <v>50</v>
      </c>
      <c r="V117" s="1" t="e">
        <f ca="1">IF(ISERROR(F103),"",IF(N117=0,A117,""))</f>
        <v>#N/A</v>
      </c>
      <c r="W117" s="1">
        <f ca="1">IF(ISERROR(F103),"",IF(ISTEXT(VLOOKUP(B103,INDIRECT($F$8),6+(O117-1)*3)),11,IF(VLOOKUP(B103,INDIRECT($F$8),6+(O117-1)*3)&lt;S117*0.3,IF(VLOOKUP(B103,INDIRECT($F$8),8+(O117-1)*3)&lt;U117*0.4,IF(AND(0.4*U117-VLOOKUP(B103,INDIRECT($F$8),8+(O117-1)*3)&lt;=5,0.3*S117-VLOOKUP(B103,INDIRECT($F$8),6+(O117-1)*3)&lt;=5),MAX(0.4*U117-VLOOKUP(B103,INDIRECT($F$8),8+(O117-1)*3),0.3*S117-VLOOKUP(B103,INDIRECT($F$8),6+(O117-1)*3)),11),IF(0.3*S117-VLOOKUP(B103,INDIRECT($F$8),6+(O117-1)*3)&lt;=5,0.3*S117-VLOOKUP(B103,INDIRECT($F$8),6+(O117-1)*3),11)),IF(VLOOKUP(B103,INDIRECT($F$8),8+(O117-1)*3)&lt;U117*0.4,IF(U117*0.4-VLOOKUP(B103,INDIRECT($F$8),8+(O117-1)*3)&lt;=5,U117*0.4-VLOOKUP(B103,INDIRECT($F$8),8+(O117-1)*3),11),0))))</f>
        <v>0</v>
      </c>
      <c r="X117" s="1" t="str">
        <f ca="1">IF(ISERROR(F103),"",IF(W117=0,"",_xlfn.TEXTJOIN("",FALSE," G+",W117," in ",A117)))</f>
        <v/>
      </c>
    </row>
    <row r="118" spans="1:24" ht="13" customHeight="1" x14ac:dyDescent="0.2">
      <c r="A118" s="43" t="str">
        <f ca="1">IF(ISERROR(F103),"",A99)</f>
        <v>Total Credits/ Marks/ Total Grade Points</v>
      </c>
      <c r="B118" s="43"/>
      <c r="C118" s="43"/>
      <c r="D118" s="43"/>
      <c r="E118" s="43"/>
      <c r="F118" s="10">
        <f ca="1">IF(ISERROR(F103),"",SUM(F108:F117))</f>
        <v>24</v>
      </c>
      <c r="G118" s="44" t="e">
        <f ca="1">IF(ISERROR(F103),"",_xlfn.TEXTJOIN("/",TRUE,SUMIF(F108:F117,"&gt;0",P108:P117),SUMIF(F108:F117,"&gt;0",S108:S117)))</f>
        <v>#N/A</v>
      </c>
      <c r="H118" s="44"/>
      <c r="I118" s="44" t="str">
        <f ca="1">IF(ISERROR(F103),"",_xlfn.TEXTJOIN("/",TRUE,SUMIF(F108:F117,"&gt;0",Q108:Q117),SUMIF(F108:F117,"&gt;0",T108:T117)))</f>
        <v>281/330</v>
      </c>
      <c r="J118" s="44"/>
      <c r="K118" s="44" t="e">
        <f ca="1">IF(ISERROR(F103),"",_xlfn.TEXTJOIN("/",TRUE,SUMIF(F108:F117,"&gt;0",R108:R117),SUMIF(F108:F117,"&gt;0",U108:U117)))</f>
        <v>#N/A</v>
      </c>
      <c r="L118" s="44"/>
      <c r="M118" s="43" t="e">
        <f ca="1">IF(ISERROR(F103),"",SUMPRODUCT(N108:N117,F108:F117))</f>
        <v>#N/A</v>
      </c>
      <c r="N118" s="43"/>
      <c r="V118" s="1" t="e">
        <f ca="1">IF(ISERROR(F103),"",_xlfn.TEXTJOIN(", ",TRUE,V108:V117))</f>
        <v>#N/A</v>
      </c>
      <c r="W118" t="e">
        <f ca="1">IF(ISERROR(F103),"",IF(SUM(W108:W117)&lt;=W107,TRUE,FALSE))</f>
        <v>#N/A</v>
      </c>
      <c r="X118" s="1" t="str">
        <f ca="1">IF(ISERROR(F103),"",_xlfn.TEXTJOIN(",",TRUE,X108:X117))</f>
        <v/>
      </c>
    </row>
    <row r="119" spans="1:24" ht="13" customHeight="1" x14ac:dyDescent="0.2">
      <c r="A119" s="43" t="str">
        <f ca="1">IF(ISERROR(F103),"",A100)</f>
        <v>Result:</v>
      </c>
      <c r="B119" s="45" t="e">
        <f ca="1">IF(ISERROR(F103),"",IF(V118="","PASS","CARRY OVER"))</f>
        <v>#N/A</v>
      </c>
      <c r="C119" s="45"/>
      <c r="D119" s="43" t="str">
        <f ca="1">IF(ISERROR(F103),"",D100)</f>
        <v>Remark:</v>
      </c>
      <c r="E119" s="45" t="e">
        <f ca="1">IF(ISERROR(F103),"",IF(V118="",IF(X118="","",X118),_xlfn.TEXTJOIN(" ",TRUE,"BACK IN",V118)))</f>
        <v>#N/A</v>
      </c>
      <c r="F119" s="45"/>
      <c r="G119" s="43" t="str">
        <f ca="1">IF(ISERROR(F103),"",G100)</f>
        <v>SGPA:</v>
      </c>
      <c r="H119" s="46" t="e">
        <f ca="1">IF(ISERROR(F103),"",M118/F118)</f>
        <v>#N/A</v>
      </c>
      <c r="I119" s="43" t="str">
        <f ca="1">IF(ISERROR(F103),"",I100)</f>
        <v>CGPA:</v>
      </c>
      <c r="J119" s="46" t="e">
        <f ca="1">IF(ISERROR(F103),"",VLOOKUP(B103,INDIRECT($F$8),12+(O117-1)*3,0))</f>
        <v>#N/A</v>
      </c>
      <c r="K119" s="45" t="str">
        <f ca="1">IF(ISERROR(F103),"",K100)</f>
        <v>Earned Credits:</v>
      </c>
      <c r="L119" s="43">
        <f ca="1">IF(ISERROR(F103),"",SUMIF(N108:N117,"&gt;0",F108:F117))</f>
        <v>0</v>
      </c>
      <c r="M119" s="45" t="str">
        <f ca="1">IF(ISERROR(F103),"",M100)</f>
        <v>Cuml. Earned Credits:</v>
      </c>
      <c r="N119" s="43" t="e">
        <f ca="1">IF(ISERROR(F103),"",VLOOKUP(B103,INDIRECT($F$8),10+(O117-1)*3,0))</f>
        <v>#N/A</v>
      </c>
    </row>
    <row r="120" spans="1:24" ht="13" customHeight="1" x14ac:dyDescent="0.2">
      <c r="A120" s="43"/>
      <c r="B120" s="45"/>
      <c r="C120" s="45"/>
      <c r="D120" s="43"/>
      <c r="E120" s="45"/>
      <c r="F120" s="45"/>
      <c r="G120" s="43"/>
      <c r="H120" s="46"/>
      <c r="I120" s="43"/>
      <c r="J120" s="46"/>
      <c r="K120" s="45"/>
      <c r="L120" s="43"/>
      <c r="M120" s="45"/>
      <c r="N120" s="43"/>
    </row>
    <row r="121" spans="1:24" ht="15" x14ac:dyDescent="0.2">
      <c r="A121" s="43"/>
      <c r="B121" s="45"/>
      <c r="C121" s="45"/>
      <c r="D121" s="43"/>
      <c r="E121" s="45"/>
      <c r="F121" s="45"/>
      <c r="G121" s="43"/>
      <c r="H121" s="46"/>
      <c r="I121" s="43"/>
      <c r="J121" s="46"/>
      <c r="K121" s="45"/>
      <c r="L121" s="43"/>
      <c r="M121" s="45"/>
      <c r="N121" s="43"/>
    </row>
    <row r="122" spans="1:24" ht="13" customHeight="1" x14ac:dyDescent="0.2">
      <c r="A122" s="11" t="str">
        <f>A103</f>
        <v>MM</v>
      </c>
      <c r="B122" s="11">
        <f>B103+1</f>
        <v>7</v>
      </c>
      <c r="C122" s="11" t="str">
        <f>C103</f>
        <v>SC</v>
      </c>
      <c r="D122" s="11" t="str">
        <f>D103</f>
        <v>SN</v>
      </c>
      <c r="E122" s="11" t="str">
        <f>E103</f>
        <v>C</v>
      </c>
      <c r="F122" s="11" t="str">
        <f ca="1">VLOOKUP(B122,INDIRECT($F$8),4,0)</f>
        <v>AYUSH MAURYA</v>
      </c>
    </row>
    <row r="123" spans="1:24" ht="13" customHeight="1" x14ac:dyDescent="0.2">
      <c r="A123" s="47" t="str">
        <f ca="1">IF(ISERROR(F122),"",A104)</f>
        <v>Name:</v>
      </c>
      <c r="B123" s="47" t="str">
        <f ca="1">IFERROR(VLOOKUP(B122,INDIRECT($F$8),4,0),"")</f>
        <v>AYUSH MAURYA</v>
      </c>
      <c r="C123" s="47"/>
      <c r="D123" s="47" t="str">
        <f ca="1">IF(ISERROR(F122),"",D104)</f>
        <v>Father's Name:</v>
      </c>
      <c r="E123" s="47" t="str">
        <f ca="1">IFERROR(VLOOKUP(B122,INDIRECT($F$8),5,0),"")</f>
        <v>BABU RAM</v>
      </c>
      <c r="F123" s="47"/>
      <c r="G123" s="47" t="str">
        <f ca="1">IF(ISERROR(F122),"",G104)</f>
        <v>University Roll No:</v>
      </c>
      <c r="H123" s="47"/>
      <c r="I123" s="48">
        <f ca="1">IFERROR(VLOOKUP(B122,INDIRECT($F$8),2,0),"")</f>
        <v>240090600007</v>
      </c>
      <c r="J123" s="48"/>
      <c r="K123" s="47" t="str">
        <f ca="1">IF(ISERROR(F122),"",K104)</f>
        <v>University Enrol. No:</v>
      </c>
      <c r="L123" s="47"/>
      <c r="M123" s="48" t="str">
        <f ca="1">IFERROR(VLOOKUP(B122,INDIRECT($F$8),3,0),"")</f>
        <v>UTU/2406100174</v>
      </c>
      <c r="N123" s="48"/>
    </row>
    <row r="124" spans="1:24" ht="15" x14ac:dyDescent="0.2">
      <c r="A124" s="47"/>
      <c r="B124" s="47"/>
      <c r="C124" s="47"/>
      <c r="D124" s="47"/>
      <c r="E124" s="47"/>
      <c r="F124" s="47"/>
      <c r="G124" s="47"/>
      <c r="H124" s="47"/>
      <c r="I124" s="48"/>
      <c r="J124" s="48"/>
      <c r="K124" s="47"/>
      <c r="L124" s="47"/>
      <c r="M124" s="48"/>
      <c r="N124" s="48"/>
    </row>
    <row r="125" spans="1:24" ht="13" customHeight="1" x14ac:dyDescent="0.2">
      <c r="A125" s="45" t="str">
        <f ca="1">IF(ISERROR(F122),"",A106)</f>
        <v>Subject Code</v>
      </c>
      <c r="B125" s="45" t="str">
        <f ca="1">IF(ISERROR(F122),"",B106)</f>
        <v>Subject Name</v>
      </c>
      <c r="C125" s="45"/>
      <c r="D125" s="45"/>
      <c r="E125" s="45"/>
      <c r="F125" s="45" t="str">
        <f ca="1">IF(ISERROR(F122),"",F106)</f>
        <v>Credits</v>
      </c>
      <c r="G125" s="45" t="str">
        <f ca="1">IF(ISERROR(F122),"",G106)</f>
        <v>External Marks</v>
      </c>
      <c r="H125" s="45"/>
      <c r="I125" s="45" t="str">
        <f ca="1">IF(ISERROR(F122),"",I106)</f>
        <v>Sessional Marks</v>
      </c>
      <c r="J125" s="45"/>
      <c r="K125" s="45" t="str">
        <f ca="1">IF(ISERROR(F122),"",K106)</f>
        <v>Total Marks</v>
      </c>
      <c r="L125" s="45"/>
      <c r="M125" s="45" t="str">
        <f ca="1">IF(ISERROR(F122),"",M106)</f>
        <v>Grade</v>
      </c>
      <c r="N125" s="45" t="str">
        <f ca="1">IF(ISERROR(F122),"",N106)</f>
        <v>Grade Points</v>
      </c>
    </row>
    <row r="126" spans="1:24" ht="15" x14ac:dyDescent="0.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W126" t="e">
        <f ca="1">IF(ISNUMBER(MATCH($F$8,{"I","III","V","VII"},0)),10,10-INDEX(INDIRECT(_xlfn.TEXTJOIN("",TRUE,"SEM_",$G$8,"!",ADDRESS(6,4+$I$8*3+4),":",ADDRESS(5+$H$8,4+$I$8*3+4))),MATCH(INDIRECT(_xlfn.TEXTJOIN("",TRUE,"TC_",$F$8,"!",ADDRESS(ROW(I123),COLUMN(I123)))),INDIRECT(_xlfn.TEXTJOIN("",TRUE,"SEM_",$G$8,"!",ADDRESS(6,2),":",ADDRESS(5+$H$8,2))))))</f>
        <v>#N/A</v>
      </c>
    </row>
    <row r="127" spans="1:24" ht="13" customHeight="1" x14ac:dyDescent="0.2">
      <c r="A127" s="7" t="str">
        <f ca="1">IF(ISERROR(F122),"",VLOOKUP(C122,INDIRECT($F$8),6+(O127-1)*3,0))</f>
        <v>CAT 009</v>
      </c>
      <c r="B127" s="41" t="str">
        <f ca="1">IF(ISERROR(F122),"",VLOOKUP(D122,INDIRECT($F$8),6+(O127-1)*3,0))</f>
        <v>Computer Based Numerical and Statistical Techniques</v>
      </c>
      <c r="C127" s="41"/>
      <c r="D127" s="41"/>
      <c r="E127" s="41"/>
      <c r="F127" s="7">
        <f ca="1">IF(ISERROR(F122),"",VLOOKUP(E122,INDIRECT($F$8),6+(O127-1)*3,0))</f>
        <v>4</v>
      </c>
      <c r="G127" s="42" t="e">
        <f ca="1">IF(ISERROR(F122),"",_xlfn.TEXTJOIN("/",FALSE,P127,S127))</f>
        <v>#N/A</v>
      </c>
      <c r="H127" s="42"/>
      <c r="I127" s="42" t="str">
        <f ca="1">IF(ISERROR(F122),"",_xlfn.TEXTJOIN("/",FALSE,Q127,T127))</f>
        <v>46/50</v>
      </c>
      <c r="J127" s="42"/>
      <c r="K127" s="42" t="e">
        <f ca="1">IF(ISERROR(F122),"",_xlfn.TEXTJOIN("/",FALSE,R127,U127))</f>
        <v>#N/A</v>
      </c>
      <c r="L127" s="42"/>
      <c r="M127" s="7" t="e">
        <f ca="1">IF(ISERROR(F122),"",IF(ISTEXT(P127),IF(P127="A","Ab",IF(P127="D","Dt",IF(P127="UFM","UFM",IF(P127="NA","")))),IF(AND(ISBLANK(P127),ISBLANK(R127)),"",IF(P127&lt;0.3*S127,"F",IF(ISBLANK(R127),"",IF(ISTEXT(R127),R127,IF(R127&gt;=0.9*U127,"O",IF(R127&gt;=0.85*U127,"A+",IF(R127&gt;=0.8*U127,"A",IF(R127&gt;=0.7*U127,"B+",IF(R127&gt;=0.6*U127,"B",IF(R127&gt;=0.5*U127,"C",IF(R127&gt;=0.4*U127,"P",IF(R127&lt;0.4*U127,"F",R127))))))))))))))</f>
        <v>#N/A</v>
      </c>
      <c r="N127" s="8" t="e">
        <f t="shared" ref="N127:N136" ca="1" si="12">INDEX($Z$2:$Z$13,MATCH(M127,$Y$2:$Y$13,0))</f>
        <v>#N/A</v>
      </c>
      <c r="O127">
        <v>1</v>
      </c>
      <c r="P127" s="1" t="e">
        <f ca="1">IF(ISERROR(F122),"",IF(ISTEXT(VLOOKUP(B122,INDIRECT($F$8),6+(O127-1)*3)),(VLOOKUP(B122,INDIRECT($F$8),6+(O127-1)*3)),SUM(VLOOKUP(B122,INDIRECT($F$8),6+(O127-1)*3),IF(W137,W127,0))))</f>
        <v>#N/A</v>
      </c>
      <c r="Q127" s="1">
        <f ca="1">IF(ISERROR(F122),"",VLOOKUP(B122,INDIRECT($F$8),7+(O127-1)*3))</f>
        <v>46</v>
      </c>
      <c r="R127" s="1" t="e">
        <f ca="1">IF(ISERROR(F122),"",SUM(P127:Q127))</f>
        <v>#N/A</v>
      </c>
      <c r="S127" s="1">
        <f ca="1">IF(ISERROR(F122),"",VLOOKUP(A122,INDIRECT($F$8),6+(O127-1)*3))</f>
        <v>100</v>
      </c>
      <c r="T127" s="1">
        <f ca="1">IF(ISERROR(F122),"",VLOOKUP(A122,INDIRECT($F$8),7+(O127-1)*3))</f>
        <v>50</v>
      </c>
      <c r="U127" s="1">
        <f ca="1">IF(ISERROR(F122),"",VLOOKUP(A122,INDIRECT($F$8),8+(O127-1)*3))</f>
        <v>150</v>
      </c>
      <c r="V127" s="1" t="e">
        <f ca="1">IF(ISERROR(F122),"",IF(N127=0,A127,""))</f>
        <v>#N/A</v>
      </c>
      <c r="W127" s="1">
        <f ca="1">IF(ISERROR(F122),"",IF(ISTEXT(VLOOKUP(B122,INDIRECT($F$8),6+(O127-1)*3)),11,IF(VLOOKUP(B122,INDIRECT($F$8),6+(O127-1)*3)&lt;S127*0.3,IF(VLOOKUP(B122,INDIRECT($F$8),8+(O127-1)*3)&lt;U127*0.4,IF(AND(0.4*U127-VLOOKUP(B122,INDIRECT($F$8),8+(O127-1)*3)&lt;=5,0.3*S127-VLOOKUP(B122,INDIRECT($F$8),6+(O127-1)*3)&lt;=5),MAX(0.4*U127-VLOOKUP(B122,INDIRECT($F$8),8+(O127-1)*3),0.3*S127-VLOOKUP(B122,INDIRECT($F$8),6+(O127-1)*3)),11),IF(0.3*S127-VLOOKUP(B122,INDIRECT($F$8),6+(O127-1)*3)&lt;=5,0.3*S127-VLOOKUP(B122,INDIRECT($F$8),6+(O127-1)*3),11)),IF(VLOOKUP(B122,INDIRECT($F$8),8+(O127-1)*3)&lt;U127*0.4,IF(U127*0.4-VLOOKUP(B122,INDIRECT($F$8),8+(O127-1)*3)&lt;=5,U127*0.4-VLOOKUP(B122,INDIRECT($F$8),8+(O127-1)*3),11),0))))</f>
        <v>0</v>
      </c>
      <c r="X127" s="1" t="str">
        <f ca="1">IF(ISERROR(F122),"",IF(W127=0,"",_xlfn.TEXTJOIN("",FALSE," G+",W127," in ",A127)))</f>
        <v/>
      </c>
    </row>
    <row r="128" spans="1:24" ht="13" customHeight="1" x14ac:dyDescent="0.2">
      <c r="A128" s="7" t="str">
        <f ca="1">IF(ISERROR(F122),"",VLOOKUP(C122,INDIRECT($F$8),6+(O128-1)*3,0))</f>
        <v>CAT 010</v>
      </c>
      <c r="B128" s="41" t="str">
        <f ca="1">IF(ISERROR(F122),"",VLOOKUP(D122,INDIRECT($F$8),6+(O128-1)*3,0))</f>
        <v>Data Structures and Analysis of Algorithms</v>
      </c>
      <c r="C128" s="41"/>
      <c r="D128" s="41"/>
      <c r="E128" s="41"/>
      <c r="F128" s="7">
        <f ca="1">IF(ISERROR(F122),"",VLOOKUP(E122,INDIRECT($F$8),6+(O128-1)*3,0))</f>
        <v>4</v>
      </c>
      <c r="G128" s="42" t="e">
        <f ca="1">IF(ISERROR(F122),"",_xlfn.TEXTJOIN("/",FALSE,P128,S128))</f>
        <v>#N/A</v>
      </c>
      <c r="H128" s="42"/>
      <c r="I128" s="42" t="str">
        <f ca="1">IF(ISERROR(F122),"",_xlfn.TEXTJOIN("/",FALSE,Q128,T128))</f>
        <v>47/50</v>
      </c>
      <c r="J128" s="42"/>
      <c r="K128" s="42" t="e">
        <f ca="1">IF(ISERROR(F122),"",_xlfn.TEXTJOIN("/",FALSE,R128,U128))</f>
        <v>#N/A</v>
      </c>
      <c r="L128" s="42"/>
      <c r="M128" s="7" t="e">
        <f ca="1">IF(ISERROR(F122),"",IF(ISTEXT(P128),IF(P128="A","Ab",IF(P128="D","Dt",IF(P128="UFM","UFM",IF(P128="NA","")))),IF(AND(ISBLANK(P128),ISBLANK(R128)),"",IF(P128&lt;0.3*S128,"F",IF(ISBLANK(R128),"",IF(ISTEXT(R128),R128,IF(R128&gt;=0.9*U128,"O",IF(R128&gt;=0.85*U128,"A+",IF(R128&gt;=0.8*U128,"A",IF(R128&gt;=0.7*U128,"B+",IF(R128&gt;=0.6*U128,"B",IF(R128&gt;=0.5*U128,"C",IF(R128&gt;=0.4*U128,"P",IF(R128&lt;0.4*U128,"F",R128))))))))))))))</f>
        <v>#N/A</v>
      </c>
      <c r="N128" s="8" t="e">
        <f t="shared" ca="1" si="12"/>
        <v>#N/A</v>
      </c>
      <c r="O128">
        <f>O127+1</f>
        <v>2</v>
      </c>
      <c r="P128" s="1" t="e">
        <f ca="1">IF(ISERROR(F122),"",IF(ISTEXT(VLOOKUP(B122,INDIRECT($F$8),6+(O128-1)*3)),(VLOOKUP(B122,INDIRECT($F$8),6+(O128-1)*3)),SUM(VLOOKUP(B122,INDIRECT($F$8),6+(O128-1)*3),IF(W137,W128,0))))</f>
        <v>#N/A</v>
      </c>
      <c r="Q128" s="1">
        <f ca="1">IF(ISERROR(F122),"",VLOOKUP(B122,INDIRECT($F$8),7+(O128-1)*3))</f>
        <v>47</v>
      </c>
      <c r="R128" s="1" t="e">
        <f ca="1">IF(ISERROR(F122),"",SUM(P128:Q128))</f>
        <v>#N/A</v>
      </c>
      <c r="S128" s="1">
        <f ca="1">IF(ISERROR(F122),"",VLOOKUP(A122,INDIRECT($F$8),6+(O128-1)*3))</f>
        <v>100</v>
      </c>
      <c r="T128" s="1">
        <f ca="1">IF(ISERROR(F122),"",VLOOKUP(A122,INDIRECT($F$8),7+(O128-1)*3))</f>
        <v>50</v>
      </c>
      <c r="U128" s="1">
        <f ca="1">IF(ISERROR(F122),"",VLOOKUP(A122,INDIRECT($F$8),8+(O128-1)*3))</f>
        <v>150</v>
      </c>
      <c r="V128" s="1" t="e">
        <f ca="1">IF(ISERROR(F122),"",IF(N128=0,A128,""))</f>
        <v>#N/A</v>
      </c>
      <c r="W128" s="1">
        <f ca="1">IF(ISERROR(F122),"",IF(ISTEXT(VLOOKUP(B122,INDIRECT($F$8),6+(O128-1)*3)),11,IF(VLOOKUP(B122,INDIRECT($F$8),6+(O128-1)*3)&lt;S128*0.3,IF(VLOOKUP(B122,INDIRECT($F$8),8+(O128-1)*3)&lt;U128*0.4,IF(AND(0.4*U128-VLOOKUP(B122,INDIRECT($F$8),8+(O128-1)*3)&lt;=5,0.3*S128-VLOOKUP(B122,INDIRECT($F$8),6+(O128-1)*3)&lt;=5),MAX(0.4*U128-VLOOKUP(B122,INDIRECT($F$8),8+(O128-1)*3),0.3*S128-VLOOKUP(B122,INDIRECT($F$8),6+(O128-1)*3)),11),IF(0.3*S128-VLOOKUP(B122,INDIRECT($F$8),6+(O128-1)*3)&lt;=5,0.3*S128-VLOOKUP(B122,INDIRECT($F$8),6+(O128-1)*3),11)),IF(VLOOKUP(B122,INDIRECT($F$8),8+(O128-1)*3)&lt;U128*0.4,IF(U128*0.4-VLOOKUP(B122,INDIRECT($F$8),8+(O128-1)*3)&lt;=5,U128*0.4-VLOOKUP(B122,INDIRECT($F$8),8+(O128-1)*3),11),0))))</f>
        <v>0</v>
      </c>
      <c r="X128" s="1" t="str">
        <f ca="1">IF(ISERROR(F122),"",IF(W128=0,"",_xlfn.TEXTJOIN("",FALSE," G+",W128," in ",A128)))</f>
        <v/>
      </c>
    </row>
    <row r="129" spans="1:24" ht="13" customHeight="1" x14ac:dyDescent="0.2">
      <c r="A129" s="7" t="str">
        <f ca="1">IF(ISERROR(F122),"",VLOOKUP(C122,INDIRECT($F$8),6+(O129-1)*3,0))</f>
        <v>CAT 011</v>
      </c>
      <c r="B129" s="41" t="str">
        <f ca="1">IF(ISERROR(F122),"",VLOOKUP(D122,INDIRECT($F$8),6+(O129-1)*3,0))</f>
        <v>Object Oriented Programming with JAVA</v>
      </c>
      <c r="C129" s="41"/>
      <c r="D129" s="41"/>
      <c r="E129" s="41"/>
      <c r="F129" s="7">
        <f ca="1">IF(ISERROR(F122),"",VLOOKUP(E122,INDIRECT($F$8),6+(O129-1)*3,0))</f>
        <v>4</v>
      </c>
      <c r="G129" s="42" t="e">
        <f ca="1">IF(ISERROR(F122),"",_xlfn.TEXTJOIN("/",FALSE,P129,S129))</f>
        <v>#N/A</v>
      </c>
      <c r="H129" s="42"/>
      <c r="I129" s="42" t="str">
        <f ca="1">IF(ISERROR(F122),"",_xlfn.TEXTJOIN("/",FALSE,Q129,T129))</f>
        <v>44/50</v>
      </c>
      <c r="J129" s="42"/>
      <c r="K129" s="42" t="e">
        <f ca="1">IF(ISERROR(F122),"",_xlfn.TEXTJOIN("/",FALSE,R129,U129))</f>
        <v>#N/A</v>
      </c>
      <c r="L129" s="42"/>
      <c r="M129" s="7" t="e">
        <f ca="1">IF(ISERROR(F122),"",IF(ISTEXT(P129),IF(P129="A","Ab",IF(P129="D","Dt",IF(P129="UFM","UFM",IF(P129="NA","")))),IF(AND(ISBLANK(P129),ISBLANK(R129)),"",IF(P129&lt;0.3*S129,"F",IF(ISBLANK(R129),"",IF(ISTEXT(R129),R129,IF(R129&gt;=0.9*U129,"O",IF(R129&gt;=0.85*U129,"A+",IF(R129&gt;=0.8*U129,"A",IF(R129&gt;=0.7*U129,"B+",IF(R129&gt;=0.6*U129,"B",IF(R129&gt;=0.5*U129,"C",IF(R129&gt;=0.4*U129,"P",IF(R129&lt;0.4*U129,"F",R129))))))))))))))</f>
        <v>#N/A</v>
      </c>
      <c r="N129" s="8" t="e">
        <f t="shared" ca="1" si="12"/>
        <v>#N/A</v>
      </c>
      <c r="O129">
        <f>O128+1</f>
        <v>3</v>
      </c>
      <c r="P129" s="1" t="e">
        <f ca="1">IF(ISERROR(F122),"",IF(ISTEXT(VLOOKUP(B122,INDIRECT($F$8),6+(O129-1)*3)),(VLOOKUP(B122,INDIRECT($F$8),6+(O129-1)*3)),SUM(VLOOKUP(B122,INDIRECT($F$8),6+(O129-1)*3),IF(W137,W129,0))))</f>
        <v>#N/A</v>
      </c>
      <c r="Q129" s="1">
        <f ca="1">IF(ISERROR(F122),"",VLOOKUP(B122,INDIRECT($F$8),7+(O129-1)*3))</f>
        <v>44</v>
      </c>
      <c r="R129" s="1" t="e">
        <f ca="1">IF(ISERROR(F122),"",SUM(P129:Q129))</f>
        <v>#N/A</v>
      </c>
      <c r="S129" s="1">
        <f ca="1">IF(ISERROR(F122),"",VLOOKUP(A122,INDIRECT($F$8),6+(O129-1)*3))</f>
        <v>100</v>
      </c>
      <c r="T129" s="1">
        <f ca="1">IF(ISERROR(F122),"",VLOOKUP(A122,INDIRECT($F$8),7+(O129-1)*3))</f>
        <v>50</v>
      </c>
      <c r="U129" s="1">
        <f ca="1">IF(ISERROR(F122),"",VLOOKUP(A122,INDIRECT($F$8),8+(O129-1)*3))</f>
        <v>150</v>
      </c>
      <c r="V129" s="1" t="e">
        <f ca="1">IF(ISERROR(F122),"",IF(N129=0,A129,""))</f>
        <v>#N/A</v>
      </c>
      <c r="W129" s="1">
        <f ca="1">IF(ISERROR(F122),"",IF(ISTEXT(VLOOKUP(B122,INDIRECT($F$8),6+(O129-1)*3)),11,IF(VLOOKUP(B122,INDIRECT($F$8),6+(O129-1)*3)&lt;S129*0.3,IF(VLOOKUP(B122,INDIRECT($F$8),8+(O129-1)*3)&lt;U129*0.4,IF(AND(0.4*U129-VLOOKUP(B122,INDIRECT($F$8),8+(O129-1)*3)&lt;=5,0.3*S129-VLOOKUP(B122,INDIRECT($F$8),6+(O129-1)*3)&lt;=5),MAX(0.4*U129-VLOOKUP(B122,INDIRECT($F$8),8+(O129-1)*3),0.3*S129-VLOOKUP(B122,INDIRECT($F$8),6+(O129-1)*3)),11),IF(0.3*S129-VLOOKUP(B122,INDIRECT($F$8),6+(O129-1)*3)&lt;=5,0.3*S129-VLOOKUP(B122,INDIRECT($F$8),6+(O129-1)*3),11)),IF(VLOOKUP(B122,INDIRECT($F$8),8+(O129-1)*3)&lt;U129*0.4,IF(U129*0.4-VLOOKUP(B122,INDIRECT($F$8),8+(O129-1)*3)&lt;=5,U129*0.4-VLOOKUP(B122,INDIRECT($F$8),8+(O129-1)*3),11),0))))</f>
        <v>0</v>
      </c>
      <c r="X129" s="1" t="str">
        <f ca="1">IF(ISERROR(F122),"",IF(W129=0,"",_xlfn.TEXTJOIN("",FALSE," G+",W129," in ",A129)))</f>
        <v/>
      </c>
    </row>
    <row r="130" spans="1:24" ht="13" customHeight="1" x14ac:dyDescent="0.2">
      <c r="A130" s="7" t="str">
        <f ca="1">IF(ISERROR(F122),"",VLOOKUP(C122,INDIRECT($F$8),6+(O130-1)*3,0))</f>
        <v>CAT 012</v>
      </c>
      <c r="B130" s="41" t="str">
        <f ca="1">IF(ISERROR(F122),"",VLOOKUP(D122,INDIRECT($F$8),6+(O130-1)*3,0))</f>
        <v>Computer Networks</v>
      </c>
      <c r="C130" s="41"/>
      <c r="D130" s="41"/>
      <c r="E130" s="41"/>
      <c r="F130" s="7">
        <f ca="1">IF(ISERROR(F122),"",VLOOKUP(E122,INDIRECT($F$8),6+(O130-1)*3,0))</f>
        <v>4</v>
      </c>
      <c r="G130" s="42" t="e">
        <f ca="1">IF(ISERROR(F122),"",_xlfn.TEXTJOIN("/",FALSE,P130,S130))</f>
        <v>#N/A</v>
      </c>
      <c r="H130" s="42"/>
      <c r="I130" s="42" t="str">
        <f ca="1">IF(ISERROR(F122),"",_xlfn.TEXTJOIN("/",FALSE,Q130,T130))</f>
        <v>43/50</v>
      </c>
      <c r="J130" s="42"/>
      <c r="K130" s="42" t="e">
        <f ca="1">IF(ISERROR(F122),"",_xlfn.TEXTJOIN("/",FALSE,R130,U130))</f>
        <v>#N/A</v>
      </c>
      <c r="L130" s="42"/>
      <c r="M130" s="7" t="e">
        <f ca="1">IF(ISERROR(F122),"",IF(ISTEXT(P130),IF(P130="A","Ab",IF(P130="D","Dt",IF(P130="UFM","UFM",IF(P130="NA","")))),IF(AND(ISBLANK(P130),ISBLANK(R130)),"",IF(P130&lt;0.3*S130,"F",IF(ISBLANK(R130),"",IF(ISTEXT(R130),R130,IF(R130&gt;=0.9*U130,"O",IF(R130&gt;=0.85*U130,"A+",IF(R130&gt;=0.8*U130,"A",IF(R130&gt;=0.7*U130,"B+",IF(R130&gt;=0.6*U130,"B",IF(R130&gt;=0.5*U130,"C",IF(R130&gt;=0.4*U130,"P",IF(R130&lt;0.4*U130,"F",R130))))))))))))))</f>
        <v>#N/A</v>
      </c>
      <c r="N130" s="8" t="e">
        <f t="shared" ca="1" si="12"/>
        <v>#N/A</v>
      </c>
      <c r="O130">
        <f t="shared" ref="O130:O136" si="13">O129+1</f>
        <v>4</v>
      </c>
      <c r="P130" s="1" t="e">
        <f ca="1">IF(ISERROR(F122),"",IF(ISTEXT(VLOOKUP(B122,INDIRECT($F$8),6+(O130-1)*3)),(VLOOKUP(B122,INDIRECT($F$8),6+(O130-1)*3)),SUM(VLOOKUP(B122,INDIRECT($F$8),6+(O130-1)*3),IF(W137,W130,0))))</f>
        <v>#N/A</v>
      </c>
      <c r="Q130" s="1">
        <f ca="1">IF(ISERROR(F122),"",VLOOKUP(B122,INDIRECT($F$8),7+(O130-1)*3))</f>
        <v>43</v>
      </c>
      <c r="R130" s="1" t="e">
        <f ca="1">IF(ISERROR(F122),"",SUM(P130:Q130))</f>
        <v>#N/A</v>
      </c>
      <c r="S130" s="1">
        <f ca="1">IF(ISERROR(F122),"",VLOOKUP(A122,INDIRECT($F$8),6+(O130-1)*3))</f>
        <v>100</v>
      </c>
      <c r="T130" s="1">
        <f ca="1">IF(ISERROR(F122),"",VLOOKUP(A122,INDIRECT($F$8),7+(O130-1)*3))</f>
        <v>50</v>
      </c>
      <c r="U130" s="1">
        <f ca="1">IF(ISERROR(F122),"",VLOOKUP(A122,INDIRECT($F$8),8+(O130-1)*3))</f>
        <v>150</v>
      </c>
      <c r="V130" s="1" t="e">
        <f ca="1">IF(ISERROR(F122),"",IF(N130=0,A130,""))</f>
        <v>#N/A</v>
      </c>
      <c r="W130" s="1">
        <f ca="1">IF(ISERROR(F122),"",IF(ISTEXT(VLOOKUP(B122,INDIRECT($F$8),6+(O130-1)*3)),11,IF(VLOOKUP(B122,INDIRECT($F$8),6+(O130-1)*3)&lt;S130*0.3,IF(VLOOKUP(B122,INDIRECT($F$8),8+(O130-1)*3)&lt;U130*0.4,IF(AND(0.4*U130-VLOOKUP(B122,INDIRECT($F$8),8+(O130-1)*3)&lt;=5,0.3*S130-VLOOKUP(B122,INDIRECT($F$8),6+(O130-1)*3)&lt;=5),MAX(0.4*U130-VLOOKUP(B122,INDIRECT($F$8),8+(O130-1)*3),0.3*S130-VLOOKUP(B122,INDIRECT($F$8),6+(O130-1)*3)),11),IF(0.3*S130-VLOOKUP(B122,INDIRECT($F$8),6+(O130-1)*3)&lt;=5,0.3*S130-VLOOKUP(B122,INDIRECT($F$8),6+(O130-1)*3),11)),IF(VLOOKUP(B122,INDIRECT($F$8),8+(O130-1)*3)&lt;U130*0.4,IF(U130*0.4-VLOOKUP(B122,INDIRECT($F$8),8+(O130-1)*3)&lt;=5,U130*0.4-VLOOKUP(B122,INDIRECT($F$8),8+(O130-1)*3),11),0))))</f>
        <v>0</v>
      </c>
      <c r="X130" s="1" t="str">
        <f ca="1">IF(ISERROR(F122),"",IF(W130=0,"",_xlfn.TEXTJOIN("",FALSE," G+",W130," in ",A130)))</f>
        <v/>
      </c>
    </row>
    <row r="131" spans="1:24" ht="13" customHeight="1" x14ac:dyDescent="0.2">
      <c r="A131" s="7" t="str">
        <f ca="1">IF(ISERROR(F122),"",VLOOKUP(C122,INDIRECT($F$8),6+(O131-1)*3,0))</f>
        <v>CAT 013</v>
      </c>
      <c r="B131" s="41" t="str">
        <f ca="1">IF(ISERROR(F122),"",VLOOKUP(D122,INDIRECT($F$8),6+(O131-1)*3,0))</f>
        <v>Artificial Intelligence</v>
      </c>
      <c r="C131" s="41"/>
      <c r="D131" s="41"/>
      <c r="E131" s="41"/>
      <c r="F131" s="7">
        <f ca="1">IF(ISERROR(F122),"",VLOOKUP(E122,INDIRECT($F$8),6+(O131-1)*3,0))</f>
        <v>4</v>
      </c>
      <c r="G131" s="42" t="e">
        <f ca="1">IF(ISERROR(F122),"",_xlfn.TEXTJOIN("/",FALSE,P131,S131))</f>
        <v>#N/A</v>
      </c>
      <c r="H131" s="42"/>
      <c r="I131" s="42" t="str">
        <f ca="1">IF(ISERROR(F122),"",_xlfn.TEXTJOIN("/",FALSE,Q131,T131))</f>
        <v>49/50</v>
      </c>
      <c r="J131" s="42"/>
      <c r="K131" s="42" t="e">
        <f ca="1">IF(ISERROR(F122),"",_xlfn.TEXTJOIN("/",FALSE,R131,U131))</f>
        <v>#N/A</v>
      </c>
      <c r="L131" s="42"/>
      <c r="M131" s="7" t="e">
        <f ca="1">IF(ISERROR(F122),"",IF(ISTEXT(P131),IF(P131="A","Ab",IF(P131="D","Dt",IF(P131="UFM","UFM",IF(P131="NA","")))),IF(AND(ISBLANK(P131),ISBLANK(R131)),"",IF(P131&lt;0.3*S131,"F",IF(ISBLANK(R131),"",IF(ISTEXT(R131),R131,IF(R131&gt;=0.9*U131,"O",IF(R131&gt;=0.85*U131,"A+",IF(R131&gt;=0.8*U131,"A",IF(R131&gt;=0.7*U131,"B+",IF(R131&gt;=0.6*U131,"B",IF(R131&gt;=0.5*U131,"C",IF(R131&gt;=0.4*U131,"P",IF(R131&lt;0.4*U131,"F",R131))))))))))))))</f>
        <v>#N/A</v>
      </c>
      <c r="N131" s="8" t="e">
        <f t="shared" ca="1" si="12"/>
        <v>#N/A</v>
      </c>
      <c r="O131">
        <f t="shared" si="13"/>
        <v>5</v>
      </c>
      <c r="P131" s="1" t="e">
        <f ca="1">IF(ISERROR(F122),"",IF(ISTEXT(VLOOKUP(B122,INDIRECT($F$8),6+(O131-1)*3)),(VLOOKUP(B122,INDIRECT($F$8),6+(O131-1)*3)),SUM(VLOOKUP(B122,INDIRECT($F$8),6+(O131-1)*3),IF(W137,W131,0))))</f>
        <v>#N/A</v>
      </c>
      <c r="Q131" s="1">
        <f ca="1">IF(ISERROR(F122),"",VLOOKUP(B122,INDIRECT($F$8),7+(O131-1)*3))</f>
        <v>49</v>
      </c>
      <c r="R131" s="1" t="e">
        <f ca="1">IF(ISERROR(F122),"",SUM(P131:Q131))</f>
        <v>#N/A</v>
      </c>
      <c r="S131" s="1">
        <f ca="1">IF(ISERROR(F122),"",VLOOKUP(A122,INDIRECT($F$8),6+(O131-1)*3))</f>
        <v>100</v>
      </c>
      <c r="T131" s="1">
        <f ca="1">IF(ISERROR(F122),"",VLOOKUP(A122,INDIRECT($F$8),7+(O131-1)*3))</f>
        <v>50</v>
      </c>
      <c r="U131" s="1">
        <f ca="1">IF(ISERROR(F122),"",VLOOKUP(A122,INDIRECT($F$8),8+(O131-1)*3))</f>
        <v>150</v>
      </c>
      <c r="V131" s="1" t="e">
        <f ca="1">IF(ISERROR(F122),"",IF(N131=0,A131,""))</f>
        <v>#N/A</v>
      </c>
      <c r="W131" s="1">
        <f ca="1">IF(ISERROR(F122),"",IF(ISTEXT(VLOOKUP(B122,INDIRECT($F$8),6+(O131-1)*3)),11,IF(VLOOKUP(B122,INDIRECT($F$8),6+(O131-1)*3)&lt;S131*0.3,IF(VLOOKUP(B122,INDIRECT($F$8),8+(O131-1)*3)&lt;U131*0.4,IF(AND(0.4*U131-VLOOKUP(B122,INDIRECT($F$8),8+(O131-1)*3)&lt;=5,0.3*S131-VLOOKUP(B122,INDIRECT($F$8),6+(O131-1)*3)&lt;=5),MAX(0.4*U131-VLOOKUP(B122,INDIRECT($F$8),8+(O131-1)*3),0.3*S131-VLOOKUP(B122,INDIRECT($F$8),6+(O131-1)*3)),11),IF(0.3*S131-VLOOKUP(B122,INDIRECT($F$8),6+(O131-1)*3)&lt;=5,0.3*S131-VLOOKUP(B122,INDIRECT($F$8),6+(O131-1)*3),11)),IF(VLOOKUP(B122,INDIRECT($F$8),8+(O131-1)*3)&lt;U131*0.4,IF(U131*0.4-VLOOKUP(B122,INDIRECT($F$8),8+(O131-1)*3)&lt;=5,U131*0.4-VLOOKUP(B122,INDIRECT($F$8),8+(O131-1)*3),11),0))))</f>
        <v>0</v>
      </c>
      <c r="X131" s="1" t="str">
        <f ca="1">IF(ISERROR(F122),"",IF(W131=0,"",_xlfn.TEXTJOIN("",FALSE," G+",W131," in ",A131)))</f>
        <v/>
      </c>
    </row>
    <row r="132" spans="1:24" ht="13" customHeight="1" x14ac:dyDescent="0.2">
      <c r="A132" s="7" t="str">
        <f ca="1">IF(ISERROR(F122),"",VLOOKUP(C122,INDIRECT($F$8),6+(O132-1)*3,0))</f>
        <v>AHT 304</v>
      </c>
      <c r="B132" s="41" t="str">
        <f ca="1">IF(ISERROR(F122),"",VLOOKUP(D122,INDIRECT($F$8),6+(O132-1)*3,0))</f>
        <v>Accounting and Financial Management ($)</v>
      </c>
      <c r="C132" s="41"/>
      <c r="D132" s="41"/>
      <c r="E132" s="41"/>
      <c r="F132" s="7">
        <f ca="1">IF(ISERROR(F122),"",VLOOKUP(E122,INDIRECT($F$8),6+(O132-1)*3,0))</f>
        <v>0</v>
      </c>
      <c r="G132" s="42" t="e">
        <f ca="1">IF(ISERROR(F122),"",_xlfn.TEXTJOIN("/",FALSE,P132,S132))</f>
        <v>#N/A</v>
      </c>
      <c r="H132" s="42"/>
      <c r="I132" s="42" t="str">
        <f ca="1">IF(ISERROR(F122),"",_xlfn.TEXTJOIN("/",FALSE,Q132,T132))</f>
        <v>33/50</v>
      </c>
      <c r="J132" s="42"/>
      <c r="K132" s="42" t="e">
        <f ca="1">IF(ISERROR(F122),"",_xlfn.TEXTJOIN("/",FALSE,R132,U132))</f>
        <v>#N/A</v>
      </c>
      <c r="L132" s="42"/>
      <c r="M132" s="7" t="e">
        <f ca="1">IF(ISERROR(F122),"",IF(ISTEXT(P132),IF(P132="A","Ab",IF(P132="D","Dt",IF(P132="UFM","UFM",IF(P132="NA","")))),IF(AND(ISBLANK(P132),ISBLANK(R132)),"",IF(P132&lt;0.3*S132,"F",IF(ISBLANK(R132),"",IF(ISTEXT(R132),R132,IF(R132&gt;=0.9*U132,"O",IF(R132&gt;=0.85*U132,"A+",IF(R132&gt;=0.8*U132,"A",IF(R132&gt;=0.7*U132,"B+",IF(R132&gt;=0.6*U132,"B",IF(R132&gt;=0.5*U132,"C",IF(R132&gt;=0.4*U132,"P",IF(R132&lt;0.4*U132,"F",R132))))))))))))))</f>
        <v>#N/A</v>
      </c>
      <c r="N132" s="8" t="e">
        <f t="shared" ca="1" si="12"/>
        <v>#N/A</v>
      </c>
      <c r="O132">
        <f t="shared" si="13"/>
        <v>6</v>
      </c>
      <c r="P132" s="1" t="e">
        <f ca="1">IF(ISERROR(F122),"",IF(ISTEXT(VLOOKUP(B122,INDIRECT($F$8),6+(O132-1)*3)),(VLOOKUP(B122,INDIRECT($F$8),6+(O132-1)*3)),SUM(VLOOKUP(B122,INDIRECT($F$8),6+(O132-1)*3),IF(W137,W132,0))))</f>
        <v>#N/A</v>
      </c>
      <c r="Q132" s="1">
        <f ca="1">IF(ISERROR(F122),"",VLOOKUP(B122,INDIRECT($F$8),7+(O132-1)*3))</f>
        <v>33</v>
      </c>
      <c r="R132" s="1" t="e">
        <f ca="1">IF(ISERROR(F122),"",SUM(P132:Q132))</f>
        <v>#N/A</v>
      </c>
      <c r="S132" s="1">
        <f ca="1">IF(ISERROR(F122),"",VLOOKUP(A122,INDIRECT($F$8),6+(O132-1)*3))</f>
        <v>0</v>
      </c>
      <c r="T132" s="1">
        <f ca="1">IF(ISERROR(F122),"",VLOOKUP(A122,INDIRECT($F$8),7+(O132-1)*3))</f>
        <v>50</v>
      </c>
      <c r="U132" s="1">
        <f ca="1">IF(ISERROR(F122),"",VLOOKUP(A122,INDIRECT($F$8),8+(O132-1)*3))</f>
        <v>50</v>
      </c>
      <c r="V132" s="1" t="e">
        <f ca="1">IF(ISERROR(F122),"",IF(N132=0,A132,""))</f>
        <v>#N/A</v>
      </c>
      <c r="W132" s="1">
        <f ca="1">IF(ISERROR(F122),"",IF(ISTEXT(VLOOKUP(B122,INDIRECT($F$8),6+(O132-1)*3)),11,IF(VLOOKUP(B122,INDIRECT($F$8),6+(O132-1)*3)&lt;S132*0.3,IF(VLOOKUP(B122,INDIRECT($F$8),8+(O132-1)*3)&lt;U132*0.4,IF(AND(0.4*U132-VLOOKUP(B122,INDIRECT($F$8),8+(O132-1)*3)&lt;=5,0.3*S132-VLOOKUP(B122,INDIRECT($F$8),6+(O132-1)*3)&lt;=5),MAX(0.4*U132-VLOOKUP(B122,INDIRECT($F$8),8+(O132-1)*3),0.3*S132-VLOOKUP(B122,INDIRECT($F$8),6+(O132-1)*3)),11),IF(0.3*S132-VLOOKUP(B122,INDIRECT($F$8),6+(O132-1)*3)&lt;=5,0.3*S132-VLOOKUP(B122,INDIRECT($F$8),6+(O132-1)*3),11)),IF(VLOOKUP(B122,INDIRECT($F$8),8+(O132-1)*3)&lt;U132*0.4,IF(U132*0.4-VLOOKUP(B122,INDIRECT($F$8),8+(O132-1)*3)&lt;=5,U132*0.4-VLOOKUP(B122,INDIRECT($F$8),8+(O132-1)*3),11),0))))</f>
        <v>0</v>
      </c>
      <c r="X132" s="1" t="str">
        <f ca="1">IF(ISERROR(F122),"",IF(W132=0,"",_xlfn.TEXTJOIN("",FALSE," G+",W132," in ",A132)))</f>
        <v/>
      </c>
    </row>
    <row r="133" spans="1:24" ht="13" customHeight="1" x14ac:dyDescent="0.2">
      <c r="A133" s="7" t="str">
        <f ca="1">IF(ISERROR(F122),"",VLOOKUP(C122,INDIRECT($F$8),6+(O133-1)*3,0))</f>
        <v>CAP 004</v>
      </c>
      <c r="B133" s="41" t="str">
        <f ca="1">IF(ISERROR(F122),"",VLOOKUP(D122,INDIRECT($F$8),6+(O133-1)*3,0))</f>
        <v>Data Structures and Analysis of Algorithms Lab</v>
      </c>
      <c r="C133" s="41"/>
      <c r="D133" s="41"/>
      <c r="E133" s="41"/>
      <c r="F133" s="7">
        <f ca="1">IF(ISERROR(F122),"",VLOOKUP(E122,INDIRECT($F$8),6+(O133-1)*3,0))</f>
        <v>1</v>
      </c>
      <c r="G133" s="42" t="e">
        <f ca="1">IF(ISERROR(F122),"",_xlfn.TEXTJOIN("/",FALSE,P133,S133))</f>
        <v>#N/A</v>
      </c>
      <c r="H133" s="42"/>
      <c r="I133" s="42" t="str">
        <f ca="1">IF(ISERROR(F122),"",_xlfn.TEXTJOIN("/",FALSE,Q133,T133))</f>
        <v>19/20</v>
      </c>
      <c r="J133" s="42"/>
      <c r="K133" s="42" t="e">
        <f ca="1">IF(ISERROR(F122),"",_xlfn.TEXTJOIN("/",FALSE,R133,U133))</f>
        <v>#N/A</v>
      </c>
      <c r="L133" s="42"/>
      <c r="M133" s="7" t="e">
        <f ca="1">IF(ISERROR(F122),"",IF(ISTEXT(P133),IF(P133="A","Ab",IF(P133="D","Dt",IF(P133="UFM","UFM",IF(P133="NA","")))),IF(AND(ISBLANK(P133),ISBLANK(R133)),"",IF(P133&lt;0.3*S133,"F",IF(ISBLANK(R133),"",IF(ISTEXT(R133),R133,IF(R133&gt;=0.9*U133,"O",IF(R133&gt;=0.85*U133,"A+",IF(R133&gt;=0.8*U133,"A",IF(R133&gt;=0.7*U133,"B+",IF(R133&gt;=0.6*U133,"B",IF(R133&gt;=0.5*U133,"C",IF(R133&gt;=0.4*U133,"P",IF(R133&lt;0.4*U133,"F",R133))))))))))))))</f>
        <v>#N/A</v>
      </c>
      <c r="N133" s="8" t="e">
        <f t="shared" ca="1" si="12"/>
        <v>#N/A</v>
      </c>
      <c r="O133">
        <f t="shared" si="13"/>
        <v>7</v>
      </c>
      <c r="P133" s="1" t="e">
        <f ca="1">IF(ISERROR(F122),"",IF(ISTEXT(VLOOKUP(B122,INDIRECT($F$8),6+(O133-1)*3)),(VLOOKUP(B122,INDIRECT($F$8),6+(O133-1)*3)),SUM(VLOOKUP(B122,INDIRECT($F$8),6+(O133-1)*3),IF(W137,W133,0))))</f>
        <v>#N/A</v>
      </c>
      <c r="Q133" s="1">
        <f ca="1">IF(ISERROR(F122),"",VLOOKUP(B122,INDIRECT($F$8),7+(O133-1)*3))</f>
        <v>19</v>
      </c>
      <c r="R133" s="1" t="e">
        <f ca="1">IF(ISERROR(F122),"",SUM(P133:Q133))</f>
        <v>#N/A</v>
      </c>
      <c r="S133" s="1">
        <f ca="1">IF(ISERROR(F122),"",VLOOKUP(A122,INDIRECT($F$8),6+(O133-1)*3))</f>
        <v>30</v>
      </c>
      <c r="T133" s="1">
        <f ca="1">IF(ISERROR(F122),"",VLOOKUP(A122,INDIRECT($F$8),7+(O133-1)*3))</f>
        <v>20</v>
      </c>
      <c r="U133" s="1">
        <f ca="1">IF(ISERROR(F122),"",VLOOKUP(A122,INDIRECT($F$8),8+(O133-1)*3))</f>
        <v>50</v>
      </c>
      <c r="V133" s="1" t="e">
        <f ca="1">IF(ISERROR(F122),"",IF(N133=0,A133,""))</f>
        <v>#N/A</v>
      </c>
      <c r="W133" s="1">
        <f ca="1">IF(ISERROR(F122),"",IF(ISTEXT(VLOOKUP(B122,INDIRECT($F$8),6+(O133-1)*3)),11,IF(VLOOKUP(B122,INDIRECT($F$8),6+(O133-1)*3)&lt;S133*0.3,IF(VLOOKUP(B122,INDIRECT($F$8),8+(O133-1)*3)&lt;U133*0.4,IF(AND(0.4*U133-VLOOKUP(B122,INDIRECT($F$8),8+(O133-1)*3)&lt;=5,0.3*S133-VLOOKUP(B122,INDIRECT($F$8),6+(O133-1)*3)&lt;=5),MAX(0.4*U133-VLOOKUP(B122,INDIRECT($F$8),8+(O133-1)*3),0.3*S133-VLOOKUP(B122,INDIRECT($F$8),6+(O133-1)*3)),11),IF(0.3*S133-VLOOKUP(B122,INDIRECT($F$8),6+(O133-1)*3)&lt;=5,0.3*S133-VLOOKUP(B122,INDIRECT($F$8),6+(O133-1)*3),11)),IF(VLOOKUP(B122,INDIRECT($F$8),8+(O133-1)*3)&lt;U133*0.4,IF(U133*0.4-VLOOKUP(B122,INDIRECT($F$8),8+(O133-1)*3)&lt;=5,U133*0.4-VLOOKUP(B122,INDIRECT($F$8),8+(O133-1)*3),11),0))))</f>
        <v>0</v>
      </c>
      <c r="X133" s="1" t="str">
        <f ca="1">IF(ISERROR(F122),"",IF(W133=0,"",_xlfn.TEXTJOIN("",FALSE," G+",W133," in ",A133)))</f>
        <v/>
      </c>
    </row>
    <row r="134" spans="1:24" ht="13" customHeight="1" x14ac:dyDescent="0.2">
      <c r="A134" s="7" t="str">
        <f ca="1">IF(ISERROR(F122),"",VLOOKUP(C122,INDIRECT($F$8),6+(O134-1)*3,0))</f>
        <v>CAP 005</v>
      </c>
      <c r="B134" s="41" t="str">
        <f ca="1">IF(ISERROR(F122),"",VLOOKUP(D122,INDIRECT($F$8),6+(O134-1)*3-Z134,0))</f>
        <v>Object Oriented Programming with JAVA Lab</v>
      </c>
      <c r="C134" s="41"/>
      <c r="D134" s="41"/>
      <c r="E134" s="41"/>
      <c r="F134" s="7">
        <f ca="1">IF(ISERROR(F122),"",VLOOKUP(E122,INDIRECT($F$8),6+(O134-1)*3,0))</f>
        <v>1</v>
      </c>
      <c r="G134" s="42" t="e">
        <f ca="1">IF(ISERROR(F122),"",_xlfn.TEXTJOIN("/",FALSE,P134,S134))</f>
        <v>#N/A</v>
      </c>
      <c r="H134" s="42"/>
      <c r="I134" s="42" t="str">
        <f ca="1">IF(ISERROR(F122),"",_xlfn.TEXTJOIN("/",FALSE,Q134,T134))</f>
        <v>18/20</v>
      </c>
      <c r="J134" s="42"/>
      <c r="K134" s="42" t="e">
        <f ca="1">IF(ISERROR(F122),"",_xlfn.TEXTJOIN("/",FALSE,R134,U134))</f>
        <v>#N/A</v>
      </c>
      <c r="L134" s="42"/>
      <c r="M134" s="7" t="e">
        <f ca="1">IF(ISERROR(F122),"",IF(ISTEXT(P134),IF(P134="A","Ab",IF(P134="D","Dt",IF(P134="UFM","UFM",IF(P134="NA","")))),IF(AND(ISBLANK(P134),ISBLANK(R134)),"",IF(P134&lt;0.3*S134,"F",IF(ISBLANK(R134),"",IF(ISTEXT(R134),R134,IF(R134&gt;=0.9*U134,"O",IF(R134&gt;=0.85*U134,"A+",IF(R134&gt;=0.8*U134,"A",IF(R134&gt;=0.7*U134,"B+",IF(R134&gt;=0.6*U134,"B",IF(R134&gt;=0.5*U134,"C",IF(R134&gt;=0.4*U134,"P",IF(R134&lt;0.4*U134,"F",R134))))))))))))))</f>
        <v>#N/A</v>
      </c>
      <c r="N134" s="8" t="e">
        <f t="shared" ca="1" si="12"/>
        <v>#N/A</v>
      </c>
      <c r="O134">
        <f t="shared" si="13"/>
        <v>8</v>
      </c>
      <c r="P134" s="1" t="e">
        <f ca="1">IF(ISERROR(F122),"",IF(ISTEXT(VLOOKUP(B122,INDIRECT($F$8),6+(O134-1)*3)),(VLOOKUP(B122,INDIRECT($F$8),6+(O134-1)*3)),SUM(VLOOKUP(B122,INDIRECT($F$8),6+(O134-1)*3),IF(W137,W134,0))))</f>
        <v>#N/A</v>
      </c>
      <c r="Q134" s="1">
        <f ca="1">IF(ISERROR(F122),"",VLOOKUP(B122,INDIRECT($F$8),7+(O134-1)*3))</f>
        <v>18</v>
      </c>
      <c r="R134" s="1" t="e">
        <f ca="1">IF(ISERROR(F122),"",SUM(P134:Q134))</f>
        <v>#N/A</v>
      </c>
      <c r="S134" s="1">
        <f ca="1">IF(ISERROR(F122),"",VLOOKUP(A122,INDIRECT($F$8),6+(O134-1)*3))</f>
        <v>30</v>
      </c>
      <c r="T134" s="1">
        <f ca="1">IF(ISERROR(F122),"",VLOOKUP(A122,INDIRECT($F$8),7+(O134-1)*3))</f>
        <v>20</v>
      </c>
      <c r="U134" s="1">
        <f ca="1">IF(ISERROR(F122),"",VLOOKUP(A122,INDIRECT($F$8),8+(O134-1)*3))</f>
        <v>50</v>
      </c>
      <c r="V134" s="1" t="e">
        <f ca="1">IF(ISERROR(F122),"",IF(N134=0,A134,""))</f>
        <v>#N/A</v>
      </c>
      <c r="W134" s="1">
        <f ca="1">IF(ISERROR(F122),"",IF(ISTEXT(VLOOKUP(B122,INDIRECT($F$8),6+(O134-1)*3)),11,IF(VLOOKUP(B122,INDIRECT($F$8),6+(O134-1)*3)&lt;S134*0.3,IF(VLOOKUP(B122,INDIRECT($F$8),8+(O134-1)*3)&lt;U134*0.4,IF(AND(0.4*U134-VLOOKUP(B122,INDIRECT($F$8),8+(O134-1)*3)&lt;=5,0.3*S134-VLOOKUP(B122,INDIRECT($F$8),6+(O134-1)*3)&lt;=5),MAX(0.4*U134-VLOOKUP(B122,INDIRECT($F$8),8+(O134-1)*3),0.3*S134-VLOOKUP(B122,INDIRECT($F$8),6+(O134-1)*3)),11),IF(0.3*S134-VLOOKUP(B122,INDIRECT($F$8),6+(O134-1)*3)&lt;=5,0.3*S134-VLOOKUP(B122,INDIRECT($F$8),6+(O134-1)*3),11)),IF(VLOOKUP(B122,INDIRECT($F$8),8+(O134-1)*3)&lt;U134*0.4,IF(U134*0.4-VLOOKUP(B122,INDIRECT($F$8),8+(O134-1)*3)&lt;=5,U134*0.4-VLOOKUP(B122,INDIRECT($F$8),8+(O134-1)*3),11),0))))</f>
        <v>0</v>
      </c>
      <c r="X134" s="1" t="str">
        <f ca="1">IF(ISERROR(F122),"",IF(W134=0,"",_xlfn.TEXTJOIN("",FALSE," G+",W134," in ",A134)))</f>
        <v/>
      </c>
    </row>
    <row r="135" spans="1:24" ht="13" customHeight="1" x14ac:dyDescent="0.2">
      <c r="A135" s="7" t="str">
        <f ca="1">IF(ISERROR(F122),"",VLOOKUP(C122,INDIRECT($F$8),6+(O135-1)*3,0))</f>
        <v>CAP 006</v>
      </c>
      <c r="B135" s="41" t="str">
        <f ca="1">IF(ISERROR(F122),"",VLOOKUP(D122,INDIRECT($F$8),6+(O135-1)*3-Z135,0))</f>
        <v>Computer Networks Lab</v>
      </c>
      <c r="C135" s="41"/>
      <c r="D135" s="41"/>
      <c r="E135" s="41"/>
      <c r="F135" s="7">
        <f ca="1">IF(ISERROR(F122),"",VLOOKUP(E122,INDIRECT($F$8),6+(O135-1)*3,0))</f>
        <v>1</v>
      </c>
      <c r="G135" s="42" t="e">
        <f ca="1">IF(ISERROR(F122),"",_xlfn.TEXTJOIN("/",FALSE,P135,S135))</f>
        <v>#N/A</v>
      </c>
      <c r="H135" s="42"/>
      <c r="I135" s="42" t="str">
        <f ca="1">IF(ISERROR(F122),"",_xlfn.TEXTJOIN("/",FALSE,Q135,T135))</f>
        <v>17/20</v>
      </c>
      <c r="J135" s="42"/>
      <c r="K135" s="42" t="e">
        <f ca="1">IF(ISERROR(F122),"",_xlfn.TEXTJOIN("/",FALSE,R135,U135))</f>
        <v>#N/A</v>
      </c>
      <c r="L135" s="42"/>
      <c r="M135" s="7" t="e">
        <f ca="1">IF(ISERROR(F122),"",IF(ISTEXT(P135),IF(P135="A","Ab",IF(P135="D","Dt",IF(P135="UFM","UFM",IF(P135="NA","")))),IF(AND(ISBLANK(P135),ISBLANK(R135)),"",IF(P135&lt;0.3*S135,"F",IF(ISBLANK(R135),"",IF(ISTEXT(R135),R135,IF(R135&gt;=0.9*U135,"O",IF(R135&gt;=0.85*U135,"A+",IF(R135&gt;=0.8*U135,"A",IF(R135&gt;=0.7*U135,"B+",IF(R135&gt;=0.6*U135,"B",IF(R135&gt;=0.5*U135,"C",IF(R135&gt;=0.4*U135,"P",IF(R135&lt;0.4*U135,"F",R135))))))))))))))</f>
        <v>#N/A</v>
      </c>
      <c r="N135" s="8" t="e">
        <f t="shared" ca="1" si="12"/>
        <v>#N/A</v>
      </c>
      <c r="O135">
        <f t="shared" si="13"/>
        <v>9</v>
      </c>
      <c r="P135" s="1" t="e">
        <f ca="1">IF(ISERROR(F122),"",IF(ISTEXT(VLOOKUP(B122,INDIRECT($F$8),6+(O135-1)*3)),(VLOOKUP(B122,INDIRECT($F$8),6+(O135-1)*3)),SUM(VLOOKUP(B122,INDIRECT($F$8),6+(O135-1)*3),IF(W137,W135,0))))</f>
        <v>#N/A</v>
      </c>
      <c r="Q135" s="1">
        <f ca="1">IF(ISERROR(F122),"",VLOOKUP(B122,INDIRECT($F$8),7+(O135-1)*3))</f>
        <v>17</v>
      </c>
      <c r="R135" s="1" t="e">
        <f ca="1">IF(ISERROR(F122),"",SUM(P135:Q135))</f>
        <v>#N/A</v>
      </c>
      <c r="S135" s="1">
        <f ca="1">IF(ISERROR(F122),"",VLOOKUP(A122,INDIRECT($F$8),6+(O135-1)*3))</f>
        <v>30</v>
      </c>
      <c r="T135" s="1">
        <f ca="1">IF(ISERROR(F122),"",VLOOKUP(A122,INDIRECT($F$8),7+(O135-1)*3))</f>
        <v>20</v>
      </c>
      <c r="U135" s="1">
        <f ca="1">IF(ISERROR(F122),"",VLOOKUP(A122,INDIRECT($F$8),8+(O135-1)*3))</f>
        <v>50</v>
      </c>
      <c r="V135" s="1" t="e">
        <f ca="1">IF(ISERROR(F122),"",IF(N135=0,A135,""))</f>
        <v>#N/A</v>
      </c>
      <c r="W135" s="1">
        <f ca="1">IF(ISERROR(F122),"",IF(ISTEXT(VLOOKUP(B122,INDIRECT($F$8),6+(O135-1)*3)),11,IF(VLOOKUP(B122,INDIRECT($F$8),6+(O135-1)*3)&lt;S135*0.3,IF(VLOOKUP(B122,INDIRECT($F$8),8+(O135-1)*3)&lt;U135*0.4,IF(AND(0.4*U135-VLOOKUP(B122,INDIRECT($F$8),8+(O135-1)*3)&lt;=5,0.3*S135-VLOOKUP(B122,INDIRECT($F$8),6+(O135-1)*3)&lt;=5),MAX(0.4*U135-VLOOKUP(B122,INDIRECT($F$8),8+(O135-1)*3),0.3*S135-VLOOKUP(B122,INDIRECT($F$8),6+(O135-1)*3)),11),IF(0.3*S135-VLOOKUP(B122,INDIRECT($F$8),6+(O135-1)*3)&lt;=5,0.3*S135-VLOOKUP(B122,INDIRECT($F$8),6+(O135-1)*3),11)),IF(VLOOKUP(B122,INDIRECT($F$8),8+(O135-1)*3)&lt;U135*0.4,IF(U135*0.4-VLOOKUP(B122,INDIRECT($F$8),8+(O135-1)*3)&lt;=5,U135*0.4-VLOOKUP(B122,INDIRECT($F$8),8+(O135-1)*3),11),0))))</f>
        <v>0</v>
      </c>
      <c r="X135" s="1" t="str">
        <f ca="1">IF(ISERROR(F122),"",IF(W135=0,"",_xlfn.TEXTJOIN("",FALSE," G+",W135," in ",A135)))</f>
        <v/>
      </c>
    </row>
    <row r="136" spans="1:24" ht="13" customHeight="1" x14ac:dyDescent="0.2">
      <c r="A136" s="7" t="str">
        <f ca="1">IF(ISERROR(F122),"",VLOOKUP(C122,INDIRECT($F$8),6+(O136-1)*3,0))</f>
        <v>CAP 007</v>
      </c>
      <c r="B136" s="41" t="str">
        <f ca="1">IF(ISERROR(F122),"",VLOOKUP(D122,INDIRECT($F$8),6+(O136-1)*3,0))</f>
        <v>Artificial Intelligence Lab</v>
      </c>
      <c r="C136" s="41"/>
      <c r="D136" s="41"/>
      <c r="E136" s="41"/>
      <c r="F136" s="7">
        <f ca="1">IF(ISERROR(F122),"",VLOOKUP(E122,INDIRECT($F$8),6+(O136-1)*3,0))</f>
        <v>1</v>
      </c>
      <c r="G136" s="42" t="e">
        <f ca="1">IF(ISERROR(F122),"",_xlfn.TEXTJOIN("/",FALSE,P136,S136))</f>
        <v>#N/A</v>
      </c>
      <c r="H136" s="42"/>
      <c r="I136" s="42" t="str">
        <f ca="1">IF(ISERROR(F122),"",_xlfn.TEXTJOIN("/",FALSE,Q136,T136))</f>
        <v>19/20</v>
      </c>
      <c r="J136" s="42"/>
      <c r="K136" s="42" t="e">
        <f ca="1">IF(ISERROR(F122),"",_xlfn.TEXTJOIN("/",FALSE,R136,U136))</f>
        <v>#N/A</v>
      </c>
      <c r="L136" s="42"/>
      <c r="M136" s="7" t="e">
        <f ca="1">IF(ISERROR(F122),"",IF(ISTEXT(P136),IF(P136="A","Ab",IF(P136="D","Dt",IF(P136="UFM","UFM",IF(P136="NA","")))),IF(AND(ISBLANK(P136),ISBLANK(R136)),"",IF(P136&lt;0.3*S136,"F",IF(ISBLANK(R136),"",IF(ISTEXT(R136),R136,IF(R136&gt;=0.9*U136,"O",IF(R136&gt;=0.85*U136,"A+",IF(R136&gt;=0.8*U136,"A",IF(R136&gt;=0.7*U136,"B+",IF(R136&gt;=0.6*U136,"B",IF(R136&gt;=0.5*U136,"C",IF(R136&gt;=0.4*U136,"P",IF(R136&lt;0.4*U136,"F",R136))))))))))))))</f>
        <v>#N/A</v>
      </c>
      <c r="N136" s="8" t="e">
        <f t="shared" ca="1" si="12"/>
        <v>#N/A</v>
      </c>
      <c r="O136">
        <f t="shared" si="13"/>
        <v>10</v>
      </c>
      <c r="P136" s="1" t="e">
        <f ca="1">IF(ISERROR(F122),"",IF(ISTEXT(VLOOKUP(B122,INDIRECT($F$8),6+(O136-1)*3)),(VLOOKUP(B122,INDIRECT($F$8),6+(O136-1)*3)),SUM(VLOOKUP(B122,INDIRECT($F$8),6+(O136-1)*3),IF(W137,W136,0))))</f>
        <v>#N/A</v>
      </c>
      <c r="Q136" s="1">
        <f ca="1">IF(ISERROR(F122),"",VLOOKUP(B122,INDIRECT($F$8),7+(O136-1)*3))</f>
        <v>19</v>
      </c>
      <c r="R136" s="1" t="e">
        <f ca="1">IF(ISERROR(F122),"",SUM(P136:Q136))</f>
        <v>#N/A</v>
      </c>
      <c r="S136" s="1">
        <f ca="1">IF(ISERROR(F122),"",VLOOKUP(A122,INDIRECT($F$8),6+(O136-1)*3))</f>
        <v>30</v>
      </c>
      <c r="T136" s="1">
        <f ca="1">IF(ISERROR(F122),"",VLOOKUP(A122,INDIRECT($F$8),7+(O136-1)*3))</f>
        <v>20</v>
      </c>
      <c r="U136" s="1">
        <f ca="1">IF(ISERROR(F122),"",VLOOKUP(A122,INDIRECT($F$8),8+(O136-1)*3))</f>
        <v>50</v>
      </c>
      <c r="V136" s="1" t="e">
        <f ca="1">IF(ISERROR(F122),"",IF(N136=0,A136,""))</f>
        <v>#N/A</v>
      </c>
      <c r="W136" s="1">
        <f ca="1">IF(ISERROR(F122),"",IF(ISTEXT(VLOOKUP(B122,INDIRECT($F$8),6+(O136-1)*3)),11,IF(VLOOKUP(B122,INDIRECT($F$8),6+(O136-1)*3)&lt;S136*0.3,IF(VLOOKUP(B122,INDIRECT($F$8),8+(O136-1)*3)&lt;U136*0.4,IF(AND(0.4*U136-VLOOKUP(B122,INDIRECT($F$8),8+(O136-1)*3)&lt;=5,0.3*S136-VLOOKUP(B122,INDIRECT($F$8),6+(O136-1)*3)&lt;=5),MAX(0.4*U136-VLOOKUP(B122,INDIRECT($F$8),8+(O136-1)*3),0.3*S136-VLOOKUP(B122,INDIRECT($F$8),6+(O136-1)*3)),11),IF(0.3*S136-VLOOKUP(B122,INDIRECT($F$8),6+(O136-1)*3)&lt;=5,0.3*S136-VLOOKUP(B122,INDIRECT($F$8),6+(O136-1)*3),11)),IF(VLOOKUP(B122,INDIRECT($F$8),8+(O136-1)*3)&lt;U136*0.4,IF(U136*0.4-VLOOKUP(B122,INDIRECT($F$8),8+(O136-1)*3)&lt;=5,U136*0.4-VLOOKUP(B122,INDIRECT($F$8),8+(O136-1)*3),11),0))))</f>
        <v>0</v>
      </c>
      <c r="X136" s="1" t="str">
        <f ca="1">IF(ISERROR(F122),"",IF(W136=0,"",_xlfn.TEXTJOIN("",FALSE," G+",W136," in ",A136)))</f>
        <v/>
      </c>
    </row>
    <row r="137" spans="1:24" ht="13" customHeight="1" x14ac:dyDescent="0.2">
      <c r="A137" s="43" t="str">
        <f ca="1">IF(ISERROR(F122),"",A118)</f>
        <v>Total Credits/ Marks/ Total Grade Points</v>
      </c>
      <c r="B137" s="43"/>
      <c r="C137" s="43"/>
      <c r="D137" s="43"/>
      <c r="E137" s="43"/>
      <c r="F137" s="10">
        <f ca="1">IF(ISERROR(F122),"",SUM(F127:F136))</f>
        <v>24</v>
      </c>
      <c r="G137" s="44" t="e">
        <f ca="1">IF(ISERROR(F122),"",_xlfn.TEXTJOIN("/",TRUE,SUMIF(F127:F136,"&gt;0",P127:P136),SUMIF(F127:F136,"&gt;0",S127:S136)))</f>
        <v>#N/A</v>
      </c>
      <c r="H137" s="44"/>
      <c r="I137" s="44" t="str">
        <f ca="1">IF(ISERROR(F122),"",_xlfn.TEXTJOIN("/",TRUE,SUMIF(F127:F136,"&gt;0",Q127:Q136),SUMIF(F127:F136,"&gt;0",T127:T136)))</f>
        <v>302/330</v>
      </c>
      <c r="J137" s="44"/>
      <c r="K137" s="44" t="e">
        <f ca="1">IF(ISERROR(F122),"",_xlfn.TEXTJOIN("/",TRUE,SUMIF(F127:F136,"&gt;0",R127:R136),SUMIF(F127:F136,"&gt;0",U127:U136)))</f>
        <v>#N/A</v>
      </c>
      <c r="L137" s="44"/>
      <c r="M137" s="43" t="e">
        <f ca="1">IF(ISERROR(F122),"",SUMPRODUCT(N127:N136,F127:F136))</f>
        <v>#N/A</v>
      </c>
      <c r="N137" s="43"/>
      <c r="V137" s="1" t="e">
        <f ca="1">IF(ISERROR(F122),"",_xlfn.TEXTJOIN(", ",TRUE,V127:V136))</f>
        <v>#N/A</v>
      </c>
      <c r="W137" t="e">
        <f ca="1">IF(ISERROR(F122),"",IF(SUM(W127:W136)&lt;=W126,TRUE,FALSE))</f>
        <v>#N/A</v>
      </c>
      <c r="X137" s="1" t="str">
        <f ca="1">IF(ISERROR(F122),"",_xlfn.TEXTJOIN(",",TRUE,X127:X136))</f>
        <v/>
      </c>
    </row>
    <row r="138" spans="1:24" ht="13" customHeight="1" x14ac:dyDescent="0.2">
      <c r="A138" s="43" t="str">
        <f ca="1">IF(ISERROR(F122),"",A119)</f>
        <v>Result:</v>
      </c>
      <c r="B138" s="45" t="e">
        <f ca="1">IF(ISERROR(F122),"",IF(V137="","PASS","CARRY OVER"))</f>
        <v>#N/A</v>
      </c>
      <c r="C138" s="45"/>
      <c r="D138" s="43" t="str">
        <f ca="1">IF(ISERROR(F122),"",D119)</f>
        <v>Remark:</v>
      </c>
      <c r="E138" s="45" t="e">
        <f ca="1">IF(ISERROR(F122),"",IF(V137="",IF(X137="","",X137),_xlfn.TEXTJOIN(" ",TRUE,"BACK IN",V137)))</f>
        <v>#N/A</v>
      </c>
      <c r="F138" s="45"/>
      <c r="G138" s="43" t="str">
        <f ca="1">IF(ISERROR(F122),"",G119)</f>
        <v>SGPA:</v>
      </c>
      <c r="H138" s="46" t="e">
        <f ca="1">IF(ISERROR(F122),"",M137/F137)</f>
        <v>#N/A</v>
      </c>
      <c r="I138" s="43" t="str">
        <f ca="1">IF(ISERROR(F122),"",I119)</f>
        <v>CGPA:</v>
      </c>
      <c r="J138" s="46" t="e">
        <f ca="1">IF(ISERROR(F122),"",VLOOKUP(B122,INDIRECT($F$8),12+(O136-1)*3,0))</f>
        <v>#N/A</v>
      </c>
      <c r="K138" s="45" t="str">
        <f ca="1">IF(ISERROR(F122),"",K119)</f>
        <v>Earned Credits:</v>
      </c>
      <c r="L138" s="43">
        <f ca="1">IF(ISERROR(F122),"",SUMIF(N127:N136,"&gt;0",F127:F136))</f>
        <v>0</v>
      </c>
      <c r="M138" s="45" t="str">
        <f ca="1">IF(ISERROR(F122),"",M119)</f>
        <v>Cuml. Earned Credits:</v>
      </c>
      <c r="N138" s="43" t="e">
        <f ca="1">IF(ISERROR(F122),"",VLOOKUP(B122,INDIRECT($F$8),10+(O136-1)*3,0))</f>
        <v>#N/A</v>
      </c>
    </row>
    <row r="139" spans="1:24" ht="13" customHeight="1" x14ac:dyDescent="0.2">
      <c r="A139" s="43"/>
      <c r="B139" s="45"/>
      <c r="C139" s="45"/>
      <c r="D139" s="43"/>
      <c r="E139" s="45"/>
      <c r="F139" s="45"/>
      <c r="G139" s="43"/>
      <c r="H139" s="46"/>
      <c r="I139" s="43"/>
      <c r="J139" s="46"/>
      <c r="K139" s="45"/>
      <c r="L139" s="43"/>
      <c r="M139" s="45"/>
      <c r="N139" s="43"/>
    </row>
    <row r="140" spans="1:24" ht="15" x14ac:dyDescent="0.2">
      <c r="A140" s="43"/>
      <c r="B140" s="45"/>
      <c r="C140" s="45"/>
      <c r="D140" s="43"/>
      <c r="E140" s="45"/>
      <c r="F140" s="45"/>
      <c r="G140" s="43"/>
      <c r="H140" s="46"/>
      <c r="I140" s="43"/>
      <c r="J140" s="46"/>
      <c r="K140" s="45"/>
      <c r="L140" s="43"/>
      <c r="M140" s="45"/>
      <c r="N140" s="43"/>
    </row>
    <row r="141" spans="1:24" ht="13" customHeight="1" x14ac:dyDescent="0.2">
      <c r="A141" s="11" t="str">
        <f>A122</f>
        <v>MM</v>
      </c>
      <c r="B141" s="11">
        <f>B122+1</f>
        <v>8</v>
      </c>
      <c r="C141" s="11" t="str">
        <f>C122</f>
        <v>SC</v>
      </c>
      <c r="D141" s="11" t="str">
        <f>D122</f>
        <v>SN</v>
      </c>
      <c r="E141" s="11" t="str">
        <f>E122</f>
        <v>C</v>
      </c>
      <c r="F141" s="11" t="str">
        <f ca="1">VLOOKUP(B141,INDIRECT($F$8),4,0)</f>
        <v>AYUSH RAWAT</v>
      </c>
    </row>
    <row r="142" spans="1:24" ht="13" customHeight="1" x14ac:dyDescent="0.2">
      <c r="A142" s="47" t="str">
        <f ca="1">IF(ISERROR(F141),"",A123)</f>
        <v>Name:</v>
      </c>
      <c r="B142" s="47" t="str">
        <f ca="1">IFERROR(VLOOKUP(B141,INDIRECT($F$8),4,0),"")</f>
        <v>AYUSH RAWAT</v>
      </c>
      <c r="C142" s="47"/>
      <c r="D142" s="47" t="str">
        <f ca="1">IF(ISERROR(F141),"",D123)</f>
        <v>Father's Name:</v>
      </c>
      <c r="E142" s="47" t="str">
        <f ca="1">IFERROR(VLOOKUP(B141,INDIRECT($F$8),5,0),"")</f>
        <v>MUKESH RAWAT</v>
      </c>
      <c r="F142" s="47"/>
      <c r="G142" s="47" t="str">
        <f ca="1">IF(ISERROR(F141),"",G123)</f>
        <v>University Roll No:</v>
      </c>
      <c r="H142" s="47"/>
      <c r="I142" s="48">
        <f ca="1">IFERROR(VLOOKUP(B141,INDIRECT($F$8),2,0),"")</f>
        <v>240090600008</v>
      </c>
      <c r="J142" s="48"/>
      <c r="K142" s="47" t="str">
        <f ca="1">IF(ISERROR(F141),"",K123)</f>
        <v>University Enrol. No:</v>
      </c>
      <c r="L142" s="47"/>
      <c r="M142" s="48" t="str">
        <f ca="1">IFERROR(VLOOKUP(B141,INDIRECT($F$8),3,0),"")</f>
        <v>UTU/2406100183</v>
      </c>
      <c r="N142" s="48"/>
    </row>
    <row r="143" spans="1:24" ht="15" x14ac:dyDescent="0.2">
      <c r="A143" s="47"/>
      <c r="B143" s="47"/>
      <c r="C143" s="47"/>
      <c r="D143" s="47"/>
      <c r="E143" s="47"/>
      <c r="F143" s="47"/>
      <c r="G143" s="47"/>
      <c r="H143" s="47"/>
      <c r="I143" s="48"/>
      <c r="J143" s="48"/>
      <c r="K143" s="47"/>
      <c r="L143" s="47"/>
      <c r="M143" s="48"/>
      <c r="N143" s="48"/>
    </row>
    <row r="144" spans="1:24" ht="13" customHeight="1" x14ac:dyDescent="0.2">
      <c r="A144" s="45" t="str">
        <f ca="1">IF(ISERROR(F141),"",A125)</f>
        <v>Subject Code</v>
      </c>
      <c r="B144" s="45" t="str">
        <f ca="1">IF(ISERROR(F141),"",B125)</f>
        <v>Subject Name</v>
      </c>
      <c r="C144" s="45"/>
      <c r="D144" s="45"/>
      <c r="E144" s="45"/>
      <c r="F144" s="45" t="str">
        <f ca="1">IF(ISERROR(F141),"",F125)</f>
        <v>Credits</v>
      </c>
      <c r="G144" s="45" t="str">
        <f ca="1">IF(ISERROR(F141),"",G125)</f>
        <v>External Marks</v>
      </c>
      <c r="H144" s="45"/>
      <c r="I144" s="45" t="str">
        <f ca="1">IF(ISERROR(F141),"",I125)</f>
        <v>Sessional Marks</v>
      </c>
      <c r="J144" s="45"/>
      <c r="K144" s="45" t="str">
        <f ca="1">IF(ISERROR(F141),"",K125)</f>
        <v>Total Marks</v>
      </c>
      <c r="L144" s="45"/>
      <c r="M144" s="45" t="str">
        <f ca="1">IF(ISERROR(F141),"",M125)</f>
        <v>Grade</v>
      </c>
      <c r="N144" s="45" t="str">
        <f ca="1">IF(ISERROR(F141),"",N125)</f>
        <v>Grade Points</v>
      </c>
    </row>
    <row r="145" spans="1:24" ht="15" x14ac:dyDescent="0.2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W145" t="e">
        <f ca="1">IF(ISNUMBER(MATCH($F$8,{"I","III","V","VII"},0)),10,10-INDEX(INDIRECT(_xlfn.TEXTJOIN("",TRUE,"SEM_",$G$8,"!",ADDRESS(6,4+$I$8*3+4),":",ADDRESS(5+$H$8,4+$I$8*3+4))),MATCH(INDIRECT(_xlfn.TEXTJOIN("",TRUE,"TC_",$F$8,"!",ADDRESS(ROW(I142),COLUMN(I142)))),INDIRECT(_xlfn.TEXTJOIN("",TRUE,"SEM_",$G$8,"!",ADDRESS(6,2),":",ADDRESS(5+$H$8,2))))))</f>
        <v>#N/A</v>
      </c>
    </row>
    <row r="146" spans="1:24" ht="13" customHeight="1" x14ac:dyDescent="0.2">
      <c r="A146" s="7" t="str">
        <f ca="1">IF(ISERROR(F141),"",VLOOKUP(C141,INDIRECT($F$8),6+(O146-1)*3,0))</f>
        <v>CAT 009</v>
      </c>
      <c r="B146" s="41" t="str">
        <f ca="1">IF(ISERROR(F141),"",VLOOKUP(D141,INDIRECT($F$8),6+(O146-1)*3,0))</f>
        <v>Computer Based Numerical and Statistical Techniques</v>
      </c>
      <c r="C146" s="41"/>
      <c r="D146" s="41"/>
      <c r="E146" s="41"/>
      <c r="F146" s="7">
        <f ca="1">IF(ISERROR(F141),"",VLOOKUP(E141,INDIRECT($F$8),6+(O146-1)*3,0))</f>
        <v>4</v>
      </c>
      <c r="G146" s="42" t="e">
        <f ca="1">IF(ISERROR(F141),"",_xlfn.TEXTJOIN("/",FALSE,P146,S146))</f>
        <v>#N/A</v>
      </c>
      <c r="H146" s="42"/>
      <c r="I146" s="42" t="str">
        <f ca="1">IF(ISERROR(F141),"",_xlfn.TEXTJOIN("/",FALSE,Q146,T146))</f>
        <v>45/50</v>
      </c>
      <c r="J146" s="42"/>
      <c r="K146" s="42" t="e">
        <f ca="1">IF(ISERROR(F141),"",_xlfn.TEXTJOIN("/",FALSE,R146,U146))</f>
        <v>#N/A</v>
      </c>
      <c r="L146" s="42"/>
      <c r="M146" s="7" t="e">
        <f ca="1">IF(ISERROR(F141),"",IF(ISTEXT(P146),IF(P146="A","Ab",IF(P146="D","Dt",IF(P146="UFM","UFM",IF(P146="NA","")))),IF(AND(ISBLANK(P146),ISBLANK(R146)),"",IF(P146&lt;0.3*S146,"F",IF(ISBLANK(R146),"",IF(ISTEXT(R146),R146,IF(R146&gt;=0.9*U146,"O",IF(R146&gt;=0.85*U146,"A+",IF(R146&gt;=0.8*U146,"A",IF(R146&gt;=0.7*U146,"B+",IF(R146&gt;=0.6*U146,"B",IF(R146&gt;=0.5*U146,"C",IF(R146&gt;=0.4*U146,"P",IF(R146&lt;0.4*U146,"F",R146))))))))))))))</f>
        <v>#N/A</v>
      </c>
      <c r="N146" s="8" t="e">
        <f t="shared" ref="N146:N155" ca="1" si="14">INDEX($Z$2:$Z$13,MATCH(M146,$Y$2:$Y$13,0))</f>
        <v>#N/A</v>
      </c>
      <c r="O146">
        <v>1</v>
      </c>
      <c r="P146" s="1" t="e">
        <f ca="1">IF(ISERROR(F141),"",IF(ISTEXT(VLOOKUP(B141,INDIRECT($F$8),6+(O146-1)*3)),(VLOOKUP(B141,INDIRECT($F$8),6+(O146-1)*3)),SUM(VLOOKUP(B141,INDIRECT($F$8),6+(O146-1)*3),IF(W156,W146,0))))</f>
        <v>#N/A</v>
      </c>
      <c r="Q146" s="1">
        <f ca="1">IF(ISERROR(F141),"",VLOOKUP(B141,INDIRECT($F$8),7+(O146-1)*3))</f>
        <v>45</v>
      </c>
      <c r="R146" s="1" t="e">
        <f ca="1">IF(ISERROR(F141),"",SUM(P146:Q146))</f>
        <v>#N/A</v>
      </c>
      <c r="S146" s="1">
        <f ca="1">IF(ISERROR(F141),"",VLOOKUP(A141,INDIRECT($F$8),6+(O146-1)*3))</f>
        <v>100</v>
      </c>
      <c r="T146" s="1">
        <f ca="1">IF(ISERROR(F141),"",VLOOKUP(A141,INDIRECT($F$8),7+(O146-1)*3))</f>
        <v>50</v>
      </c>
      <c r="U146" s="1">
        <f ca="1">IF(ISERROR(F141),"",VLOOKUP(A141,INDIRECT($F$8),8+(O146-1)*3))</f>
        <v>150</v>
      </c>
      <c r="V146" s="1" t="e">
        <f ca="1">IF(ISERROR(F141),"",IF(N146=0,A146,""))</f>
        <v>#N/A</v>
      </c>
      <c r="W146" s="1">
        <f ca="1">IF(ISERROR(F141),"",IF(ISTEXT(VLOOKUP(B141,INDIRECT($F$8),6+(O146-1)*3)),11,IF(VLOOKUP(B141,INDIRECT($F$8),6+(O146-1)*3)&lt;S146*0.3,IF(VLOOKUP(B141,INDIRECT($F$8),8+(O146-1)*3)&lt;U146*0.4,IF(AND(0.4*U146-VLOOKUP(B141,INDIRECT($F$8),8+(O146-1)*3)&lt;=5,0.3*S146-VLOOKUP(B141,INDIRECT($F$8),6+(O146-1)*3)&lt;=5),MAX(0.4*U146-VLOOKUP(B141,INDIRECT($F$8),8+(O146-1)*3),0.3*S146-VLOOKUP(B141,INDIRECT($F$8),6+(O146-1)*3)),11),IF(0.3*S146-VLOOKUP(B141,INDIRECT($F$8),6+(O146-1)*3)&lt;=5,0.3*S146-VLOOKUP(B141,INDIRECT($F$8),6+(O146-1)*3),11)),IF(VLOOKUP(B141,INDIRECT($F$8),8+(O146-1)*3)&lt;U146*0.4,IF(U146*0.4-VLOOKUP(B141,INDIRECT($F$8),8+(O146-1)*3)&lt;=5,U146*0.4-VLOOKUP(B141,INDIRECT($F$8),8+(O146-1)*3),11),0))))</f>
        <v>0</v>
      </c>
      <c r="X146" s="1" t="str">
        <f ca="1">IF(ISERROR(F141),"",IF(W146=0,"",_xlfn.TEXTJOIN("",FALSE," G+",W146," in ",A146)))</f>
        <v/>
      </c>
    </row>
    <row r="147" spans="1:24" ht="13" customHeight="1" x14ac:dyDescent="0.2">
      <c r="A147" s="7" t="str">
        <f ca="1">IF(ISERROR(F141),"",VLOOKUP(C141,INDIRECT($F$8),6+(O147-1)*3,0))</f>
        <v>CAT 010</v>
      </c>
      <c r="B147" s="41" t="str">
        <f ca="1">IF(ISERROR(F141),"",VLOOKUP(D141,INDIRECT($F$8),6+(O147-1)*3,0))</f>
        <v>Data Structures and Analysis of Algorithms</v>
      </c>
      <c r="C147" s="41"/>
      <c r="D147" s="41"/>
      <c r="E147" s="41"/>
      <c r="F147" s="7">
        <f ca="1">IF(ISERROR(F141),"",VLOOKUP(E141,INDIRECT($F$8),6+(O147-1)*3,0))</f>
        <v>4</v>
      </c>
      <c r="G147" s="42" t="e">
        <f ca="1">IF(ISERROR(F141),"",_xlfn.TEXTJOIN("/",FALSE,P147,S147))</f>
        <v>#N/A</v>
      </c>
      <c r="H147" s="42"/>
      <c r="I147" s="42" t="str">
        <f ca="1">IF(ISERROR(F141),"",_xlfn.TEXTJOIN("/",FALSE,Q147,T147))</f>
        <v>47/50</v>
      </c>
      <c r="J147" s="42"/>
      <c r="K147" s="42" t="e">
        <f ca="1">IF(ISERROR(F141),"",_xlfn.TEXTJOIN("/",FALSE,R147,U147))</f>
        <v>#N/A</v>
      </c>
      <c r="L147" s="42"/>
      <c r="M147" s="7" t="e">
        <f ca="1">IF(ISERROR(F141),"",IF(ISTEXT(P147),IF(P147="A","Ab",IF(P147="D","Dt",IF(P147="UFM","UFM",IF(P147="NA","")))),IF(AND(ISBLANK(P147),ISBLANK(R147)),"",IF(P147&lt;0.3*S147,"F",IF(ISBLANK(R147),"",IF(ISTEXT(R147),R147,IF(R147&gt;=0.9*U147,"O",IF(R147&gt;=0.85*U147,"A+",IF(R147&gt;=0.8*U147,"A",IF(R147&gt;=0.7*U147,"B+",IF(R147&gt;=0.6*U147,"B",IF(R147&gt;=0.5*U147,"C",IF(R147&gt;=0.4*U147,"P",IF(R147&lt;0.4*U147,"F",R147))))))))))))))</f>
        <v>#N/A</v>
      </c>
      <c r="N147" s="8" t="e">
        <f t="shared" ca="1" si="14"/>
        <v>#N/A</v>
      </c>
      <c r="O147">
        <f>O146+1</f>
        <v>2</v>
      </c>
      <c r="P147" s="1" t="e">
        <f ca="1">IF(ISERROR(F141),"",IF(ISTEXT(VLOOKUP(B141,INDIRECT($F$8),6+(O147-1)*3)),(VLOOKUP(B141,INDIRECT($F$8),6+(O147-1)*3)),SUM(VLOOKUP(B141,INDIRECT($F$8),6+(O147-1)*3),IF(W156,W147,0))))</f>
        <v>#N/A</v>
      </c>
      <c r="Q147" s="1">
        <f ca="1">IF(ISERROR(F141),"",VLOOKUP(B141,INDIRECT($F$8),7+(O147-1)*3))</f>
        <v>47</v>
      </c>
      <c r="R147" s="1" t="e">
        <f ca="1">IF(ISERROR(F141),"",SUM(P147:Q147))</f>
        <v>#N/A</v>
      </c>
      <c r="S147" s="1">
        <f ca="1">IF(ISERROR(F141),"",VLOOKUP(A141,INDIRECT($F$8),6+(O147-1)*3))</f>
        <v>100</v>
      </c>
      <c r="T147" s="1">
        <f ca="1">IF(ISERROR(F141),"",VLOOKUP(A141,INDIRECT($F$8),7+(O147-1)*3))</f>
        <v>50</v>
      </c>
      <c r="U147" s="1">
        <f ca="1">IF(ISERROR(F141),"",VLOOKUP(A141,INDIRECT($F$8),8+(O147-1)*3))</f>
        <v>150</v>
      </c>
      <c r="V147" s="1" t="e">
        <f ca="1">IF(ISERROR(F141),"",IF(N147=0,A147,""))</f>
        <v>#N/A</v>
      </c>
      <c r="W147" s="1">
        <f ca="1">IF(ISERROR(F141),"",IF(ISTEXT(VLOOKUP(B141,INDIRECT($F$8),6+(O147-1)*3)),11,IF(VLOOKUP(B141,INDIRECT($F$8),6+(O147-1)*3)&lt;S147*0.3,IF(VLOOKUP(B141,INDIRECT($F$8),8+(O147-1)*3)&lt;U147*0.4,IF(AND(0.4*U147-VLOOKUP(B141,INDIRECT($F$8),8+(O147-1)*3)&lt;=5,0.3*S147-VLOOKUP(B141,INDIRECT($F$8),6+(O147-1)*3)&lt;=5),MAX(0.4*U147-VLOOKUP(B141,INDIRECT($F$8),8+(O147-1)*3),0.3*S147-VLOOKUP(B141,INDIRECT($F$8),6+(O147-1)*3)),11),IF(0.3*S147-VLOOKUP(B141,INDIRECT($F$8),6+(O147-1)*3)&lt;=5,0.3*S147-VLOOKUP(B141,INDIRECT($F$8),6+(O147-1)*3),11)),IF(VLOOKUP(B141,INDIRECT($F$8),8+(O147-1)*3)&lt;U147*0.4,IF(U147*0.4-VLOOKUP(B141,INDIRECT($F$8),8+(O147-1)*3)&lt;=5,U147*0.4-VLOOKUP(B141,INDIRECT($F$8),8+(O147-1)*3),11),0))))</f>
        <v>0</v>
      </c>
      <c r="X147" s="1" t="str">
        <f ca="1">IF(ISERROR(F141),"",IF(W147=0,"",_xlfn.TEXTJOIN("",FALSE," G+",W147," in ",A147)))</f>
        <v/>
      </c>
    </row>
    <row r="148" spans="1:24" ht="13" customHeight="1" x14ac:dyDescent="0.2">
      <c r="A148" s="7" t="str">
        <f ca="1">IF(ISERROR(F141),"",VLOOKUP(C141,INDIRECT($F$8),6+(O148-1)*3,0))</f>
        <v>CAT 011</v>
      </c>
      <c r="B148" s="41" t="str">
        <f ca="1">IF(ISERROR(F141),"",VLOOKUP(D141,INDIRECT($F$8),6+(O148-1)*3,0))</f>
        <v>Object Oriented Programming with JAVA</v>
      </c>
      <c r="C148" s="41"/>
      <c r="D148" s="41"/>
      <c r="E148" s="41"/>
      <c r="F148" s="7">
        <f ca="1">IF(ISERROR(F141),"",VLOOKUP(E141,INDIRECT($F$8),6+(O148-1)*3,0))</f>
        <v>4</v>
      </c>
      <c r="G148" s="42" t="e">
        <f ca="1">IF(ISERROR(F141),"",_xlfn.TEXTJOIN("/",FALSE,P148,S148))</f>
        <v>#N/A</v>
      </c>
      <c r="H148" s="42"/>
      <c r="I148" s="42" t="str">
        <f ca="1">IF(ISERROR(F141),"",_xlfn.TEXTJOIN("/",FALSE,Q148,T148))</f>
        <v>43/50</v>
      </c>
      <c r="J148" s="42"/>
      <c r="K148" s="42" t="e">
        <f ca="1">IF(ISERROR(F141),"",_xlfn.TEXTJOIN("/",FALSE,R148,U148))</f>
        <v>#N/A</v>
      </c>
      <c r="L148" s="42"/>
      <c r="M148" s="7" t="e">
        <f ca="1">IF(ISERROR(F141),"",IF(ISTEXT(P148),IF(P148="A","Ab",IF(P148="D","Dt",IF(P148="UFM","UFM",IF(P148="NA","")))),IF(AND(ISBLANK(P148),ISBLANK(R148)),"",IF(P148&lt;0.3*S148,"F",IF(ISBLANK(R148),"",IF(ISTEXT(R148),R148,IF(R148&gt;=0.9*U148,"O",IF(R148&gt;=0.85*U148,"A+",IF(R148&gt;=0.8*U148,"A",IF(R148&gt;=0.7*U148,"B+",IF(R148&gt;=0.6*U148,"B",IF(R148&gt;=0.5*U148,"C",IF(R148&gt;=0.4*U148,"P",IF(R148&lt;0.4*U148,"F",R148))))))))))))))</f>
        <v>#N/A</v>
      </c>
      <c r="N148" s="8" t="e">
        <f t="shared" ca="1" si="14"/>
        <v>#N/A</v>
      </c>
      <c r="O148">
        <f>O147+1</f>
        <v>3</v>
      </c>
      <c r="P148" s="1" t="e">
        <f ca="1">IF(ISERROR(F141),"",IF(ISTEXT(VLOOKUP(B141,INDIRECT($F$8),6+(O148-1)*3)),(VLOOKUP(B141,INDIRECT($F$8),6+(O148-1)*3)),SUM(VLOOKUP(B141,INDIRECT($F$8),6+(O148-1)*3),IF(W156,W148,0))))</f>
        <v>#N/A</v>
      </c>
      <c r="Q148" s="1">
        <f ca="1">IF(ISERROR(F141),"",VLOOKUP(B141,INDIRECT($F$8),7+(O148-1)*3))</f>
        <v>43</v>
      </c>
      <c r="R148" s="1" t="e">
        <f ca="1">IF(ISERROR(F141),"",SUM(P148:Q148))</f>
        <v>#N/A</v>
      </c>
      <c r="S148" s="1">
        <f ca="1">IF(ISERROR(F141),"",VLOOKUP(A141,INDIRECT($F$8),6+(O148-1)*3))</f>
        <v>100</v>
      </c>
      <c r="T148" s="1">
        <f ca="1">IF(ISERROR(F141),"",VLOOKUP(A141,INDIRECT($F$8),7+(O148-1)*3))</f>
        <v>50</v>
      </c>
      <c r="U148" s="1">
        <f ca="1">IF(ISERROR(F141),"",VLOOKUP(A141,INDIRECT($F$8),8+(O148-1)*3))</f>
        <v>150</v>
      </c>
      <c r="V148" s="1" t="e">
        <f ca="1">IF(ISERROR(F141),"",IF(N148=0,A148,""))</f>
        <v>#N/A</v>
      </c>
      <c r="W148" s="1">
        <f ca="1">IF(ISERROR(F141),"",IF(ISTEXT(VLOOKUP(B141,INDIRECT($F$8),6+(O148-1)*3)),11,IF(VLOOKUP(B141,INDIRECT($F$8),6+(O148-1)*3)&lt;S148*0.3,IF(VLOOKUP(B141,INDIRECT($F$8),8+(O148-1)*3)&lt;U148*0.4,IF(AND(0.4*U148-VLOOKUP(B141,INDIRECT($F$8),8+(O148-1)*3)&lt;=5,0.3*S148-VLOOKUP(B141,INDIRECT($F$8),6+(O148-1)*3)&lt;=5),MAX(0.4*U148-VLOOKUP(B141,INDIRECT($F$8),8+(O148-1)*3),0.3*S148-VLOOKUP(B141,INDIRECT($F$8),6+(O148-1)*3)),11),IF(0.3*S148-VLOOKUP(B141,INDIRECT($F$8),6+(O148-1)*3)&lt;=5,0.3*S148-VLOOKUP(B141,INDIRECT($F$8),6+(O148-1)*3),11)),IF(VLOOKUP(B141,INDIRECT($F$8),8+(O148-1)*3)&lt;U148*0.4,IF(U148*0.4-VLOOKUP(B141,INDIRECT($F$8),8+(O148-1)*3)&lt;=5,U148*0.4-VLOOKUP(B141,INDIRECT($F$8),8+(O148-1)*3),11),0))))</f>
        <v>0</v>
      </c>
      <c r="X148" s="1" t="str">
        <f ca="1">IF(ISERROR(F141),"",IF(W148=0,"",_xlfn.TEXTJOIN("",FALSE," G+",W148," in ",A148)))</f>
        <v/>
      </c>
    </row>
    <row r="149" spans="1:24" ht="13" customHeight="1" x14ac:dyDescent="0.2">
      <c r="A149" s="7" t="str">
        <f ca="1">IF(ISERROR(F141),"",VLOOKUP(C141,INDIRECT($F$8),6+(O149-1)*3,0))</f>
        <v>CAT 012</v>
      </c>
      <c r="B149" s="41" t="str">
        <f ca="1">IF(ISERROR(F141),"",VLOOKUP(D141,INDIRECT($F$8),6+(O149-1)*3,0))</f>
        <v>Computer Networks</v>
      </c>
      <c r="C149" s="41"/>
      <c r="D149" s="41"/>
      <c r="E149" s="41"/>
      <c r="F149" s="7">
        <f ca="1">IF(ISERROR(F141),"",VLOOKUP(E141,INDIRECT($F$8),6+(O149-1)*3,0))</f>
        <v>4</v>
      </c>
      <c r="G149" s="42" t="e">
        <f ca="1">IF(ISERROR(F141),"",_xlfn.TEXTJOIN("/",FALSE,P149,S149))</f>
        <v>#N/A</v>
      </c>
      <c r="H149" s="42"/>
      <c r="I149" s="42" t="str">
        <f ca="1">IF(ISERROR(F141),"",_xlfn.TEXTJOIN("/",FALSE,Q149,T149))</f>
        <v>40/50</v>
      </c>
      <c r="J149" s="42"/>
      <c r="K149" s="42" t="e">
        <f ca="1">IF(ISERROR(F141),"",_xlfn.TEXTJOIN("/",FALSE,R149,U149))</f>
        <v>#N/A</v>
      </c>
      <c r="L149" s="42"/>
      <c r="M149" s="7" t="e">
        <f ca="1">IF(ISERROR(F141),"",IF(ISTEXT(P149),IF(P149="A","Ab",IF(P149="D","Dt",IF(P149="UFM","UFM",IF(P149="NA","")))),IF(AND(ISBLANK(P149),ISBLANK(R149)),"",IF(P149&lt;0.3*S149,"F",IF(ISBLANK(R149),"",IF(ISTEXT(R149),R149,IF(R149&gt;=0.9*U149,"O",IF(R149&gt;=0.85*U149,"A+",IF(R149&gt;=0.8*U149,"A",IF(R149&gt;=0.7*U149,"B+",IF(R149&gt;=0.6*U149,"B",IF(R149&gt;=0.5*U149,"C",IF(R149&gt;=0.4*U149,"P",IF(R149&lt;0.4*U149,"F",R149))))))))))))))</f>
        <v>#N/A</v>
      </c>
      <c r="N149" s="8" t="e">
        <f t="shared" ca="1" si="14"/>
        <v>#N/A</v>
      </c>
      <c r="O149">
        <f t="shared" ref="O149:O155" si="15">O148+1</f>
        <v>4</v>
      </c>
      <c r="P149" s="1" t="e">
        <f ca="1">IF(ISERROR(F141),"",IF(ISTEXT(VLOOKUP(B141,INDIRECT($F$8),6+(O149-1)*3)),(VLOOKUP(B141,INDIRECT($F$8),6+(O149-1)*3)),SUM(VLOOKUP(B141,INDIRECT($F$8),6+(O149-1)*3),IF(W156,W149,0))))</f>
        <v>#N/A</v>
      </c>
      <c r="Q149" s="1">
        <f ca="1">IF(ISERROR(F141),"",VLOOKUP(B141,INDIRECT($F$8),7+(O149-1)*3))</f>
        <v>40</v>
      </c>
      <c r="R149" s="1" t="e">
        <f ca="1">IF(ISERROR(F141),"",SUM(P149:Q149))</f>
        <v>#N/A</v>
      </c>
      <c r="S149" s="1">
        <f ca="1">IF(ISERROR(F141),"",VLOOKUP(A141,INDIRECT($F$8),6+(O149-1)*3))</f>
        <v>100</v>
      </c>
      <c r="T149" s="1">
        <f ca="1">IF(ISERROR(F141),"",VLOOKUP(A141,INDIRECT($F$8),7+(O149-1)*3))</f>
        <v>50</v>
      </c>
      <c r="U149" s="1">
        <f ca="1">IF(ISERROR(F141),"",VLOOKUP(A141,INDIRECT($F$8),8+(O149-1)*3))</f>
        <v>150</v>
      </c>
      <c r="V149" s="1" t="e">
        <f ca="1">IF(ISERROR(F141),"",IF(N149=0,A149,""))</f>
        <v>#N/A</v>
      </c>
      <c r="W149" s="1">
        <f ca="1">IF(ISERROR(F141),"",IF(ISTEXT(VLOOKUP(B141,INDIRECT($F$8),6+(O149-1)*3)),11,IF(VLOOKUP(B141,INDIRECT($F$8),6+(O149-1)*3)&lt;S149*0.3,IF(VLOOKUP(B141,INDIRECT($F$8),8+(O149-1)*3)&lt;U149*0.4,IF(AND(0.4*U149-VLOOKUP(B141,INDIRECT($F$8),8+(O149-1)*3)&lt;=5,0.3*S149-VLOOKUP(B141,INDIRECT($F$8),6+(O149-1)*3)&lt;=5),MAX(0.4*U149-VLOOKUP(B141,INDIRECT($F$8),8+(O149-1)*3),0.3*S149-VLOOKUP(B141,INDIRECT($F$8),6+(O149-1)*3)),11),IF(0.3*S149-VLOOKUP(B141,INDIRECT($F$8),6+(O149-1)*3)&lt;=5,0.3*S149-VLOOKUP(B141,INDIRECT($F$8),6+(O149-1)*3),11)),IF(VLOOKUP(B141,INDIRECT($F$8),8+(O149-1)*3)&lt;U149*0.4,IF(U149*0.4-VLOOKUP(B141,INDIRECT($F$8),8+(O149-1)*3)&lt;=5,U149*0.4-VLOOKUP(B141,INDIRECT($F$8),8+(O149-1)*3),11),0))))</f>
        <v>0</v>
      </c>
      <c r="X149" s="1" t="str">
        <f ca="1">IF(ISERROR(F141),"",IF(W149=0,"",_xlfn.TEXTJOIN("",FALSE," G+",W149," in ",A149)))</f>
        <v/>
      </c>
    </row>
    <row r="150" spans="1:24" ht="13" customHeight="1" x14ac:dyDescent="0.2">
      <c r="A150" s="7" t="str">
        <f ca="1">IF(ISERROR(F141),"",VLOOKUP(C141,INDIRECT($F$8),6+(O150-1)*3,0))</f>
        <v>CAT 013</v>
      </c>
      <c r="B150" s="41" t="str">
        <f ca="1">IF(ISERROR(F141),"",VLOOKUP(D141,INDIRECT($F$8),6+(O150-1)*3,0))</f>
        <v>Artificial Intelligence</v>
      </c>
      <c r="C150" s="41"/>
      <c r="D150" s="41"/>
      <c r="E150" s="41"/>
      <c r="F150" s="7">
        <f ca="1">IF(ISERROR(F141),"",VLOOKUP(E141,INDIRECT($F$8),6+(O150-1)*3,0))</f>
        <v>4</v>
      </c>
      <c r="G150" s="42" t="e">
        <f ca="1">IF(ISERROR(F141),"",_xlfn.TEXTJOIN("/",FALSE,P150,S150))</f>
        <v>#N/A</v>
      </c>
      <c r="H150" s="42"/>
      <c r="I150" s="42" t="str">
        <f ca="1">IF(ISERROR(F141),"",_xlfn.TEXTJOIN("/",FALSE,Q150,T150))</f>
        <v>48/50</v>
      </c>
      <c r="J150" s="42"/>
      <c r="K150" s="42" t="e">
        <f ca="1">IF(ISERROR(F141),"",_xlfn.TEXTJOIN("/",FALSE,R150,U150))</f>
        <v>#N/A</v>
      </c>
      <c r="L150" s="42"/>
      <c r="M150" s="7" t="e">
        <f ca="1">IF(ISERROR(F141),"",IF(ISTEXT(P150),IF(P150="A","Ab",IF(P150="D","Dt",IF(P150="UFM","UFM",IF(P150="NA","")))),IF(AND(ISBLANK(P150),ISBLANK(R150)),"",IF(P150&lt;0.3*S150,"F",IF(ISBLANK(R150),"",IF(ISTEXT(R150),R150,IF(R150&gt;=0.9*U150,"O",IF(R150&gt;=0.85*U150,"A+",IF(R150&gt;=0.8*U150,"A",IF(R150&gt;=0.7*U150,"B+",IF(R150&gt;=0.6*U150,"B",IF(R150&gt;=0.5*U150,"C",IF(R150&gt;=0.4*U150,"P",IF(R150&lt;0.4*U150,"F",R150))))))))))))))</f>
        <v>#N/A</v>
      </c>
      <c r="N150" s="8" t="e">
        <f t="shared" ca="1" si="14"/>
        <v>#N/A</v>
      </c>
      <c r="O150">
        <f t="shared" si="15"/>
        <v>5</v>
      </c>
      <c r="P150" s="1" t="e">
        <f ca="1">IF(ISERROR(F141),"",IF(ISTEXT(VLOOKUP(B141,INDIRECT($F$8),6+(O150-1)*3)),(VLOOKUP(B141,INDIRECT($F$8),6+(O150-1)*3)),SUM(VLOOKUP(B141,INDIRECT($F$8),6+(O150-1)*3),IF(W156,W150,0))))</f>
        <v>#N/A</v>
      </c>
      <c r="Q150" s="1">
        <f ca="1">IF(ISERROR(F141),"",VLOOKUP(B141,INDIRECT($F$8),7+(O150-1)*3))</f>
        <v>48</v>
      </c>
      <c r="R150" s="1" t="e">
        <f ca="1">IF(ISERROR(F141),"",SUM(P150:Q150))</f>
        <v>#N/A</v>
      </c>
      <c r="S150" s="1">
        <f ca="1">IF(ISERROR(F141),"",VLOOKUP(A141,INDIRECT($F$8),6+(O150-1)*3))</f>
        <v>100</v>
      </c>
      <c r="T150" s="1">
        <f ca="1">IF(ISERROR(F141),"",VLOOKUP(A141,INDIRECT($F$8),7+(O150-1)*3))</f>
        <v>50</v>
      </c>
      <c r="U150" s="1">
        <f ca="1">IF(ISERROR(F141),"",VLOOKUP(A141,INDIRECT($F$8),8+(O150-1)*3))</f>
        <v>150</v>
      </c>
      <c r="V150" s="1" t="e">
        <f ca="1">IF(ISERROR(F141),"",IF(N150=0,A150,""))</f>
        <v>#N/A</v>
      </c>
      <c r="W150" s="1">
        <f ca="1">IF(ISERROR(F141),"",IF(ISTEXT(VLOOKUP(B141,INDIRECT($F$8),6+(O150-1)*3)),11,IF(VLOOKUP(B141,INDIRECT($F$8),6+(O150-1)*3)&lt;S150*0.3,IF(VLOOKUP(B141,INDIRECT($F$8),8+(O150-1)*3)&lt;U150*0.4,IF(AND(0.4*U150-VLOOKUP(B141,INDIRECT($F$8),8+(O150-1)*3)&lt;=5,0.3*S150-VLOOKUP(B141,INDIRECT($F$8),6+(O150-1)*3)&lt;=5),MAX(0.4*U150-VLOOKUP(B141,INDIRECT($F$8),8+(O150-1)*3),0.3*S150-VLOOKUP(B141,INDIRECT($F$8),6+(O150-1)*3)),11),IF(0.3*S150-VLOOKUP(B141,INDIRECT($F$8),6+(O150-1)*3)&lt;=5,0.3*S150-VLOOKUP(B141,INDIRECT($F$8),6+(O150-1)*3),11)),IF(VLOOKUP(B141,INDIRECT($F$8),8+(O150-1)*3)&lt;U150*0.4,IF(U150*0.4-VLOOKUP(B141,INDIRECT($F$8),8+(O150-1)*3)&lt;=5,U150*0.4-VLOOKUP(B141,INDIRECT($F$8),8+(O150-1)*3),11),0))))</f>
        <v>0</v>
      </c>
      <c r="X150" s="1" t="str">
        <f ca="1">IF(ISERROR(F141),"",IF(W150=0,"",_xlfn.TEXTJOIN("",FALSE," G+",W150," in ",A150)))</f>
        <v/>
      </c>
    </row>
    <row r="151" spans="1:24" ht="13" customHeight="1" x14ac:dyDescent="0.2">
      <c r="A151" s="7" t="str">
        <f ca="1">IF(ISERROR(F141),"",VLOOKUP(C141,INDIRECT($F$8),6+(O151-1)*3,0))</f>
        <v>AHT 304</v>
      </c>
      <c r="B151" s="41" t="str">
        <f ca="1">IF(ISERROR(F141),"",VLOOKUP(D141,INDIRECT($F$8),6+(O151-1)*3,0))</f>
        <v>Accounting and Financial Management ($)</v>
      </c>
      <c r="C151" s="41"/>
      <c r="D151" s="41"/>
      <c r="E151" s="41"/>
      <c r="F151" s="7">
        <f ca="1">IF(ISERROR(F141),"",VLOOKUP(E141,INDIRECT($F$8),6+(O151-1)*3,0))</f>
        <v>0</v>
      </c>
      <c r="G151" s="42" t="e">
        <f ca="1">IF(ISERROR(F141),"",_xlfn.TEXTJOIN("/",FALSE,P151,S151))</f>
        <v>#N/A</v>
      </c>
      <c r="H151" s="42"/>
      <c r="I151" s="42" t="str">
        <f ca="1">IF(ISERROR(F141),"",_xlfn.TEXTJOIN("/",FALSE,Q151,T151))</f>
        <v>29/50</v>
      </c>
      <c r="J151" s="42"/>
      <c r="K151" s="42" t="e">
        <f ca="1">IF(ISERROR(F141),"",_xlfn.TEXTJOIN("/",FALSE,R151,U151))</f>
        <v>#N/A</v>
      </c>
      <c r="L151" s="42"/>
      <c r="M151" s="7" t="e">
        <f ca="1">IF(ISERROR(F141),"",IF(ISTEXT(P151),IF(P151="A","Ab",IF(P151="D","Dt",IF(P151="UFM","UFM",IF(P151="NA","")))),IF(AND(ISBLANK(P151),ISBLANK(R151)),"",IF(P151&lt;0.3*S151,"F",IF(ISBLANK(R151),"",IF(ISTEXT(R151),R151,IF(R151&gt;=0.9*U151,"O",IF(R151&gt;=0.85*U151,"A+",IF(R151&gt;=0.8*U151,"A",IF(R151&gt;=0.7*U151,"B+",IF(R151&gt;=0.6*U151,"B",IF(R151&gt;=0.5*U151,"C",IF(R151&gt;=0.4*U151,"P",IF(R151&lt;0.4*U151,"F",R151))))))))))))))</f>
        <v>#N/A</v>
      </c>
      <c r="N151" s="8" t="e">
        <f t="shared" ca="1" si="14"/>
        <v>#N/A</v>
      </c>
      <c r="O151">
        <f t="shared" si="15"/>
        <v>6</v>
      </c>
      <c r="P151" s="1" t="e">
        <f ca="1">IF(ISERROR(F141),"",IF(ISTEXT(VLOOKUP(B141,INDIRECT($F$8),6+(O151-1)*3)),(VLOOKUP(B141,INDIRECT($F$8),6+(O151-1)*3)),SUM(VLOOKUP(B141,INDIRECT($F$8),6+(O151-1)*3),IF(W156,W151,0))))</f>
        <v>#N/A</v>
      </c>
      <c r="Q151" s="1">
        <f ca="1">IF(ISERROR(F141),"",VLOOKUP(B141,INDIRECT($F$8),7+(O151-1)*3))</f>
        <v>29</v>
      </c>
      <c r="R151" s="1" t="e">
        <f ca="1">IF(ISERROR(F141),"",SUM(P151:Q151))</f>
        <v>#N/A</v>
      </c>
      <c r="S151" s="1">
        <f ca="1">IF(ISERROR(F141),"",VLOOKUP(A141,INDIRECT($F$8),6+(O151-1)*3))</f>
        <v>0</v>
      </c>
      <c r="T151" s="1">
        <f ca="1">IF(ISERROR(F141),"",VLOOKUP(A141,INDIRECT($F$8),7+(O151-1)*3))</f>
        <v>50</v>
      </c>
      <c r="U151" s="1">
        <f ca="1">IF(ISERROR(F141),"",VLOOKUP(A141,INDIRECT($F$8),8+(O151-1)*3))</f>
        <v>50</v>
      </c>
      <c r="V151" s="1" t="e">
        <f ca="1">IF(ISERROR(F141),"",IF(N151=0,A151,""))</f>
        <v>#N/A</v>
      </c>
      <c r="W151" s="1">
        <f ca="1">IF(ISERROR(F141),"",IF(ISTEXT(VLOOKUP(B141,INDIRECT($F$8),6+(O151-1)*3)),11,IF(VLOOKUP(B141,INDIRECT($F$8),6+(O151-1)*3)&lt;S151*0.3,IF(VLOOKUP(B141,INDIRECT($F$8),8+(O151-1)*3)&lt;U151*0.4,IF(AND(0.4*U151-VLOOKUP(B141,INDIRECT($F$8),8+(O151-1)*3)&lt;=5,0.3*S151-VLOOKUP(B141,INDIRECT($F$8),6+(O151-1)*3)&lt;=5),MAX(0.4*U151-VLOOKUP(B141,INDIRECT($F$8),8+(O151-1)*3),0.3*S151-VLOOKUP(B141,INDIRECT($F$8),6+(O151-1)*3)),11),IF(0.3*S151-VLOOKUP(B141,INDIRECT($F$8),6+(O151-1)*3)&lt;=5,0.3*S151-VLOOKUP(B141,INDIRECT($F$8),6+(O151-1)*3),11)),IF(VLOOKUP(B141,INDIRECT($F$8),8+(O151-1)*3)&lt;U151*0.4,IF(U151*0.4-VLOOKUP(B141,INDIRECT($F$8),8+(O151-1)*3)&lt;=5,U151*0.4-VLOOKUP(B141,INDIRECT($F$8),8+(O151-1)*3),11),0))))</f>
        <v>0</v>
      </c>
      <c r="X151" s="1" t="str">
        <f ca="1">IF(ISERROR(F141),"",IF(W151=0,"",_xlfn.TEXTJOIN("",FALSE," G+",W151," in ",A151)))</f>
        <v/>
      </c>
    </row>
    <row r="152" spans="1:24" ht="13" customHeight="1" x14ac:dyDescent="0.2">
      <c r="A152" s="7" t="str">
        <f ca="1">IF(ISERROR(F141),"",VLOOKUP(C141,INDIRECT($F$8),6+(O152-1)*3,0))</f>
        <v>CAP 004</v>
      </c>
      <c r="B152" s="41" t="str">
        <f ca="1">IF(ISERROR(F141),"",VLOOKUP(D141,INDIRECT($F$8),6+(O152-1)*3,0))</f>
        <v>Data Structures and Analysis of Algorithms Lab</v>
      </c>
      <c r="C152" s="41"/>
      <c r="D152" s="41"/>
      <c r="E152" s="41"/>
      <c r="F152" s="7">
        <f ca="1">IF(ISERROR(F141),"",VLOOKUP(E141,INDIRECT($F$8),6+(O152-1)*3,0))</f>
        <v>1</v>
      </c>
      <c r="G152" s="42" t="e">
        <f ca="1">IF(ISERROR(F141),"",_xlfn.TEXTJOIN("/",FALSE,P152,S152))</f>
        <v>#N/A</v>
      </c>
      <c r="H152" s="42"/>
      <c r="I152" s="42" t="str">
        <f ca="1">IF(ISERROR(F141),"",_xlfn.TEXTJOIN("/",FALSE,Q152,T152))</f>
        <v>19/20</v>
      </c>
      <c r="J152" s="42"/>
      <c r="K152" s="42" t="e">
        <f ca="1">IF(ISERROR(F141),"",_xlfn.TEXTJOIN("/",FALSE,R152,U152))</f>
        <v>#N/A</v>
      </c>
      <c r="L152" s="42"/>
      <c r="M152" s="7" t="e">
        <f ca="1">IF(ISERROR(F141),"",IF(ISTEXT(P152),IF(P152="A","Ab",IF(P152="D","Dt",IF(P152="UFM","UFM",IF(P152="NA","")))),IF(AND(ISBLANK(P152),ISBLANK(R152)),"",IF(P152&lt;0.3*S152,"F",IF(ISBLANK(R152),"",IF(ISTEXT(R152),R152,IF(R152&gt;=0.9*U152,"O",IF(R152&gt;=0.85*U152,"A+",IF(R152&gt;=0.8*U152,"A",IF(R152&gt;=0.7*U152,"B+",IF(R152&gt;=0.6*U152,"B",IF(R152&gt;=0.5*U152,"C",IF(R152&gt;=0.4*U152,"P",IF(R152&lt;0.4*U152,"F",R152))))))))))))))</f>
        <v>#N/A</v>
      </c>
      <c r="N152" s="8" t="e">
        <f t="shared" ca="1" si="14"/>
        <v>#N/A</v>
      </c>
      <c r="O152">
        <f t="shared" si="15"/>
        <v>7</v>
      </c>
      <c r="P152" s="1" t="e">
        <f ca="1">IF(ISERROR(F141),"",IF(ISTEXT(VLOOKUP(B141,INDIRECT($F$8),6+(O152-1)*3)),(VLOOKUP(B141,INDIRECT($F$8),6+(O152-1)*3)),SUM(VLOOKUP(B141,INDIRECT($F$8),6+(O152-1)*3),IF(W156,W152,0))))</f>
        <v>#N/A</v>
      </c>
      <c r="Q152" s="1">
        <f ca="1">IF(ISERROR(F141),"",VLOOKUP(B141,INDIRECT($F$8),7+(O152-1)*3))</f>
        <v>19</v>
      </c>
      <c r="R152" s="1" t="e">
        <f ca="1">IF(ISERROR(F141),"",SUM(P152:Q152))</f>
        <v>#N/A</v>
      </c>
      <c r="S152" s="1">
        <f ca="1">IF(ISERROR(F141),"",VLOOKUP(A141,INDIRECT($F$8),6+(O152-1)*3))</f>
        <v>30</v>
      </c>
      <c r="T152" s="1">
        <f ca="1">IF(ISERROR(F141),"",VLOOKUP(A141,INDIRECT($F$8),7+(O152-1)*3))</f>
        <v>20</v>
      </c>
      <c r="U152" s="1">
        <f ca="1">IF(ISERROR(F141),"",VLOOKUP(A141,INDIRECT($F$8),8+(O152-1)*3))</f>
        <v>50</v>
      </c>
      <c r="V152" s="1" t="e">
        <f ca="1">IF(ISERROR(F141),"",IF(N152=0,A152,""))</f>
        <v>#N/A</v>
      </c>
      <c r="W152" s="1">
        <f ca="1">IF(ISERROR(F141),"",IF(ISTEXT(VLOOKUP(B141,INDIRECT($F$8),6+(O152-1)*3)),11,IF(VLOOKUP(B141,INDIRECT($F$8),6+(O152-1)*3)&lt;S152*0.3,IF(VLOOKUP(B141,INDIRECT($F$8),8+(O152-1)*3)&lt;U152*0.4,IF(AND(0.4*U152-VLOOKUP(B141,INDIRECT($F$8),8+(O152-1)*3)&lt;=5,0.3*S152-VLOOKUP(B141,INDIRECT($F$8),6+(O152-1)*3)&lt;=5),MAX(0.4*U152-VLOOKUP(B141,INDIRECT($F$8),8+(O152-1)*3),0.3*S152-VLOOKUP(B141,INDIRECT($F$8),6+(O152-1)*3)),11),IF(0.3*S152-VLOOKUP(B141,INDIRECT($F$8),6+(O152-1)*3)&lt;=5,0.3*S152-VLOOKUP(B141,INDIRECT($F$8),6+(O152-1)*3),11)),IF(VLOOKUP(B141,INDIRECT($F$8),8+(O152-1)*3)&lt;U152*0.4,IF(U152*0.4-VLOOKUP(B141,INDIRECT($F$8),8+(O152-1)*3)&lt;=5,U152*0.4-VLOOKUP(B141,INDIRECT($F$8),8+(O152-1)*3),11),0))))</f>
        <v>0</v>
      </c>
      <c r="X152" s="1" t="str">
        <f ca="1">IF(ISERROR(F141),"",IF(W152=0,"",_xlfn.TEXTJOIN("",FALSE," G+",W152," in ",A152)))</f>
        <v/>
      </c>
    </row>
    <row r="153" spans="1:24" ht="13" customHeight="1" x14ac:dyDescent="0.2">
      <c r="A153" s="7" t="str">
        <f ca="1">IF(ISERROR(F141),"",VLOOKUP(C141,INDIRECT($F$8),6+(O153-1)*3,0))</f>
        <v>CAP 005</v>
      </c>
      <c r="B153" s="41" t="str">
        <f ca="1">IF(ISERROR(F141),"",VLOOKUP(D141,INDIRECT($F$8),6+(O153-1)*3-Z153,0))</f>
        <v>Object Oriented Programming with JAVA Lab</v>
      </c>
      <c r="C153" s="41"/>
      <c r="D153" s="41"/>
      <c r="E153" s="41"/>
      <c r="F153" s="7">
        <f ca="1">IF(ISERROR(F141),"",VLOOKUP(E141,INDIRECT($F$8),6+(O153-1)*3,0))</f>
        <v>1</v>
      </c>
      <c r="G153" s="42" t="e">
        <f ca="1">IF(ISERROR(F141),"",_xlfn.TEXTJOIN("/",FALSE,P153,S153))</f>
        <v>#N/A</v>
      </c>
      <c r="H153" s="42"/>
      <c r="I153" s="42" t="str">
        <f ca="1">IF(ISERROR(F141),"",_xlfn.TEXTJOIN("/",FALSE,Q153,T153))</f>
        <v>17/20</v>
      </c>
      <c r="J153" s="42"/>
      <c r="K153" s="42" t="e">
        <f ca="1">IF(ISERROR(F141),"",_xlfn.TEXTJOIN("/",FALSE,R153,U153))</f>
        <v>#N/A</v>
      </c>
      <c r="L153" s="42"/>
      <c r="M153" s="7" t="e">
        <f ca="1">IF(ISERROR(F141),"",IF(ISTEXT(P153),IF(P153="A","Ab",IF(P153="D","Dt",IF(P153="UFM","UFM",IF(P153="NA","")))),IF(AND(ISBLANK(P153),ISBLANK(R153)),"",IF(P153&lt;0.3*S153,"F",IF(ISBLANK(R153),"",IF(ISTEXT(R153),R153,IF(R153&gt;=0.9*U153,"O",IF(R153&gt;=0.85*U153,"A+",IF(R153&gt;=0.8*U153,"A",IF(R153&gt;=0.7*U153,"B+",IF(R153&gt;=0.6*U153,"B",IF(R153&gt;=0.5*U153,"C",IF(R153&gt;=0.4*U153,"P",IF(R153&lt;0.4*U153,"F",R153))))))))))))))</f>
        <v>#N/A</v>
      </c>
      <c r="N153" s="8" t="e">
        <f t="shared" ca="1" si="14"/>
        <v>#N/A</v>
      </c>
      <c r="O153">
        <f t="shared" si="15"/>
        <v>8</v>
      </c>
      <c r="P153" s="1" t="e">
        <f ca="1">IF(ISERROR(F141),"",IF(ISTEXT(VLOOKUP(B141,INDIRECT($F$8),6+(O153-1)*3)),(VLOOKUP(B141,INDIRECT($F$8),6+(O153-1)*3)),SUM(VLOOKUP(B141,INDIRECT($F$8),6+(O153-1)*3),IF(W156,W153,0))))</f>
        <v>#N/A</v>
      </c>
      <c r="Q153" s="1">
        <f ca="1">IF(ISERROR(F141),"",VLOOKUP(B141,INDIRECT($F$8),7+(O153-1)*3))</f>
        <v>17</v>
      </c>
      <c r="R153" s="1" t="e">
        <f ca="1">IF(ISERROR(F141),"",SUM(P153:Q153))</f>
        <v>#N/A</v>
      </c>
      <c r="S153" s="1">
        <f ca="1">IF(ISERROR(F141),"",VLOOKUP(A141,INDIRECT($F$8),6+(O153-1)*3))</f>
        <v>30</v>
      </c>
      <c r="T153" s="1">
        <f ca="1">IF(ISERROR(F141),"",VLOOKUP(A141,INDIRECT($F$8),7+(O153-1)*3))</f>
        <v>20</v>
      </c>
      <c r="U153" s="1">
        <f ca="1">IF(ISERROR(F141),"",VLOOKUP(A141,INDIRECT($F$8),8+(O153-1)*3))</f>
        <v>50</v>
      </c>
      <c r="V153" s="1" t="e">
        <f ca="1">IF(ISERROR(F141),"",IF(N153=0,A153,""))</f>
        <v>#N/A</v>
      </c>
      <c r="W153" s="1">
        <f ca="1">IF(ISERROR(F141),"",IF(ISTEXT(VLOOKUP(B141,INDIRECT($F$8),6+(O153-1)*3)),11,IF(VLOOKUP(B141,INDIRECT($F$8),6+(O153-1)*3)&lt;S153*0.3,IF(VLOOKUP(B141,INDIRECT($F$8),8+(O153-1)*3)&lt;U153*0.4,IF(AND(0.4*U153-VLOOKUP(B141,INDIRECT($F$8),8+(O153-1)*3)&lt;=5,0.3*S153-VLOOKUP(B141,INDIRECT($F$8),6+(O153-1)*3)&lt;=5),MAX(0.4*U153-VLOOKUP(B141,INDIRECT($F$8),8+(O153-1)*3),0.3*S153-VLOOKUP(B141,INDIRECT($F$8),6+(O153-1)*3)),11),IF(0.3*S153-VLOOKUP(B141,INDIRECT($F$8),6+(O153-1)*3)&lt;=5,0.3*S153-VLOOKUP(B141,INDIRECT($F$8),6+(O153-1)*3),11)),IF(VLOOKUP(B141,INDIRECT($F$8),8+(O153-1)*3)&lt;U153*0.4,IF(U153*0.4-VLOOKUP(B141,INDIRECT($F$8),8+(O153-1)*3)&lt;=5,U153*0.4-VLOOKUP(B141,INDIRECT($F$8),8+(O153-1)*3),11),0))))</f>
        <v>0</v>
      </c>
      <c r="X153" s="1" t="str">
        <f ca="1">IF(ISERROR(F141),"",IF(W153=0,"",_xlfn.TEXTJOIN("",FALSE," G+",W153," in ",A153)))</f>
        <v/>
      </c>
    </row>
    <row r="154" spans="1:24" ht="13" customHeight="1" x14ac:dyDescent="0.2">
      <c r="A154" s="7" t="str">
        <f ca="1">IF(ISERROR(F141),"",VLOOKUP(C141,INDIRECT($F$8),6+(O154-1)*3,0))</f>
        <v>CAP 006</v>
      </c>
      <c r="B154" s="41" t="str">
        <f ca="1">IF(ISERROR(F141),"",VLOOKUP(D141,INDIRECT($F$8),6+(O154-1)*3-Z154,0))</f>
        <v>Computer Networks Lab</v>
      </c>
      <c r="C154" s="41"/>
      <c r="D154" s="41"/>
      <c r="E154" s="41"/>
      <c r="F154" s="7">
        <f ca="1">IF(ISERROR(F141),"",VLOOKUP(E141,INDIRECT($F$8),6+(O154-1)*3,0))</f>
        <v>1</v>
      </c>
      <c r="G154" s="42" t="e">
        <f ca="1">IF(ISERROR(F141),"",_xlfn.TEXTJOIN("/",FALSE,P154,S154))</f>
        <v>#N/A</v>
      </c>
      <c r="H154" s="42"/>
      <c r="I154" s="42" t="str">
        <f ca="1">IF(ISERROR(F141),"",_xlfn.TEXTJOIN("/",FALSE,Q154,T154))</f>
        <v>16/20</v>
      </c>
      <c r="J154" s="42"/>
      <c r="K154" s="42" t="e">
        <f ca="1">IF(ISERROR(F141),"",_xlfn.TEXTJOIN("/",FALSE,R154,U154))</f>
        <v>#N/A</v>
      </c>
      <c r="L154" s="42"/>
      <c r="M154" s="7" t="e">
        <f ca="1">IF(ISERROR(F141),"",IF(ISTEXT(P154),IF(P154="A","Ab",IF(P154="D","Dt",IF(P154="UFM","UFM",IF(P154="NA","")))),IF(AND(ISBLANK(P154),ISBLANK(R154)),"",IF(P154&lt;0.3*S154,"F",IF(ISBLANK(R154),"",IF(ISTEXT(R154),R154,IF(R154&gt;=0.9*U154,"O",IF(R154&gt;=0.85*U154,"A+",IF(R154&gt;=0.8*U154,"A",IF(R154&gt;=0.7*U154,"B+",IF(R154&gt;=0.6*U154,"B",IF(R154&gt;=0.5*U154,"C",IF(R154&gt;=0.4*U154,"P",IF(R154&lt;0.4*U154,"F",R154))))))))))))))</f>
        <v>#N/A</v>
      </c>
      <c r="N154" s="8" t="e">
        <f t="shared" ca="1" si="14"/>
        <v>#N/A</v>
      </c>
      <c r="O154">
        <f t="shared" si="15"/>
        <v>9</v>
      </c>
      <c r="P154" s="1" t="e">
        <f ca="1">IF(ISERROR(F141),"",IF(ISTEXT(VLOOKUP(B141,INDIRECT($F$8),6+(O154-1)*3)),(VLOOKUP(B141,INDIRECT($F$8),6+(O154-1)*3)),SUM(VLOOKUP(B141,INDIRECT($F$8),6+(O154-1)*3),IF(W156,W154,0))))</f>
        <v>#N/A</v>
      </c>
      <c r="Q154" s="1">
        <f ca="1">IF(ISERROR(F141),"",VLOOKUP(B141,INDIRECT($F$8),7+(O154-1)*3))</f>
        <v>16</v>
      </c>
      <c r="R154" s="1" t="e">
        <f ca="1">IF(ISERROR(F141),"",SUM(P154:Q154))</f>
        <v>#N/A</v>
      </c>
      <c r="S154" s="1">
        <f ca="1">IF(ISERROR(F141),"",VLOOKUP(A141,INDIRECT($F$8),6+(O154-1)*3))</f>
        <v>30</v>
      </c>
      <c r="T154" s="1">
        <f ca="1">IF(ISERROR(F141),"",VLOOKUP(A141,INDIRECT($F$8),7+(O154-1)*3))</f>
        <v>20</v>
      </c>
      <c r="U154" s="1">
        <f ca="1">IF(ISERROR(F141),"",VLOOKUP(A141,INDIRECT($F$8),8+(O154-1)*3))</f>
        <v>50</v>
      </c>
      <c r="V154" s="1" t="e">
        <f ca="1">IF(ISERROR(F141),"",IF(N154=0,A154,""))</f>
        <v>#N/A</v>
      </c>
      <c r="W154" s="1">
        <f ca="1">IF(ISERROR(F141),"",IF(ISTEXT(VLOOKUP(B141,INDIRECT($F$8),6+(O154-1)*3)),11,IF(VLOOKUP(B141,INDIRECT($F$8),6+(O154-1)*3)&lt;S154*0.3,IF(VLOOKUP(B141,INDIRECT($F$8),8+(O154-1)*3)&lt;U154*0.4,IF(AND(0.4*U154-VLOOKUP(B141,INDIRECT($F$8),8+(O154-1)*3)&lt;=5,0.3*S154-VLOOKUP(B141,INDIRECT($F$8),6+(O154-1)*3)&lt;=5),MAX(0.4*U154-VLOOKUP(B141,INDIRECT($F$8),8+(O154-1)*3),0.3*S154-VLOOKUP(B141,INDIRECT($F$8),6+(O154-1)*3)),11),IF(0.3*S154-VLOOKUP(B141,INDIRECT($F$8),6+(O154-1)*3)&lt;=5,0.3*S154-VLOOKUP(B141,INDIRECT($F$8),6+(O154-1)*3),11)),IF(VLOOKUP(B141,INDIRECT($F$8),8+(O154-1)*3)&lt;U154*0.4,IF(U154*0.4-VLOOKUP(B141,INDIRECT($F$8),8+(O154-1)*3)&lt;=5,U154*0.4-VLOOKUP(B141,INDIRECT($F$8),8+(O154-1)*3),11),0))))</f>
        <v>0</v>
      </c>
      <c r="X154" s="1" t="str">
        <f ca="1">IF(ISERROR(F141),"",IF(W154=0,"",_xlfn.TEXTJOIN("",FALSE," G+",W154," in ",A154)))</f>
        <v/>
      </c>
    </row>
    <row r="155" spans="1:24" ht="13" customHeight="1" x14ac:dyDescent="0.2">
      <c r="A155" s="7" t="str">
        <f ca="1">IF(ISERROR(F141),"",VLOOKUP(C141,INDIRECT($F$8),6+(O155-1)*3,0))</f>
        <v>CAP 007</v>
      </c>
      <c r="B155" s="41" t="str">
        <f ca="1">IF(ISERROR(F141),"",VLOOKUP(D141,INDIRECT($F$8),6+(O155-1)*3,0))</f>
        <v>Artificial Intelligence Lab</v>
      </c>
      <c r="C155" s="41"/>
      <c r="D155" s="41"/>
      <c r="E155" s="41"/>
      <c r="F155" s="7">
        <f ca="1">IF(ISERROR(F141),"",VLOOKUP(E141,INDIRECT($F$8),6+(O155-1)*3,0))</f>
        <v>1</v>
      </c>
      <c r="G155" s="42" t="e">
        <f ca="1">IF(ISERROR(F141),"",_xlfn.TEXTJOIN("/",FALSE,P155,S155))</f>
        <v>#N/A</v>
      </c>
      <c r="H155" s="42"/>
      <c r="I155" s="42" t="str">
        <f ca="1">IF(ISERROR(F141),"",_xlfn.TEXTJOIN("/",FALSE,Q155,T155))</f>
        <v>19/20</v>
      </c>
      <c r="J155" s="42"/>
      <c r="K155" s="42" t="e">
        <f ca="1">IF(ISERROR(F141),"",_xlfn.TEXTJOIN("/",FALSE,R155,U155))</f>
        <v>#N/A</v>
      </c>
      <c r="L155" s="42"/>
      <c r="M155" s="7" t="e">
        <f ca="1">IF(ISERROR(F141),"",IF(ISTEXT(P155),IF(P155="A","Ab",IF(P155="D","Dt",IF(P155="UFM","UFM",IF(P155="NA","")))),IF(AND(ISBLANK(P155),ISBLANK(R155)),"",IF(P155&lt;0.3*S155,"F",IF(ISBLANK(R155),"",IF(ISTEXT(R155),R155,IF(R155&gt;=0.9*U155,"O",IF(R155&gt;=0.85*U155,"A+",IF(R155&gt;=0.8*U155,"A",IF(R155&gt;=0.7*U155,"B+",IF(R155&gt;=0.6*U155,"B",IF(R155&gt;=0.5*U155,"C",IF(R155&gt;=0.4*U155,"P",IF(R155&lt;0.4*U155,"F",R155))))))))))))))</f>
        <v>#N/A</v>
      </c>
      <c r="N155" s="8" t="e">
        <f t="shared" ca="1" si="14"/>
        <v>#N/A</v>
      </c>
      <c r="O155">
        <f t="shared" si="15"/>
        <v>10</v>
      </c>
      <c r="P155" s="1" t="e">
        <f ca="1">IF(ISERROR(F141),"",IF(ISTEXT(VLOOKUP(B141,INDIRECT($F$8),6+(O155-1)*3)),(VLOOKUP(B141,INDIRECT($F$8),6+(O155-1)*3)),SUM(VLOOKUP(B141,INDIRECT($F$8),6+(O155-1)*3),IF(W156,W155,0))))</f>
        <v>#N/A</v>
      </c>
      <c r="Q155" s="1">
        <f ca="1">IF(ISERROR(F141),"",VLOOKUP(B141,INDIRECT($F$8),7+(O155-1)*3))</f>
        <v>19</v>
      </c>
      <c r="R155" s="1" t="e">
        <f ca="1">IF(ISERROR(F141),"",SUM(P155:Q155))</f>
        <v>#N/A</v>
      </c>
      <c r="S155" s="1">
        <f ca="1">IF(ISERROR(F141),"",VLOOKUP(A141,INDIRECT($F$8),6+(O155-1)*3))</f>
        <v>30</v>
      </c>
      <c r="T155" s="1">
        <f ca="1">IF(ISERROR(F141),"",VLOOKUP(A141,INDIRECT($F$8),7+(O155-1)*3))</f>
        <v>20</v>
      </c>
      <c r="U155" s="1">
        <f ca="1">IF(ISERROR(F141),"",VLOOKUP(A141,INDIRECT($F$8),8+(O155-1)*3))</f>
        <v>50</v>
      </c>
      <c r="V155" s="1" t="e">
        <f ca="1">IF(ISERROR(F141),"",IF(N155=0,A155,""))</f>
        <v>#N/A</v>
      </c>
      <c r="W155" s="1">
        <f ca="1">IF(ISERROR(F141),"",IF(ISTEXT(VLOOKUP(B141,INDIRECT($F$8),6+(O155-1)*3)),11,IF(VLOOKUP(B141,INDIRECT($F$8),6+(O155-1)*3)&lt;S155*0.3,IF(VLOOKUP(B141,INDIRECT($F$8),8+(O155-1)*3)&lt;U155*0.4,IF(AND(0.4*U155-VLOOKUP(B141,INDIRECT($F$8),8+(O155-1)*3)&lt;=5,0.3*S155-VLOOKUP(B141,INDIRECT($F$8),6+(O155-1)*3)&lt;=5),MAX(0.4*U155-VLOOKUP(B141,INDIRECT($F$8),8+(O155-1)*3),0.3*S155-VLOOKUP(B141,INDIRECT($F$8),6+(O155-1)*3)),11),IF(0.3*S155-VLOOKUP(B141,INDIRECT($F$8),6+(O155-1)*3)&lt;=5,0.3*S155-VLOOKUP(B141,INDIRECT($F$8),6+(O155-1)*3),11)),IF(VLOOKUP(B141,INDIRECT($F$8),8+(O155-1)*3)&lt;U155*0.4,IF(U155*0.4-VLOOKUP(B141,INDIRECT($F$8),8+(O155-1)*3)&lt;=5,U155*0.4-VLOOKUP(B141,INDIRECT($F$8),8+(O155-1)*3),11),0))))</f>
        <v>0</v>
      </c>
      <c r="X155" s="1" t="str">
        <f ca="1">IF(ISERROR(F141),"",IF(W155=0,"",_xlfn.TEXTJOIN("",FALSE," G+",W155," in ",A155)))</f>
        <v/>
      </c>
    </row>
    <row r="156" spans="1:24" ht="13" customHeight="1" x14ac:dyDescent="0.2">
      <c r="A156" s="43" t="str">
        <f ca="1">IF(ISERROR(F141),"",A137)</f>
        <v>Total Credits/ Marks/ Total Grade Points</v>
      </c>
      <c r="B156" s="43"/>
      <c r="C156" s="43"/>
      <c r="D156" s="43"/>
      <c r="E156" s="43"/>
      <c r="F156" s="10">
        <f ca="1">IF(ISERROR(F141),"",SUM(F146:F155))</f>
        <v>24</v>
      </c>
      <c r="G156" s="44" t="e">
        <f ca="1">IF(ISERROR(F141),"",_xlfn.TEXTJOIN("/",TRUE,SUMIF(F146:F155,"&gt;0",P146:P155),SUMIF(F146:F155,"&gt;0",S146:S155)))</f>
        <v>#N/A</v>
      </c>
      <c r="H156" s="44"/>
      <c r="I156" s="44" t="str">
        <f ca="1">IF(ISERROR(F141),"",_xlfn.TEXTJOIN("/",TRUE,SUMIF(F146:F155,"&gt;0",Q146:Q155),SUMIF(F146:F155,"&gt;0",T146:T155)))</f>
        <v>294/330</v>
      </c>
      <c r="J156" s="44"/>
      <c r="K156" s="44" t="e">
        <f ca="1">IF(ISERROR(F141),"",_xlfn.TEXTJOIN("/",TRUE,SUMIF(F146:F155,"&gt;0",R146:R155),SUMIF(F146:F155,"&gt;0",U146:U155)))</f>
        <v>#N/A</v>
      </c>
      <c r="L156" s="44"/>
      <c r="M156" s="43" t="e">
        <f ca="1">IF(ISERROR(F141),"",SUMPRODUCT(N146:N155,F146:F155))</f>
        <v>#N/A</v>
      </c>
      <c r="N156" s="43"/>
      <c r="V156" s="1" t="e">
        <f ca="1">IF(ISERROR(F141),"",_xlfn.TEXTJOIN(", ",TRUE,V146:V155))</f>
        <v>#N/A</v>
      </c>
      <c r="W156" t="e">
        <f ca="1">IF(ISERROR(F141),"",IF(SUM(W146:W155)&lt;=W145,TRUE,FALSE))</f>
        <v>#N/A</v>
      </c>
      <c r="X156" s="1" t="str">
        <f ca="1">IF(ISERROR(F141),"",_xlfn.TEXTJOIN(",",TRUE,X146:X155))</f>
        <v/>
      </c>
    </row>
    <row r="157" spans="1:24" ht="13" customHeight="1" x14ac:dyDescent="0.2">
      <c r="A157" s="43" t="str">
        <f ca="1">IF(ISERROR(F141),"",A138)</f>
        <v>Result:</v>
      </c>
      <c r="B157" s="45" t="e">
        <f ca="1">IF(ISERROR(F141),"",IF(V156="","PASS","CARRY OVER"))</f>
        <v>#N/A</v>
      </c>
      <c r="C157" s="45"/>
      <c r="D157" s="43" t="str">
        <f ca="1">IF(ISERROR(F141),"",D138)</f>
        <v>Remark:</v>
      </c>
      <c r="E157" s="45" t="e">
        <f ca="1">IF(ISERROR(F141),"",IF(V156="",IF(X156="","",X156),_xlfn.TEXTJOIN(" ",TRUE,"BACK IN",V156)))</f>
        <v>#N/A</v>
      </c>
      <c r="F157" s="45"/>
      <c r="G157" s="43" t="str">
        <f ca="1">IF(ISERROR(F141),"",G138)</f>
        <v>SGPA:</v>
      </c>
      <c r="H157" s="46" t="e">
        <f ca="1">IF(ISERROR(F141),"",M156/F156)</f>
        <v>#N/A</v>
      </c>
      <c r="I157" s="43" t="str">
        <f ca="1">IF(ISERROR(F141),"",I138)</f>
        <v>CGPA:</v>
      </c>
      <c r="J157" s="46" t="e">
        <f ca="1">IF(ISERROR(F141),"",VLOOKUP(B141,INDIRECT($F$8),12+(O155-1)*3,0))</f>
        <v>#N/A</v>
      </c>
      <c r="K157" s="45" t="str">
        <f ca="1">IF(ISERROR(F141),"",K138)</f>
        <v>Earned Credits:</v>
      </c>
      <c r="L157" s="43">
        <f ca="1">IF(ISERROR(F141),"",SUMIF(N146:N155,"&gt;0",F146:F155))</f>
        <v>0</v>
      </c>
      <c r="M157" s="45" t="str">
        <f ca="1">IF(ISERROR(F141),"",M138)</f>
        <v>Cuml. Earned Credits:</v>
      </c>
      <c r="N157" s="43" t="e">
        <f ca="1">IF(ISERROR(F141),"",VLOOKUP(B141,INDIRECT($F$8),10+(O155-1)*3,0))</f>
        <v>#N/A</v>
      </c>
    </row>
    <row r="158" spans="1:24" ht="13" customHeight="1" x14ac:dyDescent="0.2">
      <c r="A158" s="43"/>
      <c r="B158" s="45"/>
      <c r="C158" s="45"/>
      <c r="D158" s="43"/>
      <c r="E158" s="45"/>
      <c r="F158" s="45"/>
      <c r="G158" s="43"/>
      <c r="H158" s="46"/>
      <c r="I158" s="43"/>
      <c r="J158" s="46"/>
      <c r="K158" s="45"/>
      <c r="L158" s="43"/>
      <c r="M158" s="45"/>
      <c r="N158" s="43"/>
    </row>
    <row r="159" spans="1:24" ht="15" x14ac:dyDescent="0.2">
      <c r="A159" s="43"/>
      <c r="B159" s="45"/>
      <c r="C159" s="45"/>
      <c r="D159" s="43"/>
      <c r="E159" s="45"/>
      <c r="F159" s="45"/>
      <c r="G159" s="43"/>
      <c r="H159" s="46"/>
      <c r="I159" s="43"/>
      <c r="J159" s="46"/>
      <c r="K159" s="45"/>
      <c r="L159" s="43"/>
      <c r="M159" s="45"/>
      <c r="N159" s="43"/>
    </row>
    <row r="160" spans="1:24" ht="13" customHeight="1" x14ac:dyDescent="0.2">
      <c r="A160" s="11" t="str">
        <f>A141</f>
        <v>MM</v>
      </c>
      <c r="B160" s="11">
        <f>B141+1</f>
        <v>9</v>
      </c>
      <c r="C160" s="11" t="str">
        <f>C141</f>
        <v>SC</v>
      </c>
      <c r="D160" s="11" t="str">
        <f>D141</f>
        <v>SN</v>
      </c>
      <c r="E160" s="11" t="str">
        <f>E141</f>
        <v>C</v>
      </c>
      <c r="F160" s="11" t="str">
        <f ca="1">VLOOKUP(B160,INDIRECT($F$8),4,0)</f>
        <v>CHIRAG KASHYAP</v>
      </c>
    </row>
    <row r="161" spans="1:24" ht="13" customHeight="1" x14ac:dyDescent="0.2">
      <c r="A161" s="47" t="str">
        <f ca="1">IF(ISERROR(F160),"",A142)</f>
        <v>Name:</v>
      </c>
      <c r="B161" s="47" t="str">
        <f ca="1">IFERROR(VLOOKUP(B160,INDIRECT($F$8),4,0),"")</f>
        <v>CHIRAG KASHYAP</v>
      </c>
      <c r="C161" s="47"/>
      <c r="D161" s="47" t="str">
        <f ca="1">IF(ISERROR(F160),"",D142)</f>
        <v>Father's Name:</v>
      </c>
      <c r="E161" s="47" t="str">
        <f ca="1">IFERROR(VLOOKUP(B160,INDIRECT($F$8),5,0),"")</f>
        <v>NARENDRA SINGH</v>
      </c>
      <c r="F161" s="47"/>
      <c r="G161" s="47" t="str">
        <f ca="1">IF(ISERROR(F160),"",G142)</f>
        <v>University Roll No:</v>
      </c>
      <c r="H161" s="47"/>
      <c r="I161" s="48">
        <f ca="1">IFERROR(VLOOKUP(B160,INDIRECT($F$8),2,0),"")</f>
        <v>240090600009</v>
      </c>
      <c r="J161" s="48"/>
      <c r="K161" s="47" t="str">
        <f ca="1">IF(ISERROR(F160),"",K142)</f>
        <v>University Enrol. No:</v>
      </c>
      <c r="L161" s="47"/>
      <c r="M161" s="48" t="str">
        <f ca="1">IFERROR(VLOOKUP(B160,INDIRECT($F$8),3,0),"")</f>
        <v>UTU/2406100172</v>
      </c>
      <c r="N161" s="48"/>
    </row>
    <row r="162" spans="1:24" ht="15" x14ac:dyDescent="0.2">
      <c r="A162" s="47"/>
      <c r="B162" s="47"/>
      <c r="C162" s="47"/>
      <c r="D162" s="47"/>
      <c r="E162" s="47"/>
      <c r="F162" s="47"/>
      <c r="G162" s="47"/>
      <c r="H162" s="47"/>
      <c r="I162" s="48"/>
      <c r="J162" s="48"/>
      <c r="K162" s="47"/>
      <c r="L162" s="47"/>
      <c r="M162" s="48"/>
      <c r="N162" s="48"/>
    </row>
    <row r="163" spans="1:24" ht="13" customHeight="1" x14ac:dyDescent="0.2">
      <c r="A163" s="45" t="str">
        <f ca="1">IF(ISERROR(F160),"",A144)</f>
        <v>Subject Code</v>
      </c>
      <c r="B163" s="45" t="str">
        <f ca="1">IF(ISERROR(F160),"",B144)</f>
        <v>Subject Name</v>
      </c>
      <c r="C163" s="45"/>
      <c r="D163" s="45"/>
      <c r="E163" s="45"/>
      <c r="F163" s="45" t="str">
        <f ca="1">IF(ISERROR(F160),"",F144)</f>
        <v>Credits</v>
      </c>
      <c r="G163" s="45" t="str">
        <f ca="1">IF(ISERROR(F160),"",G144)</f>
        <v>External Marks</v>
      </c>
      <c r="H163" s="45"/>
      <c r="I163" s="45" t="str">
        <f ca="1">IF(ISERROR(F160),"",I144)</f>
        <v>Sessional Marks</v>
      </c>
      <c r="J163" s="45"/>
      <c r="K163" s="45" t="str">
        <f ca="1">IF(ISERROR(F160),"",K144)</f>
        <v>Total Marks</v>
      </c>
      <c r="L163" s="45"/>
      <c r="M163" s="45" t="str">
        <f ca="1">IF(ISERROR(F160),"",M144)</f>
        <v>Grade</v>
      </c>
      <c r="N163" s="45" t="str">
        <f ca="1">IF(ISERROR(F160),"",N144)</f>
        <v>Grade Points</v>
      </c>
    </row>
    <row r="164" spans="1:24" ht="15" x14ac:dyDescent="0.2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W164" t="e">
        <f ca="1">IF(ISNUMBER(MATCH($F$8,{"I","III","V","VII"},0)),10,10-INDEX(INDIRECT(_xlfn.TEXTJOIN("",TRUE,"SEM_",$G$8,"!",ADDRESS(6,4+$I$8*3+4),":",ADDRESS(5+$H$8,4+$I$8*3+4))),MATCH(INDIRECT(_xlfn.TEXTJOIN("",TRUE,"TC_",$F$8,"!",ADDRESS(ROW(I161),COLUMN(I161)))),INDIRECT(_xlfn.TEXTJOIN("",TRUE,"SEM_",$G$8,"!",ADDRESS(6,2),":",ADDRESS(5+$H$8,2))))))</f>
        <v>#N/A</v>
      </c>
    </row>
    <row r="165" spans="1:24" ht="13" customHeight="1" x14ac:dyDescent="0.2">
      <c r="A165" s="7" t="str">
        <f ca="1">IF(ISERROR(F160),"",VLOOKUP(C160,INDIRECT($F$8),6+(O165-1)*3,0))</f>
        <v>CAT 009</v>
      </c>
      <c r="B165" s="41" t="str">
        <f ca="1">IF(ISERROR(F160),"",VLOOKUP(D160,INDIRECT($F$8),6+(O165-1)*3,0))</f>
        <v>Computer Based Numerical and Statistical Techniques</v>
      </c>
      <c r="C165" s="41"/>
      <c r="D165" s="41"/>
      <c r="E165" s="41"/>
      <c r="F165" s="7">
        <f ca="1">IF(ISERROR(F160),"",VLOOKUP(E160,INDIRECT($F$8),6+(O165-1)*3,0))</f>
        <v>4</v>
      </c>
      <c r="G165" s="42" t="e">
        <f ca="1">IF(ISERROR(F160),"",_xlfn.TEXTJOIN("/",FALSE,P165,S165))</f>
        <v>#N/A</v>
      </c>
      <c r="H165" s="42"/>
      <c r="I165" s="42" t="str">
        <f ca="1">IF(ISERROR(F160),"",_xlfn.TEXTJOIN("/",FALSE,Q165,T165))</f>
        <v>47/50</v>
      </c>
      <c r="J165" s="42"/>
      <c r="K165" s="42" t="e">
        <f ca="1">IF(ISERROR(F160),"",_xlfn.TEXTJOIN("/",FALSE,R165,U165))</f>
        <v>#N/A</v>
      </c>
      <c r="L165" s="42"/>
      <c r="M165" s="7" t="e">
        <f ca="1">IF(ISERROR(F160),"",IF(ISTEXT(P165),IF(P165="A","Ab",IF(P165="D","Dt",IF(P165="UFM","UFM",IF(P165="NA","")))),IF(AND(ISBLANK(P165),ISBLANK(R165)),"",IF(P165&lt;0.3*S165,"F",IF(ISBLANK(R165),"",IF(ISTEXT(R165),R165,IF(R165&gt;=0.9*U165,"O",IF(R165&gt;=0.85*U165,"A+",IF(R165&gt;=0.8*U165,"A",IF(R165&gt;=0.7*U165,"B+",IF(R165&gt;=0.6*U165,"B",IF(R165&gt;=0.5*U165,"C",IF(R165&gt;=0.4*U165,"P",IF(R165&lt;0.4*U165,"F",R165))))))))))))))</f>
        <v>#N/A</v>
      </c>
      <c r="N165" s="8" t="e">
        <f t="shared" ref="N165:N174" ca="1" si="16">INDEX($Z$2:$Z$13,MATCH(M165,$Y$2:$Y$13,0))</f>
        <v>#N/A</v>
      </c>
      <c r="O165">
        <v>1</v>
      </c>
      <c r="P165" s="1" t="e">
        <f ca="1">IF(ISERROR(F160),"",IF(ISTEXT(VLOOKUP(B160,INDIRECT($F$8),6+(O165-1)*3)),(VLOOKUP(B160,INDIRECT($F$8),6+(O165-1)*3)),SUM(VLOOKUP(B160,INDIRECT($F$8),6+(O165-1)*3),IF(W175,W165,0))))</f>
        <v>#N/A</v>
      </c>
      <c r="Q165" s="1">
        <f ca="1">IF(ISERROR(F160),"",VLOOKUP(B160,INDIRECT($F$8),7+(O165-1)*3))</f>
        <v>47</v>
      </c>
      <c r="R165" s="1" t="e">
        <f ca="1">IF(ISERROR(F160),"",SUM(P165:Q165))</f>
        <v>#N/A</v>
      </c>
      <c r="S165" s="1">
        <f ca="1">IF(ISERROR(F160),"",VLOOKUP(A160,INDIRECT($F$8),6+(O165-1)*3))</f>
        <v>100</v>
      </c>
      <c r="T165" s="1">
        <f ca="1">IF(ISERROR(F160),"",VLOOKUP(A160,INDIRECT($F$8),7+(O165-1)*3))</f>
        <v>50</v>
      </c>
      <c r="U165" s="1">
        <f ca="1">IF(ISERROR(F160),"",VLOOKUP(A160,INDIRECT($F$8),8+(O165-1)*3))</f>
        <v>150</v>
      </c>
      <c r="V165" s="1" t="e">
        <f ca="1">IF(ISERROR(F160),"",IF(N165=0,A165,""))</f>
        <v>#N/A</v>
      </c>
      <c r="W165" s="1">
        <f ca="1">IF(ISERROR(F160),"",IF(ISTEXT(VLOOKUP(B160,INDIRECT($F$8),6+(O165-1)*3)),11,IF(VLOOKUP(B160,INDIRECT($F$8),6+(O165-1)*3)&lt;S165*0.3,IF(VLOOKUP(B160,INDIRECT($F$8),8+(O165-1)*3)&lt;U165*0.4,IF(AND(0.4*U165-VLOOKUP(B160,INDIRECT($F$8),8+(O165-1)*3)&lt;=5,0.3*S165-VLOOKUP(B160,INDIRECT($F$8),6+(O165-1)*3)&lt;=5),MAX(0.4*U165-VLOOKUP(B160,INDIRECT($F$8),8+(O165-1)*3),0.3*S165-VLOOKUP(B160,INDIRECT($F$8),6+(O165-1)*3)),11),IF(0.3*S165-VLOOKUP(B160,INDIRECT($F$8),6+(O165-1)*3)&lt;=5,0.3*S165-VLOOKUP(B160,INDIRECT($F$8),6+(O165-1)*3),11)),IF(VLOOKUP(B160,INDIRECT($F$8),8+(O165-1)*3)&lt;U165*0.4,IF(U165*0.4-VLOOKUP(B160,INDIRECT($F$8),8+(O165-1)*3)&lt;=5,U165*0.4-VLOOKUP(B160,INDIRECT($F$8),8+(O165-1)*3),11),0))))</f>
        <v>0</v>
      </c>
      <c r="X165" s="1" t="str">
        <f ca="1">IF(ISERROR(F160),"",IF(W165=0,"",_xlfn.TEXTJOIN("",FALSE," G+",W165," in ",A165)))</f>
        <v/>
      </c>
    </row>
    <row r="166" spans="1:24" ht="13" customHeight="1" x14ac:dyDescent="0.2">
      <c r="A166" s="7" t="str">
        <f ca="1">IF(ISERROR(F160),"",VLOOKUP(C160,INDIRECT($F$8),6+(O166-1)*3,0))</f>
        <v>CAT 010</v>
      </c>
      <c r="B166" s="41" t="str">
        <f ca="1">IF(ISERROR(F160),"",VLOOKUP(D160,INDIRECT($F$8),6+(O166-1)*3,0))</f>
        <v>Data Structures and Analysis of Algorithms</v>
      </c>
      <c r="C166" s="41"/>
      <c r="D166" s="41"/>
      <c r="E166" s="41"/>
      <c r="F166" s="7">
        <f ca="1">IF(ISERROR(F160),"",VLOOKUP(E160,INDIRECT($F$8),6+(O166-1)*3,0))</f>
        <v>4</v>
      </c>
      <c r="G166" s="42" t="e">
        <f ca="1">IF(ISERROR(F160),"",_xlfn.TEXTJOIN("/",FALSE,P166,S166))</f>
        <v>#N/A</v>
      </c>
      <c r="H166" s="42"/>
      <c r="I166" s="42" t="str">
        <f ca="1">IF(ISERROR(F160),"",_xlfn.TEXTJOIN("/",FALSE,Q166,T166))</f>
        <v>44/50</v>
      </c>
      <c r="J166" s="42"/>
      <c r="K166" s="42" t="e">
        <f ca="1">IF(ISERROR(F160),"",_xlfn.TEXTJOIN("/",FALSE,R166,U166))</f>
        <v>#N/A</v>
      </c>
      <c r="L166" s="42"/>
      <c r="M166" s="7" t="e">
        <f ca="1">IF(ISERROR(F160),"",IF(ISTEXT(P166),IF(P166="A","Ab",IF(P166="D","Dt",IF(P166="UFM","UFM",IF(P166="NA","")))),IF(AND(ISBLANK(P166),ISBLANK(R166)),"",IF(P166&lt;0.3*S166,"F",IF(ISBLANK(R166),"",IF(ISTEXT(R166),R166,IF(R166&gt;=0.9*U166,"O",IF(R166&gt;=0.85*U166,"A+",IF(R166&gt;=0.8*U166,"A",IF(R166&gt;=0.7*U166,"B+",IF(R166&gt;=0.6*U166,"B",IF(R166&gt;=0.5*U166,"C",IF(R166&gt;=0.4*U166,"P",IF(R166&lt;0.4*U166,"F",R166))))))))))))))</f>
        <v>#N/A</v>
      </c>
      <c r="N166" s="8" t="e">
        <f t="shared" ca="1" si="16"/>
        <v>#N/A</v>
      </c>
      <c r="O166">
        <f>O165+1</f>
        <v>2</v>
      </c>
      <c r="P166" s="1" t="e">
        <f ca="1">IF(ISERROR(F160),"",IF(ISTEXT(VLOOKUP(B160,INDIRECT($F$8),6+(O166-1)*3)),(VLOOKUP(B160,INDIRECT($F$8),6+(O166-1)*3)),SUM(VLOOKUP(B160,INDIRECT($F$8),6+(O166-1)*3),IF(W175,W166,0))))</f>
        <v>#N/A</v>
      </c>
      <c r="Q166" s="1">
        <f ca="1">IF(ISERROR(F160),"",VLOOKUP(B160,INDIRECT($F$8),7+(O166-1)*3))</f>
        <v>44</v>
      </c>
      <c r="R166" s="1" t="e">
        <f ca="1">IF(ISERROR(F160),"",SUM(P166:Q166))</f>
        <v>#N/A</v>
      </c>
      <c r="S166" s="1">
        <f ca="1">IF(ISERROR(F160),"",VLOOKUP(A160,INDIRECT($F$8),6+(O166-1)*3))</f>
        <v>100</v>
      </c>
      <c r="T166" s="1">
        <f ca="1">IF(ISERROR(F160),"",VLOOKUP(A160,INDIRECT($F$8),7+(O166-1)*3))</f>
        <v>50</v>
      </c>
      <c r="U166" s="1">
        <f ca="1">IF(ISERROR(F160),"",VLOOKUP(A160,INDIRECT($F$8),8+(O166-1)*3))</f>
        <v>150</v>
      </c>
      <c r="V166" s="1" t="e">
        <f ca="1">IF(ISERROR(F160),"",IF(N166=0,A166,""))</f>
        <v>#N/A</v>
      </c>
      <c r="W166" s="1">
        <f ca="1">IF(ISERROR(F160),"",IF(ISTEXT(VLOOKUP(B160,INDIRECT($F$8),6+(O166-1)*3)),11,IF(VLOOKUP(B160,INDIRECT($F$8),6+(O166-1)*3)&lt;S166*0.3,IF(VLOOKUP(B160,INDIRECT($F$8),8+(O166-1)*3)&lt;U166*0.4,IF(AND(0.4*U166-VLOOKUP(B160,INDIRECT($F$8),8+(O166-1)*3)&lt;=5,0.3*S166-VLOOKUP(B160,INDIRECT($F$8),6+(O166-1)*3)&lt;=5),MAX(0.4*U166-VLOOKUP(B160,INDIRECT($F$8),8+(O166-1)*3),0.3*S166-VLOOKUP(B160,INDIRECT($F$8),6+(O166-1)*3)),11),IF(0.3*S166-VLOOKUP(B160,INDIRECT($F$8),6+(O166-1)*3)&lt;=5,0.3*S166-VLOOKUP(B160,INDIRECT($F$8),6+(O166-1)*3),11)),IF(VLOOKUP(B160,INDIRECT($F$8),8+(O166-1)*3)&lt;U166*0.4,IF(U166*0.4-VLOOKUP(B160,INDIRECT($F$8),8+(O166-1)*3)&lt;=5,U166*0.4-VLOOKUP(B160,INDIRECT($F$8),8+(O166-1)*3),11),0))))</f>
        <v>0</v>
      </c>
      <c r="X166" s="1" t="str">
        <f ca="1">IF(ISERROR(F160),"",IF(W166=0,"",_xlfn.TEXTJOIN("",FALSE," G+",W166," in ",A166)))</f>
        <v/>
      </c>
    </row>
    <row r="167" spans="1:24" ht="13" customHeight="1" x14ac:dyDescent="0.2">
      <c r="A167" s="7" t="str">
        <f ca="1">IF(ISERROR(F160),"",VLOOKUP(C160,INDIRECT($F$8),6+(O167-1)*3,0))</f>
        <v>CAT 011</v>
      </c>
      <c r="B167" s="41" t="str">
        <f ca="1">IF(ISERROR(F160),"",VLOOKUP(D160,INDIRECT($F$8),6+(O167-1)*3,0))</f>
        <v>Object Oriented Programming with JAVA</v>
      </c>
      <c r="C167" s="41"/>
      <c r="D167" s="41"/>
      <c r="E167" s="41"/>
      <c r="F167" s="7">
        <f ca="1">IF(ISERROR(F160),"",VLOOKUP(E160,INDIRECT($F$8),6+(O167-1)*3,0))</f>
        <v>4</v>
      </c>
      <c r="G167" s="42" t="e">
        <f ca="1">IF(ISERROR(F160),"",_xlfn.TEXTJOIN("/",FALSE,P167,S167))</f>
        <v>#N/A</v>
      </c>
      <c r="H167" s="42"/>
      <c r="I167" s="42" t="str">
        <f ca="1">IF(ISERROR(F160),"",_xlfn.TEXTJOIN("/",FALSE,Q167,T167))</f>
        <v>50/50</v>
      </c>
      <c r="J167" s="42"/>
      <c r="K167" s="42" t="e">
        <f ca="1">IF(ISERROR(F160),"",_xlfn.TEXTJOIN("/",FALSE,R167,U167))</f>
        <v>#N/A</v>
      </c>
      <c r="L167" s="42"/>
      <c r="M167" s="7" t="e">
        <f ca="1">IF(ISERROR(F160),"",IF(ISTEXT(P167),IF(P167="A","Ab",IF(P167="D","Dt",IF(P167="UFM","UFM",IF(P167="NA","")))),IF(AND(ISBLANK(P167),ISBLANK(R167)),"",IF(P167&lt;0.3*S167,"F",IF(ISBLANK(R167),"",IF(ISTEXT(R167),R167,IF(R167&gt;=0.9*U167,"O",IF(R167&gt;=0.85*U167,"A+",IF(R167&gt;=0.8*U167,"A",IF(R167&gt;=0.7*U167,"B+",IF(R167&gt;=0.6*U167,"B",IF(R167&gt;=0.5*U167,"C",IF(R167&gt;=0.4*U167,"P",IF(R167&lt;0.4*U167,"F",R167))))))))))))))</f>
        <v>#N/A</v>
      </c>
      <c r="N167" s="8" t="e">
        <f t="shared" ca="1" si="16"/>
        <v>#N/A</v>
      </c>
      <c r="O167">
        <f>O166+1</f>
        <v>3</v>
      </c>
      <c r="P167" s="1" t="e">
        <f ca="1">IF(ISERROR(F160),"",IF(ISTEXT(VLOOKUP(B160,INDIRECT($F$8),6+(O167-1)*3)),(VLOOKUP(B160,INDIRECT($F$8),6+(O167-1)*3)),SUM(VLOOKUP(B160,INDIRECT($F$8),6+(O167-1)*3),IF(W175,W167,0))))</f>
        <v>#N/A</v>
      </c>
      <c r="Q167" s="1">
        <f ca="1">IF(ISERROR(F160),"",VLOOKUP(B160,INDIRECT($F$8),7+(O167-1)*3))</f>
        <v>50</v>
      </c>
      <c r="R167" s="1" t="e">
        <f ca="1">IF(ISERROR(F160),"",SUM(P167:Q167))</f>
        <v>#N/A</v>
      </c>
      <c r="S167" s="1">
        <f ca="1">IF(ISERROR(F160),"",VLOOKUP(A160,INDIRECT($F$8),6+(O167-1)*3))</f>
        <v>100</v>
      </c>
      <c r="T167" s="1">
        <f ca="1">IF(ISERROR(F160),"",VLOOKUP(A160,INDIRECT($F$8),7+(O167-1)*3))</f>
        <v>50</v>
      </c>
      <c r="U167" s="1">
        <f ca="1">IF(ISERROR(F160),"",VLOOKUP(A160,INDIRECT($F$8),8+(O167-1)*3))</f>
        <v>150</v>
      </c>
      <c r="V167" s="1" t="e">
        <f ca="1">IF(ISERROR(F160),"",IF(N167=0,A167,""))</f>
        <v>#N/A</v>
      </c>
      <c r="W167" s="1">
        <f ca="1">IF(ISERROR(F160),"",IF(ISTEXT(VLOOKUP(B160,INDIRECT($F$8),6+(O167-1)*3)),11,IF(VLOOKUP(B160,INDIRECT($F$8),6+(O167-1)*3)&lt;S167*0.3,IF(VLOOKUP(B160,INDIRECT($F$8),8+(O167-1)*3)&lt;U167*0.4,IF(AND(0.4*U167-VLOOKUP(B160,INDIRECT($F$8),8+(O167-1)*3)&lt;=5,0.3*S167-VLOOKUP(B160,INDIRECT($F$8),6+(O167-1)*3)&lt;=5),MAX(0.4*U167-VLOOKUP(B160,INDIRECT($F$8),8+(O167-1)*3),0.3*S167-VLOOKUP(B160,INDIRECT($F$8),6+(O167-1)*3)),11),IF(0.3*S167-VLOOKUP(B160,INDIRECT($F$8),6+(O167-1)*3)&lt;=5,0.3*S167-VLOOKUP(B160,INDIRECT($F$8),6+(O167-1)*3),11)),IF(VLOOKUP(B160,INDIRECT($F$8),8+(O167-1)*3)&lt;U167*0.4,IF(U167*0.4-VLOOKUP(B160,INDIRECT($F$8),8+(O167-1)*3)&lt;=5,U167*0.4-VLOOKUP(B160,INDIRECT($F$8),8+(O167-1)*3),11),0))))</f>
        <v>0</v>
      </c>
      <c r="X167" s="1" t="str">
        <f ca="1">IF(ISERROR(F160),"",IF(W167=0,"",_xlfn.TEXTJOIN("",FALSE," G+",W167," in ",A167)))</f>
        <v/>
      </c>
    </row>
    <row r="168" spans="1:24" ht="13" customHeight="1" x14ac:dyDescent="0.2">
      <c r="A168" s="7" t="str">
        <f ca="1">IF(ISERROR(F160),"",VLOOKUP(C160,INDIRECT($F$8),6+(O168-1)*3,0))</f>
        <v>CAT 012</v>
      </c>
      <c r="B168" s="41" t="str">
        <f ca="1">IF(ISERROR(F160),"",VLOOKUP(D160,INDIRECT($F$8),6+(O168-1)*3,0))</f>
        <v>Computer Networks</v>
      </c>
      <c r="C168" s="41"/>
      <c r="D168" s="41"/>
      <c r="E168" s="41"/>
      <c r="F168" s="7">
        <f ca="1">IF(ISERROR(F160),"",VLOOKUP(E160,INDIRECT($F$8),6+(O168-1)*3,0))</f>
        <v>4</v>
      </c>
      <c r="G168" s="42" t="e">
        <f ca="1">IF(ISERROR(F160),"",_xlfn.TEXTJOIN("/",FALSE,P168,S168))</f>
        <v>#N/A</v>
      </c>
      <c r="H168" s="42"/>
      <c r="I168" s="42" t="str">
        <f ca="1">IF(ISERROR(F160),"",_xlfn.TEXTJOIN("/",FALSE,Q168,T168))</f>
        <v>42/50</v>
      </c>
      <c r="J168" s="42"/>
      <c r="K168" s="42" t="e">
        <f ca="1">IF(ISERROR(F160),"",_xlfn.TEXTJOIN("/",FALSE,R168,U168))</f>
        <v>#N/A</v>
      </c>
      <c r="L168" s="42"/>
      <c r="M168" s="7" t="e">
        <f ca="1">IF(ISERROR(F160),"",IF(ISTEXT(P168),IF(P168="A","Ab",IF(P168="D","Dt",IF(P168="UFM","UFM",IF(P168="NA","")))),IF(AND(ISBLANK(P168),ISBLANK(R168)),"",IF(P168&lt;0.3*S168,"F",IF(ISBLANK(R168),"",IF(ISTEXT(R168),R168,IF(R168&gt;=0.9*U168,"O",IF(R168&gt;=0.85*U168,"A+",IF(R168&gt;=0.8*U168,"A",IF(R168&gt;=0.7*U168,"B+",IF(R168&gt;=0.6*U168,"B",IF(R168&gt;=0.5*U168,"C",IF(R168&gt;=0.4*U168,"P",IF(R168&lt;0.4*U168,"F",R168))))))))))))))</f>
        <v>#N/A</v>
      </c>
      <c r="N168" s="8" t="e">
        <f t="shared" ca="1" si="16"/>
        <v>#N/A</v>
      </c>
      <c r="O168">
        <f t="shared" ref="O168:O174" si="17">O167+1</f>
        <v>4</v>
      </c>
      <c r="P168" s="1" t="e">
        <f ca="1">IF(ISERROR(F160),"",IF(ISTEXT(VLOOKUP(B160,INDIRECT($F$8),6+(O168-1)*3)),(VLOOKUP(B160,INDIRECT($F$8),6+(O168-1)*3)),SUM(VLOOKUP(B160,INDIRECT($F$8),6+(O168-1)*3),IF(W175,W168,0))))</f>
        <v>#N/A</v>
      </c>
      <c r="Q168" s="1">
        <f ca="1">IF(ISERROR(F160),"",VLOOKUP(B160,INDIRECT($F$8),7+(O168-1)*3))</f>
        <v>42</v>
      </c>
      <c r="R168" s="1" t="e">
        <f ca="1">IF(ISERROR(F160),"",SUM(P168:Q168))</f>
        <v>#N/A</v>
      </c>
      <c r="S168" s="1">
        <f ca="1">IF(ISERROR(F160),"",VLOOKUP(A160,INDIRECT($F$8),6+(O168-1)*3))</f>
        <v>100</v>
      </c>
      <c r="T168" s="1">
        <f ca="1">IF(ISERROR(F160),"",VLOOKUP(A160,INDIRECT($F$8),7+(O168-1)*3))</f>
        <v>50</v>
      </c>
      <c r="U168" s="1">
        <f ca="1">IF(ISERROR(F160),"",VLOOKUP(A160,INDIRECT($F$8),8+(O168-1)*3))</f>
        <v>150</v>
      </c>
      <c r="V168" s="1" t="e">
        <f ca="1">IF(ISERROR(F160),"",IF(N168=0,A168,""))</f>
        <v>#N/A</v>
      </c>
      <c r="W168" s="1">
        <f ca="1">IF(ISERROR(F160),"",IF(ISTEXT(VLOOKUP(B160,INDIRECT($F$8),6+(O168-1)*3)),11,IF(VLOOKUP(B160,INDIRECT($F$8),6+(O168-1)*3)&lt;S168*0.3,IF(VLOOKUP(B160,INDIRECT($F$8),8+(O168-1)*3)&lt;U168*0.4,IF(AND(0.4*U168-VLOOKUP(B160,INDIRECT($F$8),8+(O168-1)*3)&lt;=5,0.3*S168-VLOOKUP(B160,INDIRECT($F$8),6+(O168-1)*3)&lt;=5),MAX(0.4*U168-VLOOKUP(B160,INDIRECT($F$8),8+(O168-1)*3),0.3*S168-VLOOKUP(B160,INDIRECT($F$8),6+(O168-1)*3)),11),IF(0.3*S168-VLOOKUP(B160,INDIRECT($F$8),6+(O168-1)*3)&lt;=5,0.3*S168-VLOOKUP(B160,INDIRECT($F$8),6+(O168-1)*3),11)),IF(VLOOKUP(B160,INDIRECT($F$8),8+(O168-1)*3)&lt;U168*0.4,IF(U168*0.4-VLOOKUP(B160,INDIRECT($F$8),8+(O168-1)*3)&lt;=5,U168*0.4-VLOOKUP(B160,INDIRECT($F$8),8+(O168-1)*3),11),0))))</f>
        <v>0</v>
      </c>
      <c r="X168" s="1" t="str">
        <f ca="1">IF(ISERROR(F160),"",IF(W168=0,"",_xlfn.TEXTJOIN("",FALSE," G+",W168," in ",A168)))</f>
        <v/>
      </c>
    </row>
    <row r="169" spans="1:24" ht="13" customHeight="1" x14ac:dyDescent="0.2">
      <c r="A169" s="7" t="str">
        <f ca="1">IF(ISERROR(F160),"",VLOOKUP(C160,INDIRECT($F$8),6+(O169-1)*3,0))</f>
        <v>CAT 013</v>
      </c>
      <c r="B169" s="41" t="str">
        <f ca="1">IF(ISERROR(F160),"",VLOOKUP(D160,INDIRECT($F$8),6+(O169-1)*3,0))</f>
        <v>Artificial Intelligence</v>
      </c>
      <c r="C169" s="41"/>
      <c r="D169" s="41"/>
      <c r="E169" s="41"/>
      <c r="F169" s="7">
        <f ca="1">IF(ISERROR(F160),"",VLOOKUP(E160,INDIRECT($F$8),6+(O169-1)*3,0))</f>
        <v>4</v>
      </c>
      <c r="G169" s="42" t="e">
        <f ca="1">IF(ISERROR(F160),"",_xlfn.TEXTJOIN("/",FALSE,P169,S169))</f>
        <v>#N/A</v>
      </c>
      <c r="H169" s="42"/>
      <c r="I169" s="42" t="str">
        <f ca="1">IF(ISERROR(F160),"",_xlfn.TEXTJOIN("/",FALSE,Q169,T169))</f>
        <v>45/50</v>
      </c>
      <c r="J169" s="42"/>
      <c r="K169" s="42" t="e">
        <f ca="1">IF(ISERROR(F160),"",_xlfn.TEXTJOIN("/",FALSE,R169,U169))</f>
        <v>#N/A</v>
      </c>
      <c r="L169" s="42"/>
      <c r="M169" s="7" t="e">
        <f ca="1">IF(ISERROR(F160),"",IF(ISTEXT(P169),IF(P169="A","Ab",IF(P169="D","Dt",IF(P169="UFM","UFM",IF(P169="NA","")))),IF(AND(ISBLANK(P169),ISBLANK(R169)),"",IF(P169&lt;0.3*S169,"F",IF(ISBLANK(R169),"",IF(ISTEXT(R169),R169,IF(R169&gt;=0.9*U169,"O",IF(R169&gt;=0.85*U169,"A+",IF(R169&gt;=0.8*U169,"A",IF(R169&gt;=0.7*U169,"B+",IF(R169&gt;=0.6*U169,"B",IF(R169&gt;=0.5*U169,"C",IF(R169&gt;=0.4*U169,"P",IF(R169&lt;0.4*U169,"F",R169))))))))))))))</f>
        <v>#N/A</v>
      </c>
      <c r="N169" s="8" t="e">
        <f t="shared" ca="1" si="16"/>
        <v>#N/A</v>
      </c>
      <c r="O169">
        <f t="shared" si="17"/>
        <v>5</v>
      </c>
      <c r="P169" s="1" t="e">
        <f ca="1">IF(ISERROR(F160),"",IF(ISTEXT(VLOOKUP(B160,INDIRECT($F$8),6+(O169-1)*3)),(VLOOKUP(B160,INDIRECT($F$8),6+(O169-1)*3)),SUM(VLOOKUP(B160,INDIRECT($F$8),6+(O169-1)*3),IF(W175,W169,0))))</f>
        <v>#N/A</v>
      </c>
      <c r="Q169" s="1">
        <f ca="1">IF(ISERROR(F160),"",VLOOKUP(B160,INDIRECT($F$8),7+(O169-1)*3))</f>
        <v>45</v>
      </c>
      <c r="R169" s="1" t="e">
        <f ca="1">IF(ISERROR(F160),"",SUM(P169:Q169))</f>
        <v>#N/A</v>
      </c>
      <c r="S169" s="1">
        <f ca="1">IF(ISERROR(F160),"",VLOOKUP(A160,INDIRECT($F$8),6+(O169-1)*3))</f>
        <v>100</v>
      </c>
      <c r="T169" s="1">
        <f ca="1">IF(ISERROR(F160),"",VLOOKUP(A160,INDIRECT($F$8),7+(O169-1)*3))</f>
        <v>50</v>
      </c>
      <c r="U169" s="1">
        <f ca="1">IF(ISERROR(F160),"",VLOOKUP(A160,INDIRECT($F$8),8+(O169-1)*3))</f>
        <v>150</v>
      </c>
      <c r="V169" s="1" t="e">
        <f ca="1">IF(ISERROR(F160),"",IF(N169=0,A169,""))</f>
        <v>#N/A</v>
      </c>
      <c r="W169" s="1">
        <f ca="1">IF(ISERROR(F160),"",IF(ISTEXT(VLOOKUP(B160,INDIRECT($F$8),6+(O169-1)*3)),11,IF(VLOOKUP(B160,INDIRECT($F$8),6+(O169-1)*3)&lt;S169*0.3,IF(VLOOKUP(B160,INDIRECT($F$8),8+(O169-1)*3)&lt;U169*0.4,IF(AND(0.4*U169-VLOOKUP(B160,INDIRECT($F$8),8+(O169-1)*3)&lt;=5,0.3*S169-VLOOKUP(B160,INDIRECT($F$8),6+(O169-1)*3)&lt;=5),MAX(0.4*U169-VLOOKUP(B160,INDIRECT($F$8),8+(O169-1)*3),0.3*S169-VLOOKUP(B160,INDIRECT($F$8),6+(O169-1)*3)),11),IF(0.3*S169-VLOOKUP(B160,INDIRECT($F$8),6+(O169-1)*3)&lt;=5,0.3*S169-VLOOKUP(B160,INDIRECT($F$8),6+(O169-1)*3),11)),IF(VLOOKUP(B160,INDIRECT($F$8),8+(O169-1)*3)&lt;U169*0.4,IF(U169*0.4-VLOOKUP(B160,INDIRECT($F$8),8+(O169-1)*3)&lt;=5,U169*0.4-VLOOKUP(B160,INDIRECT($F$8),8+(O169-1)*3),11),0))))</f>
        <v>0</v>
      </c>
      <c r="X169" s="1" t="str">
        <f ca="1">IF(ISERROR(F160),"",IF(W169=0,"",_xlfn.TEXTJOIN("",FALSE," G+",W169," in ",A169)))</f>
        <v/>
      </c>
    </row>
    <row r="170" spans="1:24" ht="13" customHeight="1" x14ac:dyDescent="0.2">
      <c r="A170" s="7" t="str">
        <f ca="1">IF(ISERROR(F160),"",VLOOKUP(C160,INDIRECT($F$8),6+(O170-1)*3,0))</f>
        <v>AHT 304</v>
      </c>
      <c r="B170" s="41" t="str">
        <f ca="1">IF(ISERROR(F160),"",VLOOKUP(D160,INDIRECT($F$8),6+(O170-1)*3,0))</f>
        <v>Accounting and Financial Management ($)</v>
      </c>
      <c r="C170" s="41"/>
      <c r="D170" s="41"/>
      <c r="E170" s="41"/>
      <c r="F170" s="7">
        <f ca="1">IF(ISERROR(F160),"",VLOOKUP(E160,INDIRECT($F$8),6+(O170-1)*3,0))</f>
        <v>0</v>
      </c>
      <c r="G170" s="42" t="e">
        <f ca="1">IF(ISERROR(F160),"",_xlfn.TEXTJOIN("/",FALSE,P170,S170))</f>
        <v>#N/A</v>
      </c>
      <c r="H170" s="42"/>
      <c r="I170" s="42" t="str">
        <f ca="1">IF(ISERROR(F160),"",_xlfn.TEXTJOIN("/",FALSE,Q170,T170))</f>
        <v>34/50</v>
      </c>
      <c r="J170" s="42"/>
      <c r="K170" s="42" t="e">
        <f ca="1">IF(ISERROR(F160),"",_xlfn.TEXTJOIN("/",FALSE,R170,U170))</f>
        <v>#N/A</v>
      </c>
      <c r="L170" s="42"/>
      <c r="M170" s="7" t="e">
        <f ca="1">IF(ISERROR(F160),"",IF(ISTEXT(P170),IF(P170="A","Ab",IF(P170="D","Dt",IF(P170="UFM","UFM",IF(P170="NA","")))),IF(AND(ISBLANK(P170),ISBLANK(R170)),"",IF(P170&lt;0.3*S170,"F",IF(ISBLANK(R170),"",IF(ISTEXT(R170),R170,IF(R170&gt;=0.9*U170,"O",IF(R170&gt;=0.85*U170,"A+",IF(R170&gt;=0.8*U170,"A",IF(R170&gt;=0.7*U170,"B+",IF(R170&gt;=0.6*U170,"B",IF(R170&gt;=0.5*U170,"C",IF(R170&gt;=0.4*U170,"P",IF(R170&lt;0.4*U170,"F",R170))))))))))))))</f>
        <v>#N/A</v>
      </c>
      <c r="N170" s="8" t="e">
        <f t="shared" ca="1" si="16"/>
        <v>#N/A</v>
      </c>
      <c r="O170">
        <f t="shared" si="17"/>
        <v>6</v>
      </c>
      <c r="P170" s="1" t="e">
        <f ca="1">IF(ISERROR(F160),"",IF(ISTEXT(VLOOKUP(B160,INDIRECT($F$8),6+(O170-1)*3)),(VLOOKUP(B160,INDIRECT($F$8),6+(O170-1)*3)),SUM(VLOOKUP(B160,INDIRECT($F$8),6+(O170-1)*3),IF(W175,W170,0))))</f>
        <v>#N/A</v>
      </c>
      <c r="Q170" s="1">
        <f ca="1">IF(ISERROR(F160),"",VLOOKUP(B160,INDIRECT($F$8),7+(O170-1)*3))</f>
        <v>34</v>
      </c>
      <c r="R170" s="1" t="e">
        <f ca="1">IF(ISERROR(F160),"",SUM(P170:Q170))</f>
        <v>#N/A</v>
      </c>
      <c r="S170" s="1">
        <f ca="1">IF(ISERROR(F160),"",VLOOKUP(A160,INDIRECT($F$8),6+(O170-1)*3))</f>
        <v>0</v>
      </c>
      <c r="T170" s="1">
        <f ca="1">IF(ISERROR(F160),"",VLOOKUP(A160,INDIRECT($F$8),7+(O170-1)*3))</f>
        <v>50</v>
      </c>
      <c r="U170" s="1">
        <f ca="1">IF(ISERROR(F160),"",VLOOKUP(A160,INDIRECT($F$8),8+(O170-1)*3))</f>
        <v>50</v>
      </c>
      <c r="V170" s="1" t="e">
        <f ca="1">IF(ISERROR(F160),"",IF(N170=0,A170,""))</f>
        <v>#N/A</v>
      </c>
      <c r="W170" s="1">
        <f ca="1">IF(ISERROR(F160),"",IF(ISTEXT(VLOOKUP(B160,INDIRECT($F$8),6+(O170-1)*3)),11,IF(VLOOKUP(B160,INDIRECT($F$8),6+(O170-1)*3)&lt;S170*0.3,IF(VLOOKUP(B160,INDIRECT($F$8),8+(O170-1)*3)&lt;U170*0.4,IF(AND(0.4*U170-VLOOKUP(B160,INDIRECT($F$8),8+(O170-1)*3)&lt;=5,0.3*S170-VLOOKUP(B160,INDIRECT($F$8),6+(O170-1)*3)&lt;=5),MAX(0.4*U170-VLOOKUP(B160,INDIRECT($F$8),8+(O170-1)*3),0.3*S170-VLOOKUP(B160,INDIRECT($F$8),6+(O170-1)*3)),11),IF(0.3*S170-VLOOKUP(B160,INDIRECT($F$8),6+(O170-1)*3)&lt;=5,0.3*S170-VLOOKUP(B160,INDIRECT($F$8),6+(O170-1)*3),11)),IF(VLOOKUP(B160,INDIRECT($F$8),8+(O170-1)*3)&lt;U170*0.4,IF(U170*0.4-VLOOKUP(B160,INDIRECT($F$8),8+(O170-1)*3)&lt;=5,U170*0.4-VLOOKUP(B160,INDIRECT($F$8),8+(O170-1)*3),11),0))))</f>
        <v>0</v>
      </c>
      <c r="X170" s="1" t="str">
        <f ca="1">IF(ISERROR(F160),"",IF(W170=0,"",_xlfn.TEXTJOIN("",FALSE," G+",W170," in ",A170)))</f>
        <v/>
      </c>
    </row>
    <row r="171" spans="1:24" ht="13" customHeight="1" x14ac:dyDescent="0.2">
      <c r="A171" s="7" t="str">
        <f ca="1">IF(ISERROR(F160),"",VLOOKUP(C160,INDIRECT($F$8),6+(O171-1)*3,0))</f>
        <v>CAP 004</v>
      </c>
      <c r="B171" s="41" t="str">
        <f ca="1">IF(ISERROR(F160),"",VLOOKUP(D160,INDIRECT($F$8),6+(O171-1)*3,0))</f>
        <v>Data Structures and Analysis of Algorithms Lab</v>
      </c>
      <c r="C171" s="41"/>
      <c r="D171" s="41"/>
      <c r="E171" s="41"/>
      <c r="F171" s="7">
        <f ca="1">IF(ISERROR(F160),"",VLOOKUP(E160,INDIRECT($F$8),6+(O171-1)*3,0))</f>
        <v>1</v>
      </c>
      <c r="G171" s="42" t="e">
        <f ca="1">IF(ISERROR(F160),"",_xlfn.TEXTJOIN("/",FALSE,P171,S171))</f>
        <v>#N/A</v>
      </c>
      <c r="H171" s="42"/>
      <c r="I171" s="42" t="str">
        <f ca="1">IF(ISERROR(F160),"",_xlfn.TEXTJOIN("/",FALSE,Q171,T171))</f>
        <v>18/20</v>
      </c>
      <c r="J171" s="42"/>
      <c r="K171" s="42" t="e">
        <f ca="1">IF(ISERROR(F160),"",_xlfn.TEXTJOIN("/",FALSE,R171,U171))</f>
        <v>#N/A</v>
      </c>
      <c r="L171" s="42"/>
      <c r="M171" s="7" t="e">
        <f ca="1">IF(ISERROR(F160),"",IF(ISTEXT(P171),IF(P171="A","Ab",IF(P171="D","Dt",IF(P171="UFM","UFM",IF(P171="NA","")))),IF(AND(ISBLANK(P171),ISBLANK(R171)),"",IF(P171&lt;0.3*S171,"F",IF(ISBLANK(R171),"",IF(ISTEXT(R171),R171,IF(R171&gt;=0.9*U171,"O",IF(R171&gt;=0.85*U171,"A+",IF(R171&gt;=0.8*U171,"A",IF(R171&gt;=0.7*U171,"B+",IF(R171&gt;=0.6*U171,"B",IF(R171&gt;=0.5*U171,"C",IF(R171&gt;=0.4*U171,"P",IF(R171&lt;0.4*U171,"F",R171))))))))))))))</f>
        <v>#N/A</v>
      </c>
      <c r="N171" s="8" t="e">
        <f t="shared" ca="1" si="16"/>
        <v>#N/A</v>
      </c>
      <c r="O171">
        <f t="shared" si="17"/>
        <v>7</v>
      </c>
      <c r="P171" s="1" t="e">
        <f ca="1">IF(ISERROR(F160),"",IF(ISTEXT(VLOOKUP(B160,INDIRECT($F$8),6+(O171-1)*3)),(VLOOKUP(B160,INDIRECT($F$8),6+(O171-1)*3)),SUM(VLOOKUP(B160,INDIRECT($F$8),6+(O171-1)*3),IF(W175,W171,0))))</f>
        <v>#N/A</v>
      </c>
      <c r="Q171" s="1">
        <f ca="1">IF(ISERROR(F160),"",VLOOKUP(B160,INDIRECT($F$8),7+(O171-1)*3))</f>
        <v>18</v>
      </c>
      <c r="R171" s="1" t="e">
        <f ca="1">IF(ISERROR(F160),"",SUM(P171:Q171))</f>
        <v>#N/A</v>
      </c>
      <c r="S171" s="1">
        <f ca="1">IF(ISERROR(F160),"",VLOOKUP(A160,INDIRECT($F$8),6+(O171-1)*3))</f>
        <v>30</v>
      </c>
      <c r="T171" s="1">
        <f ca="1">IF(ISERROR(F160),"",VLOOKUP(A160,INDIRECT($F$8),7+(O171-1)*3))</f>
        <v>20</v>
      </c>
      <c r="U171" s="1">
        <f ca="1">IF(ISERROR(F160),"",VLOOKUP(A160,INDIRECT($F$8),8+(O171-1)*3))</f>
        <v>50</v>
      </c>
      <c r="V171" s="1" t="e">
        <f ca="1">IF(ISERROR(F160),"",IF(N171=0,A171,""))</f>
        <v>#N/A</v>
      </c>
      <c r="W171" s="1">
        <f ca="1">IF(ISERROR(F160),"",IF(ISTEXT(VLOOKUP(B160,INDIRECT($F$8),6+(O171-1)*3)),11,IF(VLOOKUP(B160,INDIRECT($F$8),6+(O171-1)*3)&lt;S171*0.3,IF(VLOOKUP(B160,INDIRECT($F$8),8+(O171-1)*3)&lt;U171*0.4,IF(AND(0.4*U171-VLOOKUP(B160,INDIRECT($F$8),8+(O171-1)*3)&lt;=5,0.3*S171-VLOOKUP(B160,INDIRECT($F$8),6+(O171-1)*3)&lt;=5),MAX(0.4*U171-VLOOKUP(B160,INDIRECT($F$8),8+(O171-1)*3),0.3*S171-VLOOKUP(B160,INDIRECT($F$8),6+(O171-1)*3)),11),IF(0.3*S171-VLOOKUP(B160,INDIRECT($F$8),6+(O171-1)*3)&lt;=5,0.3*S171-VLOOKUP(B160,INDIRECT($F$8),6+(O171-1)*3),11)),IF(VLOOKUP(B160,INDIRECT($F$8),8+(O171-1)*3)&lt;U171*0.4,IF(U171*0.4-VLOOKUP(B160,INDIRECT($F$8),8+(O171-1)*3)&lt;=5,U171*0.4-VLOOKUP(B160,INDIRECT($F$8),8+(O171-1)*3),11),0))))</f>
        <v>0</v>
      </c>
      <c r="X171" s="1" t="str">
        <f ca="1">IF(ISERROR(F160),"",IF(W171=0,"",_xlfn.TEXTJOIN("",FALSE," G+",W171," in ",A171)))</f>
        <v/>
      </c>
    </row>
    <row r="172" spans="1:24" ht="13" customHeight="1" x14ac:dyDescent="0.2">
      <c r="A172" s="7" t="str">
        <f ca="1">IF(ISERROR(F160),"",VLOOKUP(C160,INDIRECT($F$8),6+(O172-1)*3,0))</f>
        <v>CAP 005</v>
      </c>
      <c r="B172" s="41" t="str">
        <f ca="1">IF(ISERROR(F160),"",VLOOKUP(D160,INDIRECT($F$8),6+(O172-1)*3-Z172,0))</f>
        <v>Object Oriented Programming with JAVA Lab</v>
      </c>
      <c r="C172" s="41"/>
      <c r="D172" s="41"/>
      <c r="E172" s="41"/>
      <c r="F172" s="7">
        <f ca="1">IF(ISERROR(F160),"",VLOOKUP(E160,INDIRECT($F$8),6+(O172-1)*3,0))</f>
        <v>1</v>
      </c>
      <c r="G172" s="42" t="e">
        <f ca="1">IF(ISERROR(F160),"",_xlfn.TEXTJOIN("/",FALSE,P172,S172))</f>
        <v>#N/A</v>
      </c>
      <c r="H172" s="42"/>
      <c r="I172" s="42" t="str">
        <f ca="1">IF(ISERROR(F160),"",_xlfn.TEXTJOIN("/",FALSE,Q172,T172))</f>
        <v>20/20</v>
      </c>
      <c r="J172" s="42"/>
      <c r="K172" s="42" t="e">
        <f ca="1">IF(ISERROR(F160),"",_xlfn.TEXTJOIN("/",FALSE,R172,U172))</f>
        <v>#N/A</v>
      </c>
      <c r="L172" s="42"/>
      <c r="M172" s="7" t="e">
        <f ca="1">IF(ISERROR(F160),"",IF(ISTEXT(P172),IF(P172="A","Ab",IF(P172="D","Dt",IF(P172="UFM","UFM",IF(P172="NA","")))),IF(AND(ISBLANK(P172),ISBLANK(R172)),"",IF(P172&lt;0.3*S172,"F",IF(ISBLANK(R172),"",IF(ISTEXT(R172),R172,IF(R172&gt;=0.9*U172,"O",IF(R172&gt;=0.85*U172,"A+",IF(R172&gt;=0.8*U172,"A",IF(R172&gt;=0.7*U172,"B+",IF(R172&gt;=0.6*U172,"B",IF(R172&gt;=0.5*U172,"C",IF(R172&gt;=0.4*U172,"P",IF(R172&lt;0.4*U172,"F",R172))))))))))))))</f>
        <v>#N/A</v>
      </c>
      <c r="N172" s="8" t="e">
        <f t="shared" ca="1" si="16"/>
        <v>#N/A</v>
      </c>
      <c r="O172">
        <f t="shared" si="17"/>
        <v>8</v>
      </c>
      <c r="P172" s="1" t="e">
        <f ca="1">IF(ISERROR(F160),"",IF(ISTEXT(VLOOKUP(B160,INDIRECT($F$8),6+(O172-1)*3)),(VLOOKUP(B160,INDIRECT($F$8),6+(O172-1)*3)),SUM(VLOOKUP(B160,INDIRECT($F$8),6+(O172-1)*3),IF(W175,W172,0))))</f>
        <v>#N/A</v>
      </c>
      <c r="Q172" s="1">
        <f ca="1">IF(ISERROR(F160),"",VLOOKUP(B160,INDIRECT($F$8),7+(O172-1)*3))</f>
        <v>20</v>
      </c>
      <c r="R172" s="1" t="e">
        <f ca="1">IF(ISERROR(F160),"",SUM(P172:Q172))</f>
        <v>#N/A</v>
      </c>
      <c r="S172" s="1">
        <f ca="1">IF(ISERROR(F160),"",VLOOKUP(A160,INDIRECT($F$8),6+(O172-1)*3))</f>
        <v>30</v>
      </c>
      <c r="T172" s="1">
        <f ca="1">IF(ISERROR(F160),"",VLOOKUP(A160,INDIRECT($F$8),7+(O172-1)*3))</f>
        <v>20</v>
      </c>
      <c r="U172" s="1">
        <f ca="1">IF(ISERROR(F160),"",VLOOKUP(A160,INDIRECT($F$8),8+(O172-1)*3))</f>
        <v>50</v>
      </c>
      <c r="V172" s="1" t="e">
        <f ca="1">IF(ISERROR(F160),"",IF(N172=0,A172,""))</f>
        <v>#N/A</v>
      </c>
      <c r="W172" s="1">
        <f ca="1">IF(ISERROR(F160),"",IF(ISTEXT(VLOOKUP(B160,INDIRECT($F$8),6+(O172-1)*3)),11,IF(VLOOKUP(B160,INDIRECT($F$8),6+(O172-1)*3)&lt;S172*0.3,IF(VLOOKUP(B160,INDIRECT($F$8),8+(O172-1)*3)&lt;U172*0.4,IF(AND(0.4*U172-VLOOKUP(B160,INDIRECT($F$8),8+(O172-1)*3)&lt;=5,0.3*S172-VLOOKUP(B160,INDIRECT($F$8),6+(O172-1)*3)&lt;=5),MAX(0.4*U172-VLOOKUP(B160,INDIRECT($F$8),8+(O172-1)*3),0.3*S172-VLOOKUP(B160,INDIRECT($F$8),6+(O172-1)*3)),11),IF(0.3*S172-VLOOKUP(B160,INDIRECT($F$8),6+(O172-1)*3)&lt;=5,0.3*S172-VLOOKUP(B160,INDIRECT($F$8),6+(O172-1)*3),11)),IF(VLOOKUP(B160,INDIRECT($F$8),8+(O172-1)*3)&lt;U172*0.4,IF(U172*0.4-VLOOKUP(B160,INDIRECT($F$8),8+(O172-1)*3)&lt;=5,U172*0.4-VLOOKUP(B160,INDIRECT($F$8),8+(O172-1)*3),11),0))))</f>
        <v>0</v>
      </c>
      <c r="X172" s="1" t="str">
        <f ca="1">IF(ISERROR(F160),"",IF(W172=0,"",_xlfn.TEXTJOIN("",FALSE," G+",W172," in ",A172)))</f>
        <v/>
      </c>
    </row>
    <row r="173" spans="1:24" ht="13" customHeight="1" x14ac:dyDescent="0.2">
      <c r="A173" s="7" t="str">
        <f ca="1">IF(ISERROR(F160),"",VLOOKUP(C160,INDIRECT($F$8),6+(O173-1)*3,0))</f>
        <v>CAP 006</v>
      </c>
      <c r="B173" s="41" t="str">
        <f ca="1">IF(ISERROR(F160),"",VLOOKUP(D160,INDIRECT($F$8),6+(O173-1)*3-Z173,0))</f>
        <v>Computer Networks Lab</v>
      </c>
      <c r="C173" s="41"/>
      <c r="D173" s="41"/>
      <c r="E173" s="41"/>
      <c r="F173" s="7">
        <f ca="1">IF(ISERROR(F160),"",VLOOKUP(E160,INDIRECT($F$8),6+(O173-1)*3,0))</f>
        <v>1</v>
      </c>
      <c r="G173" s="42" t="e">
        <f ca="1">IF(ISERROR(F160),"",_xlfn.TEXTJOIN("/",FALSE,P173,S173))</f>
        <v>#N/A</v>
      </c>
      <c r="H173" s="42"/>
      <c r="I173" s="42" t="str">
        <f ca="1">IF(ISERROR(F160),"",_xlfn.TEXTJOIN("/",FALSE,Q173,T173))</f>
        <v>18/20</v>
      </c>
      <c r="J173" s="42"/>
      <c r="K173" s="42" t="e">
        <f ca="1">IF(ISERROR(F160),"",_xlfn.TEXTJOIN("/",FALSE,R173,U173))</f>
        <v>#N/A</v>
      </c>
      <c r="L173" s="42"/>
      <c r="M173" s="7" t="e">
        <f ca="1">IF(ISERROR(F160),"",IF(ISTEXT(P173),IF(P173="A","Ab",IF(P173="D","Dt",IF(P173="UFM","UFM",IF(P173="NA","")))),IF(AND(ISBLANK(P173),ISBLANK(R173)),"",IF(P173&lt;0.3*S173,"F",IF(ISBLANK(R173),"",IF(ISTEXT(R173),R173,IF(R173&gt;=0.9*U173,"O",IF(R173&gt;=0.85*U173,"A+",IF(R173&gt;=0.8*U173,"A",IF(R173&gt;=0.7*U173,"B+",IF(R173&gt;=0.6*U173,"B",IF(R173&gt;=0.5*U173,"C",IF(R173&gt;=0.4*U173,"P",IF(R173&lt;0.4*U173,"F",R173))))))))))))))</f>
        <v>#N/A</v>
      </c>
      <c r="N173" s="8" t="e">
        <f t="shared" ca="1" si="16"/>
        <v>#N/A</v>
      </c>
      <c r="O173">
        <f t="shared" si="17"/>
        <v>9</v>
      </c>
      <c r="P173" s="1" t="e">
        <f ca="1">IF(ISERROR(F160),"",IF(ISTEXT(VLOOKUP(B160,INDIRECT($F$8),6+(O173-1)*3)),(VLOOKUP(B160,INDIRECT($F$8),6+(O173-1)*3)),SUM(VLOOKUP(B160,INDIRECT($F$8),6+(O173-1)*3),IF(W175,W173,0))))</f>
        <v>#N/A</v>
      </c>
      <c r="Q173" s="1">
        <f ca="1">IF(ISERROR(F160),"",VLOOKUP(B160,INDIRECT($F$8),7+(O173-1)*3))</f>
        <v>18</v>
      </c>
      <c r="R173" s="1" t="e">
        <f ca="1">IF(ISERROR(F160),"",SUM(P173:Q173))</f>
        <v>#N/A</v>
      </c>
      <c r="S173" s="1">
        <f ca="1">IF(ISERROR(F160),"",VLOOKUP(A160,INDIRECT($F$8),6+(O173-1)*3))</f>
        <v>30</v>
      </c>
      <c r="T173" s="1">
        <f ca="1">IF(ISERROR(F160),"",VLOOKUP(A160,INDIRECT($F$8),7+(O173-1)*3))</f>
        <v>20</v>
      </c>
      <c r="U173" s="1">
        <f ca="1">IF(ISERROR(F160),"",VLOOKUP(A160,INDIRECT($F$8),8+(O173-1)*3))</f>
        <v>50</v>
      </c>
      <c r="V173" s="1" t="e">
        <f ca="1">IF(ISERROR(F160),"",IF(N173=0,A173,""))</f>
        <v>#N/A</v>
      </c>
      <c r="W173" s="1">
        <f ca="1">IF(ISERROR(F160),"",IF(ISTEXT(VLOOKUP(B160,INDIRECT($F$8),6+(O173-1)*3)),11,IF(VLOOKUP(B160,INDIRECT($F$8),6+(O173-1)*3)&lt;S173*0.3,IF(VLOOKUP(B160,INDIRECT($F$8),8+(O173-1)*3)&lt;U173*0.4,IF(AND(0.4*U173-VLOOKUP(B160,INDIRECT($F$8),8+(O173-1)*3)&lt;=5,0.3*S173-VLOOKUP(B160,INDIRECT($F$8),6+(O173-1)*3)&lt;=5),MAX(0.4*U173-VLOOKUP(B160,INDIRECT($F$8),8+(O173-1)*3),0.3*S173-VLOOKUP(B160,INDIRECT($F$8),6+(O173-1)*3)),11),IF(0.3*S173-VLOOKUP(B160,INDIRECT($F$8),6+(O173-1)*3)&lt;=5,0.3*S173-VLOOKUP(B160,INDIRECT($F$8),6+(O173-1)*3),11)),IF(VLOOKUP(B160,INDIRECT($F$8),8+(O173-1)*3)&lt;U173*0.4,IF(U173*0.4-VLOOKUP(B160,INDIRECT($F$8),8+(O173-1)*3)&lt;=5,U173*0.4-VLOOKUP(B160,INDIRECT($F$8),8+(O173-1)*3),11),0))))</f>
        <v>0</v>
      </c>
      <c r="X173" s="1" t="str">
        <f ca="1">IF(ISERROR(F160),"",IF(W173=0,"",_xlfn.TEXTJOIN("",FALSE," G+",W173," in ",A173)))</f>
        <v/>
      </c>
    </row>
    <row r="174" spans="1:24" ht="13" customHeight="1" x14ac:dyDescent="0.2">
      <c r="A174" s="7" t="str">
        <f ca="1">IF(ISERROR(F160),"",VLOOKUP(C160,INDIRECT($F$8),6+(O174-1)*3,0))</f>
        <v>CAP 007</v>
      </c>
      <c r="B174" s="41" t="str">
        <f ca="1">IF(ISERROR(F160),"",VLOOKUP(D160,INDIRECT($F$8),6+(O174-1)*3,0))</f>
        <v>Artificial Intelligence Lab</v>
      </c>
      <c r="C174" s="41"/>
      <c r="D174" s="41"/>
      <c r="E174" s="41"/>
      <c r="F174" s="7">
        <f ca="1">IF(ISERROR(F160),"",VLOOKUP(E160,INDIRECT($F$8),6+(O174-1)*3,0))</f>
        <v>1</v>
      </c>
      <c r="G174" s="42" t="e">
        <f ca="1">IF(ISERROR(F160),"",_xlfn.TEXTJOIN("/",FALSE,P174,S174))</f>
        <v>#N/A</v>
      </c>
      <c r="H174" s="42"/>
      <c r="I174" s="42" t="str">
        <f ca="1">IF(ISERROR(F160),"",_xlfn.TEXTJOIN("/",FALSE,Q174,T174))</f>
        <v>18/20</v>
      </c>
      <c r="J174" s="42"/>
      <c r="K174" s="42" t="e">
        <f ca="1">IF(ISERROR(F160),"",_xlfn.TEXTJOIN("/",FALSE,R174,U174))</f>
        <v>#N/A</v>
      </c>
      <c r="L174" s="42"/>
      <c r="M174" s="7" t="e">
        <f ca="1">IF(ISERROR(F160),"",IF(ISTEXT(P174),IF(P174="A","Ab",IF(P174="D","Dt",IF(P174="UFM","UFM",IF(P174="NA","")))),IF(AND(ISBLANK(P174),ISBLANK(R174)),"",IF(P174&lt;0.3*S174,"F",IF(ISBLANK(R174),"",IF(ISTEXT(R174),R174,IF(R174&gt;=0.9*U174,"O",IF(R174&gt;=0.85*U174,"A+",IF(R174&gt;=0.8*U174,"A",IF(R174&gt;=0.7*U174,"B+",IF(R174&gt;=0.6*U174,"B",IF(R174&gt;=0.5*U174,"C",IF(R174&gt;=0.4*U174,"P",IF(R174&lt;0.4*U174,"F",R174))))))))))))))</f>
        <v>#N/A</v>
      </c>
      <c r="N174" s="8" t="e">
        <f t="shared" ca="1" si="16"/>
        <v>#N/A</v>
      </c>
      <c r="O174">
        <f t="shared" si="17"/>
        <v>10</v>
      </c>
      <c r="P174" s="1" t="e">
        <f ca="1">IF(ISERROR(F160),"",IF(ISTEXT(VLOOKUP(B160,INDIRECT($F$8),6+(O174-1)*3)),(VLOOKUP(B160,INDIRECT($F$8),6+(O174-1)*3)),SUM(VLOOKUP(B160,INDIRECT($F$8),6+(O174-1)*3),IF(W175,W174,0))))</f>
        <v>#N/A</v>
      </c>
      <c r="Q174" s="1">
        <f ca="1">IF(ISERROR(F160),"",VLOOKUP(B160,INDIRECT($F$8),7+(O174-1)*3))</f>
        <v>18</v>
      </c>
      <c r="R174" s="1" t="e">
        <f ca="1">IF(ISERROR(F160),"",SUM(P174:Q174))</f>
        <v>#N/A</v>
      </c>
      <c r="S174" s="1">
        <f ca="1">IF(ISERROR(F160),"",VLOOKUP(A160,INDIRECT($F$8),6+(O174-1)*3))</f>
        <v>30</v>
      </c>
      <c r="T174" s="1">
        <f ca="1">IF(ISERROR(F160),"",VLOOKUP(A160,INDIRECT($F$8),7+(O174-1)*3))</f>
        <v>20</v>
      </c>
      <c r="U174" s="1">
        <f ca="1">IF(ISERROR(F160),"",VLOOKUP(A160,INDIRECT($F$8),8+(O174-1)*3))</f>
        <v>50</v>
      </c>
      <c r="V174" s="1" t="e">
        <f ca="1">IF(ISERROR(F160),"",IF(N174=0,A174,""))</f>
        <v>#N/A</v>
      </c>
      <c r="W174" s="1">
        <f ca="1">IF(ISERROR(F160),"",IF(ISTEXT(VLOOKUP(B160,INDIRECT($F$8),6+(O174-1)*3)),11,IF(VLOOKUP(B160,INDIRECT($F$8),6+(O174-1)*3)&lt;S174*0.3,IF(VLOOKUP(B160,INDIRECT($F$8),8+(O174-1)*3)&lt;U174*0.4,IF(AND(0.4*U174-VLOOKUP(B160,INDIRECT($F$8),8+(O174-1)*3)&lt;=5,0.3*S174-VLOOKUP(B160,INDIRECT($F$8),6+(O174-1)*3)&lt;=5),MAX(0.4*U174-VLOOKUP(B160,INDIRECT($F$8),8+(O174-1)*3),0.3*S174-VLOOKUP(B160,INDIRECT($F$8),6+(O174-1)*3)),11),IF(0.3*S174-VLOOKUP(B160,INDIRECT($F$8),6+(O174-1)*3)&lt;=5,0.3*S174-VLOOKUP(B160,INDIRECT($F$8),6+(O174-1)*3),11)),IF(VLOOKUP(B160,INDIRECT($F$8),8+(O174-1)*3)&lt;U174*0.4,IF(U174*0.4-VLOOKUP(B160,INDIRECT($F$8),8+(O174-1)*3)&lt;=5,U174*0.4-VLOOKUP(B160,INDIRECT($F$8),8+(O174-1)*3),11),0))))</f>
        <v>0</v>
      </c>
      <c r="X174" s="1" t="str">
        <f ca="1">IF(ISERROR(F160),"",IF(W174=0,"",_xlfn.TEXTJOIN("",FALSE," G+",W174," in ",A174)))</f>
        <v/>
      </c>
    </row>
    <row r="175" spans="1:24" ht="13" customHeight="1" x14ac:dyDescent="0.2">
      <c r="A175" s="43" t="str">
        <f ca="1">IF(ISERROR(F160),"",A156)</f>
        <v>Total Credits/ Marks/ Total Grade Points</v>
      </c>
      <c r="B175" s="43"/>
      <c r="C175" s="43"/>
      <c r="D175" s="43"/>
      <c r="E175" s="43"/>
      <c r="F175" s="10">
        <f ca="1">IF(ISERROR(F160),"",SUM(F165:F174))</f>
        <v>24</v>
      </c>
      <c r="G175" s="44" t="e">
        <f ca="1">IF(ISERROR(F160),"",_xlfn.TEXTJOIN("/",TRUE,SUMIF(F165:F174,"&gt;0",P165:P174),SUMIF(F165:F174,"&gt;0",S165:S174)))</f>
        <v>#N/A</v>
      </c>
      <c r="H175" s="44"/>
      <c r="I175" s="44" t="str">
        <f ca="1">IF(ISERROR(F160),"",_xlfn.TEXTJOIN("/",TRUE,SUMIF(F165:F174,"&gt;0",Q165:Q174),SUMIF(F165:F174,"&gt;0",T165:T174)))</f>
        <v>302/330</v>
      </c>
      <c r="J175" s="44"/>
      <c r="K175" s="44" t="e">
        <f ca="1">IF(ISERROR(F160),"",_xlfn.TEXTJOIN("/",TRUE,SUMIF(F165:F174,"&gt;0",R165:R174),SUMIF(F165:F174,"&gt;0",U165:U174)))</f>
        <v>#N/A</v>
      </c>
      <c r="L175" s="44"/>
      <c r="M175" s="43" t="e">
        <f ca="1">IF(ISERROR(F160),"",SUMPRODUCT(N165:N174,F165:F174))</f>
        <v>#N/A</v>
      </c>
      <c r="N175" s="43"/>
      <c r="V175" s="1" t="e">
        <f ca="1">IF(ISERROR(F160),"",_xlfn.TEXTJOIN(", ",TRUE,V165:V174))</f>
        <v>#N/A</v>
      </c>
      <c r="W175" t="e">
        <f ca="1">IF(ISERROR(F160),"",IF(SUM(W165:W174)&lt;=W164,TRUE,FALSE))</f>
        <v>#N/A</v>
      </c>
      <c r="X175" s="1" t="str">
        <f ca="1">IF(ISERROR(F160),"",_xlfn.TEXTJOIN(",",TRUE,X165:X174))</f>
        <v/>
      </c>
    </row>
    <row r="176" spans="1:24" ht="13" customHeight="1" x14ac:dyDescent="0.2">
      <c r="A176" s="43" t="str">
        <f ca="1">IF(ISERROR(F160),"",A157)</f>
        <v>Result:</v>
      </c>
      <c r="B176" s="45" t="e">
        <f ca="1">IF(ISERROR(F160),"",IF(V175="","PASS","CARRY OVER"))</f>
        <v>#N/A</v>
      </c>
      <c r="C176" s="45"/>
      <c r="D176" s="43" t="str">
        <f ca="1">IF(ISERROR(F160),"",D157)</f>
        <v>Remark:</v>
      </c>
      <c r="E176" s="45" t="e">
        <f ca="1">IF(ISERROR(F160),"",IF(V175="",IF(X175="","",X175),_xlfn.TEXTJOIN(" ",TRUE,"BACK IN",V175)))</f>
        <v>#N/A</v>
      </c>
      <c r="F176" s="45"/>
      <c r="G176" s="43" t="str">
        <f ca="1">IF(ISERROR(F160),"",G157)</f>
        <v>SGPA:</v>
      </c>
      <c r="H176" s="46" t="e">
        <f ca="1">IF(ISERROR(F160),"",M175/F175)</f>
        <v>#N/A</v>
      </c>
      <c r="I176" s="43" t="str">
        <f ca="1">IF(ISERROR(F160),"",I157)</f>
        <v>CGPA:</v>
      </c>
      <c r="J176" s="46" t="e">
        <f ca="1">IF(ISERROR(F160),"",VLOOKUP(B160,INDIRECT($F$8),12+(O174-1)*3,0))</f>
        <v>#N/A</v>
      </c>
      <c r="K176" s="45" t="str">
        <f ca="1">IF(ISERROR(F160),"",K157)</f>
        <v>Earned Credits:</v>
      </c>
      <c r="L176" s="43">
        <f ca="1">IF(ISERROR(F160),"",SUMIF(N165:N174,"&gt;0",F165:F174))</f>
        <v>0</v>
      </c>
      <c r="M176" s="45" t="str">
        <f ca="1">IF(ISERROR(F160),"",M157)</f>
        <v>Cuml. Earned Credits:</v>
      </c>
      <c r="N176" s="43" t="e">
        <f ca="1">IF(ISERROR(F160),"",VLOOKUP(B160,INDIRECT($F$8),10+(O174-1)*3,0))</f>
        <v>#N/A</v>
      </c>
    </row>
    <row r="177" spans="1:24" ht="13" customHeight="1" x14ac:dyDescent="0.2">
      <c r="A177" s="43"/>
      <c r="B177" s="45"/>
      <c r="C177" s="45"/>
      <c r="D177" s="43"/>
      <c r="E177" s="45"/>
      <c r="F177" s="45"/>
      <c r="G177" s="43"/>
      <c r="H177" s="46"/>
      <c r="I177" s="43"/>
      <c r="J177" s="46"/>
      <c r="K177" s="45"/>
      <c r="L177" s="43"/>
      <c r="M177" s="45"/>
      <c r="N177" s="43"/>
    </row>
    <row r="178" spans="1:24" ht="15" x14ac:dyDescent="0.2">
      <c r="A178" s="43"/>
      <c r="B178" s="45"/>
      <c r="C178" s="45"/>
      <c r="D178" s="43"/>
      <c r="E178" s="45"/>
      <c r="F178" s="45"/>
      <c r="G178" s="43"/>
      <c r="H178" s="46"/>
      <c r="I178" s="43"/>
      <c r="J178" s="46"/>
      <c r="K178" s="45"/>
      <c r="L178" s="43"/>
      <c r="M178" s="45"/>
      <c r="N178" s="43"/>
    </row>
    <row r="179" spans="1:24" ht="13" customHeight="1" x14ac:dyDescent="0.2">
      <c r="A179" s="11" t="str">
        <f>A160</f>
        <v>MM</v>
      </c>
      <c r="B179" s="11">
        <f>B160+1</f>
        <v>10</v>
      </c>
      <c r="C179" s="11" t="str">
        <f>C160</f>
        <v>SC</v>
      </c>
      <c r="D179" s="11" t="str">
        <f>D160</f>
        <v>SN</v>
      </c>
      <c r="E179" s="11" t="str">
        <f>E160</f>
        <v>C</v>
      </c>
      <c r="F179" s="11" t="str">
        <f ca="1">VLOOKUP(B179,INDIRECT($F$8),4,0)</f>
        <v>DEVENDRA SINGH RANA</v>
      </c>
    </row>
    <row r="180" spans="1:24" ht="13" customHeight="1" x14ac:dyDescent="0.2">
      <c r="A180" s="47" t="str">
        <f ca="1">IF(ISERROR(F179),"",A161)</f>
        <v>Name:</v>
      </c>
      <c r="B180" s="47" t="str">
        <f ca="1">IFERROR(VLOOKUP(B179,INDIRECT($F$8),4,0),"")</f>
        <v>DEVENDRA SINGH RANA</v>
      </c>
      <c r="C180" s="47"/>
      <c r="D180" s="47" t="str">
        <f ca="1">IF(ISERROR(F179),"",D161)</f>
        <v>Father's Name:</v>
      </c>
      <c r="E180" s="47" t="str">
        <f ca="1">IFERROR(VLOOKUP(B179,INDIRECT($F$8),5,0),"")</f>
        <v>DHYAN SINGH RANA</v>
      </c>
      <c r="F180" s="47"/>
      <c r="G180" s="47" t="str">
        <f ca="1">IF(ISERROR(F179),"",G161)</f>
        <v>University Roll No:</v>
      </c>
      <c r="H180" s="47"/>
      <c r="I180" s="48">
        <f ca="1">IFERROR(VLOOKUP(B179,INDIRECT($F$8),2,0),"")</f>
        <v>240090600010</v>
      </c>
      <c r="J180" s="48"/>
      <c r="K180" s="47" t="str">
        <f ca="1">IF(ISERROR(F179),"",K161)</f>
        <v>University Enrol. No:</v>
      </c>
      <c r="L180" s="47"/>
      <c r="M180" s="48" t="str">
        <f ca="1">IFERROR(VLOOKUP(B179,INDIRECT($F$8),3,0),"")</f>
        <v>UTU/2406100181</v>
      </c>
      <c r="N180" s="48"/>
    </row>
    <row r="181" spans="1:24" ht="15" x14ac:dyDescent="0.2">
      <c r="A181" s="47"/>
      <c r="B181" s="47"/>
      <c r="C181" s="47"/>
      <c r="D181" s="47"/>
      <c r="E181" s="47"/>
      <c r="F181" s="47"/>
      <c r="G181" s="47"/>
      <c r="H181" s="47"/>
      <c r="I181" s="48"/>
      <c r="J181" s="48"/>
      <c r="K181" s="47"/>
      <c r="L181" s="47"/>
      <c r="M181" s="48"/>
      <c r="N181" s="48"/>
    </row>
    <row r="182" spans="1:24" ht="13" customHeight="1" x14ac:dyDescent="0.2">
      <c r="A182" s="45" t="str">
        <f ca="1">IF(ISERROR(F179),"",A163)</f>
        <v>Subject Code</v>
      </c>
      <c r="B182" s="45" t="str">
        <f ca="1">IF(ISERROR(F179),"",B163)</f>
        <v>Subject Name</v>
      </c>
      <c r="C182" s="45"/>
      <c r="D182" s="45"/>
      <c r="E182" s="45"/>
      <c r="F182" s="45" t="str">
        <f ca="1">IF(ISERROR(F179),"",F163)</f>
        <v>Credits</v>
      </c>
      <c r="G182" s="45" t="str">
        <f ca="1">IF(ISERROR(F179),"",G163)</f>
        <v>External Marks</v>
      </c>
      <c r="H182" s="45"/>
      <c r="I182" s="45" t="str">
        <f ca="1">IF(ISERROR(F179),"",I163)</f>
        <v>Sessional Marks</v>
      </c>
      <c r="J182" s="45"/>
      <c r="K182" s="45" t="str">
        <f ca="1">IF(ISERROR(F179),"",K163)</f>
        <v>Total Marks</v>
      </c>
      <c r="L182" s="45"/>
      <c r="M182" s="45" t="str">
        <f ca="1">IF(ISERROR(F179),"",M163)</f>
        <v>Grade</v>
      </c>
      <c r="N182" s="45" t="str">
        <f ca="1">IF(ISERROR(F179),"",N163)</f>
        <v>Grade Points</v>
      </c>
    </row>
    <row r="183" spans="1:24" ht="15" x14ac:dyDescent="0.2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W183" t="e">
        <f ca="1">IF(ISNUMBER(MATCH($F$8,{"I","III","V","VII"},0)),10,10-INDEX(INDIRECT(_xlfn.TEXTJOIN("",TRUE,"SEM_",$G$8,"!",ADDRESS(6,4+$I$8*3+4),":",ADDRESS(5+$H$8,4+$I$8*3+4))),MATCH(INDIRECT(_xlfn.TEXTJOIN("",TRUE,"TC_",$F$8,"!",ADDRESS(ROW(I180),COLUMN(I180)))),INDIRECT(_xlfn.TEXTJOIN("",TRUE,"SEM_",$G$8,"!",ADDRESS(6,2),":",ADDRESS(5+$H$8,2))))))</f>
        <v>#N/A</v>
      </c>
    </row>
    <row r="184" spans="1:24" ht="13" customHeight="1" x14ac:dyDescent="0.2">
      <c r="A184" s="7" t="str">
        <f ca="1">IF(ISERROR(F179),"",VLOOKUP(C179,INDIRECT($F$8),6+(O184-1)*3,0))</f>
        <v>CAT 009</v>
      </c>
      <c r="B184" s="41" t="str">
        <f ca="1">IF(ISERROR(F179),"",VLOOKUP(D179,INDIRECT($F$8),6+(O184-1)*3,0))</f>
        <v>Computer Based Numerical and Statistical Techniques</v>
      </c>
      <c r="C184" s="41"/>
      <c r="D184" s="41"/>
      <c r="E184" s="41"/>
      <c r="F184" s="7">
        <f ca="1">IF(ISERROR(F179),"",VLOOKUP(E179,INDIRECT($F$8),6+(O184-1)*3,0))</f>
        <v>4</v>
      </c>
      <c r="G184" s="42" t="e">
        <f ca="1">IF(ISERROR(F179),"",_xlfn.TEXTJOIN("/",FALSE,P184,S184))</f>
        <v>#N/A</v>
      </c>
      <c r="H184" s="42"/>
      <c r="I184" s="42" t="str">
        <f ca="1">IF(ISERROR(F179),"",_xlfn.TEXTJOIN("/",FALSE,Q184,T184))</f>
        <v>40/50</v>
      </c>
      <c r="J184" s="42"/>
      <c r="K184" s="42" t="e">
        <f ca="1">IF(ISERROR(F179),"",_xlfn.TEXTJOIN("/",FALSE,R184,U184))</f>
        <v>#N/A</v>
      </c>
      <c r="L184" s="42"/>
      <c r="M184" s="7" t="e">
        <f ca="1">IF(ISERROR(F179),"",IF(ISTEXT(P184),IF(P184="A","Ab",IF(P184="D","Dt",IF(P184="UFM","UFM",IF(P184="NA","")))),IF(AND(ISBLANK(P184),ISBLANK(R184)),"",IF(P184&lt;0.3*S184,"F",IF(ISBLANK(R184),"",IF(ISTEXT(R184),R184,IF(R184&gt;=0.9*U184,"O",IF(R184&gt;=0.85*U184,"A+",IF(R184&gt;=0.8*U184,"A",IF(R184&gt;=0.7*U184,"B+",IF(R184&gt;=0.6*U184,"B",IF(R184&gt;=0.5*U184,"C",IF(R184&gt;=0.4*U184,"P",IF(R184&lt;0.4*U184,"F",R184))))))))))))))</f>
        <v>#N/A</v>
      </c>
      <c r="N184" s="8" t="e">
        <f t="shared" ref="N184:N193" ca="1" si="18">INDEX($Z$2:$Z$13,MATCH(M184,$Y$2:$Y$13,0))</f>
        <v>#N/A</v>
      </c>
      <c r="O184">
        <v>1</v>
      </c>
      <c r="P184" s="1" t="e">
        <f ca="1">IF(ISERROR(F179),"",IF(ISTEXT(VLOOKUP(B179,INDIRECT($F$8),6+(O184-1)*3)),(VLOOKUP(B179,INDIRECT($F$8),6+(O184-1)*3)),SUM(VLOOKUP(B179,INDIRECT($F$8),6+(O184-1)*3),IF(W194,W184,0))))</f>
        <v>#N/A</v>
      </c>
      <c r="Q184" s="1">
        <f ca="1">IF(ISERROR(F179),"",VLOOKUP(B179,INDIRECT($F$8),7+(O184-1)*3))</f>
        <v>40</v>
      </c>
      <c r="R184" s="1" t="e">
        <f ca="1">IF(ISERROR(F179),"",SUM(P184:Q184))</f>
        <v>#N/A</v>
      </c>
      <c r="S184" s="1">
        <f ca="1">IF(ISERROR(F179),"",VLOOKUP(A179,INDIRECT($F$8),6+(O184-1)*3))</f>
        <v>100</v>
      </c>
      <c r="T184" s="1">
        <f ca="1">IF(ISERROR(F179),"",VLOOKUP(A179,INDIRECT($F$8),7+(O184-1)*3))</f>
        <v>50</v>
      </c>
      <c r="U184" s="1">
        <f ca="1">IF(ISERROR(F179),"",VLOOKUP(A179,INDIRECT($F$8),8+(O184-1)*3))</f>
        <v>150</v>
      </c>
      <c r="V184" s="1" t="e">
        <f ca="1">IF(ISERROR(F179),"",IF(N184=0,A184,""))</f>
        <v>#N/A</v>
      </c>
      <c r="W184" s="1">
        <f ca="1">IF(ISERROR(F179),"",IF(ISTEXT(VLOOKUP(B179,INDIRECT($F$8),6+(O184-1)*3)),11,IF(VLOOKUP(B179,INDIRECT($F$8),6+(O184-1)*3)&lt;S184*0.3,IF(VLOOKUP(B179,INDIRECT($F$8),8+(O184-1)*3)&lt;U184*0.4,IF(AND(0.4*U184-VLOOKUP(B179,INDIRECT($F$8),8+(O184-1)*3)&lt;=5,0.3*S184-VLOOKUP(B179,INDIRECT($F$8),6+(O184-1)*3)&lt;=5),MAX(0.4*U184-VLOOKUP(B179,INDIRECT($F$8),8+(O184-1)*3),0.3*S184-VLOOKUP(B179,INDIRECT($F$8),6+(O184-1)*3)),11),IF(0.3*S184-VLOOKUP(B179,INDIRECT($F$8),6+(O184-1)*3)&lt;=5,0.3*S184-VLOOKUP(B179,INDIRECT($F$8),6+(O184-1)*3),11)),IF(VLOOKUP(B179,INDIRECT($F$8),8+(O184-1)*3)&lt;U184*0.4,IF(U184*0.4-VLOOKUP(B179,INDIRECT($F$8),8+(O184-1)*3)&lt;=5,U184*0.4-VLOOKUP(B179,INDIRECT($F$8),8+(O184-1)*3),11),0))))</f>
        <v>0</v>
      </c>
      <c r="X184" s="1" t="str">
        <f ca="1">IF(ISERROR(F179),"",IF(W184=0,"",_xlfn.TEXTJOIN("",FALSE," G+",W184," in ",A184)))</f>
        <v/>
      </c>
    </row>
    <row r="185" spans="1:24" ht="13" customHeight="1" x14ac:dyDescent="0.2">
      <c r="A185" s="7" t="str">
        <f ca="1">IF(ISERROR(F179),"",VLOOKUP(C179,INDIRECT($F$8),6+(O185-1)*3,0))</f>
        <v>CAT 010</v>
      </c>
      <c r="B185" s="41" t="str">
        <f ca="1">IF(ISERROR(F179),"",VLOOKUP(D179,INDIRECT($F$8),6+(O185-1)*3,0))</f>
        <v>Data Structures and Analysis of Algorithms</v>
      </c>
      <c r="C185" s="41"/>
      <c r="D185" s="41"/>
      <c r="E185" s="41"/>
      <c r="F185" s="7">
        <f ca="1">IF(ISERROR(F179),"",VLOOKUP(E179,INDIRECT($F$8),6+(O185-1)*3,0))</f>
        <v>4</v>
      </c>
      <c r="G185" s="42" t="e">
        <f ca="1">IF(ISERROR(F179),"",_xlfn.TEXTJOIN("/",FALSE,P185,S185))</f>
        <v>#N/A</v>
      </c>
      <c r="H185" s="42"/>
      <c r="I185" s="42" t="str">
        <f ca="1">IF(ISERROR(F179),"",_xlfn.TEXTJOIN("/",FALSE,Q185,T185))</f>
        <v>43/50</v>
      </c>
      <c r="J185" s="42"/>
      <c r="K185" s="42" t="e">
        <f ca="1">IF(ISERROR(F179),"",_xlfn.TEXTJOIN("/",FALSE,R185,U185))</f>
        <v>#N/A</v>
      </c>
      <c r="L185" s="42"/>
      <c r="M185" s="7" t="e">
        <f ca="1">IF(ISERROR(F179),"",IF(ISTEXT(P185),IF(P185="A","Ab",IF(P185="D","Dt",IF(P185="UFM","UFM",IF(P185="NA","")))),IF(AND(ISBLANK(P185),ISBLANK(R185)),"",IF(P185&lt;0.3*S185,"F",IF(ISBLANK(R185),"",IF(ISTEXT(R185),R185,IF(R185&gt;=0.9*U185,"O",IF(R185&gt;=0.85*U185,"A+",IF(R185&gt;=0.8*U185,"A",IF(R185&gt;=0.7*U185,"B+",IF(R185&gt;=0.6*U185,"B",IF(R185&gt;=0.5*U185,"C",IF(R185&gt;=0.4*U185,"P",IF(R185&lt;0.4*U185,"F",R185))))))))))))))</f>
        <v>#N/A</v>
      </c>
      <c r="N185" s="8" t="e">
        <f t="shared" ca="1" si="18"/>
        <v>#N/A</v>
      </c>
      <c r="O185">
        <f>O184+1</f>
        <v>2</v>
      </c>
      <c r="P185" s="1" t="e">
        <f ca="1">IF(ISERROR(F179),"",IF(ISTEXT(VLOOKUP(B179,INDIRECT($F$8),6+(O185-1)*3)),(VLOOKUP(B179,INDIRECT($F$8),6+(O185-1)*3)),SUM(VLOOKUP(B179,INDIRECT($F$8),6+(O185-1)*3),IF(W194,W185,0))))</f>
        <v>#N/A</v>
      </c>
      <c r="Q185" s="1">
        <f ca="1">IF(ISERROR(F179),"",VLOOKUP(B179,INDIRECT($F$8),7+(O185-1)*3))</f>
        <v>43</v>
      </c>
      <c r="R185" s="1" t="e">
        <f ca="1">IF(ISERROR(F179),"",SUM(P185:Q185))</f>
        <v>#N/A</v>
      </c>
      <c r="S185" s="1">
        <f ca="1">IF(ISERROR(F179),"",VLOOKUP(A179,INDIRECT($F$8),6+(O185-1)*3))</f>
        <v>100</v>
      </c>
      <c r="T185" s="1">
        <f ca="1">IF(ISERROR(F179),"",VLOOKUP(A179,INDIRECT($F$8),7+(O185-1)*3))</f>
        <v>50</v>
      </c>
      <c r="U185" s="1">
        <f ca="1">IF(ISERROR(F179),"",VLOOKUP(A179,INDIRECT($F$8),8+(O185-1)*3))</f>
        <v>150</v>
      </c>
      <c r="V185" s="1" t="e">
        <f ca="1">IF(ISERROR(F179),"",IF(N185=0,A185,""))</f>
        <v>#N/A</v>
      </c>
      <c r="W185" s="1">
        <f ca="1">IF(ISERROR(F179),"",IF(ISTEXT(VLOOKUP(B179,INDIRECT($F$8),6+(O185-1)*3)),11,IF(VLOOKUP(B179,INDIRECT($F$8),6+(O185-1)*3)&lt;S185*0.3,IF(VLOOKUP(B179,INDIRECT($F$8),8+(O185-1)*3)&lt;U185*0.4,IF(AND(0.4*U185-VLOOKUP(B179,INDIRECT($F$8),8+(O185-1)*3)&lt;=5,0.3*S185-VLOOKUP(B179,INDIRECT($F$8),6+(O185-1)*3)&lt;=5),MAX(0.4*U185-VLOOKUP(B179,INDIRECT($F$8),8+(O185-1)*3),0.3*S185-VLOOKUP(B179,INDIRECT($F$8),6+(O185-1)*3)),11),IF(0.3*S185-VLOOKUP(B179,INDIRECT($F$8),6+(O185-1)*3)&lt;=5,0.3*S185-VLOOKUP(B179,INDIRECT($F$8),6+(O185-1)*3),11)),IF(VLOOKUP(B179,INDIRECT($F$8),8+(O185-1)*3)&lt;U185*0.4,IF(U185*0.4-VLOOKUP(B179,INDIRECT($F$8),8+(O185-1)*3)&lt;=5,U185*0.4-VLOOKUP(B179,INDIRECT($F$8),8+(O185-1)*3),11),0))))</f>
        <v>0</v>
      </c>
      <c r="X185" s="1" t="str">
        <f ca="1">IF(ISERROR(F179),"",IF(W185=0,"",_xlfn.TEXTJOIN("",FALSE," G+",W185," in ",A185)))</f>
        <v/>
      </c>
    </row>
    <row r="186" spans="1:24" ht="13" customHeight="1" x14ac:dyDescent="0.2">
      <c r="A186" s="7" t="str">
        <f ca="1">IF(ISERROR(F179),"",VLOOKUP(C179,INDIRECT($F$8),6+(O186-1)*3,0))</f>
        <v>CAT 011</v>
      </c>
      <c r="B186" s="41" t="str">
        <f ca="1">IF(ISERROR(F179),"",VLOOKUP(D179,INDIRECT($F$8),6+(O186-1)*3,0))</f>
        <v>Object Oriented Programming with JAVA</v>
      </c>
      <c r="C186" s="41"/>
      <c r="D186" s="41"/>
      <c r="E186" s="41"/>
      <c r="F186" s="7">
        <f ca="1">IF(ISERROR(F179),"",VLOOKUP(E179,INDIRECT($F$8),6+(O186-1)*3,0))</f>
        <v>4</v>
      </c>
      <c r="G186" s="42" t="e">
        <f ca="1">IF(ISERROR(F179),"",_xlfn.TEXTJOIN("/",FALSE,P186,S186))</f>
        <v>#N/A</v>
      </c>
      <c r="H186" s="42"/>
      <c r="I186" s="42" t="str">
        <f ca="1">IF(ISERROR(F179),"",_xlfn.TEXTJOIN("/",FALSE,Q186,T186))</f>
        <v>35/50</v>
      </c>
      <c r="J186" s="42"/>
      <c r="K186" s="42" t="e">
        <f ca="1">IF(ISERROR(F179),"",_xlfn.TEXTJOIN("/",FALSE,R186,U186))</f>
        <v>#N/A</v>
      </c>
      <c r="L186" s="42"/>
      <c r="M186" s="7" t="e">
        <f ca="1">IF(ISERROR(F179),"",IF(ISTEXT(P186),IF(P186="A","Ab",IF(P186="D","Dt",IF(P186="UFM","UFM",IF(P186="NA","")))),IF(AND(ISBLANK(P186),ISBLANK(R186)),"",IF(P186&lt;0.3*S186,"F",IF(ISBLANK(R186),"",IF(ISTEXT(R186),R186,IF(R186&gt;=0.9*U186,"O",IF(R186&gt;=0.85*U186,"A+",IF(R186&gt;=0.8*U186,"A",IF(R186&gt;=0.7*U186,"B+",IF(R186&gt;=0.6*U186,"B",IF(R186&gt;=0.5*U186,"C",IF(R186&gt;=0.4*U186,"P",IF(R186&lt;0.4*U186,"F",R186))))))))))))))</f>
        <v>#N/A</v>
      </c>
      <c r="N186" s="8" t="e">
        <f t="shared" ca="1" si="18"/>
        <v>#N/A</v>
      </c>
      <c r="O186">
        <f>O185+1</f>
        <v>3</v>
      </c>
      <c r="P186" s="1" t="e">
        <f ca="1">IF(ISERROR(F179),"",IF(ISTEXT(VLOOKUP(B179,INDIRECT($F$8),6+(O186-1)*3)),(VLOOKUP(B179,INDIRECT($F$8),6+(O186-1)*3)),SUM(VLOOKUP(B179,INDIRECT($F$8),6+(O186-1)*3),IF(W194,W186,0))))</f>
        <v>#N/A</v>
      </c>
      <c r="Q186" s="1">
        <f ca="1">IF(ISERROR(F179),"",VLOOKUP(B179,INDIRECT($F$8),7+(O186-1)*3))</f>
        <v>35</v>
      </c>
      <c r="R186" s="1" t="e">
        <f ca="1">IF(ISERROR(F179),"",SUM(P186:Q186))</f>
        <v>#N/A</v>
      </c>
      <c r="S186" s="1">
        <f ca="1">IF(ISERROR(F179),"",VLOOKUP(A179,INDIRECT($F$8),6+(O186-1)*3))</f>
        <v>100</v>
      </c>
      <c r="T186" s="1">
        <f ca="1">IF(ISERROR(F179),"",VLOOKUP(A179,INDIRECT($F$8),7+(O186-1)*3))</f>
        <v>50</v>
      </c>
      <c r="U186" s="1">
        <f ca="1">IF(ISERROR(F179),"",VLOOKUP(A179,INDIRECT($F$8),8+(O186-1)*3))</f>
        <v>150</v>
      </c>
      <c r="V186" s="1" t="e">
        <f ca="1">IF(ISERROR(F179),"",IF(N186=0,A186,""))</f>
        <v>#N/A</v>
      </c>
      <c r="W186" s="1">
        <f ca="1">IF(ISERROR(F179),"",IF(ISTEXT(VLOOKUP(B179,INDIRECT($F$8),6+(O186-1)*3)),11,IF(VLOOKUP(B179,INDIRECT($F$8),6+(O186-1)*3)&lt;S186*0.3,IF(VLOOKUP(B179,INDIRECT($F$8),8+(O186-1)*3)&lt;U186*0.4,IF(AND(0.4*U186-VLOOKUP(B179,INDIRECT($F$8),8+(O186-1)*3)&lt;=5,0.3*S186-VLOOKUP(B179,INDIRECT($F$8),6+(O186-1)*3)&lt;=5),MAX(0.4*U186-VLOOKUP(B179,INDIRECT($F$8),8+(O186-1)*3),0.3*S186-VLOOKUP(B179,INDIRECT($F$8),6+(O186-1)*3)),11),IF(0.3*S186-VLOOKUP(B179,INDIRECT($F$8),6+(O186-1)*3)&lt;=5,0.3*S186-VLOOKUP(B179,INDIRECT($F$8),6+(O186-1)*3),11)),IF(VLOOKUP(B179,INDIRECT($F$8),8+(O186-1)*3)&lt;U186*0.4,IF(U186*0.4-VLOOKUP(B179,INDIRECT($F$8),8+(O186-1)*3)&lt;=5,U186*0.4-VLOOKUP(B179,INDIRECT($F$8),8+(O186-1)*3),11),0))))</f>
        <v>0</v>
      </c>
      <c r="X186" s="1" t="str">
        <f ca="1">IF(ISERROR(F179),"",IF(W186=0,"",_xlfn.TEXTJOIN("",FALSE," G+",W186," in ",A186)))</f>
        <v/>
      </c>
    </row>
    <row r="187" spans="1:24" ht="13" customHeight="1" x14ac:dyDescent="0.2">
      <c r="A187" s="7" t="str">
        <f ca="1">IF(ISERROR(F179),"",VLOOKUP(C179,INDIRECT($F$8),6+(O187-1)*3,0))</f>
        <v>CAT 012</v>
      </c>
      <c r="B187" s="41" t="str">
        <f ca="1">IF(ISERROR(F179),"",VLOOKUP(D179,INDIRECT($F$8),6+(O187-1)*3,0))</f>
        <v>Computer Networks</v>
      </c>
      <c r="C187" s="41"/>
      <c r="D187" s="41"/>
      <c r="E187" s="41"/>
      <c r="F187" s="7">
        <f ca="1">IF(ISERROR(F179),"",VLOOKUP(E179,INDIRECT($F$8),6+(O187-1)*3,0))</f>
        <v>4</v>
      </c>
      <c r="G187" s="42" t="e">
        <f ca="1">IF(ISERROR(F179),"",_xlfn.TEXTJOIN("/",FALSE,P187,S187))</f>
        <v>#N/A</v>
      </c>
      <c r="H187" s="42"/>
      <c r="I187" s="42" t="str">
        <f ca="1">IF(ISERROR(F179),"",_xlfn.TEXTJOIN("/",FALSE,Q187,T187))</f>
        <v>34/50</v>
      </c>
      <c r="J187" s="42"/>
      <c r="K187" s="42" t="e">
        <f ca="1">IF(ISERROR(F179),"",_xlfn.TEXTJOIN("/",FALSE,R187,U187))</f>
        <v>#N/A</v>
      </c>
      <c r="L187" s="42"/>
      <c r="M187" s="7" t="e">
        <f ca="1">IF(ISERROR(F179),"",IF(ISTEXT(P187),IF(P187="A","Ab",IF(P187="D","Dt",IF(P187="UFM","UFM",IF(P187="NA","")))),IF(AND(ISBLANK(P187),ISBLANK(R187)),"",IF(P187&lt;0.3*S187,"F",IF(ISBLANK(R187),"",IF(ISTEXT(R187),R187,IF(R187&gt;=0.9*U187,"O",IF(R187&gt;=0.85*U187,"A+",IF(R187&gt;=0.8*U187,"A",IF(R187&gt;=0.7*U187,"B+",IF(R187&gt;=0.6*U187,"B",IF(R187&gt;=0.5*U187,"C",IF(R187&gt;=0.4*U187,"P",IF(R187&lt;0.4*U187,"F",R187))))))))))))))</f>
        <v>#N/A</v>
      </c>
      <c r="N187" s="8" t="e">
        <f t="shared" ca="1" si="18"/>
        <v>#N/A</v>
      </c>
      <c r="O187">
        <f t="shared" ref="O187:O193" si="19">O186+1</f>
        <v>4</v>
      </c>
      <c r="P187" s="1" t="e">
        <f ca="1">IF(ISERROR(F179),"",IF(ISTEXT(VLOOKUP(B179,INDIRECT($F$8),6+(O187-1)*3)),(VLOOKUP(B179,INDIRECT($F$8),6+(O187-1)*3)),SUM(VLOOKUP(B179,INDIRECT($F$8),6+(O187-1)*3),IF(W194,W187,0))))</f>
        <v>#N/A</v>
      </c>
      <c r="Q187" s="1">
        <f ca="1">IF(ISERROR(F179),"",VLOOKUP(B179,INDIRECT($F$8),7+(O187-1)*3))</f>
        <v>34</v>
      </c>
      <c r="R187" s="1" t="e">
        <f ca="1">IF(ISERROR(F179),"",SUM(P187:Q187))</f>
        <v>#N/A</v>
      </c>
      <c r="S187" s="1">
        <f ca="1">IF(ISERROR(F179),"",VLOOKUP(A179,INDIRECT($F$8),6+(O187-1)*3))</f>
        <v>100</v>
      </c>
      <c r="T187" s="1">
        <f ca="1">IF(ISERROR(F179),"",VLOOKUP(A179,INDIRECT($F$8),7+(O187-1)*3))</f>
        <v>50</v>
      </c>
      <c r="U187" s="1">
        <f ca="1">IF(ISERROR(F179),"",VLOOKUP(A179,INDIRECT($F$8),8+(O187-1)*3))</f>
        <v>150</v>
      </c>
      <c r="V187" s="1" t="e">
        <f ca="1">IF(ISERROR(F179),"",IF(N187=0,A187,""))</f>
        <v>#N/A</v>
      </c>
      <c r="W187" s="1">
        <f ca="1">IF(ISERROR(F179),"",IF(ISTEXT(VLOOKUP(B179,INDIRECT($F$8),6+(O187-1)*3)),11,IF(VLOOKUP(B179,INDIRECT($F$8),6+(O187-1)*3)&lt;S187*0.3,IF(VLOOKUP(B179,INDIRECT($F$8),8+(O187-1)*3)&lt;U187*0.4,IF(AND(0.4*U187-VLOOKUP(B179,INDIRECT($F$8),8+(O187-1)*3)&lt;=5,0.3*S187-VLOOKUP(B179,INDIRECT($F$8),6+(O187-1)*3)&lt;=5),MAX(0.4*U187-VLOOKUP(B179,INDIRECT($F$8),8+(O187-1)*3),0.3*S187-VLOOKUP(B179,INDIRECT($F$8),6+(O187-1)*3)),11),IF(0.3*S187-VLOOKUP(B179,INDIRECT($F$8),6+(O187-1)*3)&lt;=5,0.3*S187-VLOOKUP(B179,INDIRECT($F$8),6+(O187-1)*3),11)),IF(VLOOKUP(B179,INDIRECT($F$8),8+(O187-1)*3)&lt;U187*0.4,IF(U187*0.4-VLOOKUP(B179,INDIRECT($F$8),8+(O187-1)*3)&lt;=5,U187*0.4-VLOOKUP(B179,INDIRECT($F$8),8+(O187-1)*3),11),0))))</f>
        <v>0</v>
      </c>
      <c r="X187" s="1" t="str">
        <f ca="1">IF(ISERROR(F179),"",IF(W187=0,"",_xlfn.TEXTJOIN("",FALSE," G+",W187," in ",A187)))</f>
        <v/>
      </c>
    </row>
    <row r="188" spans="1:24" ht="13" customHeight="1" x14ac:dyDescent="0.2">
      <c r="A188" s="7" t="str">
        <f ca="1">IF(ISERROR(F179),"",VLOOKUP(C179,INDIRECT($F$8),6+(O188-1)*3,0))</f>
        <v>CAT 013</v>
      </c>
      <c r="B188" s="41" t="str">
        <f ca="1">IF(ISERROR(F179),"",VLOOKUP(D179,INDIRECT($F$8),6+(O188-1)*3,0))</f>
        <v>Artificial Intelligence</v>
      </c>
      <c r="C188" s="41"/>
      <c r="D188" s="41"/>
      <c r="E188" s="41"/>
      <c r="F188" s="7">
        <f ca="1">IF(ISERROR(F179),"",VLOOKUP(E179,INDIRECT($F$8),6+(O188-1)*3,0))</f>
        <v>4</v>
      </c>
      <c r="G188" s="42" t="e">
        <f ca="1">IF(ISERROR(F179),"",_xlfn.TEXTJOIN("/",FALSE,P188,S188))</f>
        <v>#N/A</v>
      </c>
      <c r="H188" s="42"/>
      <c r="I188" s="42" t="str">
        <f ca="1">IF(ISERROR(F179),"",_xlfn.TEXTJOIN("/",FALSE,Q188,T188))</f>
        <v>41/50</v>
      </c>
      <c r="J188" s="42"/>
      <c r="K188" s="42" t="e">
        <f ca="1">IF(ISERROR(F179),"",_xlfn.TEXTJOIN("/",FALSE,R188,U188))</f>
        <v>#N/A</v>
      </c>
      <c r="L188" s="42"/>
      <c r="M188" s="7" t="e">
        <f ca="1">IF(ISERROR(F179),"",IF(ISTEXT(P188),IF(P188="A","Ab",IF(P188="D","Dt",IF(P188="UFM","UFM",IF(P188="NA","")))),IF(AND(ISBLANK(P188),ISBLANK(R188)),"",IF(P188&lt;0.3*S188,"F",IF(ISBLANK(R188),"",IF(ISTEXT(R188),R188,IF(R188&gt;=0.9*U188,"O",IF(R188&gt;=0.85*U188,"A+",IF(R188&gt;=0.8*U188,"A",IF(R188&gt;=0.7*U188,"B+",IF(R188&gt;=0.6*U188,"B",IF(R188&gt;=0.5*U188,"C",IF(R188&gt;=0.4*U188,"P",IF(R188&lt;0.4*U188,"F",R188))))))))))))))</f>
        <v>#N/A</v>
      </c>
      <c r="N188" s="8" t="e">
        <f t="shared" ca="1" si="18"/>
        <v>#N/A</v>
      </c>
      <c r="O188">
        <f t="shared" si="19"/>
        <v>5</v>
      </c>
      <c r="P188" s="1" t="e">
        <f ca="1">IF(ISERROR(F179),"",IF(ISTEXT(VLOOKUP(B179,INDIRECT($F$8),6+(O188-1)*3)),(VLOOKUP(B179,INDIRECT($F$8),6+(O188-1)*3)),SUM(VLOOKUP(B179,INDIRECT($F$8),6+(O188-1)*3),IF(W194,W188,0))))</f>
        <v>#N/A</v>
      </c>
      <c r="Q188" s="1">
        <f ca="1">IF(ISERROR(F179),"",VLOOKUP(B179,INDIRECT($F$8),7+(O188-1)*3))</f>
        <v>41</v>
      </c>
      <c r="R188" s="1" t="e">
        <f ca="1">IF(ISERROR(F179),"",SUM(P188:Q188))</f>
        <v>#N/A</v>
      </c>
      <c r="S188" s="1">
        <f ca="1">IF(ISERROR(F179),"",VLOOKUP(A179,INDIRECT($F$8),6+(O188-1)*3))</f>
        <v>100</v>
      </c>
      <c r="T188" s="1">
        <f ca="1">IF(ISERROR(F179),"",VLOOKUP(A179,INDIRECT($F$8),7+(O188-1)*3))</f>
        <v>50</v>
      </c>
      <c r="U188" s="1">
        <f ca="1">IF(ISERROR(F179),"",VLOOKUP(A179,INDIRECT($F$8),8+(O188-1)*3))</f>
        <v>150</v>
      </c>
      <c r="V188" s="1" t="e">
        <f ca="1">IF(ISERROR(F179),"",IF(N188=0,A188,""))</f>
        <v>#N/A</v>
      </c>
      <c r="W188" s="1">
        <f ca="1">IF(ISERROR(F179),"",IF(ISTEXT(VLOOKUP(B179,INDIRECT($F$8),6+(O188-1)*3)),11,IF(VLOOKUP(B179,INDIRECT($F$8),6+(O188-1)*3)&lt;S188*0.3,IF(VLOOKUP(B179,INDIRECT($F$8),8+(O188-1)*3)&lt;U188*0.4,IF(AND(0.4*U188-VLOOKUP(B179,INDIRECT($F$8),8+(O188-1)*3)&lt;=5,0.3*S188-VLOOKUP(B179,INDIRECT($F$8),6+(O188-1)*3)&lt;=5),MAX(0.4*U188-VLOOKUP(B179,INDIRECT($F$8),8+(O188-1)*3),0.3*S188-VLOOKUP(B179,INDIRECT($F$8),6+(O188-1)*3)),11),IF(0.3*S188-VLOOKUP(B179,INDIRECT($F$8),6+(O188-1)*3)&lt;=5,0.3*S188-VLOOKUP(B179,INDIRECT($F$8),6+(O188-1)*3),11)),IF(VLOOKUP(B179,INDIRECT($F$8),8+(O188-1)*3)&lt;U188*0.4,IF(U188*0.4-VLOOKUP(B179,INDIRECT($F$8),8+(O188-1)*3)&lt;=5,U188*0.4-VLOOKUP(B179,INDIRECT($F$8),8+(O188-1)*3),11),0))))</f>
        <v>0</v>
      </c>
      <c r="X188" s="1" t="str">
        <f ca="1">IF(ISERROR(F179),"",IF(W188=0,"",_xlfn.TEXTJOIN("",FALSE," G+",W188," in ",A188)))</f>
        <v/>
      </c>
    </row>
    <row r="189" spans="1:24" ht="13" customHeight="1" x14ac:dyDescent="0.2">
      <c r="A189" s="7" t="str">
        <f ca="1">IF(ISERROR(F179),"",VLOOKUP(C179,INDIRECT($F$8),6+(O189-1)*3,0))</f>
        <v>AHT 304</v>
      </c>
      <c r="B189" s="41" t="str">
        <f ca="1">IF(ISERROR(F179),"",VLOOKUP(D179,INDIRECT($F$8),6+(O189-1)*3,0))</f>
        <v>Accounting and Financial Management ($)</v>
      </c>
      <c r="C189" s="41"/>
      <c r="D189" s="41"/>
      <c r="E189" s="41"/>
      <c r="F189" s="7">
        <f ca="1">IF(ISERROR(F179),"",VLOOKUP(E179,INDIRECT($F$8),6+(O189-1)*3,0))</f>
        <v>0</v>
      </c>
      <c r="G189" s="42" t="e">
        <f ca="1">IF(ISERROR(F179),"",_xlfn.TEXTJOIN("/",FALSE,P189,S189))</f>
        <v>#N/A</v>
      </c>
      <c r="H189" s="42"/>
      <c r="I189" s="42" t="str">
        <f ca="1">IF(ISERROR(F179),"",_xlfn.TEXTJOIN("/",FALSE,Q189,T189))</f>
        <v>24/50</v>
      </c>
      <c r="J189" s="42"/>
      <c r="K189" s="42" t="e">
        <f ca="1">IF(ISERROR(F179),"",_xlfn.TEXTJOIN("/",FALSE,R189,U189))</f>
        <v>#N/A</v>
      </c>
      <c r="L189" s="42"/>
      <c r="M189" s="7" t="e">
        <f ca="1">IF(ISERROR(F179),"",IF(ISTEXT(P189),IF(P189="A","Ab",IF(P189="D","Dt",IF(P189="UFM","UFM",IF(P189="NA","")))),IF(AND(ISBLANK(P189),ISBLANK(R189)),"",IF(P189&lt;0.3*S189,"F",IF(ISBLANK(R189),"",IF(ISTEXT(R189),R189,IF(R189&gt;=0.9*U189,"O",IF(R189&gt;=0.85*U189,"A+",IF(R189&gt;=0.8*U189,"A",IF(R189&gt;=0.7*U189,"B+",IF(R189&gt;=0.6*U189,"B",IF(R189&gt;=0.5*U189,"C",IF(R189&gt;=0.4*U189,"P",IF(R189&lt;0.4*U189,"F",R189))))))))))))))</f>
        <v>#N/A</v>
      </c>
      <c r="N189" s="8" t="e">
        <f t="shared" ca="1" si="18"/>
        <v>#N/A</v>
      </c>
      <c r="O189">
        <f t="shared" si="19"/>
        <v>6</v>
      </c>
      <c r="P189" s="1" t="e">
        <f ca="1">IF(ISERROR(F179),"",IF(ISTEXT(VLOOKUP(B179,INDIRECT($F$8),6+(O189-1)*3)),(VLOOKUP(B179,INDIRECT($F$8),6+(O189-1)*3)),SUM(VLOOKUP(B179,INDIRECT($F$8),6+(O189-1)*3),IF(W194,W189,0))))</f>
        <v>#N/A</v>
      </c>
      <c r="Q189" s="1">
        <f ca="1">IF(ISERROR(F179),"",VLOOKUP(B179,INDIRECT($F$8),7+(O189-1)*3))</f>
        <v>24</v>
      </c>
      <c r="R189" s="1" t="e">
        <f ca="1">IF(ISERROR(F179),"",SUM(P189:Q189))</f>
        <v>#N/A</v>
      </c>
      <c r="S189" s="1">
        <f ca="1">IF(ISERROR(F179),"",VLOOKUP(A179,INDIRECT($F$8),6+(O189-1)*3))</f>
        <v>0</v>
      </c>
      <c r="T189" s="1">
        <f ca="1">IF(ISERROR(F179),"",VLOOKUP(A179,INDIRECT($F$8),7+(O189-1)*3))</f>
        <v>50</v>
      </c>
      <c r="U189" s="1">
        <f ca="1">IF(ISERROR(F179),"",VLOOKUP(A179,INDIRECT($F$8),8+(O189-1)*3))</f>
        <v>50</v>
      </c>
      <c r="V189" s="1" t="e">
        <f ca="1">IF(ISERROR(F179),"",IF(N189=0,A189,""))</f>
        <v>#N/A</v>
      </c>
      <c r="W189" s="1">
        <f ca="1">IF(ISERROR(F179),"",IF(ISTEXT(VLOOKUP(B179,INDIRECT($F$8),6+(O189-1)*3)),11,IF(VLOOKUP(B179,INDIRECT($F$8),6+(O189-1)*3)&lt;S189*0.3,IF(VLOOKUP(B179,INDIRECT($F$8),8+(O189-1)*3)&lt;U189*0.4,IF(AND(0.4*U189-VLOOKUP(B179,INDIRECT($F$8),8+(O189-1)*3)&lt;=5,0.3*S189-VLOOKUP(B179,INDIRECT($F$8),6+(O189-1)*3)&lt;=5),MAX(0.4*U189-VLOOKUP(B179,INDIRECT($F$8),8+(O189-1)*3),0.3*S189-VLOOKUP(B179,INDIRECT($F$8),6+(O189-1)*3)),11),IF(0.3*S189-VLOOKUP(B179,INDIRECT($F$8),6+(O189-1)*3)&lt;=5,0.3*S189-VLOOKUP(B179,INDIRECT($F$8),6+(O189-1)*3),11)),IF(VLOOKUP(B179,INDIRECT($F$8),8+(O189-1)*3)&lt;U189*0.4,IF(U189*0.4-VLOOKUP(B179,INDIRECT($F$8),8+(O189-1)*3)&lt;=5,U189*0.4-VLOOKUP(B179,INDIRECT($F$8),8+(O189-1)*3),11),0))))</f>
        <v>0</v>
      </c>
      <c r="X189" s="1" t="str">
        <f ca="1">IF(ISERROR(F179),"",IF(W189=0,"",_xlfn.TEXTJOIN("",FALSE," G+",W189," in ",A189)))</f>
        <v/>
      </c>
    </row>
    <row r="190" spans="1:24" ht="13" customHeight="1" x14ac:dyDescent="0.2">
      <c r="A190" s="7" t="str">
        <f ca="1">IF(ISERROR(F179),"",VLOOKUP(C179,INDIRECT($F$8),6+(O190-1)*3,0))</f>
        <v>CAP 004</v>
      </c>
      <c r="B190" s="41" t="str">
        <f ca="1">IF(ISERROR(F179),"",VLOOKUP(D179,INDIRECT($F$8),6+(O190-1)*3,0))</f>
        <v>Data Structures and Analysis of Algorithms Lab</v>
      </c>
      <c r="C190" s="41"/>
      <c r="D190" s="41"/>
      <c r="E190" s="41"/>
      <c r="F190" s="7">
        <f ca="1">IF(ISERROR(F179),"",VLOOKUP(E179,INDIRECT($F$8),6+(O190-1)*3,0))</f>
        <v>1</v>
      </c>
      <c r="G190" s="42" t="e">
        <f ca="1">IF(ISERROR(F179),"",_xlfn.TEXTJOIN("/",FALSE,P190,S190))</f>
        <v>#N/A</v>
      </c>
      <c r="H190" s="42"/>
      <c r="I190" s="42" t="str">
        <f ca="1">IF(ISERROR(F179),"",_xlfn.TEXTJOIN("/",FALSE,Q190,T190))</f>
        <v>18/20</v>
      </c>
      <c r="J190" s="42"/>
      <c r="K190" s="42" t="e">
        <f ca="1">IF(ISERROR(F179),"",_xlfn.TEXTJOIN("/",FALSE,R190,U190))</f>
        <v>#N/A</v>
      </c>
      <c r="L190" s="42"/>
      <c r="M190" s="7" t="e">
        <f ca="1">IF(ISERROR(F179),"",IF(ISTEXT(P190),IF(P190="A","Ab",IF(P190="D","Dt",IF(P190="UFM","UFM",IF(P190="NA","")))),IF(AND(ISBLANK(P190),ISBLANK(R190)),"",IF(P190&lt;0.3*S190,"F",IF(ISBLANK(R190),"",IF(ISTEXT(R190),R190,IF(R190&gt;=0.9*U190,"O",IF(R190&gt;=0.85*U190,"A+",IF(R190&gt;=0.8*U190,"A",IF(R190&gt;=0.7*U190,"B+",IF(R190&gt;=0.6*U190,"B",IF(R190&gt;=0.5*U190,"C",IF(R190&gt;=0.4*U190,"P",IF(R190&lt;0.4*U190,"F",R190))))))))))))))</f>
        <v>#N/A</v>
      </c>
      <c r="N190" s="8" t="e">
        <f t="shared" ca="1" si="18"/>
        <v>#N/A</v>
      </c>
      <c r="O190">
        <f t="shared" si="19"/>
        <v>7</v>
      </c>
      <c r="P190" s="1" t="e">
        <f ca="1">IF(ISERROR(F179),"",IF(ISTEXT(VLOOKUP(B179,INDIRECT($F$8),6+(O190-1)*3)),(VLOOKUP(B179,INDIRECT($F$8),6+(O190-1)*3)),SUM(VLOOKUP(B179,INDIRECT($F$8),6+(O190-1)*3),IF(W194,W190,0))))</f>
        <v>#N/A</v>
      </c>
      <c r="Q190" s="1">
        <f ca="1">IF(ISERROR(F179),"",VLOOKUP(B179,INDIRECT($F$8),7+(O190-1)*3))</f>
        <v>18</v>
      </c>
      <c r="R190" s="1" t="e">
        <f ca="1">IF(ISERROR(F179),"",SUM(P190:Q190))</f>
        <v>#N/A</v>
      </c>
      <c r="S190" s="1">
        <f ca="1">IF(ISERROR(F179),"",VLOOKUP(A179,INDIRECT($F$8),6+(O190-1)*3))</f>
        <v>30</v>
      </c>
      <c r="T190" s="1">
        <f ca="1">IF(ISERROR(F179),"",VLOOKUP(A179,INDIRECT($F$8),7+(O190-1)*3))</f>
        <v>20</v>
      </c>
      <c r="U190" s="1">
        <f ca="1">IF(ISERROR(F179),"",VLOOKUP(A179,INDIRECT($F$8),8+(O190-1)*3))</f>
        <v>50</v>
      </c>
      <c r="V190" s="1" t="e">
        <f ca="1">IF(ISERROR(F179),"",IF(N190=0,A190,""))</f>
        <v>#N/A</v>
      </c>
      <c r="W190" s="1">
        <f ca="1">IF(ISERROR(F179),"",IF(ISTEXT(VLOOKUP(B179,INDIRECT($F$8),6+(O190-1)*3)),11,IF(VLOOKUP(B179,INDIRECT($F$8),6+(O190-1)*3)&lt;S190*0.3,IF(VLOOKUP(B179,INDIRECT($F$8),8+(O190-1)*3)&lt;U190*0.4,IF(AND(0.4*U190-VLOOKUP(B179,INDIRECT($F$8),8+(O190-1)*3)&lt;=5,0.3*S190-VLOOKUP(B179,INDIRECT($F$8),6+(O190-1)*3)&lt;=5),MAX(0.4*U190-VLOOKUP(B179,INDIRECT($F$8),8+(O190-1)*3),0.3*S190-VLOOKUP(B179,INDIRECT($F$8),6+(O190-1)*3)),11),IF(0.3*S190-VLOOKUP(B179,INDIRECT($F$8),6+(O190-1)*3)&lt;=5,0.3*S190-VLOOKUP(B179,INDIRECT($F$8),6+(O190-1)*3),11)),IF(VLOOKUP(B179,INDIRECT($F$8),8+(O190-1)*3)&lt;U190*0.4,IF(U190*0.4-VLOOKUP(B179,INDIRECT($F$8),8+(O190-1)*3)&lt;=5,U190*0.4-VLOOKUP(B179,INDIRECT($F$8),8+(O190-1)*3),11),0))))</f>
        <v>0</v>
      </c>
      <c r="X190" s="1" t="str">
        <f ca="1">IF(ISERROR(F179),"",IF(W190=0,"",_xlfn.TEXTJOIN("",FALSE," G+",W190," in ",A190)))</f>
        <v/>
      </c>
    </row>
    <row r="191" spans="1:24" ht="13" customHeight="1" x14ac:dyDescent="0.2">
      <c r="A191" s="7" t="str">
        <f ca="1">IF(ISERROR(F179),"",VLOOKUP(C179,INDIRECT($F$8),6+(O191-1)*3,0))</f>
        <v>CAP 005</v>
      </c>
      <c r="B191" s="41" t="str">
        <f ca="1">IF(ISERROR(F179),"",VLOOKUP(D179,INDIRECT($F$8),6+(O191-1)*3-Z191,0))</f>
        <v>Object Oriented Programming with JAVA Lab</v>
      </c>
      <c r="C191" s="41"/>
      <c r="D191" s="41"/>
      <c r="E191" s="41"/>
      <c r="F191" s="7">
        <f ca="1">IF(ISERROR(F179),"",VLOOKUP(E179,INDIRECT($F$8),6+(O191-1)*3,0))</f>
        <v>1</v>
      </c>
      <c r="G191" s="42" t="e">
        <f ca="1">IF(ISERROR(F179),"",_xlfn.TEXTJOIN("/",FALSE,P191,S191))</f>
        <v>#N/A</v>
      </c>
      <c r="H191" s="42"/>
      <c r="I191" s="42" t="str">
        <f ca="1">IF(ISERROR(F179),"",_xlfn.TEXTJOIN("/",FALSE,Q191,T191))</f>
        <v>14/20</v>
      </c>
      <c r="J191" s="42"/>
      <c r="K191" s="42" t="e">
        <f ca="1">IF(ISERROR(F179),"",_xlfn.TEXTJOIN("/",FALSE,R191,U191))</f>
        <v>#N/A</v>
      </c>
      <c r="L191" s="42"/>
      <c r="M191" s="7" t="e">
        <f ca="1">IF(ISERROR(F179),"",IF(ISTEXT(P191),IF(P191="A","Ab",IF(P191="D","Dt",IF(P191="UFM","UFM",IF(P191="NA","")))),IF(AND(ISBLANK(P191),ISBLANK(R191)),"",IF(P191&lt;0.3*S191,"F",IF(ISBLANK(R191),"",IF(ISTEXT(R191),R191,IF(R191&gt;=0.9*U191,"O",IF(R191&gt;=0.85*U191,"A+",IF(R191&gt;=0.8*U191,"A",IF(R191&gt;=0.7*U191,"B+",IF(R191&gt;=0.6*U191,"B",IF(R191&gt;=0.5*U191,"C",IF(R191&gt;=0.4*U191,"P",IF(R191&lt;0.4*U191,"F",R191))))))))))))))</f>
        <v>#N/A</v>
      </c>
      <c r="N191" s="8" t="e">
        <f t="shared" ca="1" si="18"/>
        <v>#N/A</v>
      </c>
      <c r="O191">
        <f t="shared" si="19"/>
        <v>8</v>
      </c>
      <c r="P191" s="1" t="e">
        <f ca="1">IF(ISERROR(F179),"",IF(ISTEXT(VLOOKUP(B179,INDIRECT($F$8),6+(O191-1)*3)),(VLOOKUP(B179,INDIRECT($F$8),6+(O191-1)*3)),SUM(VLOOKUP(B179,INDIRECT($F$8),6+(O191-1)*3),IF(W194,W191,0))))</f>
        <v>#N/A</v>
      </c>
      <c r="Q191" s="1">
        <f ca="1">IF(ISERROR(F179),"",VLOOKUP(B179,INDIRECT($F$8),7+(O191-1)*3))</f>
        <v>14</v>
      </c>
      <c r="R191" s="1" t="e">
        <f ca="1">IF(ISERROR(F179),"",SUM(P191:Q191))</f>
        <v>#N/A</v>
      </c>
      <c r="S191" s="1">
        <f ca="1">IF(ISERROR(F179),"",VLOOKUP(A179,INDIRECT($F$8),6+(O191-1)*3))</f>
        <v>30</v>
      </c>
      <c r="T191" s="1">
        <f ca="1">IF(ISERROR(F179),"",VLOOKUP(A179,INDIRECT($F$8),7+(O191-1)*3))</f>
        <v>20</v>
      </c>
      <c r="U191" s="1">
        <f ca="1">IF(ISERROR(F179),"",VLOOKUP(A179,INDIRECT($F$8),8+(O191-1)*3))</f>
        <v>50</v>
      </c>
      <c r="V191" s="1" t="e">
        <f ca="1">IF(ISERROR(F179),"",IF(N191=0,A191,""))</f>
        <v>#N/A</v>
      </c>
      <c r="W191" s="1">
        <f ca="1">IF(ISERROR(F179),"",IF(ISTEXT(VLOOKUP(B179,INDIRECT($F$8),6+(O191-1)*3)),11,IF(VLOOKUP(B179,INDIRECT($F$8),6+(O191-1)*3)&lt;S191*0.3,IF(VLOOKUP(B179,INDIRECT($F$8),8+(O191-1)*3)&lt;U191*0.4,IF(AND(0.4*U191-VLOOKUP(B179,INDIRECT($F$8),8+(O191-1)*3)&lt;=5,0.3*S191-VLOOKUP(B179,INDIRECT($F$8),6+(O191-1)*3)&lt;=5),MAX(0.4*U191-VLOOKUP(B179,INDIRECT($F$8),8+(O191-1)*3),0.3*S191-VLOOKUP(B179,INDIRECT($F$8),6+(O191-1)*3)),11),IF(0.3*S191-VLOOKUP(B179,INDIRECT($F$8),6+(O191-1)*3)&lt;=5,0.3*S191-VLOOKUP(B179,INDIRECT($F$8),6+(O191-1)*3),11)),IF(VLOOKUP(B179,INDIRECT($F$8),8+(O191-1)*3)&lt;U191*0.4,IF(U191*0.4-VLOOKUP(B179,INDIRECT($F$8),8+(O191-1)*3)&lt;=5,U191*0.4-VLOOKUP(B179,INDIRECT($F$8),8+(O191-1)*3),11),0))))</f>
        <v>0</v>
      </c>
      <c r="X191" s="1" t="str">
        <f ca="1">IF(ISERROR(F179),"",IF(W191=0,"",_xlfn.TEXTJOIN("",FALSE," G+",W191," in ",A191)))</f>
        <v/>
      </c>
    </row>
    <row r="192" spans="1:24" ht="13" customHeight="1" x14ac:dyDescent="0.2">
      <c r="A192" s="7" t="str">
        <f ca="1">IF(ISERROR(F179),"",VLOOKUP(C179,INDIRECT($F$8),6+(O192-1)*3,0))</f>
        <v>CAP 006</v>
      </c>
      <c r="B192" s="41" t="str">
        <f ca="1">IF(ISERROR(F179),"",VLOOKUP(D179,INDIRECT($F$8),6+(O192-1)*3-Z192,0))</f>
        <v>Computer Networks Lab</v>
      </c>
      <c r="C192" s="41"/>
      <c r="D192" s="41"/>
      <c r="E192" s="41"/>
      <c r="F192" s="7">
        <f ca="1">IF(ISERROR(F179),"",VLOOKUP(E179,INDIRECT($F$8),6+(O192-1)*3,0))</f>
        <v>1</v>
      </c>
      <c r="G192" s="42" t="e">
        <f ca="1">IF(ISERROR(F179),"",_xlfn.TEXTJOIN("/",FALSE,P192,S192))</f>
        <v>#N/A</v>
      </c>
      <c r="H192" s="42"/>
      <c r="I192" s="42" t="str">
        <f ca="1">IF(ISERROR(F179),"",_xlfn.TEXTJOIN("/",FALSE,Q192,T192))</f>
        <v>17/20</v>
      </c>
      <c r="J192" s="42"/>
      <c r="K192" s="42" t="e">
        <f ca="1">IF(ISERROR(F179),"",_xlfn.TEXTJOIN("/",FALSE,R192,U192))</f>
        <v>#N/A</v>
      </c>
      <c r="L192" s="42"/>
      <c r="M192" s="7" t="e">
        <f ca="1">IF(ISERROR(F179),"",IF(ISTEXT(P192),IF(P192="A","Ab",IF(P192="D","Dt",IF(P192="UFM","UFM",IF(P192="NA","")))),IF(AND(ISBLANK(P192),ISBLANK(R192)),"",IF(P192&lt;0.3*S192,"F",IF(ISBLANK(R192),"",IF(ISTEXT(R192),R192,IF(R192&gt;=0.9*U192,"O",IF(R192&gt;=0.85*U192,"A+",IF(R192&gt;=0.8*U192,"A",IF(R192&gt;=0.7*U192,"B+",IF(R192&gt;=0.6*U192,"B",IF(R192&gt;=0.5*U192,"C",IF(R192&gt;=0.4*U192,"P",IF(R192&lt;0.4*U192,"F",R192))))))))))))))</f>
        <v>#N/A</v>
      </c>
      <c r="N192" s="8" t="e">
        <f t="shared" ca="1" si="18"/>
        <v>#N/A</v>
      </c>
      <c r="O192">
        <f t="shared" si="19"/>
        <v>9</v>
      </c>
      <c r="P192" s="1" t="e">
        <f ca="1">IF(ISERROR(F179),"",IF(ISTEXT(VLOOKUP(B179,INDIRECT($F$8),6+(O192-1)*3)),(VLOOKUP(B179,INDIRECT($F$8),6+(O192-1)*3)),SUM(VLOOKUP(B179,INDIRECT($F$8),6+(O192-1)*3),IF(W194,W192,0))))</f>
        <v>#N/A</v>
      </c>
      <c r="Q192" s="1">
        <f ca="1">IF(ISERROR(F179),"",VLOOKUP(B179,INDIRECT($F$8),7+(O192-1)*3))</f>
        <v>17</v>
      </c>
      <c r="R192" s="1" t="e">
        <f ca="1">IF(ISERROR(F179),"",SUM(P192:Q192))</f>
        <v>#N/A</v>
      </c>
      <c r="S192" s="1">
        <f ca="1">IF(ISERROR(F179),"",VLOOKUP(A179,INDIRECT($F$8),6+(O192-1)*3))</f>
        <v>30</v>
      </c>
      <c r="T192" s="1">
        <f ca="1">IF(ISERROR(F179),"",VLOOKUP(A179,INDIRECT($F$8),7+(O192-1)*3))</f>
        <v>20</v>
      </c>
      <c r="U192" s="1">
        <f ca="1">IF(ISERROR(F179),"",VLOOKUP(A179,INDIRECT($F$8),8+(O192-1)*3))</f>
        <v>50</v>
      </c>
      <c r="V192" s="1" t="e">
        <f ca="1">IF(ISERROR(F179),"",IF(N192=0,A192,""))</f>
        <v>#N/A</v>
      </c>
      <c r="W192" s="1">
        <f ca="1">IF(ISERROR(F179),"",IF(ISTEXT(VLOOKUP(B179,INDIRECT($F$8),6+(O192-1)*3)),11,IF(VLOOKUP(B179,INDIRECT($F$8),6+(O192-1)*3)&lt;S192*0.3,IF(VLOOKUP(B179,INDIRECT($F$8),8+(O192-1)*3)&lt;U192*0.4,IF(AND(0.4*U192-VLOOKUP(B179,INDIRECT($F$8),8+(O192-1)*3)&lt;=5,0.3*S192-VLOOKUP(B179,INDIRECT($F$8),6+(O192-1)*3)&lt;=5),MAX(0.4*U192-VLOOKUP(B179,INDIRECT($F$8),8+(O192-1)*3),0.3*S192-VLOOKUP(B179,INDIRECT($F$8),6+(O192-1)*3)),11),IF(0.3*S192-VLOOKUP(B179,INDIRECT($F$8),6+(O192-1)*3)&lt;=5,0.3*S192-VLOOKUP(B179,INDIRECT($F$8),6+(O192-1)*3),11)),IF(VLOOKUP(B179,INDIRECT($F$8),8+(O192-1)*3)&lt;U192*0.4,IF(U192*0.4-VLOOKUP(B179,INDIRECT($F$8),8+(O192-1)*3)&lt;=5,U192*0.4-VLOOKUP(B179,INDIRECT($F$8),8+(O192-1)*3),11),0))))</f>
        <v>0</v>
      </c>
      <c r="X192" s="1" t="str">
        <f ca="1">IF(ISERROR(F179),"",IF(W192=0,"",_xlfn.TEXTJOIN("",FALSE," G+",W192," in ",A192)))</f>
        <v/>
      </c>
    </row>
    <row r="193" spans="1:24" ht="13" customHeight="1" x14ac:dyDescent="0.2">
      <c r="A193" s="7" t="str">
        <f ca="1">IF(ISERROR(F179),"",VLOOKUP(C179,INDIRECT($F$8),6+(O193-1)*3,0))</f>
        <v>CAP 007</v>
      </c>
      <c r="B193" s="41" t="str">
        <f ca="1">IF(ISERROR(F179),"",VLOOKUP(D179,INDIRECT($F$8),6+(O193-1)*3,0))</f>
        <v>Artificial Intelligence Lab</v>
      </c>
      <c r="C193" s="41"/>
      <c r="D193" s="41"/>
      <c r="E193" s="41"/>
      <c r="F193" s="7">
        <f ca="1">IF(ISERROR(F179),"",VLOOKUP(E179,INDIRECT($F$8),6+(O193-1)*3,0))</f>
        <v>1</v>
      </c>
      <c r="G193" s="42" t="e">
        <f ca="1">IF(ISERROR(F179),"",_xlfn.TEXTJOIN("/",FALSE,P193,S193))</f>
        <v>#N/A</v>
      </c>
      <c r="H193" s="42"/>
      <c r="I193" s="42" t="str">
        <f ca="1">IF(ISERROR(F179),"",_xlfn.TEXTJOIN("/",FALSE,Q193,T193))</f>
        <v>17/20</v>
      </c>
      <c r="J193" s="42"/>
      <c r="K193" s="42" t="e">
        <f ca="1">IF(ISERROR(F179),"",_xlfn.TEXTJOIN("/",FALSE,R193,U193))</f>
        <v>#N/A</v>
      </c>
      <c r="L193" s="42"/>
      <c r="M193" s="7" t="e">
        <f ca="1">IF(ISERROR(F179),"",IF(ISTEXT(P193),IF(P193="A","Ab",IF(P193="D","Dt",IF(P193="UFM","UFM",IF(P193="NA","")))),IF(AND(ISBLANK(P193),ISBLANK(R193)),"",IF(P193&lt;0.3*S193,"F",IF(ISBLANK(R193),"",IF(ISTEXT(R193),R193,IF(R193&gt;=0.9*U193,"O",IF(R193&gt;=0.85*U193,"A+",IF(R193&gt;=0.8*U193,"A",IF(R193&gt;=0.7*U193,"B+",IF(R193&gt;=0.6*U193,"B",IF(R193&gt;=0.5*U193,"C",IF(R193&gt;=0.4*U193,"P",IF(R193&lt;0.4*U193,"F",R193))))))))))))))</f>
        <v>#N/A</v>
      </c>
      <c r="N193" s="8" t="e">
        <f t="shared" ca="1" si="18"/>
        <v>#N/A</v>
      </c>
      <c r="O193">
        <f t="shared" si="19"/>
        <v>10</v>
      </c>
      <c r="P193" s="1" t="e">
        <f ca="1">IF(ISERROR(F179),"",IF(ISTEXT(VLOOKUP(B179,INDIRECT($F$8),6+(O193-1)*3)),(VLOOKUP(B179,INDIRECT($F$8),6+(O193-1)*3)),SUM(VLOOKUP(B179,INDIRECT($F$8),6+(O193-1)*3),IF(W194,W193,0))))</f>
        <v>#N/A</v>
      </c>
      <c r="Q193" s="1">
        <f ca="1">IF(ISERROR(F179),"",VLOOKUP(B179,INDIRECT($F$8),7+(O193-1)*3))</f>
        <v>17</v>
      </c>
      <c r="R193" s="1" t="e">
        <f ca="1">IF(ISERROR(F179),"",SUM(P193:Q193))</f>
        <v>#N/A</v>
      </c>
      <c r="S193" s="1">
        <f ca="1">IF(ISERROR(F179),"",VLOOKUP(A179,INDIRECT($F$8),6+(O193-1)*3))</f>
        <v>30</v>
      </c>
      <c r="T193" s="1">
        <f ca="1">IF(ISERROR(F179),"",VLOOKUP(A179,INDIRECT($F$8),7+(O193-1)*3))</f>
        <v>20</v>
      </c>
      <c r="U193" s="1">
        <f ca="1">IF(ISERROR(F179),"",VLOOKUP(A179,INDIRECT($F$8),8+(O193-1)*3))</f>
        <v>50</v>
      </c>
      <c r="V193" s="1" t="e">
        <f ca="1">IF(ISERROR(F179),"",IF(N193=0,A193,""))</f>
        <v>#N/A</v>
      </c>
      <c r="W193" s="1">
        <f ca="1">IF(ISERROR(F179),"",IF(ISTEXT(VLOOKUP(B179,INDIRECT($F$8),6+(O193-1)*3)),11,IF(VLOOKUP(B179,INDIRECT($F$8),6+(O193-1)*3)&lt;S193*0.3,IF(VLOOKUP(B179,INDIRECT($F$8),8+(O193-1)*3)&lt;U193*0.4,IF(AND(0.4*U193-VLOOKUP(B179,INDIRECT($F$8),8+(O193-1)*3)&lt;=5,0.3*S193-VLOOKUP(B179,INDIRECT($F$8),6+(O193-1)*3)&lt;=5),MAX(0.4*U193-VLOOKUP(B179,INDIRECT($F$8),8+(O193-1)*3),0.3*S193-VLOOKUP(B179,INDIRECT($F$8),6+(O193-1)*3)),11),IF(0.3*S193-VLOOKUP(B179,INDIRECT($F$8),6+(O193-1)*3)&lt;=5,0.3*S193-VLOOKUP(B179,INDIRECT($F$8),6+(O193-1)*3),11)),IF(VLOOKUP(B179,INDIRECT($F$8),8+(O193-1)*3)&lt;U193*0.4,IF(U193*0.4-VLOOKUP(B179,INDIRECT($F$8),8+(O193-1)*3)&lt;=5,U193*0.4-VLOOKUP(B179,INDIRECT($F$8),8+(O193-1)*3),11),0))))</f>
        <v>0</v>
      </c>
      <c r="X193" s="1" t="str">
        <f ca="1">IF(ISERROR(F179),"",IF(W193=0,"",_xlfn.TEXTJOIN("",FALSE," G+",W193," in ",A193)))</f>
        <v/>
      </c>
    </row>
    <row r="194" spans="1:24" ht="13" customHeight="1" x14ac:dyDescent="0.2">
      <c r="A194" s="43" t="str">
        <f ca="1">IF(ISERROR(F179),"",A175)</f>
        <v>Total Credits/ Marks/ Total Grade Points</v>
      </c>
      <c r="B194" s="43"/>
      <c r="C194" s="43"/>
      <c r="D194" s="43"/>
      <c r="E194" s="43"/>
      <c r="F194" s="10">
        <f ca="1">IF(ISERROR(F179),"",SUM(F184:F193))</f>
        <v>24</v>
      </c>
      <c r="G194" s="44" t="e">
        <f ca="1">IF(ISERROR(F179),"",_xlfn.TEXTJOIN("/",TRUE,SUMIF(F184:F193,"&gt;0",P184:P193),SUMIF(F184:F193,"&gt;0",S184:S193)))</f>
        <v>#N/A</v>
      </c>
      <c r="H194" s="44"/>
      <c r="I194" s="44" t="str">
        <f ca="1">IF(ISERROR(F179),"",_xlfn.TEXTJOIN("/",TRUE,SUMIF(F184:F193,"&gt;0",Q184:Q193),SUMIF(F184:F193,"&gt;0",T184:T193)))</f>
        <v>259/330</v>
      </c>
      <c r="J194" s="44"/>
      <c r="K194" s="44" t="e">
        <f ca="1">IF(ISERROR(F179),"",_xlfn.TEXTJOIN("/",TRUE,SUMIF(F184:F193,"&gt;0",R184:R193),SUMIF(F184:F193,"&gt;0",U184:U193)))</f>
        <v>#N/A</v>
      </c>
      <c r="L194" s="44"/>
      <c r="M194" s="43" t="e">
        <f ca="1">IF(ISERROR(F179),"",SUMPRODUCT(N184:N193,F184:F193))</f>
        <v>#N/A</v>
      </c>
      <c r="N194" s="43"/>
      <c r="V194" s="1" t="e">
        <f ca="1">IF(ISERROR(F179),"",_xlfn.TEXTJOIN(", ",TRUE,V184:V193))</f>
        <v>#N/A</v>
      </c>
      <c r="W194" t="e">
        <f ca="1">IF(ISERROR(F179),"",IF(SUM(W184:W193)&lt;=W183,TRUE,FALSE))</f>
        <v>#N/A</v>
      </c>
      <c r="X194" s="1" t="str">
        <f ca="1">IF(ISERROR(F179),"",_xlfn.TEXTJOIN(",",TRUE,X184:X193))</f>
        <v/>
      </c>
    </row>
    <row r="195" spans="1:24" ht="13" customHeight="1" x14ac:dyDescent="0.2">
      <c r="A195" s="43" t="str">
        <f ca="1">IF(ISERROR(F179),"",A176)</f>
        <v>Result:</v>
      </c>
      <c r="B195" s="45" t="e">
        <f ca="1">IF(ISERROR(F179),"",IF(V194="","PASS","CARRY OVER"))</f>
        <v>#N/A</v>
      </c>
      <c r="C195" s="45"/>
      <c r="D195" s="43" t="str">
        <f ca="1">IF(ISERROR(F179),"",D176)</f>
        <v>Remark:</v>
      </c>
      <c r="E195" s="45" t="e">
        <f ca="1">IF(ISERROR(F179),"",IF(V194="",IF(X194="","",X194),_xlfn.TEXTJOIN(" ",TRUE,"BACK IN",V194)))</f>
        <v>#N/A</v>
      </c>
      <c r="F195" s="45"/>
      <c r="G195" s="43" t="str">
        <f ca="1">IF(ISERROR(F179),"",G176)</f>
        <v>SGPA:</v>
      </c>
      <c r="H195" s="46" t="e">
        <f ca="1">IF(ISERROR(F179),"",M194/F194)</f>
        <v>#N/A</v>
      </c>
      <c r="I195" s="43" t="str">
        <f ca="1">IF(ISERROR(F179),"",I176)</f>
        <v>CGPA:</v>
      </c>
      <c r="J195" s="46" t="e">
        <f ca="1">IF(ISERROR(F179),"",VLOOKUP(B179,INDIRECT($F$8),12+(O193-1)*3,0))</f>
        <v>#N/A</v>
      </c>
      <c r="K195" s="45" t="str">
        <f ca="1">IF(ISERROR(F179),"",K176)</f>
        <v>Earned Credits:</v>
      </c>
      <c r="L195" s="43">
        <f ca="1">IF(ISERROR(F179),"",SUMIF(N184:N193,"&gt;0",F184:F193))</f>
        <v>0</v>
      </c>
      <c r="M195" s="45" t="str">
        <f ca="1">IF(ISERROR(F179),"",M176)</f>
        <v>Cuml. Earned Credits:</v>
      </c>
      <c r="N195" s="43" t="e">
        <f ca="1">IF(ISERROR(F179),"",VLOOKUP(B179,INDIRECT($F$8),10+(O193-1)*3,0))</f>
        <v>#N/A</v>
      </c>
    </row>
    <row r="196" spans="1:24" ht="13" customHeight="1" x14ac:dyDescent="0.2">
      <c r="A196" s="43"/>
      <c r="B196" s="45"/>
      <c r="C196" s="45"/>
      <c r="D196" s="43"/>
      <c r="E196" s="45"/>
      <c r="F196" s="45"/>
      <c r="G196" s="43"/>
      <c r="H196" s="46"/>
      <c r="I196" s="43"/>
      <c r="J196" s="46"/>
      <c r="K196" s="45"/>
      <c r="L196" s="43"/>
      <c r="M196" s="45"/>
      <c r="N196" s="43"/>
    </row>
    <row r="197" spans="1:24" ht="15" x14ac:dyDescent="0.2">
      <c r="A197" s="43"/>
      <c r="B197" s="45"/>
      <c r="C197" s="45"/>
      <c r="D197" s="43"/>
      <c r="E197" s="45"/>
      <c r="F197" s="45"/>
      <c r="G197" s="43"/>
      <c r="H197" s="46"/>
      <c r="I197" s="43"/>
      <c r="J197" s="46"/>
      <c r="K197" s="45"/>
      <c r="L197" s="43"/>
      <c r="M197" s="45"/>
      <c r="N197" s="43"/>
    </row>
    <row r="198" spans="1:24" ht="13" customHeight="1" x14ac:dyDescent="0.2">
      <c r="A198" s="11" t="str">
        <f>A179</f>
        <v>MM</v>
      </c>
      <c r="B198" s="11">
        <f>B179+1</f>
        <v>11</v>
      </c>
      <c r="C198" s="11" t="str">
        <f>C179</f>
        <v>SC</v>
      </c>
      <c r="D198" s="11" t="str">
        <f>D179</f>
        <v>SN</v>
      </c>
      <c r="E198" s="11" t="str">
        <f>E179</f>
        <v>C</v>
      </c>
      <c r="F198" s="11" t="str">
        <f ca="1">VLOOKUP(B198,INDIRECT($F$8),4,0)</f>
        <v>DIKSHA PHARTYAL</v>
      </c>
    </row>
    <row r="199" spans="1:24" ht="13" customHeight="1" x14ac:dyDescent="0.2">
      <c r="A199" s="47" t="str">
        <f ca="1">IF(ISERROR(F198),"",A180)</f>
        <v>Name:</v>
      </c>
      <c r="B199" s="47" t="str">
        <f ca="1">IFERROR(VLOOKUP(B198,INDIRECT($F$8),4,0),"")</f>
        <v>DIKSHA PHARTYAL</v>
      </c>
      <c r="C199" s="47"/>
      <c r="D199" s="47" t="str">
        <f ca="1">IF(ISERROR(F198),"",D180)</f>
        <v>Father's Name:</v>
      </c>
      <c r="E199" s="47" t="str">
        <f ca="1">IFERROR(VLOOKUP(B198,INDIRECT($F$8),5,0),"")</f>
        <v>UPENDRA SINGH PHARTYAL</v>
      </c>
      <c r="F199" s="47"/>
      <c r="G199" s="47" t="str">
        <f ca="1">IF(ISERROR(F198),"",G180)</f>
        <v>University Roll No:</v>
      </c>
      <c r="H199" s="47"/>
      <c r="I199" s="48">
        <f ca="1">IFERROR(VLOOKUP(B198,INDIRECT($F$8),2,0),"")</f>
        <v>240090600011</v>
      </c>
      <c r="J199" s="48"/>
      <c r="K199" s="47" t="str">
        <f ca="1">IF(ISERROR(F198),"",K180)</f>
        <v>University Enrol. No:</v>
      </c>
      <c r="L199" s="47"/>
      <c r="M199" s="48" t="str">
        <f ca="1">IFERROR(VLOOKUP(B198,INDIRECT($F$8),3,0),"")</f>
        <v>UTU/2406100185</v>
      </c>
      <c r="N199" s="48"/>
    </row>
    <row r="200" spans="1:24" ht="15" x14ac:dyDescent="0.2">
      <c r="A200" s="47"/>
      <c r="B200" s="47"/>
      <c r="C200" s="47"/>
      <c r="D200" s="47"/>
      <c r="E200" s="47"/>
      <c r="F200" s="47"/>
      <c r="G200" s="47"/>
      <c r="H200" s="47"/>
      <c r="I200" s="48"/>
      <c r="J200" s="48"/>
      <c r="K200" s="47"/>
      <c r="L200" s="47"/>
      <c r="M200" s="48"/>
      <c r="N200" s="48"/>
    </row>
    <row r="201" spans="1:24" ht="13" customHeight="1" x14ac:dyDescent="0.2">
      <c r="A201" s="45" t="str">
        <f ca="1">IF(ISERROR(F198),"",A182)</f>
        <v>Subject Code</v>
      </c>
      <c r="B201" s="45" t="str">
        <f ca="1">IF(ISERROR(F198),"",B182)</f>
        <v>Subject Name</v>
      </c>
      <c r="C201" s="45"/>
      <c r="D201" s="45"/>
      <c r="E201" s="45"/>
      <c r="F201" s="45" t="str">
        <f ca="1">IF(ISERROR(F198),"",F182)</f>
        <v>Credits</v>
      </c>
      <c r="G201" s="45" t="str">
        <f ca="1">IF(ISERROR(F198),"",G182)</f>
        <v>External Marks</v>
      </c>
      <c r="H201" s="45"/>
      <c r="I201" s="45" t="str">
        <f ca="1">IF(ISERROR(F198),"",I182)</f>
        <v>Sessional Marks</v>
      </c>
      <c r="J201" s="45"/>
      <c r="K201" s="45" t="str">
        <f ca="1">IF(ISERROR(F198),"",K182)</f>
        <v>Total Marks</v>
      </c>
      <c r="L201" s="45"/>
      <c r="M201" s="45" t="str">
        <f ca="1">IF(ISERROR(F198),"",M182)</f>
        <v>Grade</v>
      </c>
      <c r="N201" s="45" t="str">
        <f ca="1">IF(ISERROR(F198),"",N182)</f>
        <v>Grade Points</v>
      </c>
    </row>
    <row r="202" spans="1:24" ht="15" x14ac:dyDescent="0.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W202" t="e">
        <f ca="1">IF(ISNUMBER(MATCH($F$8,{"I","III","V","VII"},0)),10,10-INDEX(INDIRECT(_xlfn.TEXTJOIN("",TRUE,"SEM_",$G$8,"!",ADDRESS(6,4+$I$8*3+4),":",ADDRESS(5+$H$8,4+$I$8*3+4))),MATCH(INDIRECT(_xlfn.TEXTJOIN("",TRUE,"TC_",$F$8,"!",ADDRESS(ROW(I199),COLUMN(I199)))),INDIRECT(_xlfn.TEXTJOIN("",TRUE,"SEM_",$G$8,"!",ADDRESS(6,2),":",ADDRESS(5+$H$8,2))))))</f>
        <v>#N/A</v>
      </c>
    </row>
    <row r="203" spans="1:24" ht="13" customHeight="1" x14ac:dyDescent="0.2">
      <c r="A203" s="7" t="str">
        <f ca="1">IF(ISERROR(F198),"",VLOOKUP(C198,INDIRECT($F$8),6+(O203-1)*3,0))</f>
        <v>CAT 009</v>
      </c>
      <c r="B203" s="41" t="str">
        <f ca="1">IF(ISERROR(F198),"",VLOOKUP(D198,INDIRECT($F$8),6+(O203-1)*3,0))</f>
        <v>Computer Based Numerical and Statistical Techniques</v>
      </c>
      <c r="C203" s="41"/>
      <c r="D203" s="41"/>
      <c r="E203" s="41"/>
      <c r="F203" s="7">
        <f ca="1">IF(ISERROR(F198),"",VLOOKUP(E198,INDIRECT($F$8),6+(O203-1)*3,0))</f>
        <v>4</v>
      </c>
      <c r="G203" s="42" t="e">
        <f ca="1">IF(ISERROR(F198),"",_xlfn.TEXTJOIN("/",FALSE,P203,S203))</f>
        <v>#N/A</v>
      </c>
      <c r="H203" s="42"/>
      <c r="I203" s="42" t="str">
        <f ca="1">IF(ISERROR(F198),"",_xlfn.TEXTJOIN("/",FALSE,Q203,T203))</f>
        <v>47/50</v>
      </c>
      <c r="J203" s="42"/>
      <c r="K203" s="42" t="e">
        <f ca="1">IF(ISERROR(F198),"",_xlfn.TEXTJOIN("/",FALSE,R203,U203))</f>
        <v>#N/A</v>
      </c>
      <c r="L203" s="42"/>
      <c r="M203" s="7" t="e">
        <f ca="1">IF(ISERROR(F198),"",IF(ISTEXT(P203),IF(P203="A","Ab",IF(P203="D","Dt",IF(P203="UFM","UFM",IF(P203="NA","")))),IF(AND(ISBLANK(P203),ISBLANK(R203)),"",IF(P203&lt;0.3*S203,"F",IF(ISBLANK(R203),"",IF(ISTEXT(R203),R203,IF(R203&gt;=0.9*U203,"O",IF(R203&gt;=0.85*U203,"A+",IF(R203&gt;=0.8*U203,"A",IF(R203&gt;=0.7*U203,"B+",IF(R203&gt;=0.6*U203,"B",IF(R203&gt;=0.5*U203,"C",IF(R203&gt;=0.4*U203,"P",IF(R203&lt;0.4*U203,"F",R203))))))))))))))</f>
        <v>#N/A</v>
      </c>
      <c r="N203" s="8" t="e">
        <f t="shared" ref="N203:N212" ca="1" si="20">INDEX($Z$2:$Z$13,MATCH(M203,$Y$2:$Y$13,0))</f>
        <v>#N/A</v>
      </c>
      <c r="O203">
        <v>1</v>
      </c>
      <c r="P203" s="1" t="e">
        <f ca="1">IF(ISERROR(F198),"",IF(ISTEXT(VLOOKUP(B198,INDIRECT($F$8),6+(O203-1)*3)),(VLOOKUP(B198,INDIRECT($F$8),6+(O203-1)*3)),SUM(VLOOKUP(B198,INDIRECT($F$8),6+(O203-1)*3),IF(W213,W203,0))))</f>
        <v>#N/A</v>
      </c>
      <c r="Q203" s="1">
        <f ca="1">IF(ISERROR(F198),"",VLOOKUP(B198,INDIRECT($F$8),7+(O203-1)*3))</f>
        <v>47</v>
      </c>
      <c r="R203" s="1" t="e">
        <f ca="1">IF(ISERROR(F198),"",SUM(P203:Q203))</f>
        <v>#N/A</v>
      </c>
      <c r="S203" s="1">
        <f ca="1">IF(ISERROR(F198),"",VLOOKUP(A198,INDIRECT($F$8),6+(O203-1)*3))</f>
        <v>100</v>
      </c>
      <c r="T203" s="1">
        <f ca="1">IF(ISERROR(F198),"",VLOOKUP(A198,INDIRECT($F$8),7+(O203-1)*3))</f>
        <v>50</v>
      </c>
      <c r="U203" s="1">
        <f ca="1">IF(ISERROR(F198),"",VLOOKUP(A198,INDIRECT($F$8),8+(O203-1)*3))</f>
        <v>150</v>
      </c>
      <c r="V203" s="1" t="e">
        <f ca="1">IF(ISERROR(F198),"",IF(N203=0,A203,""))</f>
        <v>#N/A</v>
      </c>
      <c r="W203" s="1">
        <f ca="1">IF(ISERROR(F198),"",IF(ISTEXT(VLOOKUP(B198,INDIRECT($F$8),6+(O203-1)*3)),11,IF(VLOOKUP(B198,INDIRECT($F$8),6+(O203-1)*3)&lt;S203*0.3,IF(VLOOKUP(B198,INDIRECT($F$8),8+(O203-1)*3)&lt;U203*0.4,IF(AND(0.4*U203-VLOOKUP(B198,INDIRECT($F$8),8+(O203-1)*3)&lt;=5,0.3*S203-VLOOKUP(B198,INDIRECT($F$8),6+(O203-1)*3)&lt;=5),MAX(0.4*U203-VLOOKUP(B198,INDIRECT($F$8),8+(O203-1)*3),0.3*S203-VLOOKUP(B198,INDIRECT($F$8),6+(O203-1)*3)),11),IF(0.3*S203-VLOOKUP(B198,INDIRECT($F$8),6+(O203-1)*3)&lt;=5,0.3*S203-VLOOKUP(B198,INDIRECT($F$8),6+(O203-1)*3),11)),IF(VLOOKUP(B198,INDIRECT($F$8),8+(O203-1)*3)&lt;U203*0.4,IF(U203*0.4-VLOOKUP(B198,INDIRECT($F$8),8+(O203-1)*3)&lt;=5,U203*0.4-VLOOKUP(B198,INDIRECT($F$8),8+(O203-1)*3),11),0))))</f>
        <v>0</v>
      </c>
      <c r="X203" s="1" t="str">
        <f ca="1">IF(ISERROR(F198),"",IF(W203=0,"",_xlfn.TEXTJOIN("",FALSE," G+",W203," in ",A203)))</f>
        <v/>
      </c>
    </row>
    <row r="204" spans="1:24" ht="13" customHeight="1" x14ac:dyDescent="0.2">
      <c r="A204" s="7" t="str">
        <f ca="1">IF(ISERROR(F198),"",VLOOKUP(C198,INDIRECT($F$8),6+(O204-1)*3,0))</f>
        <v>CAT 010</v>
      </c>
      <c r="B204" s="41" t="str">
        <f ca="1">IF(ISERROR(F198),"",VLOOKUP(D198,INDIRECT($F$8),6+(O204-1)*3,0))</f>
        <v>Data Structures and Analysis of Algorithms</v>
      </c>
      <c r="C204" s="41"/>
      <c r="D204" s="41"/>
      <c r="E204" s="41"/>
      <c r="F204" s="7">
        <f ca="1">IF(ISERROR(F198),"",VLOOKUP(E198,INDIRECT($F$8),6+(O204-1)*3,0))</f>
        <v>4</v>
      </c>
      <c r="G204" s="42" t="e">
        <f ca="1">IF(ISERROR(F198),"",_xlfn.TEXTJOIN("/",FALSE,P204,S204))</f>
        <v>#N/A</v>
      </c>
      <c r="H204" s="42"/>
      <c r="I204" s="42" t="str">
        <f ca="1">IF(ISERROR(F198),"",_xlfn.TEXTJOIN("/",FALSE,Q204,T204))</f>
        <v>47/50</v>
      </c>
      <c r="J204" s="42"/>
      <c r="K204" s="42" t="e">
        <f ca="1">IF(ISERROR(F198),"",_xlfn.TEXTJOIN("/",FALSE,R204,U204))</f>
        <v>#N/A</v>
      </c>
      <c r="L204" s="42"/>
      <c r="M204" s="7" t="e">
        <f ca="1">IF(ISERROR(F198),"",IF(ISTEXT(P204),IF(P204="A","Ab",IF(P204="D","Dt",IF(P204="UFM","UFM",IF(P204="NA","")))),IF(AND(ISBLANK(P204),ISBLANK(R204)),"",IF(P204&lt;0.3*S204,"F",IF(ISBLANK(R204),"",IF(ISTEXT(R204),R204,IF(R204&gt;=0.9*U204,"O",IF(R204&gt;=0.85*U204,"A+",IF(R204&gt;=0.8*U204,"A",IF(R204&gt;=0.7*U204,"B+",IF(R204&gt;=0.6*U204,"B",IF(R204&gt;=0.5*U204,"C",IF(R204&gt;=0.4*U204,"P",IF(R204&lt;0.4*U204,"F",R204))))))))))))))</f>
        <v>#N/A</v>
      </c>
      <c r="N204" s="8" t="e">
        <f t="shared" ca="1" si="20"/>
        <v>#N/A</v>
      </c>
      <c r="O204">
        <f>O203+1</f>
        <v>2</v>
      </c>
      <c r="P204" s="1" t="e">
        <f ca="1">IF(ISERROR(F198),"",IF(ISTEXT(VLOOKUP(B198,INDIRECT($F$8),6+(O204-1)*3)),(VLOOKUP(B198,INDIRECT($F$8),6+(O204-1)*3)),SUM(VLOOKUP(B198,INDIRECT($F$8),6+(O204-1)*3),IF(W213,W204,0))))</f>
        <v>#N/A</v>
      </c>
      <c r="Q204" s="1">
        <f ca="1">IF(ISERROR(F198),"",VLOOKUP(B198,INDIRECT($F$8),7+(O204-1)*3))</f>
        <v>47</v>
      </c>
      <c r="R204" s="1" t="e">
        <f ca="1">IF(ISERROR(F198),"",SUM(P204:Q204))</f>
        <v>#N/A</v>
      </c>
      <c r="S204" s="1">
        <f ca="1">IF(ISERROR(F198),"",VLOOKUP(A198,INDIRECT($F$8),6+(O204-1)*3))</f>
        <v>100</v>
      </c>
      <c r="T204" s="1">
        <f ca="1">IF(ISERROR(F198),"",VLOOKUP(A198,INDIRECT($F$8),7+(O204-1)*3))</f>
        <v>50</v>
      </c>
      <c r="U204" s="1">
        <f ca="1">IF(ISERROR(F198),"",VLOOKUP(A198,INDIRECT($F$8),8+(O204-1)*3))</f>
        <v>150</v>
      </c>
      <c r="V204" s="1" t="e">
        <f ca="1">IF(ISERROR(F198),"",IF(N204=0,A204,""))</f>
        <v>#N/A</v>
      </c>
      <c r="W204" s="1">
        <f ca="1">IF(ISERROR(F198),"",IF(ISTEXT(VLOOKUP(B198,INDIRECT($F$8),6+(O204-1)*3)),11,IF(VLOOKUP(B198,INDIRECT($F$8),6+(O204-1)*3)&lt;S204*0.3,IF(VLOOKUP(B198,INDIRECT($F$8),8+(O204-1)*3)&lt;U204*0.4,IF(AND(0.4*U204-VLOOKUP(B198,INDIRECT($F$8),8+(O204-1)*3)&lt;=5,0.3*S204-VLOOKUP(B198,INDIRECT($F$8),6+(O204-1)*3)&lt;=5),MAX(0.4*U204-VLOOKUP(B198,INDIRECT($F$8),8+(O204-1)*3),0.3*S204-VLOOKUP(B198,INDIRECT($F$8),6+(O204-1)*3)),11),IF(0.3*S204-VLOOKUP(B198,INDIRECT($F$8),6+(O204-1)*3)&lt;=5,0.3*S204-VLOOKUP(B198,INDIRECT($F$8),6+(O204-1)*3),11)),IF(VLOOKUP(B198,INDIRECT($F$8),8+(O204-1)*3)&lt;U204*0.4,IF(U204*0.4-VLOOKUP(B198,INDIRECT($F$8),8+(O204-1)*3)&lt;=5,U204*0.4-VLOOKUP(B198,INDIRECT($F$8),8+(O204-1)*3),11),0))))</f>
        <v>0</v>
      </c>
      <c r="X204" s="1" t="str">
        <f ca="1">IF(ISERROR(F198),"",IF(W204=0,"",_xlfn.TEXTJOIN("",FALSE," G+",W204," in ",A204)))</f>
        <v/>
      </c>
    </row>
    <row r="205" spans="1:24" ht="13" customHeight="1" x14ac:dyDescent="0.2">
      <c r="A205" s="7" t="str">
        <f ca="1">IF(ISERROR(F198),"",VLOOKUP(C198,INDIRECT($F$8),6+(O205-1)*3,0))</f>
        <v>CAT 011</v>
      </c>
      <c r="B205" s="41" t="str">
        <f ca="1">IF(ISERROR(F198),"",VLOOKUP(D198,INDIRECT($F$8),6+(O205-1)*3,0))</f>
        <v>Object Oriented Programming with JAVA</v>
      </c>
      <c r="C205" s="41"/>
      <c r="D205" s="41"/>
      <c r="E205" s="41"/>
      <c r="F205" s="7">
        <f ca="1">IF(ISERROR(F198),"",VLOOKUP(E198,INDIRECT($F$8),6+(O205-1)*3,0))</f>
        <v>4</v>
      </c>
      <c r="G205" s="42" t="e">
        <f ca="1">IF(ISERROR(F198),"",_xlfn.TEXTJOIN("/",FALSE,P205,S205))</f>
        <v>#N/A</v>
      </c>
      <c r="H205" s="42"/>
      <c r="I205" s="42" t="str">
        <f ca="1">IF(ISERROR(F198),"",_xlfn.TEXTJOIN("/",FALSE,Q205,T205))</f>
        <v>46/50</v>
      </c>
      <c r="J205" s="42"/>
      <c r="K205" s="42" t="e">
        <f ca="1">IF(ISERROR(F198),"",_xlfn.TEXTJOIN("/",FALSE,R205,U205))</f>
        <v>#N/A</v>
      </c>
      <c r="L205" s="42"/>
      <c r="M205" s="7" t="e">
        <f ca="1">IF(ISERROR(F198),"",IF(ISTEXT(P205),IF(P205="A","Ab",IF(P205="D","Dt",IF(P205="UFM","UFM",IF(P205="NA","")))),IF(AND(ISBLANK(P205),ISBLANK(R205)),"",IF(P205&lt;0.3*S205,"F",IF(ISBLANK(R205),"",IF(ISTEXT(R205),R205,IF(R205&gt;=0.9*U205,"O",IF(R205&gt;=0.85*U205,"A+",IF(R205&gt;=0.8*U205,"A",IF(R205&gt;=0.7*U205,"B+",IF(R205&gt;=0.6*U205,"B",IF(R205&gt;=0.5*U205,"C",IF(R205&gt;=0.4*U205,"P",IF(R205&lt;0.4*U205,"F",R205))))))))))))))</f>
        <v>#N/A</v>
      </c>
      <c r="N205" s="8" t="e">
        <f t="shared" ca="1" si="20"/>
        <v>#N/A</v>
      </c>
      <c r="O205">
        <f>O204+1</f>
        <v>3</v>
      </c>
      <c r="P205" s="1" t="e">
        <f ca="1">IF(ISERROR(F198),"",IF(ISTEXT(VLOOKUP(B198,INDIRECT($F$8),6+(O205-1)*3)),(VLOOKUP(B198,INDIRECT($F$8),6+(O205-1)*3)),SUM(VLOOKUP(B198,INDIRECT($F$8),6+(O205-1)*3),IF(W213,W205,0))))</f>
        <v>#N/A</v>
      </c>
      <c r="Q205" s="1">
        <f ca="1">IF(ISERROR(F198),"",VLOOKUP(B198,INDIRECT($F$8),7+(O205-1)*3))</f>
        <v>46</v>
      </c>
      <c r="R205" s="1" t="e">
        <f ca="1">IF(ISERROR(F198),"",SUM(P205:Q205))</f>
        <v>#N/A</v>
      </c>
      <c r="S205" s="1">
        <f ca="1">IF(ISERROR(F198),"",VLOOKUP(A198,INDIRECT($F$8),6+(O205-1)*3))</f>
        <v>100</v>
      </c>
      <c r="T205" s="1">
        <f ca="1">IF(ISERROR(F198),"",VLOOKUP(A198,INDIRECT($F$8),7+(O205-1)*3))</f>
        <v>50</v>
      </c>
      <c r="U205" s="1">
        <f ca="1">IF(ISERROR(F198),"",VLOOKUP(A198,INDIRECT($F$8),8+(O205-1)*3))</f>
        <v>150</v>
      </c>
      <c r="V205" s="1" t="e">
        <f ca="1">IF(ISERROR(F198),"",IF(N205=0,A205,""))</f>
        <v>#N/A</v>
      </c>
      <c r="W205" s="1">
        <f ca="1">IF(ISERROR(F198),"",IF(ISTEXT(VLOOKUP(B198,INDIRECT($F$8),6+(O205-1)*3)),11,IF(VLOOKUP(B198,INDIRECT($F$8),6+(O205-1)*3)&lt;S205*0.3,IF(VLOOKUP(B198,INDIRECT($F$8),8+(O205-1)*3)&lt;U205*0.4,IF(AND(0.4*U205-VLOOKUP(B198,INDIRECT($F$8),8+(O205-1)*3)&lt;=5,0.3*S205-VLOOKUP(B198,INDIRECT($F$8),6+(O205-1)*3)&lt;=5),MAX(0.4*U205-VLOOKUP(B198,INDIRECT($F$8),8+(O205-1)*3),0.3*S205-VLOOKUP(B198,INDIRECT($F$8),6+(O205-1)*3)),11),IF(0.3*S205-VLOOKUP(B198,INDIRECT($F$8),6+(O205-1)*3)&lt;=5,0.3*S205-VLOOKUP(B198,INDIRECT($F$8),6+(O205-1)*3),11)),IF(VLOOKUP(B198,INDIRECT($F$8),8+(O205-1)*3)&lt;U205*0.4,IF(U205*0.4-VLOOKUP(B198,INDIRECT($F$8),8+(O205-1)*3)&lt;=5,U205*0.4-VLOOKUP(B198,INDIRECT($F$8),8+(O205-1)*3),11),0))))</f>
        <v>0</v>
      </c>
      <c r="X205" s="1" t="str">
        <f ca="1">IF(ISERROR(F198),"",IF(W205=0,"",_xlfn.TEXTJOIN("",FALSE," G+",W205," in ",A205)))</f>
        <v/>
      </c>
    </row>
    <row r="206" spans="1:24" ht="13" customHeight="1" x14ac:dyDescent="0.2">
      <c r="A206" s="7" t="str">
        <f ca="1">IF(ISERROR(F198),"",VLOOKUP(C198,INDIRECT($F$8),6+(O206-1)*3,0))</f>
        <v>CAT 012</v>
      </c>
      <c r="B206" s="41" t="str">
        <f ca="1">IF(ISERROR(F198),"",VLOOKUP(D198,INDIRECT($F$8),6+(O206-1)*3,0))</f>
        <v>Computer Networks</v>
      </c>
      <c r="C206" s="41"/>
      <c r="D206" s="41"/>
      <c r="E206" s="41"/>
      <c r="F206" s="7">
        <f ca="1">IF(ISERROR(F198),"",VLOOKUP(E198,INDIRECT($F$8),6+(O206-1)*3,0))</f>
        <v>4</v>
      </c>
      <c r="G206" s="42" t="e">
        <f ca="1">IF(ISERROR(F198),"",_xlfn.TEXTJOIN("/",FALSE,P206,S206))</f>
        <v>#N/A</v>
      </c>
      <c r="H206" s="42"/>
      <c r="I206" s="42" t="str">
        <f ca="1">IF(ISERROR(F198),"",_xlfn.TEXTJOIN("/",FALSE,Q206,T206))</f>
        <v>41/50</v>
      </c>
      <c r="J206" s="42"/>
      <c r="K206" s="42" t="e">
        <f ca="1">IF(ISERROR(F198),"",_xlfn.TEXTJOIN("/",FALSE,R206,U206))</f>
        <v>#N/A</v>
      </c>
      <c r="L206" s="42"/>
      <c r="M206" s="7" t="e">
        <f ca="1">IF(ISERROR(F198),"",IF(ISTEXT(P206),IF(P206="A","Ab",IF(P206="D","Dt",IF(P206="UFM","UFM",IF(P206="NA","")))),IF(AND(ISBLANK(P206),ISBLANK(R206)),"",IF(P206&lt;0.3*S206,"F",IF(ISBLANK(R206),"",IF(ISTEXT(R206),R206,IF(R206&gt;=0.9*U206,"O",IF(R206&gt;=0.85*U206,"A+",IF(R206&gt;=0.8*U206,"A",IF(R206&gt;=0.7*U206,"B+",IF(R206&gt;=0.6*U206,"B",IF(R206&gt;=0.5*U206,"C",IF(R206&gt;=0.4*U206,"P",IF(R206&lt;0.4*U206,"F",R206))))))))))))))</f>
        <v>#N/A</v>
      </c>
      <c r="N206" s="8" t="e">
        <f t="shared" ca="1" si="20"/>
        <v>#N/A</v>
      </c>
      <c r="O206">
        <f t="shared" ref="O206:O212" si="21">O205+1</f>
        <v>4</v>
      </c>
      <c r="P206" s="1" t="e">
        <f ca="1">IF(ISERROR(F198),"",IF(ISTEXT(VLOOKUP(B198,INDIRECT($F$8),6+(O206-1)*3)),(VLOOKUP(B198,INDIRECT($F$8),6+(O206-1)*3)),SUM(VLOOKUP(B198,INDIRECT($F$8),6+(O206-1)*3),IF(W213,W206,0))))</f>
        <v>#N/A</v>
      </c>
      <c r="Q206" s="1">
        <f ca="1">IF(ISERROR(F198),"",VLOOKUP(B198,INDIRECT($F$8),7+(O206-1)*3))</f>
        <v>41</v>
      </c>
      <c r="R206" s="1" t="e">
        <f ca="1">IF(ISERROR(F198),"",SUM(P206:Q206))</f>
        <v>#N/A</v>
      </c>
      <c r="S206" s="1">
        <f ca="1">IF(ISERROR(F198),"",VLOOKUP(A198,INDIRECT($F$8),6+(O206-1)*3))</f>
        <v>100</v>
      </c>
      <c r="T206" s="1">
        <f ca="1">IF(ISERROR(F198),"",VLOOKUP(A198,INDIRECT($F$8),7+(O206-1)*3))</f>
        <v>50</v>
      </c>
      <c r="U206" s="1">
        <f ca="1">IF(ISERROR(F198),"",VLOOKUP(A198,INDIRECT($F$8),8+(O206-1)*3))</f>
        <v>150</v>
      </c>
      <c r="V206" s="1" t="e">
        <f ca="1">IF(ISERROR(F198),"",IF(N206=0,A206,""))</f>
        <v>#N/A</v>
      </c>
      <c r="W206" s="1">
        <f ca="1">IF(ISERROR(F198),"",IF(ISTEXT(VLOOKUP(B198,INDIRECT($F$8),6+(O206-1)*3)),11,IF(VLOOKUP(B198,INDIRECT($F$8),6+(O206-1)*3)&lt;S206*0.3,IF(VLOOKUP(B198,INDIRECT($F$8),8+(O206-1)*3)&lt;U206*0.4,IF(AND(0.4*U206-VLOOKUP(B198,INDIRECT($F$8),8+(O206-1)*3)&lt;=5,0.3*S206-VLOOKUP(B198,INDIRECT($F$8),6+(O206-1)*3)&lt;=5),MAX(0.4*U206-VLOOKUP(B198,INDIRECT($F$8),8+(O206-1)*3),0.3*S206-VLOOKUP(B198,INDIRECT($F$8),6+(O206-1)*3)),11),IF(0.3*S206-VLOOKUP(B198,INDIRECT($F$8),6+(O206-1)*3)&lt;=5,0.3*S206-VLOOKUP(B198,INDIRECT($F$8),6+(O206-1)*3),11)),IF(VLOOKUP(B198,INDIRECT($F$8),8+(O206-1)*3)&lt;U206*0.4,IF(U206*0.4-VLOOKUP(B198,INDIRECT($F$8),8+(O206-1)*3)&lt;=5,U206*0.4-VLOOKUP(B198,INDIRECT($F$8),8+(O206-1)*3),11),0))))</f>
        <v>0</v>
      </c>
      <c r="X206" s="1" t="str">
        <f ca="1">IF(ISERROR(F198),"",IF(W206=0,"",_xlfn.TEXTJOIN("",FALSE," G+",W206," in ",A206)))</f>
        <v/>
      </c>
    </row>
    <row r="207" spans="1:24" ht="13" customHeight="1" x14ac:dyDescent="0.2">
      <c r="A207" s="7" t="str">
        <f ca="1">IF(ISERROR(F198),"",VLOOKUP(C198,INDIRECT($F$8),6+(O207-1)*3,0))</f>
        <v>CAT 013</v>
      </c>
      <c r="B207" s="41" t="str">
        <f ca="1">IF(ISERROR(F198),"",VLOOKUP(D198,INDIRECT($F$8),6+(O207-1)*3,0))</f>
        <v>Artificial Intelligence</v>
      </c>
      <c r="C207" s="41"/>
      <c r="D207" s="41"/>
      <c r="E207" s="41"/>
      <c r="F207" s="7">
        <f ca="1">IF(ISERROR(F198),"",VLOOKUP(E198,INDIRECT($F$8),6+(O207-1)*3,0))</f>
        <v>4</v>
      </c>
      <c r="G207" s="42" t="e">
        <f ca="1">IF(ISERROR(F198),"",_xlfn.TEXTJOIN("/",FALSE,P207,S207))</f>
        <v>#N/A</v>
      </c>
      <c r="H207" s="42"/>
      <c r="I207" s="42" t="str">
        <f ca="1">IF(ISERROR(F198),"",_xlfn.TEXTJOIN("/",FALSE,Q207,T207))</f>
        <v>46/50</v>
      </c>
      <c r="J207" s="42"/>
      <c r="K207" s="42" t="e">
        <f ca="1">IF(ISERROR(F198),"",_xlfn.TEXTJOIN("/",FALSE,R207,U207))</f>
        <v>#N/A</v>
      </c>
      <c r="L207" s="42"/>
      <c r="M207" s="7" t="e">
        <f ca="1">IF(ISERROR(F198),"",IF(ISTEXT(P207),IF(P207="A","Ab",IF(P207="D","Dt",IF(P207="UFM","UFM",IF(P207="NA","")))),IF(AND(ISBLANK(P207),ISBLANK(R207)),"",IF(P207&lt;0.3*S207,"F",IF(ISBLANK(R207),"",IF(ISTEXT(R207),R207,IF(R207&gt;=0.9*U207,"O",IF(R207&gt;=0.85*U207,"A+",IF(R207&gt;=0.8*U207,"A",IF(R207&gt;=0.7*U207,"B+",IF(R207&gt;=0.6*U207,"B",IF(R207&gt;=0.5*U207,"C",IF(R207&gt;=0.4*U207,"P",IF(R207&lt;0.4*U207,"F",R207))))))))))))))</f>
        <v>#N/A</v>
      </c>
      <c r="N207" s="8" t="e">
        <f t="shared" ca="1" si="20"/>
        <v>#N/A</v>
      </c>
      <c r="O207">
        <f t="shared" si="21"/>
        <v>5</v>
      </c>
      <c r="P207" s="1" t="e">
        <f ca="1">IF(ISERROR(F198),"",IF(ISTEXT(VLOOKUP(B198,INDIRECT($F$8),6+(O207-1)*3)),(VLOOKUP(B198,INDIRECT($F$8),6+(O207-1)*3)),SUM(VLOOKUP(B198,INDIRECT($F$8),6+(O207-1)*3),IF(W213,W207,0))))</f>
        <v>#N/A</v>
      </c>
      <c r="Q207" s="1">
        <f ca="1">IF(ISERROR(F198),"",VLOOKUP(B198,INDIRECT($F$8),7+(O207-1)*3))</f>
        <v>46</v>
      </c>
      <c r="R207" s="1" t="e">
        <f ca="1">IF(ISERROR(F198),"",SUM(P207:Q207))</f>
        <v>#N/A</v>
      </c>
      <c r="S207" s="1">
        <f ca="1">IF(ISERROR(F198),"",VLOOKUP(A198,INDIRECT($F$8),6+(O207-1)*3))</f>
        <v>100</v>
      </c>
      <c r="T207" s="1">
        <f ca="1">IF(ISERROR(F198),"",VLOOKUP(A198,INDIRECT($F$8),7+(O207-1)*3))</f>
        <v>50</v>
      </c>
      <c r="U207" s="1">
        <f ca="1">IF(ISERROR(F198),"",VLOOKUP(A198,INDIRECT($F$8),8+(O207-1)*3))</f>
        <v>150</v>
      </c>
      <c r="V207" s="1" t="e">
        <f ca="1">IF(ISERROR(F198),"",IF(N207=0,A207,""))</f>
        <v>#N/A</v>
      </c>
      <c r="W207" s="1">
        <f ca="1">IF(ISERROR(F198),"",IF(ISTEXT(VLOOKUP(B198,INDIRECT($F$8),6+(O207-1)*3)),11,IF(VLOOKUP(B198,INDIRECT($F$8),6+(O207-1)*3)&lt;S207*0.3,IF(VLOOKUP(B198,INDIRECT($F$8),8+(O207-1)*3)&lt;U207*0.4,IF(AND(0.4*U207-VLOOKUP(B198,INDIRECT($F$8),8+(O207-1)*3)&lt;=5,0.3*S207-VLOOKUP(B198,INDIRECT($F$8),6+(O207-1)*3)&lt;=5),MAX(0.4*U207-VLOOKUP(B198,INDIRECT($F$8),8+(O207-1)*3),0.3*S207-VLOOKUP(B198,INDIRECT($F$8),6+(O207-1)*3)),11),IF(0.3*S207-VLOOKUP(B198,INDIRECT($F$8),6+(O207-1)*3)&lt;=5,0.3*S207-VLOOKUP(B198,INDIRECT($F$8),6+(O207-1)*3),11)),IF(VLOOKUP(B198,INDIRECT($F$8),8+(O207-1)*3)&lt;U207*0.4,IF(U207*0.4-VLOOKUP(B198,INDIRECT($F$8),8+(O207-1)*3)&lt;=5,U207*0.4-VLOOKUP(B198,INDIRECT($F$8),8+(O207-1)*3),11),0))))</f>
        <v>0</v>
      </c>
      <c r="X207" s="1" t="str">
        <f ca="1">IF(ISERROR(F198),"",IF(W207=0,"",_xlfn.TEXTJOIN("",FALSE," G+",W207," in ",A207)))</f>
        <v/>
      </c>
    </row>
    <row r="208" spans="1:24" ht="13" customHeight="1" x14ac:dyDescent="0.2">
      <c r="A208" s="7" t="str">
        <f ca="1">IF(ISERROR(F198),"",VLOOKUP(C198,INDIRECT($F$8),6+(O208-1)*3,0))</f>
        <v>AHT 304</v>
      </c>
      <c r="B208" s="41" t="str">
        <f ca="1">IF(ISERROR(F198),"",VLOOKUP(D198,INDIRECT($F$8),6+(O208-1)*3,0))</f>
        <v>Accounting and Financial Management ($)</v>
      </c>
      <c r="C208" s="41"/>
      <c r="D208" s="41"/>
      <c r="E208" s="41"/>
      <c r="F208" s="7">
        <f ca="1">IF(ISERROR(F198),"",VLOOKUP(E198,INDIRECT($F$8),6+(O208-1)*3,0))</f>
        <v>0</v>
      </c>
      <c r="G208" s="42" t="e">
        <f ca="1">IF(ISERROR(F198),"",_xlfn.TEXTJOIN("/",FALSE,P208,S208))</f>
        <v>#N/A</v>
      </c>
      <c r="H208" s="42"/>
      <c r="I208" s="42" t="str">
        <f ca="1">IF(ISERROR(F198),"",_xlfn.TEXTJOIN("/",FALSE,Q208,T208))</f>
        <v>35/50</v>
      </c>
      <c r="J208" s="42"/>
      <c r="K208" s="42" t="e">
        <f ca="1">IF(ISERROR(F198),"",_xlfn.TEXTJOIN("/",FALSE,R208,U208))</f>
        <v>#N/A</v>
      </c>
      <c r="L208" s="42"/>
      <c r="M208" s="7" t="e">
        <f ca="1">IF(ISERROR(F198),"",IF(ISTEXT(P208),IF(P208="A","Ab",IF(P208="D","Dt",IF(P208="UFM","UFM",IF(P208="NA","")))),IF(AND(ISBLANK(P208),ISBLANK(R208)),"",IF(P208&lt;0.3*S208,"F",IF(ISBLANK(R208),"",IF(ISTEXT(R208),R208,IF(R208&gt;=0.9*U208,"O",IF(R208&gt;=0.85*U208,"A+",IF(R208&gt;=0.8*U208,"A",IF(R208&gt;=0.7*U208,"B+",IF(R208&gt;=0.6*U208,"B",IF(R208&gt;=0.5*U208,"C",IF(R208&gt;=0.4*U208,"P",IF(R208&lt;0.4*U208,"F",R208))))))))))))))</f>
        <v>#N/A</v>
      </c>
      <c r="N208" s="8" t="e">
        <f t="shared" ca="1" si="20"/>
        <v>#N/A</v>
      </c>
      <c r="O208">
        <f t="shared" si="21"/>
        <v>6</v>
      </c>
      <c r="P208" s="1" t="e">
        <f ca="1">IF(ISERROR(F198),"",IF(ISTEXT(VLOOKUP(B198,INDIRECT($F$8),6+(O208-1)*3)),(VLOOKUP(B198,INDIRECT($F$8),6+(O208-1)*3)),SUM(VLOOKUP(B198,INDIRECT($F$8),6+(O208-1)*3),IF(W213,W208,0))))</f>
        <v>#N/A</v>
      </c>
      <c r="Q208" s="1">
        <f ca="1">IF(ISERROR(F198),"",VLOOKUP(B198,INDIRECT($F$8),7+(O208-1)*3))</f>
        <v>35</v>
      </c>
      <c r="R208" s="1" t="e">
        <f ca="1">IF(ISERROR(F198),"",SUM(P208:Q208))</f>
        <v>#N/A</v>
      </c>
      <c r="S208" s="1">
        <f ca="1">IF(ISERROR(F198),"",VLOOKUP(A198,INDIRECT($F$8),6+(O208-1)*3))</f>
        <v>0</v>
      </c>
      <c r="T208" s="1">
        <f ca="1">IF(ISERROR(F198),"",VLOOKUP(A198,INDIRECT($F$8),7+(O208-1)*3))</f>
        <v>50</v>
      </c>
      <c r="U208" s="1">
        <f ca="1">IF(ISERROR(F198),"",VLOOKUP(A198,INDIRECT($F$8),8+(O208-1)*3))</f>
        <v>50</v>
      </c>
      <c r="V208" s="1" t="e">
        <f ca="1">IF(ISERROR(F198),"",IF(N208=0,A208,""))</f>
        <v>#N/A</v>
      </c>
      <c r="W208" s="1">
        <f ca="1">IF(ISERROR(F198),"",IF(ISTEXT(VLOOKUP(B198,INDIRECT($F$8),6+(O208-1)*3)),11,IF(VLOOKUP(B198,INDIRECT($F$8),6+(O208-1)*3)&lt;S208*0.3,IF(VLOOKUP(B198,INDIRECT($F$8),8+(O208-1)*3)&lt;U208*0.4,IF(AND(0.4*U208-VLOOKUP(B198,INDIRECT($F$8),8+(O208-1)*3)&lt;=5,0.3*S208-VLOOKUP(B198,INDIRECT($F$8),6+(O208-1)*3)&lt;=5),MAX(0.4*U208-VLOOKUP(B198,INDIRECT($F$8),8+(O208-1)*3),0.3*S208-VLOOKUP(B198,INDIRECT($F$8),6+(O208-1)*3)),11),IF(0.3*S208-VLOOKUP(B198,INDIRECT($F$8),6+(O208-1)*3)&lt;=5,0.3*S208-VLOOKUP(B198,INDIRECT($F$8),6+(O208-1)*3),11)),IF(VLOOKUP(B198,INDIRECT($F$8),8+(O208-1)*3)&lt;U208*0.4,IF(U208*0.4-VLOOKUP(B198,INDIRECT($F$8),8+(O208-1)*3)&lt;=5,U208*0.4-VLOOKUP(B198,INDIRECT($F$8),8+(O208-1)*3),11),0))))</f>
        <v>0</v>
      </c>
      <c r="X208" s="1" t="str">
        <f ca="1">IF(ISERROR(F198),"",IF(W208=0,"",_xlfn.TEXTJOIN("",FALSE," G+",W208," in ",A208)))</f>
        <v/>
      </c>
    </row>
    <row r="209" spans="1:24" ht="13" customHeight="1" x14ac:dyDescent="0.2">
      <c r="A209" s="7" t="str">
        <f ca="1">IF(ISERROR(F198),"",VLOOKUP(C198,INDIRECT($F$8),6+(O209-1)*3,0))</f>
        <v>CAP 004</v>
      </c>
      <c r="B209" s="41" t="str">
        <f ca="1">IF(ISERROR(F198),"",VLOOKUP(D198,INDIRECT($F$8),6+(O209-1)*3,0))</f>
        <v>Data Structures and Analysis of Algorithms Lab</v>
      </c>
      <c r="C209" s="41"/>
      <c r="D209" s="41"/>
      <c r="E209" s="41"/>
      <c r="F209" s="7">
        <f ca="1">IF(ISERROR(F198),"",VLOOKUP(E198,INDIRECT($F$8),6+(O209-1)*3,0))</f>
        <v>1</v>
      </c>
      <c r="G209" s="42" t="e">
        <f ca="1">IF(ISERROR(F198),"",_xlfn.TEXTJOIN("/",FALSE,P209,S209))</f>
        <v>#N/A</v>
      </c>
      <c r="H209" s="42"/>
      <c r="I209" s="42" t="str">
        <f ca="1">IF(ISERROR(F198),"",_xlfn.TEXTJOIN("/",FALSE,Q209,T209))</f>
        <v>19/20</v>
      </c>
      <c r="J209" s="42"/>
      <c r="K209" s="42" t="e">
        <f ca="1">IF(ISERROR(F198),"",_xlfn.TEXTJOIN("/",FALSE,R209,U209))</f>
        <v>#N/A</v>
      </c>
      <c r="L209" s="42"/>
      <c r="M209" s="7" t="e">
        <f ca="1">IF(ISERROR(F198),"",IF(ISTEXT(P209),IF(P209="A","Ab",IF(P209="D","Dt",IF(P209="UFM","UFM",IF(P209="NA","")))),IF(AND(ISBLANK(P209),ISBLANK(R209)),"",IF(P209&lt;0.3*S209,"F",IF(ISBLANK(R209),"",IF(ISTEXT(R209),R209,IF(R209&gt;=0.9*U209,"O",IF(R209&gt;=0.85*U209,"A+",IF(R209&gt;=0.8*U209,"A",IF(R209&gt;=0.7*U209,"B+",IF(R209&gt;=0.6*U209,"B",IF(R209&gt;=0.5*U209,"C",IF(R209&gt;=0.4*U209,"P",IF(R209&lt;0.4*U209,"F",R209))))))))))))))</f>
        <v>#N/A</v>
      </c>
      <c r="N209" s="8" t="e">
        <f t="shared" ca="1" si="20"/>
        <v>#N/A</v>
      </c>
      <c r="O209">
        <f t="shared" si="21"/>
        <v>7</v>
      </c>
      <c r="P209" s="1" t="e">
        <f ca="1">IF(ISERROR(F198),"",IF(ISTEXT(VLOOKUP(B198,INDIRECT($F$8),6+(O209-1)*3)),(VLOOKUP(B198,INDIRECT($F$8),6+(O209-1)*3)),SUM(VLOOKUP(B198,INDIRECT($F$8),6+(O209-1)*3),IF(W213,W209,0))))</f>
        <v>#N/A</v>
      </c>
      <c r="Q209" s="1">
        <f ca="1">IF(ISERROR(F198),"",VLOOKUP(B198,INDIRECT($F$8),7+(O209-1)*3))</f>
        <v>19</v>
      </c>
      <c r="R209" s="1" t="e">
        <f ca="1">IF(ISERROR(F198),"",SUM(P209:Q209))</f>
        <v>#N/A</v>
      </c>
      <c r="S209" s="1">
        <f ca="1">IF(ISERROR(F198),"",VLOOKUP(A198,INDIRECT($F$8),6+(O209-1)*3))</f>
        <v>30</v>
      </c>
      <c r="T209" s="1">
        <f ca="1">IF(ISERROR(F198),"",VLOOKUP(A198,INDIRECT($F$8),7+(O209-1)*3))</f>
        <v>20</v>
      </c>
      <c r="U209" s="1">
        <f ca="1">IF(ISERROR(F198),"",VLOOKUP(A198,INDIRECT($F$8),8+(O209-1)*3))</f>
        <v>50</v>
      </c>
      <c r="V209" s="1" t="e">
        <f ca="1">IF(ISERROR(F198),"",IF(N209=0,A209,""))</f>
        <v>#N/A</v>
      </c>
      <c r="W209" s="1">
        <f ca="1">IF(ISERROR(F198),"",IF(ISTEXT(VLOOKUP(B198,INDIRECT($F$8),6+(O209-1)*3)),11,IF(VLOOKUP(B198,INDIRECT($F$8),6+(O209-1)*3)&lt;S209*0.3,IF(VLOOKUP(B198,INDIRECT($F$8),8+(O209-1)*3)&lt;U209*0.4,IF(AND(0.4*U209-VLOOKUP(B198,INDIRECT($F$8),8+(O209-1)*3)&lt;=5,0.3*S209-VLOOKUP(B198,INDIRECT($F$8),6+(O209-1)*3)&lt;=5),MAX(0.4*U209-VLOOKUP(B198,INDIRECT($F$8),8+(O209-1)*3),0.3*S209-VLOOKUP(B198,INDIRECT($F$8),6+(O209-1)*3)),11),IF(0.3*S209-VLOOKUP(B198,INDIRECT($F$8),6+(O209-1)*3)&lt;=5,0.3*S209-VLOOKUP(B198,INDIRECT($F$8),6+(O209-1)*3),11)),IF(VLOOKUP(B198,INDIRECT($F$8),8+(O209-1)*3)&lt;U209*0.4,IF(U209*0.4-VLOOKUP(B198,INDIRECT($F$8),8+(O209-1)*3)&lt;=5,U209*0.4-VLOOKUP(B198,INDIRECT($F$8),8+(O209-1)*3),11),0))))</f>
        <v>0</v>
      </c>
      <c r="X209" s="1" t="str">
        <f ca="1">IF(ISERROR(F198),"",IF(W209=0,"",_xlfn.TEXTJOIN("",FALSE," G+",W209," in ",A209)))</f>
        <v/>
      </c>
    </row>
    <row r="210" spans="1:24" ht="13" customHeight="1" x14ac:dyDescent="0.2">
      <c r="A210" s="7" t="str">
        <f ca="1">IF(ISERROR(F198),"",VLOOKUP(C198,INDIRECT($F$8),6+(O210-1)*3,0))</f>
        <v>CAP 005</v>
      </c>
      <c r="B210" s="41" t="str">
        <f ca="1">IF(ISERROR(F198),"",VLOOKUP(D198,INDIRECT($F$8),6+(O210-1)*3-Z210,0))</f>
        <v>Object Oriented Programming with JAVA Lab</v>
      </c>
      <c r="C210" s="41"/>
      <c r="D210" s="41"/>
      <c r="E210" s="41"/>
      <c r="F210" s="7">
        <f ca="1">IF(ISERROR(F198),"",VLOOKUP(E198,INDIRECT($F$8),6+(O210-1)*3,0))</f>
        <v>1</v>
      </c>
      <c r="G210" s="42" t="e">
        <f ca="1">IF(ISERROR(F198),"",_xlfn.TEXTJOIN("/",FALSE,P210,S210))</f>
        <v>#N/A</v>
      </c>
      <c r="H210" s="42"/>
      <c r="I210" s="42" t="str">
        <f ca="1">IF(ISERROR(F198),"",_xlfn.TEXTJOIN("/",FALSE,Q210,T210))</f>
        <v>18/20</v>
      </c>
      <c r="J210" s="42"/>
      <c r="K210" s="42" t="e">
        <f ca="1">IF(ISERROR(F198),"",_xlfn.TEXTJOIN("/",FALSE,R210,U210))</f>
        <v>#N/A</v>
      </c>
      <c r="L210" s="42"/>
      <c r="M210" s="7" t="e">
        <f ca="1">IF(ISERROR(F198),"",IF(ISTEXT(P210),IF(P210="A","Ab",IF(P210="D","Dt",IF(P210="UFM","UFM",IF(P210="NA","")))),IF(AND(ISBLANK(P210),ISBLANK(R210)),"",IF(P210&lt;0.3*S210,"F",IF(ISBLANK(R210),"",IF(ISTEXT(R210),R210,IF(R210&gt;=0.9*U210,"O",IF(R210&gt;=0.85*U210,"A+",IF(R210&gt;=0.8*U210,"A",IF(R210&gt;=0.7*U210,"B+",IF(R210&gt;=0.6*U210,"B",IF(R210&gt;=0.5*U210,"C",IF(R210&gt;=0.4*U210,"P",IF(R210&lt;0.4*U210,"F",R210))))))))))))))</f>
        <v>#N/A</v>
      </c>
      <c r="N210" s="8" t="e">
        <f t="shared" ca="1" si="20"/>
        <v>#N/A</v>
      </c>
      <c r="O210">
        <f t="shared" si="21"/>
        <v>8</v>
      </c>
      <c r="P210" s="1" t="e">
        <f ca="1">IF(ISERROR(F198),"",IF(ISTEXT(VLOOKUP(B198,INDIRECT($F$8),6+(O210-1)*3)),(VLOOKUP(B198,INDIRECT($F$8),6+(O210-1)*3)),SUM(VLOOKUP(B198,INDIRECT($F$8),6+(O210-1)*3),IF(W213,W210,0))))</f>
        <v>#N/A</v>
      </c>
      <c r="Q210" s="1">
        <f ca="1">IF(ISERROR(F198),"",VLOOKUP(B198,INDIRECT($F$8),7+(O210-1)*3))</f>
        <v>18</v>
      </c>
      <c r="R210" s="1" t="e">
        <f ca="1">IF(ISERROR(F198),"",SUM(P210:Q210))</f>
        <v>#N/A</v>
      </c>
      <c r="S210" s="1">
        <f ca="1">IF(ISERROR(F198),"",VLOOKUP(A198,INDIRECT($F$8),6+(O210-1)*3))</f>
        <v>30</v>
      </c>
      <c r="T210" s="1">
        <f ca="1">IF(ISERROR(F198),"",VLOOKUP(A198,INDIRECT($F$8),7+(O210-1)*3))</f>
        <v>20</v>
      </c>
      <c r="U210" s="1">
        <f ca="1">IF(ISERROR(F198),"",VLOOKUP(A198,INDIRECT($F$8),8+(O210-1)*3))</f>
        <v>50</v>
      </c>
      <c r="V210" s="1" t="e">
        <f ca="1">IF(ISERROR(F198),"",IF(N210=0,A210,""))</f>
        <v>#N/A</v>
      </c>
      <c r="W210" s="1">
        <f ca="1">IF(ISERROR(F198),"",IF(ISTEXT(VLOOKUP(B198,INDIRECT($F$8),6+(O210-1)*3)),11,IF(VLOOKUP(B198,INDIRECT($F$8),6+(O210-1)*3)&lt;S210*0.3,IF(VLOOKUP(B198,INDIRECT($F$8),8+(O210-1)*3)&lt;U210*0.4,IF(AND(0.4*U210-VLOOKUP(B198,INDIRECT($F$8),8+(O210-1)*3)&lt;=5,0.3*S210-VLOOKUP(B198,INDIRECT($F$8),6+(O210-1)*3)&lt;=5),MAX(0.4*U210-VLOOKUP(B198,INDIRECT($F$8),8+(O210-1)*3),0.3*S210-VLOOKUP(B198,INDIRECT($F$8),6+(O210-1)*3)),11),IF(0.3*S210-VLOOKUP(B198,INDIRECT($F$8),6+(O210-1)*3)&lt;=5,0.3*S210-VLOOKUP(B198,INDIRECT($F$8),6+(O210-1)*3),11)),IF(VLOOKUP(B198,INDIRECT($F$8),8+(O210-1)*3)&lt;U210*0.4,IF(U210*0.4-VLOOKUP(B198,INDIRECT($F$8),8+(O210-1)*3)&lt;=5,U210*0.4-VLOOKUP(B198,INDIRECT($F$8),8+(O210-1)*3),11),0))))</f>
        <v>0</v>
      </c>
      <c r="X210" s="1" t="str">
        <f ca="1">IF(ISERROR(F198),"",IF(W210=0,"",_xlfn.TEXTJOIN("",FALSE," G+",W210," in ",A210)))</f>
        <v/>
      </c>
    </row>
    <row r="211" spans="1:24" ht="13" customHeight="1" x14ac:dyDescent="0.2">
      <c r="A211" s="7" t="str">
        <f ca="1">IF(ISERROR(F198),"",VLOOKUP(C198,INDIRECT($F$8),6+(O211-1)*3,0))</f>
        <v>CAP 006</v>
      </c>
      <c r="B211" s="41" t="str">
        <f ca="1">IF(ISERROR(F198),"",VLOOKUP(D198,INDIRECT($F$8),6+(O211-1)*3-Z211,0))</f>
        <v>Computer Networks Lab</v>
      </c>
      <c r="C211" s="41"/>
      <c r="D211" s="41"/>
      <c r="E211" s="41"/>
      <c r="F211" s="7">
        <f ca="1">IF(ISERROR(F198),"",VLOOKUP(E198,INDIRECT($F$8),6+(O211-1)*3,0))</f>
        <v>1</v>
      </c>
      <c r="G211" s="42" t="e">
        <f ca="1">IF(ISERROR(F198),"",_xlfn.TEXTJOIN("/",FALSE,P211,S211))</f>
        <v>#N/A</v>
      </c>
      <c r="H211" s="42"/>
      <c r="I211" s="42" t="str">
        <f ca="1">IF(ISERROR(F198),"",_xlfn.TEXTJOIN("/",FALSE,Q211,T211))</f>
        <v>16/20</v>
      </c>
      <c r="J211" s="42"/>
      <c r="K211" s="42" t="e">
        <f ca="1">IF(ISERROR(F198),"",_xlfn.TEXTJOIN("/",FALSE,R211,U211))</f>
        <v>#N/A</v>
      </c>
      <c r="L211" s="42"/>
      <c r="M211" s="7" t="e">
        <f ca="1">IF(ISERROR(F198),"",IF(ISTEXT(P211),IF(P211="A","Ab",IF(P211="D","Dt",IF(P211="UFM","UFM",IF(P211="NA","")))),IF(AND(ISBLANK(P211),ISBLANK(R211)),"",IF(P211&lt;0.3*S211,"F",IF(ISBLANK(R211),"",IF(ISTEXT(R211),R211,IF(R211&gt;=0.9*U211,"O",IF(R211&gt;=0.85*U211,"A+",IF(R211&gt;=0.8*U211,"A",IF(R211&gt;=0.7*U211,"B+",IF(R211&gt;=0.6*U211,"B",IF(R211&gt;=0.5*U211,"C",IF(R211&gt;=0.4*U211,"P",IF(R211&lt;0.4*U211,"F",R211))))))))))))))</f>
        <v>#N/A</v>
      </c>
      <c r="N211" s="8" t="e">
        <f t="shared" ca="1" si="20"/>
        <v>#N/A</v>
      </c>
      <c r="O211">
        <f t="shared" si="21"/>
        <v>9</v>
      </c>
      <c r="P211" s="1" t="e">
        <f ca="1">IF(ISERROR(F198),"",IF(ISTEXT(VLOOKUP(B198,INDIRECT($F$8),6+(O211-1)*3)),(VLOOKUP(B198,INDIRECT($F$8),6+(O211-1)*3)),SUM(VLOOKUP(B198,INDIRECT($F$8),6+(O211-1)*3),IF(W213,W211,0))))</f>
        <v>#N/A</v>
      </c>
      <c r="Q211" s="1">
        <f ca="1">IF(ISERROR(F198),"",VLOOKUP(B198,INDIRECT($F$8),7+(O211-1)*3))</f>
        <v>16</v>
      </c>
      <c r="R211" s="1" t="e">
        <f ca="1">IF(ISERROR(F198),"",SUM(P211:Q211))</f>
        <v>#N/A</v>
      </c>
      <c r="S211" s="1">
        <f ca="1">IF(ISERROR(F198),"",VLOOKUP(A198,INDIRECT($F$8),6+(O211-1)*3))</f>
        <v>30</v>
      </c>
      <c r="T211" s="1">
        <f ca="1">IF(ISERROR(F198),"",VLOOKUP(A198,INDIRECT($F$8),7+(O211-1)*3))</f>
        <v>20</v>
      </c>
      <c r="U211" s="1">
        <f ca="1">IF(ISERROR(F198),"",VLOOKUP(A198,INDIRECT($F$8),8+(O211-1)*3))</f>
        <v>50</v>
      </c>
      <c r="V211" s="1" t="e">
        <f ca="1">IF(ISERROR(F198),"",IF(N211=0,A211,""))</f>
        <v>#N/A</v>
      </c>
      <c r="W211" s="1">
        <f ca="1">IF(ISERROR(F198),"",IF(ISTEXT(VLOOKUP(B198,INDIRECT($F$8),6+(O211-1)*3)),11,IF(VLOOKUP(B198,INDIRECT($F$8),6+(O211-1)*3)&lt;S211*0.3,IF(VLOOKUP(B198,INDIRECT($F$8),8+(O211-1)*3)&lt;U211*0.4,IF(AND(0.4*U211-VLOOKUP(B198,INDIRECT($F$8),8+(O211-1)*3)&lt;=5,0.3*S211-VLOOKUP(B198,INDIRECT($F$8),6+(O211-1)*3)&lt;=5),MAX(0.4*U211-VLOOKUP(B198,INDIRECT($F$8),8+(O211-1)*3),0.3*S211-VLOOKUP(B198,INDIRECT($F$8),6+(O211-1)*3)),11),IF(0.3*S211-VLOOKUP(B198,INDIRECT($F$8),6+(O211-1)*3)&lt;=5,0.3*S211-VLOOKUP(B198,INDIRECT($F$8),6+(O211-1)*3),11)),IF(VLOOKUP(B198,INDIRECT($F$8),8+(O211-1)*3)&lt;U211*0.4,IF(U211*0.4-VLOOKUP(B198,INDIRECT($F$8),8+(O211-1)*3)&lt;=5,U211*0.4-VLOOKUP(B198,INDIRECT($F$8),8+(O211-1)*3),11),0))))</f>
        <v>0</v>
      </c>
      <c r="X211" s="1" t="str">
        <f ca="1">IF(ISERROR(F198),"",IF(W211=0,"",_xlfn.TEXTJOIN("",FALSE," G+",W211," in ",A211)))</f>
        <v/>
      </c>
    </row>
    <row r="212" spans="1:24" ht="13" customHeight="1" x14ac:dyDescent="0.2">
      <c r="A212" s="7" t="str">
        <f ca="1">IF(ISERROR(F198),"",VLOOKUP(C198,INDIRECT($F$8),6+(O212-1)*3,0))</f>
        <v>CAP 007</v>
      </c>
      <c r="B212" s="41" t="str">
        <f ca="1">IF(ISERROR(F198),"",VLOOKUP(D198,INDIRECT($F$8),6+(O212-1)*3,0))</f>
        <v>Artificial Intelligence Lab</v>
      </c>
      <c r="C212" s="41"/>
      <c r="D212" s="41"/>
      <c r="E212" s="41"/>
      <c r="F212" s="7">
        <f ca="1">IF(ISERROR(F198),"",VLOOKUP(E198,INDIRECT($F$8),6+(O212-1)*3,0))</f>
        <v>1</v>
      </c>
      <c r="G212" s="42" t="e">
        <f ca="1">IF(ISERROR(F198),"",_xlfn.TEXTJOIN("/",FALSE,P212,S212))</f>
        <v>#N/A</v>
      </c>
      <c r="H212" s="42"/>
      <c r="I212" s="42" t="str">
        <f ca="1">IF(ISERROR(F198),"",_xlfn.TEXTJOIN("/",FALSE,Q212,T212))</f>
        <v>19/20</v>
      </c>
      <c r="J212" s="42"/>
      <c r="K212" s="42" t="e">
        <f ca="1">IF(ISERROR(F198),"",_xlfn.TEXTJOIN("/",FALSE,R212,U212))</f>
        <v>#N/A</v>
      </c>
      <c r="L212" s="42"/>
      <c r="M212" s="7" t="e">
        <f ca="1">IF(ISERROR(F198),"",IF(ISTEXT(P212),IF(P212="A","Ab",IF(P212="D","Dt",IF(P212="UFM","UFM",IF(P212="NA","")))),IF(AND(ISBLANK(P212),ISBLANK(R212)),"",IF(P212&lt;0.3*S212,"F",IF(ISBLANK(R212),"",IF(ISTEXT(R212),R212,IF(R212&gt;=0.9*U212,"O",IF(R212&gt;=0.85*U212,"A+",IF(R212&gt;=0.8*U212,"A",IF(R212&gt;=0.7*U212,"B+",IF(R212&gt;=0.6*U212,"B",IF(R212&gt;=0.5*U212,"C",IF(R212&gt;=0.4*U212,"P",IF(R212&lt;0.4*U212,"F",R212))))))))))))))</f>
        <v>#N/A</v>
      </c>
      <c r="N212" s="8" t="e">
        <f t="shared" ca="1" si="20"/>
        <v>#N/A</v>
      </c>
      <c r="O212">
        <f t="shared" si="21"/>
        <v>10</v>
      </c>
      <c r="P212" s="1" t="e">
        <f ca="1">IF(ISERROR(F198),"",IF(ISTEXT(VLOOKUP(B198,INDIRECT($F$8),6+(O212-1)*3)),(VLOOKUP(B198,INDIRECT($F$8),6+(O212-1)*3)),SUM(VLOOKUP(B198,INDIRECT($F$8),6+(O212-1)*3),IF(W213,W212,0))))</f>
        <v>#N/A</v>
      </c>
      <c r="Q212" s="1">
        <f ca="1">IF(ISERROR(F198),"",VLOOKUP(B198,INDIRECT($F$8),7+(O212-1)*3))</f>
        <v>19</v>
      </c>
      <c r="R212" s="1" t="e">
        <f ca="1">IF(ISERROR(F198),"",SUM(P212:Q212))</f>
        <v>#N/A</v>
      </c>
      <c r="S212" s="1">
        <f ca="1">IF(ISERROR(F198),"",VLOOKUP(A198,INDIRECT($F$8),6+(O212-1)*3))</f>
        <v>30</v>
      </c>
      <c r="T212" s="1">
        <f ca="1">IF(ISERROR(F198),"",VLOOKUP(A198,INDIRECT($F$8),7+(O212-1)*3))</f>
        <v>20</v>
      </c>
      <c r="U212" s="1">
        <f ca="1">IF(ISERROR(F198),"",VLOOKUP(A198,INDIRECT($F$8),8+(O212-1)*3))</f>
        <v>50</v>
      </c>
      <c r="V212" s="1" t="e">
        <f ca="1">IF(ISERROR(F198),"",IF(N212=0,A212,""))</f>
        <v>#N/A</v>
      </c>
      <c r="W212" s="1">
        <f ca="1">IF(ISERROR(F198),"",IF(ISTEXT(VLOOKUP(B198,INDIRECT($F$8),6+(O212-1)*3)),11,IF(VLOOKUP(B198,INDIRECT($F$8),6+(O212-1)*3)&lt;S212*0.3,IF(VLOOKUP(B198,INDIRECT($F$8),8+(O212-1)*3)&lt;U212*0.4,IF(AND(0.4*U212-VLOOKUP(B198,INDIRECT($F$8),8+(O212-1)*3)&lt;=5,0.3*S212-VLOOKUP(B198,INDIRECT($F$8),6+(O212-1)*3)&lt;=5),MAX(0.4*U212-VLOOKUP(B198,INDIRECT($F$8),8+(O212-1)*3),0.3*S212-VLOOKUP(B198,INDIRECT($F$8),6+(O212-1)*3)),11),IF(0.3*S212-VLOOKUP(B198,INDIRECT($F$8),6+(O212-1)*3)&lt;=5,0.3*S212-VLOOKUP(B198,INDIRECT($F$8),6+(O212-1)*3),11)),IF(VLOOKUP(B198,INDIRECT($F$8),8+(O212-1)*3)&lt;U212*0.4,IF(U212*0.4-VLOOKUP(B198,INDIRECT($F$8),8+(O212-1)*3)&lt;=5,U212*0.4-VLOOKUP(B198,INDIRECT($F$8),8+(O212-1)*3),11),0))))</f>
        <v>0</v>
      </c>
      <c r="X212" s="1" t="str">
        <f ca="1">IF(ISERROR(F198),"",IF(W212=0,"",_xlfn.TEXTJOIN("",FALSE," G+",W212," in ",A212)))</f>
        <v/>
      </c>
    </row>
    <row r="213" spans="1:24" ht="13" customHeight="1" x14ac:dyDescent="0.2">
      <c r="A213" s="43" t="str">
        <f ca="1">IF(ISERROR(F198),"",A194)</f>
        <v>Total Credits/ Marks/ Total Grade Points</v>
      </c>
      <c r="B213" s="43"/>
      <c r="C213" s="43"/>
      <c r="D213" s="43"/>
      <c r="E213" s="43"/>
      <c r="F213" s="10">
        <f ca="1">IF(ISERROR(F198),"",SUM(F203:F212))</f>
        <v>24</v>
      </c>
      <c r="G213" s="44" t="e">
        <f ca="1">IF(ISERROR(F198),"",_xlfn.TEXTJOIN("/",TRUE,SUMIF(F203:F212,"&gt;0",P203:P212),SUMIF(F203:F212,"&gt;0",S203:S212)))</f>
        <v>#N/A</v>
      </c>
      <c r="H213" s="44"/>
      <c r="I213" s="44" t="str">
        <f ca="1">IF(ISERROR(F198),"",_xlfn.TEXTJOIN("/",TRUE,SUMIF(F203:F212,"&gt;0",Q203:Q212),SUMIF(F203:F212,"&gt;0",T203:T212)))</f>
        <v>299/330</v>
      </c>
      <c r="J213" s="44"/>
      <c r="K213" s="44" t="e">
        <f ca="1">IF(ISERROR(F198),"",_xlfn.TEXTJOIN("/",TRUE,SUMIF(F203:F212,"&gt;0",R203:R212),SUMIF(F203:F212,"&gt;0",U203:U212)))</f>
        <v>#N/A</v>
      </c>
      <c r="L213" s="44"/>
      <c r="M213" s="43" t="e">
        <f ca="1">IF(ISERROR(F198),"",SUMPRODUCT(N203:N212,F203:F212))</f>
        <v>#N/A</v>
      </c>
      <c r="N213" s="43"/>
      <c r="V213" s="1" t="e">
        <f ca="1">IF(ISERROR(F198),"",_xlfn.TEXTJOIN(", ",TRUE,V203:V212))</f>
        <v>#N/A</v>
      </c>
      <c r="W213" t="e">
        <f ca="1">IF(ISERROR(F198),"",IF(SUM(W203:W212)&lt;=W202,TRUE,FALSE))</f>
        <v>#N/A</v>
      </c>
      <c r="X213" s="1" t="str">
        <f ca="1">IF(ISERROR(F198),"",_xlfn.TEXTJOIN(",",TRUE,X203:X212))</f>
        <v/>
      </c>
    </row>
    <row r="214" spans="1:24" ht="13" customHeight="1" x14ac:dyDescent="0.2">
      <c r="A214" s="43" t="str">
        <f ca="1">IF(ISERROR(F198),"",A195)</f>
        <v>Result:</v>
      </c>
      <c r="B214" s="45" t="e">
        <f ca="1">IF(ISERROR(F198),"",IF(V213="","PASS","CARRY OVER"))</f>
        <v>#N/A</v>
      </c>
      <c r="C214" s="45"/>
      <c r="D214" s="43" t="str">
        <f ca="1">IF(ISERROR(F198),"",D195)</f>
        <v>Remark:</v>
      </c>
      <c r="E214" s="45" t="e">
        <f ca="1">IF(ISERROR(F198),"",IF(V213="",IF(X213="","",X213),_xlfn.TEXTJOIN(" ",TRUE,"BACK IN",V213)))</f>
        <v>#N/A</v>
      </c>
      <c r="F214" s="45"/>
      <c r="G214" s="43" t="str">
        <f ca="1">IF(ISERROR(F198),"",G195)</f>
        <v>SGPA:</v>
      </c>
      <c r="H214" s="46" t="e">
        <f ca="1">IF(ISERROR(F198),"",M213/F213)</f>
        <v>#N/A</v>
      </c>
      <c r="I214" s="43" t="str">
        <f ca="1">IF(ISERROR(F198),"",I195)</f>
        <v>CGPA:</v>
      </c>
      <c r="J214" s="46" t="e">
        <f ca="1">IF(ISERROR(F198),"",VLOOKUP(B198,INDIRECT($F$8),12+(O212-1)*3,0))</f>
        <v>#N/A</v>
      </c>
      <c r="K214" s="45" t="str">
        <f ca="1">IF(ISERROR(F198),"",K195)</f>
        <v>Earned Credits:</v>
      </c>
      <c r="L214" s="43">
        <f ca="1">IF(ISERROR(F198),"",SUMIF(N203:N212,"&gt;0",F203:F212))</f>
        <v>0</v>
      </c>
      <c r="M214" s="45" t="str">
        <f ca="1">IF(ISERROR(F198),"",M195)</f>
        <v>Cuml. Earned Credits:</v>
      </c>
      <c r="N214" s="43" t="e">
        <f ca="1">IF(ISERROR(F198),"",VLOOKUP(B198,INDIRECT($F$8),10+(O212-1)*3,0))</f>
        <v>#N/A</v>
      </c>
    </row>
    <row r="215" spans="1:24" ht="13" customHeight="1" x14ac:dyDescent="0.2">
      <c r="A215" s="43"/>
      <c r="B215" s="45"/>
      <c r="C215" s="45"/>
      <c r="D215" s="43"/>
      <c r="E215" s="45"/>
      <c r="F215" s="45"/>
      <c r="G215" s="43"/>
      <c r="H215" s="46"/>
      <c r="I215" s="43"/>
      <c r="J215" s="46"/>
      <c r="K215" s="45"/>
      <c r="L215" s="43"/>
      <c r="M215" s="45"/>
      <c r="N215" s="43"/>
    </row>
    <row r="216" spans="1:24" ht="15" x14ac:dyDescent="0.2">
      <c r="A216" s="43"/>
      <c r="B216" s="45"/>
      <c r="C216" s="45"/>
      <c r="D216" s="43"/>
      <c r="E216" s="45"/>
      <c r="F216" s="45"/>
      <c r="G216" s="43"/>
      <c r="H216" s="46"/>
      <c r="I216" s="43"/>
      <c r="J216" s="46"/>
      <c r="K216" s="45"/>
      <c r="L216" s="43"/>
      <c r="M216" s="45"/>
      <c r="N216" s="43"/>
    </row>
    <row r="217" spans="1:24" ht="13" customHeight="1" x14ac:dyDescent="0.2">
      <c r="A217" s="11" t="str">
        <f>A198</f>
        <v>MM</v>
      </c>
      <c r="B217" s="11">
        <f>B198+1</f>
        <v>12</v>
      </c>
      <c r="C217" s="11" t="str">
        <f>C198</f>
        <v>SC</v>
      </c>
      <c r="D217" s="11" t="str">
        <f>D198</f>
        <v>SN</v>
      </c>
      <c r="E217" s="11" t="str">
        <f>E198</f>
        <v>C</v>
      </c>
      <c r="F217" s="11" t="str">
        <f ca="1">VLOOKUP(B217,INDIRECT($F$8),4,0)</f>
        <v>KAMAL SINGH BISHT</v>
      </c>
    </row>
    <row r="218" spans="1:24" ht="13" customHeight="1" x14ac:dyDescent="0.2">
      <c r="A218" s="47" t="str">
        <f ca="1">IF(ISERROR(F217),"",A199)</f>
        <v>Name:</v>
      </c>
      <c r="B218" s="47" t="str">
        <f ca="1">IFERROR(VLOOKUP(B217,INDIRECT($F$8),4,0),"")</f>
        <v>KAMAL SINGH BISHT</v>
      </c>
      <c r="C218" s="47"/>
      <c r="D218" s="47" t="str">
        <f ca="1">IF(ISERROR(F217),"",D199)</f>
        <v>Father's Name:</v>
      </c>
      <c r="E218" s="47" t="str">
        <f ca="1">IFERROR(VLOOKUP(B217,INDIRECT($F$8),5,0),"")</f>
        <v>SHIV SINGH BISHT</v>
      </c>
      <c r="F218" s="47"/>
      <c r="G218" s="47" t="str">
        <f ca="1">IF(ISERROR(F217),"",G199)</f>
        <v>University Roll No:</v>
      </c>
      <c r="H218" s="47"/>
      <c r="I218" s="48">
        <f ca="1">IFERROR(VLOOKUP(B217,INDIRECT($F$8),2,0),"")</f>
        <v>240090600012</v>
      </c>
      <c r="J218" s="48"/>
      <c r="K218" s="47" t="str">
        <f ca="1">IF(ISERROR(F217),"",K199)</f>
        <v>University Enrol. No:</v>
      </c>
      <c r="L218" s="47"/>
      <c r="M218" s="48" t="str">
        <f ca="1">IFERROR(VLOOKUP(B217,INDIRECT($F$8),3,0),"")</f>
        <v>UTU/2406100182</v>
      </c>
      <c r="N218" s="48"/>
    </row>
    <row r="219" spans="1:24" ht="15" x14ac:dyDescent="0.2">
      <c r="A219" s="47"/>
      <c r="B219" s="47"/>
      <c r="C219" s="47"/>
      <c r="D219" s="47"/>
      <c r="E219" s="47"/>
      <c r="F219" s="47"/>
      <c r="G219" s="47"/>
      <c r="H219" s="47"/>
      <c r="I219" s="48"/>
      <c r="J219" s="48"/>
      <c r="K219" s="47"/>
      <c r="L219" s="47"/>
      <c r="M219" s="48"/>
      <c r="N219" s="48"/>
    </row>
    <row r="220" spans="1:24" ht="13" customHeight="1" x14ac:dyDescent="0.2">
      <c r="A220" s="45" t="str">
        <f ca="1">IF(ISERROR(F217),"",A201)</f>
        <v>Subject Code</v>
      </c>
      <c r="B220" s="45" t="str">
        <f ca="1">IF(ISERROR(F217),"",B201)</f>
        <v>Subject Name</v>
      </c>
      <c r="C220" s="45"/>
      <c r="D220" s="45"/>
      <c r="E220" s="45"/>
      <c r="F220" s="45" t="str">
        <f ca="1">IF(ISERROR(F217),"",F201)</f>
        <v>Credits</v>
      </c>
      <c r="G220" s="45" t="str">
        <f ca="1">IF(ISERROR(F217),"",G201)</f>
        <v>External Marks</v>
      </c>
      <c r="H220" s="45"/>
      <c r="I220" s="45" t="str">
        <f ca="1">IF(ISERROR(F217),"",I201)</f>
        <v>Sessional Marks</v>
      </c>
      <c r="J220" s="45"/>
      <c r="K220" s="45" t="str">
        <f ca="1">IF(ISERROR(F217),"",K201)</f>
        <v>Total Marks</v>
      </c>
      <c r="L220" s="45"/>
      <c r="M220" s="45" t="str">
        <f ca="1">IF(ISERROR(F217),"",M201)</f>
        <v>Grade</v>
      </c>
      <c r="N220" s="45" t="str">
        <f ca="1">IF(ISERROR(F217),"",N201)</f>
        <v>Grade Points</v>
      </c>
    </row>
    <row r="221" spans="1:24" ht="15" x14ac:dyDescent="0.2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W221" t="e">
        <f ca="1">IF(ISNUMBER(MATCH($F$8,{"I","III","V","VII"},0)),10,10-INDEX(INDIRECT(_xlfn.TEXTJOIN("",TRUE,"SEM_",$G$8,"!",ADDRESS(6,4+$I$8*3+4),":",ADDRESS(5+$H$8,4+$I$8*3+4))),MATCH(INDIRECT(_xlfn.TEXTJOIN("",TRUE,"TC_",$F$8,"!",ADDRESS(ROW(I218),COLUMN(I218)))),INDIRECT(_xlfn.TEXTJOIN("",TRUE,"SEM_",$G$8,"!",ADDRESS(6,2),":",ADDRESS(5+$H$8,2))))))</f>
        <v>#N/A</v>
      </c>
    </row>
    <row r="222" spans="1:24" ht="13" customHeight="1" x14ac:dyDescent="0.2">
      <c r="A222" s="7" t="str">
        <f ca="1">IF(ISERROR(F217),"",VLOOKUP(C217,INDIRECT($F$8),6+(O222-1)*3,0))</f>
        <v>CAT 009</v>
      </c>
      <c r="B222" s="41" t="str">
        <f ca="1">IF(ISERROR(F217),"",VLOOKUP(D217,INDIRECT($F$8),6+(O222-1)*3,0))</f>
        <v>Computer Based Numerical and Statistical Techniques</v>
      </c>
      <c r="C222" s="41"/>
      <c r="D222" s="41"/>
      <c r="E222" s="41"/>
      <c r="F222" s="7">
        <f ca="1">IF(ISERROR(F217),"",VLOOKUP(E217,INDIRECT($F$8),6+(O222-1)*3,0))</f>
        <v>4</v>
      </c>
      <c r="G222" s="42" t="e">
        <f ca="1">IF(ISERROR(F217),"",_xlfn.TEXTJOIN("/",FALSE,P222,S222))</f>
        <v>#N/A</v>
      </c>
      <c r="H222" s="42"/>
      <c r="I222" s="42" t="str">
        <f ca="1">IF(ISERROR(F217),"",_xlfn.TEXTJOIN("/",FALSE,Q222,T222))</f>
        <v>44/50</v>
      </c>
      <c r="J222" s="42"/>
      <c r="K222" s="42" t="e">
        <f ca="1">IF(ISERROR(F217),"",_xlfn.TEXTJOIN("/",FALSE,R222,U222))</f>
        <v>#N/A</v>
      </c>
      <c r="L222" s="42"/>
      <c r="M222" s="7" t="e">
        <f ca="1">IF(ISERROR(F217),"",IF(ISTEXT(P222),IF(P222="A","Ab",IF(P222="D","Dt",IF(P222="UFM","UFM",IF(P222="NA","")))),IF(AND(ISBLANK(P222),ISBLANK(R222)),"",IF(P222&lt;0.3*S222,"F",IF(ISBLANK(R222),"",IF(ISTEXT(R222),R222,IF(R222&gt;=0.9*U222,"O",IF(R222&gt;=0.85*U222,"A+",IF(R222&gt;=0.8*U222,"A",IF(R222&gt;=0.7*U222,"B+",IF(R222&gt;=0.6*U222,"B",IF(R222&gt;=0.5*U222,"C",IF(R222&gt;=0.4*U222,"P",IF(R222&lt;0.4*U222,"F",R222))))))))))))))</f>
        <v>#N/A</v>
      </c>
      <c r="N222" s="8" t="e">
        <f t="shared" ref="N222:N231" ca="1" si="22">INDEX($Z$2:$Z$13,MATCH(M222,$Y$2:$Y$13,0))</f>
        <v>#N/A</v>
      </c>
      <c r="O222">
        <v>1</v>
      </c>
      <c r="P222" s="1" t="e">
        <f ca="1">IF(ISERROR(F217),"",IF(ISTEXT(VLOOKUP(B217,INDIRECT($F$8),6+(O222-1)*3)),(VLOOKUP(B217,INDIRECT($F$8),6+(O222-1)*3)),SUM(VLOOKUP(B217,INDIRECT($F$8),6+(O222-1)*3),IF(W232,W222,0))))</f>
        <v>#N/A</v>
      </c>
      <c r="Q222" s="1">
        <f ca="1">IF(ISERROR(F217),"",VLOOKUP(B217,INDIRECT($F$8),7+(O222-1)*3))</f>
        <v>44</v>
      </c>
      <c r="R222" s="1" t="e">
        <f ca="1">IF(ISERROR(F217),"",SUM(P222:Q222))</f>
        <v>#N/A</v>
      </c>
      <c r="S222" s="1">
        <f ca="1">IF(ISERROR(F217),"",VLOOKUP(A217,INDIRECT($F$8),6+(O222-1)*3))</f>
        <v>100</v>
      </c>
      <c r="T222" s="1">
        <f ca="1">IF(ISERROR(F217),"",VLOOKUP(A217,INDIRECT($F$8),7+(O222-1)*3))</f>
        <v>50</v>
      </c>
      <c r="U222" s="1">
        <f ca="1">IF(ISERROR(F217),"",VLOOKUP(A217,INDIRECT($F$8),8+(O222-1)*3))</f>
        <v>150</v>
      </c>
      <c r="V222" s="1" t="e">
        <f ca="1">IF(ISERROR(F217),"",IF(N222=0,A222,""))</f>
        <v>#N/A</v>
      </c>
      <c r="W222" s="1">
        <f ca="1">IF(ISERROR(F217),"",IF(ISTEXT(VLOOKUP(B217,INDIRECT($F$8),6+(O222-1)*3)),11,IF(VLOOKUP(B217,INDIRECT($F$8),6+(O222-1)*3)&lt;S222*0.3,IF(VLOOKUP(B217,INDIRECT($F$8),8+(O222-1)*3)&lt;U222*0.4,IF(AND(0.4*U222-VLOOKUP(B217,INDIRECT($F$8),8+(O222-1)*3)&lt;=5,0.3*S222-VLOOKUP(B217,INDIRECT($F$8),6+(O222-1)*3)&lt;=5),MAX(0.4*U222-VLOOKUP(B217,INDIRECT($F$8),8+(O222-1)*3),0.3*S222-VLOOKUP(B217,INDIRECT($F$8),6+(O222-1)*3)),11),IF(0.3*S222-VLOOKUP(B217,INDIRECT($F$8),6+(O222-1)*3)&lt;=5,0.3*S222-VLOOKUP(B217,INDIRECT($F$8),6+(O222-1)*3),11)),IF(VLOOKUP(B217,INDIRECT($F$8),8+(O222-1)*3)&lt;U222*0.4,IF(U222*0.4-VLOOKUP(B217,INDIRECT($F$8),8+(O222-1)*3)&lt;=5,U222*0.4-VLOOKUP(B217,INDIRECT($F$8),8+(O222-1)*3),11),0))))</f>
        <v>0</v>
      </c>
      <c r="X222" s="1" t="str">
        <f ca="1">IF(ISERROR(F217),"",IF(W222=0,"",_xlfn.TEXTJOIN("",FALSE," G+",W222," in ",A222)))</f>
        <v/>
      </c>
    </row>
    <row r="223" spans="1:24" ht="13" customHeight="1" x14ac:dyDescent="0.2">
      <c r="A223" s="7" t="str">
        <f ca="1">IF(ISERROR(F217),"",VLOOKUP(C217,INDIRECT($F$8),6+(O223-1)*3,0))</f>
        <v>CAT 010</v>
      </c>
      <c r="B223" s="41" t="str">
        <f ca="1">IF(ISERROR(F217),"",VLOOKUP(D217,INDIRECT($F$8),6+(O223-1)*3,0))</f>
        <v>Data Structures and Analysis of Algorithms</v>
      </c>
      <c r="C223" s="41"/>
      <c r="D223" s="41"/>
      <c r="E223" s="41"/>
      <c r="F223" s="7">
        <f ca="1">IF(ISERROR(F217),"",VLOOKUP(E217,INDIRECT($F$8),6+(O223-1)*3,0))</f>
        <v>4</v>
      </c>
      <c r="G223" s="42" t="e">
        <f ca="1">IF(ISERROR(F217),"",_xlfn.TEXTJOIN("/",FALSE,P223,S223))</f>
        <v>#N/A</v>
      </c>
      <c r="H223" s="42"/>
      <c r="I223" s="42" t="str">
        <f ca="1">IF(ISERROR(F217),"",_xlfn.TEXTJOIN("/",FALSE,Q223,T223))</f>
        <v>35/50</v>
      </c>
      <c r="J223" s="42"/>
      <c r="K223" s="42" t="e">
        <f ca="1">IF(ISERROR(F217),"",_xlfn.TEXTJOIN("/",FALSE,R223,U223))</f>
        <v>#N/A</v>
      </c>
      <c r="L223" s="42"/>
      <c r="M223" s="7" t="e">
        <f ca="1">IF(ISERROR(F217),"",IF(ISTEXT(P223),IF(P223="A","Ab",IF(P223="D","Dt",IF(P223="UFM","UFM",IF(P223="NA","")))),IF(AND(ISBLANK(P223),ISBLANK(R223)),"",IF(P223&lt;0.3*S223,"F",IF(ISBLANK(R223),"",IF(ISTEXT(R223),R223,IF(R223&gt;=0.9*U223,"O",IF(R223&gt;=0.85*U223,"A+",IF(R223&gt;=0.8*U223,"A",IF(R223&gt;=0.7*U223,"B+",IF(R223&gt;=0.6*U223,"B",IF(R223&gt;=0.5*U223,"C",IF(R223&gt;=0.4*U223,"P",IF(R223&lt;0.4*U223,"F",R223))))))))))))))</f>
        <v>#N/A</v>
      </c>
      <c r="N223" s="8" t="e">
        <f t="shared" ca="1" si="22"/>
        <v>#N/A</v>
      </c>
      <c r="O223">
        <f>O222+1</f>
        <v>2</v>
      </c>
      <c r="P223" s="1" t="e">
        <f ca="1">IF(ISERROR(F217),"",IF(ISTEXT(VLOOKUP(B217,INDIRECT($F$8),6+(O223-1)*3)),(VLOOKUP(B217,INDIRECT($F$8),6+(O223-1)*3)),SUM(VLOOKUP(B217,INDIRECT($F$8),6+(O223-1)*3),IF(W232,W223,0))))</f>
        <v>#N/A</v>
      </c>
      <c r="Q223" s="1">
        <f ca="1">IF(ISERROR(F217),"",VLOOKUP(B217,INDIRECT($F$8),7+(O223-1)*3))</f>
        <v>35</v>
      </c>
      <c r="R223" s="1" t="e">
        <f ca="1">IF(ISERROR(F217),"",SUM(P223:Q223))</f>
        <v>#N/A</v>
      </c>
      <c r="S223" s="1">
        <f ca="1">IF(ISERROR(F217),"",VLOOKUP(A217,INDIRECT($F$8),6+(O223-1)*3))</f>
        <v>100</v>
      </c>
      <c r="T223" s="1">
        <f ca="1">IF(ISERROR(F217),"",VLOOKUP(A217,INDIRECT($F$8),7+(O223-1)*3))</f>
        <v>50</v>
      </c>
      <c r="U223" s="1">
        <f ca="1">IF(ISERROR(F217),"",VLOOKUP(A217,INDIRECT($F$8),8+(O223-1)*3))</f>
        <v>150</v>
      </c>
      <c r="V223" s="1" t="e">
        <f ca="1">IF(ISERROR(F217),"",IF(N223=0,A223,""))</f>
        <v>#N/A</v>
      </c>
      <c r="W223" s="1">
        <f ca="1">IF(ISERROR(F217),"",IF(ISTEXT(VLOOKUP(B217,INDIRECT($F$8),6+(O223-1)*3)),11,IF(VLOOKUP(B217,INDIRECT($F$8),6+(O223-1)*3)&lt;S223*0.3,IF(VLOOKUP(B217,INDIRECT($F$8),8+(O223-1)*3)&lt;U223*0.4,IF(AND(0.4*U223-VLOOKUP(B217,INDIRECT($F$8),8+(O223-1)*3)&lt;=5,0.3*S223-VLOOKUP(B217,INDIRECT($F$8),6+(O223-1)*3)&lt;=5),MAX(0.4*U223-VLOOKUP(B217,INDIRECT($F$8),8+(O223-1)*3),0.3*S223-VLOOKUP(B217,INDIRECT($F$8),6+(O223-1)*3)),11),IF(0.3*S223-VLOOKUP(B217,INDIRECT($F$8),6+(O223-1)*3)&lt;=5,0.3*S223-VLOOKUP(B217,INDIRECT($F$8),6+(O223-1)*3),11)),IF(VLOOKUP(B217,INDIRECT($F$8),8+(O223-1)*3)&lt;U223*0.4,IF(U223*0.4-VLOOKUP(B217,INDIRECT($F$8),8+(O223-1)*3)&lt;=5,U223*0.4-VLOOKUP(B217,INDIRECT($F$8),8+(O223-1)*3),11),0))))</f>
        <v>0</v>
      </c>
      <c r="X223" s="1" t="str">
        <f ca="1">IF(ISERROR(F217),"",IF(W223=0,"",_xlfn.TEXTJOIN("",FALSE," G+",W223," in ",A223)))</f>
        <v/>
      </c>
    </row>
    <row r="224" spans="1:24" ht="13" customHeight="1" x14ac:dyDescent="0.2">
      <c r="A224" s="7" t="str">
        <f ca="1">IF(ISERROR(F217),"",VLOOKUP(C217,INDIRECT($F$8),6+(O224-1)*3,0))</f>
        <v>CAT 011</v>
      </c>
      <c r="B224" s="41" t="str">
        <f ca="1">IF(ISERROR(F217),"",VLOOKUP(D217,INDIRECT($F$8),6+(O224-1)*3,0))</f>
        <v>Object Oriented Programming with JAVA</v>
      </c>
      <c r="C224" s="41"/>
      <c r="D224" s="41"/>
      <c r="E224" s="41"/>
      <c r="F224" s="7">
        <f ca="1">IF(ISERROR(F217),"",VLOOKUP(E217,INDIRECT($F$8),6+(O224-1)*3,0))</f>
        <v>4</v>
      </c>
      <c r="G224" s="42" t="e">
        <f ca="1">IF(ISERROR(F217),"",_xlfn.TEXTJOIN("/",FALSE,P224,S224))</f>
        <v>#N/A</v>
      </c>
      <c r="H224" s="42"/>
      <c r="I224" s="42" t="str">
        <f ca="1">IF(ISERROR(F217),"",_xlfn.TEXTJOIN("/",FALSE,Q224,T224))</f>
        <v>34/50</v>
      </c>
      <c r="J224" s="42"/>
      <c r="K224" s="42" t="e">
        <f ca="1">IF(ISERROR(F217),"",_xlfn.TEXTJOIN("/",FALSE,R224,U224))</f>
        <v>#N/A</v>
      </c>
      <c r="L224" s="42"/>
      <c r="M224" s="7" t="e">
        <f ca="1">IF(ISERROR(F217),"",IF(ISTEXT(P224),IF(P224="A","Ab",IF(P224="D","Dt",IF(P224="UFM","UFM",IF(P224="NA","")))),IF(AND(ISBLANK(P224),ISBLANK(R224)),"",IF(P224&lt;0.3*S224,"F",IF(ISBLANK(R224),"",IF(ISTEXT(R224),R224,IF(R224&gt;=0.9*U224,"O",IF(R224&gt;=0.85*U224,"A+",IF(R224&gt;=0.8*U224,"A",IF(R224&gt;=0.7*U224,"B+",IF(R224&gt;=0.6*U224,"B",IF(R224&gt;=0.5*U224,"C",IF(R224&gt;=0.4*U224,"P",IF(R224&lt;0.4*U224,"F",R224))))))))))))))</f>
        <v>#N/A</v>
      </c>
      <c r="N224" s="8" t="e">
        <f t="shared" ca="1" si="22"/>
        <v>#N/A</v>
      </c>
      <c r="O224">
        <f>O223+1</f>
        <v>3</v>
      </c>
      <c r="P224" s="1" t="e">
        <f ca="1">IF(ISERROR(F217),"",IF(ISTEXT(VLOOKUP(B217,INDIRECT($F$8),6+(O224-1)*3)),(VLOOKUP(B217,INDIRECT($F$8),6+(O224-1)*3)),SUM(VLOOKUP(B217,INDIRECT($F$8),6+(O224-1)*3),IF(W232,W224,0))))</f>
        <v>#N/A</v>
      </c>
      <c r="Q224" s="1">
        <f ca="1">IF(ISERROR(F217),"",VLOOKUP(B217,INDIRECT($F$8),7+(O224-1)*3))</f>
        <v>34</v>
      </c>
      <c r="R224" s="1" t="e">
        <f ca="1">IF(ISERROR(F217),"",SUM(P224:Q224))</f>
        <v>#N/A</v>
      </c>
      <c r="S224" s="1">
        <f ca="1">IF(ISERROR(F217),"",VLOOKUP(A217,INDIRECT($F$8),6+(O224-1)*3))</f>
        <v>100</v>
      </c>
      <c r="T224" s="1">
        <f ca="1">IF(ISERROR(F217),"",VLOOKUP(A217,INDIRECT($F$8),7+(O224-1)*3))</f>
        <v>50</v>
      </c>
      <c r="U224" s="1">
        <f ca="1">IF(ISERROR(F217),"",VLOOKUP(A217,INDIRECT($F$8),8+(O224-1)*3))</f>
        <v>150</v>
      </c>
      <c r="V224" s="1" t="e">
        <f ca="1">IF(ISERROR(F217),"",IF(N224=0,A224,""))</f>
        <v>#N/A</v>
      </c>
      <c r="W224" s="1">
        <f ca="1">IF(ISERROR(F217),"",IF(ISTEXT(VLOOKUP(B217,INDIRECT($F$8),6+(O224-1)*3)),11,IF(VLOOKUP(B217,INDIRECT($F$8),6+(O224-1)*3)&lt;S224*0.3,IF(VLOOKUP(B217,INDIRECT($F$8),8+(O224-1)*3)&lt;U224*0.4,IF(AND(0.4*U224-VLOOKUP(B217,INDIRECT($F$8),8+(O224-1)*3)&lt;=5,0.3*S224-VLOOKUP(B217,INDIRECT($F$8),6+(O224-1)*3)&lt;=5),MAX(0.4*U224-VLOOKUP(B217,INDIRECT($F$8),8+(O224-1)*3),0.3*S224-VLOOKUP(B217,INDIRECT($F$8),6+(O224-1)*3)),11),IF(0.3*S224-VLOOKUP(B217,INDIRECT($F$8),6+(O224-1)*3)&lt;=5,0.3*S224-VLOOKUP(B217,INDIRECT($F$8),6+(O224-1)*3),11)),IF(VLOOKUP(B217,INDIRECT($F$8),8+(O224-1)*3)&lt;U224*0.4,IF(U224*0.4-VLOOKUP(B217,INDIRECT($F$8),8+(O224-1)*3)&lt;=5,U224*0.4-VLOOKUP(B217,INDIRECT($F$8),8+(O224-1)*3),11),0))))</f>
        <v>0</v>
      </c>
      <c r="X224" s="1" t="str">
        <f ca="1">IF(ISERROR(F217),"",IF(W224=0,"",_xlfn.TEXTJOIN("",FALSE," G+",W224," in ",A224)))</f>
        <v/>
      </c>
    </row>
    <row r="225" spans="1:24" ht="13" customHeight="1" x14ac:dyDescent="0.2">
      <c r="A225" s="7" t="str">
        <f ca="1">IF(ISERROR(F217),"",VLOOKUP(C217,INDIRECT($F$8),6+(O225-1)*3,0))</f>
        <v>CAT 012</v>
      </c>
      <c r="B225" s="41" t="str">
        <f ca="1">IF(ISERROR(F217),"",VLOOKUP(D217,INDIRECT($F$8),6+(O225-1)*3,0))</f>
        <v>Computer Networks</v>
      </c>
      <c r="C225" s="41"/>
      <c r="D225" s="41"/>
      <c r="E225" s="41"/>
      <c r="F225" s="7">
        <f ca="1">IF(ISERROR(F217),"",VLOOKUP(E217,INDIRECT($F$8),6+(O225-1)*3,0))</f>
        <v>4</v>
      </c>
      <c r="G225" s="42" t="e">
        <f ca="1">IF(ISERROR(F217),"",_xlfn.TEXTJOIN("/",FALSE,P225,S225))</f>
        <v>#N/A</v>
      </c>
      <c r="H225" s="42"/>
      <c r="I225" s="42" t="str">
        <f ca="1">IF(ISERROR(F217),"",_xlfn.TEXTJOIN("/",FALSE,Q225,T225))</f>
        <v>38/50</v>
      </c>
      <c r="J225" s="42"/>
      <c r="K225" s="42" t="e">
        <f ca="1">IF(ISERROR(F217),"",_xlfn.TEXTJOIN("/",FALSE,R225,U225))</f>
        <v>#N/A</v>
      </c>
      <c r="L225" s="42"/>
      <c r="M225" s="7" t="e">
        <f ca="1">IF(ISERROR(F217),"",IF(ISTEXT(P225),IF(P225="A","Ab",IF(P225="D","Dt",IF(P225="UFM","UFM",IF(P225="NA","")))),IF(AND(ISBLANK(P225),ISBLANK(R225)),"",IF(P225&lt;0.3*S225,"F",IF(ISBLANK(R225),"",IF(ISTEXT(R225),R225,IF(R225&gt;=0.9*U225,"O",IF(R225&gt;=0.85*U225,"A+",IF(R225&gt;=0.8*U225,"A",IF(R225&gt;=0.7*U225,"B+",IF(R225&gt;=0.6*U225,"B",IF(R225&gt;=0.5*U225,"C",IF(R225&gt;=0.4*U225,"P",IF(R225&lt;0.4*U225,"F",R225))))))))))))))</f>
        <v>#N/A</v>
      </c>
      <c r="N225" s="8" t="e">
        <f t="shared" ca="1" si="22"/>
        <v>#N/A</v>
      </c>
      <c r="O225">
        <f t="shared" ref="O225:O231" si="23">O224+1</f>
        <v>4</v>
      </c>
      <c r="P225" s="1" t="e">
        <f ca="1">IF(ISERROR(F217),"",IF(ISTEXT(VLOOKUP(B217,INDIRECT($F$8),6+(O225-1)*3)),(VLOOKUP(B217,INDIRECT($F$8),6+(O225-1)*3)),SUM(VLOOKUP(B217,INDIRECT($F$8),6+(O225-1)*3),IF(W232,W225,0))))</f>
        <v>#N/A</v>
      </c>
      <c r="Q225" s="1">
        <f ca="1">IF(ISERROR(F217),"",VLOOKUP(B217,INDIRECT($F$8),7+(O225-1)*3))</f>
        <v>38</v>
      </c>
      <c r="R225" s="1" t="e">
        <f ca="1">IF(ISERROR(F217),"",SUM(P225:Q225))</f>
        <v>#N/A</v>
      </c>
      <c r="S225" s="1">
        <f ca="1">IF(ISERROR(F217),"",VLOOKUP(A217,INDIRECT($F$8),6+(O225-1)*3))</f>
        <v>100</v>
      </c>
      <c r="T225" s="1">
        <f ca="1">IF(ISERROR(F217),"",VLOOKUP(A217,INDIRECT($F$8),7+(O225-1)*3))</f>
        <v>50</v>
      </c>
      <c r="U225" s="1">
        <f ca="1">IF(ISERROR(F217),"",VLOOKUP(A217,INDIRECT($F$8),8+(O225-1)*3))</f>
        <v>150</v>
      </c>
      <c r="V225" s="1" t="e">
        <f ca="1">IF(ISERROR(F217),"",IF(N225=0,A225,""))</f>
        <v>#N/A</v>
      </c>
      <c r="W225" s="1">
        <f ca="1">IF(ISERROR(F217),"",IF(ISTEXT(VLOOKUP(B217,INDIRECT($F$8),6+(O225-1)*3)),11,IF(VLOOKUP(B217,INDIRECT($F$8),6+(O225-1)*3)&lt;S225*0.3,IF(VLOOKUP(B217,INDIRECT($F$8),8+(O225-1)*3)&lt;U225*0.4,IF(AND(0.4*U225-VLOOKUP(B217,INDIRECT($F$8),8+(O225-1)*3)&lt;=5,0.3*S225-VLOOKUP(B217,INDIRECT($F$8),6+(O225-1)*3)&lt;=5),MAX(0.4*U225-VLOOKUP(B217,INDIRECT($F$8),8+(O225-1)*3),0.3*S225-VLOOKUP(B217,INDIRECT($F$8),6+(O225-1)*3)),11),IF(0.3*S225-VLOOKUP(B217,INDIRECT($F$8),6+(O225-1)*3)&lt;=5,0.3*S225-VLOOKUP(B217,INDIRECT($F$8),6+(O225-1)*3),11)),IF(VLOOKUP(B217,INDIRECT($F$8),8+(O225-1)*3)&lt;U225*0.4,IF(U225*0.4-VLOOKUP(B217,INDIRECT($F$8),8+(O225-1)*3)&lt;=5,U225*0.4-VLOOKUP(B217,INDIRECT($F$8),8+(O225-1)*3),11),0))))</f>
        <v>11</v>
      </c>
      <c r="X225" s="1" t="str">
        <f ca="1">IF(ISERROR(F217),"",IF(W225=0,"",_xlfn.TEXTJOIN("",FALSE," G+",W225," in ",A225)))</f>
        <v xml:space="preserve"> G+11 in CAT 012</v>
      </c>
    </row>
    <row r="226" spans="1:24" ht="13" customHeight="1" x14ac:dyDescent="0.2">
      <c r="A226" s="7" t="str">
        <f ca="1">IF(ISERROR(F217),"",VLOOKUP(C217,INDIRECT($F$8),6+(O226-1)*3,0))</f>
        <v>CAT 013</v>
      </c>
      <c r="B226" s="41" t="str">
        <f ca="1">IF(ISERROR(F217),"",VLOOKUP(D217,INDIRECT($F$8),6+(O226-1)*3,0))</f>
        <v>Artificial Intelligence</v>
      </c>
      <c r="C226" s="41"/>
      <c r="D226" s="41"/>
      <c r="E226" s="41"/>
      <c r="F226" s="7">
        <f ca="1">IF(ISERROR(F217),"",VLOOKUP(E217,INDIRECT($F$8),6+(O226-1)*3,0))</f>
        <v>4</v>
      </c>
      <c r="G226" s="42" t="e">
        <f ca="1">IF(ISERROR(F217),"",_xlfn.TEXTJOIN("/",FALSE,P226,S226))</f>
        <v>#N/A</v>
      </c>
      <c r="H226" s="42"/>
      <c r="I226" s="42" t="str">
        <f ca="1">IF(ISERROR(F217),"",_xlfn.TEXTJOIN("/",FALSE,Q226,T226))</f>
        <v>41/50</v>
      </c>
      <c r="J226" s="42"/>
      <c r="K226" s="42" t="e">
        <f ca="1">IF(ISERROR(F217),"",_xlfn.TEXTJOIN("/",FALSE,R226,U226))</f>
        <v>#N/A</v>
      </c>
      <c r="L226" s="42"/>
      <c r="M226" s="7" t="e">
        <f ca="1">IF(ISERROR(F217),"",IF(ISTEXT(P226),IF(P226="A","Ab",IF(P226="D","Dt",IF(P226="UFM","UFM",IF(P226="NA","")))),IF(AND(ISBLANK(P226),ISBLANK(R226)),"",IF(P226&lt;0.3*S226,"F",IF(ISBLANK(R226),"",IF(ISTEXT(R226),R226,IF(R226&gt;=0.9*U226,"O",IF(R226&gt;=0.85*U226,"A+",IF(R226&gt;=0.8*U226,"A",IF(R226&gt;=0.7*U226,"B+",IF(R226&gt;=0.6*U226,"B",IF(R226&gt;=0.5*U226,"C",IF(R226&gt;=0.4*U226,"P",IF(R226&lt;0.4*U226,"F",R226))))))))))))))</f>
        <v>#N/A</v>
      </c>
      <c r="N226" s="8" t="e">
        <f t="shared" ca="1" si="22"/>
        <v>#N/A</v>
      </c>
      <c r="O226">
        <f t="shared" si="23"/>
        <v>5</v>
      </c>
      <c r="P226" s="1" t="e">
        <f ca="1">IF(ISERROR(F217),"",IF(ISTEXT(VLOOKUP(B217,INDIRECT($F$8),6+(O226-1)*3)),(VLOOKUP(B217,INDIRECT($F$8),6+(O226-1)*3)),SUM(VLOOKUP(B217,INDIRECT($F$8),6+(O226-1)*3),IF(W232,W226,0))))</f>
        <v>#N/A</v>
      </c>
      <c r="Q226" s="1">
        <f ca="1">IF(ISERROR(F217),"",VLOOKUP(B217,INDIRECT($F$8),7+(O226-1)*3))</f>
        <v>41</v>
      </c>
      <c r="R226" s="1" t="e">
        <f ca="1">IF(ISERROR(F217),"",SUM(P226:Q226))</f>
        <v>#N/A</v>
      </c>
      <c r="S226" s="1">
        <f ca="1">IF(ISERROR(F217),"",VLOOKUP(A217,INDIRECT($F$8),6+(O226-1)*3))</f>
        <v>100</v>
      </c>
      <c r="T226" s="1">
        <f ca="1">IF(ISERROR(F217),"",VLOOKUP(A217,INDIRECT($F$8),7+(O226-1)*3))</f>
        <v>50</v>
      </c>
      <c r="U226" s="1">
        <f ca="1">IF(ISERROR(F217),"",VLOOKUP(A217,INDIRECT($F$8),8+(O226-1)*3))</f>
        <v>150</v>
      </c>
      <c r="V226" s="1" t="e">
        <f ca="1">IF(ISERROR(F217),"",IF(N226=0,A226,""))</f>
        <v>#N/A</v>
      </c>
      <c r="W226" s="1">
        <f ca="1">IF(ISERROR(F217),"",IF(ISTEXT(VLOOKUP(B217,INDIRECT($F$8),6+(O226-1)*3)),11,IF(VLOOKUP(B217,INDIRECT($F$8),6+(O226-1)*3)&lt;S226*0.3,IF(VLOOKUP(B217,INDIRECT($F$8),8+(O226-1)*3)&lt;U226*0.4,IF(AND(0.4*U226-VLOOKUP(B217,INDIRECT($F$8),8+(O226-1)*3)&lt;=5,0.3*S226-VLOOKUP(B217,INDIRECT($F$8),6+(O226-1)*3)&lt;=5),MAX(0.4*U226-VLOOKUP(B217,INDIRECT($F$8),8+(O226-1)*3),0.3*S226-VLOOKUP(B217,INDIRECT($F$8),6+(O226-1)*3)),11),IF(0.3*S226-VLOOKUP(B217,INDIRECT($F$8),6+(O226-1)*3)&lt;=5,0.3*S226-VLOOKUP(B217,INDIRECT($F$8),6+(O226-1)*3),11)),IF(VLOOKUP(B217,INDIRECT($F$8),8+(O226-1)*3)&lt;U226*0.4,IF(U226*0.4-VLOOKUP(B217,INDIRECT($F$8),8+(O226-1)*3)&lt;=5,U226*0.4-VLOOKUP(B217,INDIRECT($F$8),8+(O226-1)*3),11),0))))</f>
        <v>4</v>
      </c>
      <c r="X226" s="1" t="str">
        <f ca="1">IF(ISERROR(F217),"",IF(W226=0,"",_xlfn.TEXTJOIN("",FALSE," G+",W226," in ",A226)))</f>
        <v xml:space="preserve"> G+4 in CAT 013</v>
      </c>
    </row>
    <row r="227" spans="1:24" ht="13" customHeight="1" x14ac:dyDescent="0.2">
      <c r="A227" s="7" t="str">
        <f ca="1">IF(ISERROR(F217),"",VLOOKUP(C217,INDIRECT($F$8),6+(O227-1)*3,0))</f>
        <v>AHT 304</v>
      </c>
      <c r="B227" s="41" t="str">
        <f ca="1">IF(ISERROR(F217),"",VLOOKUP(D217,INDIRECT($F$8),6+(O227-1)*3,0))</f>
        <v>Accounting and Financial Management ($)</v>
      </c>
      <c r="C227" s="41"/>
      <c r="D227" s="41"/>
      <c r="E227" s="41"/>
      <c r="F227" s="7">
        <f ca="1">IF(ISERROR(F217),"",VLOOKUP(E217,INDIRECT($F$8),6+(O227-1)*3,0))</f>
        <v>0</v>
      </c>
      <c r="G227" s="42" t="e">
        <f ca="1">IF(ISERROR(F217),"",_xlfn.TEXTJOIN("/",FALSE,P227,S227))</f>
        <v>#N/A</v>
      </c>
      <c r="H227" s="42"/>
      <c r="I227" s="42" t="str">
        <f ca="1">IF(ISERROR(F217),"",_xlfn.TEXTJOIN("/",FALSE,Q227,T227))</f>
        <v>25/50</v>
      </c>
      <c r="J227" s="42"/>
      <c r="K227" s="42" t="e">
        <f ca="1">IF(ISERROR(F217),"",_xlfn.TEXTJOIN("/",FALSE,R227,U227))</f>
        <v>#N/A</v>
      </c>
      <c r="L227" s="42"/>
      <c r="M227" s="7" t="e">
        <f ca="1">IF(ISERROR(F217),"",IF(ISTEXT(P227),IF(P227="A","Ab",IF(P227="D","Dt",IF(P227="UFM","UFM",IF(P227="NA","")))),IF(AND(ISBLANK(P227),ISBLANK(R227)),"",IF(P227&lt;0.3*S227,"F",IF(ISBLANK(R227),"",IF(ISTEXT(R227),R227,IF(R227&gt;=0.9*U227,"O",IF(R227&gt;=0.85*U227,"A+",IF(R227&gt;=0.8*U227,"A",IF(R227&gt;=0.7*U227,"B+",IF(R227&gt;=0.6*U227,"B",IF(R227&gt;=0.5*U227,"C",IF(R227&gt;=0.4*U227,"P",IF(R227&lt;0.4*U227,"F",R227))))))))))))))</f>
        <v>#N/A</v>
      </c>
      <c r="N227" s="8" t="e">
        <f t="shared" ca="1" si="22"/>
        <v>#N/A</v>
      </c>
      <c r="O227">
        <f t="shared" si="23"/>
        <v>6</v>
      </c>
      <c r="P227" s="1" t="e">
        <f ca="1">IF(ISERROR(F217),"",IF(ISTEXT(VLOOKUP(B217,INDIRECT($F$8),6+(O227-1)*3)),(VLOOKUP(B217,INDIRECT($F$8),6+(O227-1)*3)),SUM(VLOOKUP(B217,INDIRECT($F$8),6+(O227-1)*3),IF(W232,W227,0))))</f>
        <v>#N/A</v>
      </c>
      <c r="Q227" s="1">
        <f ca="1">IF(ISERROR(F217),"",VLOOKUP(B217,INDIRECT($F$8),7+(O227-1)*3))</f>
        <v>25</v>
      </c>
      <c r="R227" s="1" t="e">
        <f ca="1">IF(ISERROR(F217),"",SUM(P227:Q227))</f>
        <v>#N/A</v>
      </c>
      <c r="S227" s="1">
        <f ca="1">IF(ISERROR(F217),"",VLOOKUP(A217,INDIRECT($F$8),6+(O227-1)*3))</f>
        <v>0</v>
      </c>
      <c r="T227" s="1">
        <f ca="1">IF(ISERROR(F217),"",VLOOKUP(A217,INDIRECT($F$8),7+(O227-1)*3))</f>
        <v>50</v>
      </c>
      <c r="U227" s="1">
        <f ca="1">IF(ISERROR(F217),"",VLOOKUP(A217,INDIRECT($F$8),8+(O227-1)*3))</f>
        <v>50</v>
      </c>
      <c r="V227" s="1" t="e">
        <f ca="1">IF(ISERROR(F217),"",IF(N227=0,A227,""))</f>
        <v>#N/A</v>
      </c>
      <c r="W227" s="1">
        <f ca="1">IF(ISERROR(F217),"",IF(ISTEXT(VLOOKUP(B217,INDIRECT($F$8),6+(O227-1)*3)),11,IF(VLOOKUP(B217,INDIRECT($F$8),6+(O227-1)*3)&lt;S227*0.3,IF(VLOOKUP(B217,INDIRECT($F$8),8+(O227-1)*3)&lt;U227*0.4,IF(AND(0.4*U227-VLOOKUP(B217,INDIRECT($F$8),8+(O227-1)*3)&lt;=5,0.3*S227-VLOOKUP(B217,INDIRECT($F$8),6+(O227-1)*3)&lt;=5),MAX(0.4*U227-VLOOKUP(B217,INDIRECT($F$8),8+(O227-1)*3),0.3*S227-VLOOKUP(B217,INDIRECT($F$8),6+(O227-1)*3)),11),IF(0.3*S227-VLOOKUP(B217,INDIRECT($F$8),6+(O227-1)*3)&lt;=5,0.3*S227-VLOOKUP(B217,INDIRECT($F$8),6+(O227-1)*3),11)),IF(VLOOKUP(B217,INDIRECT($F$8),8+(O227-1)*3)&lt;U227*0.4,IF(U227*0.4-VLOOKUP(B217,INDIRECT($F$8),8+(O227-1)*3)&lt;=5,U227*0.4-VLOOKUP(B217,INDIRECT($F$8),8+(O227-1)*3),11),0))))</f>
        <v>0</v>
      </c>
      <c r="X227" s="1" t="str">
        <f ca="1">IF(ISERROR(F217),"",IF(W227=0,"",_xlfn.TEXTJOIN("",FALSE," G+",W227," in ",A227)))</f>
        <v/>
      </c>
    </row>
    <row r="228" spans="1:24" ht="13" customHeight="1" x14ac:dyDescent="0.2">
      <c r="A228" s="7" t="str">
        <f ca="1">IF(ISERROR(F217),"",VLOOKUP(C217,INDIRECT($F$8),6+(O228-1)*3,0))</f>
        <v>CAP 004</v>
      </c>
      <c r="B228" s="41" t="str">
        <f ca="1">IF(ISERROR(F217),"",VLOOKUP(D217,INDIRECT($F$8),6+(O228-1)*3,0))</f>
        <v>Data Structures and Analysis of Algorithms Lab</v>
      </c>
      <c r="C228" s="41"/>
      <c r="D228" s="41"/>
      <c r="E228" s="41"/>
      <c r="F228" s="7">
        <f ca="1">IF(ISERROR(F217),"",VLOOKUP(E217,INDIRECT($F$8),6+(O228-1)*3,0))</f>
        <v>1</v>
      </c>
      <c r="G228" s="42" t="e">
        <f ca="1">IF(ISERROR(F217),"",_xlfn.TEXTJOIN("/",FALSE,P228,S228))</f>
        <v>#N/A</v>
      </c>
      <c r="H228" s="42"/>
      <c r="I228" s="42" t="str">
        <f ca="1">IF(ISERROR(F217),"",_xlfn.TEXTJOIN("/",FALSE,Q228,T228))</f>
        <v>18/20</v>
      </c>
      <c r="J228" s="42"/>
      <c r="K228" s="42" t="e">
        <f ca="1">IF(ISERROR(F217),"",_xlfn.TEXTJOIN("/",FALSE,R228,U228))</f>
        <v>#N/A</v>
      </c>
      <c r="L228" s="42"/>
      <c r="M228" s="7" t="e">
        <f ca="1">IF(ISERROR(F217),"",IF(ISTEXT(P228),IF(P228="A","Ab",IF(P228="D","Dt",IF(P228="UFM","UFM",IF(P228="NA","")))),IF(AND(ISBLANK(P228),ISBLANK(R228)),"",IF(P228&lt;0.3*S228,"F",IF(ISBLANK(R228),"",IF(ISTEXT(R228),R228,IF(R228&gt;=0.9*U228,"O",IF(R228&gt;=0.85*U228,"A+",IF(R228&gt;=0.8*U228,"A",IF(R228&gt;=0.7*U228,"B+",IF(R228&gt;=0.6*U228,"B",IF(R228&gt;=0.5*U228,"C",IF(R228&gt;=0.4*U228,"P",IF(R228&lt;0.4*U228,"F",R228))))))))))))))</f>
        <v>#N/A</v>
      </c>
      <c r="N228" s="8" t="e">
        <f t="shared" ca="1" si="22"/>
        <v>#N/A</v>
      </c>
      <c r="O228">
        <f t="shared" si="23"/>
        <v>7</v>
      </c>
      <c r="P228" s="1" t="e">
        <f ca="1">IF(ISERROR(F217),"",IF(ISTEXT(VLOOKUP(B217,INDIRECT($F$8),6+(O228-1)*3)),(VLOOKUP(B217,INDIRECT($F$8),6+(O228-1)*3)),SUM(VLOOKUP(B217,INDIRECT($F$8),6+(O228-1)*3),IF(W232,W228,0))))</f>
        <v>#N/A</v>
      </c>
      <c r="Q228" s="1">
        <f ca="1">IF(ISERROR(F217),"",VLOOKUP(B217,INDIRECT($F$8),7+(O228-1)*3))</f>
        <v>18</v>
      </c>
      <c r="R228" s="1" t="e">
        <f ca="1">IF(ISERROR(F217),"",SUM(P228:Q228))</f>
        <v>#N/A</v>
      </c>
      <c r="S228" s="1">
        <f ca="1">IF(ISERROR(F217),"",VLOOKUP(A217,INDIRECT($F$8),6+(O228-1)*3))</f>
        <v>30</v>
      </c>
      <c r="T228" s="1">
        <f ca="1">IF(ISERROR(F217),"",VLOOKUP(A217,INDIRECT($F$8),7+(O228-1)*3))</f>
        <v>20</v>
      </c>
      <c r="U228" s="1">
        <f ca="1">IF(ISERROR(F217),"",VLOOKUP(A217,INDIRECT($F$8),8+(O228-1)*3))</f>
        <v>50</v>
      </c>
      <c r="V228" s="1" t="e">
        <f ca="1">IF(ISERROR(F217),"",IF(N228=0,A228,""))</f>
        <v>#N/A</v>
      </c>
      <c r="W228" s="1">
        <f ca="1">IF(ISERROR(F217),"",IF(ISTEXT(VLOOKUP(B217,INDIRECT($F$8),6+(O228-1)*3)),11,IF(VLOOKUP(B217,INDIRECT($F$8),6+(O228-1)*3)&lt;S228*0.3,IF(VLOOKUP(B217,INDIRECT($F$8),8+(O228-1)*3)&lt;U228*0.4,IF(AND(0.4*U228-VLOOKUP(B217,INDIRECT($F$8),8+(O228-1)*3)&lt;=5,0.3*S228-VLOOKUP(B217,INDIRECT($F$8),6+(O228-1)*3)&lt;=5),MAX(0.4*U228-VLOOKUP(B217,INDIRECT($F$8),8+(O228-1)*3),0.3*S228-VLOOKUP(B217,INDIRECT($F$8),6+(O228-1)*3)),11),IF(0.3*S228-VLOOKUP(B217,INDIRECT($F$8),6+(O228-1)*3)&lt;=5,0.3*S228-VLOOKUP(B217,INDIRECT($F$8),6+(O228-1)*3),11)),IF(VLOOKUP(B217,INDIRECT($F$8),8+(O228-1)*3)&lt;U228*0.4,IF(U228*0.4-VLOOKUP(B217,INDIRECT($F$8),8+(O228-1)*3)&lt;=5,U228*0.4-VLOOKUP(B217,INDIRECT($F$8),8+(O228-1)*3),11),0))))</f>
        <v>0</v>
      </c>
      <c r="X228" s="1" t="str">
        <f ca="1">IF(ISERROR(F217),"",IF(W228=0,"",_xlfn.TEXTJOIN("",FALSE," G+",W228," in ",A228)))</f>
        <v/>
      </c>
    </row>
    <row r="229" spans="1:24" ht="13" customHeight="1" x14ac:dyDescent="0.2">
      <c r="A229" s="7" t="str">
        <f ca="1">IF(ISERROR(F217),"",VLOOKUP(C217,INDIRECT($F$8),6+(O229-1)*3,0))</f>
        <v>CAP 005</v>
      </c>
      <c r="B229" s="41" t="str">
        <f ca="1">IF(ISERROR(F217),"",VLOOKUP(D217,INDIRECT($F$8),6+(O229-1)*3-Z229,0))</f>
        <v>Object Oriented Programming with JAVA Lab</v>
      </c>
      <c r="C229" s="41"/>
      <c r="D229" s="41"/>
      <c r="E229" s="41"/>
      <c r="F229" s="7">
        <f ca="1">IF(ISERROR(F217),"",VLOOKUP(E217,INDIRECT($F$8),6+(O229-1)*3,0))</f>
        <v>1</v>
      </c>
      <c r="G229" s="42" t="e">
        <f ca="1">IF(ISERROR(F217),"",_xlfn.TEXTJOIN("/",FALSE,P229,S229))</f>
        <v>#N/A</v>
      </c>
      <c r="H229" s="42"/>
      <c r="I229" s="42" t="str">
        <f ca="1">IF(ISERROR(F217),"",_xlfn.TEXTJOIN("/",FALSE,Q229,T229))</f>
        <v>13/20</v>
      </c>
      <c r="J229" s="42"/>
      <c r="K229" s="42" t="e">
        <f ca="1">IF(ISERROR(F217),"",_xlfn.TEXTJOIN("/",FALSE,R229,U229))</f>
        <v>#N/A</v>
      </c>
      <c r="L229" s="42"/>
      <c r="M229" s="7" t="e">
        <f ca="1">IF(ISERROR(F217),"",IF(ISTEXT(P229),IF(P229="A","Ab",IF(P229="D","Dt",IF(P229="UFM","UFM",IF(P229="NA","")))),IF(AND(ISBLANK(P229),ISBLANK(R229)),"",IF(P229&lt;0.3*S229,"F",IF(ISBLANK(R229),"",IF(ISTEXT(R229),R229,IF(R229&gt;=0.9*U229,"O",IF(R229&gt;=0.85*U229,"A+",IF(R229&gt;=0.8*U229,"A",IF(R229&gt;=0.7*U229,"B+",IF(R229&gt;=0.6*U229,"B",IF(R229&gt;=0.5*U229,"C",IF(R229&gt;=0.4*U229,"P",IF(R229&lt;0.4*U229,"F",R229))))))))))))))</f>
        <v>#N/A</v>
      </c>
      <c r="N229" s="8" t="e">
        <f t="shared" ca="1" si="22"/>
        <v>#N/A</v>
      </c>
      <c r="O229">
        <f t="shared" si="23"/>
        <v>8</v>
      </c>
      <c r="P229" s="1" t="e">
        <f ca="1">IF(ISERROR(F217),"",IF(ISTEXT(VLOOKUP(B217,INDIRECT($F$8),6+(O229-1)*3)),(VLOOKUP(B217,INDIRECT($F$8),6+(O229-1)*3)),SUM(VLOOKUP(B217,INDIRECT($F$8),6+(O229-1)*3),IF(W232,W229,0))))</f>
        <v>#N/A</v>
      </c>
      <c r="Q229" s="1">
        <f ca="1">IF(ISERROR(F217),"",VLOOKUP(B217,INDIRECT($F$8),7+(O229-1)*3))</f>
        <v>13</v>
      </c>
      <c r="R229" s="1" t="e">
        <f ca="1">IF(ISERROR(F217),"",SUM(P229:Q229))</f>
        <v>#N/A</v>
      </c>
      <c r="S229" s="1">
        <f ca="1">IF(ISERROR(F217),"",VLOOKUP(A217,INDIRECT($F$8),6+(O229-1)*3))</f>
        <v>30</v>
      </c>
      <c r="T229" s="1">
        <f ca="1">IF(ISERROR(F217),"",VLOOKUP(A217,INDIRECT($F$8),7+(O229-1)*3))</f>
        <v>20</v>
      </c>
      <c r="U229" s="1">
        <f ca="1">IF(ISERROR(F217),"",VLOOKUP(A217,INDIRECT($F$8),8+(O229-1)*3))</f>
        <v>50</v>
      </c>
      <c r="V229" s="1" t="e">
        <f ca="1">IF(ISERROR(F217),"",IF(N229=0,A229,""))</f>
        <v>#N/A</v>
      </c>
      <c r="W229" s="1">
        <f ca="1">IF(ISERROR(F217),"",IF(ISTEXT(VLOOKUP(B217,INDIRECT($F$8),6+(O229-1)*3)),11,IF(VLOOKUP(B217,INDIRECT($F$8),6+(O229-1)*3)&lt;S229*0.3,IF(VLOOKUP(B217,INDIRECT($F$8),8+(O229-1)*3)&lt;U229*0.4,IF(AND(0.4*U229-VLOOKUP(B217,INDIRECT($F$8),8+(O229-1)*3)&lt;=5,0.3*S229-VLOOKUP(B217,INDIRECT($F$8),6+(O229-1)*3)&lt;=5),MAX(0.4*U229-VLOOKUP(B217,INDIRECT($F$8),8+(O229-1)*3),0.3*S229-VLOOKUP(B217,INDIRECT($F$8),6+(O229-1)*3)),11),IF(0.3*S229-VLOOKUP(B217,INDIRECT($F$8),6+(O229-1)*3)&lt;=5,0.3*S229-VLOOKUP(B217,INDIRECT($F$8),6+(O229-1)*3),11)),IF(VLOOKUP(B217,INDIRECT($F$8),8+(O229-1)*3)&lt;U229*0.4,IF(U229*0.4-VLOOKUP(B217,INDIRECT($F$8),8+(O229-1)*3)&lt;=5,U229*0.4-VLOOKUP(B217,INDIRECT($F$8),8+(O229-1)*3),11),0))))</f>
        <v>0</v>
      </c>
      <c r="X229" s="1" t="str">
        <f ca="1">IF(ISERROR(F217),"",IF(W229=0,"",_xlfn.TEXTJOIN("",FALSE," G+",W229," in ",A229)))</f>
        <v/>
      </c>
    </row>
    <row r="230" spans="1:24" ht="13" customHeight="1" x14ac:dyDescent="0.2">
      <c r="A230" s="7" t="str">
        <f ca="1">IF(ISERROR(F217),"",VLOOKUP(C217,INDIRECT($F$8),6+(O230-1)*3,0))</f>
        <v>CAP 006</v>
      </c>
      <c r="B230" s="41" t="str">
        <f ca="1">IF(ISERROR(F217),"",VLOOKUP(D217,INDIRECT($F$8),6+(O230-1)*3-Z230,0))</f>
        <v>Computer Networks Lab</v>
      </c>
      <c r="C230" s="41"/>
      <c r="D230" s="41"/>
      <c r="E230" s="41"/>
      <c r="F230" s="7">
        <f ca="1">IF(ISERROR(F217),"",VLOOKUP(E217,INDIRECT($F$8),6+(O230-1)*3,0))</f>
        <v>1</v>
      </c>
      <c r="G230" s="42" t="e">
        <f ca="1">IF(ISERROR(F217),"",_xlfn.TEXTJOIN("/",FALSE,P230,S230))</f>
        <v>#N/A</v>
      </c>
      <c r="H230" s="42"/>
      <c r="I230" s="42" t="str">
        <f ca="1">IF(ISERROR(F217),"",_xlfn.TEXTJOIN("/",FALSE,Q230,T230))</f>
        <v>16/20</v>
      </c>
      <c r="J230" s="42"/>
      <c r="K230" s="42" t="e">
        <f ca="1">IF(ISERROR(F217),"",_xlfn.TEXTJOIN("/",FALSE,R230,U230))</f>
        <v>#N/A</v>
      </c>
      <c r="L230" s="42"/>
      <c r="M230" s="7" t="e">
        <f ca="1">IF(ISERROR(F217),"",IF(ISTEXT(P230),IF(P230="A","Ab",IF(P230="D","Dt",IF(P230="UFM","UFM",IF(P230="NA","")))),IF(AND(ISBLANK(P230),ISBLANK(R230)),"",IF(P230&lt;0.3*S230,"F",IF(ISBLANK(R230),"",IF(ISTEXT(R230),R230,IF(R230&gt;=0.9*U230,"O",IF(R230&gt;=0.85*U230,"A+",IF(R230&gt;=0.8*U230,"A",IF(R230&gt;=0.7*U230,"B+",IF(R230&gt;=0.6*U230,"B",IF(R230&gt;=0.5*U230,"C",IF(R230&gt;=0.4*U230,"P",IF(R230&lt;0.4*U230,"F",R230))))))))))))))</f>
        <v>#N/A</v>
      </c>
      <c r="N230" s="8" t="e">
        <f t="shared" ca="1" si="22"/>
        <v>#N/A</v>
      </c>
      <c r="O230">
        <f t="shared" si="23"/>
        <v>9</v>
      </c>
      <c r="P230" s="1" t="e">
        <f ca="1">IF(ISERROR(F217),"",IF(ISTEXT(VLOOKUP(B217,INDIRECT($F$8),6+(O230-1)*3)),(VLOOKUP(B217,INDIRECT($F$8),6+(O230-1)*3)),SUM(VLOOKUP(B217,INDIRECT($F$8),6+(O230-1)*3),IF(W232,W230,0))))</f>
        <v>#N/A</v>
      </c>
      <c r="Q230" s="1">
        <f ca="1">IF(ISERROR(F217),"",VLOOKUP(B217,INDIRECT($F$8),7+(O230-1)*3))</f>
        <v>16</v>
      </c>
      <c r="R230" s="1" t="e">
        <f ca="1">IF(ISERROR(F217),"",SUM(P230:Q230))</f>
        <v>#N/A</v>
      </c>
      <c r="S230" s="1">
        <f ca="1">IF(ISERROR(F217),"",VLOOKUP(A217,INDIRECT($F$8),6+(O230-1)*3))</f>
        <v>30</v>
      </c>
      <c r="T230" s="1">
        <f ca="1">IF(ISERROR(F217),"",VLOOKUP(A217,INDIRECT($F$8),7+(O230-1)*3))</f>
        <v>20</v>
      </c>
      <c r="U230" s="1">
        <f ca="1">IF(ISERROR(F217),"",VLOOKUP(A217,INDIRECT($F$8),8+(O230-1)*3))</f>
        <v>50</v>
      </c>
      <c r="V230" s="1" t="e">
        <f ca="1">IF(ISERROR(F217),"",IF(N230=0,A230,""))</f>
        <v>#N/A</v>
      </c>
      <c r="W230" s="1">
        <f ca="1">IF(ISERROR(F217),"",IF(ISTEXT(VLOOKUP(B217,INDIRECT($F$8),6+(O230-1)*3)),11,IF(VLOOKUP(B217,INDIRECT($F$8),6+(O230-1)*3)&lt;S230*0.3,IF(VLOOKUP(B217,INDIRECT($F$8),8+(O230-1)*3)&lt;U230*0.4,IF(AND(0.4*U230-VLOOKUP(B217,INDIRECT($F$8),8+(O230-1)*3)&lt;=5,0.3*S230-VLOOKUP(B217,INDIRECT($F$8),6+(O230-1)*3)&lt;=5),MAX(0.4*U230-VLOOKUP(B217,INDIRECT($F$8),8+(O230-1)*3),0.3*S230-VLOOKUP(B217,INDIRECT($F$8),6+(O230-1)*3)),11),IF(0.3*S230-VLOOKUP(B217,INDIRECT($F$8),6+(O230-1)*3)&lt;=5,0.3*S230-VLOOKUP(B217,INDIRECT($F$8),6+(O230-1)*3),11)),IF(VLOOKUP(B217,INDIRECT($F$8),8+(O230-1)*3)&lt;U230*0.4,IF(U230*0.4-VLOOKUP(B217,INDIRECT($F$8),8+(O230-1)*3)&lt;=5,U230*0.4-VLOOKUP(B217,INDIRECT($F$8),8+(O230-1)*3),11),0))))</f>
        <v>0</v>
      </c>
      <c r="X230" s="1" t="str">
        <f ca="1">IF(ISERROR(F217),"",IF(W230=0,"",_xlfn.TEXTJOIN("",FALSE," G+",W230," in ",A230)))</f>
        <v/>
      </c>
    </row>
    <row r="231" spans="1:24" ht="13" customHeight="1" x14ac:dyDescent="0.2">
      <c r="A231" s="7" t="str">
        <f ca="1">IF(ISERROR(F217),"",VLOOKUP(C217,INDIRECT($F$8),6+(O231-1)*3,0))</f>
        <v>CAP 007</v>
      </c>
      <c r="B231" s="41" t="str">
        <f ca="1">IF(ISERROR(F217),"",VLOOKUP(D217,INDIRECT($F$8),6+(O231-1)*3,0))</f>
        <v>Artificial Intelligence Lab</v>
      </c>
      <c r="C231" s="41"/>
      <c r="D231" s="41"/>
      <c r="E231" s="41"/>
      <c r="F231" s="7">
        <f ca="1">IF(ISERROR(F217),"",VLOOKUP(E217,INDIRECT($F$8),6+(O231-1)*3,0))</f>
        <v>1</v>
      </c>
      <c r="G231" s="42" t="e">
        <f ca="1">IF(ISERROR(F217),"",_xlfn.TEXTJOIN("/",FALSE,P231,S231))</f>
        <v>#N/A</v>
      </c>
      <c r="H231" s="42"/>
      <c r="I231" s="42" t="str">
        <f ca="1">IF(ISERROR(F217),"",_xlfn.TEXTJOIN("/",FALSE,Q231,T231))</f>
        <v>18/20</v>
      </c>
      <c r="J231" s="42"/>
      <c r="K231" s="42" t="e">
        <f ca="1">IF(ISERROR(F217),"",_xlfn.TEXTJOIN("/",FALSE,R231,U231))</f>
        <v>#N/A</v>
      </c>
      <c r="L231" s="42"/>
      <c r="M231" s="7" t="e">
        <f ca="1">IF(ISERROR(F217),"",IF(ISTEXT(P231),IF(P231="A","Ab",IF(P231="D","Dt",IF(P231="UFM","UFM",IF(P231="NA","")))),IF(AND(ISBLANK(P231),ISBLANK(R231)),"",IF(P231&lt;0.3*S231,"F",IF(ISBLANK(R231),"",IF(ISTEXT(R231),R231,IF(R231&gt;=0.9*U231,"O",IF(R231&gt;=0.85*U231,"A+",IF(R231&gt;=0.8*U231,"A",IF(R231&gt;=0.7*U231,"B+",IF(R231&gt;=0.6*U231,"B",IF(R231&gt;=0.5*U231,"C",IF(R231&gt;=0.4*U231,"P",IF(R231&lt;0.4*U231,"F",R231))))))))))))))</f>
        <v>#N/A</v>
      </c>
      <c r="N231" s="8" t="e">
        <f t="shared" ca="1" si="22"/>
        <v>#N/A</v>
      </c>
      <c r="O231">
        <f t="shared" si="23"/>
        <v>10</v>
      </c>
      <c r="P231" s="1" t="e">
        <f ca="1">IF(ISERROR(F217),"",IF(ISTEXT(VLOOKUP(B217,INDIRECT($F$8),6+(O231-1)*3)),(VLOOKUP(B217,INDIRECT($F$8),6+(O231-1)*3)),SUM(VLOOKUP(B217,INDIRECT($F$8),6+(O231-1)*3),IF(W232,W231,0))))</f>
        <v>#N/A</v>
      </c>
      <c r="Q231" s="1">
        <f ca="1">IF(ISERROR(F217),"",VLOOKUP(B217,INDIRECT($F$8),7+(O231-1)*3))</f>
        <v>18</v>
      </c>
      <c r="R231" s="1" t="e">
        <f ca="1">IF(ISERROR(F217),"",SUM(P231:Q231))</f>
        <v>#N/A</v>
      </c>
      <c r="S231" s="1">
        <f ca="1">IF(ISERROR(F217),"",VLOOKUP(A217,INDIRECT($F$8),6+(O231-1)*3))</f>
        <v>30</v>
      </c>
      <c r="T231" s="1">
        <f ca="1">IF(ISERROR(F217),"",VLOOKUP(A217,INDIRECT($F$8),7+(O231-1)*3))</f>
        <v>20</v>
      </c>
      <c r="U231" s="1">
        <f ca="1">IF(ISERROR(F217),"",VLOOKUP(A217,INDIRECT($F$8),8+(O231-1)*3))</f>
        <v>50</v>
      </c>
      <c r="V231" s="1" t="e">
        <f ca="1">IF(ISERROR(F217),"",IF(N231=0,A231,""))</f>
        <v>#N/A</v>
      </c>
      <c r="W231" s="1">
        <f ca="1">IF(ISERROR(F217),"",IF(ISTEXT(VLOOKUP(B217,INDIRECT($F$8),6+(O231-1)*3)),11,IF(VLOOKUP(B217,INDIRECT($F$8),6+(O231-1)*3)&lt;S231*0.3,IF(VLOOKUP(B217,INDIRECT($F$8),8+(O231-1)*3)&lt;U231*0.4,IF(AND(0.4*U231-VLOOKUP(B217,INDIRECT($F$8),8+(O231-1)*3)&lt;=5,0.3*S231-VLOOKUP(B217,INDIRECT($F$8),6+(O231-1)*3)&lt;=5),MAX(0.4*U231-VLOOKUP(B217,INDIRECT($F$8),8+(O231-1)*3),0.3*S231-VLOOKUP(B217,INDIRECT($F$8),6+(O231-1)*3)),11),IF(0.3*S231-VLOOKUP(B217,INDIRECT($F$8),6+(O231-1)*3)&lt;=5,0.3*S231-VLOOKUP(B217,INDIRECT($F$8),6+(O231-1)*3),11)),IF(VLOOKUP(B217,INDIRECT($F$8),8+(O231-1)*3)&lt;U231*0.4,IF(U231*0.4-VLOOKUP(B217,INDIRECT($F$8),8+(O231-1)*3)&lt;=5,U231*0.4-VLOOKUP(B217,INDIRECT($F$8),8+(O231-1)*3),11),0))))</f>
        <v>0</v>
      </c>
      <c r="X231" s="1" t="str">
        <f ca="1">IF(ISERROR(F217),"",IF(W231=0,"",_xlfn.TEXTJOIN("",FALSE," G+",W231," in ",A231)))</f>
        <v/>
      </c>
    </row>
    <row r="232" spans="1:24" ht="13" customHeight="1" x14ac:dyDescent="0.2">
      <c r="A232" s="43" t="str">
        <f ca="1">IF(ISERROR(F217),"",A213)</f>
        <v>Total Credits/ Marks/ Total Grade Points</v>
      </c>
      <c r="B232" s="43"/>
      <c r="C232" s="43"/>
      <c r="D232" s="43"/>
      <c r="E232" s="43"/>
      <c r="F232" s="10">
        <f ca="1">IF(ISERROR(F217),"",SUM(F222:F231))</f>
        <v>24</v>
      </c>
      <c r="G232" s="44" t="e">
        <f ca="1">IF(ISERROR(F217),"",_xlfn.TEXTJOIN("/",TRUE,SUMIF(F222:F231,"&gt;0",P222:P231),SUMIF(F222:F231,"&gt;0",S222:S231)))</f>
        <v>#N/A</v>
      </c>
      <c r="H232" s="44"/>
      <c r="I232" s="44" t="str">
        <f ca="1">IF(ISERROR(F217),"",_xlfn.TEXTJOIN("/",TRUE,SUMIF(F222:F231,"&gt;0",Q222:Q231),SUMIF(F222:F231,"&gt;0",T222:T231)))</f>
        <v>257/330</v>
      </c>
      <c r="J232" s="44"/>
      <c r="K232" s="44" t="e">
        <f ca="1">IF(ISERROR(F217),"",_xlfn.TEXTJOIN("/",TRUE,SUMIF(F222:F231,"&gt;0",R222:R231),SUMIF(F222:F231,"&gt;0",U222:U231)))</f>
        <v>#N/A</v>
      </c>
      <c r="L232" s="44"/>
      <c r="M232" s="43" t="e">
        <f ca="1">IF(ISERROR(F217),"",SUMPRODUCT(N222:N231,F222:F231))</f>
        <v>#N/A</v>
      </c>
      <c r="N232" s="43"/>
      <c r="V232" s="1" t="e">
        <f ca="1">IF(ISERROR(F217),"",_xlfn.TEXTJOIN(", ",TRUE,V222:V231))</f>
        <v>#N/A</v>
      </c>
      <c r="W232" t="e">
        <f ca="1">IF(ISERROR(F217),"",IF(SUM(W222:W231)&lt;=W221,TRUE,FALSE))</f>
        <v>#N/A</v>
      </c>
      <c r="X232" s="1" t="str">
        <f ca="1">IF(ISERROR(F217),"",_xlfn.TEXTJOIN(",",TRUE,X222:X231))</f>
        <v xml:space="preserve"> G+11 in CAT 012, G+4 in CAT 013</v>
      </c>
    </row>
    <row r="233" spans="1:24" ht="13" customHeight="1" x14ac:dyDescent="0.2">
      <c r="A233" s="43" t="str">
        <f ca="1">IF(ISERROR(F217),"",A214)</f>
        <v>Result:</v>
      </c>
      <c r="B233" s="45" t="e">
        <f ca="1">IF(ISERROR(F217),"",IF(V232="","PASS","CARRY OVER"))</f>
        <v>#N/A</v>
      </c>
      <c r="C233" s="45"/>
      <c r="D233" s="43" t="str">
        <f ca="1">IF(ISERROR(F217),"",D214)</f>
        <v>Remark:</v>
      </c>
      <c r="E233" s="45" t="e">
        <f ca="1">IF(ISERROR(F217),"",IF(V232="",IF(X232="","",X232),_xlfn.TEXTJOIN(" ",TRUE,"BACK IN",V232)))</f>
        <v>#N/A</v>
      </c>
      <c r="F233" s="45"/>
      <c r="G233" s="43" t="str">
        <f ca="1">IF(ISERROR(F217),"",G214)</f>
        <v>SGPA:</v>
      </c>
      <c r="H233" s="46" t="e">
        <f ca="1">IF(ISERROR(F217),"",M232/F232)</f>
        <v>#N/A</v>
      </c>
      <c r="I233" s="43" t="str">
        <f ca="1">IF(ISERROR(F217),"",I214)</f>
        <v>CGPA:</v>
      </c>
      <c r="J233" s="46" t="e">
        <f ca="1">IF(ISERROR(F217),"",VLOOKUP(B217,INDIRECT($F$8),12+(O231-1)*3,0))</f>
        <v>#N/A</v>
      </c>
      <c r="K233" s="45" t="str">
        <f ca="1">IF(ISERROR(F217),"",K214)</f>
        <v>Earned Credits:</v>
      </c>
      <c r="L233" s="43">
        <f ca="1">IF(ISERROR(F217),"",SUMIF(N222:N231,"&gt;0",F222:F231))</f>
        <v>0</v>
      </c>
      <c r="M233" s="45" t="str">
        <f ca="1">IF(ISERROR(F217),"",M214)</f>
        <v>Cuml. Earned Credits:</v>
      </c>
      <c r="N233" s="43" t="e">
        <f ca="1">IF(ISERROR(F217),"",VLOOKUP(B217,INDIRECT($F$8),10+(O231-1)*3,0))</f>
        <v>#N/A</v>
      </c>
    </row>
    <row r="234" spans="1:24" ht="13" customHeight="1" x14ac:dyDescent="0.2">
      <c r="A234" s="43"/>
      <c r="B234" s="45"/>
      <c r="C234" s="45"/>
      <c r="D234" s="43"/>
      <c r="E234" s="45"/>
      <c r="F234" s="45"/>
      <c r="G234" s="43"/>
      <c r="H234" s="46"/>
      <c r="I234" s="43"/>
      <c r="J234" s="46"/>
      <c r="K234" s="45"/>
      <c r="L234" s="43"/>
      <c r="M234" s="45"/>
      <c r="N234" s="43"/>
    </row>
    <row r="235" spans="1:24" ht="15" x14ac:dyDescent="0.2">
      <c r="A235" s="43"/>
      <c r="B235" s="45"/>
      <c r="C235" s="45"/>
      <c r="D235" s="43"/>
      <c r="E235" s="45"/>
      <c r="F235" s="45"/>
      <c r="G235" s="43"/>
      <c r="H235" s="46"/>
      <c r="I235" s="43"/>
      <c r="J235" s="46"/>
      <c r="K235" s="45"/>
      <c r="L235" s="43"/>
      <c r="M235" s="45"/>
      <c r="N235" s="43"/>
    </row>
    <row r="236" spans="1:24" ht="13" customHeight="1" x14ac:dyDescent="0.2">
      <c r="A236" s="11" t="str">
        <f>A217</f>
        <v>MM</v>
      </c>
      <c r="B236" s="11">
        <f>B217+1</f>
        <v>13</v>
      </c>
      <c r="C236" s="11" t="str">
        <f>C217</f>
        <v>SC</v>
      </c>
      <c r="D236" s="11" t="str">
        <f>D217</f>
        <v>SN</v>
      </c>
      <c r="E236" s="11" t="str">
        <f>E217</f>
        <v>C</v>
      </c>
      <c r="F236" s="11" t="str">
        <f ca="1">VLOOKUP(B236,INDIRECT($F$8),4,0)</f>
        <v>KRISHNA BHATT</v>
      </c>
    </row>
    <row r="237" spans="1:24" ht="13" customHeight="1" x14ac:dyDescent="0.2">
      <c r="A237" s="47" t="str">
        <f ca="1">IF(ISERROR(F236),"",A218)</f>
        <v>Name:</v>
      </c>
      <c r="B237" s="47" t="str">
        <f ca="1">IFERROR(VLOOKUP(B236,INDIRECT($F$8),4,0),"")</f>
        <v>KRISHNA BHATT</v>
      </c>
      <c r="C237" s="47"/>
      <c r="D237" s="47" t="str">
        <f ca="1">IF(ISERROR(F236),"",D218)</f>
        <v>Father's Name:</v>
      </c>
      <c r="E237" s="47" t="str">
        <f ca="1">IFERROR(VLOOKUP(B236,INDIRECT($F$8),5,0),"")</f>
        <v>HARENDRA PRASAD BHATT</v>
      </c>
      <c r="F237" s="47"/>
      <c r="G237" s="47" t="str">
        <f ca="1">IF(ISERROR(F236),"",G218)</f>
        <v>University Roll No:</v>
      </c>
      <c r="H237" s="47"/>
      <c r="I237" s="48">
        <f ca="1">IFERROR(VLOOKUP(B236,INDIRECT($F$8),2,0),"")</f>
        <v>240090600013</v>
      </c>
      <c r="J237" s="48"/>
      <c r="K237" s="47" t="str">
        <f ca="1">IF(ISERROR(F236),"",K218)</f>
        <v>University Enrol. No:</v>
      </c>
      <c r="L237" s="47"/>
      <c r="M237" s="48" t="str">
        <f ca="1">IFERROR(VLOOKUP(B236,INDIRECT($F$8),3,0),"")</f>
        <v>UTU/2406100175</v>
      </c>
      <c r="N237" s="48"/>
    </row>
    <row r="238" spans="1:24" ht="15" x14ac:dyDescent="0.2">
      <c r="A238" s="47"/>
      <c r="B238" s="47"/>
      <c r="C238" s="47"/>
      <c r="D238" s="47"/>
      <c r="E238" s="47"/>
      <c r="F238" s="47"/>
      <c r="G238" s="47"/>
      <c r="H238" s="47"/>
      <c r="I238" s="48"/>
      <c r="J238" s="48"/>
      <c r="K238" s="47"/>
      <c r="L238" s="47"/>
      <c r="M238" s="48"/>
      <c r="N238" s="48"/>
    </row>
    <row r="239" spans="1:24" ht="13" customHeight="1" x14ac:dyDescent="0.2">
      <c r="A239" s="45" t="str">
        <f ca="1">IF(ISERROR(F236),"",A220)</f>
        <v>Subject Code</v>
      </c>
      <c r="B239" s="45" t="str">
        <f ca="1">IF(ISERROR(F236),"",B220)</f>
        <v>Subject Name</v>
      </c>
      <c r="C239" s="45"/>
      <c r="D239" s="45"/>
      <c r="E239" s="45"/>
      <c r="F239" s="45" t="str">
        <f ca="1">IF(ISERROR(F236),"",F220)</f>
        <v>Credits</v>
      </c>
      <c r="G239" s="45" t="str">
        <f ca="1">IF(ISERROR(F236),"",G220)</f>
        <v>External Marks</v>
      </c>
      <c r="H239" s="45"/>
      <c r="I239" s="45" t="str">
        <f ca="1">IF(ISERROR(F236),"",I220)</f>
        <v>Sessional Marks</v>
      </c>
      <c r="J239" s="45"/>
      <c r="K239" s="45" t="str">
        <f ca="1">IF(ISERROR(F236),"",K220)</f>
        <v>Total Marks</v>
      </c>
      <c r="L239" s="45"/>
      <c r="M239" s="45" t="str">
        <f ca="1">IF(ISERROR(F236),"",M220)</f>
        <v>Grade</v>
      </c>
      <c r="N239" s="45" t="str">
        <f ca="1">IF(ISERROR(F236),"",N220)</f>
        <v>Grade Points</v>
      </c>
    </row>
    <row r="240" spans="1:24" ht="15" x14ac:dyDescent="0.2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W240" t="e">
        <f ca="1">IF(ISNUMBER(MATCH($F$8,{"I","III","V","VII"},0)),10,10-INDEX(INDIRECT(_xlfn.TEXTJOIN("",TRUE,"SEM_",$G$8,"!",ADDRESS(6,4+$I$8*3+4),":",ADDRESS(5+$H$8,4+$I$8*3+4))),MATCH(INDIRECT(_xlfn.TEXTJOIN("",TRUE,"TC_",$F$8,"!",ADDRESS(ROW(I237),COLUMN(I237)))),INDIRECT(_xlfn.TEXTJOIN("",TRUE,"SEM_",$G$8,"!",ADDRESS(6,2),":",ADDRESS(5+$H$8,2))))))</f>
        <v>#N/A</v>
      </c>
    </row>
    <row r="241" spans="1:24" ht="13" customHeight="1" x14ac:dyDescent="0.2">
      <c r="A241" s="7" t="str">
        <f ca="1">IF(ISERROR(F236),"",VLOOKUP(C236,INDIRECT($F$8),6+(O241-1)*3,0))</f>
        <v>CAT 009</v>
      </c>
      <c r="B241" s="41" t="str">
        <f ca="1">IF(ISERROR(F236),"",VLOOKUP(D236,INDIRECT($F$8),6+(O241-1)*3,0))</f>
        <v>Computer Based Numerical and Statistical Techniques</v>
      </c>
      <c r="C241" s="41"/>
      <c r="D241" s="41"/>
      <c r="E241" s="41"/>
      <c r="F241" s="7">
        <f ca="1">IF(ISERROR(F236),"",VLOOKUP(E236,INDIRECT($F$8),6+(O241-1)*3,0))</f>
        <v>4</v>
      </c>
      <c r="G241" s="42" t="e">
        <f ca="1">IF(ISERROR(F236),"",_xlfn.TEXTJOIN("/",FALSE,P241,S241))</f>
        <v>#N/A</v>
      </c>
      <c r="H241" s="42"/>
      <c r="I241" s="42" t="str">
        <f ca="1">IF(ISERROR(F236),"",_xlfn.TEXTJOIN("/",FALSE,Q241,T241))</f>
        <v>46/50</v>
      </c>
      <c r="J241" s="42"/>
      <c r="K241" s="42" t="e">
        <f ca="1">IF(ISERROR(F236),"",_xlfn.TEXTJOIN("/",FALSE,R241,U241))</f>
        <v>#N/A</v>
      </c>
      <c r="L241" s="42"/>
      <c r="M241" s="7" t="e">
        <f ca="1">IF(ISERROR(F236),"",IF(ISTEXT(P241),IF(P241="A","Ab",IF(P241="D","Dt",IF(P241="UFM","UFM",IF(P241="NA","")))),IF(AND(ISBLANK(P241),ISBLANK(R241)),"",IF(P241&lt;0.3*S241,"F",IF(ISBLANK(R241),"",IF(ISTEXT(R241),R241,IF(R241&gt;=0.9*U241,"O",IF(R241&gt;=0.85*U241,"A+",IF(R241&gt;=0.8*U241,"A",IF(R241&gt;=0.7*U241,"B+",IF(R241&gt;=0.6*U241,"B",IF(R241&gt;=0.5*U241,"C",IF(R241&gt;=0.4*U241,"P",IF(R241&lt;0.4*U241,"F",R241))))))))))))))</f>
        <v>#N/A</v>
      </c>
      <c r="N241" s="8" t="e">
        <f t="shared" ref="N241:N250" ca="1" si="24">INDEX($Z$2:$Z$13,MATCH(M241,$Y$2:$Y$13,0))</f>
        <v>#N/A</v>
      </c>
      <c r="O241">
        <v>1</v>
      </c>
      <c r="P241" s="1" t="e">
        <f ca="1">IF(ISERROR(F236),"",IF(ISTEXT(VLOOKUP(B236,INDIRECT($F$8),6+(O241-1)*3)),(VLOOKUP(B236,INDIRECT($F$8),6+(O241-1)*3)),SUM(VLOOKUP(B236,INDIRECT($F$8),6+(O241-1)*3),IF(W251,W241,0))))</f>
        <v>#N/A</v>
      </c>
      <c r="Q241" s="1">
        <f ca="1">IF(ISERROR(F236),"",VLOOKUP(B236,INDIRECT($F$8),7+(O241-1)*3))</f>
        <v>46</v>
      </c>
      <c r="R241" s="1" t="e">
        <f ca="1">IF(ISERROR(F236),"",SUM(P241:Q241))</f>
        <v>#N/A</v>
      </c>
      <c r="S241" s="1">
        <f ca="1">IF(ISERROR(F236),"",VLOOKUP(A236,INDIRECT($F$8),6+(O241-1)*3))</f>
        <v>100</v>
      </c>
      <c r="T241" s="1">
        <f ca="1">IF(ISERROR(F236),"",VLOOKUP(A236,INDIRECT($F$8),7+(O241-1)*3))</f>
        <v>50</v>
      </c>
      <c r="U241" s="1">
        <f ca="1">IF(ISERROR(F236),"",VLOOKUP(A236,INDIRECT($F$8),8+(O241-1)*3))</f>
        <v>150</v>
      </c>
      <c r="V241" s="1" t="e">
        <f ca="1">IF(ISERROR(F236),"",IF(N241=0,A241,""))</f>
        <v>#N/A</v>
      </c>
      <c r="W241" s="1">
        <f ca="1">IF(ISERROR(F236),"",IF(ISTEXT(VLOOKUP(B236,INDIRECT($F$8),6+(O241-1)*3)),11,IF(VLOOKUP(B236,INDIRECT($F$8),6+(O241-1)*3)&lt;S241*0.3,IF(VLOOKUP(B236,INDIRECT($F$8),8+(O241-1)*3)&lt;U241*0.4,IF(AND(0.4*U241-VLOOKUP(B236,INDIRECT($F$8),8+(O241-1)*3)&lt;=5,0.3*S241-VLOOKUP(B236,INDIRECT($F$8),6+(O241-1)*3)&lt;=5),MAX(0.4*U241-VLOOKUP(B236,INDIRECT($F$8),8+(O241-1)*3),0.3*S241-VLOOKUP(B236,INDIRECT($F$8),6+(O241-1)*3)),11),IF(0.3*S241-VLOOKUP(B236,INDIRECT($F$8),6+(O241-1)*3)&lt;=5,0.3*S241-VLOOKUP(B236,INDIRECT($F$8),6+(O241-1)*3),11)),IF(VLOOKUP(B236,INDIRECT($F$8),8+(O241-1)*3)&lt;U241*0.4,IF(U241*0.4-VLOOKUP(B236,INDIRECT($F$8),8+(O241-1)*3)&lt;=5,U241*0.4-VLOOKUP(B236,INDIRECT($F$8),8+(O241-1)*3),11),0))))</f>
        <v>0</v>
      </c>
      <c r="X241" s="1" t="str">
        <f ca="1">IF(ISERROR(F236),"",IF(W241=0,"",_xlfn.TEXTJOIN("",FALSE," G+",W241," in ",A241)))</f>
        <v/>
      </c>
    </row>
    <row r="242" spans="1:24" ht="13" customHeight="1" x14ac:dyDescent="0.2">
      <c r="A242" s="7" t="str">
        <f ca="1">IF(ISERROR(F236),"",VLOOKUP(C236,INDIRECT($F$8),6+(O242-1)*3,0))</f>
        <v>CAT 010</v>
      </c>
      <c r="B242" s="41" t="str">
        <f ca="1">IF(ISERROR(F236),"",VLOOKUP(D236,INDIRECT($F$8),6+(O242-1)*3,0))</f>
        <v>Data Structures and Analysis of Algorithms</v>
      </c>
      <c r="C242" s="41"/>
      <c r="D242" s="41"/>
      <c r="E242" s="41"/>
      <c r="F242" s="7">
        <f ca="1">IF(ISERROR(F236),"",VLOOKUP(E236,INDIRECT($F$8),6+(O242-1)*3,0))</f>
        <v>4</v>
      </c>
      <c r="G242" s="42" t="e">
        <f ca="1">IF(ISERROR(F236),"",_xlfn.TEXTJOIN("/",FALSE,P242,S242))</f>
        <v>#N/A</v>
      </c>
      <c r="H242" s="42"/>
      <c r="I242" s="42" t="str">
        <f ca="1">IF(ISERROR(F236),"",_xlfn.TEXTJOIN("/",FALSE,Q242,T242))</f>
        <v>39/50</v>
      </c>
      <c r="J242" s="42"/>
      <c r="K242" s="42" t="e">
        <f ca="1">IF(ISERROR(F236),"",_xlfn.TEXTJOIN("/",FALSE,R242,U242))</f>
        <v>#N/A</v>
      </c>
      <c r="L242" s="42"/>
      <c r="M242" s="7" t="e">
        <f ca="1">IF(ISERROR(F236),"",IF(ISTEXT(P242),IF(P242="A","Ab",IF(P242="D","Dt",IF(P242="UFM","UFM",IF(P242="NA","")))),IF(AND(ISBLANK(P242),ISBLANK(R242)),"",IF(P242&lt;0.3*S242,"F",IF(ISBLANK(R242),"",IF(ISTEXT(R242),R242,IF(R242&gt;=0.9*U242,"O",IF(R242&gt;=0.85*U242,"A+",IF(R242&gt;=0.8*U242,"A",IF(R242&gt;=0.7*U242,"B+",IF(R242&gt;=0.6*U242,"B",IF(R242&gt;=0.5*U242,"C",IF(R242&gt;=0.4*U242,"P",IF(R242&lt;0.4*U242,"F",R242))))))))))))))</f>
        <v>#N/A</v>
      </c>
      <c r="N242" s="8" t="e">
        <f t="shared" ca="1" si="24"/>
        <v>#N/A</v>
      </c>
      <c r="O242">
        <f>O241+1</f>
        <v>2</v>
      </c>
      <c r="P242" s="1" t="e">
        <f ca="1">IF(ISERROR(F236),"",IF(ISTEXT(VLOOKUP(B236,INDIRECT($F$8),6+(O242-1)*3)),(VLOOKUP(B236,INDIRECT($F$8),6+(O242-1)*3)),SUM(VLOOKUP(B236,INDIRECT($F$8),6+(O242-1)*3),IF(W251,W242,0))))</f>
        <v>#N/A</v>
      </c>
      <c r="Q242" s="1">
        <f ca="1">IF(ISERROR(F236),"",VLOOKUP(B236,INDIRECT($F$8),7+(O242-1)*3))</f>
        <v>39</v>
      </c>
      <c r="R242" s="1" t="e">
        <f ca="1">IF(ISERROR(F236),"",SUM(P242:Q242))</f>
        <v>#N/A</v>
      </c>
      <c r="S242" s="1">
        <f ca="1">IF(ISERROR(F236),"",VLOOKUP(A236,INDIRECT($F$8),6+(O242-1)*3))</f>
        <v>100</v>
      </c>
      <c r="T242" s="1">
        <f ca="1">IF(ISERROR(F236),"",VLOOKUP(A236,INDIRECT($F$8),7+(O242-1)*3))</f>
        <v>50</v>
      </c>
      <c r="U242" s="1">
        <f ca="1">IF(ISERROR(F236),"",VLOOKUP(A236,INDIRECT($F$8),8+(O242-1)*3))</f>
        <v>150</v>
      </c>
      <c r="V242" s="1" t="e">
        <f ca="1">IF(ISERROR(F236),"",IF(N242=0,A242,""))</f>
        <v>#N/A</v>
      </c>
      <c r="W242" s="1">
        <f ca="1">IF(ISERROR(F236),"",IF(ISTEXT(VLOOKUP(B236,INDIRECT($F$8),6+(O242-1)*3)),11,IF(VLOOKUP(B236,INDIRECT($F$8),6+(O242-1)*3)&lt;S242*0.3,IF(VLOOKUP(B236,INDIRECT($F$8),8+(O242-1)*3)&lt;U242*0.4,IF(AND(0.4*U242-VLOOKUP(B236,INDIRECT($F$8),8+(O242-1)*3)&lt;=5,0.3*S242-VLOOKUP(B236,INDIRECT($F$8),6+(O242-1)*3)&lt;=5),MAX(0.4*U242-VLOOKUP(B236,INDIRECT($F$8),8+(O242-1)*3),0.3*S242-VLOOKUP(B236,INDIRECT($F$8),6+(O242-1)*3)),11),IF(0.3*S242-VLOOKUP(B236,INDIRECT($F$8),6+(O242-1)*3)&lt;=5,0.3*S242-VLOOKUP(B236,INDIRECT($F$8),6+(O242-1)*3),11)),IF(VLOOKUP(B236,INDIRECT($F$8),8+(O242-1)*3)&lt;U242*0.4,IF(U242*0.4-VLOOKUP(B236,INDIRECT($F$8),8+(O242-1)*3)&lt;=5,U242*0.4-VLOOKUP(B236,INDIRECT($F$8),8+(O242-1)*3),11),0))))</f>
        <v>0</v>
      </c>
      <c r="X242" s="1" t="str">
        <f ca="1">IF(ISERROR(F236),"",IF(W242=0,"",_xlfn.TEXTJOIN("",FALSE," G+",W242," in ",A242)))</f>
        <v/>
      </c>
    </row>
    <row r="243" spans="1:24" ht="13" customHeight="1" x14ac:dyDescent="0.2">
      <c r="A243" s="7" t="str">
        <f ca="1">IF(ISERROR(F236),"",VLOOKUP(C236,INDIRECT($F$8),6+(O243-1)*3,0))</f>
        <v>CAT 011</v>
      </c>
      <c r="B243" s="41" t="str">
        <f ca="1">IF(ISERROR(F236),"",VLOOKUP(D236,INDIRECT($F$8),6+(O243-1)*3,0))</f>
        <v>Object Oriented Programming with JAVA</v>
      </c>
      <c r="C243" s="41"/>
      <c r="D243" s="41"/>
      <c r="E243" s="41"/>
      <c r="F243" s="7">
        <f ca="1">IF(ISERROR(F236),"",VLOOKUP(E236,INDIRECT($F$8),6+(O243-1)*3,0))</f>
        <v>4</v>
      </c>
      <c r="G243" s="42" t="e">
        <f ca="1">IF(ISERROR(F236),"",_xlfn.TEXTJOIN("/",FALSE,P243,S243))</f>
        <v>#N/A</v>
      </c>
      <c r="H243" s="42"/>
      <c r="I243" s="42" t="str">
        <f ca="1">IF(ISERROR(F236),"",_xlfn.TEXTJOIN("/",FALSE,Q243,T243))</f>
        <v>39/50</v>
      </c>
      <c r="J243" s="42"/>
      <c r="K243" s="42" t="e">
        <f ca="1">IF(ISERROR(F236),"",_xlfn.TEXTJOIN("/",FALSE,R243,U243))</f>
        <v>#N/A</v>
      </c>
      <c r="L243" s="42"/>
      <c r="M243" s="7" t="e">
        <f ca="1">IF(ISERROR(F236),"",IF(ISTEXT(P243),IF(P243="A","Ab",IF(P243="D","Dt",IF(P243="UFM","UFM",IF(P243="NA","")))),IF(AND(ISBLANK(P243),ISBLANK(R243)),"",IF(P243&lt;0.3*S243,"F",IF(ISBLANK(R243),"",IF(ISTEXT(R243),R243,IF(R243&gt;=0.9*U243,"O",IF(R243&gt;=0.85*U243,"A+",IF(R243&gt;=0.8*U243,"A",IF(R243&gt;=0.7*U243,"B+",IF(R243&gt;=0.6*U243,"B",IF(R243&gt;=0.5*U243,"C",IF(R243&gt;=0.4*U243,"P",IF(R243&lt;0.4*U243,"F",R243))))))))))))))</f>
        <v>#N/A</v>
      </c>
      <c r="N243" s="8" t="e">
        <f t="shared" ca="1" si="24"/>
        <v>#N/A</v>
      </c>
      <c r="O243">
        <f>O242+1</f>
        <v>3</v>
      </c>
      <c r="P243" s="1" t="e">
        <f ca="1">IF(ISERROR(F236),"",IF(ISTEXT(VLOOKUP(B236,INDIRECT($F$8),6+(O243-1)*3)),(VLOOKUP(B236,INDIRECT($F$8),6+(O243-1)*3)),SUM(VLOOKUP(B236,INDIRECT($F$8),6+(O243-1)*3),IF(W251,W243,0))))</f>
        <v>#N/A</v>
      </c>
      <c r="Q243" s="1">
        <f ca="1">IF(ISERROR(F236),"",VLOOKUP(B236,INDIRECT($F$8),7+(O243-1)*3))</f>
        <v>39</v>
      </c>
      <c r="R243" s="1" t="e">
        <f ca="1">IF(ISERROR(F236),"",SUM(P243:Q243))</f>
        <v>#N/A</v>
      </c>
      <c r="S243" s="1">
        <f ca="1">IF(ISERROR(F236),"",VLOOKUP(A236,INDIRECT($F$8),6+(O243-1)*3))</f>
        <v>100</v>
      </c>
      <c r="T243" s="1">
        <f ca="1">IF(ISERROR(F236),"",VLOOKUP(A236,INDIRECT($F$8),7+(O243-1)*3))</f>
        <v>50</v>
      </c>
      <c r="U243" s="1">
        <f ca="1">IF(ISERROR(F236),"",VLOOKUP(A236,INDIRECT($F$8),8+(O243-1)*3))</f>
        <v>150</v>
      </c>
      <c r="V243" s="1" t="e">
        <f ca="1">IF(ISERROR(F236),"",IF(N243=0,A243,""))</f>
        <v>#N/A</v>
      </c>
      <c r="W243" s="1">
        <f ca="1">IF(ISERROR(F236),"",IF(ISTEXT(VLOOKUP(B236,INDIRECT($F$8),6+(O243-1)*3)),11,IF(VLOOKUP(B236,INDIRECT($F$8),6+(O243-1)*3)&lt;S243*0.3,IF(VLOOKUP(B236,INDIRECT($F$8),8+(O243-1)*3)&lt;U243*0.4,IF(AND(0.4*U243-VLOOKUP(B236,INDIRECT($F$8),8+(O243-1)*3)&lt;=5,0.3*S243-VLOOKUP(B236,INDIRECT($F$8),6+(O243-1)*3)&lt;=5),MAX(0.4*U243-VLOOKUP(B236,INDIRECT($F$8),8+(O243-1)*3),0.3*S243-VLOOKUP(B236,INDIRECT($F$8),6+(O243-1)*3)),11),IF(0.3*S243-VLOOKUP(B236,INDIRECT($F$8),6+(O243-1)*3)&lt;=5,0.3*S243-VLOOKUP(B236,INDIRECT($F$8),6+(O243-1)*3),11)),IF(VLOOKUP(B236,INDIRECT($F$8),8+(O243-1)*3)&lt;U243*0.4,IF(U243*0.4-VLOOKUP(B236,INDIRECT($F$8),8+(O243-1)*3)&lt;=5,U243*0.4-VLOOKUP(B236,INDIRECT($F$8),8+(O243-1)*3),11),0))))</f>
        <v>0</v>
      </c>
      <c r="X243" s="1" t="str">
        <f ca="1">IF(ISERROR(F236),"",IF(W243=0,"",_xlfn.TEXTJOIN("",FALSE," G+",W243," in ",A243)))</f>
        <v/>
      </c>
    </row>
    <row r="244" spans="1:24" ht="13" customHeight="1" x14ac:dyDescent="0.2">
      <c r="A244" s="7" t="str">
        <f ca="1">IF(ISERROR(F236),"",VLOOKUP(C236,INDIRECT($F$8),6+(O244-1)*3,0))</f>
        <v>CAT 012</v>
      </c>
      <c r="B244" s="41" t="str">
        <f ca="1">IF(ISERROR(F236),"",VLOOKUP(D236,INDIRECT($F$8),6+(O244-1)*3,0))</f>
        <v>Computer Networks</v>
      </c>
      <c r="C244" s="41"/>
      <c r="D244" s="41"/>
      <c r="E244" s="41"/>
      <c r="F244" s="7">
        <f ca="1">IF(ISERROR(F236),"",VLOOKUP(E236,INDIRECT($F$8),6+(O244-1)*3,0))</f>
        <v>4</v>
      </c>
      <c r="G244" s="42" t="e">
        <f ca="1">IF(ISERROR(F236),"",_xlfn.TEXTJOIN("/",FALSE,P244,S244))</f>
        <v>#N/A</v>
      </c>
      <c r="H244" s="42"/>
      <c r="I244" s="42" t="str">
        <f ca="1">IF(ISERROR(F236),"",_xlfn.TEXTJOIN("/",FALSE,Q244,T244))</f>
        <v>40/50</v>
      </c>
      <c r="J244" s="42"/>
      <c r="K244" s="42" t="e">
        <f ca="1">IF(ISERROR(F236),"",_xlfn.TEXTJOIN("/",FALSE,R244,U244))</f>
        <v>#N/A</v>
      </c>
      <c r="L244" s="42"/>
      <c r="M244" s="7" t="e">
        <f ca="1">IF(ISERROR(F236),"",IF(ISTEXT(P244),IF(P244="A","Ab",IF(P244="D","Dt",IF(P244="UFM","UFM",IF(P244="NA","")))),IF(AND(ISBLANK(P244),ISBLANK(R244)),"",IF(P244&lt;0.3*S244,"F",IF(ISBLANK(R244),"",IF(ISTEXT(R244),R244,IF(R244&gt;=0.9*U244,"O",IF(R244&gt;=0.85*U244,"A+",IF(R244&gt;=0.8*U244,"A",IF(R244&gt;=0.7*U244,"B+",IF(R244&gt;=0.6*U244,"B",IF(R244&gt;=0.5*U244,"C",IF(R244&gt;=0.4*U244,"P",IF(R244&lt;0.4*U244,"F",R244))))))))))))))</f>
        <v>#N/A</v>
      </c>
      <c r="N244" s="8" t="e">
        <f t="shared" ca="1" si="24"/>
        <v>#N/A</v>
      </c>
      <c r="O244">
        <f t="shared" ref="O244:O250" si="25">O243+1</f>
        <v>4</v>
      </c>
      <c r="P244" s="1" t="e">
        <f ca="1">IF(ISERROR(F236),"",IF(ISTEXT(VLOOKUP(B236,INDIRECT($F$8),6+(O244-1)*3)),(VLOOKUP(B236,INDIRECT($F$8),6+(O244-1)*3)),SUM(VLOOKUP(B236,INDIRECT($F$8),6+(O244-1)*3),IF(W251,W244,0))))</f>
        <v>#N/A</v>
      </c>
      <c r="Q244" s="1">
        <f ca="1">IF(ISERROR(F236),"",VLOOKUP(B236,INDIRECT($F$8),7+(O244-1)*3))</f>
        <v>40</v>
      </c>
      <c r="R244" s="1" t="e">
        <f ca="1">IF(ISERROR(F236),"",SUM(P244:Q244))</f>
        <v>#N/A</v>
      </c>
      <c r="S244" s="1">
        <f ca="1">IF(ISERROR(F236),"",VLOOKUP(A236,INDIRECT($F$8),6+(O244-1)*3))</f>
        <v>100</v>
      </c>
      <c r="T244" s="1">
        <f ca="1">IF(ISERROR(F236),"",VLOOKUP(A236,INDIRECT($F$8),7+(O244-1)*3))</f>
        <v>50</v>
      </c>
      <c r="U244" s="1">
        <f ca="1">IF(ISERROR(F236),"",VLOOKUP(A236,INDIRECT($F$8),8+(O244-1)*3))</f>
        <v>150</v>
      </c>
      <c r="V244" s="1" t="e">
        <f ca="1">IF(ISERROR(F236),"",IF(N244=0,A244,""))</f>
        <v>#N/A</v>
      </c>
      <c r="W244" s="1">
        <f ca="1">IF(ISERROR(F236),"",IF(ISTEXT(VLOOKUP(B236,INDIRECT($F$8),6+(O244-1)*3)),11,IF(VLOOKUP(B236,INDIRECT($F$8),6+(O244-1)*3)&lt;S244*0.3,IF(VLOOKUP(B236,INDIRECT($F$8),8+(O244-1)*3)&lt;U244*0.4,IF(AND(0.4*U244-VLOOKUP(B236,INDIRECT($F$8),8+(O244-1)*3)&lt;=5,0.3*S244-VLOOKUP(B236,INDIRECT($F$8),6+(O244-1)*3)&lt;=5),MAX(0.4*U244-VLOOKUP(B236,INDIRECT($F$8),8+(O244-1)*3),0.3*S244-VLOOKUP(B236,INDIRECT($F$8),6+(O244-1)*3)),11),IF(0.3*S244-VLOOKUP(B236,INDIRECT($F$8),6+(O244-1)*3)&lt;=5,0.3*S244-VLOOKUP(B236,INDIRECT($F$8),6+(O244-1)*3),11)),IF(VLOOKUP(B236,INDIRECT($F$8),8+(O244-1)*3)&lt;U244*0.4,IF(U244*0.4-VLOOKUP(B236,INDIRECT($F$8),8+(O244-1)*3)&lt;=5,U244*0.4-VLOOKUP(B236,INDIRECT($F$8),8+(O244-1)*3),11),0))))</f>
        <v>0</v>
      </c>
      <c r="X244" s="1" t="str">
        <f ca="1">IF(ISERROR(F236),"",IF(W244=0,"",_xlfn.TEXTJOIN("",FALSE," G+",W244," in ",A244)))</f>
        <v/>
      </c>
    </row>
    <row r="245" spans="1:24" ht="13" customHeight="1" x14ac:dyDescent="0.2">
      <c r="A245" s="7" t="str">
        <f ca="1">IF(ISERROR(F236),"",VLOOKUP(C236,INDIRECT($F$8),6+(O245-1)*3,0))</f>
        <v>CAT 013</v>
      </c>
      <c r="B245" s="41" t="str">
        <f ca="1">IF(ISERROR(F236),"",VLOOKUP(D236,INDIRECT($F$8),6+(O245-1)*3,0))</f>
        <v>Artificial Intelligence</v>
      </c>
      <c r="C245" s="41"/>
      <c r="D245" s="41"/>
      <c r="E245" s="41"/>
      <c r="F245" s="7">
        <f ca="1">IF(ISERROR(F236),"",VLOOKUP(E236,INDIRECT($F$8),6+(O245-1)*3,0))</f>
        <v>4</v>
      </c>
      <c r="G245" s="42" t="e">
        <f ca="1">IF(ISERROR(F236),"",_xlfn.TEXTJOIN("/",FALSE,P245,S245))</f>
        <v>#N/A</v>
      </c>
      <c r="H245" s="42"/>
      <c r="I245" s="42" t="str">
        <f ca="1">IF(ISERROR(F236),"",_xlfn.TEXTJOIN("/",FALSE,Q245,T245))</f>
        <v>44/50</v>
      </c>
      <c r="J245" s="42"/>
      <c r="K245" s="42" t="e">
        <f ca="1">IF(ISERROR(F236),"",_xlfn.TEXTJOIN("/",FALSE,R245,U245))</f>
        <v>#N/A</v>
      </c>
      <c r="L245" s="42"/>
      <c r="M245" s="7" t="e">
        <f ca="1">IF(ISERROR(F236),"",IF(ISTEXT(P245),IF(P245="A","Ab",IF(P245="D","Dt",IF(P245="UFM","UFM",IF(P245="NA","")))),IF(AND(ISBLANK(P245),ISBLANK(R245)),"",IF(P245&lt;0.3*S245,"F",IF(ISBLANK(R245),"",IF(ISTEXT(R245),R245,IF(R245&gt;=0.9*U245,"O",IF(R245&gt;=0.85*U245,"A+",IF(R245&gt;=0.8*U245,"A",IF(R245&gt;=0.7*U245,"B+",IF(R245&gt;=0.6*U245,"B",IF(R245&gt;=0.5*U245,"C",IF(R245&gt;=0.4*U245,"P",IF(R245&lt;0.4*U245,"F",R245))))))))))))))</f>
        <v>#N/A</v>
      </c>
      <c r="N245" s="8" t="e">
        <f t="shared" ca="1" si="24"/>
        <v>#N/A</v>
      </c>
      <c r="O245">
        <f t="shared" si="25"/>
        <v>5</v>
      </c>
      <c r="P245" s="1" t="e">
        <f ca="1">IF(ISERROR(F236),"",IF(ISTEXT(VLOOKUP(B236,INDIRECT($F$8),6+(O245-1)*3)),(VLOOKUP(B236,INDIRECT($F$8),6+(O245-1)*3)),SUM(VLOOKUP(B236,INDIRECT($F$8),6+(O245-1)*3),IF(W251,W245,0))))</f>
        <v>#N/A</v>
      </c>
      <c r="Q245" s="1">
        <f ca="1">IF(ISERROR(F236),"",VLOOKUP(B236,INDIRECT($F$8),7+(O245-1)*3))</f>
        <v>44</v>
      </c>
      <c r="R245" s="1" t="e">
        <f ca="1">IF(ISERROR(F236),"",SUM(P245:Q245))</f>
        <v>#N/A</v>
      </c>
      <c r="S245" s="1">
        <f ca="1">IF(ISERROR(F236),"",VLOOKUP(A236,INDIRECT($F$8),6+(O245-1)*3))</f>
        <v>100</v>
      </c>
      <c r="T245" s="1">
        <f ca="1">IF(ISERROR(F236),"",VLOOKUP(A236,INDIRECT($F$8),7+(O245-1)*3))</f>
        <v>50</v>
      </c>
      <c r="U245" s="1">
        <f ca="1">IF(ISERROR(F236),"",VLOOKUP(A236,INDIRECT($F$8),8+(O245-1)*3))</f>
        <v>150</v>
      </c>
      <c r="V245" s="1" t="e">
        <f ca="1">IF(ISERROR(F236),"",IF(N245=0,A245,""))</f>
        <v>#N/A</v>
      </c>
      <c r="W245" s="1">
        <f ca="1">IF(ISERROR(F236),"",IF(ISTEXT(VLOOKUP(B236,INDIRECT($F$8),6+(O245-1)*3)),11,IF(VLOOKUP(B236,INDIRECT($F$8),6+(O245-1)*3)&lt;S245*0.3,IF(VLOOKUP(B236,INDIRECT($F$8),8+(O245-1)*3)&lt;U245*0.4,IF(AND(0.4*U245-VLOOKUP(B236,INDIRECT($F$8),8+(O245-1)*3)&lt;=5,0.3*S245-VLOOKUP(B236,INDIRECT($F$8),6+(O245-1)*3)&lt;=5),MAX(0.4*U245-VLOOKUP(B236,INDIRECT($F$8),8+(O245-1)*3),0.3*S245-VLOOKUP(B236,INDIRECT($F$8),6+(O245-1)*3)),11),IF(0.3*S245-VLOOKUP(B236,INDIRECT($F$8),6+(O245-1)*3)&lt;=5,0.3*S245-VLOOKUP(B236,INDIRECT($F$8),6+(O245-1)*3),11)),IF(VLOOKUP(B236,INDIRECT($F$8),8+(O245-1)*3)&lt;U245*0.4,IF(U245*0.4-VLOOKUP(B236,INDIRECT($F$8),8+(O245-1)*3)&lt;=5,U245*0.4-VLOOKUP(B236,INDIRECT($F$8),8+(O245-1)*3),11),0))))</f>
        <v>0</v>
      </c>
      <c r="X245" s="1" t="str">
        <f ca="1">IF(ISERROR(F236),"",IF(W245=0,"",_xlfn.TEXTJOIN("",FALSE," G+",W245," in ",A245)))</f>
        <v/>
      </c>
    </row>
    <row r="246" spans="1:24" ht="13" customHeight="1" x14ac:dyDescent="0.2">
      <c r="A246" s="7" t="str">
        <f ca="1">IF(ISERROR(F236),"",VLOOKUP(C236,INDIRECT($F$8),6+(O246-1)*3,0))</f>
        <v>AHT 304</v>
      </c>
      <c r="B246" s="41" t="str">
        <f ca="1">IF(ISERROR(F236),"",VLOOKUP(D236,INDIRECT($F$8),6+(O246-1)*3,0))</f>
        <v>Accounting and Financial Management ($)</v>
      </c>
      <c r="C246" s="41"/>
      <c r="D246" s="41"/>
      <c r="E246" s="41"/>
      <c r="F246" s="7">
        <f ca="1">IF(ISERROR(F236),"",VLOOKUP(E236,INDIRECT($F$8),6+(O246-1)*3,0))</f>
        <v>0</v>
      </c>
      <c r="G246" s="42" t="e">
        <f ca="1">IF(ISERROR(F236),"",_xlfn.TEXTJOIN("/",FALSE,P246,S246))</f>
        <v>#N/A</v>
      </c>
      <c r="H246" s="42"/>
      <c r="I246" s="42" t="str">
        <f ca="1">IF(ISERROR(F236),"",_xlfn.TEXTJOIN("/",FALSE,Q246,T246))</f>
        <v>28/50</v>
      </c>
      <c r="J246" s="42"/>
      <c r="K246" s="42" t="e">
        <f ca="1">IF(ISERROR(F236),"",_xlfn.TEXTJOIN("/",FALSE,R246,U246))</f>
        <v>#N/A</v>
      </c>
      <c r="L246" s="42"/>
      <c r="M246" s="7" t="e">
        <f ca="1">IF(ISERROR(F236),"",IF(ISTEXT(P246),IF(P246="A","Ab",IF(P246="D","Dt",IF(P246="UFM","UFM",IF(P246="NA","")))),IF(AND(ISBLANK(P246),ISBLANK(R246)),"",IF(P246&lt;0.3*S246,"F",IF(ISBLANK(R246),"",IF(ISTEXT(R246),R246,IF(R246&gt;=0.9*U246,"O",IF(R246&gt;=0.85*U246,"A+",IF(R246&gt;=0.8*U246,"A",IF(R246&gt;=0.7*U246,"B+",IF(R246&gt;=0.6*U246,"B",IF(R246&gt;=0.5*U246,"C",IF(R246&gt;=0.4*U246,"P",IF(R246&lt;0.4*U246,"F",R246))))))))))))))</f>
        <v>#N/A</v>
      </c>
      <c r="N246" s="8" t="e">
        <f t="shared" ca="1" si="24"/>
        <v>#N/A</v>
      </c>
      <c r="O246">
        <f t="shared" si="25"/>
        <v>6</v>
      </c>
      <c r="P246" s="1" t="e">
        <f ca="1">IF(ISERROR(F236),"",IF(ISTEXT(VLOOKUP(B236,INDIRECT($F$8),6+(O246-1)*3)),(VLOOKUP(B236,INDIRECT($F$8),6+(O246-1)*3)),SUM(VLOOKUP(B236,INDIRECT($F$8),6+(O246-1)*3),IF(W251,W246,0))))</f>
        <v>#N/A</v>
      </c>
      <c r="Q246" s="1">
        <f ca="1">IF(ISERROR(F236),"",VLOOKUP(B236,INDIRECT($F$8),7+(O246-1)*3))</f>
        <v>28</v>
      </c>
      <c r="R246" s="1" t="e">
        <f ca="1">IF(ISERROR(F236),"",SUM(P246:Q246))</f>
        <v>#N/A</v>
      </c>
      <c r="S246" s="1">
        <f ca="1">IF(ISERROR(F236),"",VLOOKUP(A236,INDIRECT($F$8),6+(O246-1)*3))</f>
        <v>0</v>
      </c>
      <c r="T246" s="1">
        <f ca="1">IF(ISERROR(F236),"",VLOOKUP(A236,INDIRECT($F$8),7+(O246-1)*3))</f>
        <v>50</v>
      </c>
      <c r="U246" s="1">
        <f ca="1">IF(ISERROR(F236),"",VLOOKUP(A236,INDIRECT($F$8),8+(O246-1)*3))</f>
        <v>50</v>
      </c>
      <c r="V246" s="1" t="e">
        <f ca="1">IF(ISERROR(F236),"",IF(N246=0,A246,""))</f>
        <v>#N/A</v>
      </c>
      <c r="W246" s="1">
        <f ca="1">IF(ISERROR(F236),"",IF(ISTEXT(VLOOKUP(B236,INDIRECT($F$8),6+(O246-1)*3)),11,IF(VLOOKUP(B236,INDIRECT($F$8),6+(O246-1)*3)&lt;S246*0.3,IF(VLOOKUP(B236,INDIRECT($F$8),8+(O246-1)*3)&lt;U246*0.4,IF(AND(0.4*U246-VLOOKUP(B236,INDIRECT($F$8),8+(O246-1)*3)&lt;=5,0.3*S246-VLOOKUP(B236,INDIRECT($F$8),6+(O246-1)*3)&lt;=5),MAX(0.4*U246-VLOOKUP(B236,INDIRECT($F$8),8+(O246-1)*3),0.3*S246-VLOOKUP(B236,INDIRECT($F$8),6+(O246-1)*3)),11),IF(0.3*S246-VLOOKUP(B236,INDIRECT($F$8),6+(O246-1)*3)&lt;=5,0.3*S246-VLOOKUP(B236,INDIRECT($F$8),6+(O246-1)*3),11)),IF(VLOOKUP(B236,INDIRECT($F$8),8+(O246-1)*3)&lt;U246*0.4,IF(U246*0.4-VLOOKUP(B236,INDIRECT($F$8),8+(O246-1)*3)&lt;=5,U246*0.4-VLOOKUP(B236,INDIRECT($F$8),8+(O246-1)*3),11),0))))</f>
        <v>0</v>
      </c>
      <c r="X246" s="1" t="str">
        <f ca="1">IF(ISERROR(F236),"",IF(W246=0,"",_xlfn.TEXTJOIN("",FALSE," G+",W246," in ",A246)))</f>
        <v/>
      </c>
    </row>
    <row r="247" spans="1:24" ht="13" customHeight="1" x14ac:dyDescent="0.2">
      <c r="A247" s="7" t="str">
        <f ca="1">IF(ISERROR(F236),"",VLOOKUP(C236,INDIRECT($F$8),6+(O247-1)*3,0))</f>
        <v>CAP 004</v>
      </c>
      <c r="B247" s="41" t="str">
        <f ca="1">IF(ISERROR(F236),"",VLOOKUP(D236,INDIRECT($F$8),6+(O247-1)*3,0))</f>
        <v>Data Structures and Analysis of Algorithms Lab</v>
      </c>
      <c r="C247" s="41"/>
      <c r="D247" s="41"/>
      <c r="E247" s="41"/>
      <c r="F247" s="7">
        <f ca="1">IF(ISERROR(F236),"",VLOOKUP(E236,INDIRECT($F$8),6+(O247-1)*3,0))</f>
        <v>1</v>
      </c>
      <c r="G247" s="42" t="e">
        <f ca="1">IF(ISERROR(F236),"",_xlfn.TEXTJOIN("/",FALSE,P247,S247))</f>
        <v>#N/A</v>
      </c>
      <c r="H247" s="42"/>
      <c r="I247" s="42" t="str">
        <f ca="1">IF(ISERROR(F236),"",_xlfn.TEXTJOIN("/",FALSE,Q247,T247))</f>
        <v>19/20</v>
      </c>
      <c r="J247" s="42"/>
      <c r="K247" s="42" t="e">
        <f ca="1">IF(ISERROR(F236),"",_xlfn.TEXTJOIN("/",FALSE,R247,U247))</f>
        <v>#N/A</v>
      </c>
      <c r="L247" s="42"/>
      <c r="M247" s="7" t="e">
        <f ca="1">IF(ISERROR(F236),"",IF(ISTEXT(P247),IF(P247="A","Ab",IF(P247="D","Dt",IF(P247="UFM","UFM",IF(P247="NA","")))),IF(AND(ISBLANK(P247),ISBLANK(R247)),"",IF(P247&lt;0.3*S247,"F",IF(ISBLANK(R247),"",IF(ISTEXT(R247),R247,IF(R247&gt;=0.9*U247,"O",IF(R247&gt;=0.85*U247,"A+",IF(R247&gt;=0.8*U247,"A",IF(R247&gt;=0.7*U247,"B+",IF(R247&gt;=0.6*U247,"B",IF(R247&gt;=0.5*U247,"C",IF(R247&gt;=0.4*U247,"P",IF(R247&lt;0.4*U247,"F",R247))))))))))))))</f>
        <v>#N/A</v>
      </c>
      <c r="N247" s="8" t="e">
        <f t="shared" ca="1" si="24"/>
        <v>#N/A</v>
      </c>
      <c r="O247">
        <f t="shared" si="25"/>
        <v>7</v>
      </c>
      <c r="P247" s="1" t="e">
        <f ca="1">IF(ISERROR(F236),"",IF(ISTEXT(VLOOKUP(B236,INDIRECT($F$8),6+(O247-1)*3)),(VLOOKUP(B236,INDIRECT($F$8),6+(O247-1)*3)),SUM(VLOOKUP(B236,INDIRECT($F$8),6+(O247-1)*3),IF(W251,W247,0))))</f>
        <v>#N/A</v>
      </c>
      <c r="Q247" s="1">
        <f ca="1">IF(ISERROR(F236),"",VLOOKUP(B236,INDIRECT($F$8),7+(O247-1)*3))</f>
        <v>19</v>
      </c>
      <c r="R247" s="1" t="e">
        <f ca="1">IF(ISERROR(F236),"",SUM(P247:Q247))</f>
        <v>#N/A</v>
      </c>
      <c r="S247" s="1">
        <f ca="1">IF(ISERROR(F236),"",VLOOKUP(A236,INDIRECT($F$8),6+(O247-1)*3))</f>
        <v>30</v>
      </c>
      <c r="T247" s="1">
        <f ca="1">IF(ISERROR(F236),"",VLOOKUP(A236,INDIRECT($F$8),7+(O247-1)*3))</f>
        <v>20</v>
      </c>
      <c r="U247" s="1">
        <f ca="1">IF(ISERROR(F236),"",VLOOKUP(A236,INDIRECT($F$8),8+(O247-1)*3))</f>
        <v>50</v>
      </c>
      <c r="V247" s="1" t="e">
        <f ca="1">IF(ISERROR(F236),"",IF(N247=0,A247,""))</f>
        <v>#N/A</v>
      </c>
      <c r="W247" s="1">
        <f ca="1">IF(ISERROR(F236),"",IF(ISTEXT(VLOOKUP(B236,INDIRECT($F$8),6+(O247-1)*3)),11,IF(VLOOKUP(B236,INDIRECT($F$8),6+(O247-1)*3)&lt;S247*0.3,IF(VLOOKUP(B236,INDIRECT($F$8),8+(O247-1)*3)&lt;U247*0.4,IF(AND(0.4*U247-VLOOKUP(B236,INDIRECT($F$8),8+(O247-1)*3)&lt;=5,0.3*S247-VLOOKUP(B236,INDIRECT($F$8),6+(O247-1)*3)&lt;=5),MAX(0.4*U247-VLOOKUP(B236,INDIRECT($F$8),8+(O247-1)*3),0.3*S247-VLOOKUP(B236,INDIRECT($F$8),6+(O247-1)*3)),11),IF(0.3*S247-VLOOKUP(B236,INDIRECT($F$8),6+(O247-1)*3)&lt;=5,0.3*S247-VLOOKUP(B236,INDIRECT($F$8),6+(O247-1)*3),11)),IF(VLOOKUP(B236,INDIRECT($F$8),8+(O247-1)*3)&lt;U247*0.4,IF(U247*0.4-VLOOKUP(B236,INDIRECT($F$8),8+(O247-1)*3)&lt;=5,U247*0.4-VLOOKUP(B236,INDIRECT($F$8),8+(O247-1)*3),11),0))))</f>
        <v>0</v>
      </c>
      <c r="X247" s="1" t="str">
        <f ca="1">IF(ISERROR(F236),"",IF(W247=0,"",_xlfn.TEXTJOIN("",FALSE," G+",W247," in ",A247)))</f>
        <v/>
      </c>
    </row>
    <row r="248" spans="1:24" ht="13" customHeight="1" x14ac:dyDescent="0.2">
      <c r="A248" s="7" t="str">
        <f ca="1">IF(ISERROR(F236),"",VLOOKUP(C236,INDIRECT($F$8),6+(O248-1)*3,0))</f>
        <v>CAP 005</v>
      </c>
      <c r="B248" s="41" t="str">
        <f ca="1">IF(ISERROR(F236),"",VLOOKUP(D236,INDIRECT($F$8),6+(O248-1)*3-Z248,0))</f>
        <v>Object Oriented Programming with JAVA Lab</v>
      </c>
      <c r="C248" s="41"/>
      <c r="D248" s="41"/>
      <c r="E248" s="41"/>
      <c r="F248" s="7">
        <f ca="1">IF(ISERROR(F236),"",VLOOKUP(E236,INDIRECT($F$8),6+(O248-1)*3,0))</f>
        <v>1</v>
      </c>
      <c r="G248" s="42" t="e">
        <f ca="1">IF(ISERROR(F236),"",_xlfn.TEXTJOIN("/",FALSE,P248,S248))</f>
        <v>#N/A</v>
      </c>
      <c r="H248" s="42"/>
      <c r="I248" s="42" t="str">
        <f ca="1">IF(ISERROR(F236),"",_xlfn.TEXTJOIN("/",FALSE,Q248,T248))</f>
        <v>15/20</v>
      </c>
      <c r="J248" s="42"/>
      <c r="K248" s="42" t="e">
        <f ca="1">IF(ISERROR(F236),"",_xlfn.TEXTJOIN("/",FALSE,R248,U248))</f>
        <v>#N/A</v>
      </c>
      <c r="L248" s="42"/>
      <c r="M248" s="7" t="e">
        <f ca="1">IF(ISERROR(F236),"",IF(ISTEXT(P248),IF(P248="A","Ab",IF(P248="D","Dt",IF(P248="UFM","UFM",IF(P248="NA","")))),IF(AND(ISBLANK(P248),ISBLANK(R248)),"",IF(P248&lt;0.3*S248,"F",IF(ISBLANK(R248),"",IF(ISTEXT(R248),R248,IF(R248&gt;=0.9*U248,"O",IF(R248&gt;=0.85*U248,"A+",IF(R248&gt;=0.8*U248,"A",IF(R248&gt;=0.7*U248,"B+",IF(R248&gt;=0.6*U248,"B",IF(R248&gt;=0.5*U248,"C",IF(R248&gt;=0.4*U248,"P",IF(R248&lt;0.4*U248,"F",R248))))))))))))))</f>
        <v>#N/A</v>
      </c>
      <c r="N248" s="8" t="e">
        <f t="shared" ca="1" si="24"/>
        <v>#N/A</v>
      </c>
      <c r="O248">
        <f t="shared" si="25"/>
        <v>8</v>
      </c>
      <c r="P248" s="1" t="e">
        <f ca="1">IF(ISERROR(F236),"",IF(ISTEXT(VLOOKUP(B236,INDIRECT($F$8),6+(O248-1)*3)),(VLOOKUP(B236,INDIRECT($F$8),6+(O248-1)*3)),SUM(VLOOKUP(B236,INDIRECT($F$8),6+(O248-1)*3),IF(W251,W248,0))))</f>
        <v>#N/A</v>
      </c>
      <c r="Q248" s="1">
        <f ca="1">IF(ISERROR(F236),"",VLOOKUP(B236,INDIRECT($F$8),7+(O248-1)*3))</f>
        <v>15</v>
      </c>
      <c r="R248" s="1" t="e">
        <f ca="1">IF(ISERROR(F236),"",SUM(P248:Q248))</f>
        <v>#N/A</v>
      </c>
      <c r="S248" s="1">
        <f ca="1">IF(ISERROR(F236),"",VLOOKUP(A236,INDIRECT($F$8),6+(O248-1)*3))</f>
        <v>30</v>
      </c>
      <c r="T248" s="1">
        <f ca="1">IF(ISERROR(F236),"",VLOOKUP(A236,INDIRECT($F$8),7+(O248-1)*3))</f>
        <v>20</v>
      </c>
      <c r="U248" s="1">
        <f ca="1">IF(ISERROR(F236),"",VLOOKUP(A236,INDIRECT($F$8),8+(O248-1)*3))</f>
        <v>50</v>
      </c>
      <c r="V248" s="1" t="e">
        <f ca="1">IF(ISERROR(F236),"",IF(N248=0,A248,""))</f>
        <v>#N/A</v>
      </c>
      <c r="W248" s="1">
        <f ca="1">IF(ISERROR(F236),"",IF(ISTEXT(VLOOKUP(B236,INDIRECT($F$8),6+(O248-1)*3)),11,IF(VLOOKUP(B236,INDIRECT($F$8),6+(O248-1)*3)&lt;S248*0.3,IF(VLOOKUP(B236,INDIRECT($F$8),8+(O248-1)*3)&lt;U248*0.4,IF(AND(0.4*U248-VLOOKUP(B236,INDIRECT($F$8),8+(O248-1)*3)&lt;=5,0.3*S248-VLOOKUP(B236,INDIRECT($F$8),6+(O248-1)*3)&lt;=5),MAX(0.4*U248-VLOOKUP(B236,INDIRECT($F$8),8+(O248-1)*3),0.3*S248-VLOOKUP(B236,INDIRECT($F$8),6+(O248-1)*3)),11),IF(0.3*S248-VLOOKUP(B236,INDIRECT($F$8),6+(O248-1)*3)&lt;=5,0.3*S248-VLOOKUP(B236,INDIRECT($F$8),6+(O248-1)*3),11)),IF(VLOOKUP(B236,INDIRECT($F$8),8+(O248-1)*3)&lt;U248*0.4,IF(U248*0.4-VLOOKUP(B236,INDIRECT($F$8),8+(O248-1)*3)&lt;=5,U248*0.4-VLOOKUP(B236,INDIRECT($F$8),8+(O248-1)*3),11),0))))</f>
        <v>0</v>
      </c>
      <c r="X248" s="1" t="str">
        <f ca="1">IF(ISERROR(F236),"",IF(W248=0,"",_xlfn.TEXTJOIN("",FALSE," G+",W248," in ",A248)))</f>
        <v/>
      </c>
    </row>
    <row r="249" spans="1:24" ht="13" customHeight="1" x14ac:dyDescent="0.2">
      <c r="A249" s="7" t="str">
        <f ca="1">IF(ISERROR(F236),"",VLOOKUP(C236,INDIRECT($F$8),6+(O249-1)*3,0))</f>
        <v>CAP 006</v>
      </c>
      <c r="B249" s="41" t="str">
        <f ca="1">IF(ISERROR(F236),"",VLOOKUP(D236,INDIRECT($F$8),6+(O249-1)*3-Z249,0))</f>
        <v>Computer Networks Lab</v>
      </c>
      <c r="C249" s="41"/>
      <c r="D249" s="41"/>
      <c r="E249" s="41"/>
      <c r="F249" s="7">
        <f ca="1">IF(ISERROR(F236),"",VLOOKUP(E236,INDIRECT($F$8),6+(O249-1)*3,0))</f>
        <v>1</v>
      </c>
      <c r="G249" s="42" t="e">
        <f ca="1">IF(ISERROR(F236),"",_xlfn.TEXTJOIN("/",FALSE,P249,S249))</f>
        <v>#N/A</v>
      </c>
      <c r="H249" s="42"/>
      <c r="I249" s="42" t="str">
        <f ca="1">IF(ISERROR(F236),"",_xlfn.TEXTJOIN("/",FALSE,Q249,T249))</f>
        <v>16/20</v>
      </c>
      <c r="J249" s="42"/>
      <c r="K249" s="42" t="e">
        <f ca="1">IF(ISERROR(F236),"",_xlfn.TEXTJOIN("/",FALSE,R249,U249))</f>
        <v>#N/A</v>
      </c>
      <c r="L249" s="42"/>
      <c r="M249" s="7" t="e">
        <f ca="1">IF(ISERROR(F236),"",IF(ISTEXT(P249),IF(P249="A","Ab",IF(P249="D","Dt",IF(P249="UFM","UFM",IF(P249="NA","")))),IF(AND(ISBLANK(P249),ISBLANK(R249)),"",IF(P249&lt;0.3*S249,"F",IF(ISBLANK(R249),"",IF(ISTEXT(R249),R249,IF(R249&gt;=0.9*U249,"O",IF(R249&gt;=0.85*U249,"A+",IF(R249&gt;=0.8*U249,"A",IF(R249&gt;=0.7*U249,"B+",IF(R249&gt;=0.6*U249,"B",IF(R249&gt;=0.5*U249,"C",IF(R249&gt;=0.4*U249,"P",IF(R249&lt;0.4*U249,"F",R249))))))))))))))</f>
        <v>#N/A</v>
      </c>
      <c r="N249" s="8" t="e">
        <f t="shared" ca="1" si="24"/>
        <v>#N/A</v>
      </c>
      <c r="O249">
        <f t="shared" si="25"/>
        <v>9</v>
      </c>
      <c r="P249" s="1" t="e">
        <f ca="1">IF(ISERROR(F236),"",IF(ISTEXT(VLOOKUP(B236,INDIRECT($F$8),6+(O249-1)*3)),(VLOOKUP(B236,INDIRECT($F$8),6+(O249-1)*3)),SUM(VLOOKUP(B236,INDIRECT($F$8),6+(O249-1)*3),IF(W251,W249,0))))</f>
        <v>#N/A</v>
      </c>
      <c r="Q249" s="1">
        <f ca="1">IF(ISERROR(F236),"",VLOOKUP(B236,INDIRECT($F$8),7+(O249-1)*3))</f>
        <v>16</v>
      </c>
      <c r="R249" s="1" t="e">
        <f ca="1">IF(ISERROR(F236),"",SUM(P249:Q249))</f>
        <v>#N/A</v>
      </c>
      <c r="S249" s="1">
        <f ca="1">IF(ISERROR(F236),"",VLOOKUP(A236,INDIRECT($F$8),6+(O249-1)*3))</f>
        <v>30</v>
      </c>
      <c r="T249" s="1">
        <f ca="1">IF(ISERROR(F236),"",VLOOKUP(A236,INDIRECT($F$8),7+(O249-1)*3))</f>
        <v>20</v>
      </c>
      <c r="U249" s="1">
        <f ca="1">IF(ISERROR(F236),"",VLOOKUP(A236,INDIRECT($F$8),8+(O249-1)*3))</f>
        <v>50</v>
      </c>
      <c r="V249" s="1" t="e">
        <f ca="1">IF(ISERROR(F236),"",IF(N249=0,A249,""))</f>
        <v>#N/A</v>
      </c>
      <c r="W249" s="1">
        <f ca="1">IF(ISERROR(F236),"",IF(ISTEXT(VLOOKUP(B236,INDIRECT($F$8),6+(O249-1)*3)),11,IF(VLOOKUP(B236,INDIRECT($F$8),6+(O249-1)*3)&lt;S249*0.3,IF(VLOOKUP(B236,INDIRECT($F$8),8+(O249-1)*3)&lt;U249*0.4,IF(AND(0.4*U249-VLOOKUP(B236,INDIRECT($F$8),8+(O249-1)*3)&lt;=5,0.3*S249-VLOOKUP(B236,INDIRECT($F$8),6+(O249-1)*3)&lt;=5),MAX(0.4*U249-VLOOKUP(B236,INDIRECT($F$8),8+(O249-1)*3),0.3*S249-VLOOKUP(B236,INDIRECT($F$8),6+(O249-1)*3)),11),IF(0.3*S249-VLOOKUP(B236,INDIRECT($F$8),6+(O249-1)*3)&lt;=5,0.3*S249-VLOOKUP(B236,INDIRECT($F$8),6+(O249-1)*3),11)),IF(VLOOKUP(B236,INDIRECT($F$8),8+(O249-1)*3)&lt;U249*0.4,IF(U249*0.4-VLOOKUP(B236,INDIRECT($F$8),8+(O249-1)*3)&lt;=5,U249*0.4-VLOOKUP(B236,INDIRECT($F$8),8+(O249-1)*3),11),0))))</f>
        <v>0</v>
      </c>
      <c r="X249" s="1" t="str">
        <f ca="1">IF(ISERROR(F236),"",IF(W249=0,"",_xlfn.TEXTJOIN("",FALSE," G+",W249," in ",A249)))</f>
        <v/>
      </c>
    </row>
    <row r="250" spans="1:24" ht="13" customHeight="1" x14ac:dyDescent="0.2">
      <c r="A250" s="7" t="str">
        <f ca="1">IF(ISERROR(F236),"",VLOOKUP(C236,INDIRECT($F$8),6+(O250-1)*3,0))</f>
        <v>CAP 007</v>
      </c>
      <c r="B250" s="41" t="str">
        <f ca="1">IF(ISERROR(F236),"",VLOOKUP(D236,INDIRECT($F$8),6+(O250-1)*3,0))</f>
        <v>Artificial Intelligence Lab</v>
      </c>
      <c r="C250" s="41"/>
      <c r="D250" s="41"/>
      <c r="E250" s="41"/>
      <c r="F250" s="7">
        <f ca="1">IF(ISERROR(F236),"",VLOOKUP(E236,INDIRECT($F$8),6+(O250-1)*3,0))</f>
        <v>1</v>
      </c>
      <c r="G250" s="42" t="e">
        <f ca="1">IF(ISERROR(F236),"",_xlfn.TEXTJOIN("/",FALSE,P250,S250))</f>
        <v>#N/A</v>
      </c>
      <c r="H250" s="42"/>
      <c r="I250" s="42" t="str">
        <f ca="1">IF(ISERROR(F236),"",_xlfn.TEXTJOIN("/",FALSE,Q250,T250))</f>
        <v>18/20</v>
      </c>
      <c r="J250" s="42"/>
      <c r="K250" s="42" t="e">
        <f ca="1">IF(ISERROR(F236),"",_xlfn.TEXTJOIN("/",FALSE,R250,U250))</f>
        <v>#N/A</v>
      </c>
      <c r="L250" s="42"/>
      <c r="M250" s="7" t="e">
        <f ca="1">IF(ISERROR(F236),"",IF(ISTEXT(P250),IF(P250="A","Ab",IF(P250="D","Dt",IF(P250="UFM","UFM",IF(P250="NA","")))),IF(AND(ISBLANK(P250),ISBLANK(R250)),"",IF(P250&lt;0.3*S250,"F",IF(ISBLANK(R250),"",IF(ISTEXT(R250),R250,IF(R250&gt;=0.9*U250,"O",IF(R250&gt;=0.85*U250,"A+",IF(R250&gt;=0.8*U250,"A",IF(R250&gt;=0.7*U250,"B+",IF(R250&gt;=0.6*U250,"B",IF(R250&gt;=0.5*U250,"C",IF(R250&gt;=0.4*U250,"P",IF(R250&lt;0.4*U250,"F",R250))))))))))))))</f>
        <v>#N/A</v>
      </c>
      <c r="N250" s="8" t="e">
        <f t="shared" ca="1" si="24"/>
        <v>#N/A</v>
      </c>
      <c r="O250">
        <f t="shared" si="25"/>
        <v>10</v>
      </c>
      <c r="P250" s="1" t="e">
        <f ca="1">IF(ISERROR(F236),"",IF(ISTEXT(VLOOKUP(B236,INDIRECT($F$8),6+(O250-1)*3)),(VLOOKUP(B236,INDIRECT($F$8),6+(O250-1)*3)),SUM(VLOOKUP(B236,INDIRECT($F$8),6+(O250-1)*3),IF(W251,W250,0))))</f>
        <v>#N/A</v>
      </c>
      <c r="Q250" s="1">
        <f ca="1">IF(ISERROR(F236),"",VLOOKUP(B236,INDIRECT($F$8),7+(O250-1)*3))</f>
        <v>18</v>
      </c>
      <c r="R250" s="1" t="e">
        <f ca="1">IF(ISERROR(F236),"",SUM(P250:Q250))</f>
        <v>#N/A</v>
      </c>
      <c r="S250" s="1">
        <f ca="1">IF(ISERROR(F236),"",VLOOKUP(A236,INDIRECT($F$8),6+(O250-1)*3))</f>
        <v>30</v>
      </c>
      <c r="T250" s="1">
        <f ca="1">IF(ISERROR(F236),"",VLOOKUP(A236,INDIRECT($F$8),7+(O250-1)*3))</f>
        <v>20</v>
      </c>
      <c r="U250" s="1">
        <f ca="1">IF(ISERROR(F236),"",VLOOKUP(A236,INDIRECT($F$8),8+(O250-1)*3))</f>
        <v>50</v>
      </c>
      <c r="V250" s="1" t="e">
        <f ca="1">IF(ISERROR(F236),"",IF(N250=0,A250,""))</f>
        <v>#N/A</v>
      </c>
      <c r="W250" s="1">
        <f ca="1">IF(ISERROR(F236),"",IF(ISTEXT(VLOOKUP(B236,INDIRECT($F$8),6+(O250-1)*3)),11,IF(VLOOKUP(B236,INDIRECT($F$8),6+(O250-1)*3)&lt;S250*0.3,IF(VLOOKUP(B236,INDIRECT($F$8),8+(O250-1)*3)&lt;U250*0.4,IF(AND(0.4*U250-VLOOKUP(B236,INDIRECT($F$8),8+(O250-1)*3)&lt;=5,0.3*S250-VLOOKUP(B236,INDIRECT($F$8),6+(O250-1)*3)&lt;=5),MAX(0.4*U250-VLOOKUP(B236,INDIRECT($F$8),8+(O250-1)*3),0.3*S250-VLOOKUP(B236,INDIRECT($F$8),6+(O250-1)*3)),11),IF(0.3*S250-VLOOKUP(B236,INDIRECT($F$8),6+(O250-1)*3)&lt;=5,0.3*S250-VLOOKUP(B236,INDIRECT($F$8),6+(O250-1)*3),11)),IF(VLOOKUP(B236,INDIRECT($F$8),8+(O250-1)*3)&lt;U250*0.4,IF(U250*0.4-VLOOKUP(B236,INDIRECT($F$8),8+(O250-1)*3)&lt;=5,U250*0.4-VLOOKUP(B236,INDIRECT($F$8),8+(O250-1)*3),11),0))))</f>
        <v>0</v>
      </c>
      <c r="X250" s="1" t="str">
        <f ca="1">IF(ISERROR(F236),"",IF(W250=0,"",_xlfn.TEXTJOIN("",FALSE," G+",W250," in ",A250)))</f>
        <v/>
      </c>
    </row>
    <row r="251" spans="1:24" ht="13" customHeight="1" x14ac:dyDescent="0.2">
      <c r="A251" s="43" t="str">
        <f ca="1">IF(ISERROR(F236),"",A232)</f>
        <v>Total Credits/ Marks/ Total Grade Points</v>
      </c>
      <c r="B251" s="43"/>
      <c r="C251" s="43"/>
      <c r="D251" s="43"/>
      <c r="E251" s="43"/>
      <c r="F251" s="10">
        <f ca="1">IF(ISERROR(F236),"",SUM(F241:F250))</f>
        <v>24</v>
      </c>
      <c r="G251" s="44" t="e">
        <f ca="1">IF(ISERROR(F236),"",_xlfn.TEXTJOIN("/",TRUE,SUMIF(F241:F250,"&gt;0",P241:P250),SUMIF(F241:F250,"&gt;0",S241:S250)))</f>
        <v>#N/A</v>
      </c>
      <c r="H251" s="44"/>
      <c r="I251" s="44" t="str">
        <f ca="1">IF(ISERROR(F236),"",_xlfn.TEXTJOIN("/",TRUE,SUMIF(F241:F250,"&gt;0",Q241:Q250),SUMIF(F241:F250,"&gt;0",T241:T250)))</f>
        <v>276/330</v>
      </c>
      <c r="J251" s="44"/>
      <c r="K251" s="44" t="e">
        <f ca="1">IF(ISERROR(F236),"",_xlfn.TEXTJOIN("/",TRUE,SUMIF(F241:F250,"&gt;0",R241:R250),SUMIF(F241:F250,"&gt;0",U241:U250)))</f>
        <v>#N/A</v>
      </c>
      <c r="L251" s="44"/>
      <c r="M251" s="43" t="e">
        <f ca="1">IF(ISERROR(F236),"",SUMPRODUCT(N241:N250,F241:F250))</f>
        <v>#N/A</v>
      </c>
      <c r="N251" s="43"/>
      <c r="V251" s="1" t="e">
        <f ca="1">IF(ISERROR(F236),"",_xlfn.TEXTJOIN(", ",TRUE,V241:V250))</f>
        <v>#N/A</v>
      </c>
      <c r="W251" t="e">
        <f ca="1">IF(ISERROR(F236),"",IF(SUM(W241:W250)&lt;=W240,TRUE,FALSE))</f>
        <v>#N/A</v>
      </c>
      <c r="X251" s="1" t="str">
        <f ca="1">IF(ISERROR(F236),"",_xlfn.TEXTJOIN(",",TRUE,X241:X250))</f>
        <v/>
      </c>
    </row>
    <row r="252" spans="1:24" ht="13" customHeight="1" x14ac:dyDescent="0.2">
      <c r="A252" s="43" t="str">
        <f ca="1">IF(ISERROR(F236),"",A233)</f>
        <v>Result:</v>
      </c>
      <c r="B252" s="45" t="e">
        <f ca="1">IF(ISERROR(F236),"",IF(V251="","PASS","CARRY OVER"))</f>
        <v>#N/A</v>
      </c>
      <c r="C252" s="45"/>
      <c r="D252" s="43" t="str">
        <f ca="1">IF(ISERROR(F236),"",D233)</f>
        <v>Remark:</v>
      </c>
      <c r="E252" s="45" t="e">
        <f ca="1">IF(ISERROR(F236),"",IF(V251="",IF(X251="","",X251),_xlfn.TEXTJOIN(" ",TRUE,"BACK IN",V251)))</f>
        <v>#N/A</v>
      </c>
      <c r="F252" s="45"/>
      <c r="G252" s="43" t="str">
        <f ca="1">IF(ISERROR(F236),"",G233)</f>
        <v>SGPA:</v>
      </c>
      <c r="H252" s="46" t="e">
        <f ca="1">IF(ISERROR(F236),"",M251/F251)</f>
        <v>#N/A</v>
      </c>
      <c r="I252" s="43" t="str">
        <f ca="1">IF(ISERROR(F236),"",I233)</f>
        <v>CGPA:</v>
      </c>
      <c r="J252" s="46" t="e">
        <f ca="1">IF(ISERROR(F236),"",VLOOKUP(B236,INDIRECT($F$8),12+(O250-1)*3,0))</f>
        <v>#N/A</v>
      </c>
      <c r="K252" s="45" t="str">
        <f ca="1">IF(ISERROR(F236),"",K233)</f>
        <v>Earned Credits:</v>
      </c>
      <c r="L252" s="43">
        <f ca="1">IF(ISERROR(F236),"",SUMIF(N241:N250,"&gt;0",F241:F250))</f>
        <v>0</v>
      </c>
      <c r="M252" s="45" t="str">
        <f ca="1">IF(ISERROR(F236),"",M233)</f>
        <v>Cuml. Earned Credits:</v>
      </c>
      <c r="N252" s="43" t="e">
        <f ca="1">IF(ISERROR(F236),"",VLOOKUP(B236,INDIRECT($F$8),10+(O250-1)*3,0))</f>
        <v>#N/A</v>
      </c>
    </row>
    <row r="253" spans="1:24" ht="13" customHeight="1" x14ac:dyDescent="0.2">
      <c r="A253" s="43"/>
      <c r="B253" s="45"/>
      <c r="C253" s="45"/>
      <c r="D253" s="43"/>
      <c r="E253" s="45"/>
      <c r="F253" s="45"/>
      <c r="G253" s="43"/>
      <c r="H253" s="46"/>
      <c r="I253" s="43"/>
      <c r="J253" s="46"/>
      <c r="K253" s="45"/>
      <c r="L253" s="43"/>
      <c r="M253" s="45"/>
      <c r="N253" s="43"/>
    </row>
    <row r="254" spans="1:24" ht="15" x14ac:dyDescent="0.2">
      <c r="A254" s="43"/>
      <c r="B254" s="45"/>
      <c r="C254" s="45"/>
      <c r="D254" s="43"/>
      <c r="E254" s="45"/>
      <c r="F254" s="45"/>
      <c r="G254" s="43"/>
      <c r="H254" s="46"/>
      <c r="I254" s="43"/>
      <c r="J254" s="46"/>
      <c r="K254" s="45"/>
      <c r="L254" s="43"/>
      <c r="M254" s="45"/>
      <c r="N254" s="43"/>
    </row>
    <row r="255" spans="1:24" ht="13" customHeight="1" x14ac:dyDescent="0.2">
      <c r="A255" s="11" t="str">
        <f>A236</f>
        <v>MM</v>
      </c>
      <c r="B255" s="11">
        <f>B236+1</f>
        <v>14</v>
      </c>
      <c r="C255" s="11" t="str">
        <f>C236</f>
        <v>SC</v>
      </c>
      <c r="D255" s="11" t="str">
        <f>D236</f>
        <v>SN</v>
      </c>
      <c r="E255" s="11" t="str">
        <f>E236</f>
        <v>C</v>
      </c>
      <c r="F255" s="11" t="str">
        <f ca="1">VLOOKUP(B255,INDIRECT($F$8),4,0)</f>
        <v>MANSI SAINI</v>
      </c>
    </row>
    <row r="256" spans="1:24" ht="13" customHeight="1" x14ac:dyDescent="0.2">
      <c r="A256" s="47" t="str">
        <f ca="1">IF(ISERROR(F255),"",A237)</f>
        <v>Name:</v>
      </c>
      <c r="B256" s="47" t="str">
        <f ca="1">IFERROR(VLOOKUP(B255,INDIRECT($F$8),4,0),"")</f>
        <v>MANSI SAINI</v>
      </c>
      <c r="C256" s="47"/>
      <c r="D256" s="47" t="str">
        <f ca="1">IF(ISERROR(F255),"",D237)</f>
        <v>Father's Name:</v>
      </c>
      <c r="E256" s="47" t="str">
        <f ca="1">IFERROR(VLOOKUP(B255,INDIRECT($F$8),5,0),"")</f>
        <v>ASHOK KUMAR SAINI</v>
      </c>
      <c r="F256" s="47"/>
      <c r="G256" s="47" t="str">
        <f ca="1">IF(ISERROR(F255),"",G237)</f>
        <v>University Roll No:</v>
      </c>
      <c r="H256" s="47"/>
      <c r="I256" s="48">
        <f ca="1">IFERROR(VLOOKUP(B255,INDIRECT($F$8),2,0),"")</f>
        <v>240090600014</v>
      </c>
      <c r="J256" s="48"/>
      <c r="K256" s="47" t="str">
        <f ca="1">IF(ISERROR(F255),"",K237)</f>
        <v>University Enrol. No:</v>
      </c>
      <c r="L256" s="47"/>
      <c r="M256" s="48" t="str">
        <f ca="1">IFERROR(VLOOKUP(B255,INDIRECT($F$8),3,0),"")</f>
        <v>UTU/2406100188</v>
      </c>
      <c r="N256" s="48"/>
    </row>
    <row r="257" spans="1:24" ht="15" x14ac:dyDescent="0.2">
      <c r="A257" s="47"/>
      <c r="B257" s="47"/>
      <c r="C257" s="47"/>
      <c r="D257" s="47"/>
      <c r="E257" s="47"/>
      <c r="F257" s="47"/>
      <c r="G257" s="47"/>
      <c r="H257" s="47"/>
      <c r="I257" s="48"/>
      <c r="J257" s="48"/>
      <c r="K257" s="47"/>
      <c r="L257" s="47"/>
      <c r="M257" s="48"/>
      <c r="N257" s="48"/>
    </row>
    <row r="258" spans="1:24" ht="13" customHeight="1" x14ac:dyDescent="0.2">
      <c r="A258" s="45" t="str">
        <f ca="1">IF(ISERROR(F255),"",A239)</f>
        <v>Subject Code</v>
      </c>
      <c r="B258" s="45" t="str">
        <f ca="1">IF(ISERROR(F255),"",B239)</f>
        <v>Subject Name</v>
      </c>
      <c r="C258" s="45"/>
      <c r="D258" s="45"/>
      <c r="E258" s="45"/>
      <c r="F258" s="45" t="str">
        <f ca="1">IF(ISERROR(F255),"",F239)</f>
        <v>Credits</v>
      </c>
      <c r="G258" s="45" t="str">
        <f ca="1">IF(ISERROR(F255),"",G239)</f>
        <v>External Marks</v>
      </c>
      <c r="H258" s="45"/>
      <c r="I258" s="45" t="str">
        <f ca="1">IF(ISERROR(F255),"",I239)</f>
        <v>Sessional Marks</v>
      </c>
      <c r="J258" s="45"/>
      <c r="K258" s="45" t="str">
        <f ca="1">IF(ISERROR(F255),"",K239)</f>
        <v>Total Marks</v>
      </c>
      <c r="L258" s="45"/>
      <c r="M258" s="45" t="str">
        <f ca="1">IF(ISERROR(F255),"",M239)</f>
        <v>Grade</v>
      </c>
      <c r="N258" s="45" t="str">
        <f ca="1">IF(ISERROR(F255),"",N239)</f>
        <v>Grade Points</v>
      </c>
    </row>
    <row r="259" spans="1:24" ht="15" x14ac:dyDescent="0.2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W259" t="e">
        <f ca="1">IF(ISNUMBER(MATCH($F$8,{"I","III","V","VII"},0)),10,10-INDEX(INDIRECT(_xlfn.TEXTJOIN("",TRUE,"SEM_",$G$8,"!",ADDRESS(6,4+$I$8*3+4),":",ADDRESS(5+$H$8,4+$I$8*3+4))),MATCH(INDIRECT(_xlfn.TEXTJOIN("",TRUE,"TC_",$F$8,"!",ADDRESS(ROW(I256),COLUMN(I256)))),INDIRECT(_xlfn.TEXTJOIN("",TRUE,"SEM_",$G$8,"!",ADDRESS(6,2),":",ADDRESS(5+$H$8,2))))))</f>
        <v>#N/A</v>
      </c>
    </row>
    <row r="260" spans="1:24" ht="13" customHeight="1" x14ac:dyDescent="0.2">
      <c r="A260" s="7" t="str">
        <f ca="1">IF(ISERROR(F255),"",VLOOKUP(C255,INDIRECT($F$8),6+(O260-1)*3,0))</f>
        <v>CAT 009</v>
      </c>
      <c r="B260" s="41" t="str">
        <f ca="1">IF(ISERROR(F255),"",VLOOKUP(D255,INDIRECT($F$8),6+(O260-1)*3,0))</f>
        <v>Computer Based Numerical and Statistical Techniques</v>
      </c>
      <c r="C260" s="41"/>
      <c r="D260" s="41"/>
      <c r="E260" s="41"/>
      <c r="F260" s="7">
        <f ca="1">IF(ISERROR(F255),"",VLOOKUP(E255,INDIRECT($F$8),6+(O260-1)*3,0))</f>
        <v>4</v>
      </c>
      <c r="G260" s="42" t="e">
        <f ca="1">IF(ISERROR(F255),"",_xlfn.TEXTJOIN("/",FALSE,P260,S260))</f>
        <v>#N/A</v>
      </c>
      <c r="H260" s="42"/>
      <c r="I260" s="42" t="str">
        <f ca="1">IF(ISERROR(F255),"",_xlfn.TEXTJOIN("/",FALSE,Q260,T260))</f>
        <v>44/50</v>
      </c>
      <c r="J260" s="42"/>
      <c r="K260" s="42" t="e">
        <f ca="1">IF(ISERROR(F255),"",_xlfn.TEXTJOIN("/",FALSE,R260,U260))</f>
        <v>#N/A</v>
      </c>
      <c r="L260" s="42"/>
      <c r="M260" s="7" t="e">
        <f ca="1">IF(ISERROR(F255),"",IF(ISTEXT(P260),IF(P260="A","Ab",IF(P260="D","Dt",IF(P260="UFM","UFM",IF(P260="NA","")))),IF(AND(ISBLANK(P260),ISBLANK(R260)),"",IF(P260&lt;0.3*S260,"F",IF(ISBLANK(R260),"",IF(ISTEXT(R260),R260,IF(R260&gt;=0.9*U260,"O",IF(R260&gt;=0.85*U260,"A+",IF(R260&gt;=0.8*U260,"A",IF(R260&gt;=0.7*U260,"B+",IF(R260&gt;=0.6*U260,"B",IF(R260&gt;=0.5*U260,"C",IF(R260&gt;=0.4*U260,"P",IF(R260&lt;0.4*U260,"F",R260))))))))))))))</f>
        <v>#N/A</v>
      </c>
      <c r="N260" s="8" t="e">
        <f t="shared" ref="N260:N269" ca="1" si="26">INDEX($Z$2:$Z$13,MATCH(M260,$Y$2:$Y$13,0))</f>
        <v>#N/A</v>
      </c>
      <c r="O260">
        <v>1</v>
      </c>
      <c r="P260" s="1" t="e">
        <f ca="1">IF(ISERROR(F255),"",IF(ISTEXT(VLOOKUP(B255,INDIRECT($F$8),6+(O260-1)*3)),(VLOOKUP(B255,INDIRECT($F$8),6+(O260-1)*3)),SUM(VLOOKUP(B255,INDIRECT($F$8),6+(O260-1)*3),IF(W270,W260,0))))</f>
        <v>#N/A</v>
      </c>
      <c r="Q260" s="1">
        <f ca="1">IF(ISERROR(F255),"",VLOOKUP(B255,INDIRECT($F$8),7+(O260-1)*3))</f>
        <v>44</v>
      </c>
      <c r="R260" s="1" t="e">
        <f ca="1">IF(ISERROR(F255),"",SUM(P260:Q260))</f>
        <v>#N/A</v>
      </c>
      <c r="S260" s="1">
        <f ca="1">IF(ISERROR(F255),"",VLOOKUP(A255,INDIRECT($F$8),6+(O260-1)*3))</f>
        <v>100</v>
      </c>
      <c r="T260" s="1">
        <f ca="1">IF(ISERROR(F255),"",VLOOKUP(A255,INDIRECT($F$8),7+(O260-1)*3))</f>
        <v>50</v>
      </c>
      <c r="U260" s="1">
        <f ca="1">IF(ISERROR(F255),"",VLOOKUP(A255,INDIRECT($F$8),8+(O260-1)*3))</f>
        <v>150</v>
      </c>
      <c r="V260" s="1" t="e">
        <f ca="1">IF(ISERROR(F255),"",IF(N260=0,A260,""))</f>
        <v>#N/A</v>
      </c>
      <c r="W260" s="1">
        <f ca="1">IF(ISERROR(F255),"",IF(ISTEXT(VLOOKUP(B255,INDIRECT($F$8),6+(O260-1)*3)),11,IF(VLOOKUP(B255,INDIRECT($F$8),6+(O260-1)*3)&lt;S260*0.3,IF(VLOOKUP(B255,INDIRECT($F$8),8+(O260-1)*3)&lt;U260*0.4,IF(AND(0.4*U260-VLOOKUP(B255,INDIRECT($F$8),8+(O260-1)*3)&lt;=5,0.3*S260-VLOOKUP(B255,INDIRECT($F$8),6+(O260-1)*3)&lt;=5),MAX(0.4*U260-VLOOKUP(B255,INDIRECT($F$8),8+(O260-1)*3),0.3*S260-VLOOKUP(B255,INDIRECT($F$8),6+(O260-1)*3)),11),IF(0.3*S260-VLOOKUP(B255,INDIRECT($F$8),6+(O260-1)*3)&lt;=5,0.3*S260-VLOOKUP(B255,INDIRECT($F$8),6+(O260-1)*3),11)),IF(VLOOKUP(B255,INDIRECT($F$8),8+(O260-1)*3)&lt;U260*0.4,IF(U260*0.4-VLOOKUP(B255,INDIRECT($F$8),8+(O260-1)*3)&lt;=5,U260*0.4-VLOOKUP(B255,INDIRECT($F$8),8+(O260-1)*3),11),0))))</f>
        <v>0</v>
      </c>
      <c r="X260" s="1" t="str">
        <f ca="1">IF(ISERROR(F255),"",IF(W260=0,"",_xlfn.TEXTJOIN("",FALSE," G+",W260," in ",A260)))</f>
        <v/>
      </c>
    </row>
    <row r="261" spans="1:24" ht="13" customHeight="1" x14ac:dyDescent="0.2">
      <c r="A261" s="7" t="str">
        <f ca="1">IF(ISERROR(F255),"",VLOOKUP(C255,INDIRECT($F$8),6+(O261-1)*3,0))</f>
        <v>CAT 010</v>
      </c>
      <c r="B261" s="41" t="str">
        <f ca="1">IF(ISERROR(F255),"",VLOOKUP(D255,INDIRECT($F$8),6+(O261-1)*3,0))</f>
        <v>Data Structures and Analysis of Algorithms</v>
      </c>
      <c r="C261" s="41"/>
      <c r="D261" s="41"/>
      <c r="E261" s="41"/>
      <c r="F261" s="7">
        <f ca="1">IF(ISERROR(F255),"",VLOOKUP(E255,INDIRECT($F$8),6+(O261-1)*3,0))</f>
        <v>4</v>
      </c>
      <c r="G261" s="42" t="e">
        <f ca="1">IF(ISERROR(F255),"",_xlfn.TEXTJOIN("/",FALSE,P261,S261))</f>
        <v>#N/A</v>
      </c>
      <c r="H261" s="42"/>
      <c r="I261" s="42" t="str">
        <f ca="1">IF(ISERROR(F255),"",_xlfn.TEXTJOIN("/",FALSE,Q261,T261))</f>
        <v>42/50</v>
      </c>
      <c r="J261" s="42"/>
      <c r="K261" s="42" t="e">
        <f ca="1">IF(ISERROR(F255),"",_xlfn.TEXTJOIN("/",FALSE,R261,U261))</f>
        <v>#N/A</v>
      </c>
      <c r="L261" s="42"/>
      <c r="M261" s="7" t="e">
        <f ca="1">IF(ISERROR(F255),"",IF(ISTEXT(P261),IF(P261="A","Ab",IF(P261="D","Dt",IF(P261="UFM","UFM",IF(P261="NA","")))),IF(AND(ISBLANK(P261),ISBLANK(R261)),"",IF(P261&lt;0.3*S261,"F",IF(ISBLANK(R261),"",IF(ISTEXT(R261),R261,IF(R261&gt;=0.9*U261,"O",IF(R261&gt;=0.85*U261,"A+",IF(R261&gt;=0.8*U261,"A",IF(R261&gt;=0.7*U261,"B+",IF(R261&gt;=0.6*U261,"B",IF(R261&gt;=0.5*U261,"C",IF(R261&gt;=0.4*U261,"P",IF(R261&lt;0.4*U261,"F",R261))))))))))))))</f>
        <v>#N/A</v>
      </c>
      <c r="N261" s="8" t="e">
        <f t="shared" ca="1" si="26"/>
        <v>#N/A</v>
      </c>
      <c r="O261">
        <f>O260+1</f>
        <v>2</v>
      </c>
      <c r="P261" s="1" t="e">
        <f ca="1">IF(ISERROR(F255),"",IF(ISTEXT(VLOOKUP(B255,INDIRECT($F$8),6+(O261-1)*3)),(VLOOKUP(B255,INDIRECT($F$8),6+(O261-1)*3)),SUM(VLOOKUP(B255,INDIRECT($F$8),6+(O261-1)*3),IF(W270,W261,0))))</f>
        <v>#N/A</v>
      </c>
      <c r="Q261" s="1">
        <f ca="1">IF(ISERROR(F255),"",VLOOKUP(B255,INDIRECT($F$8),7+(O261-1)*3))</f>
        <v>42</v>
      </c>
      <c r="R261" s="1" t="e">
        <f ca="1">IF(ISERROR(F255),"",SUM(P261:Q261))</f>
        <v>#N/A</v>
      </c>
      <c r="S261" s="1">
        <f ca="1">IF(ISERROR(F255),"",VLOOKUP(A255,INDIRECT($F$8),6+(O261-1)*3))</f>
        <v>100</v>
      </c>
      <c r="T261" s="1">
        <f ca="1">IF(ISERROR(F255),"",VLOOKUP(A255,INDIRECT($F$8),7+(O261-1)*3))</f>
        <v>50</v>
      </c>
      <c r="U261" s="1">
        <f ca="1">IF(ISERROR(F255),"",VLOOKUP(A255,INDIRECT($F$8),8+(O261-1)*3))</f>
        <v>150</v>
      </c>
      <c r="V261" s="1" t="e">
        <f ca="1">IF(ISERROR(F255),"",IF(N261=0,A261,""))</f>
        <v>#N/A</v>
      </c>
      <c r="W261" s="1">
        <f ca="1">IF(ISERROR(F255),"",IF(ISTEXT(VLOOKUP(B255,INDIRECT($F$8),6+(O261-1)*3)),11,IF(VLOOKUP(B255,INDIRECT($F$8),6+(O261-1)*3)&lt;S261*0.3,IF(VLOOKUP(B255,INDIRECT($F$8),8+(O261-1)*3)&lt;U261*0.4,IF(AND(0.4*U261-VLOOKUP(B255,INDIRECT($F$8),8+(O261-1)*3)&lt;=5,0.3*S261-VLOOKUP(B255,INDIRECT($F$8),6+(O261-1)*3)&lt;=5),MAX(0.4*U261-VLOOKUP(B255,INDIRECT($F$8),8+(O261-1)*3),0.3*S261-VLOOKUP(B255,INDIRECT($F$8),6+(O261-1)*3)),11),IF(0.3*S261-VLOOKUP(B255,INDIRECT($F$8),6+(O261-1)*3)&lt;=5,0.3*S261-VLOOKUP(B255,INDIRECT($F$8),6+(O261-1)*3),11)),IF(VLOOKUP(B255,INDIRECT($F$8),8+(O261-1)*3)&lt;U261*0.4,IF(U261*0.4-VLOOKUP(B255,INDIRECT($F$8),8+(O261-1)*3)&lt;=5,U261*0.4-VLOOKUP(B255,INDIRECT($F$8),8+(O261-1)*3),11),0))))</f>
        <v>0</v>
      </c>
      <c r="X261" s="1" t="str">
        <f ca="1">IF(ISERROR(F255),"",IF(W261=0,"",_xlfn.TEXTJOIN("",FALSE," G+",W261," in ",A261)))</f>
        <v/>
      </c>
    </row>
    <row r="262" spans="1:24" ht="13" customHeight="1" x14ac:dyDescent="0.2">
      <c r="A262" s="7" t="str">
        <f ca="1">IF(ISERROR(F255),"",VLOOKUP(C255,INDIRECT($F$8),6+(O262-1)*3,0))</f>
        <v>CAT 011</v>
      </c>
      <c r="B262" s="41" t="str">
        <f ca="1">IF(ISERROR(F255),"",VLOOKUP(D255,INDIRECT($F$8),6+(O262-1)*3,0))</f>
        <v>Object Oriented Programming with JAVA</v>
      </c>
      <c r="C262" s="41"/>
      <c r="D262" s="41"/>
      <c r="E262" s="41"/>
      <c r="F262" s="7">
        <f ca="1">IF(ISERROR(F255),"",VLOOKUP(E255,INDIRECT($F$8),6+(O262-1)*3,0))</f>
        <v>4</v>
      </c>
      <c r="G262" s="42" t="e">
        <f ca="1">IF(ISERROR(F255),"",_xlfn.TEXTJOIN("/",FALSE,P262,S262))</f>
        <v>#N/A</v>
      </c>
      <c r="H262" s="42"/>
      <c r="I262" s="42" t="str">
        <f ca="1">IF(ISERROR(F255),"",_xlfn.TEXTJOIN("/",FALSE,Q262,T262))</f>
        <v>40/50</v>
      </c>
      <c r="J262" s="42"/>
      <c r="K262" s="42" t="e">
        <f ca="1">IF(ISERROR(F255),"",_xlfn.TEXTJOIN("/",FALSE,R262,U262))</f>
        <v>#N/A</v>
      </c>
      <c r="L262" s="42"/>
      <c r="M262" s="7" t="e">
        <f ca="1">IF(ISERROR(F255),"",IF(ISTEXT(P262),IF(P262="A","Ab",IF(P262="D","Dt",IF(P262="UFM","UFM",IF(P262="NA","")))),IF(AND(ISBLANK(P262),ISBLANK(R262)),"",IF(P262&lt;0.3*S262,"F",IF(ISBLANK(R262),"",IF(ISTEXT(R262),R262,IF(R262&gt;=0.9*U262,"O",IF(R262&gt;=0.85*U262,"A+",IF(R262&gt;=0.8*U262,"A",IF(R262&gt;=0.7*U262,"B+",IF(R262&gt;=0.6*U262,"B",IF(R262&gt;=0.5*U262,"C",IF(R262&gt;=0.4*U262,"P",IF(R262&lt;0.4*U262,"F",R262))))))))))))))</f>
        <v>#N/A</v>
      </c>
      <c r="N262" s="8" t="e">
        <f t="shared" ca="1" si="26"/>
        <v>#N/A</v>
      </c>
      <c r="O262">
        <f>O261+1</f>
        <v>3</v>
      </c>
      <c r="P262" s="1" t="e">
        <f ca="1">IF(ISERROR(F255),"",IF(ISTEXT(VLOOKUP(B255,INDIRECT($F$8),6+(O262-1)*3)),(VLOOKUP(B255,INDIRECT($F$8),6+(O262-1)*3)),SUM(VLOOKUP(B255,INDIRECT($F$8),6+(O262-1)*3),IF(W270,W262,0))))</f>
        <v>#N/A</v>
      </c>
      <c r="Q262" s="1">
        <f ca="1">IF(ISERROR(F255),"",VLOOKUP(B255,INDIRECT($F$8),7+(O262-1)*3))</f>
        <v>40</v>
      </c>
      <c r="R262" s="1" t="e">
        <f ca="1">IF(ISERROR(F255),"",SUM(P262:Q262))</f>
        <v>#N/A</v>
      </c>
      <c r="S262" s="1">
        <f ca="1">IF(ISERROR(F255),"",VLOOKUP(A255,INDIRECT($F$8),6+(O262-1)*3))</f>
        <v>100</v>
      </c>
      <c r="T262" s="1">
        <f ca="1">IF(ISERROR(F255),"",VLOOKUP(A255,INDIRECT($F$8),7+(O262-1)*3))</f>
        <v>50</v>
      </c>
      <c r="U262" s="1">
        <f ca="1">IF(ISERROR(F255),"",VLOOKUP(A255,INDIRECT($F$8),8+(O262-1)*3))</f>
        <v>150</v>
      </c>
      <c r="V262" s="1" t="e">
        <f ca="1">IF(ISERROR(F255),"",IF(N262=0,A262,""))</f>
        <v>#N/A</v>
      </c>
      <c r="W262" s="1">
        <f ca="1">IF(ISERROR(F255),"",IF(ISTEXT(VLOOKUP(B255,INDIRECT($F$8),6+(O262-1)*3)),11,IF(VLOOKUP(B255,INDIRECT($F$8),6+(O262-1)*3)&lt;S262*0.3,IF(VLOOKUP(B255,INDIRECT($F$8),8+(O262-1)*3)&lt;U262*0.4,IF(AND(0.4*U262-VLOOKUP(B255,INDIRECT($F$8),8+(O262-1)*3)&lt;=5,0.3*S262-VLOOKUP(B255,INDIRECT($F$8),6+(O262-1)*3)&lt;=5),MAX(0.4*U262-VLOOKUP(B255,INDIRECT($F$8),8+(O262-1)*3),0.3*S262-VLOOKUP(B255,INDIRECT($F$8),6+(O262-1)*3)),11),IF(0.3*S262-VLOOKUP(B255,INDIRECT($F$8),6+(O262-1)*3)&lt;=5,0.3*S262-VLOOKUP(B255,INDIRECT($F$8),6+(O262-1)*3),11)),IF(VLOOKUP(B255,INDIRECT($F$8),8+(O262-1)*3)&lt;U262*0.4,IF(U262*0.4-VLOOKUP(B255,INDIRECT($F$8),8+(O262-1)*3)&lt;=5,U262*0.4-VLOOKUP(B255,INDIRECT($F$8),8+(O262-1)*3),11),0))))</f>
        <v>0</v>
      </c>
      <c r="X262" s="1" t="str">
        <f ca="1">IF(ISERROR(F255),"",IF(W262=0,"",_xlfn.TEXTJOIN("",FALSE," G+",W262," in ",A262)))</f>
        <v/>
      </c>
    </row>
    <row r="263" spans="1:24" ht="13" customHeight="1" x14ac:dyDescent="0.2">
      <c r="A263" s="7" t="str">
        <f ca="1">IF(ISERROR(F255),"",VLOOKUP(C255,INDIRECT($F$8),6+(O263-1)*3,0))</f>
        <v>CAT 012</v>
      </c>
      <c r="B263" s="41" t="str">
        <f ca="1">IF(ISERROR(F255),"",VLOOKUP(D255,INDIRECT($F$8),6+(O263-1)*3,0))</f>
        <v>Computer Networks</v>
      </c>
      <c r="C263" s="41"/>
      <c r="D263" s="41"/>
      <c r="E263" s="41"/>
      <c r="F263" s="7">
        <f ca="1">IF(ISERROR(F255),"",VLOOKUP(E255,INDIRECT($F$8),6+(O263-1)*3,0))</f>
        <v>4</v>
      </c>
      <c r="G263" s="42" t="e">
        <f ca="1">IF(ISERROR(F255),"",_xlfn.TEXTJOIN("/",FALSE,P263,S263))</f>
        <v>#N/A</v>
      </c>
      <c r="H263" s="42"/>
      <c r="I263" s="42" t="str">
        <f ca="1">IF(ISERROR(F255),"",_xlfn.TEXTJOIN("/",FALSE,Q263,T263))</f>
        <v>39/50</v>
      </c>
      <c r="J263" s="42"/>
      <c r="K263" s="42" t="e">
        <f ca="1">IF(ISERROR(F255),"",_xlfn.TEXTJOIN("/",FALSE,R263,U263))</f>
        <v>#N/A</v>
      </c>
      <c r="L263" s="42"/>
      <c r="M263" s="7" t="e">
        <f ca="1">IF(ISERROR(F255),"",IF(ISTEXT(P263),IF(P263="A","Ab",IF(P263="D","Dt",IF(P263="UFM","UFM",IF(P263="NA","")))),IF(AND(ISBLANK(P263),ISBLANK(R263)),"",IF(P263&lt;0.3*S263,"F",IF(ISBLANK(R263),"",IF(ISTEXT(R263),R263,IF(R263&gt;=0.9*U263,"O",IF(R263&gt;=0.85*U263,"A+",IF(R263&gt;=0.8*U263,"A",IF(R263&gt;=0.7*U263,"B+",IF(R263&gt;=0.6*U263,"B",IF(R263&gt;=0.5*U263,"C",IF(R263&gt;=0.4*U263,"P",IF(R263&lt;0.4*U263,"F",R263))))))))))))))</f>
        <v>#N/A</v>
      </c>
      <c r="N263" s="8" t="e">
        <f t="shared" ca="1" si="26"/>
        <v>#N/A</v>
      </c>
      <c r="O263">
        <f t="shared" ref="O263:O269" si="27">O262+1</f>
        <v>4</v>
      </c>
      <c r="P263" s="1" t="e">
        <f ca="1">IF(ISERROR(F255),"",IF(ISTEXT(VLOOKUP(B255,INDIRECT($F$8),6+(O263-1)*3)),(VLOOKUP(B255,INDIRECT($F$8),6+(O263-1)*3)),SUM(VLOOKUP(B255,INDIRECT($F$8),6+(O263-1)*3),IF(W270,W263,0))))</f>
        <v>#N/A</v>
      </c>
      <c r="Q263" s="1">
        <f ca="1">IF(ISERROR(F255),"",VLOOKUP(B255,INDIRECT($F$8),7+(O263-1)*3))</f>
        <v>39</v>
      </c>
      <c r="R263" s="1" t="e">
        <f ca="1">IF(ISERROR(F255),"",SUM(P263:Q263))</f>
        <v>#N/A</v>
      </c>
      <c r="S263" s="1">
        <f ca="1">IF(ISERROR(F255),"",VLOOKUP(A255,INDIRECT($F$8),6+(O263-1)*3))</f>
        <v>100</v>
      </c>
      <c r="T263" s="1">
        <f ca="1">IF(ISERROR(F255),"",VLOOKUP(A255,INDIRECT($F$8),7+(O263-1)*3))</f>
        <v>50</v>
      </c>
      <c r="U263" s="1">
        <f ca="1">IF(ISERROR(F255),"",VLOOKUP(A255,INDIRECT($F$8),8+(O263-1)*3))</f>
        <v>150</v>
      </c>
      <c r="V263" s="1" t="e">
        <f ca="1">IF(ISERROR(F255),"",IF(N263=0,A263,""))</f>
        <v>#N/A</v>
      </c>
      <c r="W263" s="1">
        <f ca="1">IF(ISERROR(F255),"",IF(ISTEXT(VLOOKUP(B255,INDIRECT($F$8),6+(O263-1)*3)),11,IF(VLOOKUP(B255,INDIRECT($F$8),6+(O263-1)*3)&lt;S263*0.3,IF(VLOOKUP(B255,INDIRECT($F$8),8+(O263-1)*3)&lt;U263*0.4,IF(AND(0.4*U263-VLOOKUP(B255,INDIRECT($F$8),8+(O263-1)*3)&lt;=5,0.3*S263-VLOOKUP(B255,INDIRECT($F$8),6+(O263-1)*3)&lt;=5),MAX(0.4*U263-VLOOKUP(B255,INDIRECT($F$8),8+(O263-1)*3),0.3*S263-VLOOKUP(B255,INDIRECT($F$8),6+(O263-1)*3)),11),IF(0.3*S263-VLOOKUP(B255,INDIRECT($F$8),6+(O263-1)*3)&lt;=5,0.3*S263-VLOOKUP(B255,INDIRECT($F$8),6+(O263-1)*3),11)),IF(VLOOKUP(B255,INDIRECT($F$8),8+(O263-1)*3)&lt;U263*0.4,IF(U263*0.4-VLOOKUP(B255,INDIRECT($F$8),8+(O263-1)*3)&lt;=5,U263*0.4-VLOOKUP(B255,INDIRECT($F$8),8+(O263-1)*3),11),0))))</f>
        <v>0</v>
      </c>
      <c r="X263" s="1" t="str">
        <f ca="1">IF(ISERROR(F255),"",IF(W263=0,"",_xlfn.TEXTJOIN("",FALSE," G+",W263," in ",A263)))</f>
        <v/>
      </c>
    </row>
    <row r="264" spans="1:24" ht="13" customHeight="1" x14ac:dyDescent="0.2">
      <c r="A264" s="7" t="str">
        <f ca="1">IF(ISERROR(F255),"",VLOOKUP(C255,INDIRECT($F$8),6+(O264-1)*3,0))</f>
        <v>CAT 013</v>
      </c>
      <c r="B264" s="41" t="str">
        <f ca="1">IF(ISERROR(F255),"",VLOOKUP(D255,INDIRECT($F$8),6+(O264-1)*3,0))</f>
        <v>Artificial Intelligence</v>
      </c>
      <c r="C264" s="41"/>
      <c r="D264" s="41"/>
      <c r="E264" s="41"/>
      <c r="F264" s="7">
        <f ca="1">IF(ISERROR(F255),"",VLOOKUP(E255,INDIRECT($F$8),6+(O264-1)*3,0))</f>
        <v>4</v>
      </c>
      <c r="G264" s="42" t="e">
        <f ca="1">IF(ISERROR(F255),"",_xlfn.TEXTJOIN("/",FALSE,P264,S264))</f>
        <v>#N/A</v>
      </c>
      <c r="H264" s="42"/>
      <c r="I264" s="42" t="str">
        <f ca="1">IF(ISERROR(F255),"",_xlfn.TEXTJOIN("/",FALSE,Q264,T264))</f>
        <v>46/50</v>
      </c>
      <c r="J264" s="42"/>
      <c r="K264" s="42" t="e">
        <f ca="1">IF(ISERROR(F255),"",_xlfn.TEXTJOIN("/",FALSE,R264,U264))</f>
        <v>#N/A</v>
      </c>
      <c r="L264" s="42"/>
      <c r="M264" s="7" t="e">
        <f ca="1">IF(ISERROR(F255),"",IF(ISTEXT(P264),IF(P264="A","Ab",IF(P264="D","Dt",IF(P264="UFM","UFM",IF(P264="NA","")))),IF(AND(ISBLANK(P264),ISBLANK(R264)),"",IF(P264&lt;0.3*S264,"F",IF(ISBLANK(R264),"",IF(ISTEXT(R264),R264,IF(R264&gt;=0.9*U264,"O",IF(R264&gt;=0.85*U264,"A+",IF(R264&gt;=0.8*U264,"A",IF(R264&gt;=0.7*U264,"B+",IF(R264&gt;=0.6*U264,"B",IF(R264&gt;=0.5*U264,"C",IF(R264&gt;=0.4*U264,"P",IF(R264&lt;0.4*U264,"F",R264))))))))))))))</f>
        <v>#N/A</v>
      </c>
      <c r="N264" s="8" t="e">
        <f t="shared" ca="1" si="26"/>
        <v>#N/A</v>
      </c>
      <c r="O264">
        <f t="shared" si="27"/>
        <v>5</v>
      </c>
      <c r="P264" s="1" t="e">
        <f ca="1">IF(ISERROR(F255),"",IF(ISTEXT(VLOOKUP(B255,INDIRECT($F$8),6+(O264-1)*3)),(VLOOKUP(B255,INDIRECT($F$8),6+(O264-1)*3)),SUM(VLOOKUP(B255,INDIRECT($F$8),6+(O264-1)*3),IF(W270,W264,0))))</f>
        <v>#N/A</v>
      </c>
      <c r="Q264" s="1">
        <f ca="1">IF(ISERROR(F255),"",VLOOKUP(B255,INDIRECT($F$8),7+(O264-1)*3))</f>
        <v>46</v>
      </c>
      <c r="R264" s="1" t="e">
        <f ca="1">IF(ISERROR(F255),"",SUM(P264:Q264))</f>
        <v>#N/A</v>
      </c>
      <c r="S264" s="1">
        <f ca="1">IF(ISERROR(F255),"",VLOOKUP(A255,INDIRECT($F$8),6+(O264-1)*3))</f>
        <v>100</v>
      </c>
      <c r="T264" s="1">
        <f ca="1">IF(ISERROR(F255),"",VLOOKUP(A255,INDIRECT($F$8),7+(O264-1)*3))</f>
        <v>50</v>
      </c>
      <c r="U264" s="1">
        <f ca="1">IF(ISERROR(F255),"",VLOOKUP(A255,INDIRECT($F$8),8+(O264-1)*3))</f>
        <v>150</v>
      </c>
      <c r="V264" s="1" t="e">
        <f ca="1">IF(ISERROR(F255),"",IF(N264=0,A264,""))</f>
        <v>#N/A</v>
      </c>
      <c r="W264" s="1">
        <f ca="1">IF(ISERROR(F255),"",IF(ISTEXT(VLOOKUP(B255,INDIRECT($F$8),6+(O264-1)*3)),11,IF(VLOOKUP(B255,INDIRECT($F$8),6+(O264-1)*3)&lt;S264*0.3,IF(VLOOKUP(B255,INDIRECT($F$8),8+(O264-1)*3)&lt;U264*0.4,IF(AND(0.4*U264-VLOOKUP(B255,INDIRECT($F$8),8+(O264-1)*3)&lt;=5,0.3*S264-VLOOKUP(B255,INDIRECT($F$8),6+(O264-1)*3)&lt;=5),MAX(0.4*U264-VLOOKUP(B255,INDIRECT($F$8),8+(O264-1)*3),0.3*S264-VLOOKUP(B255,INDIRECT($F$8),6+(O264-1)*3)),11),IF(0.3*S264-VLOOKUP(B255,INDIRECT($F$8),6+(O264-1)*3)&lt;=5,0.3*S264-VLOOKUP(B255,INDIRECT($F$8),6+(O264-1)*3),11)),IF(VLOOKUP(B255,INDIRECT($F$8),8+(O264-1)*3)&lt;U264*0.4,IF(U264*0.4-VLOOKUP(B255,INDIRECT($F$8),8+(O264-1)*3)&lt;=5,U264*0.4-VLOOKUP(B255,INDIRECT($F$8),8+(O264-1)*3),11),0))))</f>
        <v>0</v>
      </c>
      <c r="X264" s="1" t="str">
        <f ca="1">IF(ISERROR(F255),"",IF(W264=0,"",_xlfn.TEXTJOIN("",FALSE," G+",W264," in ",A264)))</f>
        <v/>
      </c>
    </row>
    <row r="265" spans="1:24" ht="13" customHeight="1" x14ac:dyDescent="0.2">
      <c r="A265" s="7" t="str">
        <f ca="1">IF(ISERROR(F255),"",VLOOKUP(C255,INDIRECT($F$8),6+(O265-1)*3,0))</f>
        <v>AHT 304</v>
      </c>
      <c r="B265" s="41" t="str">
        <f ca="1">IF(ISERROR(F255),"",VLOOKUP(D255,INDIRECT($F$8),6+(O265-1)*3,0))</f>
        <v>Accounting and Financial Management ($)</v>
      </c>
      <c r="C265" s="41"/>
      <c r="D265" s="41"/>
      <c r="E265" s="41"/>
      <c r="F265" s="7">
        <f ca="1">IF(ISERROR(F255),"",VLOOKUP(E255,INDIRECT($F$8),6+(O265-1)*3,0))</f>
        <v>0</v>
      </c>
      <c r="G265" s="42" t="e">
        <f ca="1">IF(ISERROR(F255),"",_xlfn.TEXTJOIN("/",FALSE,P265,S265))</f>
        <v>#N/A</v>
      </c>
      <c r="H265" s="42"/>
      <c r="I265" s="42" t="str">
        <f ca="1">IF(ISERROR(F255),"",_xlfn.TEXTJOIN("/",FALSE,Q265,T265))</f>
        <v>27/50</v>
      </c>
      <c r="J265" s="42"/>
      <c r="K265" s="42" t="e">
        <f ca="1">IF(ISERROR(F255),"",_xlfn.TEXTJOIN("/",FALSE,R265,U265))</f>
        <v>#N/A</v>
      </c>
      <c r="L265" s="42"/>
      <c r="M265" s="7" t="e">
        <f ca="1">IF(ISERROR(F255),"",IF(ISTEXT(P265),IF(P265="A","Ab",IF(P265="D","Dt",IF(P265="UFM","UFM",IF(P265="NA","")))),IF(AND(ISBLANK(P265),ISBLANK(R265)),"",IF(P265&lt;0.3*S265,"F",IF(ISBLANK(R265),"",IF(ISTEXT(R265),R265,IF(R265&gt;=0.9*U265,"O",IF(R265&gt;=0.85*U265,"A+",IF(R265&gt;=0.8*U265,"A",IF(R265&gt;=0.7*U265,"B+",IF(R265&gt;=0.6*U265,"B",IF(R265&gt;=0.5*U265,"C",IF(R265&gt;=0.4*U265,"P",IF(R265&lt;0.4*U265,"F",R265))))))))))))))</f>
        <v>#N/A</v>
      </c>
      <c r="N265" s="8" t="e">
        <f t="shared" ca="1" si="26"/>
        <v>#N/A</v>
      </c>
      <c r="O265">
        <f t="shared" si="27"/>
        <v>6</v>
      </c>
      <c r="P265" s="1" t="e">
        <f ca="1">IF(ISERROR(F255),"",IF(ISTEXT(VLOOKUP(B255,INDIRECT($F$8),6+(O265-1)*3)),(VLOOKUP(B255,INDIRECT($F$8),6+(O265-1)*3)),SUM(VLOOKUP(B255,INDIRECT($F$8),6+(O265-1)*3),IF(W270,W265,0))))</f>
        <v>#N/A</v>
      </c>
      <c r="Q265" s="1">
        <f ca="1">IF(ISERROR(F255),"",VLOOKUP(B255,INDIRECT($F$8),7+(O265-1)*3))</f>
        <v>27</v>
      </c>
      <c r="R265" s="1" t="e">
        <f ca="1">IF(ISERROR(F255),"",SUM(P265:Q265))</f>
        <v>#N/A</v>
      </c>
      <c r="S265" s="1">
        <f ca="1">IF(ISERROR(F255),"",VLOOKUP(A255,INDIRECT($F$8),6+(O265-1)*3))</f>
        <v>0</v>
      </c>
      <c r="T265" s="1">
        <f ca="1">IF(ISERROR(F255),"",VLOOKUP(A255,INDIRECT($F$8),7+(O265-1)*3))</f>
        <v>50</v>
      </c>
      <c r="U265" s="1">
        <f ca="1">IF(ISERROR(F255),"",VLOOKUP(A255,INDIRECT($F$8),8+(O265-1)*3))</f>
        <v>50</v>
      </c>
      <c r="V265" s="1" t="e">
        <f ca="1">IF(ISERROR(F255),"",IF(N265=0,A265,""))</f>
        <v>#N/A</v>
      </c>
      <c r="W265" s="1">
        <f ca="1">IF(ISERROR(F255),"",IF(ISTEXT(VLOOKUP(B255,INDIRECT($F$8),6+(O265-1)*3)),11,IF(VLOOKUP(B255,INDIRECT($F$8),6+(O265-1)*3)&lt;S265*0.3,IF(VLOOKUP(B255,INDIRECT($F$8),8+(O265-1)*3)&lt;U265*0.4,IF(AND(0.4*U265-VLOOKUP(B255,INDIRECT($F$8),8+(O265-1)*3)&lt;=5,0.3*S265-VLOOKUP(B255,INDIRECT($F$8),6+(O265-1)*3)&lt;=5),MAX(0.4*U265-VLOOKUP(B255,INDIRECT($F$8),8+(O265-1)*3),0.3*S265-VLOOKUP(B255,INDIRECT($F$8),6+(O265-1)*3)),11),IF(0.3*S265-VLOOKUP(B255,INDIRECT($F$8),6+(O265-1)*3)&lt;=5,0.3*S265-VLOOKUP(B255,INDIRECT($F$8),6+(O265-1)*3),11)),IF(VLOOKUP(B255,INDIRECT($F$8),8+(O265-1)*3)&lt;U265*0.4,IF(U265*0.4-VLOOKUP(B255,INDIRECT($F$8),8+(O265-1)*3)&lt;=5,U265*0.4-VLOOKUP(B255,INDIRECT($F$8),8+(O265-1)*3),11),0))))</f>
        <v>0</v>
      </c>
      <c r="X265" s="1" t="str">
        <f ca="1">IF(ISERROR(F255),"",IF(W265=0,"",_xlfn.TEXTJOIN("",FALSE," G+",W265," in ",A265)))</f>
        <v/>
      </c>
    </row>
    <row r="266" spans="1:24" ht="13" customHeight="1" x14ac:dyDescent="0.2">
      <c r="A266" s="7" t="str">
        <f ca="1">IF(ISERROR(F255),"",VLOOKUP(C255,INDIRECT($F$8),6+(O266-1)*3,0))</f>
        <v>CAP 004</v>
      </c>
      <c r="B266" s="41" t="str">
        <f ca="1">IF(ISERROR(F255),"",VLOOKUP(D255,INDIRECT($F$8),6+(O266-1)*3,0))</f>
        <v>Data Structures and Analysis of Algorithms Lab</v>
      </c>
      <c r="C266" s="41"/>
      <c r="D266" s="41"/>
      <c r="E266" s="41"/>
      <c r="F266" s="7">
        <f ca="1">IF(ISERROR(F255),"",VLOOKUP(E255,INDIRECT($F$8),6+(O266-1)*3,0))</f>
        <v>1</v>
      </c>
      <c r="G266" s="42" t="e">
        <f ca="1">IF(ISERROR(F255),"",_xlfn.TEXTJOIN("/",FALSE,P266,S266))</f>
        <v>#N/A</v>
      </c>
      <c r="H266" s="42"/>
      <c r="I266" s="42" t="str">
        <f ca="1">IF(ISERROR(F255),"",_xlfn.TEXTJOIN("/",FALSE,Q266,T266))</f>
        <v>18/20</v>
      </c>
      <c r="J266" s="42"/>
      <c r="K266" s="42" t="e">
        <f ca="1">IF(ISERROR(F255),"",_xlfn.TEXTJOIN("/",FALSE,R266,U266))</f>
        <v>#N/A</v>
      </c>
      <c r="L266" s="42"/>
      <c r="M266" s="7" t="e">
        <f ca="1">IF(ISERROR(F255),"",IF(ISTEXT(P266),IF(P266="A","Ab",IF(P266="D","Dt",IF(P266="UFM","UFM",IF(P266="NA","")))),IF(AND(ISBLANK(P266),ISBLANK(R266)),"",IF(P266&lt;0.3*S266,"F",IF(ISBLANK(R266),"",IF(ISTEXT(R266),R266,IF(R266&gt;=0.9*U266,"O",IF(R266&gt;=0.85*U266,"A+",IF(R266&gt;=0.8*U266,"A",IF(R266&gt;=0.7*U266,"B+",IF(R266&gt;=0.6*U266,"B",IF(R266&gt;=0.5*U266,"C",IF(R266&gt;=0.4*U266,"P",IF(R266&lt;0.4*U266,"F",R266))))))))))))))</f>
        <v>#N/A</v>
      </c>
      <c r="N266" s="8" t="e">
        <f t="shared" ca="1" si="26"/>
        <v>#N/A</v>
      </c>
      <c r="O266">
        <f t="shared" si="27"/>
        <v>7</v>
      </c>
      <c r="P266" s="1" t="e">
        <f ca="1">IF(ISERROR(F255),"",IF(ISTEXT(VLOOKUP(B255,INDIRECT($F$8),6+(O266-1)*3)),(VLOOKUP(B255,INDIRECT($F$8),6+(O266-1)*3)),SUM(VLOOKUP(B255,INDIRECT($F$8),6+(O266-1)*3),IF(W270,W266,0))))</f>
        <v>#N/A</v>
      </c>
      <c r="Q266" s="1">
        <f ca="1">IF(ISERROR(F255),"",VLOOKUP(B255,INDIRECT($F$8),7+(O266-1)*3))</f>
        <v>18</v>
      </c>
      <c r="R266" s="1" t="e">
        <f ca="1">IF(ISERROR(F255),"",SUM(P266:Q266))</f>
        <v>#N/A</v>
      </c>
      <c r="S266" s="1">
        <f ca="1">IF(ISERROR(F255),"",VLOOKUP(A255,INDIRECT($F$8),6+(O266-1)*3))</f>
        <v>30</v>
      </c>
      <c r="T266" s="1">
        <f ca="1">IF(ISERROR(F255),"",VLOOKUP(A255,INDIRECT($F$8),7+(O266-1)*3))</f>
        <v>20</v>
      </c>
      <c r="U266" s="1">
        <f ca="1">IF(ISERROR(F255),"",VLOOKUP(A255,INDIRECT($F$8),8+(O266-1)*3))</f>
        <v>50</v>
      </c>
      <c r="V266" s="1" t="e">
        <f ca="1">IF(ISERROR(F255),"",IF(N266=0,A266,""))</f>
        <v>#N/A</v>
      </c>
      <c r="W266" s="1">
        <f ca="1">IF(ISERROR(F255),"",IF(ISTEXT(VLOOKUP(B255,INDIRECT($F$8),6+(O266-1)*3)),11,IF(VLOOKUP(B255,INDIRECT($F$8),6+(O266-1)*3)&lt;S266*0.3,IF(VLOOKUP(B255,INDIRECT($F$8),8+(O266-1)*3)&lt;U266*0.4,IF(AND(0.4*U266-VLOOKUP(B255,INDIRECT($F$8),8+(O266-1)*3)&lt;=5,0.3*S266-VLOOKUP(B255,INDIRECT($F$8),6+(O266-1)*3)&lt;=5),MAX(0.4*U266-VLOOKUP(B255,INDIRECT($F$8),8+(O266-1)*3),0.3*S266-VLOOKUP(B255,INDIRECT($F$8),6+(O266-1)*3)),11),IF(0.3*S266-VLOOKUP(B255,INDIRECT($F$8),6+(O266-1)*3)&lt;=5,0.3*S266-VLOOKUP(B255,INDIRECT($F$8),6+(O266-1)*3),11)),IF(VLOOKUP(B255,INDIRECT($F$8),8+(O266-1)*3)&lt;U266*0.4,IF(U266*0.4-VLOOKUP(B255,INDIRECT($F$8),8+(O266-1)*3)&lt;=5,U266*0.4-VLOOKUP(B255,INDIRECT($F$8),8+(O266-1)*3),11),0))))</f>
        <v>0</v>
      </c>
      <c r="X266" s="1" t="str">
        <f ca="1">IF(ISERROR(F255),"",IF(W266=0,"",_xlfn.TEXTJOIN("",FALSE," G+",W266," in ",A266)))</f>
        <v/>
      </c>
    </row>
    <row r="267" spans="1:24" ht="13" customHeight="1" x14ac:dyDescent="0.2">
      <c r="A267" s="7" t="str">
        <f ca="1">IF(ISERROR(F255),"",VLOOKUP(C255,INDIRECT($F$8),6+(O267-1)*3,0))</f>
        <v>CAP 005</v>
      </c>
      <c r="B267" s="41" t="str">
        <f ca="1">IF(ISERROR(F255),"",VLOOKUP(D255,INDIRECT($F$8),6+(O267-1)*3-Z267,0))</f>
        <v>Object Oriented Programming with JAVA Lab</v>
      </c>
      <c r="C267" s="41"/>
      <c r="D267" s="41"/>
      <c r="E267" s="41"/>
      <c r="F267" s="7">
        <f ca="1">IF(ISERROR(F255),"",VLOOKUP(E255,INDIRECT($F$8),6+(O267-1)*3,0))</f>
        <v>1</v>
      </c>
      <c r="G267" s="42" t="e">
        <f ca="1">IF(ISERROR(F255),"",_xlfn.TEXTJOIN("/",FALSE,P267,S267))</f>
        <v>#N/A</v>
      </c>
      <c r="H267" s="42"/>
      <c r="I267" s="42" t="str">
        <f ca="1">IF(ISERROR(F255),"",_xlfn.TEXTJOIN("/",FALSE,Q267,T267))</f>
        <v>16/20</v>
      </c>
      <c r="J267" s="42"/>
      <c r="K267" s="42" t="e">
        <f ca="1">IF(ISERROR(F255),"",_xlfn.TEXTJOIN("/",FALSE,R267,U267))</f>
        <v>#N/A</v>
      </c>
      <c r="L267" s="42"/>
      <c r="M267" s="7" t="e">
        <f ca="1">IF(ISERROR(F255),"",IF(ISTEXT(P267),IF(P267="A","Ab",IF(P267="D","Dt",IF(P267="UFM","UFM",IF(P267="NA","")))),IF(AND(ISBLANK(P267),ISBLANK(R267)),"",IF(P267&lt;0.3*S267,"F",IF(ISBLANK(R267),"",IF(ISTEXT(R267),R267,IF(R267&gt;=0.9*U267,"O",IF(R267&gt;=0.85*U267,"A+",IF(R267&gt;=0.8*U267,"A",IF(R267&gt;=0.7*U267,"B+",IF(R267&gt;=0.6*U267,"B",IF(R267&gt;=0.5*U267,"C",IF(R267&gt;=0.4*U267,"P",IF(R267&lt;0.4*U267,"F",R267))))))))))))))</f>
        <v>#N/A</v>
      </c>
      <c r="N267" s="8" t="e">
        <f t="shared" ca="1" si="26"/>
        <v>#N/A</v>
      </c>
      <c r="O267">
        <f t="shared" si="27"/>
        <v>8</v>
      </c>
      <c r="P267" s="1" t="e">
        <f ca="1">IF(ISERROR(F255),"",IF(ISTEXT(VLOOKUP(B255,INDIRECT($F$8),6+(O267-1)*3)),(VLOOKUP(B255,INDIRECT($F$8),6+(O267-1)*3)),SUM(VLOOKUP(B255,INDIRECT($F$8),6+(O267-1)*3),IF(W270,W267,0))))</f>
        <v>#N/A</v>
      </c>
      <c r="Q267" s="1">
        <f ca="1">IF(ISERROR(F255),"",VLOOKUP(B255,INDIRECT($F$8),7+(O267-1)*3))</f>
        <v>16</v>
      </c>
      <c r="R267" s="1" t="e">
        <f ca="1">IF(ISERROR(F255),"",SUM(P267:Q267))</f>
        <v>#N/A</v>
      </c>
      <c r="S267" s="1">
        <f ca="1">IF(ISERROR(F255),"",VLOOKUP(A255,INDIRECT($F$8),6+(O267-1)*3))</f>
        <v>30</v>
      </c>
      <c r="T267" s="1">
        <f ca="1">IF(ISERROR(F255),"",VLOOKUP(A255,INDIRECT($F$8),7+(O267-1)*3))</f>
        <v>20</v>
      </c>
      <c r="U267" s="1">
        <f ca="1">IF(ISERROR(F255),"",VLOOKUP(A255,INDIRECT($F$8),8+(O267-1)*3))</f>
        <v>50</v>
      </c>
      <c r="V267" s="1" t="e">
        <f ca="1">IF(ISERROR(F255),"",IF(N267=0,A267,""))</f>
        <v>#N/A</v>
      </c>
      <c r="W267" s="1">
        <f ca="1">IF(ISERROR(F255),"",IF(ISTEXT(VLOOKUP(B255,INDIRECT($F$8),6+(O267-1)*3)),11,IF(VLOOKUP(B255,INDIRECT($F$8),6+(O267-1)*3)&lt;S267*0.3,IF(VLOOKUP(B255,INDIRECT($F$8),8+(O267-1)*3)&lt;U267*0.4,IF(AND(0.4*U267-VLOOKUP(B255,INDIRECT($F$8),8+(O267-1)*3)&lt;=5,0.3*S267-VLOOKUP(B255,INDIRECT($F$8),6+(O267-1)*3)&lt;=5),MAX(0.4*U267-VLOOKUP(B255,INDIRECT($F$8),8+(O267-1)*3),0.3*S267-VLOOKUP(B255,INDIRECT($F$8),6+(O267-1)*3)),11),IF(0.3*S267-VLOOKUP(B255,INDIRECT($F$8),6+(O267-1)*3)&lt;=5,0.3*S267-VLOOKUP(B255,INDIRECT($F$8),6+(O267-1)*3),11)),IF(VLOOKUP(B255,INDIRECT($F$8),8+(O267-1)*3)&lt;U267*0.4,IF(U267*0.4-VLOOKUP(B255,INDIRECT($F$8),8+(O267-1)*3)&lt;=5,U267*0.4-VLOOKUP(B255,INDIRECT($F$8),8+(O267-1)*3),11),0))))</f>
        <v>0</v>
      </c>
      <c r="X267" s="1" t="str">
        <f ca="1">IF(ISERROR(F255),"",IF(W267=0,"",_xlfn.TEXTJOIN("",FALSE," G+",W267," in ",A267)))</f>
        <v/>
      </c>
    </row>
    <row r="268" spans="1:24" ht="13" customHeight="1" x14ac:dyDescent="0.2">
      <c r="A268" s="7" t="str">
        <f ca="1">IF(ISERROR(F255),"",VLOOKUP(C255,INDIRECT($F$8),6+(O268-1)*3,0))</f>
        <v>CAP 006</v>
      </c>
      <c r="B268" s="41" t="str">
        <f ca="1">IF(ISERROR(F255),"",VLOOKUP(D255,INDIRECT($F$8),6+(O268-1)*3-Z268,0))</f>
        <v>Computer Networks Lab</v>
      </c>
      <c r="C268" s="41"/>
      <c r="D268" s="41"/>
      <c r="E268" s="41"/>
      <c r="F268" s="7">
        <f ca="1">IF(ISERROR(F255),"",VLOOKUP(E255,INDIRECT($F$8),6+(O268-1)*3,0))</f>
        <v>1</v>
      </c>
      <c r="G268" s="42" t="e">
        <f ca="1">IF(ISERROR(F255),"",_xlfn.TEXTJOIN("/",FALSE,P268,S268))</f>
        <v>#N/A</v>
      </c>
      <c r="H268" s="42"/>
      <c r="I268" s="42" t="str">
        <f ca="1">IF(ISERROR(F255),"",_xlfn.TEXTJOIN("/",FALSE,Q268,T268))</f>
        <v>16/20</v>
      </c>
      <c r="J268" s="42"/>
      <c r="K268" s="42" t="e">
        <f ca="1">IF(ISERROR(F255),"",_xlfn.TEXTJOIN("/",FALSE,R268,U268))</f>
        <v>#N/A</v>
      </c>
      <c r="L268" s="42"/>
      <c r="M268" s="7" t="e">
        <f ca="1">IF(ISERROR(F255),"",IF(ISTEXT(P268),IF(P268="A","Ab",IF(P268="D","Dt",IF(P268="UFM","UFM",IF(P268="NA","")))),IF(AND(ISBLANK(P268),ISBLANK(R268)),"",IF(P268&lt;0.3*S268,"F",IF(ISBLANK(R268),"",IF(ISTEXT(R268),R268,IF(R268&gt;=0.9*U268,"O",IF(R268&gt;=0.85*U268,"A+",IF(R268&gt;=0.8*U268,"A",IF(R268&gt;=0.7*U268,"B+",IF(R268&gt;=0.6*U268,"B",IF(R268&gt;=0.5*U268,"C",IF(R268&gt;=0.4*U268,"P",IF(R268&lt;0.4*U268,"F",R268))))))))))))))</f>
        <v>#N/A</v>
      </c>
      <c r="N268" s="8" t="e">
        <f t="shared" ca="1" si="26"/>
        <v>#N/A</v>
      </c>
      <c r="O268">
        <f t="shared" si="27"/>
        <v>9</v>
      </c>
      <c r="P268" s="1" t="e">
        <f ca="1">IF(ISERROR(F255),"",IF(ISTEXT(VLOOKUP(B255,INDIRECT($F$8),6+(O268-1)*3)),(VLOOKUP(B255,INDIRECT($F$8),6+(O268-1)*3)),SUM(VLOOKUP(B255,INDIRECT($F$8),6+(O268-1)*3),IF(W270,W268,0))))</f>
        <v>#N/A</v>
      </c>
      <c r="Q268" s="1">
        <f ca="1">IF(ISERROR(F255),"",VLOOKUP(B255,INDIRECT($F$8),7+(O268-1)*3))</f>
        <v>16</v>
      </c>
      <c r="R268" s="1" t="e">
        <f ca="1">IF(ISERROR(F255),"",SUM(P268:Q268))</f>
        <v>#N/A</v>
      </c>
      <c r="S268" s="1">
        <f ca="1">IF(ISERROR(F255),"",VLOOKUP(A255,INDIRECT($F$8),6+(O268-1)*3))</f>
        <v>30</v>
      </c>
      <c r="T268" s="1">
        <f ca="1">IF(ISERROR(F255),"",VLOOKUP(A255,INDIRECT($F$8),7+(O268-1)*3))</f>
        <v>20</v>
      </c>
      <c r="U268" s="1">
        <f ca="1">IF(ISERROR(F255),"",VLOOKUP(A255,INDIRECT($F$8),8+(O268-1)*3))</f>
        <v>50</v>
      </c>
      <c r="V268" s="1" t="e">
        <f ca="1">IF(ISERROR(F255),"",IF(N268=0,A268,""))</f>
        <v>#N/A</v>
      </c>
      <c r="W268" s="1">
        <f ca="1">IF(ISERROR(F255),"",IF(ISTEXT(VLOOKUP(B255,INDIRECT($F$8),6+(O268-1)*3)),11,IF(VLOOKUP(B255,INDIRECT($F$8),6+(O268-1)*3)&lt;S268*0.3,IF(VLOOKUP(B255,INDIRECT($F$8),8+(O268-1)*3)&lt;U268*0.4,IF(AND(0.4*U268-VLOOKUP(B255,INDIRECT($F$8),8+(O268-1)*3)&lt;=5,0.3*S268-VLOOKUP(B255,INDIRECT($F$8),6+(O268-1)*3)&lt;=5),MAX(0.4*U268-VLOOKUP(B255,INDIRECT($F$8),8+(O268-1)*3),0.3*S268-VLOOKUP(B255,INDIRECT($F$8),6+(O268-1)*3)),11),IF(0.3*S268-VLOOKUP(B255,INDIRECT($F$8),6+(O268-1)*3)&lt;=5,0.3*S268-VLOOKUP(B255,INDIRECT($F$8),6+(O268-1)*3),11)),IF(VLOOKUP(B255,INDIRECT($F$8),8+(O268-1)*3)&lt;U268*0.4,IF(U268*0.4-VLOOKUP(B255,INDIRECT($F$8),8+(O268-1)*3)&lt;=5,U268*0.4-VLOOKUP(B255,INDIRECT($F$8),8+(O268-1)*3),11),0))))</f>
        <v>0</v>
      </c>
      <c r="X268" s="1" t="str">
        <f ca="1">IF(ISERROR(F255),"",IF(W268=0,"",_xlfn.TEXTJOIN("",FALSE," G+",W268," in ",A268)))</f>
        <v/>
      </c>
    </row>
    <row r="269" spans="1:24" ht="13" customHeight="1" x14ac:dyDescent="0.2">
      <c r="A269" s="7" t="str">
        <f ca="1">IF(ISERROR(F255),"",VLOOKUP(C255,INDIRECT($F$8),6+(O269-1)*3,0))</f>
        <v>CAP 007</v>
      </c>
      <c r="B269" s="41" t="str">
        <f ca="1">IF(ISERROR(F255),"",VLOOKUP(D255,INDIRECT($F$8),6+(O269-1)*3,0))</f>
        <v>Artificial Intelligence Lab</v>
      </c>
      <c r="C269" s="41"/>
      <c r="D269" s="41"/>
      <c r="E269" s="41"/>
      <c r="F269" s="7">
        <f ca="1">IF(ISERROR(F255),"",VLOOKUP(E255,INDIRECT($F$8),6+(O269-1)*3,0))</f>
        <v>1</v>
      </c>
      <c r="G269" s="42" t="e">
        <f ca="1">IF(ISERROR(F255),"",_xlfn.TEXTJOIN("/",FALSE,P269,S269))</f>
        <v>#N/A</v>
      </c>
      <c r="H269" s="42"/>
      <c r="I269" s="42" t="str">
        <f ca="1">IF(ISERROR(F255),"",_xlfn.TEXTJOIN("/",FALSE,Q269,T269))</f>
        <v>19/20</v>
      </c>
      <c r="J269" s="42"/>
      <c r="K269" s="42" t="e">
        <f ca="1">IF(ISERROR(F255),"",_xlfn.TEXTJOIN("/",FALSE,R269,U269))</f>
        <v>#N/A</v>
      </c>
      <c r="L269" s="42"/>
      <c r="M269" s="7" t="e">
        <f ca="1">IF(ISERROR(F255),"",IF(ISTEXT(P269),IF(P269="A","Ab",IF(P269="D","Dt",IF(P269="UFM","UFM",IF(P269="NA","")))),IF(AND(ISBLANK(P269),ISBLANK(R269)),"",IF(P269&lt;0.3*S269,"F",IF(ISBLANK(R269),"",IF(ISTEXT(R269),R269,IF(R269&gt;=0.9*U269,"O",IF(R269&gt;=0.85*U269,"A+",IF(R269&gt;=0.8*U269,"A",IF(R269&gt;=0.7*U269,"B+",IF(R269&gt;=0.6*U269,"B",IF(R269&gt;=0.5*U269,"C",IF(R269&gt;=0.4*U269,"P",IF(R269&lt;0.4*U269,"F",R269))))))))))))))</f>
        <v>#N/A</v>
      </c>
      <c r="N269" s="8" t="e">
        <f t="shared" ca="1" si="26"/>
        <v>#N/A</v>
      </c>
      <c r="O269">
        <f t="shared" si="27"/>
        <v>10</v>
      </c>
      <c r="P269" s="1" t="e">
        <f ca="1">IF(ISERROR(F255),"",IF(ISTEXT(VLOOKUP(B255,INDIRECT($F$8),6+(O269-1)*3)),(VLOOKUP(B255,INDIRECT($F$8),6+(O269-1)*3)),SUM(VLOOKUP(B255,INDIRECT($F$8),6+(O269-1)*3),IF(W270,W269,0))))</f>
        <v>#N/A</v>
      </c>
      <c r="Q269" s="1">
        <f ca="1">IF(ISERROR(F255),"",VLOOKUP(B255,INDIRECT($F$8),7+(O269-1)*3))</f>
        <v>19</v>
      </c>
      <c r="R269" s="1" t="e">
        <f ca="1">IF(ISERROR(F255),"",SUM(P269:Q269))</f>
        <v>#N/A</v>
      </c>
      <c r="S269" s="1">
        <f ca="1">IF(ISERROR(F255),"",VLOOKUP(A255,INDIRECT($F$8),6+(O269-1)*3))</f>
        <v>30</v>
      </c>
      <c r="T269" s="1">
        <f ca="1">IF(ISERROR(F255),"",VLOOKUP(A255,INDIRECT($F$8),7+(O269-1)*3))</f>
        <v>20</v>
      </c>
      <c r="U269" s="1">
        <f ca="1">IF(ISERROR(F255),"",VLOOKUP(A255,INDIRECT($F$8),8+(O269-1)*3))</f>
        <v>50</v>
      </c>
      <c r="V269" s="1" t="e">
        <f ca="1">IF(ISERROR(F255),"",IF(N269=0,A269,""))</f>
        <v>#N/A</v>
      </c>
      <c r="W269" s="1">
        <f ca="1">IF(ISERROR(F255),"",IF(ISTEXT(VLOOKUP(B255,INDIRECT($F$8),6+(O269-1)*3)),11,IF(VLOOKUP(B255,INDIRECT($F$8),6+(O269-1)*3)&lt;S269*0.3,IF(VLOOKUP(B255,INDIRECT($F$8),8+(O269-1)*3)&lt;U269*0.4,IF(AND(0.4*U269-VLOOKUP(B255,INDIRECT($F$8),8+(O269-1)*3)&lt;=5,0.3*S269-VLOOKUP(B255,INDIRECT($F$8),6+(O269-1)*3)&lt;=5),MAX(0.4*U269-VLOOKUP(B255,INDIRECT($F$8),8+(O269-1)*3),0.3*S269-VLOOKUP(B255,INDIRECT($F$8),6+(O269-1)*3)),11),IF(0.3*S269-VLOOKUP(B255,INDIRECT($F$8),6+(O269-1)*3)&lt;=5,0.3*S269-VLOOKUP(B255,INDIRECT($F$8),6+(O269-1)*3),11)),IF(VLOOKUP(B255,INDIRECT($F$8),8+(O269-1)*3)&lt;U269*0.4,IF(U269*0.4-VLOOKUP(B255,INDIRECT($F$8),8+(O269-1)*3)&lt;=5,U269*0.4-VLOOKUP(B255,INDIRECT($F$8),8+(O269-1)*3),11),0))))</f>
        <v>0</v>
      </c>
      <c r="X269" s="1" t="str">
        <f ca="1">IF(ISERROR(F255),"",IF(W269=0,"",_xlfn.TEXTJOIN("",FALSE," G+",W269," in ",A269)))</f>
        <v/>
      </c>
    </row>
    <row r="270" spans="1:24" ht="13" customHeight="1" x14ac:dyDescent="0.2">
      <c r="A270" s="43" t="str">
        <f ca="1">IF(ISERROR(F255),"",A251)</f>
        <v>Total Credits/ Marks/ Total Grade Points</v>
      </c>
      <c r="B270" s="43"/>
      <c r="C270" s="43"/>
      <c r="D270" s="43"/>
      <c r="E270" s="43"/>
      <c r="F270" s="10">
        <f ca="1">IF(ISERROR(F255),"",SUM(F260:F269))</f>
        <v>24</v>
      </c>
      <c r="G270" s="44" t="e">
        <f ca="1">IF(ISERROR(F255),"",_xlfn.TEXTJOIN("/",TRUE,SUMIF(F260:F269,"&gt;0",P260:P269),SUMIF(F260:F269,"&gt;0",S260:S269)))</f>
        <v>#N/A</v>
      </c>
      <c r="H270" s="44"/>
      <c r="I270" s="44" t="str">
        <f ca="1">IF(ISERROR(F255),"",_xlfn.TEXTJOIN("/",TRUE,SUMIF(F260:F269,"&gt;0",Q260:Q269),SUMIF(F260:F269,"&gt;0",T260:T269)))</f>
        <v>280/330</v>
      </c>
      <c r="J270" s="44"/>
      <c r="K270" s="44" t="e">
        <f ca="1">IF(ISERROR(F255),"",_xlfn.TEXTJOIN("/",TRUE,SUMIF(F260:F269,"&gt;0",R260:R269),SUMIF(F260:F269,"&gt;0",U260:U269)))</f>
        <v>#N/A</v>
      </c>
      <c r="L270" s="44"/>
      <c r="M270" s="43" t="e">
        <f ca="1">IF(ISERROR(F255),"",SUMPRODUCT(N260:N269,F260:F269))</f>
        <v>#N/A</v>
      </c>
      <c r="N270" s="43"/>
      <c r="V270" s="1" t="e">
        <f ca="1">IF(ISERROR(F255),"",_xlfn.TEXTJOIN(", ",TRUE,V260:V269))</f>
        <v>#N/A</v>
      </c>
      <c r="W270" t="e">
        <f ca="1">IF(ISERROR(F255),"",IF(SUM(W260:W269)&lt;=W259,TRUE,FALSE))</f>
        <v>#N/A</v>
      </c>
      <c r="X270" s="1" t="str">
        <f ca="1">IF(ISERROR(F255),"",_xlfn.TEXTJOIN(",",TRUE,X260:X269))</f>
        <v/>
      </c>
    </row>
    <row r="271" spans="1:24" ht="13" customHeight="1" x14ac:dyDescent="0.2">
      <c r="A271" s="43" t="str">
        <f ca="1">IF(ISERROR(F255),"",A252)</f>
        <v>Result:</v>
      </c>
      <c r="B271" s="45" t="e">
        <f ca="1">IF(ISERROR(F255),"",IF(V270="","PASS","CARRY OVER"))</f>
        <v>#N/A</v>
      </c>
      <c r="C271" s="45"/>
      <c r="D271" s="43" t="str">
        <f ca="1">IF(ISERROR(F255),"",D252)</f>
        <v>Remark:</v>
      </c>
      <c r="E271" s="45" t="e">
        <f ca="1">IF(ISERROR(F255),"",IF(V270="",IF(X270="","",X270),_xlfn.TEXTJOIN(" ",TRUE,"BACK IN",V270)))</f>
        <v>#N/A</v>
      </c>
      <c r="F271" s="45"/>
      <c r="G271" s="43" t="str">
        <f ca="1">IF(ISERROR(F255),"",G252)</f>
        <v>SGPA:</v>
      </c>
      <c r="H271" s="46" t="e">
        <f ca="1">IF(ISERROR(F255),"",M270/F270)</f>
        <v>#N/A</v>
      </c>
      <c r="I271" s="43" t="str">
        <f ca="1">IF(ISERROR(F255),"",I252)</f>
        <v>CGPA:</v>
      </c>
      <c r="J271" s="46" t="e">
        <f ca="1">IF(ISERROR(F255),"",VLOOKUP(B255,INDIRECT($F$8),12+(O269-1)*3,0))</f>
        <v>#N/A</v>
      </c>
      <c r="K271" s="45" t="str">
        <f ca="1">IF(ISERROR(F255),"",K252)</f>
        <v>Earned Credits:</v>
      </c>
      <c r="L271" s="43">
        <f ca="1">IF(ISERROR(F255),"",SUMIF(N260:N269,"&gt;0",F260:F269))</f>
        <v>0</v>
      </c>
      <c r="M271" s="45" t="str">
        <f ca="1">IF(ISERROR(F255),"",M252)</f>
        <v>Cuml. Earned Credits:</v>
      </c>
      <c r="N271" s="43" t="e">
        <f ca="1">IF(ISERROR(F255),"",VLOOKUP(B255,INDIRECT($F$8),10+(O269-1)*3,0))</f>
        <v>#N/A</v>
      </c>
    </row>
    <row r="272" spans="1:24" ht="13" customHeight="1" x14ac:dyDescent="0.2">
      <c r="A272" s="43"/>
      <c r="B272" s="45"/>
      <c r="C272" s="45"/>
      <c r="D272" s="43"/>
      <c r="E272" s="45"/>
      <c r="F272" s="45"/>
      <c r="G272" s="43"/>
      <c r="H272" s="46"/>
      <c r="I272" s="43"/>
      <c r="J272" s="46"/>
      <c r="K272" s="45"/>
      <c r="L272" s="43"/>
      <c r="M272" s="45"/>
      <c r="N272" s="43"/>
    </row>
    <row r="273" spans="1:24" ht="15" x14ac:dyDescent="0.2">
      <c r="A273" s="43"/>
      <c r="B273" s="45"/>
      <c r="C273" s="45"/>
      <c r="D273" s="43"/>
      <c r="E273" s="45"/>
      <c r="F273" s="45"/>
      <c r="G273" s="43"/>
      <c r="H273" s="46"/>
      <c r="I273" s="43"/>
      <c r="J273" s="46"/>
      <c r="K273" s="45"/>
      <c r="L273" s="43"/>
      <c r="M273" s="45"/>
      <c r="N273" s="43"/>
    </row>
    <row r="274" spans="1:24" ht="13" customHeight="1" x14ac:dyDescent="0.2">
      <c r="A274" s="11" t="str">
        <f>A255</f>
        <v>MM</v>
      </c>
      <c r="B274" s="11">
        <f>B255+1</f>
        <v>15</v>
      </c>
      <c r="C274" s="11" t="str">
        <f>C255</f>
        <v>SC</v>
      </c>
      <c r="D274" s="11" t="str">
        <f>D255</f>
        <v>SN</v>
      </c>
      <c r="E274" s="11" t="str">
        <f>E255</f>
        <v>C</v>
      </c>
      <c r="F274" s="11" t="str">
        <f ca="1">VLOOKUP(B274,INDIRECT($F$8),4,0)</f>
        <v>MANVI UNIYAL</v>
      </c>
    </row>
    <row r="275" spans="1:24" ht="13" customHeight="1" x14ac:dyDescent="0.2">
      <c r="A275" s="47" t="str">
        <f ca="1">IF(ISERROR(F274),"",A256)</f>
        <v>Name:</v>
      </c>
      <c r="B275" s="47" t="str">
        <f ca="1">IFERROR(VLOOKUP(B274,INDIRECT($F$8),4,0),"")</f>
        <v>MANVI UNIYAL</v>
      </c>
      <c r="C275" s="47"/>
      <c r="D275" s="47" t="str">
        <f ca="1">IF(ISERROR(F274),"",D256)</f>
        <v>Father's Name:</v>
      </c>
      <c r="E275" s="47" t="str">
        <f ca="1">IFERROR(VLOOKUP(B274,INDIRECT($F$8),5,0),"")</f>
        <v>MANOJ UNIYAL</v>
      </c>
      <c r="F275" s="47"/>
      <c r="G275" s="47" t="str">
        <f ca="1">IF(ISERROR(F274),"",G256)</f>
        <v>University Roll No:</v>
      </c>
      <c r="H275" s="47"/>
      <c r="I275" s="48">
        <f ca="1">IFERROR(VLOOKUP(B274,INDIRECT($F$8),2,0),"")</f>
        <v>240090600015</v>
      </c>
      <c r="J275" s="48"/>
      <c r="K275" s="47" t="str">
        <f ca="1">IF(ISERROR(F274),"",K256)</f>
        <v>University Enrol. No:</v>
      </c>
      <c r="L275" s="47"/>
      <c r="M275" s="48" t="str">
        <f ca="1">IFERROR(VLOOKUP(B274,INDIRECT($F$8),3,0),"")</f>
        <v>UTU/2406100177</v>
      </c>
      <c r="N275" s="48"/>
    </row>
    <row r="276" spans="1:24" ht="15" x14ac:dyDescent="0.2">
      <c r="A276" s="47"/>
      <c r="B276" s="47"/>
      <c r="C276" s="47"/>
      <c r="D276" s="47"/>
      <c r="E276" s="47"/>
      <c r="F276" s="47"/>
      <c r="G276" s="47"/>
      <c r="H276" s="47"/>
      <c r="I276" s="48"/>
      <c r="J276" s="48"/>
      <c r="K276" s="47"/>
      <c r="L276" s="47"/>
      <c r="M276" s="48"/>
      <c r="N276" s="48"/>
    </row>
    <row r="277" spans="1:24" ht="13" customHeight="1" x14ac:dyDescent="0.2">
      <c r="A277" s="45" t="str">
        <f ca="1">IF(ISERROR(F274),"",A258)</f>
        <v>Subject Code</v>
      </c>
      <c r="B277" s="45" t="str">
        <f ca="1">IF(ISERROR(F274),"",B258)</f>
        <v>Subject Name</v>
      </c>
      <c r="C277" s="45"/>
      <c r="D277" s="45"/>
      <c r="E277" s="45"/>
      <c r="F277" s="45" t="str">
        <f ca="1">IF(ISERROR(F274),"",F258)</f>
        <v>Credits</v>
      </c>
      <c r="G277" s="45" t="str">
        <f ca="1">IF(ISERROR(F274),"",G258)</f>
        <v>External Marks</v>
      </c>
      <c r="H277" s="45"/>
      <c r="I277" s="45" t="str">
        <f ca="1">IF(ISERROR(F274),"",I258)</f>
        <v>Sessional Marks</v>
      </c>
      <c r="J277" s="45"/>
      <c r="K277" s="45" t="str">
        <f ca="1">IF(ISERROR(F274),"",K258)</f>
        <v>Total Marks</v>
      </c>
      <c r="L277" s="45"/>
      <c r="M277" s="45" t="str">
        <f ca="1">IF(ISERROR(F274),"",M258)</f>
        <v>Grade</v>
      </c>
      <c r="N277" s="45" t="str">
        <f ca="1">IF(ISERROR(F274),"",N258)</f>
        <v>Grade Points</v>
      </c>
    </row>
    <row r="278" spans="1:24" ht="15" x14ac:dyDescent="0.2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W278" t="e">
        <f ca="1">IF(ISNUMBER(MATCH($F$8,{"I","III","V","VII"},0)),10,10-INDEX(INDIRECT(_xlfn.TEXTJOIN("",TRUE,"SEM_",$G$8,"!",ADDRESS(6,4+$I$8*3+4),":",ADDRESS(5+$H$8,4+$I$8*3+4))),MATCH(INDIRECT(_xlfn.TEXTJOIN("",TRUE,"TC_",$F$8,"!",ADDRESS(ROW(I275),COLUMN(I275)))),INDIRECT(_xlfn.TEXTJOIN("",TRUE,"SEM_",$G$8,"!",ADDRESS(6,2),":",ADDRESS(5+$H$8,2))))))</f>
        <v>#N/A</v>
      </c>
    </row>
    <row r="279" spans="1:24" ht="13" customHeight="1" x14ac:dyDescent="0.2">
      <c r="A279" s="7" t="str">
        <f ca="1">IF(ISERROR(F274),"",VLOOKUP(C274,INDIRECT($F$8),6+(O279-1)*3,0))</f>
        <v>CAT 009</v>
      </c>
      <c r="B279" s="41" t="str">
        <f ca="1">IF(ISERROR(F274),"",VLOOKUP(D274,INDIRECT($F$8),6+(O279-1)*3,0))</f>
        <v>Computer Based Numerical and Statistical Techniques</v>
      </c>
      <c r="C279" s="41"/>
      <c r="D279" s="41"/>
      <c r="E279" s="41"/>
      <c r="F279" s="7">
        <f ca="1">IF(ISERROR(F274),"",VLOOKUP(E274,INDIRECT($F$8),6+(O279-1)*3,0))</f>
        <v>4</v>
      </c>
      <c r="G279" s="42" t="e">
        <f ca="1">IF(ISERROR(F274),"",_xlfn.TEXTJOIN("/",FALSE,P279,S279))</f>
        <v>#N/A</v>
      </c>
      <c r="H279" s="42"/>
      <c r="I279" s="42" t="str">
        <f ca="1">IF(ISERROR(F274),"",_xlfn.TEXTJOIN("/",FALSE,Q279,T279))</f>
        <v>41/50</v>
      </c>
      <c r="J279" s="42"/>
      <c r="K279" s="42" t="e">
        <f ca="1">IF(ISERROR(F274),"",_xlfn.TEXTJOIN("/",FALSE,R279,U279))</f>
        <v>#N/A</v>
      </c>
      <c r="L279" s="42"/>
      <c r="M279" s="7" t="e">
        <f ca="1">IF(ISERROR(F274),"",IF(ISTEXT(P279),IF(P279="A","Ab",IF(P279="D","Dt",IF(P279="UFM","UFM",IF(P279="NA","")))),IF(AND(ISBLANK(P279),ISBLANK(R279)),"",IF(P279&lt;0.3*S279,"F",IF(ISBLANK(R279),"",IF(ISTEXT(R279),R279,IF(R279&gt;=0.9*U279,"O",IF(R279&gt;=0.85*U279,"A+",IF(R279&gt;=0.8*U279,"A",IF(R279&gt;=0.7*U279,"B+",IF(R279&gt;=0.6*U279,"B",IF(R279&gt;=0.5*U279,"C",IF(R279&gt;=0.4*U279,"P",IF(R279&lt;0.4*U279,"F",R279))))))))))))))</f>
        <v>#N/A</v>
      </c>
      <c r="N279" s="8" t="e">
        <f t="shared" ref="N279:N288" ca="1" si="28">INDEX($Z$2:$Z$13,MATCH(M279,$Y$2:$Y$13,0))</f>
        <v>#N/A</v>
      </c>
      <c r="O279">
        <v>1</v>
      </c>
      <c r="P279" s="1" t="e">
        <f ca="1">IF(ISERROR(F274),"",IF(ISTEXT(VLOOKUP(B274,INDIRECT($F$8),6+(O279-1)*3)),(VLOOKUP(B274,INDIRECT($F$8),6+(O279-1)*3)),SUM(VLOOKUP(B274,INDIRECT($F$8),6+(O279-1)*3),IF(W289,W279,0))))</f>
        <v>#N/A</v>
      </c>
      <c r="Q279" s="1">
        <f ca="1">IF(ISERROR(F274),"",VLOOKUP(B274,INDIRECT($F$8),7+(O279-1)*3))</f>
        <v>41</v>
      </c>
      <c r="R279" s="1" t="e">
        <f ca="1">IF(ISERROR(F274),"",SUM(P279:Q279))</f>
        <v>#N/A</v>
      </c>
      <c r="S279" s="1">
        <f ca="1">IF(ISERROR(F274),"",VLOOKUP(A274,INDIRECT($F$8),6+(O279-1)*3))</f>
        <v>100</v>
      </c>
      <c r="T279" s="1">
        <f ca="1">IF(ISERROR(F274),"",VLOOKUP(A274,INDIRECT($F$8),7+(O279-1)*3))</f>
        <v>50</v>
      </c>
      <c r="U279" s="1">
        <f ca="1">IF(ISERROR(F274),"",VLOOKUP(A274,INDIRECT($F$8),8+(O279-1)*3))</f>
        <v>150</v>
      </c>
      <c r="V279" s="1" t="e">
        <f ca="1">IF(ISERROR(F274),"",IF(N279=0,A279,""))</f>
        <v>#N/A</v>
      </c>
      <c r="W279" s="1">
        <f ca="1">IF(ISERROR(F274),"",IF(ISTEXT(VLOOKUP(B274,INDIRECT($F$8),6+(O279-1)*3)),11,IF(VLOOKUP(B274,INDIRECT($F$8),6+(O279-1)*3)&lt;S279*0.3,IF(VLOOKUP(B274,INDIRECT($F$8),8+(O279-1)*3)&lt;U279*0.4,IF(AND(0.4*U279-VLOOKUP(B274,INDIRECT($F$8),8+(O279-1)*3)&lt;=5,0.3*S279-VLOOKUP(B274,INDIRECT($F$8),6+(O279-1)*3)&lt;=5),MAX(0.4*U279-VLOOKUP(B274,INDIRECT($F$8),8+(O279-1)*3),0.3*S279-VLOOKUP(B274,INDIRECT($F$8),6+(O279-1)*3)),11),IF(0.3*S279-VLOOKUP(B274,INDIRECT($F$8),6+(O279-1)*3)&lt;=5,0.3*S279-VLOOKUP(B274,INDIRECT($F$8),6+(O279-1)*3),11)),IF(VLOOKUP(B274,INDIRECT($F$8),8+(O279-1)*3)&lt;U279*0.4,IF(U279*0.4-VLOOKUP(B274,INDIRECT($F$8),8+(O279-1)*3)&lt;=5,U279*0.4-VLOOKUP(B274,INDIRECT($F$8),8+(O279-1)*3),11),0))))</f>
        <v>0</v>
      </c>
      <c r="X279" s="1" t="str">
        <f ca="1">IF(ISERROR(F274),"",IF(W279=0,"",_xlfn.TEXTJOIN("",FALSE," G+",W279," in ",A279)))</f>
        <v/>
      </c>
    </row>
    <row r="280" spans="1:24" ht="13" customHeight="1" x14ac:dyDescent="0.2">
      <c r="A280" s="7" t="str">
        <f ca="1">IF(ISERROR(F274),"",VLOOKUP(C274,INDIRECT($F$8),6+(O280-1)*3,0))</f>
        <v>CAT 010</v>
      </c>
      <c r="B280" s="41" t="str">
        <f ca="1">IF(ISERROR(F274),"",VLOOKUP(D274,INDIRECT($F$8),6+(O280-1)*3,0))</f>
        <v>Data Structures and Analysis of Algorithms</v>
      </c>
      <c r="C280" s="41"/>
      <c r="D280" s="41"/>
      <c r="E280" s="41"/>
      <c r="F280" s="7">
        <f ca="1">IF(ISERROR(F274),"",VLOOKUP(E274,INDIRECT($F$8),6+(O280-1)*3,0))</f>
        <v>4</v>
      </c>
      <c r="G280" s="42" t="e">
        <f ca="1">IF(ISERROR(F274),"",_xlfn.TEXTJOIN("/",FALSE,P280,S280))</f>
        <v>#N/A</v>
      </c>
      <c r="H280" s="42"/>
      <c r="I280" s="42" t="str">
        <f ca="1">IF(ISERROR(F274),"",_xlfn.TEXTJOIN("/",FALSE,Q280,T280))</f>
        <v>41/50</v>
      </c>
      <c r="J280" s="42"/>
      <c r="K280" s="42" t="e">
        <f ca="1">IF(ISERROR(F274),"",_xlfn.TEXTJOIN("/",FALSE,R280,U280))</f>
        <v>#N/A</v>
      </c>
      <c r="L280" s="42"/>
      <c r="M280" s="7" t="e">
        <f ca="1">IF(ISERROR(F274),"",IF(ISTEXT(P280),IF(P280="A","Ab",IF(P280="D","Dt",IF(P280="UFM","UFM",IF(P280="NA","")))),IF(AND(ISBLANK(P280),ISBLANK(R280)),"",IF(P280&lt;0.3*S280,"F",IF(ISBLANK(R280),"",IF(ISTEXT(R280),R280,IF(R280&gt;=0.9*U280,"O",IF(R280&gt;=0.85*U280,"A+",IF(R280&gt;=0.8*U280,"A",IF(R280&gt;=0.7*U280,"B+",IF(R280&gt;=0.6*U280,"B",IF(R280&gt;=0.5*U280,"C",IF(R280&gt;=0.4*U280,"P",IF(R280&lt;0.4*U280,"F",R280))))))))))))))</f>
        <v>#N/A</v>
      </c>
      <c r="N280" s="8" t="e">
        <f t="shared" ca="1" si="28"/>
        <v>#N/A</v>
      </c>
      <c r="O280">
        <f>O279+1</f>
        <v>2</v>
      </c>
      <c r="P280" s="1" t="e">
        <f ca="1">IF(ISERROR(F274),"",IF(ISTEXT(VLOOKUP(B274,INDIRECT($F$8),6+(O280-1)*3)),(VLOOKUP(B274,INDIRECT($F$8),6+(O280-1)*3)),SUM(VLOOKUP(B274,INDIRECT($F$8),6+(O280-1)*3),IF(W289,W280,0))))</f>
        <v>#N/A</v>
      </c>
      <c r="Q280" s="1">
        <f ca="1">IF(ISERROR(F274),"",VLOOKUP(B274,INDIRECT($F$8),7+(O280-1)*3))</f>
        <v>41</v>
      </c>
      <c r="R280" s="1" t="e">
        <f ca="1">IF(ISERROR(F274),"",SUM(P280:Q280))</f>
        <v>#N/A</v>
      </c>
      <c r="S280" s="1">
        <f ca="1">IF(ISERROR(F274),"",VLOOKUP(A274,INDIRECT($F$8),6+(O280-1)*3))</f>
        <v>100</v>
      </c>
      <c r="T280" s="1">
        <f ca="1">IF(ISERROR(F274),"",VLOOKUP(A274,INDIRECT($F$8),7+(O280-1)*3))</f>
        <v>50</v>
      </c>
      <c r="U280" s="1">
        <f ca="1">IF(ISERROR(F274),"",VLOOKUP(A274,INDIRECT($F$8),8+(O280-1)*3))</f>
        <v>150</v>
      </c>
      <c r="V280" s="1" t="e">
        <f ca="1">IF(ISERROR(F274),"",IF(N280=0,A280,""))</f>
        <v>#N/A</v>
      </c>
      <c r="W280" s="1">
        <f ca="1">IF(ISERROR(F274),"",IF(ISTEXT(VLOOKUP(B274,INDIRECT($F$8),6+(O280-1)*3)),11,IF(VLOOKUP(B274,INDIRECT($F$8),6+(O280-1)*3)&lt;S280*0.3,IF(VLOOKUP(B274,INDIRECT($F$8),8+(O280-1)*3)&lt;U280*0.4,IF(AND(0.4*U280-VLOOKUP(B274,INDIRECT($F$8),8+(O280-1)*3)&lt;=5,0.3*S280-VLOOKUP(B274,INDIRECT($F$8),6+(O280-1)*3)&lt;=5),MAX(0.4*U280-VLOOKUP(B274,INDIRECT($F$8),8+(O280-1)*3),0.3*S280-VLOOKUP(B274,INDIRECT($F$8),6+(O280-1)*3)),11),IF(0.3*S280-VLOOKUP(B274,INDIRECT($F$8),6+(O280-1)*3)&lt;=5,0.3*S280-VLOOKUP(B274,INDIRECT($F$8),6+(O280-1)*3),11)),IF(VLOOKUP(B274,INDIRECT($F$8),8+(O280-1)*3)&lt;U280*0.4,IF(U280*0.4-VLOOKUP(B274,INDIRECT($F$8),8+(O280-1)*3)&lt;=5,U280*0.4-VLOOKUP(B274,INDIRECT($F$8),8+(O280-1)*3),11),0))))</f>
        <v>0</v>
      </c>
      <c r="X280" s="1" t="str">
        <f ca="1">IF(ISERROR(F274),"",IF(W280=0,"",_xlfn.TEXTJOIN("",FALSE," G+",W280," in ",A280)))</f>
        <v/>
      </c>
    </row>
    <row r="281" spans="1:24" ht="13" customHeight="1" x14ac:dyDescent="0.2">
      <c r="A281" s="7" t="str">
        <f ca="1">IF(ISERROR(F274),"",VLOOKUP(C274,INDIRECT($F$8),6+(O281-1)*3,0))</f>
        <v>CAT 011</v>
      </c>
      <c r="B281" s="41" t="str">
        <f ca="1">IF(ISERROR(F274),"",VLOOKUP(D274,INDIRECT($F$8),6+(O281-1)*3,0))</f>
        <v>Object Oriented Programming with JAVA</v>
      </c>
      <c r="C281" s="41"/>
      <c r="D281" s="41"/>
      <c r="E281" s="41"/>
      <c r="F281" s="7">
        <f ca="1">IF(ISERROR(F274),"",VLOOKUP(E274,INDIRECT($F$8),6+(O281-1)*3,0))</f>
        <v>4</v>
      </c>
      <c r="G281" s="42" t="e">
        <f ca="1">IF(ISERROR(F274),"",_xlfn.TEXTJOIN("/",FALSE,P281,S281))</f>
        <v>#N/A</v>
      </c>
      <c r="H281" s="42"/>
      <c r="I281" s="42" t="str">
        <f ca="1">IF(ISERROR(F274),"",_xlfn.TEXTJOIN("/",FALSE,Q281,T281))</f>
        <v>34/50</v>
      </c>
      <c r="J281" s="42"/>
      <c r="K281" s="42" t="e">
        <f ca="1">IF(ISERROR(F274),"",_xlfn.TEXTJOIN("/",FALSE,R281,U281))</f>
        <v>#N/A</v>
      </c>
      <c r="L281" s="42"/>
      <c r="M281" s="7" t="e">
        <f ca="1">IF(ISERROR(F274),"",IF(ISTEXT(P281),IF(P281="A","Ab",IF(P281="D","Dt",IF(P281="UFM","UFM",IF(P281="NA","")))),IF(AND(ISBLANK(P281),ISBLANK(R281)),"",IF(P281&lt;0.3*S281,"F",IF(ISBLANK(R281),"",IF(ISTEXT(R281),R281,IF(R281&gt;=0.9*U281,"O",IF(R281&gt;=0.85*U281,"A+",IF(R281&gt;=0.8*U281,"A",IF(R281&gt;=0.7*U281,"B+",IF(R281&gt;=0.6*U281,"B",IF(R281&gt;=0.5*U281,"C",IF(R281&gt;=0.4*U281,"P",IF(R281&lt;0.4*U281,"F",R281))))))))))))))</f>
        <v>#N/A</v>
      </c>
      <c r="N281" s="8" t="e">
        <f t="shared" ca="1" si="28"/>
        <v>#N/A</v>
      </c>
      <c r="O281">
        <f>O280+1</f>
        <v>3</v>
      </c>
      <c r="P281" s="1" t="e">
        <f ca="1">IF(ISERROR(F274),"",IF(ISTEXT(VLOOKUP(B274,INDIRECT($F$8),6+(O281-1)*3)),(VLOOKUP(B274,INDIRECT($F$8),6+(O281-1)*3)),SUM(VLOOKUP(B274,INDIRECT($F$8),6+(O281-1)*3),IF(W289,W281,0))))</f>
        <v>#N/A</v>
      </c>
      <c r="Q281" s="1">
        <f ca="1">IF(ISERROR(F274),"",VLOOKUP(B274,INDIRECT($F$8),7+(O281-1)*3))</f>
        <v>34</v>
      </c>
      <c r="R281" s="1" t="e">
        <f ca="1">IF(ISERROR(F274),"",SUM(P281:Q281))</f>
        <v>#N/A</v>
      </c>
      <c r="S281" s="1">
        <f ca="1">IF(ISERROR(F274),"",VLOOKUP(A274,INDIRECT($F$8),6+(O281-1)*3))</f>
        <v>100</v>
      </c>
      <c r="T281" s="1">
        <f ca="1">IF(ISERROR(F274),"",VLOOKUP(A274,INDIRECT($F$8),7+(O281-1)*3))</f>
        <v>50</v>
      </c>
      <c r="U281" s="1">
        <f ca="1">IF(ISERROR(F274),"",VLOOKUP(A274,INDIRECT($F$8),8+(O281-1)*3))</f>
        <v>150</v>
      </c>
      <c r="V281" s="1" t="e">
        <f ca="1">IF(ISERROR(F274),"",IF(N281=0,A281,""))</f>
        <v>#N/A</v>
      </c>
      <c r="W281" s="1">
        <f ca="1">IF(ISERROR(F274),"",IF(ISTEXT(VLOOKUP(B274,INDIRECT($F$8),6+(O281-1)*3)),11,IF(VLOOKUP(B274,INDIRECT($F$8),6+(O281-1)*3)&lt;S281*0.3,IF(VLOOKUP(B274,INDIRECT($F$8),8+(O281-1)*3)&lt;U281*0.4,IF(AND(0.4*U281-VLOOKUP(B274,INDIRECT($F$8),8+(O281-1)*3)&lt;=5,0.3*S281-VLOOKUP(B274,INDIRECT($F$8),6+(O281-1)*3)&lt;=5),MAX(0.4*U281-VLOOKUP(B274,INDIRECT($F$8),8+(O281-1)*3),0.3*S281-VLOOKUP(B274,INDIRECT($F$8),6+(O281-1)*3)),11),IF(0.3*S281-VLOOKUP(B274,INDIRECT($F$8),6+(O281-1)*3)&lt;=5,0.3*S281-VLOOKUP(B274,INDIRECT($F$8),6+(O281-1)*3),11)),IF(VLOOKUP(B274,INDIRECT($F$8),8+(O281-1)*3)&lt;U281*0.4,IF(U281*0.4-VLOOKUP(B274,INDIRECT($F$8),8+(O281-1)*3)&lt;=5,U281*0.4-VLOOKUP(B274,INDIRECT($F$8),8+(O281-1)*3),11),0))))</f>
        <v>0</v>
      </c>
      <c r="X281" s="1" t="str">
        <f ca="1">IF(ISERROR(F274),"",IF(W281=0,"",_xlfn.TEXTJOIN("",FALSE," G+",W281," in ",A281)))</f>
        <v/>
      </c>
    </row>
    <row r="282" spans="1:24" ht="13" customHeight="1" x14ac:dyDescent="0.2">
      <c r="A282" s="7" t="str">
        <f ca="1">IF(ISERROR(F274),"",VLOOKUP(C274,INDIRECT($F$8),6+(O282-1)*3,0))</f>
        <v>CAT 012</v>
      </c>
      <c r="B282" s="41" t="str">
        <f ca="1">IF(ISERROR(F274),"",VLOOKUP(D274,INDIRECT($F$8),6+(O282-1)*3,0))</f>
        <v>Computer Networks</v>
      </c>
      <c r="C282" s="41"/>
      <c r="D282" s="41"/>
      <c r="E282" s="41"/>
      <c r="F282" s="7">
        <f ca="1">IF(ISERROR(F274),"",VLOOKUP(E274,INDIRECT($F$8),6+(O282-1)*3,0))</f>
        <v>4</v>
      </c>
      <c r="G282" s="42" t="e">
        <f ca="1">IF(ISERROR(F274),"",_xlfn.TEXTJOIN("/",FALSE,P282,S282))</f>
        <v>#N/A</v>
      </c>
      <c r="H282" s="42"/>
      <c r="I282" s="42" t="str">
        <f ca="1">IF(ISERROR(F274),"",_xlfn.TEXTJOIN("/",FALSE,Q282,T282))</f>
        <v>35/50</v>
      </c>
      <c r="J282" s="42"/>
      <c r="K282" s="42" t="e">
        <f ca="1">IF(ISERROR(F274),"",_xlfn.TEXTJOIN("/",FALSE,R282,U282))</f>
        <v>#N/A</v>
      </c>
      <c r="L282" s="42"/>
      <c r="M282" s="7" t="e">
        <f ca="1">IF(ISERROR(F274),"",IF(ISTEXT(P282),IF(P282="A","Ab",IF(P282="D","Dt",IF(P282="UFM","UFM",IF(P282="NA","")))),IF(AND(ISBLANK(P282),ISBLANK(R282)),"",IF(P282&lt;0.3*S282,"F",IF(ISBLANK(R282),"",IF(ISTEXT(R282),R282,IF(R282&gt;=0.9*U282,"O",IF(R282&gt;=0.85*U282,"A+",IF(R282&gt;=0.8*U282,"A",IF(R282&gt;=0.7*U282,"B+",IF(R282&gt;=0.6*U282,"B",IF(R282&gt;=0.5*U282,"C",IF(R282&gt;=0.4*U282,"P",IF(R282&lt;0.4*U282,"F",R282))))))))))))))</f>
        <v>#N/A</v>
      </c>
      <c r="N282" s="8" t="e">
        <f t="shared" ca="1" si="28"/>
        <v>#N/A</v>
      </c>
      <c r="O282">
        <f t="shared" ref="O282:O288" si="29">O281+1</f>
        <v>4</v>
      </c>
      <c r="P282" s="1" t="e">
        <f ca="1">IF(ISERROR(F274),"",IF(ISTEXT(VLOOKUP(B274,INDIRECT($F$8),6+(O282-1)*3)),(VLOOKUP(B274,INDIRECT($F$8),6+(O282-1)*3)),SUM(VLOOKUP(B274,INDIRECT($F$8),6+(O282-1)*3),IF(W289,W282,0))))</f>
        <v>#N/A</v>
      </c>
      <c r="Q282" s="1">
        <f ca="1">IF(ISERROR(F274),"",VLOOKUP(B274,INDIRECT($F$8),7+(O282-1)*3))</f>
        <v>35</v>
      </c>
      <c r="R282" s="1" t="e">
        <f ca="1">IF(ISERROR(F274),"",SUM(P282:Q282))</f>
        <v>#N/A</v>
      </c>
      <c r="S282" s="1">
        <f ca="1">IF(ISERROR(F274),"",VLOOKUP(A274,INDIRECT($F$8),6+(O282-1)*3))</f>
        <v>100</v>
      </c>
      <c r="T282" s="1">
        <f ca="1">IF(ISERROR(F274),"",VLOOKUP(A274,INDIRECT($F$8),7+(O282-1)*3))</f>
        <v>50</v>
      </c>
      <c r="U282" s="1">
        <f ca="1">IF(ISERROR(F274),"",VLOOKUP(A274,INDIRECT($F$8),8+(O282-1)*3))</f>
        <v>150</v>
      </c>
      <c r="V282" s="1" t="e">
        <f ca="1">IF(ISERROR(F274),"",IF(N282=0,A282,""))</f>
        <v>#N/A</v>
      </c>
      <c r="W282" s="1">
        <f ca="1">IF(ISERROR(F274),"",IF(ISTEXT(VLOOKUP(B274,INDIRECT($F$8),6+(O282-1)*3)),11,IF(VLOOKUP(B274,INDIRECT($F$8),6+(O282-1)*3)&lt;S282*0.3,IF(VLOOKUP(B274,INDIRECT($F$8),8+(O282-1)*3)&lt;U282*0.4,IF(AND(0.4*U282-VLOOKUP(B274,INDIRECT($F$8),8+(O282-1)*3)&lt;=5,0.3*S282-VLOOKUP(B274,INDIRECT($F$8),6+(O282-1)*3)&lt;=5),MAX(0.4*U282-VLOOKUP(B274,INDIRECT($F$8),8+(O282-1)*3),0.3*S282-VLOOKUP(B274,INDIRECT($F$8),6+(O282-1)*3)),11),IF(0.3*S282-VLOOKUP(B274,INDIRECT($F$8),6+(O282-1)*3)&lt;=5,0.3*S282-VLOOKUP(B274,INDIRECT($F$8),6+(O282-1)*3),11)),IF(VLOOKUP(B274,INDIRECT($F$8),8+(O282-1)*3)&lt;U282*0.4,IF(U282*0.4-VLOOKUP(B274,INDIRECT($F$8),8+(O282-1)*3)&lt;=5,U282*0.4-VLOOKUP(B274,INDIRECT($F$8),8+(O282-1)*3),11),0))))</f>
        <v>0</v>
      </c>
      <c r="X282" s="1" t="str">
        <f ca="1">IF(ISERROR(F274),"",IF(W282=0,"",_xlfn.TEXTJOIN("",FALSE," G+",W282," in ",A282)))</f>
        <v/>
      </c>
    </row>
    <row r="283" spans="1:24" ht="13" customHeight="1" x14ac:dyDescent="0.2">
      <c r="A283" s="7" t="str">
        <f ca="1">IF(ISERROR(F274),"",VLOOKUP(C274,INDIRECT($F$8),6+(O283-1)*3,0))</f>
        <v>CAT 013</v>
      </c>
      <c r="B283" s="41" t="str">
        <f ca="1">IF(ISERROR(F274),"",VLOOKUP(D274,INDIRECT($F$8),6+(O283-1)*3,0))</f>
        <v>Artificial Intelligence</v>
      </c>
      <c r="C283" s="41"/>
      <c r="D283" s="41"/>
      <c r="E283" s="41"/>
      <c r="F283" s="7">
        <f ca="1">IF(ISERROR(F274),"",VLOOKUP(E274,INDIRECT($F$8),6+(O283-1)*3,0))</f>
        <v>4</v>
      </c>
      <c r="G283" s="42" t="e">
        <f ca="1">IF(ISERROR(F274),"",_xlfn.TEXTJOIN("/",FALSE,P283,S283))</f>
        <v>#N/A</v>
      </c>
      <c r="H283" s="42"/>
      <c r="I283" s="42" t="str">
        <f ca="1">IF(ISERROR(F274),"",_xlfn.TEXTJOIN("/",FALSE,Q283,T283))</f>
        <v>42/50</v>
      </c>
      <c r="J283" s="42"/>
      <c r="K283" s="42" t="e">
        <f ca="1">IF(ISERROR(F274),"",_xlfn.TEXTJOIN("/",FALSE,R283,U283))</f>
        <v>#N/A</v>
      </c>
      <c r="L283" s="42"/>
      <c r="M283" s="7" t="e">
        <f ca="1">IF(ISERROR(F274),"",IF(ISTEXT(P283),IF(P283="A","Ab",IF(P283="D","Dt",IF(P283="UFM","UFM",IF(P283="NA","")))),IF(AND(ISBLANK(P283),ISBLANK(R283)),"",IF(P283&lt;0.3*S283,"F",IF(ISBLANK(R283),"",IF(ISTEXT(R283),R283,IF(R283&gt;=0.9*U283,"O",IF(R283&gt;=0.85*U283,"A+",IF(R283&gt;=0.8*U283,"A",IF(R283&gt;=0.7*U283,"B+",IF(R283&gt;=0.6*U283,"B",IF(R283&gt;=0.5*U283,"C",IF(R283&gt;=0.4*U283,"P",IF(R283&lt;0.4*U283,"F",R283))))))))))))))</f>
        <v>#N/A</v>
      </c>
      <c r="N283" s="8" t="e">
        <f t="shared" ca="1" si="28"/>
        <v>#N/A</v>
      </c>
      <c r="O283">
        <f t="shared" si="29"/>
        <v>5</v>
      </c>
      <c r="P283" s="1" t="e">
        <f ca="1">IF(ISERROR(F274),"",IF(ISTEXT(VLOOKUP(B274,INDIRECT($F$8),6+(O283-1)*3)),(VLOOKUP(B274,INDIRECT($F$8),6+(O283-1)*3)),SUM(VLOOKUP(B274,INDIRECT($F$8),6+(O283-1)*3),IF(W289,W283,0))))</f>
        <v>#N/A</v>
      </c>
      <c r="Q283" s="1">
        <f ca="1">IF(ISERROR(F274),"",VLOOKUP(B274,INDIRECT($F$8),7+(O283-1)*3))</f>
        <v>42</v>
      </c>
      <c r="R283" s="1" t="e">
        <f ca="1">IF(ISERROR(F274),"",SUM(P283:Q283))</f>
        <v>#N/A</v>
      </c>
      <c r="S283" s="1">
        <f ca="1">IF(ISERROR(F274),"",VLOOKUP(A274,INDIRECT($F$8),6+(O283-1)*3))</f>
        <v>100</v>
      </c>
      <c r="T283" s="1">
        <f ca="1">IF(ISERROR(F274),"",VLOOKUP(A274,INDIRECT($F$8),7+(O283-1)*3))</f>
        <v>50</v>
      </c>
      <c r="U283" s="1">
        <f ca="1">IF(ISERROR(F274),"",VLOOKUP(A274,INDIRECT($F$8),8+(O283-1)*3))</f>
        <v>150</v>
      </c>
      <c r="V283" s="1" t="e">
        <f ca="1">IF(ISERROR(F274),"",IF(N283=0,A283,""))</f>
        <v>#N/A</v>
      </c>
      <c r="W283" s="1">
        <f ca="1">IF(ISERROR(F274),"",IF(ISTEXT(VLOOKUP(B274,INDIRECT($F$8),6+(O283-1)*3)),11,IF(VLOOKUP(B274,INDIRECT($F$8),6+(O283-1)*3)&lt;S283*0.3,IF(VLOOKUP(B274,INDIRECT($F$8),8+(O283-1)*3)&lt;U283*0.4,IF(AND(0.4*U283-VLOOKUP(B274,INDIRECT($F$8),8+(O283-1)*3)&lt;=5,0.3*S283-VLOOKUP(B274,INDIRECT($F$8),6+(O283-1)*3)&lt;=5),MAX(0.4*U283-VLOOKUP(B274,INDIRECT($F$8),8+(O283-1)*3),0.3*S283-VLOOKUP(B274,INDIRECT($F$8),6+(O283-1)*3)),11),IF(0.3*S283-VLOOKUP(B274,INDIRECT($F$8),6+(O283-1)*3)&lt;=5,0.3*S283-VLOOKUP(B274,INDIRECT($F$8),6+(O283-1)*3),11)),IF(VLOOKUP(B274,INDIRECT($F$8),8+(O283-1)*3)&lt;U283*0.4,IF(U283*0.4-VLOOKUP(B274,INDIRECT($F$8),8+(O283-1)*3)&lt;=5,U283*0.4-VLOOKUP(B274,INDIRECT($F$8),8+(O283-1)*3),11),0))))</f>
        <v>0</v>
      </c>
      <c r="X283" s="1" t="str">
        <f ca="1">IF(ISERROR(F274),"",IF(W283=0,"",_xlfn.TEXTJOIN("",FALSE," G+",W283," in ",A283)))</f>
        <v/>
      </c>
    </row>
    <row r="284" spans="1:24" ht="13" customHeight="1" x14ac:dyDescent="0.2">
      <c r="A284" s="7" t="str">
        <f ca="1">IF(ISERROR(F274),"",VLOOKUP(C274,INDIRECT($F$8),6+(O284-1)*3,0))</f>
        <v>AHT 304</v>
      </c>
      <c r="B284" s="41" t="str">
        <f ca="1">IF(ISERROR(F274),"",VLOOKUP(D274,INDIRECT($F$8),6+(O284-1)*3,0))</f>
        <v>Accounting and Financial Management ($)</v>
      </c>
      <c r="C284" s="41"/>
      <c r="D284" s="41"/>
      <c r="E284" s="41"/>
      <c r="F284" s="7">
        <f ca="1">IF(ISERROR(F274),"",VLOOKUP(E274,INDIRECT($F$8),6+(O284-1)*3,0))</f>
        <v>0</v>
      </c>
      <c r="G284" s="42" t="e">
        <f ca="1">IF(ISERROR(F274),"",_xlfn.TEXTJOIN("/",FALSE,P284,S284))</f>
        <v>#N/A</v>
      </c>
      <c r="H284" s="42"/>
      <c r="I284" s="42" t="str">
        <f ca="1">IF(ISERROR(F274),"",_xlfn.TEXTJOIN("/",FALSE,Q284,T284))</f>
        <v>29/50</v>
      </c>
      <c r="J284" s="42"/>
      <c r="K284" s="42" t="e">
        <f ca="1">IF(ISERROR(F274),"",_xlfn.TEXTJOIN("/",FALSE,R284,U284))</f>
        <v>#N/A</v>
      </c>
      <c r="L284" s="42"/>
      <c r="M284" s="7" t="e">
        <f ca="1">IF(ISERROR(F274),"",IF(ISTEXT(P284),IF(P284="A","Ab",IF(P284="D","Dt",IF(P284="UFM","UFM",IF(P284="NA","")))),IF(AND(ISBLANK(P284),ISBLANK(R284)),"",IF(P284&lt;0.3*S284,"F",IF(ISBLANK(R284),"",IF(ISTEXT(R284),R284,IF(R284&gt;=0.9*U284,"O",IF(R284&gt;=0.85*U284,"A+",IF(R284&gt;=0.8*U284,"A",IF(R284&gt;=0.7*U284,"B+",IF(R284&gt;=0.6*U284,"B",IF(R284&gt;=0.5*U284,"C",IF(R284&gt;=0.4*U284,"P",IF(R284&lt;0.4*U284,"F",R284))))))))))))))</f>
        <v>#N/A</v>
      </c>
      <c r="N284" s="8" t="e">
        <f t="shared" ca="1" si="28"/>
        <v>#N/A</v>
      </c>
      <c r="O284">
        <f t="shared" si="29"/>
        <v>6</v>
      </c>
      <c r="P284" s="1" t="e">
        <f ca="1">IF(ISERROR(F274),"",IF(ISTEXT(VLOOKUP(B274,INDIRECT($F$8),6+(O284-1)*3)),(VLOOKUP(B274,INDIRECT($F$8),6+(O284-1)*3)),SUM(VLOOKUP(B274,INDIRECT($F$8),6+(O284-1)*3),IF(W289,W284,0))))</f>
        <v>#N/A</v>
      </c>
      <c r="Q284" s="1">
        <f ca="1">IF(ISERROR(F274),"",VLOOKUP(B274,INDIRECT($F$8),7+(O284-1)*3))</f>
        <v>29</v>
      </c>
      <c r="R284" s="1" t="e">
        <f ca="1">IF(ISERROR(F274),"",SUM(P284:Q284))</f>
        <v>#N/A</v>
      </c>
      <c r="S284" s="1">
        <f ca="1">IF(ISERROR(F274),"",VLOOKUP(A274,INDIRECT($F$8),6+(O284-1)*3))</f>
        <v>0</v>
      </c>
      <c r="T284" s="1">
        <f ca="1">IF(ISERROR(F274),"",VLOOKUP(A274,INDIRECT($F$8),7+(O284-1)*3))</f>
        <v>50</v>
      </c>
      <c r="U284" s="1">
        <f ca="1">IF(ISERROR(F274),"",VLOOKUP(A274,INDIRECT($F$8),8+(O284-1)*3))</f>
        <v>50</v>
      </c>
      <c r="V284" s="1" t="e">
        <f ca="1">IF(ISERROR(F274),"",IF(N284=0,A284,""))</f>
        <v>#N/A</v>
      </c>
      <c r="W284" s="1">
        <f ca="1">IF(ISERROR(F274),"",IF(ISTEXT(VLOOKUP(B274,INDIRECT($F$8),6+(O284-1)*3)),11,IF(VLOOKUP(B274,INDIRECT($F$8),6+(O284-1)*3)&lt;S284*0.3,IF(VLOOKUP(B274,INDIRECT($F$8),8+(O284-1)*3)&lt;U284*0.4,IF(AND(0.4*U284-VLOOKUP(B274,INDIRECT($F$8),8+(O284-1)*3)&lt;=5,0.3*S284-VLOOKUP(B274,INDIRECT($F$8),6+(O284-1)*3)&lt;=5),MAX(0.4*U284-VLOOKUP(B274,INDIRECT($F$8),8+(O284-1)*3),0.3*S284-VLOOKUP(B274,INDIRECT($F$8),6+(O284-1)*3)),11),IF(0.3*S284-VLOOKUP(B274,INDIRECT($F$8),6+(O284-1)*3)&lt;=5,0.3*S284-VLOOKUP(B274,INDIRECT($F$8),6+(O284-1)*3),11)),IF(VLOOKUP(B274,INDIRECT($F$8),8+(O284-1)*3)&lt;U284*0.4,IF(U284*0.4-VLOOKUP(B274,INDIRECT($F$8),8+(O284-1)*3)&lt;=5,U284*0.4-VLOOKUP(B274,INDIRECT($F$8),8+(O284-1)*3),11),0))))</f>
        <v>0</v>
      </c>
      <c r="X284" s="1" t="str">
        <f ca="1">IF(ISERROR(F274),"",IF(W284=0,"",_xlfn.TEXTJOIN("",FALSE," G+",W284," in ",A284)))</f>
        <v/>
      </c>
    </row>
    <row r="285" spans="1:24" ht="13" customHeight="1" x14ac:dyDescent="0.2">
      <c r="A285" s="7" t="str">
        <f ca="1">IF(ISERROR(F274),"",VLOOKUP(C274,INDIRECT($F$8),6+(O285-1)*3,0))</f>
        <v>CAP 004</v>
      </c>
      <c r="B285" s="41" t="str">
        <f ca="1">IF(ISERROR(F274),"",VLOOKUP(D274,INDIRECT($F$8),6+(O285-1)*3,0))</f>
        <v>Data Structures and Analysis of Algorithms Lab</v>
      </c>
      <c r="C285" s="41"/>
      <c r="D285" s="41"/>
      <c r="E285" s="41"/>
      <c r="F285" s="7">
        <f ca="1">IF(ISERROR(F274),"",VLOOKUP(E274,INDIRECT($F$8),6+(O285-1)*3,0))</f>
        <v>1</v>
      </c>
      <c r="G285" s="42" t="e">
        <f ca="1">IF(ISERROR(F274),"",_xlfn.TEXTJOIN("/",FALSE,P285,S285))</f>
        <v>#N/A</v>
      </c>
      <c r="H285" s="42"/>
      <c r="I285" s="42" t="str">
        <f ca="1">IF(ISERROR(F274),"",_xlfn.TEXTJOIN("/",FALSE,Q285,T285))</f>
        <v>17/20</v>
      </c>
      <c r="J285" s="42"/>
      <c r="K285" s="42" t="e">
        <f ca="1">IF(ISERROR(F274),"",_xlfn.TEXTJOIN("/",FALSE,R285,U285))</f>
        <v>#N/A</v>
      </c>
      <c r="L285" s="42"/>
      <c r="M285" s="7" t="e">
        <f ca="1">IF(ISERROR(F274),"",IF(ISTEXT(P285),IF(P285="A","Ab",IF(P285="D","Dt",IF(P285="UFM","UFM",IF(P285="NA","")))),IF(AND(ISBLANK(P285),ISBLANK(R285)),"",IF(P285&lt;0.3*S285,"F",IF(ISBLANK(R285),"",IF(ISTEXT(R285),R285,IF(R285&gt;=0.9*U285,"O",IF(R285&gt;=0.85*U285,"A+",IF(R285&gt;=0.8*U285,"A",IF(R285&gt;=0.7*U285,"B+",IF(R285&gt;=0.6*U285,"B",IF(R285&gt;=0.5*U285,"C",IF(R285&gt;=0.4*U285,"P",IF(R285&lt;0.4*U285,"F",R285))))))))))))))</f>
        <v>#N/A</v>
      </c>
      <c r="N285" s="8" t="e">
        <f t="shared" ca="1" si="28"/>
        <v>#N/A</v>
      </c>
      <c r="O285">
        <f t="shared" si="29"/>
        <v>7</v>
      </c>
      <c r="P285" s="1" t="e">
        <f ca="1">IF(ISERROR(F274),"",IF(ISTEXT(VLOOKUP(B274,INDIRECT($F$8),6+(O285-1)*3)),(VLOOKUP(B274,INDIRECT($F$8),6+(O285-1)*3)),SUM(VLOOKUP(B274,INDIRECT($F$8),6+(O285-1)*3),IF(W289,W285,0))))</f>
        <v>#N/A</v>
      </c>
      <c r="Q285" s="1">
        <f ca="1">IF(ISERROR(F274),"",VLOOKUP(B274,INDIRECT($F$8),7+(O285-1)*3))</f>
        <v>17</v>
      </c>
      <c r="R285" s="1" t="e">
        <f ca="1">IF(ISERROR(F274),"",SUM(P285:Q285))</f>
        <v>#N/A</v>
      </c>
      <c r="S285" s="1">
        <f ca="1">IF(ISERROR(F274),"",VLOOKUP(A274,INDIRECT($F$8),6+(O285-1)*3))</f>
        <v>30</v>
      </c>
      <c r="T285" s="1">
        <f ca="1">IF(ISERROR(F274),"",VLOOKUP(A274,INDIRECT($F$8),7+(O285-1)*3))</f>
        <v>20</v>
      </c>
      <c r="U285" s="1">
        <f ca="1">IF(ISERROR(F274),"",VLOOKUP(A274,INDIRECT($F$8),8+(O285-1)*3))</f>
        <v>50</v>
      </c>
      <c r="V285" s="1" t="e">
        <f ca="1">IF(ISERROR(F274),"",IF(N285=0,A285,""))</f>
        <v>#N/A</v>
      </c>
      <c r="W285" s="1">
        <f ca="1">IF(ISERROR(F274),"",IF(ISTEXT(VLOOKUP(B274,INDIRECT($F$8),6+(O285-1)*3)),11,IF(VLOOKUP(B274,INDIRECT($F$8),6+(O285-1)*3)&lt;S285*0.3,IF(VLOOKUP(B274,INDIRECT($F$8),8+(O285-1)*3)&lt;U285*0.4,IF(AND(0.4*U285-VLOOKUP(B274,INDIRECT($F$8),8+(O285-1)*3)&lt;=5,0.3*S285-VLOOKUP(B274,INDIRECT($F$8),6+(O285-1)*3)&lt;=5),MAX(0.4*U285-VLOOKUP(B274,INDIRECT($F$8),8+(O285-1)*3),0.3*S285-VLOOKUP(B274,INDIRECT($F$8),6+(O285-1)*3)),11),IF(0.3*S285-VLOOKUP(B274,INDIRECT($F$8),6+(O285-1)*3)&lt;=5,0.3*S285-VLOOKUP(B274,INDIRECT($F$8),6+(O285-1)*3),11)),IF(VLOOKUP(B274,INDIRECT($F$8),8+(O285-1)*3)&lt;U285*0.4,IF(U285*0.4-VLOOKUP(B274,INDIRECT($F$8),8+(O285-1)*3)&lt;=5,U285*0.4-VLOOKUP(B274,INDIRECT($F$8),8+(O285-1)*3),11),0))))</f>
        <v>0</v>
      </c>
      <c r="X285" s="1" t="str">
        <f ca="1">IF(ISERROR(F274),"",IF(W285=0,"",_xlfn.TEXTJOIN("",FALSE," G+",W285," in ",A285)))</f>
        <v/>
      </c>
    </row>
    <row r="286" spans="1:24" ht="13" customHeight="1" x14ac:dyDescent="0.2">
      <c r="A286" s="7" t="str">
        <f ca="1">IF(ISERROR(F274),"",VLOOKUP(C274,INDIRECT($F$8),6+(O286-1)*3,0))</f>
        <v>CAP 005</v>
      </c>
      <c r="B286" s="41" t="str">
        <f ca="1">IF(ISERROR(F274),"",VLOOKUP(D274,INDIRECT($F$8),6+(O286-1)*3-Z286,0))</f>
        <v>Object Oriented Programming with JAVA Lab</v>
      </c>
      <c r="C286" s="41"/>
      <c r="D286" s="41"/>
      <c r="E286" s="41"/>
      <c r="F286" s="7">
        <f ca="1">IF(ISERROR(F274),"",VLOOKUP(E274,INDIRECT($F$8),6+(O286-1)*3,0))</f>
        <v>1</v>
      </c>
      <c r="G286" s="42" t="e">
        <f ca="1">IF(ISERROR(F274),"",_xlfn.TEXTJOIN("/",FALSE,P286,S286))</f>
        <v>#N/A</v>
      </c>
      <c r="H286" s="42"/>
      <c r="I286" s="42" t="str">
        <f ca="1">IF(ISERROR(F274),"",_xlfn.TEXTJOIN("/",FALSE,Q286,T286))</f>
        <v>13/20</v>
      </c>
      <c r="J286" s="42"/>
      <c r="K286" s="42" t="e">
        <f ca="1">IF(ISERROR(F274),"",_xlfn.TEXTJOIN("/",FALSE,R286,U286))</f>
        <v>#N/A</v>
      </c>
      <c r="L286" s="42"/>
      <c r="M286" s="7" t="e">
        <f ca="1">IF(ISERROR(F274),"",IF(ISTEXT(P286),IF(P286="A","Ab",IF(P286="D","Dt",IF(P286="UFM","UFM",IF(P286="NA","")))),IF(AND(ISBLANK(P286),ISBLANK(R286)),"",IF(P286&lt;0.3*S286,"F",IF(ISBLANK(R286),"",IF(ISTEXT(R286),R286,IF(R286&gt;=0.9*U286,"O",IF(R286&gt;=0.85*U286,"A+",IF(R286&gt;=0.8*U286,"A",IF(R286&gt;=0.7*U286,"B+",IF(R286&gt;=0.6*U286,"B",IF(R286&gt;=0.5*U286,"C",IF(R286&gt;=0.4*U286,"P",IF(R286&lt;0.4*U286,"F",R286))))))))))))))</f>
        <v>#N/A</v>
      </c>
      <c r="N286" s="8" t="e">
        <f t="shared" ca="1" si="28"/>
        <v>#N/A</v>
      </c>
      <c r="O286">
        <f t="shared" si="29"/>
        <v>8</v>
      </c>
      <c r="P286" s="1" t="e">
        <f ca="1">IF(ISERROR(F274),"",IF(ISTEXT(VLOOKUP(B274,INDIRECT($F$8),6+(O286-1)*3)),(VLOOKUP(B274,INDIRECT($F$8),6+(O286-1)*3)),SUM(VLOOKUP(B274,INDIRECT($F$8),6+(O286-1)*3),IF(W289,W286,0))))</f>
        <v>#N/A</v>
      </c>
      <c r="Q286" s="1">
        <f ca="1">IF(ISERROR(F274),"",VLOOKUP(B274,INDIRECT($F$8),7+(O286-1)*3))</f>
        <v>13</v>
      </c>
      <c r="R286" s="1" t="e">
        <f ca="1">IF(ISERROR(F274),"",SUM(P286:Q286))</f>
        <v>#N/A</v>
      </c>
      <c r="S286" s="1">
        <f ca="1">IF(ISERROR(F274),"",VLOOKUP(A274,INDIRECT($F$8),6+(O286-1)*3))</f>
        <v>30</v>
      </c>
      <c r="T286" s="1">
        <f ca="1">IF(ISERROR(F274),"",VLOOKUP(A274,INDIRECT($F$8),7+(O286-1)*3))</f>
        <v>20</v>
      </c>
      <c r="U286" s="1">
        <f ca="1">IF(ISERROR(F274),"",VLOOKUP(A274,INDIRECT($F$8),8+(O286-1)*3))</f>
        <v>50</v>
      </c>
      <c r="V286" s="1" t="e">
        <f ca="1">IF(ISERROR(F274),"",IF(N286=0,A286,""))</f>
        <v>#N/A</v>
      </c>
      <c r="W286" s="1">
        <f ca="1">IF(ISERROR(F274),"",IF(ISTEXT(VLOOKUP(B274,INDIRECT($F$8),6+(O286-1)*3)),11,IF(VLOOKUP(B274,INDIRECT($F$8),6+(O286-1)*3)&lt;S286*0.3,IF(VLOOKUP(B274,INDIRECT($F$8),8+(O286-1)*3)&lt;U286*0.4,IF(AND(0.4*U286-VLOOKUP(B274,INDIRECT($F$8),8+(O286-1)*3)&lt;=5,0.3*S286-VLOOKUP(B274,INDIRECT($F$8),6+(O286-1)*3)&lt;=5),MAX(0.4*U286-VLOOKUP(B274,INDIRECT($F$8),8+(O286-1)*3),0.3*S286-VLOOKUP(B274,INDIRECT($F$8),6+(O286-1)*3)),11),IF(0.3*S286-VLOOKUP(B274,INDIRECT($F$8),6+(O286-1)*3)&lt;=5,0.3*S286-VLOOKUP(B274,INDIRECT($F$8),6+(O286-1)*3),11)),IF(VLOOKUP(B274,INDIRECT($F$8),8+(O286-1)*3)&lt;U286*0.4,IF(U286*0.4-VLOOKUP(B274,INDIRECT($F$8),8+(O286-1)*3)&lt;=5,U286*0.4-VLOOKUP(B274,INDIRECT($F$8),8+(O286-1)*3),11),0))))</f>
        <v>0</v>
      </c>
      <c r="X286" s="1" t="str">
        <f ca="1">IF(ISERROR(F274),"",IF(W286=0,"",_xlfn.TEXTJOIN("",FALSE," G+",W286," in ",A286)))</f>
        <v/>
      </c>
    </row>
    <row r="287" spans="1:24" ht="13" customHeight="1" x14ac:dyDescent="0.2">
      <c r="A287" s="7" t="str">
        <f ca="1">IF(ISERROR(F274),"",VLOOKUP(C274,INDIRECT($F$8),6+(O287-1)*3,0))</f>
        <v>CAP 006</v>
      </c>
      <c r="B287" s="41" t="str">
        <f ca="1">IF(ISERROR(F274),"",VLOOKUP(D274,INDIRECT($F$8),6+(O287-1)*3-Z287,0))</f>
        <v>Computer Networks Lab</v>
      </c>
      <c r="C287" s="41"/>
      <c r="D287" s="41"/>
      <c r="E287" s="41"/>
      <c r="F287" s="7">
        <f ca="1">IF(ISERROR(F274),"",VLOOKUP(E274,INDIRECT($F$8),6+(O287-1)*3,0))</f>
        <v>1</v>
      </c>
      <c r="G287" s="42" t="e">
        <f ca="1">IF(ISERROR(F274),"",_xlfn.TEXTJOIN("/",FALSE,P287,S287))</f>
        <v>#N/A</v>
      </c>
      <c r="H287" s="42"/>
      <c r="I287" s="42" t="str">
        <f ca="1">IF(ISERROR(F274),"",_xlfn.TEXTJOIN("/",FALSE,Q287,T287))</f>
        <v>16/20</v>
      </c>
      <c r="J287" s="42"/>
      <c r="K287" s="42" t="e">
        <f ca="1">IF(ISERROR(F274),"",_xlfn.TEXTJOIN("/",FALSE,R287,U287))</f>
        <v>#N/A</v>
      </c>
      <c r="L287" s="42"/>
      <c r="M287" s="7" t="e">
        <f ca="1">IF(ISERROR(F274),"",IF(ISTEXT(P287),IF(P287="A","Ab",IF(P287="D","Dt",IF(P287="UFM","UFM",IF(P287="NA","")))),IF(AND(ISBLANK(P287),ISBLANK(R287)),"",IF(P287&lt;0.3*S287,"F",IF(ISBLANK(R287),"",IF(ISTEXT(R287),R287,IF(R287&gt;=0.9*U287,"O",IF(R287&gt;=0.85*U287,"A+",IF(R287&gt;=0.8*U287,"A",IF(R287&gt;=0.7*U287,"B+",IF(R287&gt;=0.6*U287,"B",IF(R287&gt;=0.5*U287,"C",IF(R287&gt;=0.4*U287,"P",IF(R287&lt;0.4*U287,"F",R287))))))))))))))</f>
        <v>#N/A</v>
      </c>
      <c r="N287" s="8" t="e">
        <f t="shared" ca="1" si="28"/>
        <v>#N/A</v>
      </c>
      <c r="O287">
        <f t="shared" si="29"/>
        <v>9</v>
      </c>
      <c r="P287" s="1" t="e">
        <f ca="1">IF(ISERROR(F274),"",IF(ISTEXT(VLOOKUP(B274,INDIRECT($F$8),6+(O287-1)*3)),(VLOOKUP(B274,INDIRECT($F$8),6+(O287-1)*3)),SUM(VLOOKUP(B274,INDIRECT($F$8),6+(O287-1)*3),IF(W289,W287,0))))</f>
        <v>#N/A</v>
      </c>
      <c r="Q287" s="1">
        <f ca="1">IF(ISERROR(F274),"",VLOOKUP(B274,INDIRECT($F$8),7+(O287-1)*3))</f>
        <v>16</v>
      </c>
      <c r="R287" s="1" t="e">
        <f ca="1">IF(ISERROR(F274),"",SUM(P287:Q287))</f>
        <v>#N/A</v>
      </c>
      <c r="S287" s="1">
        <f ca="1">IF(ISERROR(F274),"",VLOOKUP(A274,INDIRECT($F$8),6+(O287-1)*3))</f>
        <v>30</v>
      </c>
      <c r="T287" s="1">
        <f ca="1">IF(ISERROR(F274),"",VLOOKUP(A274,INDIRECT($F$8),7+(O287-1)*3))</f>
        <v>20</v>
      </c>
      <c r="U287" s="1">
        <f ca="1">IF(ISERROR(F274),"",VLOOKUP(A274,INDIRECT($F$8),8+(O287-1)*3))</f>
        <v>50</v>
      </c>
      <c r="V287" s="1" t="e">
        <f ca="1">IF(ISERROR(F274),"",IF(N287=0,A287,""))</f>
        <v>#N/A</v>
      </c>
      <c r="W287" s="1">
        <f ca="1">IF(ISERROR(F274),"",IF(ISTEXT(VLOOKUP(B274,INDIRECT($F$8),6+(O287-1)*3)),11,IF(VLOOKUP(B274,INDIRECT($F$8),6+(O287-1)*3)&lt;S287*0.3,IF(VLOOKUP(B274,INDIRECT($F$8),8+(O287-1)*3)&lt;U287*0.4,IF(AND(0.4*U287-VLOOKUP(B274,INDIRECT($F$8),8+(O287-1)*3)&lt;=5,0.3*S287-VLOOKUP(B274,INDIRECT($F$8),6+(O287-1)*3)&lt;=5),MAX(0.4*U287-VLOOKUP(B274,INDIRECT($F$8),8+(O287-1)*3),0.3*S287-VLOOKUP(B274,INDIRECT($F$8),6+(O287-1)*3)),11),IF(0.3*S287-VLOOKUP(B274,INDIRECT($F$8),6+(O287-1)*3)&lt;=5,0.3*S287-VLOOKUP(B274,INDIRECT($F$8),6+(O287-1)*3),11)),IF(VLOOKUP(B274,INDIRECT($F$8),8+(O287-1)*3)&lt;U287*0.4,IF(U287*0.4-VLOOKUP(B274,INDIRECT($F$8),8+(O287-1)*3)&lt;=5,U287*0.4-VLOOKUP(B274,INDIRECT($F$8),8+(O287-1)*3),11),0))))</f>
        <v>0</v>
      </c>
      <c r="X287" s="1" t="str">
        <f ca="1">IF(ISERROR(F274),"",IF(W287=0,"",_xlfn.TEXTJOIN("",FALSE," G+",W287," in ",A287)))</f>
        <v/>
      </c>
    </row>
    <row r="288" spans="1:24" ht="13" customHeight="1" x14ac:dyDescent="0.2">
      <c r="A288" s="7" t="str">
        <f ca="1">IF(ISERROR(F274),"",VLOOKUP(C274,INDIRECT($F$8),6+(O288-1)*3,0))</f>
        <v>CAP 007</v>
      </c>
      <c r="B288" s="41" t="str">
        <f ca="1">IF(ISERROR(F274),"",VLOOKUP(D274,INDIRECT($F$8),6+(O288-1)*3,0))</f>
        <v>Artificial Intelligence Lab</v>
      </c>
      <c r="C288" s="41"/>
      <c r="D288" s="41"/>
      <c r="E288" s="41"/>
      <c r="F288" s="7">
        <f ca="1">IF(ISERROR(F274),"",VLOOKUP(E274,INDIRECT($F$8),6+(O288-1)*3,0))</f>
        <v>1</v>
      </c>
      <c r="G288" s="42" t="e">
        <f ca="1">IF(ISERROR(F274),"",_xlfn.TEXTJOIN("/",FALSE,P288,S288))</f>
        <v>#N/A</v>
      </c>
      <c r="H288" s="42"/>
      <c r="I288" s="42" t="str">
        <f ca="1">IF(ISERROR(F274),"",_xlfn.TEXTJOIN("/",FALSE,Q288,T288))</f>
        <v>18/20</v>
      </c>
      <c r="J288" s="42"/>
      <c r="K288" s="42" t="e">
        <f ca="1">IF(ISERROR(F274),"",_xlfn.TEXTJOIN("/",FALSE,R288,U288))</f>
        <v>#N/A</v>
      </c>
      <c r="L288" s="42"/>
      <c r="M288" s="7" t="e">
        <f ca="1">IF(ISERROR(F274),"",IF(ISTEXT(P288),IF(P288="A","Ab",IF(P288="D","Dt",IF(P288="UFM","UFM",IF(P288="NA","")))),IF(AND(ISBLANK(P288),ISBLANK(R288)),"",IF(P288&lt;0.3*S288,"F",IF(ISBLANK(R288),"",IF(ISTEXT(R288),R288,IF(R288&gt;=0.9*U288,"O",IF(R288&gt;=0.85*U288,"A+",IF(R288&gt;=0.8*U288,"A",IF(R288&gt;=0.7*U288,"B+",IF(R288&gt;=0.6*U288,"B",IF(R288&gt;=0.5*U288,"C",IF(R288&gt;=0.4*U288,"P",IF(R288&lt;0.4*U288,"F",R288))))))))))))))</f>
        <v>#N/A</v>
      </c>
      <c r="N288" s="8" t="e">
        <f t="shared" ca="1" si="28"/>
        <v>#N/A</v>
      </c>
      <c r="O288">
        <f t="shared" si="29"/>
        <v>10</v>
      </c>
      <c r="P288" s="1" t="e">
        <f ca="1">IF(ISERROR(F274),"",IF(ISTEXT(VLOOKUP(B274,INDIRECT($F$8),6+(O288-1)*3)),(VLOOKUP(B274,INDIRECT($F$8),6+(O288-1)*3)),SUM(VLOOKUP(B274,INDIRECT($F$8),6+(O288-1)*3),IF(W289,W288,0))))</f>
        <v>#N/A</v>
      </c>
      <c r="Q288" s="1">
        <f ca="1">IF(ISERROR(F274),"",VLOOKUP(B274,INDIRECT($F$8),7+(O288-1)*3))</f>
        <v>18</v>
      </c>
      <c r="R288" s="1" t="e">
        <f ca="1">IF(ISERROR(F274),"",SUM(P288:Q288))</f>
        <v>#N/A</v>
      </c>
      <c r="S288" s="1">
        <f ca="1">IF(ISERROR(F274),"",VLOOKUP(A274,INDIRECT($F$8),6+(O288-1)*3))</f>
        <v>30</v>
      </c>
      <c r="T288" s="1">
        <f ca="1">IF(ISERROR(F274),"",VLOOKUP(A274,INDIRECT($F$8),7+(O288-1)*3))</f>
        <v>20</v>
      </c>
      <c r="U288" s="1">
        <f ca="1">IF(ISERROR(F274),"",VLOOKUP(A274,INDIRECT($F$8),8+(O288-1)*3))</f>
        <v>50</v>
      </c>
      <c r="V288" s="1" t="e">
        <f ca="1">IF(ISERROR(F274),"",IF(N288=0,A288,""))</f>
        <v>#N/A</v>
      </c>
      <c r="W288" s="1">
        <f ca="1">IF(ISERROR(F274),"",IF(ISTEXT(VLOOKUP(B274,INDIRECT($F$8),6+(O288-1)*3)),11,IF(VLOOKUP(B274,INDIRECT($F$8),6+(O288-1)*3)&lt;S288*0.3,IF(VLOOKUP(B274,INDIRECT($F$8),8+(O288-1)*3)&lt;U288*0.4,IF(AND(0.4*U288-VLOOKUP(B274,INDIRECT($F$8),8+(O288-1)*3)&lt;=5,0.3*S288-VLOOKUP(B274,INDIRECT($F$8),6+(O288-1)*3)&lt;=5),MAX(0.4*U288-VLOOKUP(B274,INDIRECT($F$8),8+(O288-1)*3),0.3*S288-VLOOKUP(B274,INDIRECT($F$8),6+(O288-1)*3)),11),IF(0.3*S288-VLOOKUP(B274,INDIRECT($F$8),6+(O288-1)*3)&lt;=5,0.3*S288-VLOOKUP(B274,INDIRECT($F$8),6+(O288-1)*3),11)),IF(VLOOKUP(B274,INDIRECT($F$8),8+(O288-1)*3)&lt;U288*0.4,IF(U288*0.4-VLOOKUP(B274,INDIRECT($F$8),8+(O288-1)*3)&lt;=5,U288*0.4-VLOOKUP(B274,INDIRECT($F$8),8+(O288-1)*3),11),0))))</f>
        <v>0</v>
      </c>
      <c r="X288" s="1" t="str">
        <f ca="1">IF(ISERROR(F274),"",IF(W288=0,"",_xlfn.TEXTJOIN("",FALSE," G+",W288," in ",A288)))</f>
        <v/>
      </c>
    </row>
    <row r="289" spans="1:24" ht="13" customHeight="1" x14ac:dyDescent="0.2">
      <c r="A289" s="43" t="str">
        <f ca="1">IF(ISERROR(F274),"",A270)</f>
        <v>Total Credits/ Marks/ Total Grade Points</v>
      </c>
      <c r="B289" s="43"/>
      <c r="C289" s="43"/>
      <c r="D289" s="43"/>
      <c r="E289" s="43"/>
      <c r="F289" s="10">
        <f ca="1">IF(ISERROR(F274),"",SUM(F279:F288))</f>
        <v>24</v>
      </c>
      <c r="G289" s="44" t="e">
        <f ca="1">IF(ISERROR(F274),"",_xlfn.TEXTJOIN("/",TRUE,SUMIF(F279:F288,"&gt;0",P279:P288),SUMIF(F279:F288,"&gt;0",S279:S288)))</f>
        <v>#N/A</v>
      </c>
      <c r="H289" s="44"/>
      <c r="I289" s="44" t="str">
        <f ca="1">IF(ISERROR(F274),"",_xlfn.TEXTJOIN("/",TRUE,SUMIF(F279:F288,"&gt;0",Q279:Q288),SUMIF(F279:F288,"&gt;0",T279:T288)))</f>
        <v>257/330</v>
      </c>
      <c r="J289" s="44"/>
      <c r="K289" s="44" t="e">
        <f ca="1">IF(ISERROR(F274),"",_xlfn.TEXTJOIN("/",TRUE,SUMIF(F279:F288,"&gt;0",R279:R288),SUMIF(F279:F288,"&gt;0",U279:U288)))</f>
        <v>#N/A</v>
      </c>
      <c r="L289" s="44"/>
      <c r="M289" s="43" t="e">
        <f ca="1">IF(ISERROR(F274),"",SUMPRODUCT(N279:N288,F279:F288))</f>
        <v>#N/A</v>
      </c>
      <c r="N289" s="43"/>
      <c r="V289" s="1" t="e">
        <f ca="1">IF(ISERROR(F274),"",_xlfn.TEXTJOIN(", ",TRUE,V279:V288))</f>
        <v>#N/A</v>
      </c>
      <c r="W289" t="e">
        <f ca="1">IF(ISERROR(F274),"",IF(SUM(W279:W288)&lt;=W278,TRUE,FALSE))</f>
        <v>#N/A</v>
      </c>
      <c r="X289" s="1" t="str">
        <f ca="1">IF(ISERROR(F274),"",_xlfn.TEXTJOIN(",",TRUE,X279:X288))</f>
        <v/>
      </c>
    </row>
    <row r="290" spans="1:24" ht="13" customHeight="1" x14ac:dyDescent="0.2">
      <c r="A290" s="43" t="str">
        <f ca="1">IF(ISERROR(F274),"",A271)</f>
        <v>Result:</v>
      </c>
      <c r="B290" s="45" t="e">
        <f ca="1">IF(ISERROR(F274),"",IF(V289="","PASS","CARRY OVER"))</f>
        <v>#N/A</v>
      </c>
      <c r="C290" s="45"/>
      <c r="D290" s="43" t="str">
        <f ca="1">IF(ISERROR(F274),"",D271)</f>
        <v>Remark:</v>
      </c>
      <c r="E290" s="45" t="e">
        <f ca="1">IF(ISERROR(F274),"",IF(V289="",IF(X289="","",X289),_xlfn.TEXTJOIN(" ",TRUE,"BACK IN",V289)))</f>
        <v>#N/A</v>
      </c>
      <c r="F290" s="45"/>
      <c r="G290" s="43" t="str">
        <f ca="1">IF(ISERROR(F274),"",G271)</f>
        <v>SGPA:</v>
      </c>
      <c r="H290" s="46" t="e">
        <f ca="1">IF(ISERROR(F274),"",M289/F289)</f>
        <v>#N/A</v>
      </c>
      <c r="I290" s="43" t="str">
        <f ca="1">IF(ISERROR(F274),"",I271)</f>
        <v>CGPA:</v>
      </c>
      <c r="J290" s="46" t="e">
        <f ca="1">IF(ISERROR(F274),"",VLOOKUP(B274,INDIRECT($F$8),12+(O288-1)*3,0))</f>
        <v>#N/A</v>
      </c>
      <c r="K290" s="45" t="str">
        <f ca="1">IF(ISERROR(F274),"",K271)</f>
        <v>Earned Credits:</v>
      </c>
      <c r="L290" s="43">
        <f ca="1">IF(ISERROR(F274),"",SUMIF(N279:N288,"&gt;0",F279:F288))</f>
        <v>0</v>
      </c>
      <c r="M290" s="45" t="str">
        <f ca="1">IF(ISERROR(F274),"",M271)</f>
        <v>Cuml. Earned Credits:</v>
      </c>
      <c r="N290" s="43" t="e">
        <f ca="1">IF(ISERROR(F274),"",VLOOKUP(B274,INDIRECT($F$8),10+(O288-1)*3,0))</f>
        <v>#N/A</v>
      </c>
    </row>
    <row r="291" spans="1:24" ht="13" customHeight="1" x14ac:dyDescent="0.2">
      <c r="A291" s="43"/>
      <c r="B291" s="45"/>
      <c r="C291" s="45"/>
      <c r="D291" s="43"/>
      <c r="E291" s="45"/>
      <c r="F291" s="45"/>
      <c r="G291" s="43"/>
      <c r="H291" s="46"/>
      <c r="I291" s="43"/>
      <c r="J291" s="46"/>
      <c r="K291" s="45"/>
      <c r="L291" s="43"/>
      <c r="M291" s="45"/>
      <c r="N291" s="43"/>
    </row>
    <row r="292" spans="1:24" ht="15" x14ac:dyDescent="0.2">
      <c r="A292" s="43"/>
      <c r="B292" s="45"/>
      <c r="C292" s="45"/>
      <c r="D292" s="43"/>
      <c r="E292" s="45"/>
      <c r="F292" s="45"/>
      <c r="G292" s="43"/>
      <c r="H292" s="46"/>
      <c r="I292" s="43"/>
      <c r="J292" s="46"/>
      <c r="K292" s="45"/>
      <c r="L292" s="43"/>
      <c r="M292" s="45"/>
      <c r="N292" s="43"/>
    </row>
    <row r="293" spans="1:24" ht="13" customHeight="1" x14ac:dyDescent="0.2">
      <c r="A293" s="11" t="str">
        <f>A274</f>
        <v>MM</v>
      </c>
      <c r="B293" s="11">
        <f>B274+1</f>
        <v>16</v>
      </c>
      <c r="C293" s="11" t="str">
        <f>C274</f>
        <v>SC</v>
      </c>
      <c r="D293" s="11" t="str">
        <f>D274</f>
        <v>SN</v>
      </c>
      <c r="E293" s="11" t="str">
        <f>E274</f>
        <v>C</v>
      </c>
      <c r="F293" s="11" t="str">
        <f ca="1">VLOOKUP(B293,INDIRECT($F$8),4,0)</f>
        <v>NEERAJ JOSHI</v>
      </c>
    </row>
    <row r="294" spans="1:24" ht="13" customHeight="1" x14ac:dyDescent="0.2">
      <c r="A294" s="47" t="str">
        <f ca="1">IF(ISERROR(F293),"",A275)</f>
        <v>Name:</v>
      </c>
      <c r="B294" s="47" t="str">
        <f ca="1">IFERROR(VLOOKUP(B293,INDIRECT($F$8),4,0),"")</f>
        <v>NEERAJ JOSHI</v>
      </c>
      <c r="C294" s="47"/>
      <c r="D294" s="47" t="str">
        <f ca="1">IF(ISERROR(F293),"",D275)</f>
        <v>Father's Name:</v>
      </c>
      <c r="E294" s="47" t="str">
        <f ca="1">IFERROR(VLOOKUP(B293,INDIRECT($F$8),5,0),"")</f>
        <v>PURAN CHANDRA JOSHI</v>
      </c>
      <c r="F294" s="47"/>
      <c r="G294" s="47" t="str">
        <f ca="1">IF(ISERROR(F293),"",G275)</f>
        <v>University Roll No:</v>
      </c>
      <c r="H294" s="47"/>
      <c r="I294" s="48">
        <f ca="1">IFERROR(VLOOKUP(B293,INDIRECT($F$8),2,0),"")</f>
        <v>240090600016</v>
      </c>
      <c r="J294" s="48"/>
      <c r="K294" s="47" t="str">
        <f ca="1">IF(ISERROR(F293),"",K275)</f>
        <v>University Enrol. No:</v>
      </c>
      <c r="L294" s="47"/>
      <c r="M294" s="48" t="str">
        <f ca="1">IFERROR(VLOOKUP(B293,INDIRECT($F$8),3,0),"")</f>
        <v>UTU/2406100137</v>
      </c>
      <c r="N294" s="48"/>
    </row>
    <row r="295" spans="1:24" ht="15" x14ac:dyDescent="0.2">
      <c r="A295" s="47"/>
      <c r="B295" s="47"/>
      <c r="C295" s="47"/>
      <c r="D295" s="47"/>
      <c r="E295" s="47"/>
      <c r="F295" s="47"/>
      <c r="G295" s="47"/>
      <c r="H295" s="47"/>
      <c r="I295" s="48"/>
      <c r="J295" s="48"/>
      <c r="K295" s="47"/>
      <c r="L295" s="47"/>
      <c r="M295" s="48"/>
      <c r="N295" s="48"/>
    </row>
    <row r="296" spans="1:24" ht="13" customHeight="1" x14ac:dyDescent="0.2">
      <c r="A296" s="45" t="str">
        <f ca="1">IF(ISERROR(F293),"",A277)</f>
        <v>Subject Code</v>
      </c>
      <c r="B296" s="45" t="str">
        <f ca="1">IF(ISERROR(F293),"",B277)</f>
        <v>Subject Name</v>
      </c>
      <c r="C296" s="45"/>
      <c r="D296" s="45"/>
      <c r="E296" s="45"/>
      <c r="F296" s="45" t="str">
        <f ca="1">IF(ISERROR(F293),"",F277)</f>
        <v>Credits</v>
      </c>
      <c r="G296" s="45" t="str">
        <f ca="1">IF(ISERROR(F293),"",G277)</f>
        <v>External Marks</v>
      </c>
      <c r="H296" s="45"/>
      <c r="I296" s="45" t="str">
        <f ca="1">IF(ISERROR(F293),"",I277)</f>
        <v>Sessional Marks</v>
      </c>
      <c r="J296" s="45"/>
      <c r="K296" s="45" t="str">
        <f ca="1">IF(ISERROR(F293),"",K277)</f>
        <v>Total Marks</v>
      </c>
      <c r="L296" s="45"/>
      <c r="M296" s="45" t="str">
        <f ca="1">IF(ISERROR(F293),"",M277)</f>
        <v>Grade</v>
      </c>
      <c r="N296" s="45" t="str">
        <f ca="1">IF(ISERROR(F293),"",N277)</f>
        <v>Grade Points</v>
      </c>
    </row>
    <row r="297" spans="1:24" ht="15" x14ac:dyDescent="0.2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W297" t="e">
        <f ca="1">IF(ISNUMBER(MATCH($F$8,{"I","III","V","VII"},0)),10,10-INDEX(INDIRECT(_xlfn.TEXTJOIN("",TRUE,"SEM_",$G$8,"!",ADDRESS(6,4+$I$8*3+4),":",ADDRESS(5+$H$8,4+$I$8*3+4))),MATCH(INDIRECT(_xlfn.TEXTJOIN("",TRUE,"TC_",$F$8,"!",ADDRESS(ROW(I294),COLUMN(I294)))),INDIRECT(_xlfn.TEXTJOIN("",TRUE,"SEM_",$G$8,"!",ADDRESS(6,2),":",ADDRESS(5+$H$8,2))))))</f>
        <v>#N/A</v>
      </c>
    </row>
    <row r="298" spans="1:24" ht="13" customHeight="1" x14ac:dyDescent="0.2">
      <c r="A298" s="7" t="str">
        <f ca="1">IF(ISERROR(F293),"",VLOOKUP(C293,INDIRECT($F$8),6+(O298-1)*3,0))</f>
        <v>CAT 009</v>
      </c>
      <c r="B298" s="41" t="str">
        <f ca="1">IF(ISERROR(F293),"",VLOOKUP(D293,INDIRECT($F$8),6+(O298-1)*3,0))</f>
        <v>Computer Based Numerical and Statistical Techniques</v>
      </c>
      <c r="C298" s="41"/>
      <c r="D298" s="41"/>
      <c r="E298" s="41"/>
      <c r="F298" s="7">
        <f ca="1">IF(ISERROR(F293),"",VLOOKUP(E293,INDIRECT($F$8),6+(O298-1)*3,0))</f>
        <v>4</v>
      </c>
      <c r="G298" s="42" t="e">
        <f ca="1">IF(ISERROR(F293),"",_xlfn.TEXTJOIN("/",FALSE,P298,S298))</f>
        <v>#N/A</v>
      </c>
      <c r="H298" s="42"/>
      <c r="I298" s="42" t="str">
        <f ca="1">IF(ISERROR(F293),"",_xlfn.TEXTJOIN("/",FALSE,Q298,T298))</f>
        <v>42/50</v>
      </c>
      <c r="J298" s="42"/>
      <c r="K298" s="42" t="e">
        <f ca="1">IF(ISERROR(F293),"",_xlfn.TEXTJOIN("/",FALSE,R298,U298))</f>
        <v>#N/A</v>
      </c>
      <c r="L298" s="42"/>
      <c r="M298" s="7" t="e">
        <f ca="1">IF(ISERROR(F293),"",IF(ISTEXT(P298),IF(P298="A","Ab",IF(P298="D","Dt",IF(P298="UFM","UFM",IF(P298="NA","")))),IF(AND(ISBLANK(P298),ISBLANK(R298)),"",IF(P298&lt;0.3*S298,"F",IF(ISBLANK(R298),"",IF(ISTEXT(R298),R298,IF(R298&gt;=0.9*U298,"O",IF(R298&gt;=0.85*U298,"A+",IF(R298&gt;=0.8*U298,"A",IF(R298&gt;=0.7*U298,"B+",IF(R298&gt;=0.6*U298,"B",IF(R298&gt;=0.5*U298,"C",IF(R298&gt;=0.4*U298,"P",IF(R298&lt;0.4*U298,"F",R298))))))))))))))</f>
        <v>#N/A</v>
      </c>
      <c r="N298" s="8" t="e">
        <f t="shared" ref="N298:N307" ca="1" si="30">INDEX($Z$2:$Z$13,MATCH(M298,$Y$2:$Y$13,0))</f>
        <v>#N/A</v>
      </c>
      <c r="O298">
        <v>1</v>
      </c>
      <c r="P298" s="1" t="e">
        <f ca="1">IF(ISERROR(F293),"",IF(ISTEXT(VLOOKUP(B293,INDIRECT($F$8),6+(O298-1)*3)),(VLOOKUP(B293,INDIRECT($F$8),6+(O298-1)*3)),SUM(VLOOKUP(B293,INDIRECT($F$8),6+(O298-1)*3),IF(W308,W298,0))))</f>
        <v>#N/A</v>
      </c>
      <c r="Q298" s="1">
        <f ca="1">IF(ISERROR(F293),"",VLOOKUP(B293,INDIRECT($F$8),7+(O298-1)*3))</f>
        <v>42</v>
      </c>
      <c r="R298" s="1" t="e">
        <f ca="1">IF(ISERROR(F293),"",SUM(P298:Q298))</f>
        <v>#N/A</v>
      </c>
      <c r="S298" s="1">
        <f ca="1">IF(ISERROR(F293),"",VLOOKUP(A293,INDIRECT($F$8),6+(O298-1)*3))</f>
        <v>100</v>
      </c>
      <c r="T298" s="1">
        <f ca="1">IF(ISERROR(F293),"",VLOOKUP(A293,INDIRECT($F$8),7+(O298-1)*3))</f>
        <v>50</v>
      </c>
      <c r="U298" s="1">
        <f ca="1">IF(ISERROR(F293),"",VLOOKUP(A293,INDIRECT($F$8),8+(O298-1)*3))</f>
        <v>150</v>
      </c>
      <c r="V298" s="1" t="e">
        <f ca="1">IF(ISERROR(F293),"",IF(N298=0,A298,""))</f>
        <v>#N/A</v>
      </c>
      <c r="W298" s="1">
        <f ca="1">IF(ISERROR(F293),"",IF(ISTEXT(VLOOKUP(B293,INDIRECT($F$8),6+(O298-1)*3)),11,IF(VLOOKUP(B293,INDIRECT($F$8),6+(O298-1)*3)&lt;S298*0.3,IF(VLOOKUP(B293,INDIRECT($F$8),8+(O298-1)*3)&lt;U298*0.4,IF(AND(0.4*U298-VLOOKUP(B293,INDIRECT($F$8),8+(O298-1)*3)&lt;=5,0.3*S298-VLOOKUP(B293,INDIRECT($F$8),6+(O298-1)*3)&lt;=5),MAX(0.4*U298-VLOOKUP(B293,INDIRECT($F$8),8+(O298-1)*3),0.3*S298-VLOOKUP(B293,INDIRECT($F$8),6+(O298-1)*3)),11),IF(0.3*S298-VLOOKUP(B293,INDIRECT($F$8),6+(O298-1)*3)&lt;=5,0.3*S298-VLOOKUP(B293,INDIRECT($F$8),6+(O298-1)*3),11)),IF(VLOOKUP(B293,INDIRECT($F$8),8+(O298-1)*3)&lt;U298*0.4,IF(U298*0.4-VLOOKUP(B293,INDIRECT($F$8),8+(O298-1)*3)&lt;=5,U298*0.4-VLOOKUP(B293,INDIRECT($F$8),8+(O298-1)*3),11),0))))</f>
        <v>0</v>
      </c>
      <c r="X298" s="1" t="str">
        <f ca="1">IF(ISERROR(F293),"",IF(W298=0,"",_xlfn.TEXTJOIN("",FALSE," G+",W298," in ",A298)))</f>
        <v/>
      </c>
    </row>
    <row r="299" spans="1:24" ht="13" customHeight="1" x14ac:dyDescent="0.2">
      <c r="A299" s="7" t="str">
        <f ca="1">IF(ISERROR(F293),"",VLOOKUP(C293,INDIRECT($F$8),6+(O299-1)*3,0))</f>
        <v>CAT 010</v>
      </c>
      <c r="B299" s="41" t="str">
        <f ca="1">IF(ISERROR(F293),"",VLOOKUP(D293,INDIRECT($F$8),6+(O299-1)*3,0))</f>
        <v>Data Structures and Analysis of Algorithms</v>
      </c>
      <c r="C299" s="41"/>
      <c r="D299" s="41"/>
      <c r="E299" s="41"/>
      <c r="F299" s="7">
        <f ca="1">IF(ISERROR(F293),"",VLOOKUP(E293,INDIRECT($F$8),6+(O299-1)*3,0))</f>
        <v>4</v>
      </c>
      <c r="G299" s="42" t="e">
        <f ca="1">IF(ISERROR(F293),"",_xlfn.TEXTJOIN("/",FALSE,P299,S299))</f>
        <v>#N/A</v>
      </c>
      <c r="H299" s="42"/>
      <c r="I299" s="42" t="str">
        <f ca="1">IF(ISERROR(F293),"",_xlfn.TEXTJOIN("/",FALSE,Q299,T299))</f>
        <v>38/50</v>
      </c>
      <c r="J299" s="42"/>
      <c r="K299" s="42" t="e">
        <f ca="1">IF(ISERROR(F293),"",_xlfn.TEXTJOIN("/",FALSE,R299,U299))</f>
        <v>#N/A</v>
      </c>
      <c r="L299" s="42"/>
      <c r="M299" s="7" t="e">
        <f ca="1">IF(ISERROR(F293),"",IF(ISTEXT(P299),IF(P299="A","Ab",IF(P299="D","Dt",IF(P299="UFM","UFM",IF(P299="NA","")))),IF(AND(ISBLANK(P299),ISBLANK(R299)),"",IF(P299&lt;0.3*S299,"F",IF(ISBLANK(R299),"",IF(ISTEXT(R299),R299,IF(R299&gt;=0.9*U299,"O",IF(R299&gt;=0.85*U299,"A+",IF(R299&gt;=0.8*U299,"A",IF(R299&gt;=0.7*U299,"B+",IF(R299&gt;=0.6*U299,"B",IF(R299&gt;=0.5*U299,"C",IF(R299&gt;=0.4*U299,"P",IF(R299&lt;0.4*U299,"F",R299))))))))))))))</f>
        <v>#N/A</v>
      </c>
      <c r="N299" s="8" t="e">
        <f t="shared" ca="1" si="30"/>
        <v>#N/A</v>
      </c>
      <c r="O299">
        <f>O298+1</f>
        <v>2</v>
      </c>
      <c r="P299" s="1" t="e">
        <f ca="1">IF(ISERROR(F293),"",IF(ISTEXT(VLOOKUP(B293,INDIRECT($F$8),6+(O299-1)*3)),(VLOOKUP(B293,INDIRECT($F$8),6+(O299-1)*3)),SUM(VLOOKUP(B293,INDIRECT($F$8),6+(O299-1)*3),IF(W308,W299,0))))</f>
        <v>#N/A</v>
      </c>
      <c r="Q299" s="1">
        <f ca="1">IF(ISERROR(F293),"",VLOOKUP(B293,INDIRECT($F$8),7+(O299-1)*3))</f>
        <v>38</v>
      </c>
      <c r="R299" s="1" t="e">
        <f ca="1">IF(ISERROR(F293),"",SUM(P299:Q299))</f>
        <v>#N/A</v>
      </c>
      <c r="S299" s="1">
        <f ca="1">IF(ISERROR(F293),"",VLOOKUP(A293,INDIRECT($F$8),6+(O299-1)*3))</f>
        <v>100</v>
      </c>
      <c r="T299" s="1">
        <f ca="1">IF(ISERROR(F293),"",VLOOKUP(A293,INDIRECT($F$8),7+(O299-1)*3))</f>
        <v>50</v>
      </c>
      <c r="U299" s="1">
        <f ca="1">IF(ISERROR(F293),"",VLOOKUP(A293,INDIRECT($F$8),8+(O299-1)*3))</f>
        <v>150</v>
      </c>
      <c r="V299" s="1" t="e">
        <f ca="1">IF(ISERROR(F293),"",IF(N299=0,A299,""))</f>
        <v>#N/A</v>
      </c>
      <c r="W299" s="1">
        <f ca="1">IF(ISERROR(F293),"",IF(ISTEXT(VLOOKUP(B293,INDIRECT($F$8),6+(O299-1)*3)),11,IF(VLOOKUP(B293,INDIRECT($F$8),6+(O299-1)*3)&lt;S299*0.3,IF(VLOOKUP(B293,INDIRECT($F$8),8+(O299-1)*3)&lt;U299*0.4,IF(AND(0.4*U299-VLOOKUP(B293,INDIRECT($F$8),8+(O299-1)*3)&lt;=5,0.3*S299-VLOOKUP(B293,INDIRECT($F$8),6+(O299-1)*3)&lt;=5),MAX(0.4*U299-VLOOKUP(B293,INDIRECT($F$8),8+(O299-1)*3),0.3*S299-VLOOKUP(B293,INDIRECT($F$8),6+(O299-1)*3)),11),IF(0.3*S299-VLOOKUP(B293,INDIRECT($F$8),6+(O299-1)*3)&lt;=5,0.3*S299-VLOOKUP(B293,INDIRECT($F$8),6+(O299-1)*3),11)),IF(VLOOKUP(B293,INDIRECT($F$8),8+(O299-1)*3)&lt;U299*0.4,IF(U299*0.4-VLOOKUP(B293,INDIRECT($F$8),8+(O299-1)*3)&lt;=5,U299*0.4-VLOOKUP(B293,INDIRECT($F$8),8+(O299-1)*3),11),0))))</f>
        <v>0</v>
      </c>
      <c r="X299" s="1" t="str">
        <f ca="1">IF(ISERROR(F293),"",IF(W299=0,"",_xlfn.TEXTJOIN("",FALSE," G+",W299," in ",A299)))</f>
        <v/>
      </c>
    </row>
    <row r="300" spans="1:24" ht="13" customHeight="1" x14ac:dyDescent="0.2">
      <c r="A300" s="7" t="str">
        <f ca="1">IF(ISERROR(F293),"",VLOOKUP(C293,INDIRECT($F$8),6+(O300-1)*3,0))</f>
        <v>CAT 011</v>
      </c>
      <c r="B300" s="41" t="str">
        <f ca="1">IF(ISERROR(F293),"",VLOOKUP(D293,INDIRECT($F$8),6+(O300-1)*3,0))</f>
        <v>Object Oriented Programming with JAVA</v>
      </c>
      <c r="C300" s="41"/>
      <c r="D300" s="41"/>
      <c r="E300" s="41"/>
      <c r="F300" s="7">
        <f ca="1">IF(ISERROR(F293),"",VLOOKUP(E293,INDIRECT($F$8),6+(O300-1)*3,0))</f>
        <v>4</v>
      </c>
      <c r="G300" s="42" t="e">
        <f ca="1">IF(ISERROR(F293),"",_xlfn.TEXTJOIN("/",FALSE,P300,S300))</f>
        <v>#N/A</v>
      </c>
      <c r="H300" s="42"/>
      <c r="I300" s="42" t="str">
        <f ca="1">IF(ISERROR(F293),"",_xlfn.TEXTJOIN("/",FALSE,Q300,T300))</f>
        <v>43/50</v>
      </c>
      <c r="J300" s="42"/>
      <c r="K300" s="42" t="e">
        <f ca="1">IF(ISERROR(F293),"",_xlfn.TEXTJOIN("/",FALSE,R300,U300))</f>
        <v>#N/A</v>
      </c>
      <c r="L300" s="42"/>
      <c r="M300" s="7" t="e">
        <f ca="1">IF(ISERROR(F293),"",IF(ISTEXT(P300),IF(P300="A","Ab",IF(P300="D","Dt",IF(P300="UFM","UFM",IF(P300="NA","")))),IF(AND(ISBLANK(P300),ISBLANK(R300)),"",IF(P300&lt;0.3*S300,"F",IF(ISBLANK(R300),"",IF(ISTEXT(R300),R300,IF(R300&gt;=0.9*U300,"O",IF(R300&gt;=0.85*U300,"A+",IF(R300&gt;=0.8*U300,"A",IF(R300&gt;=0.7*U300,"B+",IF(R300&gt;=0.6*U300,"B",IF(R300&gt;=0.5*U300,"C",IF(R300&gt;=0.4*U300,"P",IF(R300&lt;0.4*U300,"F",R300))))))))))))))</f>
        <v>#N/A</v>
      </c>
      <c r="N300" s="8" t="e">
        <f t="shared" ca="1" si="30"/>
        <v>#N/A</v>
      </c>
      <c r="O300">
        <f>O299+1</f>
        <v>3</v>
      </c>
      <c r="P300" s="1" t="e">
        <f ca="1">IF(ISERROR(F293),"",IF(ISTEXT(VLOOKUP(B293,INDIRECT($F$8),6+(O300-1)*3)),(VLOOKUP(B293,INDIRECT($F$8),6+(O300-1)*3)),SUM(VLOOKUP(B293,INDIRECT($F$8),6+(O300-1)*3),IF(W308,W300,0))))</f>
        <v>#N/A</v>
      </c>
      <c r="Q300" s="1">
        <f ca="1">IF(ISERROR(F293),"",VLOOKUP(B293,INDIRECT($F$8),7+(O300-1)*3))</f>
        <v>43</v>
      </c>
      <c r="R300" s="1" t="e">
        <f ca="1">IF(ISERROR(F293),"",SUM(P300:Q300))</f>
        <v>#N/A</v>
      </c>
      <c r="S300" s="1">
        <f ca="1">IF(ISERROR(F293),"",VLOOKUP(A293,INDIRECT($F$8),6+(O300-1)*3))</f>
        <v>100</v>
      </c>
      <c r="T300" s="1">
        <f ca="1">IF(ISERROR(F293),"",VLOOKUP(A293,INDIRECT($F$8),7+(O300-1)*3))</f>
        <v>50</v>
      </c>
      <c r="U300" s="1">
        <f ca="1">IF(ISERROR(F293),"",VLOOKUP(A293,INDIRECT($F$8),8+(O300-1)*3))</f>
        <v>150</v>
      </c>
      <c r="V300" s="1" t="e">
        <f ca="1">IF(ISERROR(F293),"",IF(N300=0,A300,""))</f>
        <v>#N/A</v>
      </c>
      <c r="W300" s="1">
        <f ca="1">IF(ISERROR(F293),"",IF(ISTEXT(VLOOKUP(B293,INDIRECT($F$8),6+(O300-1)*3)),11,IF(VLOOKUP(B293,INDIRECT($F$8),6+(O300-1)*3)&lt;S300*0.3,IF(VLOOKUP(B293,INDIRECT($F$8),8+(O300-1)*3)&lt;U300*0.4,IF(AND(0.4*U300-VLOOKUP(B293,INDIRECT($F$8),8+(O300-1)*3)&lt;=5,0.3*S300-VLOOKUP(B293,INDIRECT($F$8),6+(O300-1)*3)&lt;=5),MAX(0.4*U300-VLOOKUP(B293,INDIRECT($F$8),8+(O300-1)*3),0.3*S300-VLOOKUP(B293,INDIRECT($F$8),6+(O300-1)*3)),11),IF(0.3*S300-VLOOKUP(B293,INDIRECT($F$8),6+(O300-1)*3)&lt;=5,0.3*S300-VLOOKUP(B293,INDIRECT($F$8),6+(O300-1)*3),11)),IF(VLOOKUP(B293,INDIRECT($F$8),8+(O300-1)*3)&lt;U300*0.4,IF(U300*0.4-VLOOKUP(B293,INDIRECT($F$8),8+(O300-1)*3)&lt;=5,U300*0.4-VLOOKUP(B293,INDIRECT($F$8),8+(O300-1)*3),11),0))))</f>
        <v>0</v>
      </c>
      <c r="X300" s="1" t="str">
        <f ca="1">IF(ISERROR(F293),"",IF(W300=0,"",_xlfn.TEXTJOIN("",FALSE," G+",W300," in ",A300)))</f>
        <v/>
      </c>
    </row>
    <row r="301" spans="1:24" ht="13" customHeight="1" x14ac:dyDescent="0.2">
      <c r="A301" s="7" t="str">
        <f ca="1">IF(ISERROR(F293),"",VLOOKUP(C293,INDIRECT($F$8),6+(O301-1)*3,0))</f>
        <v>CAT 012</v>
      </c>
      <c r="B301" s="41" t="str">
        <f ca="1">IF(ISERROR(F293),"",VLOOKUP(D293,INDIRECT($F$8),6+(O301-1)*3,0))</f>
        <v>Computer Networks</v>
      </c>
      <c r="C301" s="41"/>
      <c r="D301" s="41"/>
      <c r="E301" s="41"/>
      <c r="F301" s="7">
        <f ca="1">IF(ISERROR(F293),"",VLOOKUP(E293,INDIRECT($F$8),6+(O301-1)*3,0))</f>
        <v>4</v>
      </c>
      <c r="G301" s="42" t="e">
        <f ca="1">IF(ISERROR(F293),"",_xlfn.TEXTJOIN("/",FALSE,P301,S301))</f>
        <v>#N/A</v>
      </c>
      <c r="H301" s="42"/>
      <c r="I301" s="42" t="str">
        <f ca="1">IF(ISERROR(F293),"",_xlfn.TEXTJOIN("/",FALSE,Q301,T301))</f>
        <v>35/50</v>
      </c>
      <c r="J301" s="42"/>
      <c r="K301" s="42" t="e">
        <f ca="1">IF(ISERROR(F293),"",_xlfn.TEXTJOIN("/",FALSE,R301,U301))</f>
        <v>#N/A</v>
      </c>
      <c r="L301" s="42"/>
      <c r="M301" s="7" t="e">
        <f ca="1">IF(ISERROR(F293),"",IF(ISTEXT(P301),IF(P301="A","Ab",IF(P301="D","Dt",IF(P301="UFM","UFM",IF(P301="NA","")))),IF(AND(ISBLANK(P301),ISBLANK(R301)),"",IF(P301&lt;0.3*S301,"F",IF(ISBLANK(R301),"",IF(ISTEXT(R301),R301,IF(R301&gt;=0.9*U301,"O",IF(R301&gt;=0.85*U301,"A+",IF(R301&gt;=0.8*U301,"A",IF(R301&gt;=0.7*U301,"B+",IF(R301&gt;=0.6*U301,"B",IF(R301&gt;=0.5*U301,"C",IF(R301&gt;=0.4*U301,"P",IF(R301&lt;0.4*U301,"F",R301))))))))))))))</f>
        <v>#N/A</v>
      </c>
      <c r="N301" s="8" t="e">
        <f t="shared" ca="1" si="30"/>
        <v>#N/A</v>
      </c>
      <c r="O301">
        <f t="shared" ref="O301:O307" si="31">O300+1</f>
        <v>4</v>
      </c>
      <c r="P301" s="1" t="e">
        <f ca="1">IF(ISERROR(F293),"",IF(ISTEXT(VLOOKUP(B293,INDIRECT($F$8),6+(O301-1)*3)),(VLOOKUP(B293,INDIRECT($F$8),6+(O301-1)*3)),SUM(VLOOKUP(B293,INDIRECT($F$8),6+(O301-1)*3),IF(W308,W301,0))))</f>
        <v>#N/A</v>
      </c>
      <c r="Q301" s="1">
        <f ca="1">IF(ISERROR(F293),"",VLOOKUP(B293,INDIRECT($F$8),7+(O301-1)*3))</f>
        <v>35</v>
      </c>
      <c r="R301" s="1" t="e">
        <f ca="1">IF(ISERROR(F293),"",SUM(P301:Q301))</f>
        <v>#N/A</v>
      </c>
      <c r="S301" s="1">
        <f ca="1">IF(ISERROR(F293),"",VLOOKUP(A293,INDIRECT($F$8),6+(O301-1)*3))</f>
        <v>100</v>
      </c>
      <c r="T301" s="1">
        <f ca="1">IF(ISERROR(F293),"",VLOOKUP(A293,INDIRECT($F$8),7+(O301-1)*3))</f>
        <v>50</v>
      </c>
      <c r="U301" s="1">
        <f ca="1">IF(ISERROR(F293),"",VLOOKUP(A293,INDIRECT($F$8),8+(O301-1)*3))</f>
        <v>150</v>
      </c>
      <c r="V301" s="1" t="e">
        <f ca="1">IF(ISERROR(F293),"",IF(N301=0,A301,""))</f>
        <v>#N/A</v>
      </c>
      <c r="W301" s="1">
        <f ca="1">IF(ISERROR(F293),"",IF(ISTEXT(VLOOKUP(B293,INDIRECT($F$8),6+(O301-1)*3)),11,IF(VLOOKUP(B293,INDIRECT($F$8),6+(O301-1)*3)&lt;S301*0.3,IF(VLOOKUP(B293,INDIRECT($F$8),8+(O301-1)*3)&lt;U301*0.4,IF(AND(0.4*U301-VLOOKUP(B293,INDIRECT($F$8),8+(O301-1)*3)&lt;=5,0.3*S301-VLOOKUP(B293,INDIRECT($F$8),6+(O301-1)*3)&lt;=5),MAX(0.4*U301-VLOOKUP(B293,INDIRECT($F$8),8+(O301-1)*3),0.3*S301-VLOOKUP(B293,INDIRECT($F$8),6+(O301-1)*3)),11),IF(0.3*S301-VLOOKUP(B293,INDIRECT($F$8),6+(O301-1)*3)&lt;=5,0.3*S301-VLOOKUP(B293,INDIRECT($F$8),6+(O301-1)*3),11)),IF(VLOOKUP(B293,INDIRECT($F$8),8+(O301-1)*3)&lt;U301*0.4,IF(U301*0.4-VLOOKUP(B293,INDIRECT($F$8),8+(O301-1)*3)&lt;=5,U301*0.4-VLOOKUP(B293,INDIRECT($F$8),8+(O301-1)*3),11),0))))</f>
        <v>11</v>
      </c>
      <c r="X301" s="1" t="str">
        <f ca="1">IF(ISERROR(F293),"",IF(W301=0,"",_xlfn.TEXTJOIN("",FALSE," G+",W301," in ",A301)))</f>
        <v xml:space="preserve"> G+11 in CAT 012</v>
      </c>
    </row>
    <row r="302" spans="1:24" ht="13" customHeight="1" x14ac:dyDescent="0.2">
      <c r="A302" s="7" t="str">
        <f ca="1">IF(ISERROR(F293),"",VLOOKUP(C293,INDIRECT($F$8),6+(O302-1)*3,0))</f>
        <v>CAT 013</v>
      </c>
      <c r="B302" s="41" t="str">
        <f ca="1">IF(ISERROR(F293),"",VLOOKUP(D293,INDIRECT($F$8),6+(O302-1)*3,0))</f>
        <v>Artificial Intelligence</v>
      </c>
      <c r="C302" s="41"/>
      <c r="D302" s="41"/>
      <c r="E302" s="41"/>
      <c r="F302" s="7">
        <f ca="1">IF(ISERROR(F293),"",VLOOKUP(E293,INDIRECT($F$8),6+(O302-1)*3,0))</f>
        <v>4</v>
      </c>
      <c r="G302" s="42" t="e">
        <f ca="1">IF(ISERROR(F293),"",_xlfn.TEXTJOIN("/",FALSE,P302,S302))</f>
        <v>#N/A</v>
      </c>
      <c r="H302" s="42"/>
      <c r="I302" s="42" t="str">
        <f ca="1">IF(ISERROR(F293),"",_xlfn.TEXTJOIN("/",FALSE,Q302,T302))</f>
        <v>44/50</v>
      </c>
      <c r="J302" s="42"/>
      <c r="K302" s="42" t="e">
        <f ca="1">IF(ISERROR(F293),"",_xlfn.TEXTJOIN("/",FALSE,R302,U302))</f>
        <v>#N/A</v>
      </c>
      <c r="L302" s="42"/>
      <c r="M302" s="7" t="e">
        <f ca="1">IF(ISERROR(F293),"",IF(ISTEXT(P302),IF(P302="A","Ab",IF(P302="D","Dt",IF(P302="UFM","UFM",IF(P302="NA","")))),IF(AND(ISBLANK(P302),ISBLANK(R302)),"",IF(P302&lt;0.3*S302,"F",IF(ISBLANK(R302),"",IF(ISTEXT(R302),R302,IF(R302&gt;=0.9*U302,"O",IF(R302&gt;=0.85*U302,"A+",IF(R302&gt;=0.8*U302,"A",IF(R302&gt;=0.7*U302,"B+",IF(R302&gt;=0.6*U302,"B",IF(R302&gt;=0.5*U302,"C",IF(R302&gt;=0.4*U302,"P",IF(R302&lt;0.4*U302,"F",R302))))))))))))))</f>
        <v>#N/A</v>
      </c>
      <c r="N302" s="8" t="e">
        <f t="shared" ca="1" si="30"/>
        <v>#N/A</v>
      </c>
      <c r="O302">
        <f t="shared" si="31"/>
        <v>5</v>
      </c>
      <c r="P302" s="1" t="e">
        <f ca="1">IF(ISERROR(F293),"",IF(ISTEXT(VLOOKUP(B293,INDIRECT($F$8),6+(O302-1)*3)),(VLOOKUP(B293,INDIRECT($F$8),6+(O302-1)*3)),SUM(VLOOKUP(B293,INDIRECT($F$8),6+(O302-1)*3),IF(W308,W302,0))))</f>
        <v>#N/A</v>
      </c>
      <c r="Q302" s="1">
        <f ca="1">IF(ISERROR(F293),"",VLOOKUP(B293,INDIRECT($F$8),7+(O302-1)*3))</f>
        <v>44</v>
      </c>
      <c r="R302" s="1" t="e">
        <f ca="1">IF(ISERROR(F293),"",SUM(P302:Q302))</f>
        <v>#N/A</v>
      </c>
      <c r="S302" s="1">
        <f ca="1">IF(ISERROR(F293),"",VLOOKUP(A293,INDIRECT($F$8),6+(O302-1)*3))</f>
        <v>100</v>
      </c>
      <c r="T302" s="1">
        <f ca="1">IF(ISERROR(F293),"",VLOOKUP(A293,INDIRECT($F$8),7+(O302-1)*3))</f>
        <v>50</v>
      </c>
      <c r="U302" s="1">
        <f ca="1">IF(ISERROR(F293),"",VLOOKUP(A293,INDIRECT($F$8),8+(O302-1)*3))</f>
        <v>150</v>
      </c>
      <c r="V302" s="1" t="e">
        <f ca="1">IF(ISERROR(F293),"",IF(N302=0,A302,""))</f>
        <v>#N/A</v>
      </c>
      <c r="W302" s="1">
        <f ca="1">IF(ISERROR(F293),"",IF(ISTEXT(VLOOKUP(B293,INDIRECT($F$8),6+(O302-1)*3)),11,IF(VLOOKUP(B293,INDIRECT($F$8),6+(O302-1)*3)&lt;S302*0.3,IF(VLOOKUP(B293,INDIRECT($F$8),8+(O302-1)*3)&lt;U302*0.4,IF(AND(0.4*U302-VLOOKUP(B293,INDIRECT($F$8),8+(O302-1)*3)&lt;=5,0.3*S302-VLOOKUP(B293,INDIRECT($F$8),6+(O302-1)*3)&lt;=5),MAX(0.4*U302-VLOOKUP(B293,INDIRECT($F$8),8+(O302-1)*3),0.3*S302-VLOOKUP(B293,INDIRECT($F$8),6+(O302-1)*3)),11),IF(0.3*S302-VLOOKUP(B293,INDIRECT($F$8),6+(O302-1)*3)&lt;=5,0.3*S302-VLOOKUP(B293,INDIRECT($F$8),6+(O302-1)*3),11)),IF(VLOOKUP(B293,INDIRECT($F$8),8+(O302-1)*3)&lt;U302*0.4,IF(U302*0.4-VLOOKUP(B293,INDIRECT($F$8),8+(O302-1)*3)&lt;=5,U302*0.4-VLOOKUP(B293,INDIRECT($F$8),8+(O302-1)*3),11),0))))</f>
        <v>0</v>
      </c>
      <c r="X302" s="1" t="str">
        <f ca="1">IF(ISERROR(F293),"",IF(W302=0,"",_xlfn.TEXTJOIN("",FALSE," G+",W302," in ",A302)))</f>
        <v/>
      </c>
    </row>
    <row r="303" spans="1:24" ht="13" customHeight="1" x14ac:dyDescent="0.2">
      <c r="A303" s="7" t="str">
        <f ca="1">IF(ISERROR(F293),"",VLOOKUP(C293,INDIRECT($F$8),6+(O303-1)*3,0))</f>
        <v>AHT 304</v>
      </c>
      <c r="B303" s="41" t="str">
        <f ca="1">IF(ISERROR(F293),"",VLOOKUP(D293,INDIRECT($F$8),6+(O303-1)*3,0))</f>
        <v>Accounting and Financial Management ($)</v>
      </c>
      <c r="C303" s="41"/>
      <c r="D303" s="41"/>
      <c r="E303" s="41"/>
      <c r="F303" s="7">
        <f ca="1">IF(ISERROR(F293),"",VLOOKUP(E293,INDIRECT($F$8),6+(O303-1)*3,0))</f>
        <v>0</v>
      </c>
      <c r="G303" s="42" t="e">
        <f ca="1">IF(ISERROR(F293),"",_xlfn.TEXTJOIN("/",FALSE,P303,S303))</f>
        <v>#N/A</v>
      </c>
      <c r="H303" s="42"/>
      <c r="I303" s="42" t="str">
        <f ca="1">IF(ISERROR(F293),"",_xlfn.TEXTJOIN("/",FALSE,Q303,T303))</f>
        <v>27/50</v>
      </c>
      <c r="J303" s="42"/>
      <c r="K303" s="42" t="e">
        <f ca="1">IF(ISERROR(F293),"",_xlfn.TEXTJOIN("/",FALSE,R303,U303))</f>
        <v>#N/A</v>
      </c>
      <c r="L303" s="42"/>
      <c r="M303" s="7" t="e">
        <f ca="1">IF(ISERROR(F293),"",IF(ISTEXT(P303),IF(P303="A","Ab",IF(P303="D","Dt",IF(P303="UFM","UFM",IF(P303="NA","")))),IF(AND(ISBLANK(P303),ISBLANK(R303)),"",IF(P303&lt;0.3*S303,"F",IF(ISBLANK(R303),"",IF(ISTEXT(R303),R303,IF(R303&gt;=0.9*U303,"O",IF(R303&gt;=0.85*U303,"A+",IF(R303&gt;=0.8*U303,"A",IF(R303&gt;=0.7*U303,"B+",IF(R303&gt;=0.6*U303,"B",IF(R303&gt;=0.5*U303,"C",IF(R303&gt;=0.4*U303,"P",IF(R303&lt;0.4*U303,"F",R303))))))))))))))</f>
        <v>#N/A</v>
      </c>
      <c r="N303" s="8" t="e">
        <f t="shared" ca="1" si="30"/>
        <v>#N/A</v>
      </c>
      <c r="O303">
        <f t="shared" si="31"/>
        <v>6</v>
      </c>
      <c r="P303" s="1" t="e">
        <f ca="1">IF(ISERROR(F293),"",IF(ISTEXT(VLOOKUP(B293,INDIRECT($F$8),6+(O303-1)*3)),(VLOOKUP(B293,INDIRECT($F$8),6+(O303-1)*3)),SUM(VLOOKUP(B293,INDIRECT($F$8),6+(O303-1)*3),IF(W308,W303,0))))</f>
        <v>#N/A</v>
      </c>
      <c r="Q303" s="1">
        <f ca="1">IF(ISERROR(F293),"",VLOOKUP(B293,INDIRECT($F$8),7+(O303-1)*3))</f>
        <v>27</v>
      </c>
      <c r="R303" s="1" t="e">
        <f ca="1">IF(ISERROR(F293),"",SUM(P303:Q303))</f>
        <v>#N/A</v>
      </c>
      <c r="S303" s="1">
        <f ca="1">IF(ISERROR(F293),"",VLOOKUP(A293,INDIRECT($F$8),6+(O303-1)*3))</f>
        <v>0</v>
      </c>
      <c r="T303" s="1">
        <f ca="1">IF(ISERROR(F293),"",VLOOKUP(A293,INDIRECT($F$8),7+(O303-1)*3))</f>
        <v>50</v>
      </c>
      <c r="U303" s="1">
        <f ca="1">IF(ISERROR(F293),"",VLOOKUP(A293,INDIRECT($F$8),8+(O303-1)*3))</f>
        <v>50</v>
      </c>
      <c r="V303" s="1" t="e">
        <f ca="1">IF(ISERROR(F293),"",IF(N303=0,A303,""))</f>
        <v>#N/A</v>
      </c>
      <c r="W303" s="1">
        <f ca="1">IF(ISERROR(F293),"",IF(ISTEXT(VLOOKUP(B293,INDIRECT($F$8),6+(O303-1)*3)),11,IF(VLOOKUP(B293,INDIRECT($F$8),6+(O303-1)*3)&lt;S303*0.3,IF(VLOOKUP(B293,INDIRECT($F$8),8+(O303-1)*3)&lt;U303*0.4,IF(AND(0.4*U303-VLOOKUP(B293,INDIRECT($F$8),8+(O303-1)*3)&lt;=5,0.3*S303-VLOOKUP(B293,INDIRECT($F$8),6+(O303-1)*3)&lt;=5),MAX(0.4*U303-VLOOKUP(B293,INDIRECT($F$8),8+(O303-1)*3),0.3*S303-VLOOKUP(B293,INDIRECT($F$8),6+(O303-1)*3)),11),IF(0.3*S303-VLOOKUP(B293,INDIRECT($F$8),6+(O303-1)*3)&lt;=5,0.3*S303-VLOOKUP(B293,INDIRECT($F$8),6+(O303-1)*3),11)),IF(VLOOKUP(B293,INDIRECT($F$8),8+(O303-1)*3)&lt;U303*0.4,IF(U303*0.4-VLOOKUP(B293,INDIRECT($F$8),8+(O303-1)*3)&lt;=5,U303*0.4-VLOOKUP(B293,INDIRECT($F$8),8+(O303-1)*3),11),0))))</f>
        <v>0</v>
      </c>
      <c r="X303" s="1" t="str">
        <f ca="1">IF(ISERROR(F293),"",IF(W303=0,"",_xlfn.TEXTJOIN("",FALSE," G+",W303," in ",A303)))</f>
        <v/>
      </c>
    </row>
    <row r="304" spans="1:24" ht="13" customHeight="1" x14ac:dyDescent="0.2">
      <c r="A304" s="7" t="str">
        <f ca="1">IF(ISERROR(F293),"",VLOOKUP(C293,INDIRECT($F$8),6+(O304-1)*3,0))</f>
        <v>CAP 004</v>
      </c>
      <c r="B304" s="41" t="str">
        <f ca="1">IF(ISERROR(F293),"",VLOOKUP(D293,INDIRECT($F$8),6+(O304-1)*3,0))</f>
        <v>Data Structures and Analysis of Algorithms Lab</v>
      </c>
      <c r="C304" s="41"/>
      <c r="D304" s="41"/>
      <c r="E304" s="41"/>
      <c r="F304" s="7">
        <f ca="1">IF(ISERROR(F293),"",VLOOKUP(E293,INDIRECT($F$8),6+(O304-1)*3,0))</f>
        <v>1</v>
      </c>
      <c r="G304" s="42" t="e">
        <f ca="1">IF(ISERROR(F293),"",_xlfn.TEXTJOIN("/",FALSE,P304,S304))</f>
        <v>#N/A</v>
      </c>
      <c r="H304" s="42"/>
      <c r="I304" s="42" t="str">
        <f ca="1">IF(ISERROR(F293),"",_xlfn.TEXTJOIN("/",FALSE,Q304,T304))</f>
        <v>16/20</v>
      </c>
      <c r="J304" s="42"/>
      <c r="K304" s="42" t="e">
        <f ca="1">IF(ISERROR(F293),"",_xlfn.TEXTJOIN("/",FALSE,R304,U304))</f>
        <v>#N/A</v>
      </c>
      <c r="L304" s="42"/>
      <c r="M304" s="7" t="e">
        <f ca="1">IF(ISERROR(F293),"",IF(ISTEXT(P304),IF(P304="A","Ab",IF(P304="D","Dt",IF(P304="UFM","UFM",IF(P304="NA","")))),IF(AND(ISBLANK(P304),ISBLANK(R304)),"",IF(P304&lt;0.3*S304,"F",IF(ISBLANK(R304),"",IF(ISTEXT(R304),R304,IF(R304&gt;=0.9*U304,"O",IF(R304&gt;=0.85*U304,"A+",IF(R304&gt;=0.8*U304,"A",IF(R304&gt;=0.7*U304,"B+",IF(R304&gt;=0.6*U304,"B",IF(R304&gt;=0.5*U304,"C",IF(R304&gt;=0.4*U304,"P",IF(R304&lt;0.4*U304,"F",R304))))))))))))))</f>
        <v>#N/A</v>
      </c>
      <c r="N304" s="8" t="e">
        <f t="shared" ca="1" si="30"/>
        <v>#N/A</v>
      </c>
      <c r="O304">
        <f t="shared" si="31"/>
        <v>7</v>
      </c>
      <c r="P304" s="1" t="e">
        <f ca="1">IF(ISERROR(F293),"",IF(ISTEXT(VLOOKUP(B293,INDIRECT($F$8),6+(O304-1)*3)),(VLOOKUP(B293,INDIRECT($F$8),6+(O304-1)*3)),SUM(VLOOKUP(B293,INDIRECT($F$8),6+(O304-1)*3),IF(W308,W304,0))))</f>
        <v>#N/A</v>
      </c>
      <c r="Q304" s="1">
        <f ca="1">IF(ISERROR(F293),"",VLOOKUP(B293,INDIRECT($F$8),7+(O304-1)*3))</f>
        <v>16</v>
      </c>
      <c r="R304" s="1" t="e">
        <f ca="1">IF(ISERROR(F293),"",SUM(P304:Q304))</f>
        <v>#N/A</v>
      </c>
      <c r="S304" s="1">
        <f ca="1">IF(ISERROR(F293),"",VLOOKUP(A293,INDIRECT($F$8),6+(O304-1)*3))</f>
        <v>30</v>
      </c>
      <c r="T304" s="1">
        <f ca="1">IF(ISERROR(F293),"",VLOOKUP(A293,INDIRECT($F$8),7+(O304-1)*3))</f>
        <v>20</v>
      </c>
      <c r="U304" s="1">
        <f ca="1">IF(ISERROR(F293),"",VLOOKUP(A293,INDIRECT($F$8),8+(O304-1)*3))</f>
        <v>50</v>
      </c>
      <c r="V304" s="1" t="e">
        <f ca="1">IF(ISERROR(F293),"",IF(N304=0,A304,""))</f>
        <v>#N/A</v>
      </c>
      <c r="W304" s="1">
        <f ca="1">IF(ISERROR(F293),"",IF(ISTEXT(VLOOKUP(B293,INDIRECT($F$8),6+(O304-1)*3)),11,IF(VLOOKUP(B293,INDIRECT($F$8),6+(O304-1)*3)&lt;S304*0.3,IF(VLOOKUP(B293,INDIRECT($F$8),8+(O304-1)*3)&lt;U304*0.4,IF(AND(0.4*U304-VLOOKUP(B293,INDIRECT($F$8),8+(O304-1)*3)&lt;=5,0.3*S304-VLOOKUP(B293,INDIRECT($F$8),6+(O304-1)*3)&lt;=5),MAX(0.4*U304-VLOOKUP(B293,INDIRECT($F$8),8+(O304-1)*3),0.3*S304-VLOOKUP(B293,INDIRECT($F$8),6+(O304-1)*3)),11),IF(0.3*S304-VLOOKUP(B293,INDIRECT($F$8),6+(O304-1)*3)&lt;=5,0.3*S304-VLOOKUP(B293,INDIRECT($F$8),6+(O304-1)*3),11)),IF(VLOOKUP(B293,INDIRECT($F$8),8+(O304-1)*3)&lt;U304*0.4,IF(U304*0.4-VLOOKUP(B293,INDIRECT($F$8),8+(O304-1)*3)&lt;=5,U304*0.4-VLOOKUP(B293,INDIRECT($F$8),8+(O304-1)*3),11),0))))</f>
        <v>0</v>
      </c>
      <c r="X304" s="1" t="str">
        <f ca="1">IF(ISERROR(F293),"",IF(W304=0,"",_xlfn.TEXTJOIN("",FALSE," G+",W304," in ",A304)))</f>
        <v/>
      </c>
    </row>
    <row r="305" spans="1:24" ht="13" customHeight="1" x14ac:dyDescent="0.2">
      <c r="A305" s="7" t="str">
        <f ca="1">IF(ISERROR(F293),"",VLOOKUP(C293,INDIRECT($F$8),6+(O305-1)*3,0))</f>
        <v>CAP 005</v>
      </c>
      <c r="B305" s="41" t="str">
        <f ca="1">IF(ISERROR(F293),"",VLOOKUP(D293,INDIRECT($F$8),6+(O305-1)*3-Z305,0))</f>
        <v>Object Oriented Programming with JAVA Lab</v>
      </c>
      <c r="C305" s="41"/>
      <c r="D305" s="41"/>
      <c r="E305" s="41"/>
      <c r="F305" s="7">
        <f ca="1">IF(ISERROR(F293),"",VLOOKUP(E293,INDIRECT($F$8),6+(O305-1)*3,0))</f>
        <v>1</v>
      </c>
      <c r="G305" s="42" t="e">
        <f ca="1">IF(ISERROR(F293),"",_xlfn.TEXTJOIN("/",FALSE,P305,S305))</f>
        <v>#N/A</v>
      </c>
      <c r="H305" s="42"/>
      <c r="I305" s="42" t="str">
        <f ca="1">IF(ISERROR(F293),"",_xlfn.TEXTJOIN("/",FALSE,Q305,T305))</f>
        <v>17/20</v>
      </c>
      <c r="J305" s="42"/>
      <c r="K305" s="42" t="e">
        <f ca="1">IF(ISERROR(F293),"",_xlfn.TEXTJOIN("/",FALSE,R305,U305))</f>
        <v>#N/A</v>
      </c>
      <c r="L305" s="42"/>
      <c r="M305" s="7" t="e">
        <f ca="1">IF(ISERROR(F293),"",IF(ISTEXT(P305),IF(P305="A","Ab",IF(P305="D","Dt",IF(P305="UFM","UFM",IF(P305="NA","")))),IF(AND(ISBLANK(P305),ISBLANK(R305)),"",IF(P305&lt;0.3*S305,"F",IF(ISBLANK(R305),"",IF(ISTEXT(R305),R305,IF(R305&gt;=0.9*U305,"O",IF(R305&gt;=0.85*U305,"A+",IF(R305&gt;=0.8*U305,"A",IF(R305&gt;=0.7*U305,"B+",IF(R305&gt;=0.6*U305,"B",IF(R305&gt;=0.5*U305,"C",IF(R305&gt;=0.4*U305,"P",IF(R305&lt;0.4*U305,"F",R305))))))))))))))</f>
        <v>#N/A</v>
      </c>
      <c r="N305" s="8" t="e">
        <f t="shared" ca="1" si="30"/>
        <v>#N/A</v>
      </c>
      <c r="O305">
        <f t="shared" si="31"/>
        <v>8</v>
      </c>
      <c r="P305" s="1" t="e">
        <f ca="1">IF(ISERROR(F293),"",IF(ISTEXT(VLOOKUP(B293,INDIRECT($F$8),6+(O305-1)*3)),(VLOOKUP(B293,INDIRECT($F$8),6+(O305-1)*3)),SUM(VLOOKUP(B293,INDIRECT($F$8),6+(O305-1)*3),IF(W308,W305,0))))</f>
        <v>#N/A</v>
      </c>
      <c r="Q305" s="1">
        <f ca="1">IF(ISERROR(F293),"",VLOOKUP(B293,INDIRECT($F$8),7+(O305-1)*3))</f>
        <v>17</v>
      </c>
      <c r="R305" s="1" t="e">
        <f ca="1">IF(ISERROR(F293),"",SUM(P305:Q305))</f>
        <v>#N/A</v>
      </c>
      <c r="S305" s="1">
        <f ca="1">IF(ISERROR(F293),"",VLOOKUP(A293,INDIRECT($F$8),6+(O305-1)*3))</f>
        <v>30</v>
      </c>
      <c r="T305" s="1">
        <f ca="1">IF(ISERROR(F293),"",VLOOKUP(A293,INDIRECT($F$8),7+(O305-1)*3))</f>
        <v>20</v>
      </c>
      <c r="U305" s="1">
        <f ca="1">IF(ISERROR(F293),"",VLOOKUP(A293,INDIRECT($F$8),8+(O305-1)*3))</f>
        <v>50</v>
      </c>
      <c r="V305" s="1" t="e">
        <f ca="1">IF(ISERROR(F293),"",IF(N305=0,A305,""))</f>
        <v>#N/A</v>
      </c>
      <c r="W305" s="1">
        <f ca="1">IF(ISERROR(F293),"",IF(ISTEXT(VLOOKUP(B293,INDIRECT($F$8),6+(O305-1)*3)),11,IF(VLOOKUP(B293,INDIRECT($F$8),6+(O305-1)*3)&lt;S305*0.3,IF(VLOOKUP(B293,INDIRECT($F$8),8+(O305-1)*3)&lt;U305*0.4,IF(AND(0.4*U305-VLOOKUP(B293,INDIRECT($F$8),8+(O305-1)*3)&lt;=5,0.3*S305-VLOOKUP(B293,INDIRECT($F$8),6+(O305-1)*3)&lt;=5),MAX(0.4*U305-VLOOKUP(B293,INDIRECT($F$8),8+(O305-1)*3),0.3*S305-VLOOKUP(B293,INDIRECT($F$8),6+(O305-1)*3)),11),IF(0.3*S305-VLOOKUP(B293,INDIRECT($F$8),6+(O305-1)*3)&lt;=5,0.3*S305-VLOOKUP(B293,INDIRECT($F$8),6+(O305-1)*3),11)),IF(VLOOKUP(B293,INDIRECT($F$8),8+(O305-1)*3)&lt;U305*0.4,IF(U305*0.4-VLOOKUP(B293,INDIRECT($F$8),8+(O305-1)*3)&lt;=5,U305*0.4-VLOOKUP(B293,INDIRECT($F$8),8+(O305-1)*3),11),0))))</f>
        <v>0</v>
      </c>
      <c r="X305" s="1" t="str">
        <f ca="1">IF(ISERROR(F293),"",IF(W305=0,"",_xlfn.TEXTJOIN("",FALSE," G+",W305," in ",A305)))</f>
        <v/>
      </c>
    </row>
    <row r="306" spans="1:24" ht="13" customHeight="1" x14ac:dyDescent="0.2">
      <c r="A306" s="7" t="str">
        <f ca="1">IF(ISERROR(F293),"",VLOOKUP(C293,INDIRECT($F$8),6+(O306-1)*3,0))</f>
        <v>CAP 006</v>
      </c>
      <c r="B306" s="41" t="str">
        <f ca="1">IF(ISERROR(F293),"",VLOOKUP(D293,INDIRECT($F$8),6+(O306-1)*3-Z306,0))</f>
        <v>Computer Networks Lab</v>
      </c>
      <c r="C306" s="41"/>
      <c r="D306" s="41"/>
      <c r="E306" s="41"/>
      <c r="F306" s="7">
        <f ca="1">IF(ISERROR(F293),"",VLOOKUP(E293,INDIRECT($F$8),6+(O306-1)*3,0))</f>
        <v>1</v>
      </c>
      <c r="G306" s="42" t="e">
        <f ca="1">IF(ISERROR(F293),"",_xlfn.TEXTJOIN("/",FALSE,P306,S306))</f>
        <v>#N/A</v>
      </c>
      <c r="H306" s="42"/>
      <c r="I306" s="42" t="str">
        <f ca="1">IF(ISERROR(F293),"",_xlfn.TEXTJOIN("/",FALSE,Q306,T306))</f>
        <v>15/20</v>
      </c>
      <c r="J306" s="42"/>
      <c r="K306" s="42" t="e">
        <f ca="1">IF(ISERROR(F293),"",_xlfn.TEXTJOIN("/",FALSE,R306,U306))</f>
        <v>#N/A</v>
      </c>
      <c r="L306" s="42"/>
      <c r="M306" s="7" t="e">
        <f ca="1">IF(ISERROR(F293),"",IF(ISTEXT(P306),IF(P306="A","Ab",IF(P306="D","Dt",IF(P306="UFM","UFM",IF(P306="NA","")))),IF(AND(ISBLANK(P306),ISBLANK(R306)),"",IF(P306&lt;0.3*S306,"F",IF(ISBLANK(R306),"",IF(ISTEXT(R306),R306,IF(R306&gt;=0.9*U306,"O",IF(R306&gt;=0.85*U306,"A+",IF(R306&gt;=0.8*U306,"A",IF(R306&gt;=0.7*U306,"B+",IF(R306&gt;=0.6*U306,"B",IF(R306&gt;=0.5*U306,"C",IF(R306&gt;=0.4*U306,"P",IF(R306&lt;0.4*U306,"F",R306))))))))))))))</f>
        <v>#N/A</v>
      </c>
      <c r="N306" s="8" t="e">
        <f t="shared" ca="1" si="30"/>
        <v>#N/A</v>
      </c>
      <c r="O306">
        <f t="shared" si="31"/>
        <v>9</v>
      </c>
      <c r="P306" s="1" t="e">
        <f ca="1">IF(ISERROR(F293),"",IF(ISTEXT(VLOOKUP(B293,INDIRECT($F$8),6+(O306-1)*3)),(VLOOKUP(B293,INDIRECT($F$8),6+(O306-1)*3)),SUM(VLOOKUP(B293,INDIRECT($F$8),6+(O306-1)*3),IF(W308,W306,0))))</f>
        <v>#N/A</v>
      </c>
      <c r="Q306" s="1">
        <f ca="1">IF(ISERROR(F293),"",VLOOKUP(B293,INDIRECT($F$8),7+(O306-1)*3))</f>
        <v>15</v>
      </c>
      <c r="R306" s="1" t="e">
        <f ca="1">IF(ISERROR(F293),"",SUM(P306:Q306))</f>
        <v>#N/A</v>
      </c>
      <c r="S306" s="1">
        <f ca="1">IF(ISERROR(F293),"",VLOOKUP(A293,INDIRECT($F$8),6+(O306-1)*3))</f>
        <v>30</v>
      </c>
      <c r="T306" s="1">
        <f ca="1">IF(ISERROR(F293),"",VLOOKUP(A293,INDIRECT($F$8),7+(O306-1)*3))</f>
        <v>20</v>
      </c>
      <c r="U306" s="1">
        <f ca="1">IF(ISERROR(F293),"",VLOOKUP(A293,INDIRECT($F$8),8+(O306-1)*3))</f>
        <v>50</v>
      </c>
      <c r="V306" s="1" t="e">
        <f ca="1">IF(ISERROR(F293),"",IF(N306=0,A306,""))</f>
        <v>#N/A</v>
      </c>
      <c r="W306" s="1">
        <f ca="1">IF(ISERROR(F293),"",IF(ISTEXT(VLOOKUP(B293,INDIRECT($F$8),6+(O306-1)*3)),11,IF(VLOOKUP(B293,INDIRECT($F$8),6+(O306-1)*3)&lt;S306*0.3,IF(VLOOKUP(B293,INDIRECT($F$8),8+(O306-1)*3)&lt;U306*0.4,IF(AND(0.4*U306-VLOOKUP(B293,INDIRECT($F$8),8+(O306-1)*3)&lt;=5,0.3*S306-VLOOKUP(B293,INDIRECT($F$8),6+(O306-1)*3)&lt;=5),MAX(0.4*U306-VLOOKUP(B293,INDIRECT($F$8),8+(O306-1)*3),0.3*S306-VLOOKUP(B293,INDIRECT($F$8),6+(O306-1)*3)),11),IF(0.3*S306-VLOOKUP(B293,INDIRECT($F$8),6+(O306-1)*3)&lt;=5,0.3*S306-VLOOKUP(B293,INDIRECT($F$8),6+(O306-1)*3),11)),IF(VLOOKUP(B293,INDIRECT($F$8),8+(O306-1)*3)&lt;U306*0.4,IF(U306*0.4-VLOOKUP(B293,INDIRECT($F$8),8+(O306-1)*3)&lt;=5,U306*0.4-VLOOKUP(B293,INDIRECT($F$8),8+(O306-1)*3),11),0))))</f>
        <v>0</v>
      </c>
      <c r="X306" s="1" t="str">
        <f ca="1">IF(ISERROR(F293),"",IF(W306=0,"",_xlfn.TEXTJOIN("",FALSE," G+",W306," in ",A306)))</f>
        <v/>
      </c>
    </row>
    <row r="307" spans="1:24" ht="13" customHeight="1" x14ac:dyDescent="0.2">
      <c r="A307" s="7" t="str">
        <f ca="1">IF(ISERROR(F293),"",VLOOKUP(C293,INDIRECT($F$8),6+(O307-1)*3,0))</f>
        <v>CAP 007</v>
      </c>
      <c r="B307" s="41" t="str">
        <f ca="1">IF(ISERROR(F293),"",VLOOKUP(D293,INDIRECT($F$8),6+(O307-1)*3,0))</f>
        <v>Artificial Intelligence Lab</v>
      </c>
      <c r="C307" s="41"/>
      <c r="D307" s="41"/>
      <c r="E307" s="41"/>
      <c r="F307" s="7">
        <f ca="1">IF(ISERROR(F293),"",VLOOKUP(E293,INDIRECT($F$8),6+(O307-1)*3,0))</f>
        <v>1</v>
      </c>
      <c r="G307" s="42" t="e">
        <f ca="1">IF(ISERROR(F293),"",_xlfn.TEXTJOIN("/",FALSE,P307,S307))</f>
        <v>#N/A</v>
      </c>
      <c r="H307" s="42"/>
      <c r="I307" s="42" t="str">
        <f ca="1">IF(ISERROR(F293),"",_xlfn.TEXTJOIN("/",FALSE,Q307,T307))</f>
        <v>18/20</v>
      </c>
      <c r="J307" s="42"/>
      <c r="K307" s="42" t="e">
        <f ca="1">IF(ISERROR(F293),"",_xlfn.TEXTJOIN("/",FALSE,R307,U307))</f>
        <v>#N/A</v>
      </c>
      <c r="L307" s="42"/>
      <c r="M307" s="7" t="e">
        <f ca="1">IF(ISERROR(F293),"",IF(ISTEXT(P307),IF(P307="A","Ab",IF(P307="D","Dt",IF(P307="UFM","UFM",IF(P307="NA","")))),IF(AND(ISBLANK(P307),ISBLANK(R307)),"",IF(P307&lt;0.3*S307,"F",IF(ISBLANK(R307),"",IF(ISTEXT(R307),R307,IF(R307&gt;=0.9*U307,"O",IF(R307&gt;=0.85*U307,"A+",IF(R307&gt;=0.8*U307,"A",IF(R307&gt;=0.7*U307,"B+",IF(R307&gt;=0.6*U307,"B",IF(R307&gt;=0.5*U307,"C",IF(R307&gt;=0.4*U307,"P",IF(R307&lt;0.4*U307,"F",R307))))))))))))))</f>
        <v>#N/A</v>
      </c>
      <c r="N307" s="8" t="e">
        <f t="shared" ca="1" si="30"/>
        <v>#N/A</v>
      </c>
      <c r="O307">
        <f t="shared" si="31"/>
        <v>10</v>
      </c>
      <c r="P307" s="1" t="e">
        <f ca="1">IF(ISERROR(F293),"",IF(ISTEXT(VLOOKUP(B293,INDIRECT($F$8),6+(O307-1)*3)),(VLOOKUP(B293,INDIRECT($F$8),6+(O307-1)*3)),SUM(VLOOKUP(B293,INDIRECT($F$8),6+(O307-1)*3),IF(W308,W307,0))))</f>
        <v>#N/A</v>
      </c>
      <c r="Q307" s="1">
        <f ca="1">IF(ISERROR(F293),"",VLOOKUP(B293,INDIRECT($F$8),7+(O307-1)*3))</f>
        <v>18</v>
      </c>
      <c r="R307" s="1" t="e">
        <f ca="1">IF(ISERROR(F293),"",SUM(P307:Q307))</f>
        <v>#N/A</v>
      </c>
      <c r="S307" s="1">
        <f ca="1">IF(ISERROR(F293),"",VLOOKUP(A293,INDIRECT($F$8),6+(O307-1)*3))</f>
        <v>30</v>
      </c>
      <c r="T307" s="1">
        <f ca="1">IF(ISERROR(F293),"",VLOOKUP(A293,INDIRECT($F$8),7+(O307-1)*3))</f>
        <v>20</v>
      </c>
      <c r="U307" s="1">
        <f ca="1">IF(ISERROR(F293),"",VLOOKUP(A293,INDIRECT($F$8),8+(O307-1)*3))</f>
        <v>50</v>
      </c>
      <c r="V307" s="1" t="e">
        <f ca="1">IF(ISERROR(F293),"",IF(N307=0,A307,""))</f>
        <v>#N/A</v>
      </c>
      <c r="W307" s="1">
        <f ca="1">IF(ISERROR(F293),"",IF(ISTEXT(VLOOKUP(B293,INDIRECT($F$8),6+(O307-1)*3)),11,IF(VLOOKUP(B293,INDIRECT($F$8),6+(O307-1)*3)&lt;S307*0.3,IF(VLOOKUP(B293,INDIRECT($F$8),8+(O307-1)*3)&lt;U307*0.4,IF(AND(0.4*U307-VLOOKUP(B293,INDIRECT($F$8),8+(O307-1)*3)&lt;=5,0.3*S307-VLOOKUP(B293,INDIRECT($F$8),6+(O307-1)*3)&lt;=5),MAX(0.4*U307-VLOOKUP(B293,INDIRECT($F$8),8+(O307-1)*3),0.3*S307-VLOOKUP(B293,INDIRECT($F$8),6+(O307-1)*3)),11),IF(0.3*S307-VLOOKUP(B293,INDIRECT($F$8),6+(O307-1)*3)&lt;=5,0.3*S307-VLOOKUP(B293,INDIRECT($F$8),6+(O307-1)*3),11)),IF(VLOOKUP(B293,INDIRECT($F$8),8+(O307-1)*3)&lt;U307*0.4,IF(U307*0.4-VLOOKUP(B293,INDIRECT($F$8),8+(O307-1)*3)&lt;=5,U307*0.4-VLOOKUP(B293,INDIRECT($F$8),8+(O307-1)*3),11),0))))</f>
        <v>0</v>
      </c>
      <c r="X307" s="1" t="str">
        <f ca="1">IF(ISERROR(F293),"",IF(W307=0,"",_xlfn.TEXTJOIN("",FALSE," G+",W307," in ",A307)))</f>
        <v/>
      </c>
    </row>
    <row r="308" spans="1:24" ht="13" customHeight="1" x14ac:dyDescent="0.2">
      <c r="A308" s="43" t="str">
        <f ca="1">IF(ISERROR(F293),"",A289)</f>
        <v>Total Credits/ Marks/ Total Grade Points</v>
      </c>
      <c r="B308" s="43"/>
      <c r="C308" s="43"/>
      <c r="D308" s="43"/>
      <c r="E308" s="43"/>
      <c r="F308" s="10">
        <f ca="1">IF(ISERROR(F293),"",SUM(F298:F307))</f>
        <v>24</v>
      </c>
      <c r="G308" s="44" t="e">
        <f ca="1">IF(ISERROR(F293),"",_xlfn.TEXTJOIN("/",TRUE,SUMIF(F298:F307,"&gt;0",P298:P307),SUMIF(F298:F307,"&gt;0",S298:S307)))</f>
        <v>#N/A</v>
      </c>
      <c r="H308" s="44"/>
      <c r="I308" s="44" t="str">
        <f ca="1">IF(ISERROR(F293),"",_xlfn.TEXTJOIN("/",TRUE,SUMIF(F298:F307,"&gt;0",Q298:Q307),SUMIF(F298:F307,"&gt;0",T298:T307)))</f>
        <v>268/330</v>
      </c>
      <c r="J308" s="44"/>
      <c r="K308" s="44" t="e">
        <f ca="1">IF(ISERROR(F293),"",_xlfn.TEXTJOIN("/",TRUE,SUMIF(F298:F307,"&gt;0",R298:R307),SUMIF(F298:F307,"&gt;0",U298:U307)))</f>
        <v>#N/A</v>
      </c>
      <c r="L308" s="44"/>
      <c r="M308" s="43" t="e">
        <f ca="1">IF(ISERROR(F293),"",SUMPRODUCT(N298:N307,F298:F307))</f>
        <v>#N/A</v>
      </c>
      <c r="N308" s="43"/>
      <c r="V308" s="1" t="e">
        <f ca="1">IF(ISERROR(F293),"",_xlfn.TEXTJOIN(", ",TRUE,V298:V307))</f>
        <v>#N/A</v>
      </c>
      <c r="W308" t="e">
        <f ca="1">IF(ISERROR(F293),"",IF(SUM(W298:W307)&lt;=W297,TRUE,FALSE))</f>
        <v>#N/A</v>
      </c>
      <c r="X308" s="1" t="str">
        <f ca="1">IF(ISERROR(F293),"",_xlfn.TEXTJOIN(",",TRUE,X298:X307))</f>
        <v xml:space="preserve"> G+11 in CAT 012</v>
      </c>
    </row>
    <row r="309" spans="1:24" ht="13" customHeight="1" x14ac:dyDescent="0.2">
      <c r="A309" s="43" t="str">
        <f ca="1">IF(ISERROR(F293),"",A290)</f>
        <v>Result:</v>
      </c>
      <c r="B309" s="45" t="e">
        <f ca="1">IF(ISERROR(F293),"",IF(V308="","PASS","CARRY OVER"))</f>
        <v>#N/A</v>
      </c>
      <c r="C309" s="45"/>
      <c r="D309" s="43" t="str">
        <f ca="1">IF(ISERROR(F293),"",D290)</f>
        <v>Remark:</v>
      </c>
      <c r="E309" s="45" t="e">
        <f ca="1">IF(ISERROR(F293),"",IF(V308="",IF(X308="","",X308),_xlfn.TEXTJOIN(" ",TRUE,"BACK IN",V308)))</f>
        <v>#N/A</v>
      </c>
      <c r="F309" s="45"/>
      <c r="G309" s="43" t="str">
        <f ca="1">IF(ISERROR(F293),"",G290)</f>
        <v>SGPA:</v>
      </c>
      <c r="H309" s="46" t="e">
        <f ca="1">IF(ISERROR(F293),"",M308/F308)</f>
        <v>#N/A</v>
      </c>
      <c r="I309" s="43" t="str">
        <f ca="1">IF(ISERROR(F293),"",I290)</f>
        <v>CGPA:</v>
      </c>
      <c r="J309" s="46" t="e">
        <f ca="1">IF(ISERROR(F293),"",VLOOKUP(B293,INDIRECT($F$8),12+(O307-1)*3,0))</f>
        <v>#N/A</v>
      </c>
      <c r="K309" s="45" t="str">
        <f ca="1">IF(ISERROR(F293),"",K290)</f>
        <v>Earned Credits:</v>
      </c>
      <c r="L309" s="43">
        <f ca="1">IF(ISERROR(F293),"",SUMIF(N298:N307,"&gt;0",F298:F307))</f>
        <v>0</v>
      </c>
      <c r="M309" s="45" t="str">
        <f ca="1">IF(ISERROR(F293),"",M290)</f>
        <v>Cuml. Earned Credits:</v>
      </c>
      <c r="N309" s="43" t="e">
        <f ca="1">IF(ISERROR(F293),"",VLOOKUP(B293,INDIRECT($F$8),10+(O307-1)*3,0))</f>
        <v>#N/A</v>
      </c>
    </row>
    <row r="310" spans="1:24" ht="13" customHeight="1" x14ac:dyDescent="0.2">
      <c r="A310" s="43"/>
      <c r="B310" s="45"/>
      <c r="C310" s="45"/>
      <c r="D310" s="43"/>
      <c r="E310" s="45"/>
      <c r="F310" s="45"/>
      <c r="G310" s="43"/>
      <c r="H310" s="46"/>
      <c r="I310" s="43"/>
      <c r="J310" s="46"/>
      <c r="K310" s="45"/>
      <c r="L310" s="43"/>
      <c r="M310" s="45"/>
      <c r="N310" s="43"/>
    </row>
    <row r="311" spans="1:24" ht="15" x14ac:dyDescent="0.2">
      <c r="A311" s="43"/>
      <c r="B311" s="45"/>
      <c r="C311" s="45"/>
      <c r="D311" s="43"/>
      <c r="E311" s="45"/>
      <c r="F311" s="45"/>
      <c r="G311" s="43"/>
      <c r="H311" s="46"/>
      <c r="I311" s="43"/>
      <c r="J311" s="46"/>
      <c r="K311" s="45"/>
      <c r="L311" s="43"/>
      <c r="M311" s="45"/>
      <c r="N311" s="43"/>
    </row>
    <row r="312" spans="1:24" ht="13" customHeight="1" x14ac:dyDescent="0.2">
      <c r="A312" s="11" t="str">
        <f>A293</f>
        <v>MM</v>
      </c>
      <c r="B312" s="11">
        <f>B293+1</f>
        <v>17</v>
      </c>
      <c r="C312" s="11" t="str">
        <f>C293</f>
        <v>SC</v>
      </c>
      <c r="D312" s="11" t="str">
        <f>D293</f>
        <v>SN</v>
      </c>
      <c r="E312" s="11" t="str">
        <f>E293</f>
        <v>C</v>
      </c>
      <c r="F312" s="11" t="str">
        <f ca="1">VLOOKUP(B312,INDIRECT($F$8),4,0)</f>
        <v>PRIYANSHU BHATT</v>
      </c>
    </row>
    <row r="313" spans="1:24" ht="13" customHeight="1" x14ac:dyDescent="0.2">
      <c r="A313" s="47" t="str">
        <f ca="1">IF(ISERROR(F312),"",A294)</f>
        <v>Name:</v>
      </c>
      <c r="B313" s="47" t="str">
        <f ca="1">IFERROR(VLOOKUP(B312,INDIRECT($F$8),4,0),"")</f>
        <v>PRIYANSHU BHATT</v>
      </c>
      <c r="C313" s="47"/>
      <c r="D313" s="47" t="str">
        <f ca="1">IF(ISERROR(F312),"",D294)</f>
        <v>Father's Name:</v>
      </c>
      <c r="E313" s="47" t="str">
        <f ca="1">IFERROR(VLOOKUP(B312,INDIRECT($F$8),5,0),"")</f>
        <v>DINESH BHATT</v>
      </c>
      <c r="F313" s="47"/>
      <c r="G313" s="47" t="str">
        <f ca="1">IF(ISERROR(F312),"",G294)</f>
        <v>University Roll No:</v>
      </c>
      <c r="H313" s="47"/>
      <c r="I313" s="48">
        <f ca="1">IFERROR(VLOOKUP(B312,INDIRECT($F$8),2,0),"")</f>
        <v>240090600017</v>
      </c>
      <c r="J313" s="48"/>
      <c r="K313" s="47" t="str">
        <f ca="1">IF(ISERROR(F312),"",K294)</f>
        <v>University Enrol. No:</v>
      </c>
      <c r="L313" s="47"/>
      <c r="M313" s="48" t="str">
        <f ca="1">IFERROR(VLOOKUP(B312,INDIRECT($F$8),3,0),"")</f>
        <v>UTU/2406100180</v>
      </c>
      <c r="N313" s="48"/>
    </row>
    <row r="314" spans="1:24" ht="15" x14ac:dyDescent="0.2">
      <c r="A314" s="47"/>
      <c r="B314" s="47"/>
      <c r="C314" s="47"/>
      <c r="D314" s="47"/>
      <c r="E314" s="47"/>
      <c r="F314" s="47"/>
      <c r="G314" s="47"/>
      <c r="H314" s="47"/>
      <c r="I314" s="48"/>
      <c r="J314" s="48"/>
      <c r="K314" s="47"/>
      <c r="L314" s="47"/>
      <c r="M314" s="48"/>
      <c r="N314" s="48"/>
    </row>
    <row r="315" spans="1:24" ht="13" customHeight="1" x14ac:dyDescent="0.2">
      <c r="A315" s="45" t="str">
        <f ca="1">IF(ISERROR(F312),"",A296)</f>
        <v>Subject Code</v>
      </c>
      <c r="B315" s="45" t="str">
        <f ca="1">IF(ISERROR(F312),"",B296)</f>
        <v>Subject Name</v>
      </c>
      <c r="C315" s="45"/>
      <c r="D315" s="45"/>
      <c r="E315" s="45"/>
      <c r="F315" s="45" t="str">
        <f ca="1">IF(ISERROR(F312),"",F296)</f>
        <v>Credits</v>
      </c>
      <c r="G315" s="45" t="str">
        <f ca="1">IF(ISERROR(F312),"",G296)</f>
        <v>External Marks</v>
      </c>
      <c r="H315" s="45"/>
      <c r="I315" s="45" t="str">
        <f ca="1">IF(ISERROR(F312),"",I296)</f>
        <v>Sessional Marks</v>
      </c>
      <c r="J315" s="45"/>
      <c r="K315" s="45" t="str">
        <f ca="1">IF(ISERROR(F312),"",K296)</f>
        <v>Total Marks</v>
      </c>
      <c r="L315" s="45"/>
      <c r="M315" s="45" t="str">
        <f ca="1">IF(ISERROR(F312),"",M296)</f>
        <v>Grade</v>
      </c>
      <c r="N315" s="45" t="str">
        <f ca="1">IF(ISERROR(F312),"",N296)</f>
        <v>Grade Points</v>
      </c>
    </row>
    <row r="316" spans="1:24" ht="15" x14ac:dyDescent="0.2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W316" t="e">
        <f ca="1">IF(ISNUMBER(MATCH($F$8,{"I","III","V","VII"},0)),10,10-INDEX(INDIRECT(_xlfn.TEXTJOIN("",TRUE,"SEM_",$G$8,"!",ADDRESS(6,4+$I$8*3+4),":",ADDRESS(5+$H$8,4+$I$8*3+4))),MATCH(INDIRECT(_xlfn.TEXTJOIN("",TRUE,"TC_",$F$8,"!",ADDRESS(ROW(I313),COLUMN(I313)))),INDIRECT(_xlfn.TEXTJOIN("",TRUE,"SEM_",$G$8,"!",ADDRESS(6,2),":",ADDRESS(5+$H$8,2))))))</f>
        <v>#N/A</v>
      </c>
    </row>
    <row r="317" spans="1:24" ht="13" customHeight="1" x14ac:dyDescent="0.2">
      <c r="A317" s="7" t="str">
        <f ca="1">IF(ISERROR(F312),"",VLOOKUP(C312,INDIRECT($F$8),6+(O317-1)*3,0))</f>
        <v>CAT 009</v>
      </c>
      <c r="B317" s="41" t="str">
        <f ca="1">IF(ISERROR(F312),"",VLOOKUP(D312,INDIRECT($F$8),6+(O317-1)*3,0))</f>
        <v>Computer Based Numerical and Statistical Techniques</v>
      </c>
      <c r="C317" s="41"/>
      <c r="D317" s="41"/>
      <c r="E317" s="41"/>
      <c r="F317" s="7">
        <f ca="1">IF(ISERROR(F312),"",VLOOKUP(E312,INDIRECT($F$8),6+(O317-1)*3,0))</f>
        <v>4</v>
      </c>
      <c r="G317" s="42" t="e">
        <f ca="1">IF(ISERROR(F312),"",_xlfn.TEXTJOIN("/",FALSE,P317,S317))</f>
        <v>#N/A</v>
      </c>
      <c r="H317" s="42"/>
      <c r="I317" s="42" t="str">
        <f ca="1">IF(ISERROR(F312),"",_xlfn.TEXTJOIN("/",FALSE,Q317,T317))</f>
        <v>37/50</v>
      </c>
      <c r="J317" s="42"/>
      <c r="K317" s="42" t="e">
        <f ca="1">IF(ISERROR(F312),"",_xlfn.TEXTJOIN("/",FALSE,R317,U317))</f>
        <v>#N/A</v>
      </c>
      <c r="L317" s="42"/>
      <c r="M317" s="7" t="e">
        <f ca="1">IF(ISERROR(F312),"",IF(ISTEXT(P317),IF(P317="A","Ab",IF(P317="D","Dt",IF(P317="UFM","UFM",IF(P317="NA","")))),IF(AND(ISBLANK(P317),ISBLANK(R317)),"",IF(P317&lt;0.3*S317,"F",IF(ISBLANK(R317),"",IF(ISTEXT(R317),R317,IF(R317&gt;=0.9*U317,"O",IF(R317&gt;=0.85*U317,"A+",IF(R317&gt;=0.8*U317,"A",IF(R317&gt;=0.7*U317,"B+",IF(R317&gt;=0.6*U317,"B",IF(R317&gt;=0.5*U317,"C",IF(R317&gt;=0.4*U317,"P",IF(R317&lt;0.4*U317,"F",R317))))))))))))))</f>
        <v>#N/A</v>
      </c>
      <c r="N317" s="8" t="e">
        <f t="shared" ref="N317:N326" ca="1" si="32">INDEX($Z$2:$Z$13,MATCH(M317,$Y$2:$Y$13,0))</f>
        <v>#N/A</v>
      </c>
      <c r="O317">
        <v>1</v>
      </c>
      <c r="P317" s="1" t="e">
        <f ca="1">IF(ISERROR(F312),"",IF(ISTEXT(VLOOKUP(B312,INDIRECT($F$8),6+(O317-1)*3)),(VLOOKUP(B312,INDIRECT($F$8),6+(O317-1)*3)),SUM(VLOOKUP(B312,INDIRECT($F$8),6+(O317-1)*3),IF(W327,W317,0))))</f>
        <v>#N/A</v>
      </c>
      <c r="Q317" s="1">
        <f ca="1">IF(ISERROR(F312),"",VLOOKUP(B312,INDIRECT($F$8),7+(O317-1)*3))</f>
        <v>37</v>
      </c>
      <c r="R317" s="1" t="e">
        <f ca="1">IF(ISERROR(F312),"",SUM(P317:Q317))</f>
        <v>#N/A</v>
      </c>
      <c r="S317" s="1">
        <f ca="1">IF(ISERROR(F312),"",VLOOKUP(A312,INDIRECT($F$8),6+(O317-1)*3))</f>
        <v>100</v>
      </c>
      <c r="T317" s="1">
        <f ca="1">IF(ISERROR(F312),"",VLOOKUP(A312,INDIRECT($F$8),7+(O317-1)*3))</f>
        <v>50</v>
      </c>
      <c r="U317" s="1">
        <f ca="1">IF(ISERROR(F312),"",VLOOKUP(A312,INDIRECT($F$8),8+(O317-1)*3))</f>
        <v>150</v>
      </c>
      <c r="V317" s="1" t="e">
        <f ca="1">IF(ISERROR(F312),"",IF(N317=0,A317,""))</f>
        <v>#N/A</v>
      </c>
      <c r="W317" s="1">
        <f ca="1">IF(ISERROR(F312),"",IF(ISTEXT(VLOOKUP(B312,INDIRECT($F$8),6+(O317-1)*3)),11,IF(VLOOKUP(B312,INDIRECT($F$8),6+(O317-1)*3)&lt;S317*0.3,IF(VLOOKUP(B312,INDIRECT($F$8),8+(O317-1)*3)&lt;U317*0.4,IF(AND(0.4*U317-VLOOKUP(B312,INDIRECT($F$8),8+(O317-1)*3)&lt;=5,0.3*S317-VLOOKUP(B312,INDIRECT($F$8),6+(O317-1)*3)&lt;=5),MAX(0.4*U317-VLOOKUP(B312,INDIRECT($F$8),8+(O317-1)*3),0.3*S317-VLOOKUP(B312,INDIRECT($F$8),6+(O317-1)*3)),11),IF(0.3*S317-VLOOKUP(B312,INDIRECT($F$8),6+(O317-1)*3)&lt;=5,0.3*S317-VLOOKUP(B312,INDIRECT($F$8),6+(O317-1)*3),11)),IF(VLOOKUP(B312,INDIRECT($F$8),8+(O317-1)*3)&lt;U317*0.4,IF(U317*0.4-VLOOKUP(B312,INDIRECT($F$8),8+(O317-1)*3)&lt;=5,U317*0.4-VLOOKUP(B312,INDIRECT($F$8),8+(O317-1)*3),11),0))))</f>
        <v>0</v>
      </c>
      <c r="X317" s="1" t="str">
        <f ca="1">IF(ISERROR(F312),"",IF(W317=0,"",_xlfn.TEXTJOIN("",FALSE," G+",W317," in ",A317)))</f>
        <v/>
      </c>
    </row>
    <row r="318" spans="1:24" ht="13" customHeight="1" x14ac:dyDescent="0.2">
      <c r="A318" s="7" t="str">
        <f ca="1">IF(ISERROR(F312),"",VLOOKUP(C312,INDIRECT($F$8),6+(O318-1)*3,0))</f>
        <v>CAT 010</v>
      </c>
      <c r="B318" s="41" t="str">
        <f ca="1">IF(ISERROR(F312),"",VLOOKUP(D312,INDIRECT($F$8),6+(O318-1)*3,0))</f>
        <v>Data Structures and Analysis of Algorithms</v>
      </c>
      <c r="C318" s="41"/>
      <c r="D318" s="41"/>
      <c r="E318" s="41"/>
      <c r="F318" s="7">
        <f ca="1">IF(ISERROR(F312),"",VLOOKUP(E312,INDIRECT($F$8),6+(O318-1)*3,0))</f>
        <v>4</v>
      </c>
      <c r="G318" s="42" t="e">
        <f ca="1">IF(ISERROR(F312),"",_xlfn.TEXTJOIN("/",FALSE,P318,S318))</f>
        <v>#N/A</v>
      </c>
      <c r="H318" s="42"/>
      <c r="I318" s="42" t="str">
        <f ca="1">IF(ISERROR(F312),"",_xlfn.TEXTJOIN("/",FALSE,Q318,T318))</f>
        <v>37/50</v>
      </c>
      <c r="J318" s="42"/>
      <c r="K318" s="42" t="e">
        <f ca="1">IF(ISERROR(F312),"",_xlfn.TEXTJOIN("/",FALSE,R318,U318))</f>
        <v>#N/A</v>
      </c>
      <c r="L318" s="42"/>
      <c r="M318" s="7" t="e">
        <f ca="1">IF(ISERROR(F312),"",IF(ISTEXT(P318),IF(P318="A","Ab",IF(P318="D","Dt",IF(P318="UFM","UFM",IF(P318="NA","")))),IF(AND(ISBLANK(P318),ISBLANK(R318)),"",IF(P318&lt;0.3*S318,"F",IF(ISBLANK(R318),"",IF(ISTEXT(R318),R318,IF(R318&gt;=0.9*U318,"O",IF(R318&gt;=0.85*U318,"A+",IF(R318&gt;=0.8*U318,"A",IF(R318&gt;=0.7*U318,"B+",IF(R318&gt;=0.6*U318,"B",IF(R318&gt;=0.5*U318,"C",IF(R318&gt;=0.4*U318,"P",IF(R318&lt;0.4*U318,"F",R318))))))))))))))</f>
        <v>#N/A</v>
      </c>
      <c r="N318" s="8" t="e">
        <f t="shared" ca="1" si="32"/>
        <v>#N/A</v>
      </c>
      <c r="O318">
        <f>O317+1</f>
        <v>2</v>
      </c>
      <c r="P318" s="1" t="e">
        <f ca="1">IF(ISERROR(F312),"",IF(ISTEXT(VLOOKUP(B312,INDIRECT($F$8),6+(O318-1)*3)),(VLOOKUP(B312,INDIRECT($F$8),6+(O318-1)*3)),SUM(VLOOKUP(B312,INDIRECT($F$8),6+(O318-1)*3),IF(W327,W318,0))))</f>
        <v>#N/A</v>
      </c>
      <c r="Q318" s="1">
        <f ca="1">IF(ISERROR(F312),"",VLOOKUP(B312,INDIRECT($F$8),7+(O318-1)*3))</f>
        <v>37</v>
      </c>
      <c r="R318" s="1" t="e">
        <f ca="1">IF(ISERROR(F312),"",SUM(P318:Q318))</f>
        <v>#N/A</v>
      </c>
      <c r="S318" s="1">
        <f ca="1">IF(ISERROR(F312),"",VLOOKUP(A312,INDIRECT($F$8),6+(O318-1)*3))</f>
        <v>100</v>
      </c>
      <c r="T318" s="1">
        <f ca="1">IF(ISERROR(F312),"",VLOOKUP(A312,INDIRECT($F$8),7+(O318-1)*3))</f>
        <v>50</v>
      </c>
      <c r="U318" s="1">
        <f ca="1">IF(ISERROR(F312),"",VLOOKUP(A312,INDIRECT($F$8),8+(O318-1)*3))</f>
        <v>150</v>
      </c>
      <c r="V318" s="1" t="e">
        <f ca="1">IF(ISERROR(F312),"",IF(N318=0,A318,""))</f>
        <v>#N/A</v>
      </c>
      <c r="W318" s="1">
        <f ca="1">IF(ISERROR(F312),"",IF(ISTEXT(VLOOKUP(B312,INDIRECT($F$8),6+(O318-1)*3)),11,IF(VLOOKUP(B312,INDIRECT($F$8),6+(O318-1)*3)&lt;S318*0.3,IF(VLOOKUP(B312,INDIRECT($F$8),8+(O318-1)*3)&lt;U318*0.4,IF(AND(0.4*U318-VLOOKUP(B312,INDIRECT($F$8),8+(O318-1)*3)&lt;=5,0.3*S318-VLOOKUP(B312,INDIRECT($F$8),6+(O318-1)*3)&lt;=5),MAX(0.4*U318-VLOOKUP(B312,INDIRECT($F$8),8+(O318-1)*3),0.3*S318-VLOOKUP(B312,INDIRECT($F$8),6+(O318-1)*3)),11),IF(0.3*S318-VLOOKUP(B312,INDIRECT($F$8),6+(O318-1)*3)&lt;=5,0.3*S318-VLOOKUP(B312,INDIRECT($F$8),6+(O318-1)*3),11)),IF(VLOOKUP(B312,INDIRECT($F$8),8+(O318-1)*3)&lt;U318*0.4,IF(U318*0.4-VLOOKUP(B312,INDIRECT($F$8),8+(O318-1)*3)&lt;=5,U318*0.4-VLOOKUP(B312,INDIRECT($F$8),8+(O318-1)*3),11),0))))</f>
        <v>0</v>
      </c>
      <c r="X318" s="1" t="str">
        <f ca="1">IF(ISERROR(F312),"",IF(W318=0,"",_xlfn.TEXTJOIN("",FALSE," G+",W318," in ",A318)))</f>
        <v/>
      </c>
    </row>
    <row r="319" spans="1:24" ht="13" customHeight="1" x14ac:dyDescent="0.2">
      <c r="A319" s="7" t="str">
        <f ca="1">IF(ISERROR(F312),"",VLOOKUP(C312,INDIRECT($F$8),6+(O319-1)*3,0))</f>
        <v>CAT 011</v>
      </c>
      <c r="B319" s="41" t="str">
        <f ca="1">IF(ISERROR(F312),"",VLOOKUP(D312,INDIRECT($F$8),6+(O319-1)*3,0))</f>
        <v>Object Oriented Programming with JAVA</v>
      </c>
      <c r="C319" s="41"/>
      <c r="D319" s="41"/>
      <c r="E319" s="41"/>
      <c r="F319" s="7">
        <f ca="1">IF(ISERROR(F312),"",VLOOKUP(E312,INDIRECT($F$8),6+(O319-1)*3,0))</f>
        <v>4</v>
      </c>
      <c r="G319" s="42" t="e">
        <f ca="1">IF(ISERROR(F312),"",_xlfn.TEXTJOIN("/",FALSE,P319,S319))</f>
        <v>#N/A</v>
      </c>
      <c r="H319" s="42"/>
      <c r="I319" s="42" t="str">
        <f ca="1">IF(ISERROR(F312),"",_xlfn.TEXTJOIN("/",FALSE,Q319,T319))</f>
        <v>32/50</v>
      </c>
      <c r="J319" s="42"/>
      <c r="K319" s="42" t="e">
        <f ca="1">IF(ISERROR(F312),"",_xlfn.TEXTJOIN("/",FALSE,R319,U319))</f>
        <v>#N/A</v>
      </c>
      <c r="L319" s="42"/>
      <c r="M319" s="7" t="e">
        <f ca="1">IF(ISERROR(F312),"",IF(ISTEXT(P319),IF(P319="A","Ab",IF(P319="D","Dt",IF(P319="UFM","UFM",IF(P319="NA","")))),IF(AND(ISBLANK(P319),ISBLANK(R319)),"",IF(P319&lt;0.3*S319,"F",IF(ISBLANK(R319),"",IF(ISTEXT(R319),R319,IF(R319&gt;=0.9*U319,"O",IF(R319&gt;=0.85*U319,"A+",IF(R319&gt;=0.8*U319,"A",IF(R319&gt;=0.7*U319,"B+",IF(R319&gt;=0.6*U319,"B",IF(R319&gt;=0.5*U319,"C",IF(R319&gt;=0.4*U319,"P",IF(R319&lt;0.4*U319,"F",R319))))))))))))))</f>
        <v>#N/A</v>
      </c>
      <c r="N319" s="8" t="e">
        <f t="shared" ca="1" si="32"/>
        <v>#N/A</v>
      </c>
      <c r="O319">
        <f>O318+1</f>
        <v>3</v>
      </c>
      <c r="P319" s="1" t="e">
        <f ca="1">IF(ISERROR(F312),"",IF(ISTEXT(VLOOKUP(B312,INDIRECT($F$8),6+(O319-1)*3)),(VLOOKUP(B312,INDIRECT($F$8),6+(O319-1)*3)),SUM(VLOOKUP(B312,INDIRECT($F$8),6+(O319-1)*3),IF(W327,W319,0))))</f>
        <v>#N/A</v>
      </c>
      <c r="Q319" s="1">
        <f ca="1">IF(ISERROR(F312),"",VLOOKUP(B312,INDIRECT($F$8),7+(O319-1)*3))</f>
        <v>32</v>
      </c>
      <c r="R319" s="1" t="e">
        <f ca="1">IF(ISERROR(F312),"",SUM(P319:Q319))</f>
        <v>#N/A</v>
      </c>
      <c r="S319" s="1">
        <f ca="1">IF(ISERROR(F312),"",VLOOKUP(A312,INDIRECT($F$8),6+(O319-1)*3))</f>
        <v>100</v>
      </c>
      <c r="T319" s="1">
        <f ca="1">IF(ISERROR(F312),"",VLOOKUP(A312,INDIRECT($F$8),7+(O319-1)*3))</f>
        <v>50</v>
      </c>
      <c r="U319" s="1">
        <f ca="1">IF(ISERROR(F312),"",VLOOKUP(A312,INDIRECT($F$8),8+(O319-1)*3))</f>
        <v>150</v>
      </c>
      <c r="V319" s="1" t="e">
        <f ca="1">IF(ISERROR(F312),"",IF(N319=0,A319,""))</f>
        <v>#N/A</v>
      </c>
      <c r="W319" s="1">
        <f ca="1">IF(ISERROR(F312),"",IF(ISTEXT(VLOOKUP(B312,INDIRECT($F$8),6+(O319-1)*3)),11,IF(VLOOKUP(B312,INDIRECT($F$8),6+(O319-1)*3)&lt;S319*0.3,IF(VLOOKUP(B312,INDIRECT($F$8),8+(O319-1)*3)&lt;U319*0.4,IF(AND(0.4*U319-VLOOKUP(B312,INDIRECT($F$8),8+(O319-1)*3)&lt;=5,0.3*S319-VLOOKUP(B312,INDIRECT($F$8),6+(O319-1)*3)&lt;=5),MAX(0.4*U319-VLOOKUP(B312,INDIRECT($F$8),8+(O319-1)*3),0.3*S319-VLOOKUP(B312,INDIRECT($F$8),6+(O319-1)*3)),11),IF(0.3*S319-VLOOKUP(B312,INDIRECT($F$8),6+(O319-1)*3)&lt;=5,0.3*S319-VLOOKUP(B312,INDIRECT($F$8),6+(O319-1)*3),11)),IF(VLOOKUP(B312,INDIRECT($F$8),8+(O319-1)*3)&lt;U319*0.4,IF(U319*0.4-VLOOKUP(B312,INDIRECT($F$8),8+(O319-1)*3)&lt;=5,U319*0.4-VLOOKUP(B312,INDIRECT($F$8),8+(O319-1)*3),11),0))))</f>
        <v>0</v>
      </c>
      <c r="X319" s="1" t="str">
        <f ca="1">IF(ISERROR(F312),"",IF(W319=0,"",_xlfn.TEXTJOIN("",FALSE," G+",W319," in ",A319)))</f>
        <v/>
      </c>
    </row>
    <row r="320" spans="1:24" ht="13" customHeight="1" x14ac:dyDescent="0.2">
      <c r="A320" s="7" t="str">
        <f ca="1">IF(ISERROR(F312),"",VLOOKUP(C312,INDIRECT($F$8),6+(O320-1)*3,0))</f>
        <v>CAT 012</v>
      </c>
      <c r="B320" s="41" t="str">
        <f ca="1">IF(ISERROR(F312),"",VLOOKUP(D312,INDIRECT($F$8),6+(O320-1)*3,0))</f>
        <v>Computer Networks</v>
      </c>
      <c r="C320" s="41"/>
      <c r="D320" s="41"/>
      <c r="E320" s="41"/>
      <c r="F320" s="7">
        <f ca="1">IF(ISERROR(F312),"",VLOOKUP(E312,INDIRECT($F$8),6+(O320-1)*3,0))</f>
        <v>4</v>
      </c>
      <c r="G320" s="42" t="e">
        <f ca="1">IF(ISERROR(F312),"",_xlfn.TEXTJOIN("/",FALSE,P320,S320))</f>
        <v>#N/A</v>
      </c>
      <c r="H320" s="42"/>
      <c r="I320" s="42" t="str">
        <f ca="1">IF(ISERROR(F312),"",_xlfn.TEXTJOIN("/",FALSE,Q320,T320))</f>
        <v>41/50</v>
      </c>
      <c r="J320" s="42"/>
      <c r="K320" s="42" t="e">
        <f ca="1">IF(ISERROR(F312),"",_xlfn.TEXTJOIN("/",FALSE,R320,U320))</f>
        <v>#N/A</v>
      </c>
      <c r="L320" s="42"/>
      <c r="M320" s="7" t="e">
        <f ca="1">IF(ISERROR(F312),"",IF(ISTEXT(P320),IF(P320="A","Ab",IF(P320="D","Dt",IF(P320="UFM","UFM",IF(P320="NA","")))),IF(AND(ISBLANK(P320),ISBLANK(R320)),"",IF(P320&lt;0.3*S320,"F",IF(ISBLANK(R320),"",IF(ISTEXT(R320),R320,IF(R320&gt;=0.9*U320,"O",IF(R320&gt;=0.85*U320,"A+",IF(R320&gt;=0.8*U320,"A",IF(R320&gt;=0.7*U320,"B+",IF(R320&gt;=0.6*U320,"B",IF(R320&gt;=0.5*U320,"C",IF(R320&gt;=0.4*U320,"P",IF(R320&lt;0.4*U320,"F",R320))))))))))))))</f>
        <v>#N/A</v>
      </c>
      <c r="N320" s="8" t="e">
        <f t="shared" ca="1" si="32"/>
        <v>#N/A</v>
      </c>
      <c r="O320">
        <f t="shared" ref="O320:O326" si="33">O319+1</f>
        <v>4</v>
      </c>
      <c r="P320" s="1" t="e">
        <f ca="1">IF(ISERROR(F312),"",IF(ISTEXT(VLOOKUP(B312,INDIRECT($F$8),6+(O320-1)*3)),(VLOOKUP(B312,INDIRECT($F$8),6+(O320-1)*3)),SUM(VLOOKUP(B312,INDIRECT($F$8),6+(O320-1)*3),IF(W327,W320,0))))</f>
        <v>#N/A</v>
      </c>
      <c r="Q320" s="1">
        <f ca="1">IF(ISERROR(F312),"",VLOOKUP(B312,INDIRECT($F$8),7+(O320-1)*3))</f>
        <v>41</v>
      </c>
      <c r="R320" s="1" t="e">
        <f ca="1">IF(ISERROR(F312),"",SUM(P320:Q320))</f>
        <v>#N/A</v>
      </c>
      <c r="S320" s="1">
        <f ca="1">IF(ISERROR(F312),"",VLOOKUP(A312,INDIRECT($F$8),6+(O320-1)*3))</f>
        <v>100</v>
      </c>
      <c r="T320" s="1">
        <f ca="1">IF(ISERROR(F312),"",VLOOKUP(A312,INDIRECT($F$8),7+(O320-1)*3))</f>
        <v>50</v>
      </c>
      <c r="U320" s="1">
        <f ca="1">IF(ISERROR(F312),"",VLOOKUP(A312,INDIRECT($F$8),8+(O320-1)*3))</f>
        <v>150</v>
      </c>
      <c r="V320" s="1" t="e">
        <f ca="1">IF(ISERROR(F312),"",IF(N320=0,A320,""))</f>
        <v>#N/A</v>
      </c>
      <c r="W320" s="1">
        <f ca="1">IF(ISERROR(F312),"",IF(ISTEXT(VLOOKUP(B312,INDIRECT($F$8),6+(O320-1)*3)),11,IF(VLOOKUP(B312,INDIRECT($F$8),6+(O320-1)*3)&lt;S320*0.3,IF(VLOOKUP(B312,INDIRECT($F$8),8+(O320-1)*3)&lt;U320*0.4,IF(AND(0.4*U320-VLOOKUP(B312,INDIRECT($F$8),8+(O320-1)*3)&lt;=5,0.3*S320-VLOOKUP(B312,INDIRECT($F$8),6+(O320-1)*3)&lt;=5),MAX(0.4*U320-VLOOKUP(B312,INDIRECT($F$8),8+(O320-1)*3),0.3*S320-VLOOKUP(B312,INDIRECT($F$8),6+(O320-1)*3)),11),IF(0.3*S320-VLOOKUP(B312,INDIRECT($F$8),6+(O320-1)*3)&lt;=5,0.3*S320-VLOOKUP(B312,INDIRECT($F$8),6+(O320-1)*3),11)),IF(VLOOKUP(B312,INDIRECT($F$8),8+(O320-1)*3)&lt;U320*0.4,IF(U320*0.4-VLOOKUP(B312,INDIRECT($F$8),8+(O320-1)*3)&lt;=5,U320*0.4-VLOOKUP(B312,INDIRECT($F$8),8+(O320-1)*3),11),0))))</f>
        <v>0</v>
      </c>
      <c r="X320" s="1" t="str">
        <f ca="1">IF(ISERROR(F312),"",IF(W320=0,"",_xlfn.TEXTJOIN("",FALSE," G+",W320," in ",A320)))</f>
        <v/>
      </c>
    </row>
    <row r="321" spans="1:24" ht="13" customHeight="1" x14ac:dyDescent="0.2">
      <c r="A321" s="7" t="str">
        <f ca="1">IF(ISERROR(F312),"",VLOOKUP(C312,INDIRECT($F$8),6+(O321-1)*3,0))</f>
        <v>CAT 013</v>
      </c>
      <c r="B321" s="41" t="str">
        <f ca="1">IF(ISERROR(F312),"",VLOOKUP(D312,INDIRECT($F$8),6+(O321-1)*3,0))</f>
        <v>Artificial Intelligence</v>
      </c>
      <c r="C321" s="41"/>
      <c r="D321" s="41"/>
      <c r="E321" s="41"/>
      <c r="F321" s="7">
        <f ca="1">IF(ISERROR(F312),"",VLOOKUP(E312,INDIRECT($F$8),6+(O321-1)*3,0))</f>
        <v>4</v>
      </c>
      <c r="G321" s="42" t="e">
        <f ca="1">IF(ISERROR(F312),"",_xlfn.TEXTJOIN("/",FALSE,P321,S321))</f>
        <v>#N/A</v>
      </c>
      <c r="H321" s="42"/>
      <c r="I321" s="42" t="str">
        <f ca="1">IF(ISERROR(F312),"",_xlfn.TEXTJOIN("/",FALSE,Q321,T321))</f>
        <v>36/50</v>
      </c>
      <c r="J321" s="42"/>
      <c r="K321" s="42" t="e">
        <f ca="1">IF(ISERROR(F312),"",_xlfn.TEXTJOIN("/",FALSE,R321,U321))</f>
        <v>#N/A</v>
      </c>
      <c r="L321" s="42"/>
      <c r="M321" s="7" t="e">
        <f ca="1">IF(ISERROR(F312),"",IF(ISTEXT(P321),IF(P321="A","Ab",IF(P321="D","Dt",IF(P321="UFM","UFM",IF(P321="NA","")))),IF(AND(ISBLANK(P321),ISBLANK(R321)),"",IF(P321&lt;0.3*S321,"F",IF(ISBLANK(R321),"",IF(ISTEXT(R321),R321,IF(R321&gt;=0.9*U321,"O",IF(R321&gt;=0.85*U321,"A+",IF(R321&gt;=0.8*U321,"A",IF(R321&gt;=0.7*U321,"B+",IF(R321&gt;=0.6*U321,"B",IF(R321&gt;=0.5*U321,"C",IF(R321&gt;=0.4*U321,"P",IF(R321&lt;0.4*U321,"F",R321))))))))))))))</f>
        <v>#N/A</v>
      </c>
      <c r="N321" s="8" t="e">
        <f t="shared" ca="1" si="32"/>
        <v>#N/A</v>
      </c>
      <c r="O321">
        <f t="shared" si="33"/>
        <v>5</v>
      </c>
      <c r="P321" s="1" t="e">
        <f ca="1">IF(ISERROR(F312),"",IF(ISTEXT(VLOOKUP(B312,INDIRECT($F$8),6+(O321-1)*3)),(VLOOKUP(B312,INDIRECT($F$8),6+(O321-1)*3)),SUM(VLOOKUP(B312,INDIRECT($F$8),6+(O321-1)*3),IF(W327,W321,0))))</f>
        <v>#N/A</v>
      </c>
      <c r="Q321" s="1">
        <f ca="1">IF(ISERROR(F312),"",VLOOKUP(B312,INDIRECT($F$8),7+(O321-1)*3))</f>
        <v>36</v>
      </c>
      <c r="R321" s="1" t="e">
        <f ca="1">IF(ISERROR(F312),"",SUM(P321:Q321))</f>
        <v>#N/A</v>
      </c>
      <c r="S321" s="1">
        <f ca="1">IF(ISERROR(F312),"",VLOOKUP(A312,INDIRECT($F$8),6+(O321-1)*3))</f>
        <v>100</v>
      </c>
      <c r="T321" s="1">
        <f ca="1">IF(ISERROR(F312),"",VLOOKUP(A312,INDIRECT($F$8),7+(O321-1)*3))</f>
        <v>50</v>
      </c>
      <c r="U321" s="1">
        <f ca="1">IF(ISERROR(F312),"",VLOOKUP(A312,INDIRECT($F$8),8+(O321-1)*3))</f>
        <v>150</v>
      </c>
      <c r="V321" s="1" t="e">
        <f ca="1">IF(ISERROR(F312),"",IF(N321=0,A321,""))</f>
        <v>#N/A</v>
      </c>
      <c r="W321" s="1">
        <f ca="1">IF(ISERROR(F312),"",IF(ISTEXT(VLOOKUP(B312,INDIRECT($F$8),6+(O321-1)*3)),11,IF(VLOOKUP(B312,INDIRECT($F$8),6+(O321-1)*3)&lt;S321*0.3,IF(VLOOKUP(B312,INDIRECT($F$8),8+(O321-1)*3)&lt;U321*0.4,IF(AND(0.4*U321-VLOOKUP(B312,INDIRECT($F$8),8+(O321-1)*3)&lt;=5,0.3*S321-VLOOKUP(B312,INDIRECT($F$8),6+(O321-1)*3)&lt;=5),MAX(0.4*U321-VLOOKUP(B312,INDIRECT($F$8),8+(O321-1)*3),0.3*S321-VLOOKUP(B312,INDIRECT($F$8),6+(O321-1)*3)),11),IF(0.3*S321-VLOOKUP(B312,INDIRECT($F$8),6+(O321-1)*3)&lt;=5,0.3*S321-VLOOKUP(B312,INDIRECT($F$8),6+(O321-1)*3),11)),IF(VLOOKUP(B312,INDIRECT($F$8),8+(O321-1)*3)&lt;U321*0.4,IF(U321*0.4-VLOOKUP(B312,INDIRECT($F$8),8+(O321-1)*3)&lt;=5,U321*0.4-VLOOKUP(B312,INDIRECT($F$8),8+(O321-1)*3),11),0))))</f>
        <v>0</v>
      </c>
      <c r="X321" s="1" t="str">
        <f ca="1">IF(ISERROR(F312),"",IF(W321=0,"",_xlfn.TEXTJOIN("",FALSE," G+",W321," in ",A321)))</f>
        <v/>
      </c>
    </row>
    <row r="322" spans="1:24" ht="13" customHeight="1" x14ac:dyDescent="0.2">
      <c r="A322" s="7" t="str">
        <f ca="1">IF(ISERROR(F312),"",VLOOKUP(C312,INDIRECT($F$8),6+(O322-1)*3,0))</f>
        <v>AHT 304</v>
      </c>
      <c r="B322" s="41" t="str">
        <f ca="1">IF(ISERROR(F312),"",VLOOKUP(D312,INDIRECT($F$8),6+(O322-1)*3,0))</f>
        <v>Accounting and Financial Management ($)</v>
      </c>
      <c r="C322" s="41"/>
      <c r="D322" s="41"/>
      <c r="E322" s="41"/>
      <c r="F322" s="7">
        <f ca="1">IF(ISERROR(F312),"",VLOOKUP(E312,INDIRECT($F$8),6+(O322-1)*3,0))</f>
        <v>0</v>
      </c>
      <c r="G322" s="42" t="e">
        <f ca="1">IF(ISERROR(F312),"",_xlfn.TEXTJOIN("/",FALSE,P322,S322))</f>
        <v>#N/A</v>
      </c>
      <c r="H322" s="42"/>
      <c r="I322" s="42" t="str">
        <f ca="1">IF(ISERROR(F312),"",_xlfn.TEXTJOIN("/",FALSE,Q322,T322))</f>
        <v>28/50</v>
      </c>
      <c r="J322" s="42"/>
      <c r="K322" s="42" t="e">
        <f ca="1">IF(ISERROR(F312),"",_xlfn.TEXTJOIN("/",FALSE,R322,U322))</f>
        <v>#N/A</v>
      </c>
      <c r="L322" s="42"/>
      <c r="M322" s="7" t="e">
        <f ca="1">IF(ISERROR(F312),"",IF(ISTEXT(P322),IF(P322="A","Ab",IF(P322="D","Dt",IF(P322="UFM","UFM",IF(P322="NA","")))),IF(AND(ISBLANK(P322),ISBLANK(R322)),"",IF(P322&lt;0.3*S322,"F",IF(ISBLANK(R322),"",IF(ISTEXT(R322),R322,IF(R322&gt;=0.9*U322,"O",IF(R322&gt;=0.85*U322,"A+",IF(R322&gt;=0.8*U322,"A",IF(R322&gt;=0.7*U322,"B+",IF(R322&gt;=0.6*U322,"B",IF(R322&gt;=0.5*U322,"C",IF(R322&gt;=0.4*U322,"P",IF(R322&lt;0.4*U322,"F",R322))))))))))))))</f>
        <v>#N/A</v>
      </c>
      <c r="N322" s="8" t="e">
        <f t="shared" ca="1" si="32"/>
        <v>#N/A</v>
      </c>
      <c r="O322">
        <f t="shared" si="33"/>
        <v>6</v>
      </c>
      <c r="P322" s="1" t="e">
        <f ca="1">IF(ISERROR(F312),"",IF(ISTEXT(VLOOKUP(B312,INDIRECT($F$8),6+(O322-1)*3)),(VLOOKUP(B312,INDIRECT($F$8),6+(O322-1)*3)),SUM(VLOOKUP(B312,INDIRECT($F$8),6+(O322-1)*3),IF(W327,W322,0))))</f>
        <v>#N/A</v>
      </c>
      <c r="Q322" s="1">
        <f ca="1">IF(ISERROR(F312),"",VLOOKUP(B312,INDIRECT($F$8),7+(O322-1)*3))</f>
        <v>28</v>
      </c>
      <c r="R322" s="1" t="e">
        <f ca="1">IF(ISERROR(F312),"",SUM(P322:Q322))</f>
        <v>#N/A</v>
      </c>
      <c r="S322" s="1">
        <f ca="1">IF(ISERROR(F312),"",VLOOKUP(A312,INDIRECT($F$8),6+(O322-1)*3))</f>
        <v>0</v>
      </c>
      <c r="T322" s="1">
        <f ca="1">IF(ISERROR(F312),"",VLOOKUP(A312,INDIRECT($F$8),7+(O322-1)*3))</f>
        <v>50</v>
      </c>
      <c r="U322" s="1">
        <f ca="1">IF(ISERROR(F312),"",VLOOKUP(A312,INDIRECT($F$8),8+(O322-1)*3))</f>
        <v>50</v>
      </c>
      <c r="V322" s="1" t="e">
        <f ca="1">IF(ISERROR(F312),"",IF(N322=0,A322,""))</f>
        <v>#N/A</v>
      </c>
      <c r="W322" s="1">
        <f ca="1">IF(ISERROR(F312),"",IF(ISTEXT(VLOOKUP(B312,INDIRECT($F$8),6+(O322-1)*3)),11,IF(VLOOKUP(B312,INDIRECT($F$8),6+(O322-1)*3)&lt;S322*0.3,IF(VLOOKUP(B312,INDIRECT($F$8),8+(O322-1)*3)&lt;U322*0.4,IF(AND(0.4*U322-VLOOKUP(B312,INDIRECT($F$8),8+(O322-1)*3)&lt;=5,0.3*S322-VLOOKUP(B312,INDIRECT($F$8),6+(O322-1)*3)&lt;=5),MAX(0.4*U322-VLOOKUP(B312,INDIRECT($F$8),8+(O322-1)*3),0.3*S322-VLOOKUP(B312,INDIRECT($F$8),6+(O322-1)*3)),11),IF(0.3*S322-VLOOKUP(B312,INDIRECT($F$8),6+(O322-1)*3)&lt;=5,0.3*S322-VLOOKUP(B312,INDIRECT($F$8),6+(O322-1)*3),11)),IF(VLOOKUP(B312,INDIRECT($F$8),8+(O322-1)*3)&lt;U322*0.4,IF(U322*0.4-VLOOKUP(B312,INDIRECT($F$8),8+(O322-1)*3)&lt;=5,U322*0.4-VLOOKUP(B312,INDIRECT($F$8),8+(O322-1)*3),11),0))))</f>
        <v>0</v>
      </c>
      <c r="X322" s="1" t="str">
        <f ca="1">IF(ISERROR(F312),"",IF(W322=0,"",_xlfn.TEXTJOIN("",FALSE," G+",W322," in ",A322)))</f>
        <v/>
      </c>
    </row>
    <row r="323" spans="1:24" ht="13" customHeight="1" x14ac:dyDescent="0.2">
      <c r="A323" s="7" t="str">
        <f ca="1">IF(ISERROR(F312),"",VLOOKUP(C312,INDIRECT($F$8),6+(O323-1)*3,0))</f>
        <v>CAP 004</v>
      </c>
      <c r="B323" s="41" t="str">
        <f ca="1">IF(ISERROR(F312),"",VLOOKUP(D312,INDIRECT($F$8),6+(O323-1)*3,0))</f>
        <v>Data Structures and Analysis of Algorithms Lab</v>
      </c>
      <c r="C323" s="41"/>
      <c r="D323" s="41"/>
      <c r="E323" s="41"/>
      <c r="F323" s="7">
        <f ca="1">IF(ISERROR(F312),"",VLOOKUP(E312,INDIRECT($F$8),6+(O323-1)*3,0))</f>
        <v>1</v>
      </c>
      <c r="G323" s="42" t="e">
        <f ca="1">IF(ISERROR(F312),"",_xlfn.TEXTJOIN("/",FALSE,P323,S323))</f>
        <v>#N/A</v>
      </c>
      <c r="H323" s="42"/>
      <c r="I323" s="42" t="str">
        <f ca="1">IF(ISERROR(F312),"",_xlfn.TEXTJOIN("/",FALSE,Q323,T323))</f>
        <v>16/20</v>
      </c>
      <c r="J323" s="42"/>
      <c r="K323" s="42" t="e">
        <f ca="1">IF(ISERROR(F312),"",_xlfn.TEXTJOIN("/",FALSE,R323,U323))</f>
        <v>#N/A</v>
      </c>
      <c r="L323" s="42"/>
      <c r="M323" s="7" t="e">
        <f ca="1">IF(ISERROR(F312),"",IF(ISTEXT(P323),IF(P323="A","Ab",IF(P323="D","Dt",IF(P323="UFM","UFM",IF(P323="NA","")))),IF(AND(ISBLANK(P323),ISBLANK(R323)),"",IF(P323&lt;0.3*S323,"F",IF(ISBLANK(R323),"",IF(ISTEXT(R323),R323,IF(R323&gt;=0.9*U323,"O",IF(R323&gt;=0.85*U323,"A+",IF(R323&gt;=0.8*U323,"A",IF(R323&gt;=0.7*U323,"B+",IF(R323&gt;=0.6*U323,"B",IF(R323&gt;=0.5*U323,"C",IF(R323&gt;=0.4*U323,"P",IF(R323&lt;0.4*U323,"F",R323))))))))))))))</f>
        <v>#N/A</v>
      </c>
      <c r="N323" s="8" t="e">
        <f t="shared" ca="1" si="32"/>
        <v>#N/A</v>
      </c>
      <c r="O323">
        <f t="shared" si="33"/>
        <v>7</v>
      </c>
      <c r="P323" s="1" t="e">
        <f ca="1">IF(ISERROR(F312),"",IF(ISTEXT(VLOOKUP(B312,INDIRECT($F$8),6+(O323-1)*3)),(VLOOKUP(B312,INDIRECT($F$8),6+(O323-1)*3)),SUM(VLOOKUP(B312,INDIRECT($F$8),6+(O323-1)*3),IF(W327,W323,0))))</f>
        <v>#N/A</v>
      </c>
      <c r="Q323" s="1">
        <f ca="1">IF(ISERROR(F312),"",VLOOKUP(B312,INDIRECT($F$8),7+(O323-1)*3))</f>
        <v>16</v>
      </c>
      <c r="R323" s="1" t="e">
        <f ca="1">IF(ISERROR(F312),"",SUM(P323:Q323))</f>
        <v>#N/A</v>
      </c>
      <c r="S323" s="1">
        <f ca="1">IF(ISERROR(F312),"",VLOOKUP(A312,INDIRECT($F$8),6+(O323-1)*3))</f>
        <v>30</v>
      </c>
      <c r="T323" s="1">
        <f ca="1">IF(ISERROR(F312),"",VLOOKUP(A312,INDIRECT($F$8),7+(O323-1)*3))</f>
        <v>20</v>
      </c>
      <c r="U323" s="1">
        <f ca="1">IF(ISERROR(F312),"",VLOOKUP(A312,INDIRECT($F$8),8+(O323-1)*3))</f>
        <v>50</v>
      </c>
      <c r="V323" s="1" t="e">
        <f ca="1">IF(ISERROR(F312),"",IF(N323=0,A323,""))</f>
        <v>#N/A</v>
      </c>
      <c r="W323" s="1">
        <f ca="1">IF(ISERROR(F312),"",IF(ISTEXT(VLOOKUP(B312,INDIRECT($F$8),6+(O323-1)*3)),11,IF(VLOOKUP(B312,INDIRECT($F$8),6+(O323-1)*3)&lt;S323*0.3,IF(VLOOKUP(B312,INDIRECT($F$8),8+(O323-1)*3)&lt;U323*0.4,IF(AND(0.4*U323-VLOOKUP(B312,INDIRECT($F$8),8+(O323-1)*3)&lt;=5,0.3*S323-VLOOKUP(B312,INDIRECT($F$8),6+(O323-1)*3)&lt;=5),MAX(0.4*U323-VLOOKUP(B312,INDIRECT($F$8),8+(O323-1)*3),0.3*S323-VLOOKUP(B312,INDIRECT($F$8),6+(O323-1)*3)),11),IF(0.3*S323-VLOOKUP(B312,INDIRECT($F$8),6+(O323-1)*3)&lt;=5,0.3*S323-VLOOKUP(B312,INDIRECT($F$8),6+(O323-1)*3),11)),IF(VLOOKUP(B312,INDIRECT($F$8),8+(O323-1)*3)&lt;U323*0.4,IF(U323*0.4-VLOOKUP(B312,INDIRECT($F$8),8+(O323-1)*3)&lt;=5,U323*0.4-VLOOKUP(B312,INDIRECT($F$8),8+(O323-1)*3),11),0))))</f>
        <v>0</v>
      </c>
      <c r="X323" s="1" t="str">
        <f ca="1">IF(ISERROR(F312),"",IF(W323=0,"",_xlfn.TEXTJOIN("",FALSE," G+",W323," in ",A323)))</f>
        <v/>
      </c>
    </row>
    <row r="324" spans="1:24" ht="13" customHeight="1" x14ac:dyDescent="0.2">
      <c r="A324" s="7" t="str">
        <f ca="1">IF(ISERROR(F312),"",VLOOKUP(C312,INDIRECT($F$8),6+(O324-1)*3,0))</f>
        <v>CAP 005</v>
      </c>
      <c r="B324" s="41" t="str">
        <f ca="1">IF(ISERROR(F312),"",VLOOKUP(D312,INDIRECT($F$8),6+(O324-1)*3-Z324,0))</f>
        <v>Object Oriented Programming with JAVA Lab</v>
      </c>
      <c r="C324" s="41"/>
      <c r="D324" s="41"/>
      <c r="E324" s="41"/>
      <c r="F324" s="7">
        <f ca="1">IF(ISERROR(F312),"",VLOOKUP(E312,INDIRECT($F$8),6+(O324-1)*3,0))</f>
        <v>1</v>
      </c>
      <c r="G324" s="42" t="e">
        <f ca="1">IF(ISERROR(F312),"",_xlfn.TEXTJOIN("/",FALSE,P324,S324))</f>
        <v>#N/A</v>
      </c>
      <c r="H324" s="42"/>
      <c r="I324" s="42" t="str">
        <f ca="1">IF(ISERROR(F312),"",_xlfn.TEXTJOIN("/",FALSE,Q324,T324))</f>
        <v>13/20</v>
      </c>
      <c r="J324" s="42"/>
      <c r="K324" s="42" t="e">
        <f ca="1">IF(ISERROR(F312),"",_xlfn.TEXTJOIN("/",FALSE,R324,U324))</f>
        <v>#N/A</v>
      </c>
      <c r="L324" s="42"/>
      <c r="M324" s="7" t="e">
        <f ca="1">IF(ISERROR(F312),"",IF(ISTEXT(P324),IF(P324="A","Ab",IF(P324="D","Dt",IF(P324="UFM","UFM",IF(P324="NA","")))),IF(AND(ISBLANK(P324),ISBLANK(R324)),"",IF(P324&lt;0.3*S324,"F",IF(ISBLANK(R324),"",IF(ISTEXT(R324),R324,IF(R324&gt;=0.9*U324,"O",IF(R324&gt;=0.85*U324,"A+",IF(R324&gt;=0.8*U324,"A",IF(R324&gt;=0.7*U324,"B+",IF(R324&gt;=0.6*U324,"B",IF(R324&gt;=0.5*U324,"C",IF(R324&gt;=0.4*U324,"P",IF(R324&lt;0.4*U324,"F",R324))))))))))))))</f>
        <v>#N/A</v>
      </c>
      <c r="N324" s="8" t="e">
        <f t="shared" ca="1" si="32"/>
        <v>#N/A</v>
      </c>
      <c r="O324">
        <f t="shared" si="33"/>
        <v>8</v>
      </c>
      <c r="P324" s="1" t="e">
        <f ca="1">IF(ISERROR(F312),"",IF(ISTEXT(VLOOKUP(B312,INDIRECT($F$8),6+(O324-1)*3)),(VLOOKUP(B312,INDIRECT($F$8),6+(O324-1)*3)),SUM(VLOOKUP(B312,INDIRECT($F$8),6+(O324-1)*3),IF(W327,W324,0))))</f>
        <v>#N/A</v>
      </c>
      <c r="Q324" s="1">
        <f ca="1">IF(ISERROR(F312),"",VLOOKUP(B312,INDIRECT($F$8),7+(O324-1)*3))</f>
        <v>13</v>
      </c>
      <c r="R324" s="1" t="e">
        <f ca="1">IF(ISERROR(F312),"",SUM(P324:Q324))</f>
        <v>#N/A</v>
      </c>
      <c r="S324" s="1">
        <f ca="1">IF(ISERROR(F312),"",VLOOKUP(A312,INDIRECT($F$8),6+(O324-1)*3))</f>
        <v>30</v>
      </c>
      <c r="T324" s="1">
        <f ca="1">IF(ISERROR(F312),"",VLOOKUP(A312,INDIRECT($F$8),7+(O324-1)*3))</f>
        <v>20</v>
      </c>
      <c r="U324" s="1">
        <f ca="1">IF(ISERROR(F312),"",VLOOKUP(A312,INDIRECT($F$8),8+(O324-1)*3))</f>
        <v>50</v>
      </c>
      <c r="V324" s="1" t="e">
        <f ca="1">IF(ISERROR(F312),"",IF(N324=0,A324,""))</f>
        <v>#N/A</v>
      </c>
      <c r="W324" s="1">
        <f ca="1">IF(ISERROR(F312),"",IF(ISTEXT(VLOOKUP(B312,INDIRECT($F$8),6+(O324-1)*3)),11,IF(VLOOKUP(B312,INDIRECT($F$8),6+(O324-1)*3)&lt;S324*0.3,IF(VLOOKUP(B312,INDIRECT($F$8),8+(O324-1)*3)&lt;U324*0.4,IF(AND(0.4*U324-VLOOKUP(B312,INDIRECT($F$8),8+(O324-1)*3)&lt;=5,0.3*S324-VLOOKUP(B312,INDIRECT($F$8),6+(O324-1)*3)&lt;=5),MAX(0.4*U324-VLOOKUP(B312,INDIRECT($F$8),8+(O324-1)*3),0.3*S324-VLOOKUP(B312,INDIRECT($F$8),6+(O324-1)*3)),11),IF(0.3*S324-VLOOKUP(B312,INDIRECT($F$8),6+(O324-1)*3)&lt;=5,0.3*S324-VLOOKUP(B312,INDIRECT($F$8),6+(O324-1)*3),11)),IF(VLOOKUP(B312,INDIRECT($F$8),8+(O324-1)*3)&lt;U324*0.4,IF(U324*0.4-VLOOKUP(B312,INDIRECT($F$8),8+(O324-1)*3)&lt;=5,U324*0.4-VLOOKUP(B312,INDIRECT($F$8),8+(O324-1)*3),11),0))))</f>
        <v>0</v>
      </c>
      <c r="X324" s="1" t="str">
        <f ca="1">IF(ISERROR(F312),"",IF(W324=0,"",_xlfn.TEXTJOIN("",FALSE," G+",W324," in ",A324)))</f>
        <v/>
      </c>
    </row>
    <row r="325" spans="1:24" ht="13" customHeight="1" x14ac:dyDescent="0.2">
      <c r="A325" s="7" t="str">
        <f ca="1">IF(ISERROR(F312),"",VLOOKUP(C312,INDIRECT($F$8),6+(O325-1)*3,0))</f>
        <v>CAP 006</v>
      </c>
      <c r="B325" s="41" t="str">
        <f ca="1">IF(ISERROR(F312),"",VLOOKUP(D312,INDIRECT($F$8),6+(O325-1)*3-Z325,0))</f>
        <v>Computer Networks Lab</v>
      </c>
      <c r="C325" s="41"/>
      <c r="D325" s="41"/>
      <c r="E325" s="41"/>
      <c r="F325" s="7">
        <f ca="1">IF(ISERROR(F312),"",VLOOKUP(E312,INDIRECT($F$8),6+(O325-1)*3,0))</f>
        <v>1</v>
      </c>
      <c r="G325" s="42" t="e">
        <f ca="1">IF(ISERROR(F312),"",_xlfn.TEXTJOIN("/",FALSE,P325,S325))</f>
        <v>#N/A</v>
      </c>
      <c r="H325" s="42"/>
      <c r="I325" s="42" t="str">
        <f ca="1">IF(ISERROR(F312),"",_xlfn.TEXTJOIN("/",FALSE,Q325,T325))</f>
        <v>16/20</v>
      </c>
      <c r="J325" s="42"/>
      <c r="K325" s="42" t="e">
        <f ca="1">IF(ISERROR(F312),"",_xlfn.TEXTJOIN("/",FALSE,R325,U325))</f>
        <v>#N/A</v>
      </c>
      <c r="L325" s="42"/>
      <c r="M325" s="7" t="e">
        <f ca="1">IF(ISERROR(F312),"",IF(ISTEXT(P325),IF(P325="A","Ab",IF(P325="D","Dt",IF(P325="UFM","UFM",IF(P325="NA","")))),IF(AND(ISBLANK(P325),ISBLANK(R325)),"",IF(P325&lt;0.3*S325,"F",IF(ISBLANK(R325),"",IF(ISTEXT(R325),R325,IF(R325&gt;=0.9*U325,"O",IF(R325&gt;=0.85*U325,"A+",IF(R325&gt;=0.8*U325,"A",IF(R325&gt;=0.7*U325,"B+",IF(R325&gt;=0.6*U325,"B",IF(R325&gt;=0.5*U325,"C",IF(R325&gt;=0.4*U325,"P",IF(R325&lt;0.4*U325,"F",R325))))))))))))))</f>
        <v>#N/A</v>
      </c>
      <c r="N325" s="8" t="e">
        <f t="shared" ca="1" si="32"/>
        <v>#N/A</v>
      </c>
      <c r="O325">
        <f t="shared" si="33"/>
        <v>9</v>
      </c>
      <c r="P325" s="1" t="e">
        <f ca="1">IF(ISERROR(F312),"",IF(ISTEXT(VLOOKUP(B312,INDIRECT($F$8),6+(O325-1)*3)),(VLOOKUP(B312,INDIRECT($F$8),6+(O325-1)*3)),SUM(VLOOKUP(B312,INDIRECT($F$8),6+(O325-1)*3),IF(W327,W325,0))))</f>
        <v>#N/A</v>
      </c>
      <c r="Q325" s="1">
        <f ca="1">IF(ISERROR(F312),"",VLOOKUP(B312,INDIRECT($F$8),7+(O325-1)*3))</f>
        <v>16</v>
      </c>
      <c r="R325" s="1" t="e">
        <f ca="1">IF(ISERROR(F312),"",SUM(P325:Q325))</f>
        <v>#N/A</v>
      </c>
      <c r="S325" s="1">
        <f ca="1">IF(ISERROR(F312),"",VLOOKUP(A312,INDIRECT($F$8),6+(O325-1)*3))</f>
        <v>30</v>
      </c>
      <c r="T325" s="1">
        <f ca="1">IF(ISERROR(F312),"",VLOOKUP(A312,INDIRECT($F$8),7+(O325-1)*3))</f>
        <v>20</v>
      </c>
      <c r="U325" s="1">
        <f ca="1">IF(ISERROR(F312),"",VLOOKUP(A312,INDIRECT($F$8),8+(O325-1)*3))</f>
        <v>50</v>
      </c>
      <c r="V325" s="1" t="e">
        <f ca="1">IF(ISERROR(F312),"",IF(N325=0,A325,""))</f>
        <v>#N/A</v>
      </c>
      <c r="W325" s="1">
        <f ca="1">IF(ISERROR(F312),"",IF(ISTEXT(VLOOKUP(B312,INDIRECT($F$8),6+(O325-1)*3)),11,IF(VLOOKUP(B312,INDIRECT($F$8),6+(O325-1)*3)&lt;S325*0.3,IF(VLOOKUP(B312,INDIRECT($F$8),8+(O325-1)*3)&lt;U325*0.4,IF(AND(0.4*U325-VLOOKUP(B312,INDIRECT($F$8),8+(O325-1)*3)&lt;=5,0.3*S325-VLOOKUP(B312,INDIRECT($F$8),6+(O325-1)*3)&lt;=5),MAX(0.4*U325-VLOOKUP(B312,INDIRECT($F$8),8+(O325-1)*3),0.3*S325-VLOOKUP(B312,INDIRECT($F$8),6+(O325-1)*3)),11),IF(0.3*S325-VLOOKUP(B312,INDIRECT($F$8),6+(O325-1)*3)&lt;=5,0.3*S325-VLOOKUP(B312,INDIRECT($F$8),6+(O325-1)*3),11)),IF(VLOOKUP(B312,INDIRECT($F$8),8+(O325-1)*3)&lt;U325*0.4,IF(U325*0.4-VLOOKUP(B312,INDIRECT($F$8),8+(O325-1)*3)&lt;=5,U325*0.4-VLOOKUP(B312,INDIRECT($F$8),8+(O325-1)*3),11),0))))</f>
        <v>0</v>
      </c>
      <c r="X325" s="1" t="str">
        <f ca="1">IF(ISERROR(F312),"",IF(W325=0,"",_xlfn.TEXTJOIN("",FALSE," G+",W325," in ",A325)))</f>
        <v/>
      </c>
    </row>
    <row r="326" spans="1:24" ht="13" customHeight="1" x14ac:dyDescent="0.2">
      <c r="A326" s="7" t="str">
        <f ca="1">IF(ISERROR(F312),"",VLOOKUP(C312,INDIRECT($F$8),6+(O326-1)*3,0))</f>
        <v>CAP 007</v>
      </c>
      <c r="B326" s="41" t="str">
        <f ca="1">IF(ISERROR(F312),"",VLOOKUP(D312,INDIRECT($F$8),6+(O326-1)*3,0))</f>
        <v>Artificial Intelligence Lab</v>
      </c>
      <c r="C326" s="41"/>
      <c r="D326" s="41"/>
      <c r="E326" s="41"/>
      <c r="F326" s="7">
        <f ca="1">IF(ISERROR(F312),"",VLOOKUP(E312,INDIRECT($F$8),6+(O326-1)*3,0))</f>
        <v>1</v>
      </c>
      <c r="G326" s="42" t="e">
        <f ca="1">IF(ISERROR(F312),"",_xlfn.TEXTJOIN("/",FALSE,P326,S326))</f>
        <v>#N/A</v>
      </c>
      <c r="H326" s="42"/>
      <c r="I326" s="42" t="str">
        <f ca="1">IF(ISERROR(F312),"",_xlfn.TEXTJOIN("/",FALSE,Q326,T326))</f>
        <v>17/20</v>
      </c>
      <c r="J326" s="42"/>
      <c r="K326" s="42" t="e">
        <f ca="1">IF(ISERROR(F312),"",_xlfn.TEXTJOIN("/",FALSE,R326,U326))</f>
        <v>#N/A</v>
      </c>
      <c r="L326" s="42"/>
      <c r="M326" s="7" t="e">
        <f ca="1">IF(ISERROR(F312),"",IF(ISTEXT(P326),IF(P326="A","Ab",IF(P326="D","Dt",IF(P326="UFM","UFM",IF(P326="NA","")))),IF(AND(ISBLANK(P326),ISBLANK(R326)),"",IF(P326&lt;0.3*S326,"F",IF(ISBLANK(R326),"",IF(ISTEXT(R326),R326,IF(R326&gt;=0.9*U326,"O",IF(R326&gt;=0.85*U326,"A+",IF(R326&gt;=0.8*U326,"A",IF(R326&gt;=0.7*U326,"B+",IF(R326&gt;=0.6*U326,"B",IF(R326&gt;=0.5*U326,"C",IF(R326&gt;=0.4*U326,"P",IF(R326&lt;0.4*U326,"F",R326))))))))))))))</f>
        <v>#N/A</v>
      </c>
      <c r="N326" s="8" t="e">
        <f t="shared" ca="1" si="32"/>
        <v>#N/A</v>
      </c>
      <c r="O326">
        <f t="shared" si="33"/>
        <v>10</v>
      </c>
      <c r="P326" s="1" t="e">
        <f ca="1">IF(ISERROR(F312),"",IF(ISTEXT(VLOOKUP(B312,INDIRECT($F$8),6+(O326-1)*3)),(VLOOKUP(B312,INDIRECT($F$8),6+(O326-1)*3)),SUM(VLOOKUP(B312,INDIRECT($F$8),6+(O326-1)*3),IF(W327,W326,0))))</f>
        <v>#N/A</v>
      </c>
      <c r="Q326" s="1">
        <f ca="1">IF(ISERROR(F312),"",VLOOKUP(B312,INDIRECT($F$8),7+(O326-1)*3))</f>
        <v>17</v>
      </c>
      <c r="R326" s="1" t="e">
        <f ca="1">IF(ISERROR(F312),"",SUM(P326:Q326))</f>
        <v>#N/A</v>
      </c>
      <c r="S326" s="1">
        <f ca="1">IF(ISERROR(F312),"",VLOOKUP(A312,INDIRECT($F$8),6+(O326-1)*3))</f>
        <v>30</v>
      </c>
      <c r="T326" s="1">
        <f ca="1">IF(ISERROR(F312),"",VLOOKUP(A312,INDIRECT($F$8),7+(O326-1)*3))</f>
        <v>20</v>
      </c>
      <c r="U326" s="1">
        <f ca="1">IF(ISERROR(F312),"",VLOOKUP(A312,INDIRECT($F$8),8+(O326-1)*3))</f>
        <v>50</v>
      </c>
      <c r="V326" s="1" t="e">
        <f ca="1">IF(ISERROR(F312),"",IF(N326=0,A326,""))</f>
        <v>#N/A</v>
      </c>
      <c r="W326" s="1">
        <f ca="1">IF(ISERROR(F312),"",IF(ISTEXT(VLOOKUP(B312,INDIRECT($F$8),6+(O326-1)*3)),11,IF(VLOOKUP(B312,INDIRECT($F$8),6+(O326-1)*3)&lt;S326*0.3,IF(VLOOKUP(B312,INDIRECT($F$8),8+(O326-1)*3)&lt;U326*0.4,IF(AND(0.4*U326-VLOOKUP(B312,INDIRECT($F$8),8+(O326-1)*3)&lt;=5,0.3*S326-VLOOKUP(B312,INDIRECT($F$8),6+(O326-1)*3)&lt;=5),MAX(0.4*U326-VLOOKUP(B312,INDIRECT($F$8),8+(O326-1)*3),0.3*S326-VLOOKUP(B312,INDIRECT($F$8),6+(O326-1)*3)),11),IF(0.3*S326-VLOOKUP(B312,INDIRECT($F$8),6+(O326-1)*3)&lt;=5,0.3*S326-VLOOKUP(B312,INDIRECT($F$8),6+(O326-1)*3),11)),IF(VLOOKUP(B312,INDIRECT($F$8),8+(O326-1)*3)&lt;U326*0.4,IF(U326*0.4-VLOOKUP(B312,INDIRECT($F$8),8+(O326-1)*3)&lt;=5,U326*0.4-VLOOKUP(B312,INDIRECT($F$8),8+(O326-1)*3),11),0))))</f>
        <v>0</v>
      </c>
      <c r="X326" s="1" t="str">
        <f ca="1">IF(ISERROR(F312),"",IF(W326=0,"",_xlfn.TEXTJOIN("",FALSE," G+",W326," in ",A326)))</f>
        <v/>
      </c>
    </row>
    <row r="327" spans="1:24" ht="13" customHeight="1" x14ac:dyDescent="0.2">
      <c r="A327" s="43" t="str">
        <f ca="1">IF(ISERROR(F312),"",A308)</f>
        <v>Total Credits/ Marks/ Total Grade Points</v>
      </c>
      <c r="B327" s="43"/>
      <c r="C327" s="43"/>
      <c r="D327" s="43"/>
      <c r="E327" s="43"/>
      <c r="F327" s="10">
        <f ca="1">IF(ISERROR(F312),"",SUM(F317:F326))</f>
        <v>24</v>
      </c>
      <c r="G327" s="44" t="e">
        <f ca="1">IF(ISERROR(F312),"",_xlfn.TEXTJOIN("/",TRUE,SUMIF(F317:F326,"&gt;0",P317:P326),SUMIF(F317:F326,"&gt;0",S317:S326)))</f>
        <v>#N/A</v>
      </c>
      <c r="H327" s="44"/>
      <c r="I327" s="44" t="str">
        <f ca="1">IF(ISERROR(F312),"",_xlfn.TEXTJOIN("/",TRUE,SUMIF(F317:F326,"&gt;0",Q317:Q326),SUMIF(F317:F326,"&gt;0",T317:T326)))</f>
        <v>245/330</v>
      </c>
      <c r="J327" s="44"/>
      <c r="K327" s="44" t="e">
        <f ca="1">IF(ISERROR(F312),"",_xlfn.TEXTJOIN("/",TRUE,SUMIF(F317:F326,"&gt;0",R317:R326),SUMIF(F317:F326,"&gt;0",U317:U326)))</f>
        <v>#N/A</v>
      </c>
      <c r="L327" s="44"/>
      <c r="M327" s="43" t="e">
        <f ca="1">IF(ISERROR(F312),"",SUMPRODUCT(N317:N326,F317:F326))</f>
        <v>#N/A</v>
      </c>
      <c r="N327" s="43"/>
      <c r="V327" s="1" t="e">
        <f ca="1">IF(ISERROR(F312),"",_xlfn.TEXTJOIN(", ",TRUE,V317:V326))</f>
        <v>#N/A</v>
      </c>
      <c r="W327" t="e">
        <f ca="1">IF(ISERROR(F312),"",IF(SUM(W317:W326)&lt;=W316,TRUE,FALSE))</f>
        <v>#N/A</v>
      </c>
      <c r="X327" s="1" t="str">
        <f ca="1">IF(ISERROR(F312),"",_xlfn.TEXTJOIN(",",TRUE,X317:X326))</f>
        <v/>
      </c>
    </row>
    <row r="328" spans="1:24" ht="13" customHeight="1" x14ac:dyDescent="0.2">
      <c r="A328" s="43" t="str">
        <f ca="1">IF(ISERROR(F312),"",A309)</f>
        <v>Result:</v>
      </c>
      <c r="B328" s="45" t="e">
        <f ca="1">IF(ISERROR(F312),"",IF(V327="","PASS","CARRY OVER"))</f>
        <v>#N/A</v>
      </c>
      <c r="C328" s="45"/>
      <c r="D328" s="43" t="str">
        <f ca="1">IF(ISERROR(F312),"",D309)</f>
        <v>Remark:</v>
      </c>
      <c r="E328" s="45" t="e">
        <f ca="1">IF(ISERROR(F312),"",IF(V327="",IF(X327="","",X327),_xlfn.TEXTJOIN(" ",TRUE,"BACK IN",V327)))</f>
        <v>#N/A</v>
      </c>
      <c r="F328" s="45"/>
      <c r="G328" s="43" t="str">
        <f ca="1">IF(ISERROR(F312),"",G309)</f>
        <v>SGPA:</v>
      </c>
      <c r="H328" s="46" t="e">
        <f ca="1">IF(ISERROR(F312),"",M327/F327)</f>
        <v>#N/A</v>
      </c>
      <c r="I328" s="43" t="str">
        <f ca="1">IF(ISERROR(F312),"",I309)</f>
        <v>CGPA:</v>
      </c>
      <c r="J328" s="46" t="e">
        <f ca="1">IF(ISERROR(F312),"",VLOOKUP(B312,INDIRECT($F$8),12+(O326-1)*3,0))</f>
        <v>#N/A</v>
      </c>
      <c r="K328" s="45" t="str">
        <f ca="1">IF(ISERROR(F312),"",K309)</f>
        <v>Earned Credits:</v>
      </c>
      <c r="L328" s="43">
        <f ca="1">IF(ISERROR(F312),"",SUMIF(N317:N326,"&gt;0",F317:F326))</f>
        <v>0</v>
      </c>
      <c r="M328" s="45" t="str">
        <f ca="1">IF(ISERROR(F312),"",M309)</f>
        <v>Cuml. Earned Credits:</v>
      </c>
      <c r="N328" s="43" t="e">
        <f ca="1">IF(ISERROR(F312),"",VLOOKUP(B312,INDIRECT($F$8),10+(O326-1)*3,0))</f>
        <v>#N/A</v>
      </c>
    </row>
    <row r="329" spans="1:24" ht="13" customHeight="1" x14ac:dyDescent="0.2">
      <c r="A329" s="43"/>
      <c r="B329" s="45"/>
      <c r="C329" s="45"/>
      <c r="D329" s="43"/>
      <c r="E329" s="45"/>
      <c r="F329" s="45"/>
      <c r="G329" s="43"/>
      <c r="H329" s="46"/>
      <c r="I329" s="43"/>
      <c r="J329" s="46"/>
      <c r="K329" s="45"/>
      <c r="L329" s="43"/>
      <c r="M329" s="45"/>
      <c r="N329" s="43"/>
    </row>
    <row r="330" spans="1:24" ht="15" x14ac:dyDescent="0.2">
      <c r="A330" s="43"/>
      <c r="B330" s="45"/>
      <c r="C330" s="45"/>
      <c r="D330" s="43"/>
      <c r="E330" s="45"/>
      <c r="F330" s="45"/>
      <c r="G330" s="43"/>
      <c r="H330" s="46"/>
      <c r="I330" s="43"/>
      <c r="J330" s="46"/>
      <c r="K330" s="45"/>
      <c r="L330" s="43"/>
      <c r="M330" s="45"/>
      <c r="N330" s="43"/>
    </row>
    <row r="331" spans="1:24" ht="13" customHeight="1" x14ac:dyDescent="0.2">
      <c r="A331" s="11" t="str">
        <f>A312</f>
        <v>MM</v>
      </c>
      <c r="B331" s="11">
        <f>B312+1</f>
        <v>18</v>
      </c>
      <c r="C331" s="11" t="str">
        <f>C312</f>
        <v>SC</v>
      </c>
      <c r="D331" s="11" t="str">
        <f>D312</f>
        <v>SN</v>
      </c>
      <c r="E331" s="11" t="str">
        <f>E312</f>
        <v>C</v>
      </c>
      <c r="F331" s="11" t="str">
        <f ca="1">VLOOKUP(B331,INDIRECT($F$8),4,0)</f>
        <v>PRIYANSHU DHYANI</v>
      </c>
    </row>
    <row r="332" spans="1:24" ht="13" customHeight="1" x14ac:dyDescent="0.2">
      <c r="A332" s="47" t="str">
        <f ca="1">IF(ISERROR(F331),"",A313)</f>
        <v>Name:</v>
      </c>
      <c r="B332" s="47" t="str">
        <f ca="1">IFERROR(VLOOKUP(B331,INDIRECT($F$8),4,0),"")</f>
        <v>PRIYANSHU DHYANI</v>
      </c>
      <c r="C332" s="47"/>
      <c r="D332" s="47" t="str">
        <f ca="1">IF(ISERROR(F331),"",D313)</f>
        <v>Father's Name:</v>
      </c>
      <c r="E332" s="47" t="str">
        <f ca="1">IFERROR(VLOOKUP(B331,INDIRECT($F$8),5,0),"")</f>
        <v>RAMESH CHANDRA DHYANI</v>
      </c>
      <c r="F332" s="47"/>
      <c r="G332" s="47" t="str">
        <f ca="1">IF(ISERROR(F331),"",G313)</f>
        <v>University Roll No:</v>
      </c>
      <c r="H332" s="47"/>
      <c r="I332" s="48">
        <f ca="1">IFERROR(VLOOKUP(B331,INDIRECT($F$8),2,0),"")</f>
        <v>240090600018</v>
      </c>
      <c r="J332" s="48"/>
      <c r="K332" s="47" t="str">
        <f ca="1">IF(ISERROR(F331),"",K313)</f>
        <v>University Enrol. No:</v>
      </c>
      <c r="L332" s="47"/>
      <c r="M332" s="48" t="str">
        <f ca="1">IFERROR(VLOOKUP(B331,INDIRECT($F$8),3,0),"")</f>
        <v>UTU/2406100171</v>
      </c>
      <c r="N332" s="48"/>
    </row>
    <row r="333" spans="1:24" ht="15" x14ac:dyDescent="0.2">
      <c r="A333" s="47"/>
      <c r="B333" s="47"/>
      <c r="C333" s="47"/>
      <c r="D333" s="47"/>
      <c r="E333" s="47"/>
      <c r="F333" s="47"/>
      <c r="G333" s="47"/>
      <c r="H333" s="47"/>
      <c r="I333" s="48"/>
      <c r="J333" s="48"/>
      <c r="K333" s="47"/>
      <c r="L333" s="47"/>
      <c r="M333" s="48"/>
      <c r="N333" s="48"/>
    </row>
    <row r="334" spans="1:24" ht="13" customHeight="1" x14ac:dyDescent="0.2">
      <c r="A334" s="45" t="str">
        <f ca="1">IF(ISERROR(F331),"",A315)</f>
        <v>Subject Code</v>
      </c>
      <c r="B334" s="45" t="str">
        <f ca="1">IF(ISERROR(F331),"",B315)</f>
        <v>Subject Name</v>
      </c>
      <c r="C334" s="45"/>
      <c r="D334" s="45"/>
      <c r="E334" s="45"/>
      <c r="F334" s="45" t="str">
        <f ca="1">IF(ISERROR(F331),"",F315)</f>
        <v>Credits</v>
      </c>
      <c r="G334" s="45" t="str">
        <f ca="1">IF(ISERROR(F331),"",G315)</f>
        <v>External Marks</v>
      </c>
      <c r="H334" s="45"/>
      <c r="I334" s="45" t="str">
        <f ca="1">IF(ISERROR(F331),"",I315)</f>
        <v>Sessional Marks</v>
      </c>
      <c r="J334" s="45"/>
      <c r="K334" s="45" t="str">
        <f ca="1">IF(ISERROR(F331),"",K315)</f>
        <v>Total Marks</v>
      </c>
      <c r="L334" s="45"/>
      <c r="M334" s="45" t="str">
        <f ca="1">IF(ISERROR(F331),"",M315)</f>
        <v>Grade</v>
      </c>
      <c r="N334" s="45" t="str">
        <f ca="1">IF(ISERROR(F331),"",N315)</f>
        <v>Grade Points</v>
      </c>
    </row>
    <row r="335" spans="1:24" ht="15" x14ac:dyDescent="0.2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W335" t="e">
        <f ca="1">IF(ISNUMBER(MATCH($F$8,{"I","III","V","VII"},0)),10,10-INDEX(INDIRECT(_xlfn.TEXTJOIN("",TRUE,"SEM_",$G$8,"!",ADDRESS(6,4+$I$8*3+4),":",ADDRESS(5+$H$8,4+$I$8*3+4))),MATCH(INDIRECT(_xlfn.TEXTJOIN("",TRUE,"TC_",$F$8,"!",ADDRESS(ROW(I332),COLUMN(I332)))),INDIRECT(_xlfn.TEXTJOIN("",TRUE,"SEM_",$G$8,"!",ADDRESS(6,2),":",ADDRESS(5+$H$8,2))))))</f>
        <v>#N/A</v>
      </c>
    </row>
    <row r="336" spans="1:24" ht="13" customHeight="1" x14ac:dyDescent="0.2">
      <c r="A336" s="7" t="str">
        <f ca="1">IF(ISERROR(F331),"",VLOOKUP(C331,INDIRECT($F$8),6+(O336-1)*3,0))</f>
        <v>CAT 009</v>
      </c>
      <c r="B336" s="41" t="str">
        <f ca="1">IF(ISERROR(F331),"",VLOOKUP(D331,INDIRECT($F$8),6+(O336-1)*3,0))</f>
        <v>Computer Based Numerical and Statistical Techniques</v>
      </c>
      <c r="C336" s="41"/>
      <c r="D336" s="41"/>
      <c r="E336" s="41"/>
      <c r="F336" s="7">
        <f ca="1">IF(ISERROR(F331),"",VLOOKUP(E331,INDIRECT($F$8),6+(O336-1)*3,0))</f>
        <v>4</v>
      </c>
      <c r="G336" s="42" t="e">
        <f ca="1">IF(ISERROR(F331),"",_xlfn.TEXTJOIN("/",FALSE,P336,S336))</f>
        <v>#N/A</v>
      </c>
      <c r="H336" s="42"/>
      <c r="I336" s="42" t="str">
        <f ca="1">IF(ISERROR(F331),"",_xlfn.TEXTJOIN("/",FALSE,Q336,T336))</f>
        <v>35/50</v>
      </c>
      <c r="J336" s="42"/>
      <c r="K336" s="42" t="e">
        <f ca="1">IF(ISERROR(F331),"",_xlfn.TEXTJOIN("/",FALSE,R336,U336))</f>
        <v>#N/A</v>
      </c>
      <c r="L336" s="42"/>
      <c r="M336" s="7" t="e">
        <f ca="1">IF(ISERROR(F331),"",IF(ISTEXT(P336),IF(P336="A","Ab",IF(P336="D","Dt",IF(P336="UFM","UFM",IF(P336="NA","")))),IF(AND(ISBLANK(P336),ISBLANK(R336)),"",IF(P336&lt;0.3*S336,"F",IF(ISBLANK(R336),"",IF(ISTEXT(R336),R336,IF(R336&gt;=0.9*U336,"O",IF(R336&gt;=0.85*U336,"A+",IF(R336&gt;=0.8*U336,"A",IF(R336&gt;=0.7*U336,"B+",IF(R336&gt;=0.6*U336,"B",IF(R336&gt;=0.5*U336,"C",IF(R336&gt;=0.4*U336,"P",IF(R336&lt;0.4*U336,"F",R336))))))))))))))</f>
        <v>#N/A</v>
      </c>
      <c r="N336" s="8" t="e">
        <f t="shared" ref="N336:N345" ca="1" si="34">INDEX($Z$2:$Z$13,MATCH(M336,$Y$2:$Y$13,0))</f>
        <v>#N/A</v>
      </c>
      <c r="O336">
        <v>1</v>
      </c>
      <c r="P336" s="1" t="e">
        <f ca="1">IF(ISERROR(F331),"",IF(ISTEXT(VLOOKUP(B331,INDIRECT($F$8),6+(O336-1)*3)),(VLOOKUP(B331,INDIRECT($F$8),6+(O336-1)*3)),SUM(VLOOKUP(B331,INDIRECT($F$8),6+(O336-1)*3),IF(W346,W336,0))))</f>
        <v>#N/A</v>
      </c>
      <c r="Q336" s="1">
        <f ca="1">IF(ISERROR(F331),"",VLOOKUP(B331,INDIRECT($F$8),7+(O336-1)*3))</f>
        <v>35</v>
      </c>
      <c r="R336" s="1" t="e">
        <f ca="1">IF(ISERROR(F331),"",SUM(P336:Q336))</f>
        <v>#N/A</v>
      </c>
      <c r="S336" s="1">
        <f ca="1">IF(ISERROR(F331),"",VLOOKUP(A331,INDIRECT($F$8),6+(O336-1)*3))</f>
        <v>100</v>
      </c>
      <c r="T336" s="1">
        <f ca="1">IF(ISERROR(F331),"",VLOOKUP(A331,INDIRECT($F$8),7+(O336-1)*3))</f>
        <v>50</v>
      </c>
      <c r="U336" s="1">
        <f ca="1">IF(ISERROR(F331),"",VLOOKUP(A331,INDIRECT($F$8),8+(O336-1)*3))</f>
        <v>150</v>
      </c>
      <c r="V336" s="1" t="e">
        <f ca="1">IF(ISERROR(F331),"",IF(N336=0,A336,""))</f>
        <v>#N/A</v>
      </c>
      <c r="W336" s="1">
        <f ca="1">IF(ISERROR(F331),"",IF(ISTEXT(VLOOKUP(B331,INDIRECT($F$8),6+(O336-1)*3)),11,IF(VLOOKUP(B331,INDIRECT($F$8),6+(O336-1)*3)&lt;S336*0.3,IF(VLOOKUP(B331,INDIRECT($F$8),8+(O336-1)*3)&lt;U336*0.4,IF(AND(0.4*U336-VLOOKUP(B331,INDIRECT($F$8),8+(O336-1)*3)&lt;=5,0.3*S336-VLOOKUP(B331,INDIRECT($F$8),6+(O336-1)*3)&lt;=5),MAX(0.4*U336-VLOOKUP(B331,INDIRECT($F$8),8+(O336-1)*3),0.3*S336-VLOOKUP(B331,INDIRECT($F$8),6+(O336-1)*3)),11),IF(0.3*S336-VLOOKUP(B331,INDIRECT($F$8),6+(O336-1)*3)&lt;=5,0.3*S336-VLOOKUP(B331,INDIRECT($F$8),6+(O336-1)*3),11)),IF(VLOOKUP(B331,INDIRECT($F$8),8+(O336-1)*3)&lt;U336*0.4,IF(U336*0.4-VLOOKUP(B331,INDIRECT($F$8),8+(O336-1)*3)&lt;=5,U336*0.4-VLOOKUP(B331,INDIRECT($F$8),8+(O336-1)*3),11),0))))</f>
        <v>0</v>
      </c>
      <c r="X336" s="1" t="str">
        <f ca="1">IF(ISERROR(F331),"",IF(W336=0,"",_xlfn.TEXTJOIN("",FALSE," G+",W336," in ",A336)))</f>
        <v/>
      </c>
    </row>
    <row r="337" spans="1:24" ht="13" customHeight="1" x14ac:dyDescent="0.2">
      <c r="A337" s="7" t="str">
        <f ca="1">IF(ISERROR(F331),"",VLOOKUP(C331,INDIRECT($F$8),6+(O337-1)*3,0))</f>
        <v>CAT 010</v>
      </c>
      <c r="B337" s="41" t="str">
        <f ca="1">IF(ISERROR(F331),"",VLOOKUP(D331,INDIRECT($F$8),6+(O337-1)*3,0))</f>
        <v>Data Structures and Analysis of Algorithms</v>
      </c>
      <c r="C337" s="41"/>
      <c r="D337" s="41"/>
      <c r="E337" s="41"/>
      <c r="F337" s="7">
        <f ca="1">IF(ISERROR(F331),"",VLOOKUP(E331,INDIRECT($F$8),6+(O337-1)*3,0))</f>
        <v>4</v>
      </c>
      <c r="G337" s="42" t="e">
        <f ca="1">IF(ISERROR(F331),"",_xlfn.TEXTJOIN("/",FALSE,P337,S337))</f>
        <v>#N/A</v>
      </c>
      <c r="H337" s="42"/>
      <c r="I337" s="42" t="str">
        <f ca="1">IF(ISERROR(F331),"",_xlfn.TEXTJOIN("/",FALSE,Q337,T337))</f>
        <v>35/50</v>
      </c>
      <c r="J337" s="42"/>
      <c r="K337" s="42" t="e">
        <f ca="1">IF(ISERROR(F331),"",_xlfn.TEXTJOIN("/",FALSE,R337,U337))</f>
        <v>#N/A</v>
      </c>
      <c r="L337" s="42"/>
      <c r="M337" s="7" t="e">
        <f ca="1">IF(ISERROR(F331),"",IF(ISTEXT(P337),IF(P337="A","Ab",IF(P337="D","Dt",IF(P337="UFM","UFM",IF(P337="NA","")))),IF(AND(ISBLANK(P337),ISBLANK(R337)),"",IF(P337&lt;0.3*S337,"F",IF(ISBLANK(R337),"",IF(ISTEXT(R337),R337,IF(R337&gt;=0.9*U337,"O",IF(R337&gt;=0.85*U337,"A+",IF(R337&gt;=0.8*U337,"A",IF(R337&gt;=0.7*U337,"B+",IF(R337&gt;=0.6*U337,"B",IF(R337&gt;=0.5*U337,"C",IF(R337&gt;=0.4*U337,"P",IF(R337&lt;0.4*U337,"F",R337))))))))))))))</f>
        <v>#N/A</v>
      </c>
      <c r="N337" s="8" t="e">
        <f t="shared" ca="1" si="34"/>
        <v>#N/A</v>
      </c>
      <c r="O337">
        <f>O336+1</f>
        <v>2</v>
      </c>
      <c r="P337" s="1" t="e">
        <f ca="1">IF(ISERROR(F331),"",IF(ISTEXT(VLOOKUP(B331,INDIRECT($F$8),6+(O337-1)*3)),(VLOOKUP(B331,INDIRECT($F$8),6+(O337-1)*3)),SUM(VLOOKUP(B331,INDIRECT($F$8),6+(O337-1)*3),IF(W346,W337,0))))</f>
        <v>#N/A</v>
      </c>
      <c r="Q337" s="1">
        <f ca="1">IF(ISERROR(F331),"",VLOOKUP(B331,INDIRECT($F$8),7+(O337-1)*3))</f>
        <v>35</v>
      </c>
      <c r="R337" s="1" t="e">
        <f ca="1">IF(ISERROR(F331),"",SUM(P337:Q337))</f>
        <v>#N/A</v>
      </c>
      <c r="S337" s="1">
        <f ca="1">IF(ISERROR(F331),"",VLOOKUP(A331,INDIRECT($F$8),6+(O337-1)*3))</f>
        <v>100</v>
      </c>
      <c r="T337" s="1">
        <f ca="1">IF(ISERROR(F331),"",VLOOKUP(A331,INDIRECT($F$8),7+(O337-1)*3))</f>
        <v>50</v>
      </c>
      <c r="U337" s="1">
        <f ca="1">IF(ISERROR(F331),"",VLOOKUP(A331,INDIRECT($F$8),8+(O337-1)*3))</f>
        <v>150</v>
      </c>
      <c r="V337" s="1" t="e">
        <f ca="1">IF(ISERROR(F331),"",IF(N337=0,A337,""))</f>
        <v>#N/A</v>
      </c>
      <c r="W337" s="1">
        <f ca="1">IF(ISERROR(F331),"",IF(ISTEXT(VLOOKUP(B331,INDIRECT($F$8),6+(O337-1)*3)),11,IF(VLOOKUP(B331,INDIRECT($F$8),6+(O337-1)*3)&lt;S337*0.3,IF(VLOOKUP(B331,INDIRECT($F$8),8+(O337-1)*3)&lt;U337*0.4,IF(AND(0.4*U337-VLOOKUP(B331,INDIRECT($F$8),8+(O337-1)*3)&lt;=5,0.3*S337-VLOOKUP(B331,INDIRECT($F$8),6+(O337-1)*3)&lt;=5),MAX(0.4*U337-VLOOKUP(B331,INDIRECT($F$8),8+(O337-1)*3),0.3*S337-VLOOKUP(B331,INDIRECT($F$8),6+(O337-1)*3)),11),IF(0.3*S337-VLOOKUP(B331,INDIRECT($F$8),6+(O337-1)*3)&lt;=5,0.3*S337-VLOOKUP(B331,INDIRECT($F$8),6+(O337-1)*3),11)),IF(VLOOKUP(B331,INDIRECT($F$8),8+(O337-1)*3)&lt;U337*0.4,IF(U337*0.4-VLOOKUP(B331,INDIRECT($F$8),8+(O337-1)*3)&lt;=5,U337*0.4-VLOOKUP(B331,INDIRECT($F$8),8+(O337-1)*3),11),0))))</f>
        <v>0</v>
      </c>
      <c r="X337" s="1" t="str">
        <f ca="1">IF(ISERROR(F331),"",IF(W337=0,"",_xlfn.TEXTJOIN("",FALSE," G+",W337," in ",A337)))</f>
        <v/>
      </c>
    </row>
    <row r="338" spans="1:24" ht="13" customHeight="1" x14ac:dyDescent="0.2">
      <c r="A338" s="7" t="str">
        <f ca="1">IF(ISERROR(F331),"",VLOOKUP(C331,INDIRECT($F$8),6+(O338-1)*3,0))</f>
        <v>CAT 011</v>
      </c>
      <c r="B338" s="41" t="str">
        <f ca="1">IF(ISERROR(F331),"",VLOOKUP(D331,INDIRECT($F$8),6+(O338-1)*3,0))</f>
        <v>Object Oriented Programming with JAVA</v>
      </c>
      <c r="C338" s="41"/>
      <c r="D338" s="41"/>
      <c r="E338" s="41"/>
      <c r="F338" s="7">
        <f ca="1">IF(ISERROR(F331),"",VLOOKUP(E331,INDIRECT($F$8),6+(O338-1)*3,0))</f>
        <v>4</v>
      </c>
      <c r="G338" s="42" t="e">
        <f ca="1">IF(ISERROR(F331),"",_xlfn.TEXTJOIN("/",FALSE,P338,S338))</f>
        <v>#N/A</v>
      </c>
      <c r="H338" s="42"/>
      <c r="I338" s="42" t="str">
        <f ca="1">IF(ISERROR(F331),"",_xlfn.TEXTJOIN("/",FALSE,Q338,T338))</f>
        <v>32/50</v>
      </c>
      <c r="J338" s="42"/>
      <c r="K338" s="42" t="e">
        <f ca="1">IF(ISERROR(F331),"",_xlfn.TEXTJOIN("/",FALSE,R338,U338))</f>
        <v>#N/A</v>
      </c>
      <c r="L338" s="42"/>
      <c r="M338" s="7" t="e">
        <f ca="1">IF(ISERROR(F331),"",IF(ISTEXT(P338),IF(P338="A","Ab",IF(P338="D","Dt",IF(P338="UFM","UFM",IF(P338="NA","")))),IF(AND(ISBLANK(P338),ISBLANK(R338)),"",IF(P338&lt;0.3*S338,"F",IF(ISBLANK(R338),"",IF(ISTEXT(R338),R338,IF(R338&gt;=0.9*U338,"O",IF(R338&gt;=0.85*U338,"A+",IF(R338&gt;=0.8*U338,"A",IF(R338&gt;=0.7*U338,"B+",IF(R338&gt;=0.6*U338,"B",IF(R338&gt;=0.5*U338,"C",IF(R338&gt;=0.4*U338,"P",IF(R338&lt;0.4*U338,"F",R338))))))))))))))</f>
        <v>#N/A</v>
      </c>
      <c r="N338" s="8" t="e">
        <f t="shared" ca="1" si="34"/>
        <v>#N/A</v>
      </c>
      <c r="O338">
        <f>O337+1</f>
        <v>3</v>
      </c>
      <c r="P338" s="1" t="e">
        <f ca="1">IF(ISERROR(F331),"",IF(ISTEXT(VLOOKUP(B331,INDIRECT($F$8),6+(O338-1)*3)),(VLOOKUP(B331,INDIRECT($F$8),6+(O338-1)*3)),SUM(VLOOKUP(B331,INDIRECT($F$8),6+(O338-1)*3),IF(W346,W338,0))))</f>
        <v>#N/A</v>
      </c>
      <c r="Q338" s="1">
        <f ca="1">IF(ISERROR(F331),"",VLOOKUP(B331,INDIRECT($F$8),7+(O338-1)*3))</f>
        <v>32</v>
      </c>
      <c r="R338" s="1" t="e">
        <f ca="1">IF(ISERROR(F331),"",SUM(P338:Q338))</f>
        <v>#N/A</v>
      </c>
      <c r="S338" s="1">
        <f ca="1">IF(ISERROR(F331),"",VLOOKUP(A331,INDIRECT($F$8),6+(O338-1)*3))</f>
        <v>100</v>
      </c>
      <c r="T338" s="1">
        <f ca="1">IF(ISERROR(F331),"",VLOOKUP(A331,INDIRECT($F$8),7+(O338-1)*3))</f>
        <v>50</v>
      </c>
      <c r="U338" s="1">
        <f ca="1">IF(ISERROR(F331),"",VLOOKUP(A331,INDIRECT($F$8),8+(O338-1)*3))</f>
        <v>150</v>
      </c>
      <c r="V338" s="1" t="e">
        <f ca="1">IF(ISERROR(F331),"",IF(N338=0,A338,""))</f>
        <v>#N/A</v>
      </c>
      <c r="W338" s="1">
        <f ca="1">IF(ISERROR(F331),"",IF(ISTEXT(VLOOKUP(B331,INDIRECT($F$8),6+(O338-1)*3)),11,IF(VLOOKUP(B331,INDIRECT($F$8),6+(O338-1)*3)&lt;S338*0.3,IF(VLOOKUP(B331,INDIRECT($F$8),8+(O338-1)*3)&lt;U338*0.4,IF(AND(0.4*U338-VLOOKUP(B331,INDIRECT($F$8),8+(O338-1)*3)&lt;=5,0.3*S338-VLOOKUP(B331,INDIRECT($F$8),6+(O338-1)*3)&lt;=5),MAX(0.4*U338-VLOOKUP(B331,INDIRECT($F$8),8+(O338-1)*3),0.3*S338-VLOOKUP(B331,INDIRECT($F$8),6+(O338-1)*3)),11),IF(0.3*S338-VLOOKUP(B331,INDIRECT($F$8),6+(O338-1)*3)&lt;=5,0.3*S338-VLOOKUP(B331,INDIRECT($F$8),6+(O338-1)*3),11)),IF(VLOOKUP(B331,INDIRECT($F$8),8+(O338-1)*3)&lt;U338*0.4,IF(U338*0.4-VLOOKUP(B331,INDIRECT($F$8),8+(O338-1)*3)&lt;=5,U338*0.4-VLOOKUP(B331,INDIRECT($F$8),8+(O338-1)*3),11),0))))</f>
        <v>0</v>
      </c>
      <c r="X338" s="1" t="str">
        <f ca="1">IF(ISERROR(F331),"",IF(W338=0,"",_xlfn.TEXTJOIN("",FALSE," G+",W338," in ",A338)))</f>
        <v/>
      </c>
    </row>
    <row r="339" spans="1:24" ht="13" customHeight="1" x14ac:dyDescent="0.2">
      <c r="A339" s="7" t="str">
        <f ca="1">IF(ISERROR(F331),"",VLOOKUP(C331,INDIRECT($F$8),6+(O339-1)*3,0))</f>
        <v>CAT 012</v>
      </c>
      <c r="B339" s="41" t="str">
        <f ca="1">IF(ISERROR(F331),"",VLOOKUP(D331,INDIRECT($F$8),6+(O339-1)*3,0))</f>
        <v>Computer Networks</v>
      </c>
      <c r="C339" s="41"/>
      <c r="D339" s="41"/>
      <c r="E339" s="41"/>
      <c r="F339" s="7">
        <f ca="1">IF(ISERROR(F331),"",VLOOKUP(E331,INDIRECT($F$8),6+(O339-1)*3,0))</f>
        <v>4</v>
      </c>
      <c r="G339" s="42" t="e">
        <f ca="1">IF(ISERROR(F331),"",_xlfn.TEXTJOIN("/",FALSE,P339,S339))</f>
        <v>#N/A</v>
      </c>
      <c r="H339" s="42"/>
      <c r="I339" s="42" t="str">
        <f ca="1">IF(ISERROR(F331),"",_xlfn.TEXTJOIN("/",FALSE,Q339,T339))</f>
        <v>40/50</v>
      </c>
      <c r="J339" s="42"/>
      <c r="K339" s="42" t="e">
        <f ca="1">IF(ISERROR(F331),"",_xlfn.TEXTJOIN("/",FALSE,R339,U339))</f>
        <v>#N/A</v>
      </c>
      <c r="L339" s="42"/>
      <c r="M339" s="7" t="e">
        <f ca="1">IF(ISERROR(F331),"",IF(ISTEXT(P339),IF(P339="A","Ab",IF(P339="D","Dt",IF(P339="UFM","UFM",IF(P339="NA","")))),IF(AND(ISBLANK(P339),ISBLANK(R339)),"",IF(P339&lt;0.3*S339,"F",IF(ISBLANK(R339),"",IF(ISTEXT(R339),R339,IF(R339&gt;=0.9*U339,"O",IF(R339&gt;=0.85*U339,"A+",IF(R339&gt;=0.8*U339,"A",IF(R339&gt;=0.7*U339,"B+",IF(R339&gt;=0.6*U339,"B",IF(R339&gt;=0.5*U339,"C",IF(R339&gt;=0.4*U339,"P",IF(R339&lt;0.4*U339,"F",R339))))))))))))))</f>
        <v>#N/A</v>
      </c>
      <c r="N339" s="8" t="e">
        <f t="shared" ca="1" si="34"/>
        <v>#N/A</v>
      </c>
      <c r="O339">
        <f t="shared" ref="O339:O345" si="35">O338+1</f>
        <v>4</v>
      </c>
      <c r="P339" s="1" t="e">
        <f ca="1">IF(ISERROR(F331),"",IF(ISTEXT(VLOOKUP(B331,INDIRECT($F$8),6+(O339-1)*3)),(VLOOKUP(B331,INDIRECT($F$8),6+(O339-1)*3)),SUM(VLOOKUP(B331,INDIRECT($F$8),6+(O339-1)*3),IF(W346,W339,0))))</f>
        <v>#N/A</v>
      </c>
      <c r="Q339" s="1">
        <f ca="1">IF(ISERROR(F331),"",VLOOKUP(B331,INDIRECT($F$8),7+(O339-1)*3))</f>
        <v>40</v>
      </c>
      <c r="R339" s="1" t="e">
        <f ca="1">IF(ISERROR(F331),"",SUM(P339:Q339))</f>
        <v>#N/A</v>
      </c>
      <c r="S339" s="1">
        <f ca="1">IF(ISERROR(F331),"",VLOOKUP(A331,INDIRECT($F$8),6+(O339-1)*3))</f>
        <v>100</v>
      </c>
      <c r="T339" s="1">
        <f ca="1">IF(ISERROR(F331),"",VLOOKUP(A331,INDIRECT($F$8),7+(O339-1)*3))</f>
        <v>50</v>
      </c>
      <c r="U339" s="1">
        <f ca="1">IF(ISERROR(F331),"",VLOOKUP(A331,INDIRECT($F$8),8+(O339-1)*3))</f>
        <v>150</v>
      </c>
      <c r="V339" s="1" t="e">
        <f ca="1">IF(ISERROR(F331),"",IF(N339=0,A339,""))</f>
        <v>#N/A</v>
      </c>
      <c r="W339" s="1">
        <f ca="1">IF(ISERROR(F331),"",IF(ISTEXT(VLOOKUP(B331,INDIRECT($F$8),6+(O339-1)*3)),11,IF(VLOOKUP(B331,INDIRECT($F$8),6+(O339-1)*3)&lt;S339*0.3,IF(VLOOKUP(B331,INDIRECT($F$8),8+(O339-1)*3)&lt;U339*0.4,IF(AND(0.4*U339-VLOOKUP(B331,INDIRECT($F$8),8+(O339-1)*3)&lt;=5,0.3*S339-VLOOKUP(B331,INDIRECT($F$8),6+(O339-1)*3)&lt;=5),MAX(0.4*U339-VLOOKUP(B331,INDIRECT($F$8),8+(O339-1)*3),0.3*S339-VLOOKUP(B331,INDIRECT($F$8),6+(O339-1)*3)),11),IF(0.3*S339-VLOOKUP(B331,INDIRECT($F$8),6+(O339-1)*3)&lt;=5,0.3*S339-VLOOKUP(B331,INDIRECT($F$8),6+(O339-1)*3),11)),IF(VLOOKUP(B331,INDIRECT($F$8),8+(O339-1)*3)&lt;U339*0.4,IF(U339*0.4-VLOOKUP(B331,INDIRECT($F$8),8+(O339-1)*3)&lt;=5,U339*0.4-VLOOKUP(B331,INDIRECT($F$8),8+(O339-1)*3),11),0))))</f>
        <v>0</v>
      </c>
      <c r="X339" s="1" t="str">
        <f ca="1">IF(ISERROR(F331),"",IF(W339=0,"",_xlfn.TEXTJOIN("",FALSE," G+",W339," in ",A339)))</f>
        <v/>
      </c>
    </row>
    <row r="340" spans="1:24" ht="13" customHeight="1" x14ac:dyDescent="0.2">
      <c r="A340" s="7" t="str">
        <f ca="1">IF(ISERROR(F331),"",VLOOKUP(C331,INDIRECT($F$8),6+(O340-1)*3,0))</f>
        <v>CAT 013</v>
      </c>
      <c r="B340" s="41" t="str">
        <f ca="1">IF(ISERROR(F331),"",VLOOKUP(D331,INDIRECT($F$8),6+(O340-1)*3,0))</f>
        <v>Artificial Intelligence</v>
      </c>
      <c r="C340" s="41"/>
      <c r="D340" s="41"/>
      <c r="E340" s="41"/>
      <c r="F340" s="7">
        <f ca="1">IF(ISERROR(F331),"",VLOOKUP(E331,INDIRECT($F$8),6+(O340-1)*3,0))</f>
        <v>4</v>
      </c>
      <c r="G340" s="42" t="e">
        <f ca="1">IF(ISERROR(F331),"",_xlfn.TEXTJOIN("/",FALSE,P340,S340))</f>
        <v>#N/A</v>
      </c>
      <c r="H340" s="42"/>
      <c r="I340" s="42" t="str">
        <f ca="1">IF(ISERROR(F331),"",_xlfn.TEXTJOIN("/",FALSE,Q340,T340))</f>
        <v>43/50</v>
      </c>
      <c r="J340" s="42"/>
      <c r="K340" s="42" t="e">
        <f ca="1">IF(ISERROR(F331),"",_xlfn.TEXTJOIN("/",FALSE,R340,U340))</f>
        <v>#N/A</v>
      </c>
      <c r="L340" s="42"/>
      <c r="M340" s="7" t="e">
        <f ca="1">IF(ISERROR(F331),"",IF(ISTEXT(P340),IF(P340="A","Ab",IF(P340="D","Dt",IF(P340="UFM","UFM",IF(P340="NA","")))),IF(AND(ISBLANK(P340),ISBLANK(R340)),"",IF(P340&lt;0.3*S340,"F",IF(ISBLANK(R340),"",IF(ISTEXT(R340),R340,IF(R340&gt;=0.9*U340,"O",IF(R340&gt;=0.85*U340,"A+",IF(R340&gt;=0.8*U340,"A",IF(R340&gt;=0.7*U340,"B+",IF(R340&gt;=0.6*U340,"B",IF(R340&gt;=0.5*U340,"C",IF(R340&gt;=0.4*U340,"P",IF(R340&lt;0.4*U340,"F",R340))))))))))))))</f>
        <v>#N/A</v>
      </c>
      <c r="N340" s="8" t="e">
        <f t="shared" ca="1" si="34"/>
        <v>#N/A</v>
      </c>
      <c r="O340">
        <f t="shared" si="35"/>
        <v>5</v>
      </c>
      <c r="P340" s="1" t="e">
        <f ca="1">IF(ISERROR(F331),"",IF(ISTEXT(VLOOKUP(B331,INDIRECT($F$8),6+(O340-1)*3)),(VLOOKUP(B331,INDIRECT($F$8),6+(O340-1)*3)),SUM(VLOOKUP(B331,INDIRECT($F$8),6+(O340-1)*3),IF(W346,W340,0))))</f>
        <v>#N/A</v>
      </c>
      <c r="Q340" s="1">
        <f ca="1">IF(ISERROR(F331),"",VLOOKUP(B331,INDIRECT($F$8),7+(O340-1)*3))</f>
        <v>43</v>
      </c>
      <c r="R340" s="1" t="e">
        <f ca="1">IF(ISERROR(F331),"",SUM(P340:Q340))</f>
        <v>#N/A</v>
      </c>
      <c r="S340" s="1">
        <f ca="1">IF(ISERROR(F331),"",VLOOKUP(A331,INDIRECT($F$8),6+(O340-1)*3))</f>
        <v>100</v>
      </c>
      <c r="T340" s="1">
        <f ca="1">IF(ISERROR(F331),"",VLOOKUP(A331,INDIRECT($F$8),7+(O340-1)*3))</f>
        <v>50</v>
      </c>
      <c r="U340" s="1">
        <f ca="1">IF(ISERROR(F331),"",VLOOKUP(A331,INDIRECT($F$8),8+(O340-1)*3))</f>
        <v>150</v>
      </c>
      <c r="V340" s="1" t="e">
        <f ca="1">IF(ISERROR(F331),"",IF(N340=0,A340,""))</f>
        <v>#N/A</v>
      </c>
      <c r="W340" s="1">
        <f ca="1">IF(ISERROR(F331),"",IF(ISTEXT(VLOOKUP(B331,INDIRECT($F$8),6+(O340-1)*3)),11,IF(VLOOKUP(B331,INDIRECT($F$8),6+(O340-1)*3)&lt;S340*0.3,IF(VLOOKUP(B331,INDIRECT($F$8),8+(O340-1)*3)&lt;U340*0.4,IF(AND(0.4*U340-VLOOKUP(B331,INDIRECT($F$8),8+(O340-1)*3)&lt;=5,0.3*S340-VLOOKUP(B331,INDIRECT($F$8),6+(O340-1)*3)&lt;=5),MAX(0.4*U340-VLOOKUP(B331,INDIRECT($F$8),8+(O340-1)*3),0.3*S340-VLOOKUP(B331,INDIRECT($F$8),6+(O340-1)*3)),11),IF(0.3*S340-VLOOKUP(B331,INDIRECT($F$8),6+(O340-1)*3)&lt;=5,0.3*S340-VLOOKUP(B331,INDIRECT($F$8),6+(O340-1)*3),11)),IF(VLOOKUP(B331,INDIRECT($F$8),8+(O340-1)*3)&lt;U340*0.4,IF(U340*0.4-VLOOKUP(B331,INDIRECT($F$8),8+(O340-1)*3)&lt;=5,U340*0.4-VLOOKUP(B331,INDIRECT($F$8),8+(O340-1)*3),11),0))))</f>
        <v>0</v>
      </c>
      <c r="X340" s="1" t="str">
        <f ca="1">IF(ISERROR(F331),"",IF(W340=0,"",_xlfn.TEXTJOIN("",FALSE," G+",W340," in ",A340)))</f>
        <v/>
      </c>
    </row>
    <row r="341" spans="1:24" ht="13" customHeight="1" x14ac:dyDescent="0.2">
      <c r="A341" s="7" t="str">
        <f ca="1">IF(ISERROR(F331),"",VLOOKUP(C331,INDIRECT($F$8),6+(O341-1)*3,0))</f>
        <v>AHT 304</v>
      </c>
      <c r="B341" s="41" t="str">
        <f ca="1">IF(ISERROR(F331),"",VLOOKUP(D331,INDIRECT($F$8),6+(O341-1)*3,0))</f>
        <v>Accounting and Financial Management ($)</v>
      </c>
      <c r="C341" s="41"/>
      <c r="D341" s="41"/>
      <c r="E341" s="41"/>
      <c r="F341" s="7">
        <f ca="1">IF(ISERROR(F331),"",VLOOKUP(E331,INDIRECT($F$8),6+(O341-1)*3,0))</f>
        <v>0</v>
      </c>
      <c r="G341" s="42" t="e">
        <f ca="1">IF(ISERROR(F331),"",_xlfn.TEXTJOIN("/",FALSE,P341,S341))</f>
        <v>#N/A</v>
      </c>
      <c r="H341" s="42"/>
      <c r="I341" s="42" t="str">
        <f ca="1">IF(ISERROR(F331),"",_xlfn.TEXTJOIN("/",FALSE,Q341,T341))</f>
        <v>27/50</v>
      </c>
      <c r="J341" s="42"/>
      <c r="K341" s="42" t="e">
        <f ca="1">IF(ISERROR(F331),"",_xlfn.TEXTJOIN("/",FALSE,R341,U341))</f>
        <v>#N/A</v>
      </c>
      <c r="L341" s="42"/>
      <c r="M341" s="7" t="e">
        <f ca="1">IF(ISERROR(F331),"",IF(ISTEXT(P341),IF(P341="A","Ab",IF(P341="D","Dt",IF(P341="UFM","UFM",IF(P341="NA","")))),IF(AND(ISBLANK(P341),ISBLANK(R341)),"",IF(P341&lt;0.3*S341,"F",IF(ISBLANK(R341),"",IF(ISTEXT(R341),R341,IF(R341&gt;=0.9*U341,"O",IF(R341&gt;=0.85*U341,"A+",IF(R341&gt;=0.8*U341,"A",IF(R341&gt;=0.7*U341,"B+",IF(R341&gt;=0.6*U341,"B",IF(R341&gt;=0.5*U341,"C",IF(R341&gt;=0.4*U341,"P",IF(R341&lt;0.4*U341,"F",R341))))))))))))))</f>
        <v>#N/A</v>
      </c>
      <c r="N341" s="8" t="e">
        <f t="shared" ca="1" si="34"/>
        <v>#N/A</v>
      </c>
      <c r="O341">
        <f t="shared" si="35"/>
        <v>6</v>
      </c>
      <c r="P341" s="1" t="e">
        <f ca="1">IF(ISERROR(F331),"",IF(ISTEXT(VLOOKUP(B331,INDIRECT($F$8),6+(O341-1)*3)),(VLOOKUP(B331,INDIRECT($F$8),6+(O341-1)*3)),SUM(VLOOKUP(B331,INDIRECT($F$8),6+(O341-1)*3),IF(W346,W341,0))))</f>
        <v>#N/A</v>
      </c>
      <c r="Q341" s="1">
        <f ca="1">IF(ISERROR(F331),"",VLOOKUP(B331,INDIRECT($F$8),7+(O341-1)*3))</f>
        <v>27</v>
      </c>
      <c r="R341" s="1" t="e">
        <f ca="1">IF(ISERROR(F331),"",SUM(P341:Q341))</f>
        <v>#N/A</v>
      </c>
      <c r="S341" s="1">
        <f ca="1">IF(ISERROR(F331),"",VLOOKUP(A331,INDIRECT($F$8),6+(O341-1)*3))</f>
        <v>0</v>
      </c>
      <c r="T341" s="1">
        <f ca="1">IF(ISERROR(F331),"",VLOOKUP(A331,INDIRECT($F$8),7+(O341-1)*3))</f>
        <v>50</v>
      </c>
      <c r="U341" s="1">
        <f ca="1">IF(ISERROR(F331),"",VLOOKUP(A331,INDIRECT($F$8),8+(O341-1)*3))</f>
        <v>50</v>
      </c>
      <c r="V341" s="1" t="e">
        <f ca="1">IF(ISERROR(F331),"",IF(N341=0,A341,""))</f>
        <v>#N/A</v>
      </c>
      <c r="W341" s="1">
        <f ca="1">IF(ISERROR(F331),"",IF(ISTEXT(VLOOKUP(B331,INDIRECT($F$8),6+(O341-1)*3)),11,IF(VLOOKUP(B331,INDIRECT($F$8),6+(O341-1)*3)&lt;S341*0.3,IF(VLOOKUP(B331,INDIRECT($F$8),8+(O341-1)*3)&lt;U341*0.4,IF(AND(0.4*U341-VLOOKUP(B331,INDIRECT($F$8),8+(O341-1)*3)&lt;=5,0.3*S341-VLOOKUP(B331,INDIRECT($F$8),6+(O341-1)*3)&lt;=5),MAX(0.4*U341-VLOOKUP(B331,INDIRECT($F$8),8+(O341-1)*3),0.3*S341-VLOOKUP(B331,INDIRECT($F$8),6+(O341-1)*3)),11),IF(0.3*S341-VLOOKUP(B331,INDIRECT($F$8),6+(O341-1)*3)&lt;=5,0.3*S341-VLOOKUP(B331,INDIRECT($F$8),6+(O341-1)*3),11)),IF(VLOOKUP(B331,INDIRECT($F$8),8+(O341-1)*3)&lt;U341*0.4,IF(U341*0.4-VLOOKUP(B331,INDIRECT($F$8),8+(O341-1)*3)&lt;=5,U341*0.4-VLOOKUP(B331,INDIRECT($F$8),8+(O341-1)*3),11),0))))</f>
        <v>0</v>
      </c>
      <c r="X341" s="1" t="str">
        <f ca="1">IF(ISERROR(F331),"",IF(W341=0,"",_xlfn.TEXTJOIN("",FALSE," G+",W341," in ",A341)))</f>
        <v/>
      </c>
    </row>
    <row r="342" spans="1:24" ht="13" customHeight="1" x14ac:dyDescent="0.2">
      <c r="A342" s="7" t="str">
        <f ca="1">IF(ISERROR(F331),"",VLOOKUP(C331,INDIRECT($F$8),6+(O342-1)*3,0))</f>
        <v>CAP 004</v>
      </c>
      <c r="B342" s="41" t="str">
        <f ca="1">IF(ISERROR(F331),"",VLOOKUP(D331,INDIRECT($F$8),6+(O342-1)*3,0))</f>
        <v>Data Structures and Analysis of Algorithms Lab</v>
      </c>
      <c r="C342" s="41"/>
      <c r="D342" s="41"/>
      <c r="E342" s="41"/>
      <c r="F342" s="7">
        <f ca="1">IF(ISERROR(F331),"",VLOOKUP(E331,INDIRECT($F$8),6+(O342-1)*3,0))</f>
        <v>1</v>
      </c>
      <c r="G342" s="42" t="e">
        <f ca="1">IF(ISERROR(F331),"",_xlfn.TEXTJOIN("/",FALSE,P342,S342))</f>
        <v>#N/A</v>
      </c>
      <c r="H342" s="42"/>
      <c r="I342" s="42" t="str">
        <f ca="1">IF(ISERROR(F331),"",_xlfn.TEXTJOIN("/",FALSE,Q342,T342))</f>
        <v>15/20</v>
      </c>
      <c r="J342" s="42"/>
      <c r="K342" s="42" t="e">
        <f ca="1">IF(ISERROR(F331),"",_xlfn.TEXTJOIN("/",FALSE,R342,U342))</f>
        <v>#N/A</v>
      </c>
      <c r="L342" s="42"/>
      <c r="M342" s="7" t="e">
        <f ca="1">IF(ISERROR(F331),"",IF(ISTEXT(P342),IF(P342="A","Ab",IF(P342="D","Dt",IF(P342="UFM","UFM",IF(P342="NA","")))),IF(AND(ISBLANK(P342),ISBLANK(R342)),"",IF(P342&lt;0.3*S342,"F",IF(ISBLANK(R342),"",IF(ISTEXT(R342),R342,IF(R342&gt;=0.9*U342,"O",IF(R342&gt;=0.85*U342,"A+",IF(R342&gt;=0.8*U342,"A",IF(R342&gt;=0.7*U342,"B+",IF(R342&gt;=0.6*U342,"B",IF(R342&gt;=0.5*U342,"C",IF(R342&gt;=0.4*U342,"P",IF(R342&lt;0.4*U342,"F",R342))))))))))))))</f>
        <v>#N/A</v>
      </c>
      <c r="N342" s="8" t="e">
        <f t="shared" ca="1" si="34"/>
        <v>#N/A</v>
      </c>
      <c r="O342">
        <f t="shared" si="35"/>
        <v>7</v>
      </c>
      <c r="P342" s="1" t="e">
        <f ca="1">IF(ISERROR(F331),"",IF(ISTEXT(VLOOKUP(B331,INDIRECT($F$8),6+(O342-1)*3)),(VLOOKUP(B331,INDIRECT($F$8),6+(O342-1)*3)),SUM(VLOOKUP(B331,INDIRECT($F$8),6+(O342-1)*3),IF(W346,W342,0))))</f>
        <v>#N/A</v>
      </c>
      <c r="Q342" s="1">
        <f ca="1">IF(ISERROR(F331),"",VLOOKUP(B331,INDIRECT($F$8),7+(O342-1)*3))</f>
        <v>15</v>
      </c>
      <c r="R342" s="1" t="e">
        <f ca="1">IF(ISERROR(F331),"",SUM(P342:Q342))</f>
        <v>#N/A</v>
      </c>
      <c r="S342" s="1">
        <f ca="1">IF(ISERROR(F331),"",VLOOKUP(A331,INDIRECT($F$8),6+(O342-1)*3))</f>
        <v>30</v>
      </c>
      <c r="T342" s="1">
        <f ca="1">IF(ISERROR(F331),"",VLOOKUP(A331,INDIRECT($F$8),7+(O342-1)*3))</f>
        <v>20</v>
      </c>
      <c r="U342" s="1">
        <f ca="1">IF(ISERROR(F331),"",VLOOKUP(A331,INDIRECT($F$8),8+(O342-1)*3))</f>
        <v>50</v>
      </c>
      <c r="V342" s="1" t="e">
        <f ca="1">IF(ISERROR(F331),"",IF(N342=0,A342,""))</f>
        <v>#N/A</v>
      </c>
      <c r="W342" s="1">
        <f ca="1">IF(ISERROR(F331),"",IF(ISTEXT(VLOOKUP(B331,INDIRECT($F$8),6+(O342-1)*3)),11,IF(VLOOKUP(B331,INDIRECT($F$8),6+(O342-1)*3)&lt;S342*0.3,IF(VLOOKUP(B331,INDIRECT($F$8),8+(O342-1)*3)&lt;U342*0.4,IF(AND(0.4*U342-VLOOKUP(B331,INDIRECT($F$8),8+(O342-1)*3)&lt;=5,0.3*S342-VLOOKUP(B331,INDIRECT($F$8),6+(O342-1)*3)&lt;=5),MAX(0.4*U342-VLOOKUP(B331,INDIRECT($F$8),8+(O342-1)*3),0.3*S342-VLOOKUP(B331,INDIRECT($F$8),6+(O342-1)*3)),11),IF(0.3*S342-VLOOKUP(B331,INDIRECT($F$8),6+(O342-1)*3)&lt;=5,0.3*S342-VLOOKUP(B331,INDIRECT($F$8),6+(O342-1)*3),11)),IF(VLOOKUP(B331,INDIRECT($F$8),8+(O342-1)*3)&lt;U342*0.4,IF(U342*0.4-VLOOKUP(B331,INDIRECT($F$8),8+(O342-1)*3)&lt;=5,U342*0.4-VLOOKUP(B331,INDIRECT($F$8),8+(O342-1)*3),11),0))))</f>
        <v>0</v>
      </c>
      <c r="X342" s="1" t="str">
        <f ca="1">IF(ISERROR(F331),"",IF(W342=0,"",_xlfn.TEXTJOIN("",FALSE," G+",W342," in ",A342)))</f>
        <v/>
      </c>
    </row>
    <row r="343" spans="1:24" ht="13" customHeight="1" x14ac:dyDescent="0.2">
      <c r="A343" s="7" t="str">
        <f ca="1">IF(ISERROR(F331),"",VLOOKUP(C331,INDIRECT($F$8),6+(O343-1)*3,0))</f>
        <v>CAP 005</v>
      </c>
      <c r="B343" s="41" t="str">
        <f ca="1">IF(ISERROR(F331),"",VLOOKUP(D331,INDIRECT($F$8),6+(O343-1)*3-Z343,0))</f>
        <v>Object Oriented Programming with JAVA Lab</v>
      </c>
      <c r="C343" s="41"/>
      <c r="D343" s="41"/>
      <c r="E343" s="41"/>
      <c r="F343" s="7">
        <f ca="1">IF(ISERROR(F331),"",VLOOKUP(E331,INDIRECT($F$8),6+(O343-1)*3,0))</f>
        <v>1</v>
      </c>
      <c r="G343" s="42" t="e">
        <f ca="1">IF(ISERROR(F331),"",_xlfn.TEXTJOIN("/",FALSE,P343,S343))</f>
        <v>#N/A</v>
      </c>
      <c r="H343" s="42"/>
      <c r="I343" s="42" t="str">
        <f ca="1">IF(ISERROR(F331),"",_xlfn.TEXTJOIN("/",FALSE,Q343,T343))</f>
        <v>13/20</v>
      </c>
      <c r="J343" s="42"/>
      <c r="K343" s="42" t="e">
        <f ca="1">IF(ISERROR(F331),"",_xlfn.TEXTJOIN("/",FALSE,R343,U343))</f>
        <v>#N/A</v>
      </c>
      <c r="L343" s="42"/>
      <c r="M343" s="7" t="e">
        <f ca="1">IF(ISERROR(F331),"",IF(ISTEXT(P343),IF(P343="A","Ab",IF(P343="D","Dt",IF(P343="UFM","UFM",IF(P343="NA","")))),IF(AND(ISBLANK(P343),ISBLANK(R343)),"",IF(P343&lt;0.3*S343,"F",IF(ISBLANK(R343),"",IF(ISTEXT(R343),R343,IF(R343&gt;=0.9*U343,"O",IF(R343&gt;=0.85*U343,"A+",IF(R343&gt;=0.8*U343,"A",IF(R343&gt;=0.7*U343,"B+",IF(R343&gt;=0.6*U343,"B",IF(R343&gt;=0.5*U343,"C",IF(R343&gt;=0.4*U343,"P",IF(R343&lt;0.4*U343,"F",R343))))))))))))))</f>
        <v>#N/A</v>
      </c>
      <c r="N343" s="8" t="e">
        <f t="shared" ca="1" si="34"/>
        <v>#N/A</v>
      </c>
      <c r="O343">
        <f t="shared" si="35"/>
        <v>8</v>
      </c>
      <c r="P343" s="1" t="e">
        <f ca="1">IF(ISERROR(F331),"",IF(ISTEXT(VLOOKUP(B331,INDIRECT($F$8),6+(O343-1)*3)),(VLOOKUP(B331,INDIRECT($F$8),6+(O343-1)*3)),SUM(VLOOKUP(B331,INDIRECT($F$8),6+(O343-1)*3),IF(W346,W343,0))))</f>
        <v>#N/A</v>
      </c>
      <c r="Q343" s="1">
        <f ca="1">IF(ISERROR(F331),"",VLOOKUP(B331,INDIRECT($F$8),7+(O343-1)*3))</f>
        <v>13</v>
      </c>
      <c r="R343" s="1" t="e">
        <f ca="1">IF(ISERROR(F331),"",SUM(P343:Q343))</f>
        <v>#N/A</v>
      </c>
      <c r="S343" s="1">
        <f ca="1">IF(ISERROR(F331),"",VLOOKUP(A331,INDIRECT($F$8),6+(O343-1)*3))</f>
        <v>30</v>
      </c>
      <c r="T343" s="1">
        <f ca="1">IF(ISERROR(F331),"",VLOOKUP(A331,INDIRECT($F$8),7+(O343-1)*3))</f>
        <v>20</v>
      </c>
      <c r="U343" s="1">
        <f ca="1">IF(ISERROR(F331),"",VLOOKUP(A331,INDIRECT($F$8),8+(O343-1)*3))</f>
        <v>50</v>
      </c>
      <c r="V343" s="1" t="e">
        <f ca="1">IF(ISERROR(F331),"",IF(N343=0,A343,""))</f>
        <v>#N/A</v>
      </c>
      <c r="W343" s="1">
        <f ca="1">IF(ISERROR(F331),"",IF(ISTEXT(VLOOKUP(B331,INDIRECT($F$8),6+(O343-1)*3)),11,IF(VLOOKUP(B331,INDIRECT($F$8),6+(O343-1)*3)&lt;S343*0.3,IF(VLOOKUP(B331,INDIRECT($F$8),8+(O343-1)*3)&lt;U343*0.4,IF(AND(0.4*U343-VLOOKUP(B331,INDIRECT($F$8),8+(O343-1)*3)&lt;=5,0.3*S343-VLOOKUP(B331,INDIRECT($F$8),6+(O343-1)*3)&lt;=5),MAX(0.4*U343-VLOOKUP(B331,INDIRECT($F$8),8+(O343-1)*3),0.3*S343-VLOOKUP(B331,INDIRECT($F$8),6+(O343-1)*3)),11),IF(0.3*S343-VLOOKUP(B331,INDIRECT($F$8),6+(O343-1)*3)&lt;=5,0.3*S343-VLOOKUP(B331,INDIRECT($F$8),6+(O343-1)*3),11)),IF(VLOOKUP(B331,INDIRECT($F$8),8+(O343-1)*3)&lt;U343*0.4,IF(U343*0.4-VLOOKUP(B331,INDIRECT($F$8),8+(O343-1)*3)&lt;=5,U343*0.4-VLOOKUP(B331,INDIRECT($F$8),8+(O343-1)*3),11),0))))</f>
        <v>0</v>
      </c>
      <c r="X343" s="1" t="str">
        <f ca="1">IF(ISERROR(F331),"",IF(W343=0,"",_xlfn.TEXTJOIN("",FALSE," G+",W343," in ",A343)))</f>
        <v/>
      </c>
    </row>
    <row r="344" spans="1:24" ht="13" customHeight="1" x14ac:dyDescent="0.2">
      <c r="A344" s="7" t="str">
        <f ca="1">IF(ISERROR(F331),"",VLOOKUP(C331,INDIRECT($F$8),6+(O344-1)*3,0))</f>
        <v>CAP 006</v>
      </c>
      <c r="B344" s="41" t="str">
        <f ca="1">IF(ISERROR(F331),"",VLOOKUP(D331,INDIRECT($F$8),6+(O344-1)*3-Z344,0))</f>
        <v>Computer Networks Lab</v>
      </c>
      <c r="C344" s="41"/>
      <c r="D344" s="41"/>
      <c r="E344" s="41"/>
      <c r="F344" s="7">
        <f ca="1">IF(ISERROR(F331),"",VLOOKUP(E331,INDIRECT($F$8),6+(O344-1)*3,0))</f>
        <v>1</v>
      </c>
      <c r="G344" s="42" t="e">
        <f ca="1">IF(ISERROR(F331),"",_xlfn.TEXTJOIN("/",FALSE,P344,S344))</f>
        <v>#N/A</v>
      </c>
      <c r="H344" s="42"/>
      <c r="I344" s="42" t="str">
        <f ca="1">IF(ISERROR(F331),"",_xlfn.TEXTJOIN("/",FALSE,Q344,T344))</f>
        <v>16/20</v>
      </c>
      <c r="J344" s="42"/>
      <c r="K344" s="42" t="e">
        <f ca="1">IF(ISERROR(F331),"",_xlfn.TEXTJOIN("/",FALSE,R344,U344))</f>
        <v>#N/A</v>
      </c>
      <c r="L344" s="42"/>
      <c r="M344" s="7" t="e">
        <f ca="1">IF(ISERROR(F331),"",IF(ISTEXT(P344),IF(P344="A","Ab",IF(P344="D","Dt",IF(P344="UFM","UFM",IF(P344="NA","")))),IF(AND(ISBLANK(P344),ISBLANK(R344)),"",IF(P344&lt;0.3*S344,"F",IF(ISBLANK(R344),"",IF(ISTEXT(R344),R344,IF(R344&gt;=0.9*U344,"O",IF(R344&gt;=0.85*U344,"A+",IF(R344&gt;=0.8*U344,"A",IF(R344&gt;=0.7*U344,"B+",IF(R344&gt;=0.6*U344,"B",IF(R344&gt;=0.5*U344,"C",IF(R344&gt;=0.4*U344,"P",IF(R344&lt;0.4*U344,"F",R344))))))))))))))</f>
        <v>#N/A</v>
      </c>
      <c r="N344" s="8" t="e">
        <f t="shared" ca="1" si="34"/>
        <v>#N/A</v>
      </c>
      <c r="O344">
        <f t="shared" si="35"/>
        <v>9</v>
      </c>
      <c r="P344" s="1" t="e">
        <f ca="1">IF(ISERROR(F331),"",IF(ISTEXT(VLOOKUP(B331,INDIRECT($F$8),6+(O344-1)*3)),(VLOOKUP(B331,INDIRECT($F$8),6+(O344-1)*3)),SUM(VLOOKUP(B331,INDIRECT($F$8),6+(O344-1)*3),IF(W346,W344,0))))</f>
        <v>#N/A</v>
      </c>
      <c r="Q344" s="1">
        <f ca="1">IF(ISERROR(F331),"",VLOOKUP(B331,INDIRECT($F$8),7+(O344-1)*3))</f>
        <v>16</v>
      </c>
      <c r="R344" s="1" t="e">
        <f ca="1">IF(ISERROR(F331),"",SUM(P344:Q344))</f>
        <v>#N/A</v>
      </c>
      <c r="S344" s="1">
        <f ca="1">IF(ISERROR(F331),"",VLOOKUP(A331,INDIRECT($F$8),6+(O344-1)*3))</f>
        <v>30</v>
      </c>
      <c r="T344" s="1">
        <f ca="1">IF(ISERROR(F331),"",VLOOKUP(A331,INDIRECT($F$8),7+(O344-1)*3))</f>
        <v>20</v>
      </c>
      <c r="U344" s="1">
        <f ca="1">IF(ISERROR(F331),"",VLOOKUP(A331,INDIRECT($F$8),8+(O344-1)*3))</f>
        <v>50</v>
      </c>
      <c r="V344" s="1" t="e">
        <f ca="1">IF(ISERROR(F331),"",IF(N344=0,A344,""))</f>
        <v>#N/A</v>
      </c>
      <c r="W344" s="1">
        <f ca="1">IF(ISERROR(F331),"",IF(ISTEXT(VLOOKUP(B331,INDIRECT($F$8),6+(O344-1)*3)),11,IF(VLOOKUP(B331,INDIRECT($F$8),6+(O344-1)*3)&lt;S344*0.3,IF(VLOOKUP(B331,INDIRECT($F$8),8+(O344-1)*3)&lt;U344*0.4,IF(AND(0.4*U344-VLOOKUP(B331,INDIRECT($F$8),8+(O344-1)*3)&lt;=5,0.3*S344-VLOOKUP(B331,INDIRECT($F$8),6+(O344-1)*3)&lt;=5),MAX(0.4*U344-VLOOKUP(B331,INDIRECT($F$8),8+(O344-1)*3),0.3*S344-VLOOKUP(B331,INDIRECT($F$8),6+(O344-1)*3)),11),IF(0.3*S344-VLOOKUP(B331,INDIRECT($F$8),6+(O344-1)*3)&lt;=5,0.3*S344-VLOOKUP(B331,INDIRECT($F$8),6+(O344-1)*3),11)),IF(VLOOKUP(B331,INDIRECT($F$8),8+(O344-1)*3)&lt;U344*0.4,IF(U344*0.4-VLOOKUP(B331,INDIRECT($F$8),8+(O344-1)*3)&lt;=5,U344*0.4-VLOOKUP(B331,INDIRECT($F$8),8+(O344-1)*3),11),0))))</f>
        <v>0</v>
      </c>
      <c r="X344" s="1" t="str">
        <f ca="1">IF(ISERROR(F331),"",IF(W344=0,"",_xlfn.TEXTJOIN("",FALSE," G+",W344," in ",A344)))</f>
        <v/>
      </c>
    </row>
    <row r="345" spans="1:24" ht="13" customHeight="1" x14ac:dyDescent="0.2">
      <c r="A345" s="7" t="str">
        <f ca="1">IF(ISERROR(F331),"",VLOOKUP(C331,INDIRECT($F$8),6+(O345-1)*3,0))</f>
        <v>CAP 007</v>
      </c>
      <c r="B345" s="41" t="str">
        <f ca="1">IF(ISERROR(F331),"",VLOOKUP(D331,INDIRECT($F$8),6+(O345-1)*3,0))</f>
        <v>Artificial Intelligence Lab</v>
      </c>
      <c r="C345" s="41"/>
      <c r="D345" s="41"/>
      <c r="E345" s="41"/>
      <c r="F345" s="7">
        <f ca="1">IF(ISERROR(F331),"",VLOOKUP(E331,INDIRECT($F$8),6+(O345-1)*3,0))</f>
        <v>1</v>
      </c>
      <c r="G345" s="42" t="e">
        <f ca="1">IF(ISERROR(F331),"",_xlfn.TEXTJOIN("/",FALSE,P345,S345))</f>
        <v>#N/A</v>
      </c>
      <c r="H345" s="42"/>
      <c r="I345" s="42" t="str">
        <f ca="1">IF(ISERROR(F331),"",_xlfn.TEXTJOIN("/",FALSE,Q345,T345))</f>
        <v>18/20</v>
      </c>
      <c r="J345" s="42"/>
      <c r="K345" s="42" t="e">
        <f ca="1">IF(ISERROR(F331),"",_xlfn.TEXTJOIN("/",FALSE,R345,U345))</f>
        <v>#N/A</v>
      </c>
      <c r="L345" s="42"/>
      <c r="M345" s="7" t="e">
        <f ca="1">IF(ISERROR(F331),"",IF(ISTEXT(P345),IF(P345="A","Ab",IF(P345="D","Dt",IF(P345="UFM","UFM",IF(P345="NA","")))),IF(AND(ISBLANK(P345),ISBLANK(R345)),"",IF(P345&lt;0.3*S345,"F",IF(ISBLANK(R345),"",IF(ISTEXT(R345),R345,IF(R345&gt;=0.9*U345,"O",IF(R345&gt;=0.85*U345,"A+",IF(R345&gt;=0.8*U345,"A",IF(R345&gt;=0.7*U345,"B+",IF(R345&gt;=0.6*U345,"B",IF(R345&gt;=0.5*U345,"C",IF(R345&gt;=0.4*U345,"P",IF(R345&lt;0.4*U345,"F",R345))))))))))))))</f>
        <v>#N/A</v>
      </c>
      <c r="N345" s="8" t="e">
        <f t="shared" ca="1" si="34"/>
        <v>#N/A</v>
      </c>
      <c r="O345">
        <f t="shared" si="35"/>
        <v>10</v>
      </c>
      <c r="P345" s="1" t="e">
        <f ca="1">IF(ISERROR(F331),"",IF(ISTEXT(VLOOKUP(B331,INDIRECT($F$8),6+(O345-1)*3)),(VLOOKUP(B331,INDIRECT($F$8),6+(O345-1)*3)),SUM(VLOOKUP(B331,INDIRECT($F$8),6+(O345-1)*3),IF(W346,W345,0))))</f>
        <v>#N/A</v>
      </c>
      <c r="Q345" s="1">
        <f ca="1">IF(ISERROR(F331),"",VLOOKUP(B331,INDIRECT($F$8),7+(O345-1)*3))</f>
        <v>18</v>
      </c>
      <c r="R345" s="1" t="e">
        <f ca="1">IF(ISERROR(F331),"",SUM(P345:Q345))</f>
        <v>#N/A</v>
      </c>
      <c r="S345" s="1">
        <f ca="1">IF(ISERROR(F331),"",VLOOKUP(A331,INDIRECT($F$8),6+(O345-1)*3))</f>
        <v>30</v>
      </c>
      <c r="T345" s="1">
        <f ca="1">IF(ISERROR(F331),"",VLOOKUP(A331,INDIRECT($F$8),7+(O345-1)*3))</f>
        <v>20</v>
      </c>
      <c r="U345" s="1">
        <f ca="1">IF(ISERROR(F331),"",VLOOKUP(A331,INDIRECT($F$8),8+(O345-1)*3))</f>
        <v>50</v>
      </c>
      <c r="V345" s="1" t="e">
        <f ca="1">IF(ISERROR(F331),"",IF(N345=0,A345,""))</f>
        <v>#N/A</v>
      </c>
      <c r="W345" s="1">
        <f ca="1">IF(ISERROR(F331),"",IF(ISTEXT(VLOOKUP(B331,INDIRECT($F$8),6+(O345-1)*3)),11,IF(VLOOKUP(B331,INDIRECT($F$8),6+(O345-1)*3)&lt;S345*0.3,IF(VLOOKUP(B331,INDIRECT($F$8),8+(O345-1)*3)&lt;U345*0.4,IF(AND(0.4*U345-VLOOKUP(B331,INDIRECT($F$8),8+(O345-1)*3)&lt;=5,0.3*S345-VLOOKUP(B331,INDIRECT($F$8),6+(O345-1)*3)&lt;=5),MAX(0.4*U345-VLOOKUP(B331,INDIRECT($F$8),8+(O345-1)*3),0.3*S345-VLOOKUP(B331,INDIRECT($F$8),6+(O345-1)*3)),11),IF(0.3*S345-VLOOKUP(B331,INDIRECT($F$8),6+(O345-1)*3)&lt;=5,0.3*S345-VLOOKUP(B331,INDIRECT($F$8),6+(O345-1)*3),11)),IF(VLOOKUP(B331,INDIRECT($F$8),8+(O345-1)*3)&lt;U345*0.4,IF(U345*0.4-VLOOKUP(B331,INDIRECT($F$8),8+(O345-1)*3)&lt;=5,U345*0.4-VLOOKUP(B331,INDIRECT($F$8),8+(O345-1)*3),11),0))))</f>
        <v>0</v>
      </c>
      <c r="X345" s="1" t="str">
        <f ca="1">IF(ISERROR(F331),"",IF(W345=0,"",_xlfn.TEXTJOIN("",FALSE," G+",W345," in ",A345)))</f>
        <v/>
      </c>
    </row>
    <row r="346" spans="1:24" ht="13" customHeight="1" x14ac:dyDescent="0.2">
      <c r="A346" s="43" t="str">
        <f ca="1">IF(ISERROR(F331),"",A327)</f>
        <v>Total Credits/ Marks/ Total Grade Points</v>
      </c>
      <c r="B346" s="43"/>
      <c r="C346" s="43"/>
      <c r="D346" s="43"/>
      <c r="E346" s="43"/>
      <c r="F346" s="10">
        <f ca="1">IF(ISERROR(F331),"",SUM(F336:F345))</f>
        <v>24</v>
      </c>
      <c r="G346" s="44" t="e">
        <f ca="1">IF(ISERROR(F331),"",_xlfn.TEXTJOIN("/",TRUE,SUMIF(F336:F345,"&gt;0",P336:P345),SUMIF(F336:F345,"&gt;0",S336:S345)))</f>
        <v>#N/A</v>
      </c>
      <c r="H346" s="44"/>
      <c r="I346" s="44" t="str">
        <f ca="1">IF(ISERROR(F331),"",_xlfn.TEXTJOIN("/",TRUE,SUMIF(F336:F345,"&gt;0",Q336:Q345),SUMIF(F336:F345,"&gt;0",T336:T345)))</f>
        <v>247/330</v>
      </c>
      <c r="J346" s="44"/>
      <c r="K346" s="44" t="e">
        <f ca="1">IF(ISERROR(F331),"",_xlfn.TEXTJOIN("/",TRUE,SUMIF(F336:F345,"&gt;0",R336:R345),SUMIF(F336:F345,"&gt;0",U336:U345)))</f>
        <v>#N/A</v>
      </c>
      <c r="L346" s="44"/>
      <c r="M346" s="43" t="e">
        <f ca="1">IF(ISERROR(F331),"",SUMPRODUCT(N336:N345,F336:F345))</f>
        <v>#N/A</v>
      </c>
      <c r="N346" s="43"/>
      <c r="V346" s="1" t="e">
        <f ca="1">IF(ISERROR(F331),"",_xlfn.TEXTJOIN(", ",TRUE,V336:V345))</f>
        <v>#N/A</v>
      </c>
      <c r="W346" t="e">
        <f ca="1">IF(ISERROR(F331),"",IF(SUM(W336:W345)&lt;=W335,TRUE,FALSE))</f>
        <v>#N/A</v>
      </c>
      <c r="X346" s="1" t="str">
        <f ca="1">IF(ISERROR(F331),"",_xlfn.TEXTJOIN(",",TRUE,X336:X345))</f>
        <v/>
      </c>
    </row>
    <row r="347" spans="1:24" ht="13" customHeight="1" x14ac:dyDescent="0.2">
      <c r="A347" s="43" t="str">
        <f ca="1">IF(ISERROR(F331),"",A328)</f>
        <v>Result:</v>
      </c>
      <c r="B347" s="45" t="e">
        <f ca="1">IF(ISERROR(F331),"",IF(V346="","PASS","CARRY OVER"))</f>
        <v>#N/A</v>
      </c>
      <c r="C347" s="45"/>
      <c r="D347" s="43" t="str">
        <f ca="1">IF(ISERROR(F331),"",D328)</f>
        <v>Remark:</v>
      </c>
      <c r="E347" s="45" t="e">
        <f ca="1">IF(ISERROR(F331),"",IF(V346="",IF(X346="","",X346),_xlfn.TEXTJOIN(" ",TRUE,"BACK IN",V346)))</f>
        <v>#N/A</v>
      </c>
      <c r="F347" s="45"/>
      <c r="G347" s="43" t="str">
        <f ca="1">IF(ISERROR(F331),"",G328)</f>
        <v>SGPA:</v>
      </c>
      <c r="H347" s="46" t="e">
        <f ca="1">IF(ISERROR(F331),"",M346/F346)</f>
        <v>#N/A</v>
      </c>
      <c r="I347" s="43" t="str">
        <f ca="1">IF(ISERROR(F331),"",I328)</f>
        <v>CGPA:</v>
      </c>
      <c r="J347" s="46" t="e">
        <f ca="1">IF(ISERROR(F331),"",VLOOKUP(B331,INDIRECT($F$8),12+(O345-1)*3,0))</f>
        <v>#N/A</v>
      </c>
      <c r="K347" s="45" t="str">
        <f ca="1">IF(ISERROR(F331),"",K328)</f>
        <v>Earned Credits:</v>
      </c>
      <c r="L347" s="43">
        <f ca="1">IF(ISERROR(F331),"",SUMIF(N336:N345,"&gt;0",F336:F345))</f>
        <v>0</v>
      </c>
      <c r="M347" s="45" t="str">
        <f ca="1">IF(ISERROR(F331),"",M328)</f>
        <v>Cuml. Earned Credits:</v>
      </c>
      <c r="N347" s="43" t="e">
        <f ca="1">IF(ISERROR(F331),"",VLOOKUP(B331,INDIRECT($F$8),10+(O345-1)*3,0))</f>
        <v>#N/A</v>
      </c>
    </row>
    <row r="348" spans="1:24" ht="13" customHeight="1" x14ac:dyDescent="0.2">
      <c r="A348" s="43"/>
      <c r="B348" s="45"/>
      <c r="C348" s="45"/>
      <c r="D348" s="43"/>
      <c r="E348" s="45"/>
      <c r="F348" s="45"/>
      <c r="G348" s="43"/>
      <c r="H348" s="46"/>
      <c r="I348" s="43"/>
      <c r="J348" s="46"/>
      <c r="K348" s="45"/>
      <c r="L348" s="43"/>
      <c r="M348" s="45"/>
      <c r="N348" s="43"/>
    </row>
    <row r="349" spans="1:24" ht="15" x14ac:dyDescent="0.2">
      <c r="A349" s="43"/>
      <c r="B349" s="45"/>
      <c r="C349" s="45"/>
      <c r="D349" s="43"/>
      <c r="E349" s="45"/>
      <c r="F349" s="45"/>
      <c r="G349" s="43"/>
      <c r="H349" s="46"/>
      <c r="I349" s="43"/>
      <c r="J349" s="46"/>
      <c r="K349" s="45"/>
      <c r="L349" s="43"/>
      <c r="M349" s="45"/>
      <c r="N349" s="43"/>
    </row>
    <row r="350" spans="1:24" ht="13" customHeight="1" x14ac:dyDescent="0.2">
      <c r="A350" s="11" t="str">
        <f>A331</f>
        <v>MM</v>
      </c>
      <c r="B350" s="11">
        <f>B331+1</f>
        <v>19</v>
      </c>
      <c r="C350" s="11" t="str">
        <f>C331</f>
        <v>SC</v>
      </c>
      <c r="D350" s="11" t="str">
        <f>D331</f>
        <v>SN</v>
      </c>
      <c r="E350" s="11" t="str">
        <f>E331</f>
        <v>C</v>
      </c>
      <c r="F350" s="11" t="str">
        <f ca="1">VLOOKUP(B350,INDIRECT($F$8),4,0)</f>
        <v>SEJAL SINGH</v>
      </c>
    </row>
    <row r="351" spans="1:24" ht="13" customHeight="1" x14ac:dyDescent="0.2">
      <c r="A351" s="47" t="str">
        <f ca="1">IF(ISERROR(F350),"",A332)</f>
        <v>Name:</v>
      </c>
      <c r="B351" s="47" t="str">
        <f ca="1">IFERROR(VLOOKUP(B350,INDIRECT($F$8),4,0),"")</f>
        <v>SEJAL SINGH</v>
      </c>
      <c r="C351" s="47"/>
      <c r="D351" s="47" t="str">
        <f ca="1">IF(ISERROR(F350),"",D332)</f>
        <v>Father's Name:</v>
      </c>
      <c r="E351" s="47" t="str">
        <f ca="1">IFERROR(VLOOKUP(B350,INDIRECT($F$8),5,0),"")</f>
        <v>SHEESH RAM SINGH</v>
      </c>
      <c r="F351" s="47"/>
      <c r="G351" s="47" t="str">
        <f ca="1">IF(ISERROR(F350),"",G332)</f>
        <v>University Roll No:</v>
      </c>
      <c r="H351" s="47"/>
      <c r="I351" s="48">
        <f ca="1">IFERROR(VLOOKUP(B350,INDIRECT($F$8),2,0),"")</f>
        <v>240090600019</v>
      </c>
      <c r="J351" s="48"/>
      <c r="K351" s="47" t="str">
        <f ca="1">IF(ISERROR(F350),"",K332)</f>
        <v>University Enrol. No:</v>
      </c>
      <c r="L351" s="47"/>
      <c r="M351" s="48" t="str">
        <f ca="1">IFERROR(VLOOKUP(B350,INDIRECT($F$8),3,0),"")</f>
        <v>UTU/2406100169</v>
      </c>
      <c r="N351" s="48"/>
    </row>
    <row r="352" spans="1:24" ht="15" x14ac:dyDescent="0.2">
      <c r="A352" s="47"/>
      <c r="B352" s="47"/>
      <c r="C352" s="47"/>
      <c r="D352" s="47"/>
      <c r="E352" s="47"/>
      <c r="F352" s="47"/>
      <c r="G352" s="47"/>
      <c r="H352" s="47"/>
      <c r="I352" s="48"/>
      <c r="J352" s="48"/>
      <c r="K352" s="47"/>
      <c r="L352" s="47"/>
      <c r="M352" s="48"/>
      <c r="N352" s="48"/>
    </row>
    <row r="353" spans="1:24" ht="13" customHeight="1" x14ac:dyDescent="0.2">
      <c r="A353" s="45" t="str">
        <f ca="1">IF(ISERROR(F350),"",A334)</f>
        <v>Subject Code</v>
      </c>
      <c r="B353" s="45" t="str">
        <f ca="1">IF(ISERROR(F350),"",B334)</f>
        <v>Subject Name</v>
      </c>
      <c r="C353" s="45"/>
      <c r="D353" s="45"/>
      <c r="E353" s="45"/>
      <c r="F353" s="45" t="str">
        <f ca="1">IF(ISERROR(F350),"",F334)</f>
        <v>Credits</v>
      </c>
      <c r="G353" s="45" t="str">
        <f ca="1">IF(ISERROR(F350),"",G334)</f>
        <v>External Marks</v>
      </c>
      <c r="H353" s="45"/>
      <c r="I353" s="45" t="str">
        <f ca="1">IF(ISERROR(F350),"",I334)</f>
        <v>Sessional Marks</v>
      </c>
      <c r="J353" s="45"/>
      <c r="K353" s="45" t="str">
        <f ca="1">IF(ISERROR(F350),"",K334)</f>
        <v>Total Marks</v>
      </c>
      <c r="L353" s="45"/>
      <c r="M353" s="45" t="str">
        <f ca="1">IF(ISERROR(F350),"",M334)</f>
        <v>Grade</v>
      </c>
      <c r="N353" s="45" t="str">
        <f ca="1">IF(ISERROR(F350),"",N334)</f>
        <v>Grade Points</v>
      </c>
    </row>
    <row r="354" spans="1:24" ht="15" x14ac:dyDescent="0.2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W354" t="e">
        <f ca="1">IF(ISNUMBER(MATCH($F$8,{"I","III","V","VII"},0)),10,10-INDEX(INDIRECT(_xlfn.TEXTJOIN("",TRUE,"SEM_",$G$8,"!",ADDRESS(6,4+$I$8*3+4),":",ADDRESS(5+$H$8,4+$I$8*3+4))),MATCH(INDIRECT(_xlfn.TEXTJOIN("",TRUE,"TC_",$F$8,"!",ADDRESS(ROW(I351),COLUMN(I351)))),INDIRECT(_xlfn.TEXTJOIN("",TRUE,"SEM_",$G$8,"!",ADDRESS(6,2),":",ADDRESS(5+$H$8,2))))))</f>
        <v>#N/A</v>
      </c>
    </row>
    <row r="355" spans="1:24" ht="13" customHeight="1" x14ac:dyDescent="0.2">
      <c r="A355" s="7" t="str">
        <f ca="1">IF(ISERROR(F350),"",VLOOKUP(C350,INDIRECT($F$8),6+(O355-1)*3,0))</f>
        <v>CAT 009</v>
      </c>
      <c r="B355" s="41" t="str">
        <f ca="1">IF(ISERROR(F350),"",VLOOKUP(D350,INDIRECT($F$8),6+(O355-1)*3,0))</f>
        <v>Computer Based Numerical and Statistical Techniques</v>
      </c>
      <c r="C355" s="41"/>
      <c r="D355" s="41"/>
      <c r="E355" s="41"/>
      <c r="F355" s="7">
        <f ca="1">IF(ISERROR(F350),"",VLOOKUP(E350,INDIRECT($F$8),6+(O355-1)*3,0))</f>
        <v>4</v>
      </c>
      <c r="G355" s="42" t="e">
        <f ca="1">IF(ISERROR(F350),"",_xlfn.TEXTJOIN("/",FALSE,P355,S355))</f>
        <v>#N/A</v>
      </c>
      <c r="H355" s="42"/>
      <c r="I355" s="42" t="str">
        <f ca="1">IF(ISERROR(F350),"",_xlfn.TEXTJOIN("/",FALSE,Q355,T355))</f>
        <v>45/50</v>
      </c>
      <c r="J355" s="42"/>
      <c r="K355" s="42" t="e">
        <f ca="1">IF(ISERROR(F350),"",_xlfn.TEXTJOIN("/",FALSE,R355,U355))</f>
        <v>#N/A</v>
      </c>
      <c r="L355" s="42"/>
      <c r="M355" s="7" t="e">
        <f ca="1">IF(ISERROR(F350),"",IF(ISTEXT(P355),IF(P355="A","Ab",IF(P355="D","Dt",IF(P355="UFM","UFM",IF(P355="NA","")))),IF(AND(ISBLANK(P355),ISBLANK(R355)),"",IF(P355&lt;0.3*S355,"F",IF(ISBLANK(R355),"",IF(ISTEXT(R355),R355,IF(R355&gt;=0.9*U355,"O",IF(R355&gt;=0.85*U355,"A+",IF(R355&gt;=0.8*U355,"A",IF(R355&gt;=0.7*U355,"B+",IF(R355&gt;=0.6*U355,"B",IF(R355&gt;=0.5*U355,"C",IF(R355&gt;=0.4*U355,"P",IF(R355&lt;0.4*U355,"F",R355))))))))))))))</f>
        <v>#N/A</v>
      </c>
      <c r="N355" s="8" t="e">
        <f t="shared" ref="N355:N364" ca="1" si="36">INDEX($Z$2:$Z$13,MATCH(M355,$Y$2:$Y$13,0))</f>
        <v>#N/A</v>
      </c>
      <c r="O355">
        <v>1</v>
      </c>
      <c r="P355" s="1" t="e">
        <f ca="1">IF(ISERROR(F350),"",IF(ISTEXT(VLOOKUP(B350,INDIRECT($F$8),6+(O355-1)*3)),(VLOOKUP(B350,INDIRECT($F$8),6+(O355-1)*3)),SUM(VLOOKUP(B350,INDIRECT($F$8),6+(O355-1)*3),IF(W365,W355,0))))</f>
        <v>#N/A</v>
      </c>
      <c r="Q355" s="1">
        <f ca="1">IF(ISERROR(F350),"",VLOOKUP(B350,INDIRECT($F$8),7+(O355-1)*3))</f>
        <v>45</v>
      </c>
      <c r="R355" s="1" t="e">
        <f ca="1">IF(ISERROR(F350),"",SUM(P355:Q355))</f>
        <v>#N/A</v>
      </c>
      <c r="S355" s="1">
        <f ca="1">IF(ISERROR(F350),"",VLOOKUP(A350,INDIRECT($F$8),6+(O355-1)*3))</f>
        <v>100</v>
      </c>
      <c r="T355" s="1">
        <f ca="1">IF(ISERROR(F350),"",VLOOKUP(A350,INDIRECT($F$8),7+(O355-1)*3))</f>
        <v>50</v>
      </c>
      <c r="U355" s="1">
        <f ca="1">IF(ISERROR(F350),"",VLOOKUP(A350,INDIRECT($F$8),8+(O355-1)*3))</f>
        <v>150</v>
      </c>
      <c r="V355" s="1" t="e">
        <f ca="1">IF(ISERROR(F350),"",IF(N355=0,A355,""))</f>
        <v>#N/A</v>
      </c>
      <c r="W355" s="1">
        <f ca="1">IF(ISERROR(F350),"",IF(ISTEXT(VLOOKUP(B350,INDIRECT($F$8),6+(O355-1)*3)),11,IF(VLOOKUP(B350,INDIRECT($F$8),6+(O355-1)*3)&lt;S355*0.3,IF(VLOOKUP(B350,INDIRECT($F$8),8+(O355-1)*3)&lt;U355*0.4,IF(AND(0.4*U355-VLOOKUP(B350,INDIRECT($F$8),8+(O355-1)*3)&lt;=5,0.3*S355-VLOOKUP(B350,INDIRECT($F$8),6+(O355-1)*3)&lt;=5),MAX(0.4*U355-VLOOKUP(B350,INDIRECT($F$8),8+(O355-1)*3),0.3*S355-VLOOKUP(B350,INDIRECT($F$8),6+(O355-1)*3)),11),IF(0.3*S355-VLOOKUP(B350,INDIRECT($F$8),6+(O355-1)*3)&lt;=5,0.3*S355-VLOOKUP(B350,INDIRECT($F$8),6+(O355-1)*3),11)),IF(VLOOKUP(B350,INDIRECT($F$8),8+(O355-1)*3)&lt;U355*0.4,IF(U355*0.4-VLOOKUP(B350,INDIRECT($F$8),8+(O355-1)*3)&lt;=5,U355*0.4-VLOOKUP(B350,INDIRECT($F$8),8+(O355-1)*3),11),0))))</f>
        <v>0</v>
      </c>
      <c r="X355" s="1" t="str">
        <f ca="1">IF(ISERROR(F350),"",IF(W355=0,"",_xlfn.TEXTJOIN("",FALSE," G+",W355," in ",A355)))</f>
        <v/>
      </c>
    </row>
    <row r="356" spans="1:24" ht="13" customHeight="1" x14ac:dyDescent="0.2">
      <c r="A356" s="7" t="str">
        <f ca="1">IF(ISERROR(F350),"",VLOOKUP(C350,INDIRECT($F$8),6+(O356-1)*3,0))</f>
        <v>CAT 010</v>
      </c>
      <c r="B356" s="41" t="str">
        <f ca="1">IF(ISERROR(F350),"",VLOOKUP(D350,INDIRECT($F$8),6+(O356-1)*3,0))</f>
        <v>Data Structures and Analysis of Algorithms</v>
      </c>
      <c r="C356" s="41"/>
      <c r="D356" s="41"/>
      <c r="E356" s="41"/>
      <c r="F356" s="7">
        <f ca="1">IF(ISERROR(F350),"",VLOOKUP(E350,INDIRECT($F$8),6+(O356-1)*3,0))</f>
        <v>4</v>
      </c>
      <c r="G356" s="42" t="e">
        <f ca="1">IF(ISERROR(F350),"",_xlfn.TEXTJOIN("/",FALSE,P356,S356))</f>
        <v>#N/A</v>
      </c>
      <c r="H356" s="42"/>
      <c r="I356" s="42" t="str">
        <f ca="1">IF(ISERROR(F350),"",_xlfn.TEXTJOIN("/",FALSE,Q356,T356))</f>
        <v>36/50</v>
      </c>
      <c r="J356" s="42"/>
      <c r="K356" s="42" t="e">
        <f ca="1">IF(ISERROR(F350),"",_xlfn.TEXTJOIN("/",FALSE,R356,U356))</f>
        <v>#N/A</v>
      </c>
      <c r="L356" s="42"/>
      <c r="M356" s="7" t="e">
        <f ca="1">IF(ISERROR(F350),"",IF(ISTEXT(P356),IF(P356="A","Ab",IF(P356="D","Dt",IF(P356="UFM","UFM",IF(P356="NA","")))),IF(AND(ISBLANK(P356),ISBLANK(R356)),"",IF(P356&lt;0.3*S356,"F",IF(ISBLANK(R356),"",IF(ISTEXT(R356),R356,IF(R356&gt;=0.9*U356,"O",IF(R356&gt;=0.85*U356,"A+",IF(R356&gt;=0.8*U356,"A",IF(R356&gt;=0.7*U356,"B+",IF(R356&gt;=0.6*U356,"B",IF(R356&gt;=0.5*U356,"C",IF(R356&gt;=0.4*U356,"P",IF(R356&lt;0.4*U356,"F",R356))))))))))))))</f>
        <v>#N/A</v>
      </c>
      <c r="N356" s="8" t="e">
        <f t="shared" ca="1" si="36"/>
        <v>#N/A</v>
      </c>
      <c r="O356">
        <f>O355+1</f>
        <v>2</v>
      </c>
      <c r="P356" s="1" t="e">
        <f ca="1">IF(ISERROR(F350),"",IF(ISTEXT(VLOOKUP(B350,INDIRECT($F$8),6+(O356-1)*3)),(VLOOKUP(B350,INDIRECT($F$8),6+(O356-1)*3)),SUM(VLOOKUP(B350,INDIRECT($F$8),6+(O356-1)*3),IF(W365,W356,0))))</f>
        <v>#N/A</v>
      </c>
      <c r="Q356" s="1">
        <f ca="1">IF(ISERROR(F350),"",VLOOKUP(B350,INDIRECT($F$8),7+(O356-1)*3))</f>
        <v>36</v>
      </c>
      <c r="R356" s="1" t="e">
        <f ca="1">IF(ISERROR(F350),"",SUM(P356:Q356))</f>
        <v>#N/A</v>
      </c>
      <c r="S356" s="1">
        <f ca="1">IF(ISERROR(F350),"",VLOOKUP(A350,INDIRECT($F$8),6+(O356-1)*3))</f>
        <v>100</v>
      </c>
      <c r="T356" s="1">
        <f ca="1">IF(ISERROR(F350),"",VLOOKUP(A350,INDIRECT($F$8),7+(O356-1)*3))</f>
        <v>50</v>
      </c>
      <c r="U356" s="1">
        <f ca="1">IF(ISERROR(F350),"",VLOOKUP(A350,INDIRECT($F$8),8+(O356-1)*3))</f>
        <v>150</v>
      </c>
      <c r="V356" s="1" t="e">
        <f ca="1">IF(ISERROR(F350),"",IF(N356=0,A356,""))</f>
        <v>#N/A</v>
      </c>
      <c r="W356" s="1">
        <f ca="1">IF(ISERROR(F350),"",IF(ISTEXT(VLOOKUP(B350,INDIRECT($F$8),6+(O356-1)*3)),11,IF(VLOOKUP(B350,INDIRECT($F$8),6+(O356-1)*3)&lt;S356*0.3,IF(VLOOKUP(B350,INDIRECT($F$8),8+(O356-1)*3)&lt;U356*0.4,IF(AND(0.4*U356-VLOOKUP(B350,INDIRECT($F$8),8+(O356-1)*3)&lt;=5,0.3*S356-VLOOKUP(B350,INDIRECT($F$8),6+(O356-1)*3)&lt;=5),MAX(0.4*U356-VLOOKUP(B350,INDIRECT($F$8),8+(O356-1)*3),0.3*S356-VLOOKUP(B350,INDIRECT($F$8),6+(O356-1)*3)),11),IF(0.3*S356-VLOOKUP(B350,INDIRECT($F$8),6+(O356-1)*3)&lt;=5,0.3*S356-VLOOKUP(B350,INDIRECT($F$8),6+(O356-1)*3),11)),IF(VLOOKUP(B350,INDIRECT($F$8),8+(O356-1)*3)&lt;U356*0.4,IF(U356*0.4-VLOOKUP(B350,INDIRECT($F$8),8+(O356-1)*3)&lt;=5,U356*0.4-VLOOKUP(B350,INDIRECT($F$8),8+(O356-1)*3),11),0))))</f>
        <v>0</v>
      </c>
      <c r="X356" s="1" t="str">
        <f ca="1">IF(ISERROR(F350),"",IF(W356=0,"",_xlfn.TEXTJOIN("",FALSE," G+",W356," in ",A356)))</f>
        <v/>
      </c>
    </row>
    <row r="357" spans="1:24" ht="13" customHeight="1" x14ac:dyDescent="0.2">
      <c r="A357" s="7" t="str">
        <f ca="1">IF(ISERROR(F350),"",VLOOKUP(C350,INDIRECT($F$8),6+(O357-1)*3,0))</f>
        <v>CAT 011</v>
      </c>
      <c r="B357" s="41" t="str">
        <f ca="1">IF(ISERROR(F350),"",VLOOKUP(D350,INDIRECT($F$8),6+(O357-1)*3,0))</f>
        <v>Object Oriented Programming with JAVA</v>
      </c>
      <c r="C357" s="41"/>
      <c r="D357" s="41"/>
      <c r="E357" s="41"/>
      <c r="F357" s="7">
        <f ca="1">IF(ISERROR(F350),"",VLOOKUP(E350,INDIRECT($F$8),6+(O357-1)*3,0))</f>
        <v>4</v>
      </c>
      <c r="G357" s="42" t="e">
        <f ca="1">IF(ISERROR(F350),"",_xlfn.TEXTJOIN("/",FALSE,P357,S357))</f>
        <v>#N/A</v>
      </c>
      <c r="H357" s="42"/>
      <c r="I357" s="42" t="str">
        <f ca="1">IF(ISERROR(F350),"",_xlfn.TEXTJOIN("/",FALSE,Q357,T357))</f>
        <v>39/50</v>
      </c>
      <c r="J357" s="42"/>
      <c r="K357" s="42" t="e">
        <f ca="1">IF(ISERROR(F350),"",_xlfn.TEXTJOIN("/",FALSE,R357,U357))</f>
        <v>#N/A</v>
      </c>
      <c r="L357" s="42"/>
      <c r="M357" s="7" t="e">
        <f ca="1">IF(ISERROR(F350),"",IF(ISTEXT(P357),IF(P357="A","Ab",IF(P357="D","Dt",IF(P357="UFM","UFM",IF(P357="NA","")))),IF(AND(ISBLANK(P357),ISBLANK(R357)),"",IF(P357&lt;0.3*S357,"F",IF(ISBLANK(R357),"",IF(ISTEXT(R357),R357,IF(R357&gt;=0.9*U357,"O",IF(R357&gt;=0.85*U357,"A+",IF(R357&gt;=0.8*U357,"A",IF(R357&gt;=0.7*U357,"B+",IF(R357&gt;=0.6*U357,"B",IF(R357&gt;=0.5*U357,"C",IF(R357&gt;=0.4*U357,"P",IF(R357&lt;0.4*U357,"F",R357))))))))))))))</f>
        <v>#N/A</v>
      </c>
      <c r="N357" s="8" t="e">
        <f t="shared" ca="1" si="36"/>
        <v>#N/A</v>
      </c>
      <c r="O357">
        <f>O356+1</f>
        <v>3</v>
      </c>
      <c r="P357" s="1" t="e">
        <f ca="1">IF(ISERROR(F350),"",IF(ISTEXT(VLOOKUP(B350,INDIRECT($F$8),6+(O357-1)*3)),(VLOOKUP(B350,INDIRECT($F$8),6+(O357-1)*3)),SUM(VLOOKUP(B350,INDIRECT($F$8),6+(O357-1)*3),IF(W365,W357,0))))</f>
        <v>#N/A</v>
      </c>
      <c r="Q357" s="1">
        <f ca="1">IF(ISERROR(F350),"",VLOOKUP(B350,INDIRECT($F$8),7+(O357-1)*3))</f>
        <v>39</v>
      </c>
      <c r="R357" s="1" t="e">
        <f ca="1">IF(ISERROR(F350),"",SUM(P357:Q357))</f>
        <v>#N/A</v>
      </c>
      <c r="S357" s="1">
        <f ca="1">IF(ISERROR(F350),"",VLOOKUP(A350,INDIRECT($F$8),6+(O357-1)*3))</f>
        <v>100</v>
      </c>
      <c r="T357" s="1">
        <f ca="1">IF(ISERROR(F350),"",VLOOKUP(A350,INDIRECT($F$8),7+(O357-1)*3))</f>
        <v>50</v>
      </c>
      <c r="U357" s="1">
        <f ca="1">IF(ISERROR(F350),"",VLOOKUP(A350,INDIRECT($F$8),8+(O357-1)*3))</f>
        <v>150</v>
      </c>
      <c r="V357" s="1" t="e">
        <f ca="1">IF(ISERROR(F350),"",IF(N357=0,A357,""))</f>
        <v>#N/A</v>
      </c>
      <c r="W357" s="1">
        <f ca="1">IF(ISERROR(F350),"",IF(ISTEXT(VLOOKUP(B350,INDIRECT($F$8),6+(O357-1)*3)),11,IF(VLOOKUP(B350,INDIRECT($F$8),6+(O357-1)*3)&lt;S357*0.3,IF(VLOOKUP(B350,INDIRECT($F$8),8+(O357-1)*3)&lt;U357*0.4,IF(AND(0.4*U357-VLOOKUP(B350,INDIRECT($F$8),8+(O357-1)*3)&lt;=5,0.3*S357-VLOOKUP(B350,INDIRECT($F$8),6+(O357-1)*3)&lt;=5),MAX(0.4*U357-VLOOKUP(B350,INDIRECT($F$8),8+(O357-1)*3),0.3*S357-VLOOKUP(B350,INDIRECT($F$8),6+(O357-1)*3)),11),IF(0.3*S357-VLOOKUP(B350,INDIRECT($F$8),6+(O357-1)*3)&lt;=5,0.3*S357-VLOOKUP(B350,INDIRECT($F$8),6+(O357-1)*3),11)),IF(VLOOKUP(B350,INDIRECT($F$8),8+(O357-1)*3)&lt;U357*0.4,IF(U357*0.4-VLOOKUP(B350,INDIRECT($F$8),8+(O357-1)*3)&lt;=5,U357*0.4-VLOOKUP(B350,INDIRECT($F$8),8+(O357-1)*3),11),0))))</f>
        <v>0</v>
      </c>
      <c r="X357" s="1" t="str">
        <f ca="1">IF(ISERROR(F350),"",IF(W357=0,"",_xlfn.TEXTJOIN("",FALSE," G+",W357," in ",A357)))</f>
        <v/>
      </c>
    </row>
    <row r="358" spans="1:24" ht="13" customHeight="1" x14ac:dyDescent="0.2">
      <c r="A358" s="7" t="str">
        <f ca="1">IF(ISERROR(F350),"",VLOOKUP(C350,INDIRECT($F$8),6+(O358-1)*3,0))</f>
        <v>CAT 012</v>
      </c>
      <c r="B358" s="41" t="str">
        <f ca="1">IF(ISERROR(F350),"",VLOOKUP(D350,INDIRECT($F$8),6+(O358-1)*3,0))</f>
        <v>Computer Networks</v>
      </c>
      <c r="C358" s="41"/>
      <c r="D358" s="41"/>
      <c r="E358" s="41"/>
      <c r="F358" s="7">
        <f ca="1">IF(ISERROR(F350),"",VLOOKUP(E350,INDIRECT($F$8),6+(O358-1)*3,0))</f>
        <v>4</v>
      </c>
      <c r="G358" s="42" t="e">
        <f ca="1">IF(ISERROR(F350),"",_xlfn.TEXTJOIN("/",FALSE,P358,S358))</f>
        <v>#N/A</v>
      </c>
      <c r="H358" s="42"/>
      <c r="I358" s="42" t="str">
        <f ca="1">IF(ISERROR(F350),"",_xlfn.TEXTJOIN("/",FALSE,Q358,T358))</f>
        <v>33/50</v>
      </c>
      <c r="J358" s="42"/>
      <c r="K358" s="42" t="e">
        <f ca="1">IF(ISERROR(F350),"",_xlfn.TEXTJOIN("/",FALSE,R358,U358))</f>
        <v>#N/A</v>
      </c>
      <c r="L358" s="42"/>
      <c r="M358" s="7" t="e">
        <f ca="1">IF(ISERROR(F350),"",IF(ISTEXT(P358),IF(P358="A","Ab",IF(P358="D","Dt",IF(P358="UFM","UFM",IF(P358="NA","")))),IF(AND(ISBLANK(P358),ISBLANK(R358)),"",IF(P358&lt;0.3*S358,"F",IF(ISBLANK(R358),"",IF(ISTEXT(R358),R358,IF(R358&gt;=0.9*U358,"O",IF(R358&gt;=0.85*U358,"A+",IF(R358&gt;=0.8*U358,"A",IF(R358&gt;=0.7*U358,"B+",IF(R358&gt;=0.6*U358,"B",IF(R358&gt;=0.5*U358,"C",IF(R358&gt;=0.4*U358,"P",IF(R358&lt;0.4*U358,"F",R358))))))))))))))</f>
        <v>#N/A</v>
      </c>
      <c r="N358" s="8" t="e">
        <f t="shared" ca="1" si="36"/>
        <v>#N/A</v>
      </c>
      <c r="O358">
        <f t="shared" ref="O358:O364" si="37">O357+1</f>
        <v>4</v>
      </c>
      <c r="P358" s="1" t="e">
        <f ca="1">IF(ISERROR(F350),"",IF(ISTEXT(VLOOKUP(B350,INDIRECT($F$8),6+(O358-1)*3)),(VLOOKUP(B350,INDIRECT($F$8),6+(O358-1)*3)),SUM(VLOOKUP(B350,INDIRECT($F$8),6+(O358-1)*3),IF(W365,W358,0))))</f>
        <v>#N/A</v>
      </c>
      <c r="Q358" s="1">
        <f ca="1">IF(ISERROR(F350),"",VLOOKUP(B350,INDIRECT($F$8),7+(O358-1)*3))</f>
        <v>33</v>
      </c>
      <c r="R358" s="1" t="e">
        <f ca="1">IF(ISERROR(F350),"",SUM(P358:Q358))</f>
        <v>#N/A</v>
      </c>
      <c r="S358" s="1">
        <f ca="1">IF(ISERROR(F350),"",VLOOKUP(A350,INDIRECT($F$8),6+(O358-1)*3))</f>
        <v>100</v>
      </c>
      <c r="T358" s="1">
        <f ca="1">IF(ISERROR(F350),"",VLOOKUP(A350,INDIRECT($F$8),7+(O358-1)*3))</f>
        <v>50</v>
      </c>
      <c r="U358" s="1">
        <f ca="1">IF(ISERROR(F350),"",VLOOKUP(A350,INDIRECT($F$8),8+(O358-1)*3))</f>
        <v>150</v>
      </c>
      <c r="V358" s="1" t="e">
        <f ca="1">IF(ISERROR(F350),"",IF(N358=0,A358,""))</f>
        <v>#N/A</v>
      </c>
      <c r="W358" s="1">
        <f ca="1">IF(ISERROR(F350),"",IF(ISTEXT(VLOOKUP(B350,INDIRECT($F$8),6+(O358-1)*3)),11,IF(VLOOKUP(B350,INDIRECT($F$8),6+(O358-1)*3)&lt;S358*0.3,IF(VLOOKUP(B350,INDIRECT($F$8),8+(O358-1)*3)&lt;U358*0.4,IF(AND(0.4*U358-VLOOKUP(B350,INDIRECT($F$8),8+(O358-1)*3)&lt;=5,0.3*S358-VLOOKUP(B350,INDIRECT($F$8),6+(O358-1)*3)&lt;=5),MAX(0.4*U358-VLOOKUP(B350,INDIRECT($F$8),8+(O358-1)*3),0.3*S358-VLOOKUP(B350,INDIRECT($F$8),6+(O358-1)*3)),11),IF(0.3*S358-VLOOKUP(B350,INDIRECT($F$8),6+(O358-1)*3)&lt;=5,0.3*S358-VLOOKUP(B350,INDIRECT($F$8),6+(O358-1)*3),11)),IF(VLOOKUP(B350,INDIRECT($F$8),8+(O358-1)*3)&lt;U358*0.4,IF(U358*0.4-VLOOKUP(B350,INDIRECT($F$8),8+(O358-1)*3)&lt;=5,U358*0.4-VLOOKUP(B350,INDIRECT($F$8),8+(O358-1)*3),11),0))))</f>
        <v>11</v>
      </c>
      <c r="X358" s="1" t="str">
        <f ca="1">IF(ISERROR(F350),"",IF(W358=0,"",_xlfn.TEXTJOIN("",FALSE," G+",W358," in ",A358)))</f>
        <v xml:space="preserve"> G+11 in CAT 012</v>
      </c>
    </row>
    <row r="359" spans="1:24" ht="13" customHeight="1" x14ac:dyDescent="0.2">
      <c r="A359" s="7" t="str">
        <f ca="1">IF(ISERROR(F350),"",VLOOKUP(C350,INDIRECT($F$8),6+(O359-1)*3,0))</f>
        <v>CAT 013</v>
      </c>
      <c r="B359" s="41" t="str">
        <f ca="1">IF(ISERROR(F350),"",VLOOKUP(D350,INDIRECT($F$8),6+(O359-1)*3,0))</f>
        <v>Artificial Intelligence</v>
      </c>
      <c r="C359" s="41"/>
      <c r="D359" s="41"/>
      <c r="E359" s="41"/>
      <c r="F359" s="7">
        <f ca="1">IF(ISERROR(F350),"",VLOOKUP(E350,INDIRECT($F$8),6+(O359-1)*3,0))</f>
        <v>4</v>
      </c>
      <c r="G359" s="42" t="e">
        <f ca="1">IF(ISERROR(F350),"",_xlfn.TEXTJOIN("/",FALSE,P359,S359))</f>
        <v>#N/A</v>
      </c>
      <c r="H359" s="42"/>
      <c r="I359" s="42" t="str">
        <f ca="1">IF(ISERROR(F350),"",_xlfn.TEXTJOIN("/",FALSE,Q359,T359))</f>
        <v>45/50</v>
      </c>
      <c r="J359" s="42"/>
      <c r="K359" s="42" t="e">
        <f ca="1">IF(ISERROR(F350),"",_xlfn.TEXTJOIN("/",FALSE,R359,U359))</f>
        <v>#N/A</v>
      </c>
      <c r="L359" s="42"/>
      <c r="M359" s="7" t="e">
        <f ca="1">IF(ISERROR(F350),"",IF(ISTEXT(P359),IF(P359="A","Ab",IF(P359="D","Dt",IF(P359="UFM","UFM",IF(P359="NA","")))),IF(AND(ISBLANK(P359),ISBLANK(R359)),"",IF(P359&lt;0.3*S359,"F",IF(ISBLANK(R359),"",IF(ISTEXT(R359),R359,IF(R359&gt;=0.9*U359,"O",IF(R359&gt;=0.85*U359,"A+",IF(R359&gt;=0.8*U359,"A",IF(R359&gt;=0.7*U359,"B+",IF(R359&gt;=0.6*U359,"B",IF(R359&gt;=0.5*U359,"C",IF(R359&gt;=0.4*U359,"P",IF(R359&lt;0.4*U359,"F",R359))))))))))))))</f>
        <v>#N/A</v>
      </c>
      <c r="N359" s="8" t="e">
        <f t="shared" ca="1" si="36"/>
        <v>#N/A</v>
      </c>
      <c r="O359">
        <f t="shared" si="37"/>
        <v>5</v>
      </c>
      <c r="P359" s="1" t="e">
        <f ca="1">IF(ISERROR(F350),"",IF(ISTEXT(VLOOKUP(B350,INDIRECT($F$8),6+(O359-1)*3)),(VLOOKUP(B350,INDIRECT($F$8),6+(O359-1)*3)),SUM(VLOOKUP(B350,INDIRECT($F$8),6+(O359-1)*3),IF(W365,W359,0))))</f>
        <v>#N/A</v>
      </c>
      <c r="Q359" s="1">
        <f ca="1">IF(ISERROR(F350),"",VLOOKUP(B350,INDIRECT($F$8),7+(O359-1)*3))</f>
        <v>45</v>
      </c>
      <c r="R359" s="1" t="e">
        <f ca="1">IF(ISERROR(F350),"",SUM(P359:Q359))</f>
        <v>#N/A</v>
      </c>
      <c r="S359" s="1">
        <f ca="1">IF(ISERROR(F350),"",VLOOKUP(A350,INDIRECT($F$8),6+(O359-1)*3))</f>
        <v>100</v>
      </c>
      <c r="T359" s="1">
        <f ca="1">IF(ISERROR(F350),"",VLOOKUP(A350,INDIRECT($F$8),7+(O359-1)*3))</f>
        <v>50</v>
      </c>
      <c r="U359" s="1">
        <f ca="1">IF(ISERROR(F350),"",VLOOKUP(A350,INDIRECT($F$8),8+(O359-1)*3))</f>
        <v>150</v>
      </c>
      <c r="V359" s="1" t="e">
        <f ca="1">IF(ISERROR(F350),"",IF(N359=0,A359,""))</f>
        <v>#N/A</v>
      </c>
      <c r="W359" s="1">
        <f ca="1">IF(ISERROR(F350),"",IF(ISTEXT(VLOOKUP(B350,INDIRECT($F$8),6+(O359-1)*3)),11,IF(VLOOKUP(B350,INDIRECT($F$8),6+(O359-1)*3)&lt;S359*0.3,IF(VLOOKUP(B350,INDIRECT($F$8),8+(O359-1)*3)&lt;U359*0.4,IF(AND(0.4*U359-VLOOKUP(B350,INDIRECT($F$8),8+(O359-1)*3)&lt;=5,0.3*S359-VLOOKUP(B350,INDIRECT($F$8),6+(O359-1)*3)&lt;=5),MAX(0.4*U359-VLOOKUP(B350,INDIRECT($F$8),8+(O359-1)*3),0.3*S359-VLOOKUP(B350,INDIRECT($F$8),6+(O359-1)*3)),11),IF(0.3*S359-VLOOKUP(B350,INDIRECT($F$8),6+(O359-1)*3)&lt;=5,0.3*S359-VLOOKUP(B350,INDIRECT($F$8),6+(O359-1)*3),11)),IF(VLOOKUP(B350,INDIRECT($F$8),8+(O359-1)*3)&lt;U359*0.4,IF(U359*0.4-VLOOKUP(B350,INDIRECT($F$8),8+(O359-1)*3)&lt;=5,U359*0.4-VLOOKUP(B350,INDIRECT($F$8),8+(O359-1)*3),11),0))))</f>
        <v>0</v>
      </c>
      <c r="X359" s="1" t="str">
        <f ca="1">IF(ISERROR(F350),"",IF(W359=0,"",_xlfn.TEXTJOIN("",FALSE," G+",W359," in ",A359)))</f>
        <v/>
      </c>
    </row>
    <row r="360" spans="1:24" ht="13" customHeight="1" x14ac:dyDescent="0.2">
      <c r="A360" s="7" t="str">
        <f ca="1">IF(ISERROR(F350),"",VLOOKUP(C350,INDIRECT($F$8),6+(O360-1)*3,0))</f>
        <v>AHT 304</v>
      </c>
      <c r="B360" s="41" t="str">
        <f ca="1">IF(ISERROR(F350),"",VLOOKUP(D350,INDIRECT($F$8),6+(O360-1)*3,0))</f>
        <v>Accounting and Financial Management ($)</v>
      </c>
      <c r="C360" s="41"/>
      <c r="D360" s="41"/>
      <c r="E360" s="41"/>
      <c r="F360" s="7">
        <f ca="1">IF(ISERROR(F350),"",VLOOKUP(E350,INDIRECT($F$8),6+(O360-1)*3,0))</f>
        <v>0</v>
      </c>
      <c r="G360" s="42" t="e">
        <f ca="1">IF(ISERROR(F350),"",_xlfn.TEXTJOIN("/",FALSE,P360,S360))</f>
        <v>#N/A</v>
      </c>
      <c r="H360" s="42"/>
      <c r="I360" s="42" t="str">
        <f ca="1">IF(ISERROR(F350),"",_xlfn.TEXTJOIN("/",FALSE,Q360,T360))</f>
        <v>31/50</v>
      </c>
      <c r="J360" s="42"/>
      <c r="K360" s="42" t="e">
        <f ca="1">IF(ISERROR(F350),"",_xlfn.TEXTJOIN("/",FALSE,R360,U360))</f>
        <v>#N/A</v>
      </c>
      <c r="L360" s="42"/>
      <c r="M360" s="7" t="e">
        <f ca="1">IF(ISERROR(F350),"",IF(ISTEXT(P360),IF(P360="A","Ab",IF(P360="D","Dt",IF(P360="UFM","UFM",IF(P360="NA","")))),IF(AND(ISBLANK(P360),ISBLANK(R360)),"",IF(P360&lt;0.3*S360,"F",IF(ISBLANK(R360),"",IF(ISTEXT(R360),R360,IF(R360&gt;=0.9*U360,"O",IF(R360&gt;=0.85*U360,"A+",IF(R360&gt;=0.8*U360,"A",IF(R360&gt;=0.7*U360,"B+",IF(R360&gt;=0.6*U360,"B",IF(R360&gt;=0.5*U360,"C",IF(R360&gt;=0.4*U360,"P",IF(R360&lt;0.4*U360,"F",R360))))))))))))))</f>
        <v>#N/A</v>
      </c>
      <c r="N360" s="8" t="e">
        <f t="shared" ca="1" si="36"/>
        <v>#N/A</v>
      </c>
      <c r="O360">
        <f t="shared" si="37"/>
        <v>6</v>
      </c>
      <c r="P360" s="1" t="e">
        <f ca="1">IF(ISERROR(F350),"",IF(ISTEXT(VLOOKUP(B350,INDIRECT($F$8),6+(O360-1)*3)),(VLOOKUP(B350,INDIRECT($F$8),6+(O360-1)*3)),SUM(VLOOKUP(B350,INDIRECT($F$8),6+(O360-1)*3),IF(W365,W360,0))))</f>
        <v>#N/A</v>
      </c>
      <c r="Q360" s="1">
        <f ca="1">IF(ISERROR(F350),"",VLOOKUP(B350,INDIRECT($F$8),7+(O360-1)*3))</f>
        <v>31</v>
      </c>
      <c r="R360" s="1" t="e">
        <f ca="1">IF(ISERROR(F350),"",SUM(P360:Q360))</f>
        <v>#N/A</v>
      </c>
      <c r="S360" s="1">
        <f ca="1">IF(ISERROR(F350),"",VLOOKUP(A350,INDIRECT($F$8),6+(O360-1)*3))</f>
        <v>0</v>
      </c>
      <c r="T360" s="1">
        <f ca="1">IF(ISERROR(F350),"",VLOOKUP(A350,INDIRECT($F$8),7+(O360-1)*3))</f>
        <v>50</v>
      </c>
      <c r="U360" s="1">
        <f ca="1">IF(ISERROR(F350),"",VLOOKUP(A350,INDIRECT($F$8),8+(O360-1)*3))</f>
        <v>50</v>
      </c>
      <c r="V360" s="1" t="e">
        <f ca="1">IF(ISERROR(F350),"",IF(N360=0,A360,""))</f>
        <v>#N/A</v>
      </c>
      <c r="W360" s="1">
        <f ca="1">IF(ISERROR(F350),"",IF(ISTEXT(VLOOKUP(B350,INDIRECT($F$8),6+(O360-1)*3)),11,IF(VLOOKUP(B350,INDIRECT($F$8),6+(O360-1)*3)&lt;S360*0.3,IF(VLOOKUP(B350,INDIRECT($F$8),8+(O360-1)*3)&lt;U360*0.4,IF(AND(0.4*U360-VLOOKUP(B350,INDIRECT($F$8),8+(O360-1)*3)&lt;=5,0.3*S360-VLOOKUP(B350,INDIRECT($F$8),6+(O360-1)*3)&lt;=5),MAX(0.4*U360-VLOOKUP(B350,INDIRECT($F$8),8+(O360-1)*3),0.3*S360-VLOOKUP(B350,INDIRECT($F$8),6+(O360-1)*3)),11),IF(0.3*S360-VLOOKUP(B350,INDIRECT($F$8),6+(O360-1)*3)&lt;=5,0.3*S360-VLOOKUP(B350,INDIRECT($F$8),6+(O360-1)*3),11)),IF(VLOOKUP(B350,INDIRECT($F$8),8+(O360-1)*3)&lt;U360*0.4,IF(U360*0.4-VLOOKUP(B350,INDIRECT($F$8),8+(O360-1)*3)&lt;=5,U360*0.4-VLOOKUP(B350,INDIRECT($F$8),8+(O360-1)*3),11),0))))</f>
        <v>0</v>
      </c>
      <c r="X360" s="1" t="str">
        <f ca="1">IF(ISERROR(F350),"",IF(W360=0,"",_xlfn.TEXTJOIN("",FALSE," G+",W360," in ",A360)))</f>
        <v/>
      </c>
    </row>
    <row r="361" spans="1:24" ht="13" customHeight="1" x14ac:dyDescent="0.2">
      <c r="A361" s="7" t="str">
        <f ca="1">IF(ISERROR(F350),"",VLOOKUP(C350,INDIRECT($F$8),6+(O361-1)*3,0))</f>
        <v>CAP 004</v>
      </c>
      <c r="B361" s="41" t="str">
        <f ca="1">IF(ISERROR(F350),"",VLOOKUP(D350,INDIRECT($F$8),6+(O361-1)*3,0))</f>
        <v>Data Structures and Analysis of Algorithms Lab</v>
      </c>
      <c r="C361" s="41"/>
      <c r="D361" s="41"/>
      <c r="E361" s="41"/>
      <c r="F361" s="7">
        <f ca="1">IF(ISERROR(F350),"",VLOOKUP(E350,INDIRECT($F$8),6+(O361-1)*3,0))</f>
        <v>1</v>
      </c>
      <c r="G361" s="42" t="e">
        <f ca="1">IF(ISERROR(F350),"",_xlfn.TEXTJOIN("/",FALSE,P361,S361))</f>
        <v>#N/A</v>
      </c>
      <c r="H361" s="42"/>
      <c r="I361" s="42" t="str">
        <f ca="1">IF(ISERROR(F350),"",_xlfn.TEXTJOIN("/",FALSE,Q361,T361))</f>
        <v>17/20</v>
      </c>
      <c r="J361" s="42"/>
      <c r="K361" s="42" t="e">
        <f ca="1">IF(ISERROR(F350),"",_xlfn.TEXTJOIN("/",FALSE,R361,U361))</f>
        <v>#N/A</v>
      </c>
      <c r="L361" s="42"/>
      <c r="M361" s="7" t="e">
        <f ca="1">IF(ISERROR(F350),"",IF(ISTEXT(P361),IF(P361="A","Ab",IF(P361="D","Dt",IF(P361="UFM","UFM",IF(P361="NA","")))),IF(AND(ISBLANK(P361),ISBLANK(R361)),"",IF(P361&lt;0.3*S361,"F",IF(ISBLANK(R361),"",IF(ISTEXT(R361),R361,IF(R361&gt;=0.9*U361,"O",IF(R361&gt;=0.85*U361,"A+",IF(R361&gt;=0.8*U361,"A",IF(R361&gt;=0.7*U361,"B+",IF(R361&gt;=0.6*U361,"B",IF(R361&gt;=0.5*U361,"C",IF(R361&gt;=0.4*U361,"P",IF(R361&lt;0.4*U361,"F",R361))))))))))))))</f>
        <v>#N/A</v>
      </c>
      <c r="N361" s="8" t="e">
        <f t="shared" ca="1" si="36"/>
        <v>#N/A</v>
      </c>
      <c r="O361">
        <f t="shared" si="37"/>
        <v>7</v>
      </c>
      <c r="P361" s="1" t="e">
        <f ca="1">IF(ISERROR(F350),"",IF(ISTEXT(VLOOKUP(B350,INDIRECT($F$8),6+(O361-1)*3)),(VLOOKUP(B350,INDIRECT($F$8),6+(O361-1)*3)),SUM(VLOOKUP(B350,INDIRECT($F$8),6+(O361-1)*3),IF(W365,W361,0))))</f>
        <v>#N/A</v>
      </c>
      <c r="Q361" s="1">
        <f ca="1">IF(ISERROR(F350),"",VLOOKUP(B350,INDIRECT($F$8),7+(O361-1)*3))</f>
        <v>17</v>
      </c>
      <c r="R361" s="1" t="e">
        <f ca="1">IF(ISERROR(F350),"",SUM(P361:Q361))</f>
        <v>#N/A</v>
      </c>
      <c r="S361" s="1">
        <f ca="1">IF(ISERROR(F350),"",VLOOKUP(A350,INDIRECT($F$8),6+(O361-1)*3))</f>
        <v>30</v>
      </c>
      <c r="T361" s="1">
        <f ca="1">IF(ISERROR(F350),"",VLOOKUP(A350,INDIRECT($F$8),7+(O361-1)*3))</f>
        <v>20</v>
      </c>
      <c r="U361" s="1">
        <f ca="1">IF(ISERROR(F350),"",VLOOKUP(A350,INDIRECT($F$8),8+(O361-1)*3))</f>
        <v>50</v>
      </c>
      <c r="V361" s="1" t="e">
        <f ca="1">IF(ISERROR(F350),"",IF(N361=0,A361,""))</f>
        <v>#N/A</v>
      </c>
      <c r="W361" s="1">
        <f ca="1">IF(ISERROR(F350),"",IF(ISTEXT(VLOOKUP(B350,INDIRECT($F$8),6+(O361-1)*3)),11,IF(VLOOKUP(B350,INDIRECT($F$8),6+(O361-1)*3)&lt;S361*0.3,IF(VLOOKUP(B350,INDIRECT($F$8),8+(O361-1)*3)&lt;U361*0.4,IF(AND(0.4*U361-VLOOKUP(B350,INDIRECT($F$8),8+(O361-1)*3)&lt;=5,0.3*S361-VLOOKUP(B350,INDIRECT($F$8),6+(O361-1)*3)&lt;=5),MAX(0.4*U361-VLOOKUP(B350,INDIRECT($F$8),8+(O361-1)*3),0.3*S361-VLOOKUP(B350,INDIRECT($F$8),6+(O361-1)*3)),11),IF(0.3*S361-VLOOKUP(B350,INDIRECT($F$8),6+(O361-1)*3)&lt;=5,0.3*S361-VLOOKUP(B350,INDIRECT($F$8),6+(O361-1)*3),11)),IF(VLOOKUP(B350,INDIRECT($F$8),8+(O361-1)*3)&lt;U361*0.4,IF(U361*0.4-VLOOKUP(B350,INDIRECT($F$8),8+(O361-1)*3)&lt;=5,U361*0.4-VLOOKUP(B350,INDIRECT($F$8),8+(O361-1)*3),11),0))))</f>
        <v>0</v>
      </c>
      <c r="X361" s="1" t="str">
        <f ca="1">IF(ISERROR(F350),"",IF(W361=0,"",_xlfn.TEXTJOIN("",FALSE," G+",W361," in ",A361)))</f>
        <v/>
      </c>
    </row>
    <row r="362" spans="1:24" ht="13" customHeight="1" x14ac:dyDescent="0.2">
      <c r="A362" s="7" t="str">
        <f ca="1">IF(ISERROR(F350),"",VLOOKUP(C350,INDIRECT($F$8),6+(O362-1)*3,0))</f>
        <v>CAP 005</v>
      </c>
      <c r="B362" s="41" t="str">
        <f ca="1">IF(ISERROR(F350),"",VLOOKUP(D350,INDIRECT($F$8),6+(O362-1)*3-Z362,0))</f>
        <v>Object Oriented Programming with JAVA Lab</v>
      </c>
      <c r="C362" s="41"/>
      <c r="D362" s="41"/>
      <c r="E362" s="41"/>
      <c r="F362" s="7">
        <f ca="1">IF(ISERROR(F350),"",VLOOKUP(E350,INDIRECT($F$8),6+(O362-1)*3,0))</f>
        <v>1</v>
      </c>
      <c r="G362" s="42" t="e">
        <f ca="1">IF(ISERROR(F350),"",_xlfn.TEXTJOIN("/",FALSE,P362,S362))</f>
        <v>#N/A</v>
      </c>
      <c r="H362" s="42"/>
      <c r="I362" s="42" t="str">
        <f ca="1">IF(ISERROR(F350),"",_xlfn.TEXTJOIN("/",FALSE,Q362,T362))</f>
        <v>16/20</v>
      </c>
      <c r="J362" s="42"/>
      <c r="K362" s="42" t="e">
        <f ca="1">IF(ISERROR(F350),"",_xlfn.TEXTJOIN("/",FALSE,R362,U362))</f>
        <v>#N/A</v>
      </c>
      <c r="L362" s="42"/>
      <c r="M362" s="7" t="e">
        <f ca="1">IF(ISERROR(F350),"",IF(ISTEXT(P362),IF(P362="A","Ab",IF(P362="D","Dt",IF(P362="UFM","UFM",IF(P362="NA","")))),IF(AND(ISBLANK(P362),ISBLANK(R362)),"",IF(P362&lt;0.3*S362,"F",IF(ISBLANK(R362),"",IF(ISTEXT(R362),R362,IF(R362&gt;=0.9*U362,"O",IF(R362&gt;=0.85*U362,"A+",IF(R362&gt;=0.8*U362,"A",IF(R362&gt;=0.7*U362,"B+",IF(R362&gt;=0.6*U362,"B",IF(R362&gt;=0.5*U362,"C",IF(R362&gt;=0.4*U362,"P",IF(R362&lt;0.4*U362,"F",R362))))))))))))))</f>
        <v>#N/A</v>
      </c>
      <c r="N362" s="8" t="e">
        <f t="shared" ca="1" si="36"/>
        <v>#N/A</v>
      </c>
      <c r="O362">
        <f t="shared" si="37"/>
        <v>8</v>
      </c>
      <c r="P362" s="1" t="e">
        <f ca="1">IF(ISERROR(F350),"",IF(ISTEXT(VLOOKUP(B350,INDIRECT($F$8),6+(O362-1)*3)),(VLOOKUP(B350,INDIRECT($F$8),6+(O362-1)*3)),SUM(VLOOKUP(B350,INDIRECT($F$8),6+(O362-1)*3),IF(W365,W362,0))))</f>
        <v>#N/A</v>
      </c>
      <c r="Q362" s="1">
        <f ca="1">IF(ISERROR(F350),"",VLOOKUP(B350,INDIRECT($F$8),7+(O362-1)*3))</f>
        <v>16</v>
      </c>
      <c r="R362" s="1" t="e">
        <f ca="1">IF(ISERROR(F350),"",SUM(P362:Q362))</f>
        <v>#N/A</v>
      </c>
      <c r="S362" s="1">
        <f ca="1">IF(ISERROR(F350),"",VLOOKUP(A350,INDIRECT($F$8),6+(O362-1)*3))</f>
        <v>30</v>
      </c>
      <c r="T362" s="1">
        <f ca="1">IF(ISERROR(F350),"",VLOOKUP(A350,INDIRECT($F$8),7+(O362-1)*3))</f>
        <v>20</v>
      </c>
      <c r="U362" s="1">
        <f ca="1">IF(ISERROR(F350),"",VLOOKUP(A350,INDIRECT($F$8),8+(O362-1)*3))</f>
        <v>50</v>
      </c>
      <c r="V362" s="1" t="e">
        <f ca="1">IF(ISERROR(F350),"",IF(N362=0,A362,""))</f>
        <v>#N/A</v>
      </c>
      <c r="W362" s="1">
        <f ca="1">IF(ISERROR(F350),"",IF(ISTEXT(VLOOKUP(B350,INDIRECT($F$8),6+(O362-1)*3)),11,IF(VLOOKUP(B350,INDIRECT($F$8),6+(O362-1)*3)&lt;S362*0.3,IF(VLOOKUP(B350,INDIRECT($F$8),8+(O362-1)*3)&lt;U362*0.4,IF(AND(0.4*U362-VLOOKUP(B350,INDIRECT($F$8),8+(O362-1)*3)&lt;=5,0.3*S362-VLOOKUP(B350,INDIRECT($F$8),6+(O362-1)*3)&lt;=5),MAX(0.4*U362-VLOOKUP(B350,INDIRECT($F$8),8+(O362-1)*3),0.3*S362-VLOOKUP(B350,INDIRECT($F$8),6+(O362-1)*3)),11),IF(0.3*S362-VLOOKUP(B350,INDIRECT($F$8),6+(O362-1)*3)&lt;=5,0.3*S362-VLOOKUP(B350,INDIRECT($F$8),6+(O362-1)*3),11)),IF(VLOOKUP(B350,INDIRECT($F$8),8+(O362-1)*3)&lt;U362*0.4,IF(U362*0.4-VLOOKUP(B350,INDIRECT($F$8),8+(O362-1)*3)&lt;=5,U362*0.4-VLOOKUP(B350,INDIRECT($F$8),8+(O362-1)*3),11),0))))</f>
        <v>0</v>
      </c>
      <c r="X362" s="1" t="str">
        <f ca="1">IF(ISERROR(F350),"",IF(W362=0,"",_xlfn.TEXTJOIN("",FALSE," G+",W362," in ",A362)))</f>
        <v/>
      </c>
    </row>
    <row r="363" spans="1:24" ht="13" customHeight="1" x14ac:dyDescent="0.2">
      <c r="A363" s="7" t="str">
        <f ca="1">IF(ISERROR(F350),"",VLOOKUP(C350,INDIRECT($F$8),6+(O363-1)*3,0))</f>
        <v>CAP 006</v>
      </c>
      <c r="B363" s="41" t="str">
        <f ca="1">IF(ISERROR(F350),"",VLOOKUP(D350,INDIRECT($F$8),6+(O363-1)*3-Z363,0))</f>
        <v>Computer Networks Lab</v>
      </c>
      <c r="C363" s="41"/>
      <c r="D363" s="41"/>
      <c r="E363" s="41"/>
      <c r="F363" s="7">
        <f ca="1">IF(ISERROR(F350),"",VLOOKUP(E350,INDIRECT($F$8),6+(O363-1)*3,0))</f>
        <v>1</v>
      </c>
      <c r="G363" s="42" t="e">
        <f ca="1">IF(ISERROR(F350),"",_xlfn.TEXTJOIN("/",FALSE,P363,S363))</f>
        <v>#N/A</v>
      </c>
      <c r="H363" s="42"/>
      <c r="I363" s="42" t="str">
        <f ca="1">IF(ISERROR(F350),"",_xlfn.TEXTJOIN("/",FALSE,Q363,T363))</f>
        <v>17/20</v>
      </c>
      <c r="J363" s="42"/>
      <c r="K363" s="42" t="e">
        <f ca="1">IF(ISERROR(F350),"",_xlfn.TEXTJOIN("/",FALSE,R363,U363))</f>
        <v>#N/A</v>
      </c>
      <c r="L363" s="42"/>
      <c r="M363" s="7" t="e">
        <f ca="1">IF(ISERROR(F350),"",IF(ISTEXT(P363),IF(P363="A","Ab",IF(P363="D","Dt",IF(P363="UFM","UFM",IF(P363="NA","")))),IF(AND(ISBLANK(P363),ISBLANK(R363)),"",IF(P363&lt;0.3*S363,"F",IF(ISBLANK(R363),"",IF(ISTEXT(R363),R363,IF(R363&gt;=0.9*U363,"O",IF(R363&gt;=0.85*U363,"A+",IF(R363&gt;=0.8*U363,"A",IF(R363&gt;=0.7*U363,"B+",IF(R363&gt;=0.6*U363,"B",IF(R363&gt;=0.5*U363,"C",IF(R363&gt;=0.4*U363,"P",IF(R363&lt;0.4*U363,"F",R363))))))))))))))</f>
        <v>#N/A</v>
      </c>
      <c r="N363" s="8" t="e">
        <f t="shared" ca="1" si="36"/>
        <v>#N/A</v>
      </c>
      <c r="O363">
        <f t="shared" si="37"/>
        <v>9</v>
      </c>
      <c r="P363" s="1" t="e">
        <f ca="1">IF(ISERROR(F350),"",IF(ISTEXT(VLOOKUP(B350,INDIRECT($F$8),6+(O363-1)*3)),(VLOOKUP(B350,INDIRECT($F$8),6+(O363-1)*3)),SUM(VLOOKUP(B350,INDIRECT($F$8),6+(O363-1)*3),IF(W365,W363,0))))</f>
        <v>#N/A</v>
      </c>
      <c r="Q363" s="1">
        <f ca="1">IF(ISERROR(F350),"",VLOOKUP(B350,INDIRECT($F$8),7+(O363-1)*3))</f>
        <v>17</v>
      </c>
      <c r="R363" s="1" t="e">
        <f ca="1">IF(ISERROR(F350),"",SUM(P363:Q363))</f>
        <v>#N/A</v>
      </c>
      <c r="S363" s="1">
        <f ca="1">IF(ISERROR(F350),"",VLOOKUP(A350,INDIRECT($F$8),6+(O363-1)*3))</f>
        <v>30</v>
      </c>
      <c r="T363" s="1">
        <f ca="1">IF(ISERROR(F350),"",VLOOKUP(A350,INDIRECT($F$8),7+(O363-1)*3))</f>
        <v>20</v>
      </c>
      <c r="U363" s="1">
        <f ca="1">IF(ISERROR(F350),"",VLOOKUP(A350,INDIRECT($F$8),8+(O363-1)*3))</f>
        <v>50</v>
      </c>
      <c r="V363" s="1" t="e">
        <f ca="1">IF(ISERROR(F350),"",IF(N363=0,A363,""))</f>
        <v>#N/A</v>
      </c>
      <c r="W363" s="1">
        <f ca="1">IF(ISERROR(F350),"",IF(ISTEXT(VLOOKUP(B350,INDIRECT($F$8),6+(O363-1)*3)),11,IF(VLOOKUP(B350,INDIRECT($F$8),6+(O363-1)*3)&lt;S363*0.3,IF(VLOOKUP(B350,INDIRECT($F$8),8+(O363-1)*3)&lt;U363*0.4,IF(AND(0.4*U363-VLOOKUP(B350,INDIRECT($F$8),8+(O363-1)*3)&lt;=5,0.3*S363-VLOOKUP(B350,INDIRECT($F$8),6+(O363-1)*3)&lt;=5),MAX(0.4*U363-VLOOKUP(B350,INDIRECT($F$8),8+(O363-1)*3),0.3*S363-VLOOKUP(B350,INDIRECT($F$8),6+(O363-1)*3)),11),IF(0.3*S363-VLOOKUP(B350,INDIRECT($F$8),6+(O363-1)*3)&lt;=5,0.3*S363-VLOOKUP(B350,INDIRECT($F$8),6+(O363-1)*3),11)),IF(VLOOKUP(B350,INDIRECT($F$8),8+(O363-1)*3)&lt;U363*0.4,IF(U363*0.4-VLOOKUP(B350,INDIRECT($F$8),8+(O363-1)*3)&lt;=5,U363*0.4-VLOOKUP(B350,INDIRECT($F$8),8+(O363-1)*3),11),0))))</f>
        <v>0</v>
      </c>
      <c r="X363" s="1" t="str">
        <f ca="1">IF(ISERROR(F350),"",IF(W363=0,"",_xlfn.TEXTJOIN("",FALSE," G+",W363," in ",A363)))</f>
        <v/>
      </c>
    </row>
    <row r="364" spans="1:24" ht="13" customHeight="1" x14ac:dyDescent="0.2">
      <c r="A364" s="7" t="str">
        <f ca="1">IF(ISERROR(F350),"",VLOOKUP(C350,INDIRECT($F$8),6+(O364-1)*3,0))</f>
        <v>CAP 007</v>
      </c>
      <c r="B364" s="41" t="str">
        <f ca="1">IF(ISERROR(F350),"",VLOOKUP(D350,INDIRECT($F$8),6+(O364-1)*3,0))</f>
        <v>Artificial Intelligence Lab</v>
      </c>
      <c r="C364" s="41"/>
      <c r="D364" s="41"/>
      <c r="E364" s="41"/>
      <c r="F364" s="7">
        <f ca="1">IF(ISERROR(F350),"",VLOOKUP(E350,INDIRECT($F$8),6+(O364-1)*3,0))</f>
        <v>1</v>
      </c>
      <c r="G364" s="42" t="e">
        <f ca="1">IF(ISERROR(F350),"",_xlfn.TEXTJOIN("/",FALSE,P364,S364))</f>
        <v>#N/A</v>
      </c>
      <c r="H364" s="42"/>
      <c r="I364" s="42" t="str">
        <f ca="1">IF(ISERROR(F350),"",_xlfn.TEXTJOIN("/",FALSE,Q364,T364))</f>
        <v>19/20</v>
      </c>
      <c r="J364" s="42"/>
      <c r="K364" s="42" t="e">
        <f ca="1">IF(ISERROR(F350),"",_xlfn.TEXTJOIN("/",FALSE,R364,U364))</f>
        <v>#N/A</v>
      </c>
      <c r="L364" s="42"/>
      <c r="M364" s="7" t="e">
        <f ca="1">IF(ISERROR(F350),"",IF(ISTEXT(P364),IF(P364="A","Ab",IF(P364="D","Dt",IF(P364="UFM","UFM",IF(P364="NA","")))),IF(AND(ISBLANK(P364),ISBLANK(R364)),"",IF(P364&lt;0.3*S364,"F",IF(ISBLANK(R364),"",IF(ISTEXT(R364),R364,IF(R364&gt;=0.9*U364,"O",IF(R364&gt;=0.85*U364,"A+",IF(R364&gt;=0.8*U364,"A",IF(R364&gt;=0.7*U364,"B+",IF(R364&gt;=0.6*U364,"B",IF(R364&gt;=0.5*U364,"C",IF(R364&gt;=0.4*U364,"P",IF(R364&lt;0.4*U364,"F",R364))))))))))))))</f>
        <v>#N/A</v>
      </c>
      <c r="N364" s="8" t="e">
        <f t="shared" ca="1" si="36"/>
        <v>#N/A</v>
      </c>
      <c r="O364">
        <f t="shared" si="37"/>
        <v>10</v>
      </c>
      <c r="P364" s="1" t="e">
        <f ca="1">IF(ISERROR(F350),"",IF(ISTEXT(VLOOKUP(B350,INDIRECT($F$8),6+(O364-1)*3)),(VLOOKUP(B350,INDIRECT($F$8),6+(O364-1)*3)),SUM(VLOOKUP(B350,INDIRECT($F$8),6+(O364-1)*3),IF(W365,W364,0))))</f>
        <v>#N/A</v>
      </c>
      <c r="Q364" s="1">
        <f ca="1">IF(ISERROR(F350),"",VLOOKUP(B350,INDIRECT($F$8),7+(O364-1)*3))</f>
        <v>19</v>
      </c>
      <c r="R364" s="1" t="e">
        <f ca="1">IF(ISERROR(F350),"",SUM(P364:Q364))</f>
        <v>#N/A</v>
      </c>
      <c r="S364" s="1">
        <f ca="1">IF(ISERROR(F350),"",VLOOKUP(A350,INDIRECT($F$8),6+(O364-1)*3))</f>
        <v>30</v>
      </c>
      <c r="T364" s="1">
        <f ca="1">IF(ISERROR(F350),"",VLOOKUP(A350,INDIRECT($F$8),7+(O364-1)*3))</f>
        <v>20</v>
      </c>
      <c r="U364" s="1">
        <f ca="1">IF(ISERROR(F350),"",VLOOKUP(A350,INDIRECT($F$8),8+(O364-1)*3))</f>
        <v>50</v>
      </c>
      <c r="V364" s="1" t="e">
        <f ca="1">IF(ISERROR(F350),"",IF(N364=0,A364,""))</f>
        <v>#N/A</v>
      </c>
      <c r="W364" s="1">
        <f ca="1">IF(ISERROR(F350),"",IF(ISTEXT(VLOOKUP(B350,INDIRECT($F$8),6+(O364-1)*3)),11,IF(VLOOKUP(B350,INDIRECT($F$8),6+(O364-1)*3)&lt;S364*0.3,IF(VLOOKUP(B350,INDIRECT($F$8),8+(O364-1)*3)&lt;U364*0.4,IF(AND(0.4*U364-VLOOKUP(B350,INDIRECT($F$8),8+(O364-1)*3)&lt;=5,0.3*S364-VLOOKUP(B350,INDIRECT($F$8),6+(O364-1)*3)&lt;=5),MAX(0.4*U364-VLOOKUP(B350,INDIRECT($F$8),8+(O364-1)*3),0.3*S364-VLOOKUP(B350,INDIRECT($F$8),6+(O364-1)*3)),11),IF(0.3*S364-VLOOKUP(B350,INDIRECT($F$8),6+(O364-1)*3)&lt;=5,0.3*S364-VLOOKUP(B350,INDIRECT($F$8),6+(O364-1)*3),11)),IF(VLOOKUP(B350,INDIRECT($F$8),8+(O364-1)*3)&lt;U364*0.4,IF(U364*0.4-VLOOKUP(B350,INDIRECT($F$8),8+(O364-1)*3)&lt;=5,U364*0.4-VLOOKUP(B350,INDIRECT($F$8),8+(O364-1)*3),11),0))))</f>
        <v>0</v>
      </c>
      <c r="X364" s="1" t="str">
        <f ca="1">IF(ISERROR(F350),"",IF(W364=0,"",_xlfn.TEXTJOIN("",FALSE," G+",W364," in ",A364)))</f>
        <v/>
      </c>
    </row>
    <row r="365" spans="1:24" ht="13" customHeight="1" x14ac:dyDescent="0.2">
      <c r="A365" s="43" t="str">
        <f ca="1">IF(ISERROR(F350),"",A346)</f>
        <v>Total Credits/ Marks/ Total Grade Points</v>
      </c>
      <c r="B365" s="43"/>
      <c r="C365" s="43"/>
      <c r="D365" s="43"/>
      <c r="E365" s="43"/>
      <c r="F365" s="10">
        <f ca="1">IF(ISERROR(F350),"",SUM(F355:F364))</f>
        <v>24</v>
      </c>
      <c r="G365" s="44" t="e">
        <f ca="1">IF(ISERROR(F350),"",_xlfn.TEXTJOIN("/",TRUE,SUMIF(F355:F364,"&gt;0",P355:P364),SUMIF(F355:F364,"&gt;0",S355:S364)))</f>
        <v>#N/A</v>
      </c>
      <c r="H365" s="44"/>
      <c r="I365" s="44" t="str">
        <f ca="1">IF(ISERROR(F350),"",_xlfn.TEXTJOIN("/",TRUE,SUMIF(F355:F364,"&gt;0",Q355:Q364),SUMIF(F355:F364,"&gt;0",T355:T364)))</f>
        <v>267/330</v>
      </c>
      <c r="J365" s="44"/>
      <c r="K365" s="44" t="e">
        <f ca="1">IF(ISERROR(F350),"",_xlfn.TEXTJOIN("/",TRUE,SUMIF(F355:F364,"&gt;0",R355:R364),SUMIF(F355:F364,"&gt;0",U355:U364)))</f>
        <v>#N/A</v>
      </c>
      <c r="L365" s="44"/>
      <c r="M365" s="43" t="e">
        <f ca="1">IF(ISERROR(F350),"",SUMPRODUCT(N355:N364,F355:F364))</f>
        <v>#N/A</v>
      </c>
      <c r="N365" s="43"/>
      <c r="V365" s="1" t="e">
        <f ca="1">IF(ISERROR(F350),"",_xlfn.TEXTJOIN(", ",TRUE,V355:V364))</f>
        <v>#N/A</v>
      </c>
      <c r="W365" t="e">
        <f ca="1">IF(ISERROR(F350),"",IF(SUM(W355:W364)&lt;=W354,TRUE,FALSE))</f>
        <v>#N/A</v>
      </c>
      <c r="X365" s="1" t="str">
        <f ca="1">IF(ISERROR(F350),"",_xlfn.TEXTJOIN(",",TRUE,X355:X364))</f>
        <v xml:space="preserve"> G+11 in CAT 012</v>
      </c>
    </row>
    <row r="366" spans="1:24" ht="13" customHeight="1" x14ac:dyDescent="0.2">
      <c r="A366" s="43" t="str">
        <f ca="1">IF(ISERROR(F350),"",A347)</f>
        <v>Result:</v>
      </c>
      <c r="B366" s="45" t="e">
        <f ca="1">IF(ISERROR(F350),"",IF(V365="","PASS","CARRY OVER"))</f>
        <v>#N/A</v>
      </c>
      <c r="C366" s="45"/>
      <c r="D366" s="43" t="str">
        <f ca="1">IF(ISERROR(F350),"",D347)</f>
        <v>Remark:</v>
      </c>
      <c r="E366" s="45" t="e">
        <f ca="1">IF(ISERROR(F350),"",IF(V365="",IF(X365="","",X365),_xlfn.TEXTJOIN(" ",TRUE,"BACK IN",V365)))</f>
        <v>#N/A</v>
      </c>
      <c r="F366" s="45"/>
      <c r="G366" s="43" t="str">
        <f ca="1">IF(ISERROR(F350),"",G347)</f>
        <v>SGPA:</v>
      </c>
      <c r="H366" s="46" t="e">
        <f ca="1">IF(ISERROR(F350),"",M365/F365)</f>
        <v>#N/A</v>
      </c>
      <c r="I366" s="43" t="str">
        <f ca="1">IF(ISERROR(F350),"",I347)</f>
        <v>CGPA:</v>
      </c>
      <c r="J366" s="46" t="e">
        <f ca="1">IF(ISERROR(F350),"",VLOOKUP(B350,INDIRECT($F$8),12+(O364-1)*3,0))</f>
        <v>#N/A</v>
      </c>
      <c r="K366" s="45" t="str">
        <f ca="1">IF(ISERROR(F350),"",K347)</f>
        <v>Earned Credits:</v>
      </c>
      <c r="L366" s="43">
        <f ca="1">IF(ISERROR(F350),"",SUMIF(N355:N364,"&gt;0",F355:F364))</f>
        <v>0</v>
      </c>
      <c r="M366" s="45" t="str">
        <f ca="1">IF(ISERROR(F350),"",M347)</f>
        <v>Cuml. Earned Credits:</v>
      </c>
      <c r="N366" s="43" t="e">
        <f ca="1">IF(ISERROR(F350),"",VLOOKUP(B350,INDIRECT($F$8),10+(O364-1)*3,0))</f>
        <v>#N/A</v>
      </c>
    </row>
    <row r="367" spans="1:24" ht="13" customHeight="1" x14ac:dyDescent="0.2">
      <c r="A367" s="43"/>
      <c r="B367" s="45"/>
      <c r="C367" s="45"/>
      <c r="D367" s="43"/>
      <c r="E367" s="45"/>
      <c r="F367" s="45"/>
      <c r="G367" s="43"/>
      <c r="H367" s="46"/>
      <c r="I367" s="43"/>
      <c r="J367" s="46"/>
      <c r="K367" s="45"/>
      <c r="L367" s="43"/>
      <c r="M367" s="45"/>
      <c r="N367" s="43"/>
    </row>
    <row r="368" spans="1:24" ht="15" x14ac:dyDescent="0.2">
      <c r="A368" s="43"/>
      <c r="B368" s="45"/>
      <c r="C368" s="45"/>
      <c r="D368" s="43"/>
      <c r="E368" s="45"/>
      <c r="F368" s="45"/>
      <c r="G368" s="43"/>
      <c r="H368" s="46"/>
      <c r="I368" s="43"/>
      <c r="J368" s="46"/>
      <c r="K368" s="45"/>
      <c r="L368" s="43"/>
      <c r="M368" s="45"/>
      <c r="N368" s="43"/>
    </row>
    <row r="369" spans="1:24" ht="13" customHeight="1" x14ac:dyDescent="0.2">
      <c r="A369" s="11" t="str">
        <f>A350</f>
        <v>MM</v>
      </c>
      <c r="B369" s="11">
        <f>B350+1</f>
        <v>20</v>
      </c>
      <c r="C369" s="11" t="str">
        <f>C350</f>
        <v>SC</v>
      </c>
      <c r="D369" s="11" t="str">
        <f>D350</f>
        <v>SN</v>
      </c>
      <c r="E369" s="11" t="str">
        <f>E350</f>
        <v>C</v>
      </c>
      <c r="F369" s="11" t="str">
        <f ca="1">VLOOKUP(B369,INDIRECT($F$8),4,0)</f>
        <v>SHARAD NIJWALA</v>
      </c>
    </row>
    <row r="370" spans="1:24" ht="13" customHeight="1" x14ac:dyDescent="0.2">
      <c r="A370" s="47" t="str">
        <f ca="1">IF(ISERROR(F369),"",A351)</f>
        <v>Name:</v>
      </c>
      <c r="B370" s="47" t="str">
        <f ca="1">IFERROR(VLOOKUP(B369,INDIRECT($F$8),4,0),"")</f>
        <v>SHARAD NIJWALA</v>
      </c>
      <c r="C370" s="47"/>
      <c r="D370" s="47" t="str">
        <f ca="1">IF(ISERROR(F369),"",D351)</f>
        <v>Father's Name:</v>
      </c>
      <c r="E370" s="47" t="str">
        <f ca="1">IFERROR(VLOOKUP(B369,INDIRECT($F$8),5,0),"")</f>
        <v>VIJAYANT SINGH</v>
      </c>
      <c r="F370" s="47"/>
      <c r="G370" s="47" t="str">
        <f ca="1">IF(ISERROR(F369),"",G351)</f>
        <v>University Roll No:</v>
      </c>
      <c r="H370" s="47"/>
      <c r="I370" s="48">
        <f ca="1">IFERROR(VLOOKUP(B369,INDIRECT($F$8),2,0),"")</f>
        <v>240090600020</v>
      </c>
      <c r="J370" s="48"/>
      <c r="K370" s="47" t="str">
        <f ca="1">IF(ISERROR(F369),"",K351)</f>
        <v>University Enrol. No:</v>
      </c>
      <c r="L370" s="47"/>
      <c r="M370" s="48" t="str">
        <f ca="1">IFERROR(VLOOKUP(B369,INDIRECT($F$8),3,0),"")</f>
        <v>UTU/2406100196</v>
      </c>
      <c r="N370" s="48"/>
    </row>
    <row r="371" spans="1:24" ht="15" x14ac:dyDescent="0.2">
      <c r="A371" s="47"/>
      <c r="B371" s="47"/>
      <c r="C371" s="47"/>
      <c r="D371" s="47"/>
      <c r="E371" s="47"/>
      <c r="F371" s="47"/>
      <c r="G371" s="47"/>
      <c r="H371" s="47"/>
      <c r="I371" s="48"/>
      <c r="J371" s="48"/>
      <c r="K371" s="47"/>
      <c r="L371" s="47"/>
      <c r="M371" s="48"/>
      <c r="N371" s="48"/>
    </row>
    <row r="372" spans="1:24" ht="13" customHeight="1" x14ac:dyDescent="0.2">
      <c r="A372" s="45" t="str">
        <f ca="1">IF(ISERROR(F369),"",A353)</f>
        <v>Subject Code</v>
      </c>
      <c r="B372" s="45" t="str">
        <f ca="1">IF(ISERROR(F369),"",B353)</f>
        <v>Subject Name</v>
      </c>
      <c r="C372" s="45"/>
      <c r="D372" s="45"/>
      <c r="E372" s="45"/>
      <c r="F372" s="45" t="str">
        <f ca="1">IF(ISERROR(F369),"",F353)</f>
        <v>Credits</v>
      </c>
      <c r="G372" s="45" t="str">
        <f ca="1">IF(ISERROR(F369),"",G353)</f>
        <v>External Marks</v>
      </c>
      <c r="H372" s="45"/>
      <c r="I372" s="45" t="str">
        <f ca="1">IF(ISERROR(F369),"",I353)</f>
        <v>Sessional Marks</v>
      </c>
      <c r="J372" s="45"/>
      <c r="K372" s="45" t="str">
        <f ca="1">IF(ISERROR(F369),"",K353)</f>
        <v>Total Marks</v>
      </c>
      <c r="L372" s="45"/>
      <c r="M372" s="45" t="str">
        <f ca="1">IF(ISERROR(F369),"",M353)</f>
        <v>Grade</v>
      </c>
      <c r="N372" s="45" t="str">
        <f ca="1">IF(ISERROR(F369),"",N353)</f>
        <v>Grade Points</v>
      </c>
    </row>
    <row r="373" spans="1:24" ht="15" x14ac:dyDescent="0.2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W373" t="e">
        <f ca="1">IF(ISNUMBER(MATCH($F$8,{"I","III","V","VII"},0)),10,10-INDEX(INDIRECT(_xlfn.TEXTJOIN("",TRUE,"SEM_",$G$8,"!",ADDRESS(6,4+$I$8*3+4),":",ADDRESS(5+$H$8,4+$I$8*3+4))),MATCH(INDIRECT(_xlfn.TEXTJOIN("",TRUE,"TC_",$F$8,"!",ADDRESS(ROW(I370),COLUMN(I370)))),INDIRECT(_xlfn.TEXTJOIN("",TRUE,"SEM_",$G$8,"!",ADDRESS(6,2),":",ADDRESS(5+$H$8,2))))))</f>
        <v>#N/A</v>
      </c>
    </row>
    <row r="374" spans="1:24" ht="13" customHeight="1" x14ac:dyDescent="0.2">
      <c r="A374" s="7" t="str">
        <f ca="1">IF(ISERROR(F369),"",VLOOKUP(C369,INDIRECT($F$8),6+(O374-1)*3,0))</f>
        <v>CAT 009</v>
      </c>
      <c r="B374" s="41" t="str">
        <f ca="1">IF(ISERROR(F369),"",VLOOKUP(D369,INDIRECT($F$8),6+(O374-1)*3,0))</f>
        <v>Computer Based Numerical and Statistical Techniques</v>
      </c>
      <c r="C374" s="41"/>
      <c r="D374" s="41"/>
      <c r="E374" s="41"/>
      <c r="F374" s="7">
        <f ca="1">IF(ISERROR(F369),"",VLOOKUP(E369,INDIRECT($F$8),6+(O374-1)*3,0))</f>
        <v>4</v>
      </c>
      <c r="G374" s="42" t="e">
        <f ca="1">IF(ISERROR(F369),"",_xlfn.TEXTJOIN("/",FALSE,P374,S374))</f>
        <v>#N/A</v>
      </c>
      <c r="H374" s="42"/>
      <c r="I374" s="42" t="str">
        <f ca="1">IF(ISERROR(F369),"",_xlfn.TEXTJOIN("/",FALSE,Q374,T374))</f>
        <v>37/50</v>
      </c>
      <c r="J374" s="42"/>
      <c r="K374" s="42" t="e">
        <f ca="1">IF(ISERROR(F369),"",_xlfn.TEXTJOIN("/",FALSE,R374,U374))</f>
        <v>#N/A</v>
      </c>
      <c r="L374" s="42"/>
      <c r="M374" s="7" t="e">
        <f ca="1">IF(ISERROR(F369),"",IF(ISTEXT(P374),IF(P374="A","Ab",IF(P374="D","Dt",IF(P374="UFM","UFM",IF(P374="NA","")))),IF(AND(ISBLANK(P374),ISBLANK(R374)),"",IF(P374&lt;0.3*S374,"F",IF(ISBLANK(R374),"",IF(ISTEXT(R374),R374,IF(R374&gt;=0.9*U374,"O",IF(R374&gt;=0.85*U374,"A+",IF(R374&gt;=0.8*U374,"A",IF(R374&gt;=0.7*U374,"B+",IF(R374&gt;=0.6*U374,"B",IF(R374&gt;=0.5*U374,"C",IF(R374&gt;=0.4*U374,"P",IF(R374&lt;0.4*U374,"F",R374))))))))))))))</f>
        <v>#N/A</v>
      </c>
      <c r="N374" s="8" t="e">
        <f t="shared" ref="N374:N383" ca="1" si="38">INDEX($Z$2:$Z$13,MATCH(M374,$Y$2:$Y$13,0))</f>
        <v>#N/A</v>
      </c>
      <c r="O374">
        <v>1</v>
      </c>
      <c r="P374" s="1" t="e">
        <f ca="1">IF(ISERROR(F369),"",IF(ISTEXT(VLOOKUP(B369,INDIRECT($F$8),6+(O374-1)*3)),(VLOOKUP(B369,INDIRECT($F$8),6+(O374-1)*3)),SUM(VLOOKUP(B369,INDIRECT($F$8),6+(O374-1)*3),IF(W384,W374,0))))</f>
        <v>#N/A</v>
      </c>
      <c r="Q374" s="1">
        <f ca="1">IF(ISERROR(F369),"",VLOOKUP(B369,INDIRECT($F$8),7+(O374-1)*3))</f>
        <v>37</v>
      </c>
      <c r="R374" s="1" t="e">
        <f ca="1">IF(ISERROR(F369),"",SUM(P374:Q374))</f>
        <v>#N/A</v>
      </c>
      <c r="S374" s="1">
        <f ca="1">IF(ISERROR(F369),"",VLOOKUP(A369,INDIRECT($F$8),6+(O374-1)*3))</f>
        <v>100</v>
      </c>
      <c r="T374" s="1">
        <f ca="1">IF(ISERROR(F369),"",VLOOKUP(A369,INDIRECT($F$8),7+(O374-1)*3))</f>
        <v>50</v>
      </c>
      <c r="U374" s="1">
        <f ca="1">IF(ISERROR(F369),"",VLOOKUP(A369,INDIRECT($F$8),8+(O374-1)*3))</f>
        <v>150</v>
      </c>
      <c r="V374" s="1" t="e">
        <f ca="1">IF(ISERROR(F369),"",IF(N374=0,A374,""))</f>
        <v>#N/A</v>
      </c>
      <c r="W374" s="1">
        <f ca="1">IF(ISERROR(F369),"",IF(ISTEXT(VLOOKUP(B369,INDIRECT($F$8),6+(O374-1)*3)),11,IF(VLOOKUP(B369,INDIRECT($F$8),6+(O374-1)*3)&lt;S374*0.3,IF(VLOOKUP(B369,INDIRECT($F$8),8+(O374-1)*3)&lt;U374*0.4,IF(AND(0.4*U374-VLOOKUP(B369,INDIRECT($F$8),8+(O374-1)*3)&lt;=5,0.3*S374-VLOOKUP(B369,INDIRECT($F$8),6+(O374-1)*3)&lt;=5),MAX(0.4*U374-VLOOKUP(B369,INDIRECT($F$8),8+(O374-1)*3),0.3*S374-VLOOKUP(B369,INDIRECT($F$8),6+(O374-1)*3)),11),IF(0.3*S374-VLOOKUP(B369,INDIRECT($F$8),6+(O374-1)*3)&lt;=5,0.3*S374-VLOOKUP(B369,INDIRECT($F$8),6+(O374-1)*3),11)),IF(VLOOKUP(B369,INDIRECT($F$8),8+(O374-1)*3)&lt;U374*0.4,IF(U374*0.4-VLOOKUP(B369,INDIRECT($F$8),8+(O374-1)*3)&lt;=5,U374*0.4-VLOOKUP(B369,INDIRECT($F$8),8+(O374-1)*3),11),0))))</f>
        <v>5</v>
      </c>
      <c r="X374" s="1" t="str">
        <f ca="1">IF(ISERROR(F369),"",IF(W374=0,"",_xlfn.TEXTJOIN("",FALSE," G+",W374," in ",A374)))</f>
        <v xml:space="preserve"> G+5 in CAT 009</v>
      </c>
    </row>
    <row r="375" spans="1:24" ht="13" customHeight="1" x14ac:dyDescent="0.2">
      <c r="A375" s="7" t="str">
        <f ca="1">IF(ISERROR(F369),"",VLOOKUP(C369,INDIRECT($F$8),6+(O375-1)*3,0))</f>
        <v>CAT 010</v>
      </c>
      <c r="B375" s="41" t="str">
        <f ca="1">IF(ISERROR(F369),"",VLOOKUP(D369,INDIRECT($F$8),6+(O375-1)*3,0))</f>
        <v>Data Structures and Analysis of Algorithms</v>
      </c>
      <c r="C375" s="41"/>
      <c r="D375" s="41"/>
      <c r="E375" s="41"/>
      <c r="F375" s="7">
        <f ca="1">IF(ISERROR(F369),"",VLOOKUP(E369,INDIRECT($F$8),6+(O375-1)*3,0))</f>
        <v>4</v>
      </c>
      <c r="G375" s="42" t="e">
        <f ca="1">IF(ISERROR(F369),"",_xlfn.TEXTJOIN("/",FALSE,P375,S375))</f>
        <v>#N/A</v>
      </c>
      <c r="H375" s="42"/>
      <c r="I375" s="42" t="str">
        <f ca="1">IF(ISERROR(F369),"",_xlfn.TEXTJOIN("/",FALSE,Q375,T375))</f>
        <v>41/50</v>
      </c>
      <c r="J375" s="42"/>
      <c r="K375" s="42" t="e">
        <f ca="1">IF(ISERROR(F369),"",_xlfn.TEXTJOIN("/",FALSE,R375,U375))</f>
        <v>#N/A</v>
      </c>
      <c r="L375" s="42"/>
      <c r="M375" s="7" t="e">
        <f ca="1">IF(ISERROR(F369),"",IF(ISTEXT(P375),IF(P375="A","Ab",IF(P375="D","Dt",IF(P375="UFM","UFM",IF(P375="NA","")))),IF(AND(ISBLANK(P375),ISBLANK(R375)),"",IF(P375&lt;0.3*S375,"F",IF(ISBLANK(R375),"",IF(ISTEXT(R375),R375,IF(R375&gt;=0.9*U375,"O",IF(R375&gt;=0.85*U375,"A+",IF(R375&gt;=0.8*U375,"A",IF(R375&gt;=0.7*U375,"B+",IF(R375&gt;=0.6*U375,"B",IF(R375&gt;=0.5*U375,"C",IF(R375&gt;=0.4*U375,"P",IF(R375&lt;0.4*U375,"F",R375))))))))))))))</f>
        <v>#N/A</v>
      </c>
      <c r="N375" s="8" t="e">
        <f t="shared" ca="1" si="38"/>
        <v>#N/A</v>
      </c>
      <c r="O375">
        <f>O374+1</f>
        <v>2</v>
      </c>
      <c r="P375" s="1" t="e">
        <f ca="1">IF(ISERROR(F369),"",IF(ISTEXT(VLOOKUP(B369,INDIRECT($F$8),6+(O375-1)*3)),(VLOOKUP(B369,INDIRECT($F$8),6+(O375-1)*3)),SUM(VLOOKUP(B369,INDIRECT($F$8),6+(O375-1)*3),IF(W384,W375,0))))</f>
        <v>#N/A</v>
      </c>
      <c r="Q375" s="1">
        <f ca="1">IF(ISERROR(F369),"",VLOOKUP(B369,INDIRECT($F$8),7+(O375-1)*3))</f>
        <v>41</v>
      </c>
      <c r="R375" s="1" t="e">
        <f ca="1">IF(ISERROR(F369),"",SUM(P375:Q375))</f>
        <v>#N/A</v>
      </c>
      <c r="S375" s="1">
        <f ca="1">IF(ISERROR(F369),"",VLOOKUP(A369,INDIRECT($F$8),6+(O375-1)*3))</f>
        <v>100</v>
      </c>
      <c r="T375" s="1">
        <f ca="1">IF(ISERROR(F369),"",VLOOKUP(A369,INDIRECT($F$8),7+(O375-1)*3))</f>
        <v>50</v>
      </c>
      <c r="U375" s="1">
        <f ca="1">IF(ISERROR(F369),"",VLOOKUP(A369,INDIRECT($F$8),8+(O375-1)*3))</f>
        <v>150</v>
      </c>
      <c r="V375" s="1" t="e">
        <f ca="1">IF(ISERROR(F369),"",IF(N375=0,A375,""))</f>
        <v>#N/A</v>
      </c>
      <c r="W375" s="1">
        <f ca="1">IF(ISERROR(F369),"",IF(ISTEXT(VLOOKUP(B369,INDIRECT($F$8),6+(O375-1)*3)),11,IF(VLOOKUP(B369,INDIRECT($F$8),6+(O375-1)*3)&lt;S375*0.3,IF(VLOOKUP(B369,INDIRECT($F$8),8+(O375-1)*3)&lt;U375*0.4,IF(AND(0.4*U375-VLOOKUP(B369,INDIRECT($F$8),8+(O375-1)*3)&lt;=5,0.3*S375-VLOOKUP(B369,INDIRECT($F$8),6+(O375-1)*3)&lt;=5),MAX(0.4*U375-VLOOKUP(B369,INDIRECT($F$8),8+(O375-1)*3),0.3*S375-VLOOKUP(B369,INDIRECT($F$8),6+(O375-1)*3)),11),IF(0.3*S375-VLOOKUP(B369,INDIRECT($F$8),6+(O375-1)*3)&lt;=5,0.3*S375-VLOOKUP(B369,INDIRECT($F$8),6+(O375-1)*3),11)),IF(VLOOKUP(B369,INDIRECT($F$8),8+(O375-1)*3)&lt;U375*0.4,IF(U375*0.4-VLOOKUP(B369,INDIRECT($F$8),8+(O375-1)*3)&lt;=5,U375*0.4-VLOOKUP(B369,INDIRECT($F$8),8+(O375-1)*3),11),0))))</f>
        <v>0</v>
      </c>
      <c r="X375" s="1" t="str">
        <f ca="1">IF(ISERROR(F369),"",IF(W375=0,"",_xlfn.TEXTJOIN("",FALSE," G+",W375," in ",A375)))</f>
        <v/>
      </c>
    </row>
    <row r="376" spans="1:24" ht="13" customHeight="1" x14ac:dyDescent="0.2">
      <c r="A376" s="7" t="str">
        <f ca="1">IF(ISERROR(F369),"",VLOOKUP(C369,INDIRECT($F$8),6+(O376-1)*3,0))</f>
        <v>CAT 011</v>
      </c>
      <c r="B376" s="41" t="str">
        <f ca="1">IF(ISERROR(F369),"",VLOOKUP(D369,INDIRECT($F$8),6+(O376-1)*3,0))</f>
        <v>Object Oriented Programming with JAVA</v>
      </c>
      <c r="C376" s="41"/>
      <c r="D376" s="41"/>
      <c r="E376" s="41"/>
      <c r="F376" s="7">
        <f ca="1">IF(ISERROR(F369),"",VLOOKUP(E369,INDIRECT($F$8),6+(O376-1)*3,0))</f>
        <v>4</v>
      </c>
      <c r="G376" s="42" t="e">
        <f ca="1">IF(ISERROR(F369),"",_xlfn.TEXTJOIN("/",FALSE,P376,S376))</f>
        <v>#N/A</v>
      </c>
      <c r="H376" s="42"/>
      <c r="I376" s="42" t="str">
        <f ca="1">IF(ISERROR(F369),"",_xlfn.TEXTJOIN("/",FALSE,Q376,T376))</f>
        <v>36/50</v>
      </c>
      <c r="J376" s="42"/>
      <c r="K376" s="42" t="e">
        <f ca="1">IF(ISERROR(F369),"",_xlfn.TEXTJOIN("/",FALSE,R376,U376))</f>
        <v>#N/A</v>
      </c>
      <c r="L376" s="42"/>
      <c r="M376" s="7" t="e">
        <f ca="1">IF(ISERROR(F369),"",IF(ISTEXT(P376),IF(P376="A","Ab",IF(P376="D","Dt",IF(P376="UFM","UFM",IF(P376="NA","")))),IF(AND(ISBLANK(P376),ISBLANK(R376)),"",IF(P376&lt;0.3*S376,"F",IF(ISBLANK(R376),"",IF(ISTEXT(R376),R376,IF(R376&gt;=0.9*U376,"O",IF(R376&gt;=0.85*U376,"A+",IF(R376&gt;=0.8*U376,"A",IF(R376&gt;=0.7*U376,"B+",IF(R376&gt;=0.6*U376,"B",IF(R376&gt;=0.5*U376,"C",IF(R376&gt;=0.4*U376,"P",IF(R376&lt;0.4*U376,"F",R376))))))))))))))</f>
        <v>#N/A</v>
      </c>
      <c r="N376" s="8" t="e">
        <f t="shared" ca="1" si="38"/>
        <v>#N/A</v>
      </c>
      <c r="O376">
        <f>O375+1</f>
        <v>3</v>
      </c>
      <c r="P376" s="1" t="e">
        <f ca="1">IF(ISERROR(F369),"",IF(ISTEXT(VLOOKUP(B369,INDIRECT($F$8),6+(O376-1)*3)),(VLOOKUP(B369,INDIRECT($F$8),6+(O376-1)*3)),SUM(VLOOKUP(B369,INDIRECT($F$8),6+(O376-1)*3),IF(W384,W376,0))))</f>
        <v>#N/A</v>
      </c>
      <c r="Q376" s="1">
        <f ca="1">IF(ISERROR(F369),"",VLOOKUP(B369,INDIRECT($F$8),7+(O376-1)*3))</f>
        <v>36</v>
      </c>
      <c r="R376" s="1" t="e">
        <f ca="1">IF(ISERROR(F369),"",SUM(P376:Q376))</f>
        <v>#N/A</v>
      </c>
      <c r="S376" s="1">
        <f ca="1">IF(ISERROR(F369),"",VLOOKUP(A369,INDIRECT($F$8),6+(O376-1)*3))</f>
        <v>100</v>
      </c>
      <c r="T376" s="1">
        <f ca="1">IF(ISERROR(F369),"",VLOOKUP(A369,INDIRECT($F$8),7+(O376-1)*3))</f>
        <v>50</v>
      </c>
      <c r="U376" s="1">
        <f ca="1">IF(ISERROR(F369),"",VLOOKUP(A369,INDIRECT($F$8),8+(O376-1)*3))</f>
        <v>150</v>
      </c>
      <c r="V376" s="1" t="e">
        <f ca="1">IF(ISERROR(F369),"",IF(N376=0,A376,""))</f>
        <v>#N/A</v>
      </c>
      <c r="W376" s="1">
        <f ca="1">IF(ISERROR(F369),"",IF(ISTEXT(VLOOKUP(B369,INDIRECT($F$8),6+(O376-1)*3)),11,IF(VLOOKUP(B369,INDIRECT($F$8),6+(O376-1)*3)&lt;S376*0.3,IF(VLOOKUP(B369,INDIRECT($F$8),8+(O376-1)*3)&lt;U376*0.4,IF(AND(0.4*U376-VLOOKUP(B369,INDIRECT($F$8),8+(O376-1)*3)&lt;=5,0.3*S376-VLOOKUP(B369,INDIRECT($F$8),6+(O376-1)*3)&lt;=5),MAX(0.4*U376-VLOOKUP(B369,INDIRECT($F$8),8+(O376-1)*3),0.3*S376-VLOOKUP(B369,INDIRECT($F$8),6+(O376-1)*3)),11),IF(0.3*S376-VLOOKUP(B369,INDIRECT($F$8),6+(O376-1)*3)&lt;=5,0.3*S376-VLOOKUP(B369,INDIRECT($F$8),6+(O376-1)*3),11)),IF(VLOOKUP(B369,INDIRECT($F$8),8+(O376-1)*3)&lt;U376*0.4,IF(U376*0.4-VLOOKUP(B369,INDIRECT($F$8),8+(O376-1)*3)&lt;=5,U376*0.4-VLOOKUP(B369,INDIRECT($F$8),8+(O376-1)*3),11),0))))</f>
        <v>0</v>
      </c>
      <c r="X376" s="1" t="str">
        <f ca="1">IF(ISERROR(F369),"",IF(W376=0,"",_xlfn.TEXTJOIN("",FALSE," G+",W376," in ",A376)))</f>
        <v/>
      </c>
    </row>
    <row r="377" spans="1:24" ht="13" customHeight="1" x14ac:dyDescent="0.2">
      <c r="A377" s="7" t="str">
        <f ca="1">IF(ISERROR(F369),"",VLOOKUP(C369,INDIRECT($F$8),6+(O377-1)*3,0))</f>
        <v>CAT 012</v>
      </c>
      <c r="B377" s="41" t="str">
        <f ca="1">IF(ISERROR(F369),"",VLOOKUP(D369,INDIRECT($F$8),6+(O377-1)*3,0))</f>
        <v>Computer Networks</v>
      </c>
      <c r="C377" s="41"/>
      <c r="D377" s="41"/>
      <c r="E377" s="41"/>
      <c r="F377" s="7">
        <f ca="1">IF(ISERROR(F369),"",VLOOKUP(E369,INDIRECT($F$8),6+(O377-1)*3,0))</f>
        <v>4</v>
      </c>
      <c r="G377" s="42" t="e">
        <f ca="1">IF(ISERROR(F369),"",_xlfn.TEXTJOIN("/",FALSE,P377,S377))</f>
        <v>#N/A</v>
      </c>
      <c r="H377" s="42"/>
      <c r="I377" s="42" t="str">
        <f ca="1">IF(ISERROR(F369),"",_xlfn.TEXTJOIN("/",FALSE,Q377,T377))</f>
        <v>32/50</v>
      </c>
      <c r="J377" s="42"/>
      <c r="K377" s="42" t="e">
        <f ca="1">IF(ISERROR(F369),"",_xlfn.TEXTJOIN("/",FALSE,R377,U377))</f>
        <v>#N/A</v>
      </c>
      <c r="L377" s="42"/>
      <c r="M377" s="7" t="e">
        <f ca="1">IF(ISERROR(F369),"",IF(ISTEXT(P377),IF(P377="A","Ab",IF(P377="D","Dt",IF(P377="UFM","UFM",IF(P377="NA","")))),IF(AND(ISBLANK(P377),ISBLANK(R377)),"",IF(P377&lt;0.3*S377,"F",IF(ISBLANK(R377),"",IF(ISTEXT(R377),R377,IF(R377&gt;=0.9*U377,"O",IF(R377&gt;=0.85*U377,"A+",IF(R377&gt;=0.8*U377,"A",IF(R377&gt;=0.7*U377,"B+",IF(R377&gt;=0.6*U377,"B",IF(R377&gt;=0.5*U377,"C",IF(R377&gt;=0.4*U377,"P",IF(R377&lt;0.4*U377,"F",R377))))))))))))))</f>
        <v>#N/A</v>
      </c>
      <c r="N377" s="8" t="e">
        <f t="shared" ca="1" si="38"/>
        <v>#N/A</v>
      </c>
      <c r="O377">
        <f t="shared" ref="O377:O383" si="39">O376+1</f>
        <v>4</v>
      </c>
      <c r="P377" s="1" t="e">
        <f ca="1">IF(ISERROR(F369),"",IF(ISTEXT(VLOOKUP(B369,INDIRECT($F$8),6+(O377-1)*3)),(VLOOKUP(B369,INDIRECT($F$8),6+(O377-1)*3)),SUM(VLOOKUP(B369,INDIRECT($F$8),6+(O377-1)*3),IF(W384,W377,0))))</f>
        <v>#N/A</v>
      </c>
      <c r="Q377" s="1">
        <f ca="1">IF(ISERROR(F369),"",VLOOKUP(B369,INDIRECT($F$8),7+(O377-1)*3))</f>
        <v>32</v>
      </c>
      <c r="R377" s="1" t="e">
        <f ca="1">IF(ISERROR(F369),"",SUM(P377:Q377))</f>
        <v>#N/A</v>
      </c>
      <c r="S377" s="1">
        <f ca="1">IF(ISERROR(F369),"",VLOOKUP(A369,INDIRECT($F$8),6+(O377-1)*3))</f>
        <v>100</v>
      </c>
      <c r="T377" s="1">
        <f ca="1">IF(ISERROR(F369),"",VLOOKUP(A369,INDIRECT($F$8),7+(O377-1)*3))</f>
        <v>50</v>
      </c>
      <c r="U377" s="1">
        <f ca="1">IF(ISERROR(F369),"",VLOOKUP(A369,INDIRECT($F$8),8+(O377-1)*3))</f>
        <v>150</v>
      </c>
      <c r="V377" s="1" t="e">
        <f ca="1">IF(ISERROR(F369),"",IF(N377=0,A377,""))</f>
        <v>#N/A</v>
      </c>
      <c r="W377" s="1">
        <f ca="1">IF(ISERROR(F369),"",IF(ISTEXT(VLOOKUP(B369,INDIRECT($F$8),6+(O377-1)*3)),11,IF(VLOOKUP(B369,INDIRECT($F$8),6+(O377-1)*3)&lt;S377*0.3,IF(VLOOKUP(B369,INDIRECT($F$8),8+(O377-1)*3)&lt;U377*0.4,IF(AND(0.4*U377-VLOOKUP(B369,INDIRECT($F$8),8+(O377-1)*3)&lt;=5,0.3*S377-VLOOKUP(B369,INDIRECT($F$8),6+(O377-1)*3)&lt;=5),MAX(0.4*U377-VLOOKUP(B369,INDIRECT($F$8),8+(O377-1)*3),0.3*S377-VLOOKUP(B369,INDIRECT($F$8),6+(O377-1)*3)),11),IF(0.3*S377-VLOOKUP(B369,INDIRECT($F$8),6+(O377-1)*3)&lt;=5,0.3*S377-VLOOKUP(B369,INDIRECT($F$8),6+(O377-1)*3),11)),IF(VLOOKUP(B369,INDIRECT($F$8),8+(O377-1)*3)&lt;U377*0.4,IF(U377*0.4-VLOOKUP(B369,INDIRECT($F$8),8+(O377-1)*3)&lt;=5,U377*0.4-VLOOKUP(B369,INDIRECT($F$8),8+(O377-1)*3),11),0))))</f>
        <v>11</v>
      </c>
      <c r="X377" s="1" t="str">
        <f ca="1">IF(ISERROR(F369),"",IF(W377=0,"",_xlfn.TEXTJOIN("",FALSE," G+",W377," in ",A377)))</f>
        <v xml:space="preserve"> G+11 in CAT 012</v>
      </c>
    </row>
    <row r="378" spans="1:24" ht="13" customHeight="1" x14ac:dyDescent="0.2">
      <c r="A378" s="7" t="str">
        <f ca="1">IF(ISERROR(F369),"",VLOOKUP(C369,INDIRECT($F$8),6+(O378-1)*3,0))</f>
        <v>CAT 013</v>
      </c>
      <c r="B378" s="41" t="str">
        <f ca="1">IF(ISERROR(F369),"",VLOOKUP(D369,INDIRECT($F$8),6+(O378-1)*3,0))</f>
        <v>Artificial Intelligence</v>
      </c>
      <c r="C378" s="41"/>
      <c r="D378" s="41"/>
      <c r="E378" s="41"/>
      <c r="F378" s="7">
        <f ca="1">IF(ISERROR(F369),"",VLOOKUP(E369,INDIRECT($F$8),6+(O378-1)*3,0))</f>
        <v>4</v>
      </c>
      <c r="G378" s="42" t="e">
        <f ca="1">IF(ISERROR(F369),"",_xlfn.TEXTJOIN("/",FALSE,P378,S378))</f>
        <v>#N/A</v>
      </c>
      <c r="H378" s="42"/>
      <c r="I378" s="42" t="str">
        <f ca="1">IF(ISERROR(F369),"",_xlfn.TEXTJOIN("/",FALSE,Q378,T378))</f>
        <v>39/50</v>
      </c>
      <c r="J378" s="42"/>
      <c r="K378" s="42" t="e">
        <f ca="1">IF(ISERROR(F369),"",_xlfn.TEXTJOIN("/",FALSE,R378,U378))</f>
        <v>#N/A</v>
      </c>
      <c r="L378" s="42"/>
      <c r="M378" s="7" t="e">
        <f ca="1">IF(ISERROR(F369),"",IF(ISTEXT(P378),IF(P378="A","Ab",IF(P378="D","Dt",IF(P378="UFM","UFM",IF(P378="NA","")))),IF(AND(ISBLANK(P378),ISBLANK(R378)),"",IF(P378&lt;0.3*S378,"F",IF(ISBLANK(R378),"",IF(ISTEXT(R378),R378,IF(R378&gt;=0.9*U378,"O",IF(R378&gt;=0.85*U378,"A+",IF(R378&gt;=0.8*U378,"A",IF(R378&gt;=0.7*U378,"B+",IF(R378&gt;=0.6*U378,"B",IF(R378&gt;=0.5*U378,"C",IF(R378&gt;=0.4*U378,"P",IF(R378&lt;0.4*U378,"F",R378))))))))))))))</f>
        <v>#N/A</v>
      </c>
      <c r="N378" s="8" t="e">
        <f t="shared" ca="1" si="38"/>
        <v>#N/A</v>
      </c>
      <c r="O378">
        <f t="shared" si="39"/>
        <v>5</v>
      </c>
      <c r="P378" s="1" t="e">
        <f ca="1">IF(ISERROR(F369),"",IF(ISTEXT(VLOOKUP(B369,INDIRECT($F$8),6+(O378-1)*3)),(VLOOKUP(B369,INDIRECT($F$8),6+(O378-1)*3)),SUM(VLOOKUP(B369,INDIRECT($F$8),6+(O378-1)*3),IF(W384,W378,0))))</f>
        <v>#N/A</v>
      </c>
      <c r="Q378" s="1">
        <f ca="1">IF(ISERROR(F369),"",VLOOKUP(B369,INDIRECT($F$8),7+(O378-1)*3))</f>
        <v>39</v>
      </c>
      <c r="R378" s="1" t="e">
        <f ca="1">IF(ISERROR(F369),"",SUM(P378:Q378))</f>
        <v>#N/A</v>
      </c>
      <c r="S378" s="1">
        <f ca="1">IF(ISERROR(F369),"",VLOOKUP(A369,INDIRECT($F$8),6+(O378-1)*3))</f>
        <v>100</v>
      </c>
      <c r="T378" s="1">
        <f ca="1">IF(ISERROR(F369),"",VLOOKUP(A369,INDIRECT($F$8),7+(O378-1)*3))</f>
        <v>50</v>
      </c>
      <c r="U378" s="1">
        <f ca="1">IF(ISERROR(F369),"",VLOOKUP(A369,INDIRECT($F$8),8+(O378-1)*3))</f>
        <v>150</v>
      </c>
      <c r="V378" s="1" t="e">
        <f ca="1">IF(ISERROR(F369),"",IF(N378=0,A378,""))</f>
        <v>#N/A</v>
      </c>
      <c r="W378" s="1">
        <f ca="1">IF(ISERROR(F369),"",IF(ISTEXT(VLOOKUP(B369,INDIRECT($F$8),6+(O378-1)*3)),11,IF(VLOOKUP(B369,INDIRECT($F$8),6+(O378-1)*3)&lt;S378*0.3,IF(VLOOKUP(B369,INDIRECT($F$8),8+(O378-1)*3)&lt;U378*0.4,IF(AND(0.4*U378-VLOOKUP(B369,INDIRECT($F$8),8+(O378-1)*3)&lt;=5,0.3*S378-VLOOKUP(B369,INDIRECT($F$8),6+(O378-1)*3)&lt;=5),MAX(0.4*U378-VLOOKUP(B369,INDIRECT($F$8),8+(O378-1)*3),0.3*S378-VLOOKUP(B369,INDIRECT($F$8),6+(O378-1)*3)),11),IF(0.3*S378-VLOOKUP(B369,INDIRECT($F$8),6+(O378-1)*3)&lt;=5,0.3*S378-VLOOKUP(B369,INDIRECT($F$8),6+(O378-1)*3),11)),IF(VLOOKUP(B369,INDIRECT($F$8),8+(O378-1)*3)&lt;U378*0.4,IF(U378*0.4-VLOOKUP(B369,INDIRECT($F$8),8+(O378-1)*3)&lt;=5,U378*0.4-VLOOKUP(B369,INDIRECT($F$8),8+(O378-1)*3),11),0))))</f>
        <v>0</v>
      </c>
      <c r="X378" s="1" t="str">
        <f ca="1">IF(ISERROR(F369),"",IF(W378=0,"",_xlfn.TEXTJOIN("",FALSE," G+",W378," in ",A378)))</f>
        <v/>
      </c>
    </row>
    <row r="379" spans="1:24" ht="13" customHeight="1" x14ac:dyDescent="0.2">
      <c r="A379" s="7" t="str">
        <f ca="1">IF(ISERROR(F369),"",VLOOKUP(C369,INDIRECT($F$8),6+(O379-1)*3,0))</f>
        <v>AHT 304</v>
      </c>
      <c r="B379" s="41" t="str">
        <f ca="1">IF(ISERROR(F369),"",VLOOKUP(D369,INDIRECT($F$8),6+(O379-1)*3,0))</f>
        <v>Accounting and Financial Management ($)</v>
      </c>
      <c r="C379" s="41"/>
      <c r="D379" s="41"/>
      <c r="E379" s="41"/>
      <c r="F379" s="7">
        <f ca="1">IF(ISERROR(F369),"",VLOOKUP(E369,INDIRECT($F$8),6+(O379-1)*3,0))</f>
        <v>0</v>
      </c>
      <c r="G379" s="42" t="e">
        <f ca="1">IF(ISERROR(F369),"",_xlfn.TEXTJOIN("/",FALSE,P379,S379))</f>
        <v>#N/A</v>
      </c>
      <c r="H379" s="42"/>
      <c r="I379" s="42" t="str">
        <f ca="1">IF(ISERROR(F369),"",_xlfn.TEXTJOIN("/",FALSE,Q379,T379))</f>
        <v>30/50</v>
      </c>
      <c r="J379" s="42"/>
      <c r="K379" s="42" t="e">
        <f ca="1">IF(ISERROR(F369),"",_xlfn.TEXTJOIN("/",FALSE,R379,U379))</f>
        <v>#N/A</v>
      </c>
      <c r="L379" s="42"/>
      <c r="M379" s="7" t="e">
        <f ca="1">IF(ISERROR(F369),"",IF(ISTEXT(P379),IF(P379="A","Ab",IF(P379="D","Dt",IF(P379="UFM","UFM",IF(P379="NA","")))),IF(AND(ISBLANK(P379),ISBLANK(R379)),"",IF(P379&lt;0.3*S379,"F",IF(ISBLANK(R379),"",IF(ISTEXT(R379),R379,IF(R379&gt;=0.9*U379,"O",IF(R379&gt;=0.85*U379,"A+",IF(R379&gt;=0.8*U379,"A",IF(R379&gt;=0.7*U379,"B+",IF(R379&gt;=0.6*U379,"B",IF(R379&gt;=0.5*U379,"C",IF(R379&gt;=0.4*U379,"P",IF(R379&lt;0.4*U379,"F",R379))))))))))))))</f>
        <v>#N/A</v>
      </c>
      <c r="N379" s="8" t="e">
        <f t="shared" ca="1" si="38"/>
        <v>#N/A</v>
      </c>
      <c r="O379">
        <f t="shared" si="39"/>
        <v>6</v>
      </c>
      <c r="P379" s="1" t="e">
        <f ca="1">IF(ISERROR(F369),"",IF(ISTEXT(VLOOKUP(B369,INDIRECT($F$8),6+(O379-1)*3)),(VLOOKUP(B369,INDIRECT($F$8),6+(O379-1)*3)),SUM(VLOOKUP(B369,INDIRECT($F$8),6+(O379-1)*3),IF(W384,W379,0))))</f>
        <v>#N/A</v>
      </c>
      <c r="Q379" s="1">
        <f ca="1">IF(ISERROR(F369),"",VLOOKUP(B369,INDIRECT($F$8),7+(O379-1)*3))</f>
        <v>30</v>
      </c>
      <c r="R379" s="1" t="e">
        <f ca="1">IF(ISERROR(F369),"",SUM(P379:Q379))</f>
        <v>#N/A</v>
      </c>
      <c r="S379" s="1">
        <f ca="1">IF(ISERROR(F369),"",VLOOKUP(A369,INDIRECT($F$8),6+(O379-1)*3))</f>
        <v>0</v>
      </c>
      <c r="T379" s="1">
        <f ca="1">IF(ISERROR(F369),"",VLOOKUP(A369,INDIRECT($F$8),7+(O379-1)*3))</f>
        <v>50</v>
      </c>
      <c r="U379" s="1">
        <f ca="1">IF(ISERROR(F369),"",VLOOKUP(A369,INDIRECT($F$8),8+(O379-1)*3))</f>
        <v>50</v>
      </c>
      <c r="V379" s="1" t="e">
        <f ca="1">IF(ISERROR(F369),"",IF(N379=0,A379,""))</f>
        <v>#N/A</v>
      </c>
      <c r="W379" s="1">
        <f ca="1">IF(ISERROR(F369),"",IF(ISTEXT(VLOOKUP(B369,INDIRECT($F$8),6+(O379-1)*3)),11,IF(VLOOKUP(B369,INDIRECT($F$8),6+(O379-1)*3)&lt;S379*0.3,IF(VLOOKUP(B369,INDIRECT($F$8),8+(O379-1)*3)&lt;U379*0.4,IF(AND(0.4*U379-VLOOKUP(B369,INDIRECT($F$8),8+(O379-1)*3)&lt;=5,0.3*S379-VLOOKUP(B369,INDIRECT($F$8),6+(O379-1)*3)&lt;=5),MAX(0.4*U379-VLOOKUP(B369,INDIRECT($F$8),8+(O379-1)*3),0.3*S379-VLOOKUP(B369,INDIRECT($F$8),6+(O379-1)*3)),11),IF(0.3*S379-VLOOKUP(B369,INDIRECT($F$8),6+(O379-1)*3)&lt;=5,0.3*S379-VLOOKUP(B369,INDIRECT($F$8),6+(O379-1)*3),11)),IF(VLOOKUP(B369,INDIRECT($F$8),8+(O379-1)*3)&lt;U379*0.4,IF(U379*0.4-VLOOKUP(B369,INDIRECT($F$8),8+(O379-1)*3)&lt;=5,U379*0.4-VLOOKUP(B369,INDIRECT($F$8),8+(O379-1)*3),11),0))))</f>
        <v>0</v>
      </c>
      <c r="X379" s="1" t="str">
        <f ca="1">IF(ISERROR(F369),"",IF(W379=0,"",_xlfn.TEXTJOIN("",FALSE," G+",W379," in ",A379)))</f>
        <v/>
      </c>
    </row>
    <row r="380" spans="1:24" ht="13" customHeight="1" x14ac:dyDescent="0.2">
      <c r="A380" s="7" t="str">
        <f ca="1">IF(ISERROR(F369),"",VLOOKUP(C369,INDIRECT($F$8),6+(O380-1)*3,0))</f>
        <v>CAP 004</v>
      </c>
      <c r="B380" s="41" t="str">
        <f ca="1">IF(ISERROR(F369),"",VLOOKUP(D369,INDIRECT($F$8),6+(O380-1)*3,0))</f>
        <v>Data Structures and Analysis of Algorithms Lab</v>
      </c>
      <c r="C380" s="41"/>
      <c r="D380" s="41"/>
      <c r="E380" s="41"/>
      <c r="F380" s="7">
        <f ca="1">IF(ISERROR(F369),"",VLOOKUP(E369,INDIRECT($F$8),6+(O380-1)*3,0))</f>
        <v>1</v>
      </c>
      <c r="G380" s="42" t="e">
        <f ca="1">IF(ISERROR(F369),"",_xlfn.TEXTJOIN("/",FALSE,P380,S380))</f>
        <v>#N/A</v>
      </c>
      <c r="H380" s="42"/>
      <c r="I380" s="42" t="str">
        <f ca="1">IF(ISERROR(F369),"",_xlfn.TEXTJOIN("/",FALSE,Q380,T380))</f>
        <v>18/20</v>
      </c>
      <c r="J380" s="42"/>
      <c r="K380" s="42" t="e">
        <f ca="1">IF(ISERROR(F369),"",_xlfn.TEXTJOIN("/",FALSE,R380,U380))</f>
        <v>#N/A</v>
      </c>
      <c r="L380" s="42"/>
      <c r="M380" s="7" t="e">
        <f ca="1">IF(ISERROR(F369),"",IF(ISTEXT(P380),IF(P380="A","Ab",IF(P380="D","Dt",IF(P380="UFM","UFM",IF(P380="NA","")))),IF(AND(ISBLANK(P380),ISBLANK(R380)),"",IF(P380&lt;0.3*S380,"F",IF(ISBLANK(R380),"",IF(ISTEXT(R380),R380,IF(R380&gt;=0.9*U380,"O",IF(R380&gt;=0.85*U380,"A+",IF(R380&gt;=0.8*U380,"A",IF(R380&gt;=0.7*U380,"B+",IF(R380&gt;=0.6*U380,"B",IF(R380&gt;=0.5*U380,"C",IF(R380&gt;=0.4*U380,"P",IF(R380&lt;0.4*U380,"F",R380))))))))))))))</f>
        <v>#N/A</v>
      </c>
      <c r="N380" s="8" t="e">
        <f t="shared" ca="1" si="38"/>
        <v>#N/A</v>
      </c>
      <c r="O380">
        <f t="shared" si="39"/>
        <v>7</v>
      </c>
      <c r="P380" s="1" t="e">
        <f ca="1">IF(ISERROR(F369),"",IF(ISTEXT(VLOOKUP(B369,INDIRECT($F$8),6+(O380-1)*3)),(VLOOKUP(B369,INDIRECT($F$8),6+(O380-1)*3)),SUM(VLOOKUP(B369,INDIRECT($F$8),6+(O380-1)*3),IF(W384,W380,0))))</f>
        <v>#N/A</v>
      </c>
      <c r="Q380" s="1">
        <f ca="1">IF(ISERROR(F369),"",VLOOKUP(B369,INDIRECT($F$8),7+(O380-1)*3))</f>
        <v>18</v>
      </c>
      <c r="R380" s="1" t="e">
        <f ca="1">IF(ISERROR(F369),"",SUM(P380:Q380))</f>
        <v>#N/A</v>
      </c>
      <c r="S380" s="1">
        <f ca="1">IF(ISERROR(F369),"",VLOOKUP(A369,INDIRECT($F$8),6+(O380-1)*3))</f>
        <v>30</v>
      </c>
      <c r="T380" s="1">
        <f ca="1">IF(ISERROR(F369),"",VLOOKUP(A369,INDIRECT($F$8),7+(O380-1)*3))</f>
        <v>20</v>
      </c>
      <c r="U380" s="1">
        <f ca="1">IF(ISERROR(F369),"",VLOOKUP(A369,INDIRECT($F$8),8+(O380-1)*3))</f>
        <v>50</v>
      </c>
      <c r="V380" s="1" t="e">
        <f ca="1">IF(ISERROR(F369),"",IF(N380=0,A380,""))</f>
        <v>#N/A</v>
      </c>
      <c r="W380" s="1">
        <f ca="1">IF(ISERROR(F369),"",IF(ISTEXT(VLOOKUP(B369,INDIRECT($F$8),6+(O380-1)*3)),11,IF(VLOOKUP(B369,INDIRECT($F$8),6+(O380-1)*3)&lt;S380*0.3,IF(VLOOKUP(B369,INDIRECT($F$8),8+(O380-1)*3)&lt;U380*0.4,IF(AND(0.4*U380-VLOOKUP(B369,INDIRECT($F$8),8+(O380-1)*3)&lt;=5,0.3*S380-VLOOKUP(B369,INDIRECT($F$8),6+(O380-1)*3)&lt;=5),MAX(0.4*U380-VLOOKUP(B369,INDIRECT($F$8),8+(O380-1)*3),0.3*S380-VLOOKUP(B369,INDIRECT($F$8),6+(O380-1)*3)),11),IF(0.3*S380-VLOOKUP(B369,INDIRECT($F$8),6+(O380-1)*3)&lt;=5,0.3*S380-VLOOKUP(B369,INDIRECT($F$8),6+(O380-1)*3),11)),IF(VLOOKUP(B369,INDIRECT($F$8),8+(O380-1)*3)&lt;U380*0.4,IF(U380*0.4-VLOOKUP(B369,INDIRECT($F$8),8+(O380-1)*3)&lt;=5,U380*0.4-VLOOKUP(B369,INDIRECT($F$8),8+(O380-1)*3),11),0))))</f>
        <v>0</v>
      </c>
      <c r="X380" s="1" t="str">
        <f ca="1">IF(ISERROR(F369),"",IF(W380=0,"",_xlfn.TEXTJOIN("",FALSE," G+",W380," in ",A380)))</f>
        <v/>
      </c>
    </row>
    <row r="381" spans="1:24" ht="13" customHeight="1" x14ac:dyDescent="0.2">
      <c r="A381" s="7" t="str">
        <f ca="1">IF(ISERROR(F369),"",VLOOKUP(C369,INDIRECT($F$8),6+(O381-1)*3,0))</f>
        <v>CAP 005</v>
      </c>
      <c r="B381" s="41" t="str">
        <f ca="1">IF(ISERROR(F369),"",VLOOKUP(D369,INDIRECT($F$8),6+(O381-1)*3-Z381,0))</f>
        <v>Object Oriented Programming with JAVA Lab</v>
      </c>
      <c r="C381" s="41"/>
      <c r="D381" s="41"/>
      <c r="E381" s="41"/>
      <c r="F381" s="7">
        <f ca="1">IF(ISERROR(F369),"",VLOOKUP(E369,INDIRECT($F$8),6+(O381-1)*3,0))</f>
        <v>1</v>
      </c>
      <c r="G381" s="42" t="e">
        <f ca="1">IF(ISERROR(F369),"",_xlfn.TEXTJOIN("/",FALSE,P381,S381))</f>
        <v>#N/A</v>
      </c>
      <c r="H381" s="42"/>
      <c r="I381" s="42" t="str">
        <f ca="1">IF(ISERROR(F369),"",_xlfn.TEXTJOIN("/",FALSE,Q381,T381))</f>
        <v>14/20</v>
      </c>
      <c r="J381" s="42"/>
      <c r="K381" s="42" t="e">
        <f ca="1">IF(ISERROR(F369),"",_xlfn.TEXTJOIN("/",FALSE,R381,U381))</f>
        <v>#N/A</v>
      </c>
      <c r="L381" s="42"/>
      <c r="M381" s="7" t="e">
        <f ca="1">IF(ISERROR(F369),"",IF(ISTEXT(P381),IF(P381="A","Ab",IF(P381="D","Dt",IF(P381="UFM","UFM",IF(P381="NA","")))),IF(AND(ISBLANK(P381),ISBLANK(R381)),"",IF(P381&lt;0.3*S381,"F",IF(ISBLANK(R381),"",IF(ISTEXT(R381),R381,IF(R381&gt;=0.9*U381,"O",IF(R381&gt;=0.85*U381,"A+",IF(R381&gt;=0.8*U381,"A",IF(R381&gt;=0.7*U381,"B+",IF(R381&gt;=0.6*U381,"B",IF(R381&gt;=0.5*U381,"C",IF(R381&gt;=0.4*U381,"P",IF(R381&lt;0.4*U381,"F",R381))))))))))))))</f>
        <v>#N/A</v>
      </c>
      <c r="N381" s="8" t="e">
        <f t="shared" ca="1" si="38"/>
        <v>#N/A</v>
      </c>
      <c r="O381">
        <f t="shared" si="39"/>
        <v>8</v>
      </c>
      <c r="P381" s="1" t="e">
        <f ca="1">IF(ISERROR(F369),"",IF(ISTEXT(VLOOKUP(B369,INDIRECT($F$8),6+(O381-1)*3)),(VLOOKUP(B369,INDIRECT($F$8),6+(O381-1)*3)),SUM(VLOOKUP(B369,INDIRECT($F$8),6+(O381-1)*3),IF(W384,W381,0))))</f>
        <v>#N/A</v>
      </c>
      <c r="Q381" s="1">
        <f ca="1">IF(ISERROR(F369),"",VLOOKUP(B369,INDIRECT($F$8),7+(O381-1)*3))</f>
        <v>14</v>
      </c>
      <c r="R381" s="1" t="e">
        <f ca="1">IF(ISERROR(F369),"",SUM(P381:Q381))</f>
        <v>#N/A</v>
      </c>
      <c r="S381" s="1">
        <f ca="1">IF(ISERROR(F369),"",VLOOKUP(A369,INDIRECT($F$8),6+(O381-1)*3))</f>
        <v>30</v>
      </c>
      <c r="T381" s="1">
        <f ca="1">IF(ISERROR(F369),"",VLOOKUP(A369,INDIRECT($F$8),7+(O381-1)*3))</f>
        <v>20</v>
      </c>
      <c r="U381" s="1">
        <f ca="1">IF(ISERROR(F369),"",VLOOKUP(A369,INDIRECT($F$8),8+(O381-1)*3))</f>
        <v>50</v>
      </c>
      <c r="V381" s="1" t="e">
        <f ca="1">IF(ISERROR(F369),"",IF(N381=0,A381,""))</f>
        <v>#N/A</v>
      </c>
      <c r="W381" s="1">
        <f ca="1">IF(ISERROR(F369),"",IF(ISTEXT(VLOOKUP(B369,INDIRECT($F$8),6+(O381-1)*3)),11,IF(VLOOKUP(B369,INDIRECT($F$8),6+(O381-1)*3)&lt;S381*0.3,IF(VLOOKUP(B369,INDIRECT($F$8),8+(O381-1)*3)&lt;U381*0.4,IF(AND(0.4*U381-VLOOKUP(B369,INDIRECT($F$8),8+(O381-1)*3)&lt;=5,0.3*S381-VLOOKUP(B369,INDIRECT($F$8),6+(O381-1)*3)&lt;=5),MAX(0.4*U381-VLOOKUP(B369,INDIRECT($F$8),8+(O381-1)*3),0.3*S381-VLOOKUP(B369,INDIRECT($F$8),6+(O381-1)*3)),11),IF(0.3*S381-VLOOKUP(B369,INDIRECT($F$8),6+(O381-1)*3)&lt;=5,0.3*S381-VLOOKUP(B369,INDIRECT($F$8),6+(O381-1)*3),11)),IF(VLOOKUP(B369,INDIRECT($F$8),8+(O381-1)*3)&lt;U381*0.4,IF(U381*0.4-VLOOKUP(B369,INDIRECT($F$8),8+(O381-1)*3)&lt;=5,U381*0.4-VLOOKUP(B369,INDIRECT($F$8),8+(O381-1)*3),11),0))))</f>
        <v>0</v>
      </c>
      <c r="X381" s="1" t="str">
        <f ca="1">IF(ISERROR(F369),"",IF(W381=0,"",_xlfn.TEXTJOIN("",FALSE," G+",W381," in ",A381)))</f>
        <v/>
      </c>
    </row>
    <row r="382" spans="1:24" ht="13" customHeight="1" x14ac:dyDescent="0.2">
      <c r="A382" s="7" t="str">
        <f ca="1">IF(ISERROR(F369),"",VLOOKUP(C369,INDIRECT($F$8),6+(O382-1)*3,0))</f>
        <v>CAP 006</v>
      </c>
      <c r="B382" s="41" t="str">
        <f ca="1">IF(ISERROR(F369),"",VLOOKUP(D369,INDIRECT($F$8),6+(O382-1)*3-Z382,0))</f>
        <v>Computer Networks Lab</v>
      </c>
      <c r="C382" s="41"/>
      <c r="D382" s="41"/>
      <c r="E382" s="41"/>
      <c r="F382" s="7">
        <f ca="1">IF(ISERROR(F369),"",VLOOKUP(E369,INDIRECT($F$8),6+(O382-1)*3,0))</f>
        <v>1</v>
      </c>
      <c r="G382" s="42" t="e">
        <f ca="1">IF(ISERROR(F369),"",_xlfn.TEXTJOIN("/",FALSE,P382,S382))</f>
        <v>#N/A</v>
      </c>
      <c r="H382" s="42"/>
      <c r="I382" s="42" t="str">
        <f ca="1">IF(ISERROR(F369),"",_xlfn.TEXTJOIN("/",FALSE,Q382,T382))</f>
        <v>16/20</v>
      </c>
      <c r="J382" s="42"/>
      <c r="K382" s="42" t="e">
        <f ca="1">IF(ISERROR(F369),"",_xlfn.TEXTJOIN("/",FALSE,R382,U382))</f>
        <v>#N/A</v>
      </c>
      <c r="L382" s="42"/>
      <c r="M382" s="7" t="e">
        <f ca="1">IF(ISERROR(F369),"",IF(ISTEXT(P382),IF(P382="A","Ab",IF(P382="D","Dt",IF(P382="UFM","UFM",IF(P382="NA","")))),IF(AND(ISBLANK(P382),ISBLANK(R382)),"",IF(P382&lt;0.3*S382,"F",IF(ISBLANK(R382),"",IF(ISTEXT(R382),R382,IF(R382&gt;=0.9*U382,"O",IF(R382&gt;=0.85*U382,"A+",IF(R382&gt;=0.8*U382,"A",IF(R382&gt;=0.7*U382,"B+",IF(R382&gt;=0.6*U382,"B",IF(R382&gt;=0.5*U382,"C",IF(R382&gt;=0.4*U382,"P",IF(R382&lt;0.4*U382,"F",R382))))))))))))))</f>
        <v>#N/A</v>
      </c>
      <c r="N382" s="8" t="e">
        <f t="shared" ca="1" si="38"/>
        <v>#N/A</v>
      </c>
      <c r="O382">
        <f t="shared" si="39"/>
        <v>9</v>
      </c>
      <c r="P382" s="1" t="e">
        <f ca="1">IF(ISERROR(F369),"",IF(ISTEXT(VLOOKUP(B369,INDIRECT($F$8),6+(O382-1)*3)),(VLOOKUP(B369,INDIRECT($F$8),6+(O382-1)*3)),SUM(VLOOKUP(B369,INDIRECT($F$8),6+(O382-1)*3),IF(W384,W382,0))))</f>
        <v>#N/A</v>
      </c>
      <c r="Q382" s="1">
        <f ca="1">IF(ISERROR(F369),"",VLOOKUP(B369,INDIRECT($F$8),7+(O382-1)*3))</f>
        <v>16</v>
      </c>
      <c r="R382" s="1" t="e">
        <f ca="1">IF(ISERROR(F369),"",SUM(P382:Q382))</f>
        <v>#N/A</v>
      </c>
      <c r="S382" s="1">
        <f ca="1">IF(ISERROR(F369),"",VLOOKUP(A369,INDIRECT($F$8),6+(O382-1)*3))</f>
        <v>30</v>
      </c>
      <c r="T382" s="1">
        <f ca="1">IF(ISERROR(F369),"",VLOOKUP(A369,INDIRECT($F$8),7+(O382-1)*3))</f>
        <v>20</v>
      </c>
      <c r="U382" s="1">
        <f ca="1">IF(ISERROR(F369),"",VLOOKUP(A369,INDIRECT($F$8),8+(O382-1)*3))</f>
        <v>50</v>
      </c>
      <c r="V382" s="1" t="e">
        <f ca="1">IF(ISERROR(F369),"",IF(N382=0,A382,""))</f>
        <v>#N/A</v>
      </c>
      <c r="W382" s="1">
        <f ca="1">IF(ISERROR(F369),"",IF(ISTEXT(VLOOKUP(B369,INDIRECT($F$8),6+(O382-1)*3)),11,IF(VLOOKUP(B369,INDIRECT($F$8),6+(O382-1)*3)&lt;S382*0.3,IF(VLOOKUP(B369,INDIRECT($F$8),8+(O382-1)*3)&lt;U382*0.4,IF(AND(0.4*U382-VLOOKUP(B369,INDIRECT($F$8),8+(O382-1)*3)&lt;=5,0.3*S382-VLOOKUP(B369,INDIRECT($F$8),6+(O382-1)*3)&lt;=5),MAX(0.4*U382-VLOOKUP(B369,INDIRECT($F$8),8+(O382-1)*3),0.3*S382-VLOOKUP(B369,INDIRECT($F$8),6+(O382-1)*3)),11),IF(0.3*S382-VLOOKUP(B369,INDIRECT($F$8),6+(O382-1)*3)&lt;=5,0.3*S382-VLOOKUP(B369,INDIRECT($F$8),6+(O382-1)*3),11)),IF(VLOOKUP(B369,INDIRECT($F$8),8+(O382-1)*3)&lt;U382*0.4,IF(U382*0.4-VLOOKUP(B369,INDIRECT($F$8),8+(O382-1)*3)&lt;=5,U382*0.4-VLOOKUP(B369,INDIRECT($F$8),8+(O382-1)*3),11),0))))</f>
        <v>0</v>
      </c>
      <c r="X382" s="1" t="str">
        <f ca="1">IF(ISERROR(F369),"",IF(W382=0,"",_xlfn.TEXTJOIN("",FALSE," G+",W382," in ",A382)))</f>
        <v/>
      </c>
    </row>
    <row r="383" spans="1:24" ht="13" customHeight="1" x14ac:dyDescent="0.2">
      <c r="A383" s="7" t="str">
        <f ca="1">IF(ISERROR(F369),"",VLOOKUP(C369,INDIRECT($F$8),6+(O383-1)*3,0))</f>
        <v>CAP 007</v>
      </c>
      <c r="B383" s="41" t="str">
        <f ca="1">IF(ISERROR(F369),"",VLOOKUP(D369,INDIRECT($F$8),6+(O383-1)*3,0))</f>
        <v>Artificial Intelligence Lab</v>
      </c>
      <c r="C383" s="41"/>
      <c r="D383" s="41"/>
      <c r="E383" s="41"/>
      <c r="F383" s="7">
        <f ca="1">IF(ISERROR(F369),"",VLOOKUP(E369,INDIRECT($F$8),6+(O383-1)*3,0))</f>
        <v>1</v>
      </c>
      <c r="G383" s="42" t="e">
        <f ca="1">IF(ISERROR(F369),"",_xlfn.TEXTJOIN("/",FALSE,P383,S383))</f>
        <v>#N/A</v>
      </c>
      <c r="H383" s="42"/>
      <c r="I383" s="42" t="str">
        <f ca="1">IF(ISERROR(F369),"",_xlfn.TEXTJOIN("/",FALSE,Q383,T383))</f>
        <v>17/20</v>
      </c>
      <c r="J383" s="42"/>
      <c r="K383" s="42" t="e">
        <f ca="1">IF(ISERROR(F369),"",_xlfn.TEXTJOIN("/",FALSE,R383,U383))</f>
        <v>#N/A</v>
      </c>
      <c r="L383" s="42"/>
      <c r="M383" s="7" t="e">
        <f ca="1">IF(ISERROR(F369),"",IF(ISTEXT(P383),IF(P383="A","Ab",IF(P383="D","Dt",IF(P383="UFM","UFM",IF(P383="NA","")))),IF(AND(ISBLANK(P383),ISBLANK(R383)),"",IF(P383&lt;0.3*S383,"F",IF(ISBLANK(R383),"",IF(ISTEXT(R383),R383,IF(R383&gt;=0.9*U383,"O",IF(R383&gt;=0.85*U383,"A+",IF(R383&gt;=0.8*U383,"A",IF(R383&gt;=0.7*U383,"B+",IF(R383&gt;=0.6*U383,"B",IF(R383&gt;=0.5*U383,"C",IF(R383&gt;=0.4*U383,"P",IF(R383&lt;0.4*U383,"F",R383))))))))))))))</f>
        <v>#N/A</v>
      </c>
      <c r="N383" s="8" t="e">
        <f t="shared" ca="1" si="38"/>
        <v>#N/A</v>
      </c>
      <c r="O383">
        <f t="shared" si="39"/>
        <v>10</v>
      </c>
      <c r="P383" s="1" t="e">
        <f ca="1">IF(ISERROR(F369),"",IF(ISTEXT(VLOOKUP(B369,INDIRECT($F$8),6+(O383-1)*3)),(VLOOKUP(B369,INDIRECT($F$8),6+(O383-1)*3)),SUM(VLOOKUP(B369,INDIRECT($F$8),6+(O383-1)*3),IF(W384,W383,0))))</f>
        <v>#N/A</v>
      </c>
      <c r="Q383" s="1">
        <f ca="1">IF(ISERROR(F369),"",VLOOKUP(B369,INDIRECT($F$8),7+(O383-1)*3))</f>
        <v>17</v>
      </c>
      <c r="R383" s="1" t="e">
        <f ca="1">IF(ISERROR(F369),"",SUM(P383:Q383))</f>
        <v>#N/A</v>
      </c>
      <c r="S383" s="1">
        <f ca="1">IF(ISERROR(F369),"",VLOOKUP(A369,INDIRECT($F$8),6+(O383-1)*3))</f>
        <v>30</v>
      </c>
      <c r="T383" s="1">
        <f ca="1">IF(ISERROR(F369),"",VLOOKUP(A369,INDIRECT($F$8),7+(O383-1)*3))</f>
        <v>20</v>
      </c>
      <c r="U383" s="1">
        <f ca="1">IF(ISERROR(F369),"",VLOOKUP(A369,INDIRECT($F$8),8+(O383-1)*3))</f>
        <v>50</v>
      </c>
      <c r="V383" s="1" t="e">
        <f ca="1">IF(ISERROR(F369),"",IF(N383=0,A383,""))</f>
        <v>#N/A</v>
      </c>
      <c r="W383" s="1">
        <f ca="1">IF(ISERROR(F369),"",IF(ISTEXT(VLOOKUP(B369,INDIRECT($F$8),6+(O383-1)*3)),11,IF(VLOOKUP(B369,INDIRECT($F$8),6+(O383-1)*3)&lt;S383*0.3,IF(VLOOKUP(B369,INDIRECT($F$8),8+(O383-1)*3)&lt;U383*0.4,IF(AND(0.4*U383-VLOOKUP(B369,INDIRECT($F$8),8+(O383-1)*3)&lt;=5,0.3*S383-VLOOKUP(B369,INDIRECT($F$8),6+(O383-1)*3)&lt;=5),MAX(0.4*U383-VLOOKUP(B369,INDIRECT($F$8),8+(O383-1)*3),0.3*S383-VLOOKUP(B369,INDIRECT($F$8),6+(O383-1)*3)),11),IF(0.3*S383-VLOOKUP(B369,INDIRECT($F$8),6+(O383-1)*3)&lt;=5,0.3*S383-VLOOKUP(B369,INDIRECT($F$8),6+(O383-1)*3),11)),IF(VLOOKUP(B369,INDIRECT($F$8),8+(O383-1)*3)&lt;U383*0.4,IF(U383*0.4-VLOOKUP(B369,INDIRECT($F$8),8+(O383-1)*3)&lt;=5,U383*0.4-VLOOKUP(B369,INDIRECT($F$8),8+(O383-1)*3),11),0))))</f>
        <v>0</v>
      </c>
      <c r="X383" s="1" t="str">
        <f ca="1">IF(ISERROR(F369),"",IF(W383=0,"",_xlfn.TEXTJOIN("",FALSE," G+",W383," in ",A383)))</f>
        <v/>
      </c>
    </row>
    <row r="384" spans="1:24" ht="13" customHeight="1" x14ac:dyDescent="0.2">
      <c r="A384" s="43" t="str">
        <f ca="1">IF(ISERROR(F369),"",A365)</f>
        <v>Total Credits/ Marks/ Total Grade Points</v>
      </c>
      <c r="B384" s="43"/>
      <c r="C384" s="43"/>
      <c r="D384" s="43"/>
      <c r="E384" s="43"/>
      <c r="F384" s="10">
        <f ca="1">IF(ISERROR(F369),"",SUM(F374:F383))</f>
        <v>24</v>
      </c>
      <c r="G384" s="44" t="e">
        <f ca="1">IF(ISERROR(F369),"",_xlfn.TEXTJOIN("/",TRUE,SUMIF(F374:F383,"&gt;0",P374:P383),SUMIF(F374:F383,"&gt;0",S374:S383)))</f>
        <v>#N/A</v>
      </c>
      <c r="H384" s="44"/>
      <c r="I384" s="44" t="str">
        <f ca="1">IF(ISERROR(F369),"",_xlfn.TEXTJOIN("/",TRUE,SUMIF(F374:F383,"&gt;0",Q374:Q383),SUMIF(F374:F383,"&gt;0",T374:T383)))</f>
        <v>250/330</v>
      </c>
      <c r="J384" s="44"/>
      <c r="K384" s="44" t="e">
        <f ca="1">IF(ISERROR(F369),"",_xlfn.TEXTJOIN("/",TRUE,SUMIF(F374:F383,"&gt;0",R374:R383),SUMIF(F374:F383,"&gt;0",U374:U383)))</f>
        <v>#N/A</v>
      </c>
      <c r="L384" s="44"/>
      <c r="M384" s="43" t="e">
        <f ca="1">IF(ISERROR(F369),"",SUMPRODUCT(N374:N383,F374:F383))</f>
        <v>#N/A</v>
      </c>
      <c r="N384" s="43"/>
      <c r="V384" s="1" t="e">
        <f ca="1">IF(ISERROR(F369),"",_xlfn.TEXTJOIN(", ",TRUE,V374:V383))</f>
        <v>#N/A</v>
      </c>
      <c r="W384" t="e">
        <f ca="1">IF(ISERROR(F369),"",IF(SUM(W374:W383)&lt;=W373,TRUE,FALSE))</f>
        <v>#N/A</v>
      </c>
      <c r="X384" s="1" t="str">
        <f ca="1">IF(ISERROR(F369),"",_xlfn.TEXTJOIN(",",TRUE,X374:X383))</f>
        <v xml:space="preserve"> G+5 in CAT 009, G+11 in CAT 012</v>
      </c>
    </row>
    <row r="385" spans="1:24" ht="13" customHeight="1" x14ac:dyDescent="0.2">
      <c r="A385" s="43" t="str">
        <f ca="1">IF(ISERROR(F369),"",A366)</f>
        <v>Result:</v>
      </c>
      <c r="B385" s="45" t="e">
        <f ca="1">IF(ISERROR(F369),"",IF(V384="","PASS","CARRY OVER"))</f>
        <v>#N/A</v>
      </c>
      <c r="C385" s="45"/>
      <c r="D385" s="43" t="str">
        <f ca="1">IF(ISERROR(F369),"",D366)</f>
        <v>Remark:</v>
      </c>
      <c r="E385" s="45" t="e">
        <f ca="1">IF(ISERROR(F369),"",IF(V384="",IF(X384="","",X384),_xlfn.TEXTJOIN(" ",TRUE,"BACK IN",V384)))</f>
        <v>#N/A</v>
      </c>
      <c r="F385" s="45"/>
      <c r="G385" s="43" t="str">
        <f ca="1">IF(ISERROR(F369),"",G366)</f>
        <v>SGPA:</v>
      </c>
      <c r="H385" s="46" t="e">
        <f ca="1">IF(ISERROR(F369),"",M384/F384)</f>
        <v>#N/A</v>
      </c>
      <c r="I385" s="43" t="str">
        <f ca="1">IF(ISERROR(F369),"",I366)</f>
        <v>CGPA:</v>
      </c>
      <c r="J385" s="46" t="e">
        <f ca="1">IF(ISERROR(F369),"",VLOOKUP(B369,INDIRECT($F$8),12+(O383-1)*3,0))</f>
        <v>#N/A</v>
      </c>
      <c r="K385" s="45" t="str">
        <f ca="1">IF(ISERROR(F369),"",K366)</f>
        <v>Earned Credits:</v>
      </c>
      <c r="L385" s="43">
        <f ca="1">IF(ISERROR(F369),"",SUMIF(N374:N383,"&gt;0",F374:F383))</f>
        <v>0</v>
      </c>
      <c r="M385" s="45" t="str">
        <f ca="1">IF(ISERROR(F369),"",M366)</f>
        <v>Cuml. Earned Credits:</v>
      </c>
      <c r="N385" s="43" t="e">
        <f ca="1">IF(ISERROR(F369),"",VLOOKUP(B369,INDIRECT($F$8),10+(O383-1)*3,0))</f>
        <v>#N/A</v>
      </c>
    </row>
    <row r="386" spans="1:24" ht="13" customHeight="1" x14ac:dyDescent="0.2">
      <c r="A386" s="43"/>
      <c r="B386" s="45"/>
      <c r="C386" s="45"/>
      <c r="D386" s="43"/>
      <c r="E386" s="45"/>
      <c r="F386" s="45"/>
      <c r="G386" s="43"/>
      <c r="H386" s="46"/>
      <c r="I386" s="43"/>
      <c r="J386" s="46"/>
      <c r="K386" s="45"/>
      <c r="L386" s="43"/>
      <c r="M386" s="45"/>
      <c r="N386" s="43"/>
    </row>
    <row r="387" spans="1:24" ht="15" x14ac:dyDescent="0.2">
      <c r="A387" s="43"/>
      <c r="B387" s="45"/>
      <c r="C387" s="45"/>
      <c r="D387" s="43"/>
      <c r="E387" s="45"/>
      <c r="F387" s="45"/>
      <c r="G387" s="43"/>
      <c r="H387" s="46"/>
      <c r="I387" s="43"/>
      <c r="J387" s="46"/>
      <c r="K387" s="45"/>
      <c r="L387" s="43"/>
      <c r="M387" s="45"/>
      <c r="N387" s="43"/>
    </row>
    <row r="388" spans="1:24" ht="13" customHeight="1" x14ac:dyDescent="0.2">
      <c r="A388" s="11" t="str">
        <f>A369</f>
        <v>MM</v>
      </c>
      <c r="B388" s="11">
        <f>B369+1</f>
        <v>21</v>
      </c>
      <c r="C388" s="11" t="str">
        <f>C369</f>
        <v>SC</v>
      </c>
      <c r="D388" s="11" t="str">
        <f>D369</f>
        <v>SN</v>
      </c>
      <c r="E388" s="11" t="str">
        <f>E369</f>
        <v>C</v>
      </c>
      <c r="F388" s="11" t="str">
        <f ca="1">VLOOKUP(B388,INDIRECT($F$8),4,0)</f>
        <v>SHIKHA</v>
      </c>
    </row>
    <row r="389" spans="1:24" ht="13" customHeight="1" x14ac:dyDescent="0.2">
      <c r="A389" s="47" t="str">
        <f ca="1">IF(ISERROR(F388),"",A370)</f>
        <v>Name:</v>
      </c>
      <c r="B389" s="47" t="str">
        <f ca="1">IFERROR(VLOOKUP(B388,INDIRECT($F$8),4,0),"")</f>
        <v>SHIKHA</v>
      </c>
      <c r="C389" s="47"/>
      <c r="D389" s="47" t="str">
        <f ca="1">IF(ISERROR(F388),"",D370)</f>
        <v>Father's Name:</v>
      </c>
      <c r="E389" s="47" t="str">
        <f ca="1">IFERROR(VLOOKUP(B388,INDIRECT($F$8),5,0),"")</f>
        <v>UPENDRA SINGH SEMWAL</v>
      </c>
      <c r="F389" s="47"/>
      <c r="G389" s="47" t="str">
        <f ca="1">IF(ISERROR(F388),"",G370)</f>
        <v>University Roll No:</v>
      </c>
      <c r="H389" s="47"/>
      <c r="I389" s="48">
        <f ca="1">IFERROR(VLOOKUP(B388,INDIRECT($F$8),2,0),"")</f>
        <v>240090600021</v>
      </c>
      <c r="J389" s="48"/>
      <c r="K389" s="47" t="str">
        <f ca="1">IF(ISERROR(F388),"",K370)</f>
        <v>University Enrol. No:</v>
      </c>
      <c r="L389" s="47"/>
      <c r="M389" s="48" t="str">
        <f ca="1">IFERROR(VLOOKUP(B388,INDIRECT($F$8),3,0),"")</f>
        <v>UTU/2406100176</v>
      </c>
      <c r="N389" s="48"/>
    </row>
    <row r="390" spans="1:24" ht="15" x14ac:dyDescent="0.2">
      <c r="A390" s="47"/>
      <c r="B390" s="47"/>
      <c r="C390" s="47"/>
      <c r="D390" s="47"/>
      <c r="E390" s="47"/>
      <c r="F390" s="47"/>
      <c r="G390" s="47"/>
      <c r="H390" s="47"/>
      <c r="I390" s="48"/>
      <c r="J390" s="48"/>
      <c r="K390" s="47"/>
      <c r="L390" s="47"/>
      <c r="M390" s="48"/>
      <c r="N390" s="48"/>
    </row>
    <row r="391" spans="1:24" ht="13" customHeight="1" x14ac:dyDescent="0.2">
      <c r="A391" s="45" t="str">
        <f ca="1">IF(ISERROR(F388),"",A372)</f>
        <v>Subject Code</v>
      </c>
      <c r="B391" s="45" t="str">
        <f ca="1">IF(ISERROR(F388),"",B372)</f>
        <v>Subject Name</v>
      </c>
      <c r="C391" s="45"/>
      <c r="D391" s="45"/>
      <c r="E391" s="45"/>
      <c r="F391" s="45" t="str">
        <f ca="1">IF(ISERROR(F388),"",F372)</f>
        <v>Credits</v>
      </c>
      <c r="G391" s="45" t="str">
        <f ca="1">IF(ISERROR(F388),"",G372)</f>
        <v>External Marks</v>
      </c>
      <c r="H391" s="45"/>
      <c r="I391" s="45" t="str">
        <f ca="1">IF(ISERROR(F388),"",I372)</f>
        <v>Sessional Marks</v>
      </c>
      <c r="J391" s="45"/>
      <c r="K391" s="45" t="str">
        <f ca="1">IF(ISERROR(F388),"",K372)</f>
        <v>Total Marks</v>
      </c>
      <c r="L391" s="45"/>
      <c r="M391" s="45" t="str">
        <f ca="1">IF(ISERROR(F388),"",M372)</f>
        <v>Grade</v>
      </c>
      <c r="N391" s="45" t="str">
        <f ca="1">IF(ISERROR(F388),"",N372)</f>
        <v>Grade Points</v>
      </c>
    </row>
    <row r="392" spans="1:24" ht="15" x14ac:dyDescent="0.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W392" t="e">
        <f ca="1">IF(ISNUMBER(MATCH($F$8,{"I","III","V","VII"},0)),10,10-INDEX(INDIRECT(_xlfn.TEXTJOIN("",TRUE,"SEM_",$G$8,"!",ADDRESS(6,4+$I$8*3+4),":",ADDRESS(5+$H$8,4+$I$8*3+4))),MATCH(INDIRECT(_xlfn.TEXTJOIN("",TRUE,"TC_",$F$8,"!",ADDRESS(ROW(I389),COLUMN(I389)))),INDIRECT(_xlfn.TEXTJOIN("",TRUE,"SEM_",$G$8,"!",ADDRESS(6,2),":",ADDRESS(5+$H$8,2))))))</f>
        <v>#N/A</v>
      </c>
    </row>
    <row r="393" spans="1:24" ht="13" customHeight="1" x14ac:dyDescent="0.2">
      <c r="A393" s="7" t="str">
        <f ca="1">IF(ISERROR(F388),"",VLOOKUP(C388,INDIRECT($F$8),6+(O393-1)*3,0))</f>
        <v>CAT 009</v>
      </c>
      <c r="B393" s="41" t="str">
        <f ca="1">IF(ISERROR(F388),"",VLOOKUP(D388,INDIRECT($F$8),6+(O393-1)*3,0))</f>
        <v>Computer Based Numerical and Statistical Techniques</v>
      </c>
      <c r="C393" s="41"/>
      <c r="D393" s="41"/>
      <c r="E393" s="41"/>
      <c r="F393" s="7">
        <f ca="1">IF(ISERROR(F388),"",VLOOKUP(E388,INDIRECT($F$8),6+(O393-1)*3,0))</f>
        <v>4</v>
      </c>
      <c r="G393" s="42" t="e">
        <f ca="1">IF(ISERROR(F388),"",_xlfn.TEXTJOIN("/",FALSE,P393,S393))</f>
        <v>#N/A</v>
      </c>
      <c r="H393" s="42"/>
      <c r="I393" s="42" t="str">
        <f ca="1">IF(ISERROR(F388),"",_xlfn.TEXTJOIN("/",FALSE,Q393,T393))</f>
        <v>43/50</v>
      </c>
      <c r="J393" s="42"/>
      <c r="K393" s="42" t="e">
        <f ca="1">IF(ISERROR(F388),"",_xlfn.TEXTJOIN("/",FALSE,R393,U393))</f>
        <v>#N/A</v>
      </c>
      <c r="L393" s="42"/>
      <c r="M393" s="7" t="e">
        <f ca="1">IF(ISERROR(F388),"",IF(ISTEXT(P393),IF(P393="A","Ab",IF(P393="D","Dt",IF(P393="UFM","UFM",IF(P393="NA","")))),IF(AND(ISBLANK(P393),ISBLANK(R393)),"",IF(P393&lt;0.3*S393,"F",IF(ISBLANK(R393),"",IF(ISTEXT(R393),R393,IF(R393&gt;=0.9*U393,"O",IF(R393&gt;=0.85*U393,"A+",IF(R393&gt;=0.8*U393,"A",IF(R393&gt;=0.7*U393,"B+",IF(R393&gt;=0.6*U393,"B",IF(R393&gt;=0.5*U393,"C",IF(R393&gt;=0.4*U393,"P",IF(R393&lt;0.4*U393,"F",R393))))))))))))))</f>
        <v>#N/A</v>
      </c>
      <c r="N393" s="8" t="e">
        <f t="shared" ref="N393:N402" ca="1" si="40">INDEX($Z$2:$Z$13,MATCH(M393,$Y$2:$Y$13,0))</f>
        <v>#N/A</v>
      </c>
      <c r="O393">
        <v>1</v>
      </c>
      <c r="P393" s="1" t="e">
        <f ca="1">IF(ISERROR(F388),"",IF(ISTEXT(VLOOKUP(B388,INDIRECT($F$8),6+(O393-1)*3)),(VLOOKUP(B388,INDIRECT($F$8),6+(O393-1)*3)),SUM(VLOOKUP(B388,INDIRECT($F$8),6+(O393-1)*3),IF(W403,W393,0))))</f>
        <v>#N/A</v>
      </c>
      <c r="Q393" s="1">
        <f ca="1">IF(ISERROR(F388),"",VLOOKUP(B388,INDIRECT($F$8),7+(O393-1)*3))</f>
        <v>43</v>
      </c>
      <c r="R393" s="1" t="e">
        <f ca="1">IF(ISERROR(F388),"",SUM(P393:Q393))</f>
        <v>#N/A</v>
      </c>
      <c r="S393" s="1">
        <f ca="1">IF(ISERROR(F388),"",VLOOKUP(A388,INDIRECT($F$8),6+(O393-1)*3))</f>
        <v>100</v>
      </c>
      <c r="T393" s="1">
        <f ca="1">IF(ISERROR(F388),"",VLOOKUP(A388,INDIRECT($F$8),7+(O393-1)*3))</f>
        <v>50</v>
      </c>
      <c r="U393" s="1">
        <f ca="1">IF(ISERROR(F388),"",VLOOKUP(A388,INDIRECT($F$8),8+(O393-1)*3))</f>
        <v>150</v>
      </c>
      <c r="V393" s="1" t="e">
        <f ca="1">IF(ISERROR(F388),"",IF(N393=0,A393,""))</f>
        <v>#N/A</v>
      </c>
      <c r="W393" s="1">
        <f ca="1">IF(ISERROR(F388),"",IF(ISTEXT(VLOOKUP(B388,INDIRECT($F$8),6+(O393-1)*3)),11,IF(VLOOKUP(B388,INDIRECT($F$8),6+(O393-1)*3)&lt;S393*0.3,IF(VLOOKUP(B388,INDIRECT($F$8),8+(O393-1)*3)&lt;U393*0.4,IF(AND(0.4*U393-VLOOKUP(B388,INDIRECT($F$8),8+(O393-1)*3)&lt;=5,0.3*S393-VLOOKUP(B388,INDIRECT($F$8),6+(O393-1)*3)&lt;=5),MAX(0.4*U393-VLOOKUP(B388,INDIRECT($F$8),8+(O393-1)*3),0.3*S393-VLOOKUP(B388,INDIRECT($F$8),6+(O393-1)*3)),11),IF(0.3*S393-VLOOKUP(B388,INDIRECT($F$8),6+(O393-1)*3)&lt;=5,0.3*S393-VLOOKUP(B388,INDIRECT($F$8),6+(O393-1)*3),11)),IF(VLOOKUP(B388,INDIRECT($F$8),8+(O393-1)*3)&lt;U393*0.4,IF(U393*0.4-VLOOKUP(B388,INDIRECT($F$8),8+(O393-1)*3)&lt;=5,U393*0.4-VLOOKUP(B388,INDIRECT($F$8),8+(O393-1)*3),11),0))))</f>
        <v>0</v>
      </c>
      <c r="X393" s="1" t="str">
        <f ca="1">IF(ISERROR(F388),"",IF(W393=0,"",_xlfn.TEXTJOIN("",FALSE," G+",W393," in ",A393)))</f>
        <v/>
      </c>
    </row>
    <row r="394" spans="1:24" ht="13" customHeight="1" x14ac:dyDescent="0.2">
      <c r="A394" s="7" t="str">
        <f ca="1">IF(ISERROR(F388),"",VLOOKUP(C388,INDIRECT($F$8),6+(O394-1)*3,0))</f>
        <v>CAT 010</v>
      </c>
      <c r="B394" s="41" t="str">
        <f ca="1">IF(ISERROR(F388),"",VLOOKUP(D388,INDIRECT($F$8),6+(O394-1)*3,0))</f>
        <v>Data Structures and Analysis of Algorithms</v>
      </c>
      <c r="C394" s="41"/>
      <c r="D394" s="41"/>
      <c r="E394" s="41"/>
      <c r="F394" s="7">
        <f ca="1">IF(ISERROR(F388),"",VLOOKUP(E388,INDIRECT($F$8),6+(O394-1)*3,0))</f>
        <v>4</v>
      </c>
      <c r="G394" s="42" t="e">
        <f ca="1">IF(ISERROR(F388),"",_xlfn.TEXTJOIN("/",FALSE,P394,S394))</f>
        <v>#N/A</v>
      </c>
      <c r="H394" s="42"/>
      <c r="I394" s="42" t="str">
        <f ca="1">IF(ISERROR(F388),"",_xlfn.TEXTJOIN("/",FALSE,Q394,T394))</f>
        <v>43/50</v>
      </c>
      <c r="J394" s="42"/>
      <c r="K394" s="42" t="e">
        <f ca="1">IF(ISERROR(F388),"",_xlfn.TEXTJOIN("/",FALSE,R394,U394))</f>
        <v>#N/A</v>
      </c>
      <c r="L394" s="42"/>
      <c r="M394" s="7" t="e">
        <f ca="1">IF(ISERROR(F388),"",IF(ISTEXT(P394),IF(P394="A","Ab",IF(P394="D","Dt",IF(P394="UFM","UFM",IF(P394="NA","")))),IF(AND(ISBLANK(P394),ISBLANK(R394)),"",IF(P394&lt;0.3*S394,"F",IF(ISBLANK(R394),"",IF(ISTEXT(R394),R394,IF(R394&gt;=0.9*U394,"O",IF(R394&gt;=0.85*U394,"A+",IF(R394&gt;=0.8*U394,"A",IF(R394&gt;=0.7*U394,"B+",IF(R394&gt;=0.6*U394,"B",IF(R394&gt;=0.5*U394,"C",IF(R394&gt;=0.4*U394,"P",IF(R394&lt;0.4*U394,"F",R394))))))))))))))</f>
        <v>#N/A</v>
      </c>
      <c r="N394" s="8" t="e">
        <f t="shared" ca="1" si="40"/>
        <v>#N/A</v>
      </c>
      <c r="O394">
        <f>O393+1</f>
        <v>2</v>
      </c>
      <c r="P394" s="1" t="e">
        <f ca="1">IF(ISERROR(F388),"",IF(ISTEXT(VLOOKUP(B388,INDIRECT($F$8),6+(O394-1)*3)),(VLOOKUP(B388,INDIRECT($F$8),6+(O394-1)*3)),SUM(VLOOKUP(B388,INDIRECT($F$8),6+(O394-1)*3),IF(W403,W394,0))))</f>
        <v>#N/A</v>
      </c>
      <c r="Q394" s="1">
        <f ca="1">IF(ISERROR(F388),"",VLOOKUP(B388,INDIRECT($F$8),7+(O394-1)*3))</f>
        <v>43</v>
      </c>
      <c r="R394" s="1" t="e">
        <f ca="1">IF(ISERROR(F388),"",SUM(P394:Q394))</f>
        <v>#N/A</v>
      </c>
      <c r="S394" s="1">
        <f ca="1">IF(ISERROR(F388),"",VLOOKUP(A388,INDIRECT($F$8),6+(O394-1)*3))</f>
        <v>100</v>
      </c>
      <c r="T394" s="1">
        <f ca="1">IF(ISERROR(F388),"",VLOOKUP(A388,INDIRECT($F$8),7+(O394-1)*3))</f>
        <v>50</v>
      </c>
      <c r="U394" s="1">
        <f ca="1">IF(ISERROR(F388),"",VLOOKUP(A388,INDIRECT($F$8),8+(O394-1)*3))</f>
        <v>150</v>
      </c>
      <c r="V394" s="1" t="e">
        <f ca="1">IF(ISERROR(F388),"",IF(N394=0,A394,""))</f>
        <v>#N/A</v>
      </c>
      <c r="W394" s="1">
        <f ca="1">IF(ISERROR(F388),"",IF(ISTEXT(VLOOKUP(B388,INDIRECT($F$8),6+(O394-1)*3)),11,IF(VLOOKUP(B388,INDIRECT($F$8),6+(O394-1)*3)&lt;S394*0.3,IF(VLOOKUP(B388,INDIRECT($F$8),8+(O394-1)*3)&lt;U394*0.4,IF(AND(0.4*U394-VLOOKUP(B388,INDIRECT($F$8),8+(O394-1)*3)&lt;=5,0.3*S394-VLOOKUP(B388,INDIRECT($F$8),6+(O394-1)*3)&lt;=5),MAX(0.4*U394-VLOOKUP(B388,INDIRECT($F$8),8+(O394-1)*3),0.3*S394-VLOOKUP(B388,INDIRECT($F$8),6+(O394-1)*3)),11),IF(0.3*S394-VLOOKUP(B388,INDIRECT($F$8),6+(O394-1)*3)&lt;=5,0.3*S394-VLOOKUP(B388,INDIRECT($F$8),6+(O394-1)*3),11)),IF(VLOOKUP(B388,INDIRECT($F$8),8+(O394-1)*3)&lt;U394*0.4,IF(U394*0.4-VLOOKUP(B388,INDIRECT($F$8),8+(O394-1)*3)&lt;=5,U394*0.4-VLOOKUP(B388,INDIRECT($F$8),8+(O394-1)*3),11),0))))</f>
        <v>0</v>
      </c>
      <c r="X394" s="1" t="str">
        <f ca="1">IF(ISERROR(F388),"",IF(W394=0,"",_xlfn.TEXTJOIN("",FALSE," G+",W394," in ",A394)))</f>
        <v/>
      </c>
    </row>
    <row r="395" spans="1:24" ht="13" customHeight="1" x14ac:dyDescent="0.2">
      <c r="A395" s="7" t="str">
        <f ca="1">IF(ISERROR(F388),"",VLOOKUP(C388,INDIRECT($F$8),6+(O395-1)*3,0))</f>
        <v>CAT 011</v>
      </c>
      <c r="B395" s="41" t="str">
        <f ca="1">IF(ISERROR(F388),"",VLOOKUP(D388,INDIRECT($F$8),6+(O395-1)*3,0))</f>
        <v>Object Oriented Programming with JAVA</v>
      </c>
      <c r="C395" s="41"/>
      <c r="D395" s="41"/>
      <c r="E395" s="41"/>
      <c r="F395" s="7">
        <f ca="1">IF(ISERROR(F388),"",VLOOKUP(E388,INDIRECT($F$8),6+(O395-1)*3,0))</f>
        <v>4</v>
      </c>
      <c r="G395" s="42" t="e">
        <f ca="1">IF(ISERROR(F388),"",_xlfn.TEXTJOIN("/",FALSE,P395,S395))</f>
        <v>#N/A</v>
      </c>
      <c r="H395" s="42"/>
      <c r="I395" s="42" t="str">
        <f ca="1">IF(ISERROR(F388),"",_xlfn.TEXTJOIN("/",FALSE,Q395,T395))</f>
        <v>39/50</v>
      </c>
      <c r="J395" s="42"/>
      <c r="K395" s="42" t="e">
        <f ca="1">IF(ISERROR(F388),"",_xlfn.TEXTJOIN("/",FALSE,R395,U395))</f>
        <v>#N/A</v>
      </c>
      <c r="L395" s="42"/>
      <c r="M395" s="7" t="e">
        <f ca="1">IF(ISERROR(F388),"",IF(ISTEXT(P395),IF(P395="A","Ab",IF(P395="D","Dt",IF(P395="UFM","UFM",IF(P395="NA","")))),IF(AND(ISBLANK(P395),ISBLANK(R395)),"",IF(P395&lt;0.3*S395,"F",IF(ISBLANK(R395),"",IF(ISTEXT(R395),R395,IF(R395&gt;=0.9*U395,"O",IF(R395&gt;=0.85*U395,"A+",IF(R395&gt;=0.8*U395,"A",IF(R395&gt;=0.7*U395,"B+",IF(R395&gt;=0.6*U395,"B",IF(R395&gt;=0.5*U395,"C",IF(R395&gt;=0.4*U395,"P",IF(R395&lt;0.4*U395,"F",R395))))))))))))))</f>
        <v>#N/A</v>
      </c>
      <c r="N395" s="8" t="e">
        <f t="shared" ca="1" si="40"/>
        <v>#N/A</v>
      </c>
      <c r="O395">
        <f>O394+1</f>
        <v>3</v>
      </c>
      <c r="P395" s="1" t="e">
        <f ca="1">IF(ISERROR(F388),"",IF(ISTEXT(VLOOKUP(B388,INDIRECT($F$8),6+(O395-1)*3)),(VLOOKUP(B388,INDIRECT($F$8),6+(O395-1)*3)),SUM(VLOOKUP(B388,INDIRECT($F$8),6+(O395-1)*3),IF(W403,W395,0))))</f>
        <v>#N/A</v>
      </c>
      <c r="Q395" s="1">
        <f ca="1">IF(ISERROR(F388),"",VLOOKUP(B388,INDIRECT($F$8),7+(O395-1)*3))</f>
        <v>39</v>
      </c>
      <c r="R395" s="1" t="e">
        <f ca="1">IF(ISERROR(F388),"",SUM(P395:Q395))</f>
        <v>#N/A</v>
      </c>
      <c r="S395" s="1">
        <f ca="1">IF(ISERROR(F388),"",VLOOKUP(A388,INDIRECT($F$8),6+(O395-1)*3))</f>
        <v>100</v>
      </c>
      <c r="T395" s="1">
        <f ca="1">IF(ISERROR(F388),"",VLOOKUP(A388,INDIRECT($F$8),7+(O395-1)*3))</f>
        <v>50</v>
      </c>
      <c r="U395" s="1">
        <f ca="1">IF(ISERROR(F388),"",VLOOKUP(A388,INDIRECT($F$8),8+(O395-1)*3))</f>
        <v>150</v>
      </c>
      <c r="V395" s="1" t="e">
        <f ca="1">IF(ISERROR(F388),"",IF(N395=0,A395,""))</f>
        <v>#N/A</v>
      </c>
      <c r="W395" s="1">
        <f ca="1">IF(ISERROR(F388),"",IF(ISTEXT(VLOOKUP(B388,INDIRECT($F$8),6+(O395-1)*3)),11,IF(VLOOKUP(B388,INDIRECT($F$8),6+(O395-1)*3)&lt;S395*0.3,IF(VLOOKUP(B388,INDIRECT($F$8),8+(O395-1)*3)&lt;U395*0.4,IF(AND(0.4*U395-VLOOKUP(B388,INDIRECT($F$8),8+(O395-1)*3)&lt;=5,0.3*S395-VLOOKUP(B388,INDIRECT($F$8),6+(O395-1)*3)&lt;=5),MAX(0.4*U395-VLOOKUP(B388,INDIRECT($F$8),8+(O395-1)*3),0.3*S395-VLOOKUP(B388,INDIRECT($F$8),6+(O395-1)*3)),11),IF(0.3*S395-VLOOKUP(B388,INDIRECT($F$8),6+(O395-1)*3)&lt;=5,0.3*S395-VLOOKUP(B388,INDIRECT($F$8),6+(O395-1)*3),11)),IF(VLOOKUP(B388,INDIRECT($F$8),8+(O395-1)*3)&lt;U395*0.4,IF(U395*0.4-VLOOKUP(B388,INDIRECT($F$8),8+(O395-1)*3)&lt;=5,U395*0.4-VLOOKUP(B388,INDIRECT($F$8),8+(O395-1)*3),11),0))))</f>
        <v>0</v>
      </c>
      <c r="X395" s="1" t="str">
        <f ca="1">IF(ISERROR(F388),"",IF(W395=0,"",_xlfn.TEXTJOIN("",FALSE," G+",W395," in ",A395)))</f>
        <v/>
      </c>
    </row>
    <row r="396" spans="1:24" ht="13" customHeight="1" x14ac:dyDescent="0.2">
      <c r="A396" s="7" t="str">
        <f ca="1">IF(ISERROR(F388),"",VLOOKUP(C388,INDIRECT($F$8),6+(O396-1)*3,0))</f>
        <v>CAT 012</v>
      </c>
      <c r="B396" s="41" t="str">
        <f ca="1">IF(ISERROR(F388),"",VLOOKUP(D388,INDIRECT($F$8),6+(O396-1)*3,0))</f>
        <v>Computer Networks</v>
      </c>
      <c r="C396" s="41"/>
      <c r="D396" s="41"/>
      <c r="E396" s="41"/>
      <c r="F396" s="7">
        <f ca="1">IF(ISERROR(F388),"",VLOOKUP(E388,INDIRECT($F$8),6+(O396-1)*3,0))</f>
        <v>4</v>
      </c>
      <c r="G396" s="42" t="e">
        <f ca="1">IF(ISERROR(F388),"",_xlfn.TEXTJOIN("/",FALSE,P396,S396))</f>
        <v>#N/A</v>
      </c>
      <c r="H396" s="42"/>
      <c r="I396" s="42" t="str">
        <f ca="1">IF(ISERROR(F388),"",_xlfn.TEXTJOIN("/",FALSE,Q396,T396))</f>
        <v>44/50</v>
      </c>
      <c r="J396" s="42"/>
      <c r="K396" s="42" t="e">
        <f ca="1">IF(ISERROR(F388),"",_xlfn.TEXTJOIN("/",FALSE,R396,U396))</f>
        <v>#N/A</v>
      </c>
      <c r="L396" s="42"/>
      <c r="M396" s="7" t="e">
        <f ca="1">IF(ISERROR(F388),"",IF(ISTEXT(P396),IF(P396="A","Ab",IF(P396="D","Dt",IF(P396="UFM","UFM",IF(P396="NA","")))),IF(AND(ISBLANK(P396),ISBLANK(R396)),"",IF(P396&lt;0.3*S396,"F",IF(ISBLANK(R396),"",IF(ISTEXT(R396),R396,IF(R396&gt;=0.9*U396,"O",IF(R396&gt;=0.85*U396,"A+",IF(R396&gt;=0.8*U396,"A",IF(R396&gt;=0.7*U396,"B+",IF(R396&gt;=0.6*U396,"B",IF(R396&gt;=0.5*U396,"C",IF(R396&gt;=0.4*U396,"P",IF(R396&lt;0.4*U396,"F",R396))))))))))))))</f>
        <v>#N/A</v>
      </c>
      <c r="N396" s="8" t="e">
        <f t="shared" ca="1" si="40"/>
        <v>#N/A</v>
      </c>
      <c r="O396">
        <f t="shared" ref="O396:O402" si="41">O395+1</f>
        <v>4</v>
      </c>
      <c r="P396" s="1" t="e">
        <f ca="1">IF(ISERROR(F388),"",IF(ISTEXT(VLOOKUP(B388,INDIRECT($F$8),6+(O396-1)*3)),(VLOOKUP(B388,INDIRECT($F$8),6+(O396-1)*3)),SUM(VLOOKUP(B388,INDIRECT($F$8),6+(O396-1)*3),IF(W403,W396,0))))</f>
        <v>#N/A</v>
      </c>
      <c r="Q396" s="1">
        <f ca="1">IF(ISERROR(F388),"",VLOOKUP(B388,INDIRECT($F$8),7+(O396-1)*3))</f>
        <v>44</v>
      </c>
      <c r="R396" s="1" t="e">
        <f ca="1">IF(ISERROR(F388),"",SUM(P396:Q396))</f>
        <v>#N/A</v>
      </c>
      <c r="S396" s="1">
        <f ca="1">IF(ISERROR(F388),"",VLOOKUP(A388,INDIRECT($F$8),6+(O396-1)*3))</f>
        <v>100</v>
      </c>
      <c r="T396" s="1">
        <f ca="1">IF(ISERROR(F388),"",VLOOKUP(A388,INDIRECT($F$8),7+(O396-1)*3))</f>
        <v>50</v>
      </c>
      <c r="U396" s="1">
        <f ca="1">IF(ISERROR(F388),"",VLOOKUP(A388,INDIRECT($F$8),8+(O396-1)*3))</f>
        <v>150</v>
      </c>
      <c r="V396" s="1" t="e">
        <f ca="1">IF(ISERROR(F388),"",IF(N396=0,A396,""))</f>
        <v>#N/A</v>
      </c>
      <c r="W396" s="1">
        <f ca="1">IF(ISERROR(F388),"",IF(ISTEXT(VLOOKUP(B388,INDIRECT($F$8),6+(O396-1)*3)),11,IF(VLOOKUP(B388,INDIRECT($F$8),6+(O396-1)*3)&lt;S396*0.3,IF(VLOOKUP(B388,INDIRECT($F$8),8+(O396-1)*3)&lt;U396*0.4,IF(AND(0.4*U396-VLOOKUP(B388,INDIRECT($F$8),8+(O396-1)*3)&lt;=5,0.3*S396-VLOOKUP(B388,INDIRECT($F$8),6+(O396-1)*3)&lt;=5),MAX(0.4*U396-VLOOKUP(B388,INDIRECT($F$8),8+(O396-1)*3),0.3*S396-VLOOKUP(B388,INDIRECT($F$8),6+(O396-1)*3)),11),IF(0.3*S396-VLOOKUP(B388,INDIRECT($F$8),6+(O396-1)*3)&lt;=5,0.3*S396-VLOOKUP(B388,INDIRECT($F$8),6+(O396-1)*3),11)),IF(VLOOKUP(B388,INDIRECT($F$8),8+(O396-1)*3)&lt;U396*0.4,IF(U396*0.4-VLOOKUP(B388,INDIRECT($F$8),8+(O396-1)*3)&lt;=5,U396*0.4-VLOOKUP(B388,INDIRECT($F$8),8+(O396-1)*3),11),0))))</f>
        <v>0</v>
      </c>
      <c r="X396" s="1" t="str">
        <f ca="1">IF(ISERROR(F388),"",IF(W396=0,"",_xlfn.TEXTJOIN("",FALSE," G+",W396," in ",A396)))</f>
        <v/>
      </c>
    </row>
    <row r="397" spans="1:24" ht="13" customHeight="1" x14ac:dyDescent="0.2">
      <c r="A397" s="7" t="str">
        <f ca="1">IF(ISERROR(F388),"",VLOOKUP(C388,INDIRECT($F$8),6+(O397-1)*3,0))</f>
        <v>CAT 013</v>
      </c>
      <c r="B397" s="41" t="str">
        <f ca="1">IF(ISERROR(F388),"",VLOOKUP(D388,INDIRECT($F$8),6+(O397-1)*3,0))</f>
        <v>Artificial Intelligence</v>
      </c>
      <c r="C397" s="41"/>
      <c r="D397" s="41"/>
      <c r="E397" s="41"/>
      <c r="F397" s="7">
        <f ca="1">IF(ISERROR(F388),"",VLOOKUP(E388,INDIRECT($F$8),6+(O397-1)*3,0))</f>
        <v>4</v>
      </c>
      <c r="G397" s="42" t="e">
        <f ca="1">IF(ISERROR(F388),"",_xlfn.TEXTJOIN("/",FALSE,P397,S397))</f>
        <v>#N/A</v>
      </c>
      <c r="H397" s="42"/>
      <c r="I397" s="42" t="str">
        <f ca="1">IF(ISERROR(F388),"",_xlfn.TEXTJOIN("/",FALSE,Q397,T397))</f>
        <v>43/50</v>
      </c>
      <c r="J397" s="42"/>
      <c r="K397" s="42" t="e">
        <f ca="1">IF(ISERROR(F388),"",_xlfn.TEXTJOIN("/",FALSE,R397,U397))</f>
        <v>#N/A</v>
      </c>
      <c r="L397" s="42"/>
      <c r="M397" s="7" t="e">
        <f ca="1">IF(ISERROR(F388),"",IF(ISTEXT(P397),IF(P397="A","Ab",IF(P397="D","Dt",IF(P397="UFM","UFM",IF(P397="NA","")))),IF(AND(ISBLANK(P397),ISBLANK(R397)),"",IF(P397&lt;0.3*S397,"F",IF(ISBLANK(R397),"",IF(ISTEXT(R397),R397,IF(R397&gt;=0.9*U397,"O",IF(R397&gt;=0.85*U397,"A+",IF(R397&gt;=0.8*U397,"A",IF(R397&gt;=0.7*U397,"B+",IF(R397&gt;=0.6*U397,"B",IF(R397&gt;=0.5*U397,"C",IF(R397&gt;=0.4*U397,"P",IF(R397&lt;0.4*U397,"F",R397))))))))))))))</f>
        <v>#N/A</v>
      </c>
      <c r="N397" s="8" t="e">
        <f t="shared" ca="1" si="40"/>
        <v>#N/A</v>
      </c>
      <c r="O397">
        <f t="shared" si="41"/>
        <v>5</v>
      </c>
      <c r="P397" s="1" t="e">
        <f ca="1">IF(ISERROR(F388),"",IF(ISTEXT(VLOOKUP(B388,INDIRECT($F$8),6+(O397-1)*3)),(VLOOKUP(B388,INDIRECT($F$8),6+(O397-1)*3)),SUM(VLOOKUP(B388,INDIRECT($F$8),6+(O397-1)*3),IF(W403,W397,0))))</f>
        <v>#N/A</v>
      </c>
      <c r="Q397" s="1">
        <f ca="1">IF(ISERROR(F388),"",VLOOKUP(B388,INDIRECT($F$8),7+(O397-1)*3))</f>
        <v>43</v>
      </c>
      <c r="R397" s="1" t="e">
        <f ca="1">IF(ISERROR(F388),"",SUM(P397:Q397))</f>
        <v>#N/A</v>
      </c>
      <c r="S397" s="1">
        <f ca="1">IF(ISERROR(F388),"",VLOOKUP(A388,INDIRECT($F$8),6+(O397-1)*3))</f>
        <v>100</v>
      </c>
      <c r="T397" s="1">
        <f ca="1">IF(ISERROR(F388),"",VLOOKUP(A388,INDIRECT($F$8),7+(O397-1)*3))</f>
        <v>50</v>
      </c>
      <c r="U397" s="1">
        <f ca="1">IF(ISERROR(F388),"",VLOOKUP(A388,INDIRECT($F$8),8+(O397-1)*3))</f>
        <v>150</v>
      </c>
      <c r="V397" s="1" t="e">
        <f ca="1">IF(ISERROR(F388),"",IF(N397=0,A397,""))</f>
        <v>#N/A</v>
      </c>
      <c r="W397" s="1">
        <f ca="1">IF(ISERROR(F388),"",IF(ISTEXT(VLOOKUP(B388,INDIRECT($F$8),6+(O397-1)*3)),11,IF(VLOOKUP(B388,INDIRECT($F$8),6+(O397-1)*3)&lt;S397*0.3,IF(VLOOKUP(B388,INDIRECT($F$8),8+(O397-1)*3)&lt;U397*0.4,IF(AND(0.4*U397-VLOOKUP(B388,INDIRECT($F$8),8+(O397-1)*3)&lt;=5,0.3*S397-VLOOKUP(B388,INDIRECT($F$8),6+(O397-1)*3)&lt;=5),MAX(0.4*U397-VLOOKUP(B388,INDIRECT($F$8),8+(O397-1)*3),0.3*S397-VLOOKUP(B388,INDIRECT($F$8),6+(O397-1)*3)),11),IF(0.3*S397-VLOOKUP(B388,INDIRECT($F$8),6+(O397-1)*3)&lt;=5,0.3*S397-VLOOKUP(B388,INDIRECT($F$8),6+(O397-1)*3),11)),IF(VLOOKUP(B388,INDIRECT($F$8),8+(O397-1)*3)&lt;U397*0.4,IF(U397*0.4-VLOOKUP(B388,INDIRECT($F$8),8+(O397-1)*3)&lt;=5,U397*0.4-VLOOKUP(B388,INDIRECT($F$8),8+(O397-1)*3),11),0))))</f>
        <v>0</v>
      </c>
      <c r="X397" s="1" t="str">
        <f ca="1">IF(ISERROR(F388),"",IF(W397=0,"",_xlfn.TEXTJOIN("",FALSE," G+",W397," in ",A397)))</f>
        <v/>
      </c>
    </row>
    <row r="398" spans="1:24" ht="13" customHeight="1" x14ac:dyDescent="0.2">
      <c r="A398" s="7" t="str">
        <f ca="1">IF(ISERROR(F388),"",VLOOKUP(C388,INDIRECT($F$8),6+(O398-1)*3,0))</f>
        <v>AHT 304</v>
      </c>
      <c r="B398" s="41" t="str">
        <f ca="1">IF(ISERROR(F388),"",VLOOKUP(D388,INDIRECT($F$8),6+(O398-1)*3,0))</f>
        <v>Accounting and Financial Management ($)</v>
      </c>
      <c r="C398" s="41"/>
      <c r="D398" s="41"/>
      <c r="E398" s="41"/>
      <c r="F398" s="7">
        <f ca="1">IF(ISERROR(F388),"",VLOOKUP(E388,INDIRECT($F$8),6+(O398-1)*3,0))</f>
        <v>0</v>
      </c>
      <c r="G398" s="42" t="e">
        <f ca="1">IF(ISERROR(F388),"",_xlfn.TEXTJOIN("/",FALSE,P398,S398))</f>
        <v>#N/A</v>
      </c>
      <c r="H398" s="42"/>
      <c r="I398" s="42" t="str">
        <f ca="1">IF(ISERROR(F388),"",_xlfn.TEXTJOIN("/",FALSE,Q398,T398))</f>
        <v>41/50</v>
      </c>
      <c r="J398" s="42"/>
      <c r="K398" s="42" t="e">
        <f ca="1">IF(ISERROR(F388),"",_xlfn.TEXTJOIN("/",FALSE,R398,U398))</f>
        <v>#N/A</v>
      </c>
      <c r="L398" s="42"/>
      <c r="M398" s="7" t="e">
        <f ca="1">IF(ISERROR(F388),"",IF(ISTEXT(P398),IF(P398="A","Ab",IF(P398="D","Dt",IF(P398="UFM","UFM",IF(P398="NA","")))),IF(AND(ISBLANK(P398),ISBLANK(R398)),"",IF(P398&lt;0.3*S398,"F",IF(ISBLANK(R398),"",IF(ISTEXT(R398),R398,IF(R398&gt;=0.9*U398,"O",IF(R398&gt;=0.85*U398,"A+",IF(R398&gt;=0.8*U398,"A",IF(R398&gt;=0.7*U398,"B+",IF(R398&gt;=0.6*U398,"B",IF(R398&gt;=0.5*U398,"C",IF(R398&gt;=0.4*U398,"P",IF(R398&lt;0.4*U398,"F",R398))))))))))))))</f>
        <v>#N/A</v>
      </c>
      <c r="N398" s="8" t="e">
        <f t="shared" ca="1" si="40"/>
        <v>#N/A</v>
      </c>
      <c r="O398">
        <f t="shared" si="41"/>
        <v>6</v>
      </c>
      <c r="P398" s="1" t="e">
        <f ca="1">IF(ISERROR(F388),"",IF(ISTEXT(VLOOKUP(B388,INDIRECT($F$8),6+(O398-1)*3)),(VLOOKUP(B388,INDIRECT($F$8),6+(O398-1)*3)),SUM(VLOOKUP(B388,INDIRECT($F$8),6+(O398-1)*3),IF(W403,W398,0))))</f>
        <v>#N/A</v>
      </c>
      <c r="Q398" s="1">
        <f ca="1">IF(ISERROR(F388),"",VLOOKUP(B388,INDIRECT($F$8),7+(O398-1)*3))</f>
        <v>41</v>
      </c>
      <c r="R398" s="1" t="e">
        <f ca="1">IF(ISERROR(F388),"",SUM(P398:Q398))</f>
        <v>#N/A</v>
      </c>
      <c r="S398" s="1">
        <f ca="1">IF(ISERROR(F388),"",VLOOKUP(A388,INDIRECT($F$8),6+(O398-1)*3))</f>
        <v>0</v>
      </c>
      <c r="T398" s="1">
        <f ca="1">IF(ISERROR(F388),"",VLOOKUP(A388,INDIRECT($F$8),7+(O398-1)*3))</f>
        <v>50</v>
      </c>
      <c r="U398" s="1">
        <f ca="1">IF(ISERROR(F388),"",VLOOKUP(A388,INDIRECT($F$8),8+(O398-1)*3))</f>
        <v>50</v>
      </c>
      <c r="V398" s="1" t="e">
        <f ca="1">IF(ISERROR(F388),"",IF(N398=0,A398,""))</f>
        <v>#N/A</v>
      </c>
      <c r="W398" s="1">
        <f ca="1">IF(ISERROR(F388),"",IF(ISTEXT(VLOOKUP(B388,INDIRECT($F$8),6+(O398-1)*3)),11,IF(VLOOKUP(B388,INDIRECT($F$8),6+(O398-1)*3)&lt;S398*0.3,IF(VLOOKUP(B388,INDIRECT($F$8),8+(O398-1)*3)&lt;U398*0.4,IF(AND(0.4*U398-VLOOKUP(B388,INDIRECT($F$8),8+(O398-1)*3)&lt;=5,0.3*S398-VLOOKUP(B388,INDIRECT($F$8),6+(O398-1)*3)&lt;=5),MAX(0.4*U398-VLOOKUP(B388,INDIRECT($F$8),8+(O398-1)*3),0.3*S398-VLOOKUP(B388,INDIRECT($F$8),6+(O398-1)*3)),11),IF(0.3*S398-VLOOKUP(B388,INDIRECT($F$8),6+(O398-1)*3)&lt;=5,0.3*S398-VLOOKUP(B388,INDIRECT($F$8),6+(O398-1)*3),11)),IF(VLOOKUP(B388,INDIRECT($F$8),8+(O398-1)*3)&lt;U398*0.4,IF(U398*0.4-VLOOKUP(B388,INDIRECT($F$8),8+(O398-1)*3)&lt;=5,U398*0.4-VLOOKUP(B388,INDIRECT($F$8),8+(O398-1)*3),11),0))))</f>
        <v>0</v>
      </c>
      <c r="X398" s="1" t="str">
        <f ca="1">IF(ISERROR(F388),"",IF(W398=0,"",_xlfn.TEXTJOIN("",FALSE," G+",W398," in ",A398)))</f>
        <v/>
      </c>
    </row>
    <row r="399" spans="1:24" ht="13" customHeight="1" x14ac:dyDescent="0.2">
      <c r="A399" s="7" t="str">
        <f ca="1">IF(ISERROR(F388),"",VLOOKUP(C388,INDIRECT($F$8),6+(O399-1)*3,0))</f>
        <v>CAP 004</v>
      </c>
      <c r="B399" s="41" t="str">
        <f ca="1">IF(ISERROR(F388),"",VLOOKUP(D388,INDIRECT($F$8),6+(O399-1)*3,0))</f>
        <v>Data Structures and Analysis of Algorithms Lab</v>
      </c>
      <c r="C399" s="41"/>
      <c r="D399" s="41"/>
      <c r="E399" s="41"/>
      <c r="F399" s="7">
        <f ca="1">IF(ISERROR(F388),"",VLOOKUP(E388,INDIRECT($F$8),6+(O399-1)*3,0))</f>
        <v>1</v>
      </c>
      <c r="G399" s="42" t="e">
        <f ca="1">IF(ISERROR(F388),"",_xlfn.TEXTJOIN("/",FALSE,P399,S399))</f>
        <v>#N/A</v>
      </c>
      <c r="H399" s="42"/>
      <c r="I399" s="42" t="str">
        <f ca="1">IF(ISERROR(F388),"",_xlfn.TEXTJOIN("/",FALSE,Q399,T399))</f>
        <v>17/20</v>
      </c>
      <c r="J399" s="42"/>
      <c r="K399" s="42" t="e">
        <f ca="1">IF(ISERROR(F388),"",_xlfn.TEXTJOIN("/",FALSE,R399,U399))</f>
        <v>#N/A</v>
      </c>
      <c r="L399" s="42"/>
      <c r="M399" s="7" t="e">
        <f ca="1">IF(ISERROR(F388),"",IF(ISTEXT(P399),IF(P399="A","Ab",IF(P399="D","Dt",IF(P399="UFM","UFM",IF(P399="NA","")))),IF(AND(ISBLANK(P399),ISBLANK(R399)),"",IF(P399&lt;0.3*S399,"F",IF(ISBLANK(R399),"",IF(ISTEXT(R399),R399,IF(R399&gt;=0.9*U399,"O",IF(R399&gt;=0.85*U399,"A+",IF(R399&gt;=0.8*U399,"A",IF(R399&gt;=0.7*U399,"B+",IF(R399&gt;=0.6*U399,"B",IF(R399&gt;=0.5*U399,"C",IF(R399&gt;=0.4*U399,"P",IF(R399&lt;0.4*U399,"F",R399))))))))))))))</f>
        <v>#N/A</v>
      </c>
      <c r="N399" s="8" t="e">
        <f t="shared" ca="1" si="40"/>
        <v>#N/A</v>
      </c>
      <c r="O399">
        <f t="shared" si="41"/>
        <v>7</v>
      </c>
      <c r="P399" s="1" t="e">
        <f ca="1">IF(ISERROR(F388),"",IF(ISTEXT(VLOOKUP(B388,INDIRECT($F$8),6+(O399-1)*3)),(VLOOKUP(B388,INDIRECT($F$8),6+(O399-1)*3)),SUM(VLOOKUP(B388,INDIRECT($F$8),6+(O399-1)*3),IF(W403,W399,0))))</f>
        <v>#N/A</v>
      </c>
      <c r="Q399" s="1">
        <f ca="1">IF(ISERROR(F388),"",VLOOKUP(B388,INDIRECT($F$8),7+(O399-1)*3))</f>
        <v>17</v>
      </c>
      <c r="R399" s="1" t="e">
        <f ca="1">IF(ISERROR(F388),"",SUM(P399:Q399))</f>
        <v>#N/A</v>
      </c>
      <c r="S399" s="1">
        <f ca="1">IF(ISERROR(F388),"",VLOOKUP(A388,INDIRECT($F$8),6+(O399-1)*3))</f>
        <v>30</v>
      </c>
      <c r="T399" s="1">
        <f ca="1">IF(ISERROR(F388),"",VLOOKUP(A388,INDIRECT($F$8),7+(O399-1)*3))</f>
        <v>20</v>
      </c>
      <c r="U399" s="1">
        <f ca="1">IF(ISERROR(F388),"",VLOOKUP(A388,INDIRECT($F$8),8+(O399-1)*3))</f>
        <v>50</v>
      </c>
      <c r="V399" s="1" t="e">
        <f ca="1">IF(ISERROR(F388),"",IF(N399=0,A399,""))</f>
        <v>#N/A</v>
      </c>
      <c r="W399" s="1">
        <f ca="1">IF(ISERROR(F388),"",IF(ISTEXT(VLOOKUP(B388,INDIRECT($F$8),6+(O399-1)*3)),11,IF(VLOOKUP(B388,INDIRECT($F$8),6+(O399-1)*3)&lt;S399*0.3,IF(VLOOKUP(B388,INDIRECT($F$8),8+(O399-1)*3)&lt;U399*0.4,IF(AND(0.4*U399-VLOOKUP(B388,INDIRECT($F$8),8+(O399-1)*3)&lt;=5,0.3*S399-VLOOKUP(B388,INDIRECT($F$8),6+(O399-1)*3)&lt;=5),MAX(0.4*U399-VLOOKUP(B388,INDIRECT($F$8),8+(O399-1)*3),0.3*S399-VLOOKUP(B388,INDIRECT($F$8),6+(O399-1)*3)),11),IF(0.3*S399-VLOOKUP(B388,INDIRECT($F$8),6+(O399-1)*3)&lt;=5,0.3*S399-VLOOKUP(B388,INDIRECT($F$8),6+(O399-1)*3),11)),IF(VLOOKUP(B388,INDIRECT($F$8),8+(O399-1)*3)&lt;U399*0.4,IF(U399*0.4-VLOOKUP(B388,INDIRECT($F$8),8+(O399-1)*3)&lt;=5,U399*0.4-VLOOKUP(B388,INDIRECT($F$8),8+(O399-1)*3),11),0))))</f>
        <v>0</v>
      </c>
      <c r="X399" s="1" t="str">
        <f ca="1">IF(ISERROR(F388),"",IF(W399=0,"",_xlfn.TEXTJOIN("",FALSE," G+",W399," in ",A399)))</f>
        <v/>
      </c>
    </row>
    <row r="400" spans="1:24" ht="13" customHeight="1" x14ac:dyDescent="0.2">
      <c r="A400" s="7" t="str">
        <f ca="1">IF(ISERROR(F388),"",VLOOKUP(C388,INDIRECT($F$8),6+(O400-1)*3,0))</f>
        <v>CAP 005</v>
      </c>
      <c r="B400" s="41" t="str">
        <f ca="1">IF(ISERROR(F388),"",VLOOKUP(D388,INDIRECT($F$8),6+(O400-1)*3-Z400,0))</f>
        <v>Object Oriented Programming with JAVA Lab</v>
      </c>
      <c r="C400" s="41"/>
      <c r="D400" s="41"/>
      <c r="E400" s="41"/>
      <c r="F400" s="7">
        <f ca="1">IF(ISERROR(F388),"",VLOOKUP(E388,INDIRECT($F$8),6+(O400-1)*3,0))</f>
        <v>1</v>
      </c>
      <c r="G400" s="42" t="e">
        <f ca="1">IF(ISERROR(F388),"",_xlfn.TEXTJOIN("/",FALSE,P400,S400))</f>
        <v>#N/A</v>
      </c>
      <c r="H400" s="42"/>
      <c r="I400" s="42" t="str">
        <f ca="1">IF(ISERROR(F388),"",_xlfn.TEXTJOIN("/",FALSE,Q400,T400))</f>
        <v>15/20</v>
      </c>
      <c r="J400" s="42"/>
      <c r="K400" s="42" t="e">
        <f ca="1">IF(ISERROR(F388),"",_xlfn.TEXTJOIN("/",FALSE,R400,U400))</f>
        <v>#N/A</v>
      </c>
      <c r="L400" s="42"/>
      <c r="M400" s="7" t="e">
        <f ca="1">IF(ISERROR(F388),"",IF(ISTEXT(P400),IF(P400="A","Ab",IF(P400="D","Dt",IF(P400="UFM","UFM",IF(P400="NA","")))),IF(AND(ISBLANK(P400),ISBLANK(R400)),"",IF(P400&lt;0.3*S400,"F",IF(ISBLANK(R400),"",IF(ISTEXT(R400),R400,IF(R400&gt;=0.9*U400,"O",IF(R400&gt;=0.85*U400,"A+",IF(R400&gt;=0.8*U400,"A",IF(R400&gt;=0.7*U400,"B+",IF(R400&gt;=0.6*U400,"B",IF(R400&gt;=0.5*U400,"C",IF(R400&gt;=0.4*U400,"P",IF(R400&lt;0.4*U400,"F",R400))))))))))))))</f>
        <v>#N/A</v>
      </c>
      <c r="N400" s="8" t="e">
        <f t="shared" ca="1" si="40"/>
        <v>#N/A</v>
      </c>
      <c r="O400">
        <f t="shared" si="41"/>
        <v>8</v>
      </c>
      <c r="P400" s="1" t="e">
        <f ca="1">IF(ISERROR(F388),"",IF(ISTEXT(VLOOKUP(B388,INDIRECT($F$8),6+(O400-1)*3)),(VLOOKUP(B388,INDIRECT($F$8),6+(O400-1)*3)),SUM(VLOOKUP(B388,INDIRECT($F$8),6+(O400-1)*3),IF(W403,W400,0))))</f>
        <v>#N/A</v>
      </c>
      <c r="Q400" s="1">
        <f ca="1">IF(ISERROR(F388),"",VLOOKUP(B388,INDIRECT($F$8),7+(O400-1)*3))</f>
        <v>15</v>
      </c>
      <c r="R400" s="1" t="e">
        <f ca="1">IF(ISERROR(F388),"",SUM(P400:Q400))</f>
        <v>#N/A</v>
      </c>
      <c r="S400" s="1">
        <f ca="1">IF(ISERROR(F388),"",VLOOKUP(A388,INDIRECT($F$8),6+(O400-1)*3))</f>
        <v>30</v>
      </c>
      <c r="T400" s="1">
        <f ca="1">IF(ISERROR(F388),"",VLOOKUP(A388,INDIRECT($F$8),7+(O400-1)*3))</f>
        <v>20</v>
      </c>
      <c r="U400" s="1">
        <f ca="1">IF(ISERROR(F388),"",VLOOKUP(A388,INDIRECT($F$8),8+(O400-1)*3))</f>
        <v>50</v>
      </c>
      <c r="V400" s="1" t="e">
        <f ca="1">IF(ISERROR(F388),"",IF(N400=0,A400,""))</f>
        <v>#N/A</v>
      </c>
      <c r="W400" s="1">
        <f ca="1">IF(ISERROR(F388),"",IF(ISTEXT(VLOOKUP(B388,INDIRECT($F$8),6+(O400-1)*3)),11,IF(VLOOKUP(B388,INDIRECT($F$8),6+(O400-1)*3)&lt;S400*0.3,IF(VLOOKUP(B388,INDIRECT($F$8),8+(O400-1)*3)&lt;U400*0.4,IF(AND(0.4*U400-VLOOKUP(B388,INDIRECT($F$8),8+(O400-1)*3)&lt;=5,0.3*S400-VLOOKUP(B388,INDIRECT($F$8),6+(O400-1)*3)&lt;=5),MAX(0.4*U400-VLOOKUP(B388,INDIRECT($F$8),8+(O400-1)*3),0.3*S400-VLOOKUP(B388,INDIRECT($F$8),6+(O400-1)*3)),11),IF(0.3*S400-VLOOKUP(B388,INDIRECT($F$8),6+(O400-1)*3)&lt;=5,0.3*S400-VLOOKUP(B388,INDIRECT($F$8),6+(O400-1)*3),11)),IF(VLOOKUP(B388,INDIRECT($F$8),8+(O400-1)*3)&lt;U400*0.4,IF(U400*0.4-VLOOKUP(B388,INDIRECT($F$8),8+(O400-1)*3)&lt;=5,U400*0.4-VLOOKUP(B388,INDIRECT($F$8),8+(O400-1)*3),11),0))))</f>
        <v>0</v>
      </c>
      <c r="X400" s="1" t="str">
        <f ca="1">IF(ISERROR(F388),"",IF(W400=0,"",_xlfn.TEXTJOIN("",FALSE," G+",W400," in ",A400)))</f>
        <v/>
      </c>
    </row>
    <row r="401" spans="1:24" ht="13" customHeight="1" x14ac:dyDescent="0.2">
      <c r="A401" s="7" t="str">
        <f ca="1">IF(ISERROR(F388),"",VLOOKUP(C388,INDIRECT($F$8),6+(O401-1)*3,0))</f>
        <v>CAP 006</v>
      </c>
      <c r="B401" s="41" t="str">
        <f ca="1">IF(ISERROR(F388),"",VLOOKUP(D388,INDIRECT($F$8),6+(O401-1)*3-Z401,0))</f>
        <v>Computer Networks Lab</v>
      </c>
      <c r="C401" s="41"/>
      <c r="D401" s="41"/>
      <c r="E401" s="41"/>
      <c r="F401" s="7">
        <f ca="1">IF(ISERROR(F388),"",VLOOKUP(E388,INDIRECT($F$8),6+(O401-1)*3,0))</f>
        <v>1</v>
      </c>
      <c r="G401" s="42" t="e">
        <f ca="1">IF(ISERROR(F388),"",_xlfn.TEXTJOIN("/",FALSE,P401,S401))</f>
        <v>#N/A</v>
      </c>
      <c r="H401" s="42"/>
      <c r="I401" s="42" t="str">
        <f ca="1">IF(ISERROR(F388),"",_xlfn.TEXTJOIN("/",FALSE,Q401,T401))</f>
        <v>17/20</v>
      </c>
      <c r="J401" s="42"/>
      <c r="K401" s="42" t="e">
        <f ca="1">IF(ISERROR(F388),"",_xlfn.TEXTJOIN("/",FALSE,R401,U401))</f>
        <v>#N/A</v>
      </c>
      <c r="L401" s="42"/>
      <c r="M401" s="7" t="e">
        <f ca="1">IF(ISERROR(F388),"",IF(ISTEXT(P401),IF(P401="A","Ab",IF(P401="D","Dt",IF(P401="UFM","UFM",IF(P401="NA","")))),IF(AND(ISBLANK(P401),ISBLANK(R401)),"",IF(P401&lt;0.3*S401,"F",IF(ISBLANK(R401),"",IF(ISTEXT(R401),R401,IF(R401&gt;=0.9*U401,"O",IF(R401&gt;=0.85*U401,"A+",IF(R401&gt;=0.8*U401,"A",IF(R401&gt;=0.7*U401,"B+",IF(R401&gt;=0.6*U401,"B",IF(R401&gt;=0.5*U401,"C",IF(R401&gt;=0.4*U401,"P",IF(R401&lt;0.4*U401,"F",R401))))))))))))))</f>
        <v>#N/A</v>
      </c>
      <c r="N401" s="8" t="e">
        <f t="shared" ca="1" si="40"/>
        <v>#N/A</v>
      </c>
      <c r="O401">
        <f t="shared" si="41"/>
        <v>9</v>
      </c>
      <c r="P401" s="1" t="e">
        <f ca="1">IF(ISERROR(F388),"",IF(ISTEXT(VLOOKUP(B388,INDIRECT($F$8),6+(O401-1)*3)),(VLOOKUP(B388,INDIRECT($F$8),6+(O401-1)*3)),SUM(VLOOKUP(B388,INDIRECT($F$8),6+(O401-1)*3),IF(W403,W401,0))))</f>
        <v>#N/A</v>
      </c>
      <c r="Q401" s="1">
        <f ca="1">IF(ISERROR(F388),"",VLOOKUP(B388,INDIRECT($F$8),7+(O401-1)*3))</f>
        <v>17</v>
      </c>
      <c r="R401" s="1" t="e">
        <f ca="1">IF(ISERROR(F388),"",SUM(P401:Q401))</f>
        <v>#N/A</v>
      </c>
      <c r="S401" s="1">
        <f ca="1">IF(ISERROR(F388),"",VLOOKUP(A388,INDIRECT($F$8),6+(O401-1)*3))</f>
        <v>30</v>
      </c>
      <c r="T401" s="1">
        <f ca="1">IF(ISERROR(F388),"",VLOOKUP(A388,INDIRECT($F$8),7+(O401-1)*3))</f>
        <v>20</v>
      </c>
      <c r="U401" s="1">
        <f ca="1">IF(ISERROR(F388),"",VLOOKUP(A388,INDIRECT($F$8),8+(O401-1)*3))</f>
        <v>50</v>
      </c>
      <c r="V401" s="1" t="e">
        <f ca="1">IF(ISERROR(F388),"",IF(N401=0,A401,""))</f>
        <v>#N/A</v>
      </c>
      <c r="W401" s="1">
        <f ca="1">IF(ISERROR(F388),"",IF(ISTEXT(VLOOKUP(B388,INDIRECT($F$8),6+(O401-1)*3)),11,IF(VLOOKUP(B388,INDIRECT($F$8),6+(O401-1)*3)&lt;S401*0.3,IF(VLOOKUP(B388,INDIRECT($F$8),8+(O401-1)*3)&lt;U401*0.4,IF(AND(0.4*U401-VLOOKUP(B388,INDIRECT($F$8),8+(O401-1)*3)&lt;=5,0.3*S401-VLOOKUP(B388,INDIRECT($F$8),6+(O401-1)*3)&lt;=5),MAX(0.4*U401-VLOOKUP(B388,INDIRECT($F$8),8+(O401-1)*3),0.3*S401-VLOOKUP(B388,INDIRECT($F$8),6+(O401-1)*3)),11),IF(0.3*S401-VLOOKUP(B388,INDIRECT($F$8),6+(O401-1)*3)&lt;=5,0.3*S401-VLOOKUP(B388,INDIRECT($F$8),6+(O401-1)*3),11)),IF(VLOOKUP(B388,INDIRECT($F$8),8+(O401-1)*3)&lt;U401*0.4,IF(U401*0.4-VLOOKUP(B388,INDIRECT($F$8),8+(O401-1)*3)&lt;=5,U401*0.4-VLOOKUP(B388,INDIRECT($F$8),8+(O401-1)*3),11),0))))</f>
        <v>0</v>
      </c>
      <c r="X401" s="1" t="str">
        <f ca="1">IF(ISERROR(F388),"",IF(W401=0,"",_xlfn.TEXTJOIN("",FALSE," G+",W401," in ",A401)))</f>
        <v/>
      </c>
    </row>
    <row r="402" spans="1:24" ht="13" customHeight="1" x14ac:dyDescent="0.2">
      <c r="A402" s="7" t="str">
        <f ca="1">IF(ISERROR(F388),"",VLOOKUP(C388,INDIRECT($F$8),6+(O402-1)*3,0))</f>
        <v>CAP 007</v>
      </c>
      <c r="B402" s="41" t="str">
        <f ca="1">IF(ISERROR(F388),"",VLOOKUP(D388,INDIRECT($F$8),6+(O402-1)*3,0))</f>
        <v>Artificial Intelligence Lab</v>
      </c>
      <c r="C402" s="41"/>
      <c r="D402" s="41"/>
      <c r="E402" s="41"/>
      <c r="F402" s="7">
        <f ca="1">IF(ISERROR(F388),"",VLOOKUP(E388,INDIRECT($F$8),6+(O402-1)*3,0))</f>
        <v>1</v>
      </c>
      <c r="G402" s="42" t="e">
        <f ca="1">IF(ISERROR(F388),"",_xlfn.TEXTJOIN("/",FALSE,P402,S402))</f>
        <v>#N/A</v>
      </c>
      <c r="H402" s="42"/>
      <c r="I402" s="42" t="str">
        <f ca="1">IF(ISERROR(F388),"",_xlfn.TEXTJOIN("/",FALSE,Q402,T402))</f>
        <v>18/20</v>
      </c>
      <c r="J402" s="42"/>
      <c r="K402" s="42" t="e">
        <f ca="1">IF(ISERROR(F388),"",_xlfn.TEXTJOIN("/",FALSE,R402,U402))</f>
        <v>#N/A</v>
      </c>
      <c r="L402" s="42"/>
      <c r="M402" s="7" t="e">
        <f ca="1">IF(ISERROR(F388),"",IF(ISTEXT(P402),IF(P402="A","Ab",IF(P402="D","Dt",IF(P402="UFM","UFM",IF(P402="NA","")))),IF(AND(ISBLANK(P402),ISBLANK(R402)),"",IF(P402&lt;0.3*S402,"F",IF(ISBLANK(R402),"",IF(ISTEXT(R402),R402,IF(R402&gt;=0.9*U402,"O",IF(R402&gt;=0.85*U402,"A+",IF(R402&gt;=0.8*U402,"A",IF(R402&gt;=0.7*U402,"B+",IF(R402&gt;=0.6*U402,"B",IF(R402&gt;=0.5*U402,"C",IF(R402&gt;=0.4*U402,"P",IF(R402&lt;0.4*U402,"F",R402))))))))))))))</f>
        <v>#N/A</v>
      </c>
      <c r="N402" s="8" t="e">
        <f t="shared" ca="1" si="40"/>
        <v>#N/A</v>
      </c>
      <c r="O402">
        <f t="shared" si="41"/>
        <v>10</v>
      </c>
      <c r="P402" s="1" t="e">
        <f ca="1">IF(ISERROR(F388),"",IF(ISTEXT(VLOOKUP(B388,INDIRECT($F$8),6+(O402-1)*3)),(VLOOKUP(B388,INDIRECT($F$8),6+(O402-1)*3)),SUM(VLOOKUP(B388,INDIRECT($F$8),6+(O402-1)*3),IF(W403,W402,0))))</f>
        <v>#N/A</v>
      </c>
      <c r="Q402" s="1">
        <f ca="1">IF(ISERROR(F388),"",VLOOKUP(B388,INDIRECT($F$8),7+(O402-1)*3))</f>
        <v>18</v>
      </c>
      <c r="R402" s="1" t="e">
        <f ca="1">IF(ISERROR(F388),"",SUM(P402:Q402))</f>
        <v>#N/A</v>
      </c>
      <c r="S402" s="1">
        <f ca="1">IF(ISERROR(F388),"",VLOOKUP(A388,INDIRECT($F$8),6+(O402-1)*3))</f>
        <v>30</v>
      </c>
      <c r="T402" s="1">
        <f ca="1">IF(ISERROR(F388),"",VLOOKUP(A388,INDIRECT($F$8),7+(O402-1)*3))</f>
        <v>20</v>
      </c>
      <c r="U402" s="1">
        <f ca="1">IF(ISERROR(F388),"",VLOOKUP(A388,INDIRECT($F$8),8+(O402-1)*3))</f>
        <v>50</v>
      </c>
      <c r="V402" s="1" t="e">
        <f ca="1">IF(ISERROR(F388),"",IF(N402=0,A402,""))</f>
        <v>#N/A</v>
      </c>
      <c r="W402" s="1">
        <f ca="1">IF(ISERROR(F388),"",IF(ISTEXT(VLOOKUP(B388,INDIRECT($F$8),6+(O402-1)*3)),11,IF(VLOOKUP(B388,INDIRECT($F$8),6+(O402-1)*3)&lt;S402*0.3,IF(VLOOKUP(B388,INDIRECT($F$8),8+(O402-1)*3)&lt;U402*0.4,IF(AND(0.4*U402-VLOOKUP(B388,INDIRECT($F$8),8+(O402-1)*3)&lt;=5,0.3*S402-VLOOKUP(B388,INDIRECT($F$8),6+(O402-1)*3)&lt;=5),MAX(0.4*U402-VLOOKUP(B388,INDIRECT($F$8),8+(O402-1)*3),0.3*S402-VLOOKUP(B388,INDIRECT($F$8),6+(O402-1)*3)),11),IF(0.3*S402-VLOOKUP(B388,INDIRECT($F$8),6+(O402-1)*3)&lt;=5,0.3*S402-VLOOKUP(B388,INDIRECT($F$8),6+(O402-1)*3),11)),IF(VLOOKUP(B388,INDIRECT($F$8),8+(O402-1)*3)&lt;U402*0.4,IF(U402*0.4-VLOOKUP(B388,INDIRECT($F$8),8+(O402-1)*3)&lt;=5,U402*0.4-VLOOKUP(B388,INDIRECT($F$8),8+(O402-1)*3),11),0))))</f>
        <v>0</v>
      </c>
      <c r="X402" s="1" t="str">
        <f ca="1">IF(ISERROR(F388),"",IF(W402=0,"",_xlfn.TEXTJOIN("",FALSE," G+",W402," in ",A402)))</f>
        <v/>
      </c>
    </row>
    <row r="403" spans="1:24" ht="13" customHeight="1" x14ac:dyDescent="0.2">
      <c r="A403" s="43" t="str">
        <f ca="1">IF(ISERROR(F388),"",A384)</f>
        <v>Total Credits/ Marks/ Total Grade Points</v>
      </c>
      <c r="B403" s="43"/>
      <c r="C403" s="43"/>
      <c r="D403" s="43"/>
      <c r="E403" s="43"/>
      <c r="F403" s="10">
        <f ca="1">IF(ISERROR(F388),"",SUM(F393:F402))</f>
        <v>24</v>
      </c>
      <c r="G403" s="44" t="e">
        <f ca="1">IF(ISERROR(F388),"",_xlfn.TEXTJOIN("/",TRUE,SUMIF(F393:F402,"&gt;0",P393:P402),SUMIF(F393:F402,"&gt;0",S393:S402)))</f>
        <v>#N/A</v>
      </c>
      <c r="H403" s="44"/>
      <c r="I403" s="44" t="str">
        <f ca="1">IF(ISERROR(F388),"",_xlfn.TEXTJOIN("/",TRUE,SUMIF(F393:F402,"&gt;0",Q393:Q402),SUMIF(F393:F402,"&gt;0",T393:T402)))</f>
        <v>279/330</v>
      </c>
      <c r="J403" s="44"/>
      <c r="K403" s="44" t="e">
        <f ca="1">IF(ISERROR(F388),"",_xlfn.TEXTJOIN("/",TRUE,SUMIF(F393:F402,"&gt;0",R393:R402),SUMIF(F393:F402,"&gt;0",U393:U402)))</f>
        <v>#N/A</v>
      </c>
      <c r="L403" s="44"/>
      <c r="M403" s="43" t="e">
        <f ca="1">IF(ISERROR(F388),"",SUMPRODUCT(N393:N402,F393:F402))</f>
        <v>#N/A</v>
      </c>
      <c r="N403" s="43"/>
      <c r="V403" s="1" t="e">
        <f ca="1">IF(ISERROR(F388),"",_xlfn.TEXTJOIN(", ",TRUE,V393:V402))</f>
        <v>#N/A</v>
      </c>
      <c r="W403" t="e">
        <f ca="1">IF(ISERROR(F388),"",IF(SUM(W393:W402)&lt;=W392,TRUE,FALSE))</f>
        <v>#N/A</v>
      </c>
      <c r="X403" s="1" t="str">
        <f ca="1">IF(ISERROR(F388),"",_xlfn.TEXTJOIN(",",TRUE,X393:X402))</f>
        <v/>
      </c>
    </row>
    <row r="404" spans="1:24" ht="13" customHeight="1" x14ac:dyDescent="0.2">
      <c r="A404" s="43" t="str">
        <f ca="1">IF(ISERROR(F388),"",A385)</f>
        <v>Result:</v>
      </c>
      <c r="B404" s="45" t="e">
        <f ca="1">IF(ISERROR(F388),"",IF(V403="","PASS","CARRY OVER"))</f>
        <v>#N/A</v>
      </c>
      <c r="C404" s="45"/>
      <c r="D404" s="43" t="str">
        <f ca="1">IF(ISERROR(F388),"",D385)</f>
        <v>Remark:</v>
      </c>
      <c r="E404" s="45" t="e">
        <f ca="1">IF(ISERROR(F388),"",IF(V403="",IF(X403="","",X403),_xlfn.TEXTJOIN(" ",TRUE,"BACK IN",V403)))</f>
        <v>#N/A</v>
      </c>
      <c r="F404" s="45"/>
      <c r="G404" s="43" t="str">
        <f ca="1">IF(ISERROR(F388),"",G385)</f>
        <v>SGPA:</v>
      </c>
      <c r="H404" s="46" t="e">
        <f ca="1">IF(ISERROR(F388),"",M403/F403)</f>
        <v>#N/A</v>
      </c>
      <c r="I404" s="43" t="str">
        <f ca="1">IF(ISERROR(F388),"",I385)</f>
        <v>CGPA:</v>
      </c>
      <c r="J404" s="46" t="e">
        <f ca="1">IF(ISERROR(F388),"",VLOOKUP(B388,INDIRECT($F$8),12+(O402-1)*3,0))</f>
        <v>#N/A</v>
      </c>
      <c r="K404" s="45" t="str">
        <f ca="1">IF(ISERROR(F388),"",K385)</f>
        <v>Earned Credits:</v>
      </c>
      <c r="L404" s="43">
        <f ca="1">IF(ISERROR(F388),"",SUMIF(N393:N402,"&gt;0",F393:F402))</f>
        <v>0</v>
      </c>
      <c r="M404" s="45" t="str">
        <f ca="1">IF(ISERROR(F388),"",M385)</f>
        <v>Cuml. Earned Credits:</v>
      </c>
      <c r="N404" s="43" t="e">
        <f ca="1">IF(ISERROR(F388),"",VLOOKUP(B388,INDIRECT($F$8),10+(O402-1)*3,0))</f>
        <v>#N/A</v>
      </c>
    </row>
    <row r="405" spans="1:24" ht="13" customHeight="1" x14ac:dyDescent="0.2">
      <c r="A405" s="43"/>
      <c r="B405" s="45"/>
      <c r="C405" s="45"/>
      <c r="D405" s="43"/>
      <c r="E405" s="45"/>
      <c r="F405" s="45"/>
      <c r="G405" s="43"/>
      <c r="H405" s="46"/>
      <c r="I405" s="43"/>
      <c r="J405" s="46"/>
      <c r="K405" s="45"/>
      <c r="L405" s="43"/>
      <c r="M405" s="45"/>
      <c r="N405" s="43"/>
    </row>
    <row r="406" spans="1:24" ht="15" x14ac:dyDescent="0.2">
      <c r="A406" s="43"/>
      <c r="B406" s="45"/>
      <c r="C406" s="45"/>
      <c r="D406" s="43"/>
      <c r="E406" s="45"/>
      <c r="F406" s="45"/>
      <c r="G406" s="43"/>
      <c r="H406" s="46"/>
      <c r="I406" s="43"/>
      <c r="J406" s="46"/>
      <c r="K406" s="45"/>
      <c r="L406" s="43"/>
      <c r="M406" s="45"/>
      <c r="N406" s="43"/>
    </row>
    <row r="407" spans="1:24" ht="13" customHeight="1" x14ac:dyDescent="0.2">
      <c r="A407" s="11" t="str">
        <f>A388</f>
        <v>MM</v>
      </c>
      <c r="B407" s="11">
        <f>B388+1</f>
        <v>22</v>
      </c>
      <c r="C407" s="11" t="str">
        <f>C388</f>
        <v>SC</v>
      </c>
      <c r="D407" s="11" t="str">
        <f>D388</f>
        <v>SN</v>
      </c>
      <c r="E407" s="11" t="str">
        <f>E388</f>
        <v>C</v>
      </c>
      <c r="F407" s="11" t="str">
        <f ca="1">VLOOKUP(B407,INDIRECT($F$8),4,0)</f>
        <v>SHIVANI BHATT</v>
      </c>
    </row>
    <row r="408" spans="1:24" ht="13" customHeight="1" x14ac:dyDescent="0.2">
      <c r="A408" s="47" t="str">
        <f ca="1">IF(ISERROR(F407),"",A389)</f>
        <v>Name:</v>
      </c>
      <c r="B408" s="47" t="str">
        <f ca="1">IFERROR(VLOOKUP(B407,INDIRECT($F$8),4,0),"")</f>
        <v>SHIVANI BHATT</v>
      </c>
      <c r="C408" s="47"/>
      <c r="D408" s="47" t="str">
        <f ca="1">IF(ISERROR(F407),"",D389)</f>
        <v>Father's Name:</v>
      </c>
      <c r="E408" s="47" t="str">
        <f ca="1">IFERROR(VLOOKUP(B407,INDIRECT($F$8),5,0),"")</f>
        <v>RAVINDRA BHATT</v>
      </c>
      <c r="F408" s="47"/>
      <c r="G408" s="47" t="str">
        <f ca="1">IF(ISERROR(F407),"",G389)</f>
        <v>University Roll No:</v>
      </c>
      <c r="H408" s="47"/>
      <c r="I408" s="48">
        <f ca="1">IFERROR(VLOOKUP(B407,INDIRECT($F$8),2,0),"")</f>
        <v>240090600022</v>
      </c>
      <c r="J408" s="48"/>
      <c r="K408" s="47" t="str">
        <f ca="1">IF(ISERROR(F407),"",K389)</f>
        <v>University Enrol. No:</v>
      </c>
      <c r="L408" s="47"/>
      <c r="M408" s="48" t="str">
        <f ca="1">IFERROR(VLOOKUP(B407,INDIRECT($F$8),3,0),"")</f>
        <v>UTU/2406100168</v>
      </c>
      <c r="N408" s="48"/>
    </row>
    <row r="409" spans="1:24" ht="15" x14ac:dyDescent="0.2">
      <c r="A409" s="47"/>
      <c r="B409" s="47"/>
      <c r="C409" s="47"/>
      <c r="D409" s="47"/>
      <c r="E409" s="47"/>
      <c r="F409" s="47"/>
      <c r="G409" s="47"/>
      <c r="H409" s="47"/>
      <c r="I409" s="48"/>
      <c r="J409" s="48"/>
      <c r="K409" s="47"/>
      <c r="L409" s="47"/>
      <c r="M409" s="48"/>
      <c r="N409" s="48"/>
    </row>
    <row r="410" spans="1:24" ht="13" customHeight="1" x14ac:dyDescent="0.2">
      <c r="A410" s="45" t="str">
        <f ca="1">IF(ISERROR(F407),"",A391)</f>
        <v>Subject Code</v>
      </c>
      <c r="B410" s="45" t="str">
        <f ca="1">IF(ISERROR(F407),"",B391)</f>
        <v>Subject Name</v>
      </c>
      <c r="C410" s="45"/>
      <c r="D410" s="45"/>
      <c r="E410" s="45"/>
      <c r="F410" s="45" t="str">
        <f ca="1">IF(ISERROR(F407),"",F391)</f>
        <v>Credits</v>
      </c>
      <c r="G410" s="45" t="str">
        <f ca="1">IF(ISERROR(F407),"",G391)</f>
        <v>External Marks</v>
      </c>
      <c r="H410" s="45"/>
      <c r="I410" s="45" t="str">
        <f ca="1">IF(ISERROR(F407),"",I391)</f>
        <v>Sessional Marks</v>
      </c>
      <c r="J410" s="45"/>
      <c r="K410" s="45" t="str">
        <f ca="1">IF(ISERROR(F407),"",K391)</f>
        <v>Total Marks</v>
      </c>
      <c r="L410" s="45"/>
      <c r="M410" s="45" t="str">
        <f ca="1">IF(ISERROR(F407),"",M391)</f>
        <v>Grade</v>
      </c>
      <c r="N410" s="45" t="str">
        <f ca="1">IF(ISERROR(F407),"",N391)</f>
        <v>Grade Points</v>
      </c>
    </row>
    <row r="411" spans="1:24" ht="15" x14ac:dyDescent="0.2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W411" t="e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#N/A</v>
      </c>
    </row>
    <row r="412" spans="1:24" ht="13" customHeight="1" x14ac:dyDescent="0.2">
      <c r="A412" s="7" t="str">
        <f ca="1">IF(ISERROR(F407),"",VLOOKUP(C407,INDIRECT($F$8),6+(O412-1)*3,0))</f>
        <v>CAT 009</v>
      </c>
      <c r="B412" s="41" t="str">
        <f ca="1">IF(ISERROR(F407),"",VLOOKUP(D407,INDIRECT($F$8),6+(O412-1)*3,0))</f>
        <v>Computer Based Numerical and Statistical Techniques</v>
      </c>
      <c r="C412" s="41"/>
      <c r="D412" s="41"/>
      <c r="E412" s="41"/>
      <c r="F412" s="7">
        <f ca="1">IF(ISERROR(F407),"",VLOOKUP(E407,INDIRECT($F$8),6+(O412-1)*3,0))</f>
        <v>4</v>
      </c>
      <c r="G412" s="42" t="e">
        <f ca="1">IF(ISERROR(F407),"",_xlfn.TEXTJOIN("/",FALSE,P412,S412))</f>
        <v>#N/A</v>
      </c>
      <c r="H412" s="42"/>
      <c r="I412" s="42" t="str">
        <f ca="1">IF(ISERROR(F407),"",_xlfn.TEXTJOIN("/",FALSE,Q412,T412))</f>
        <v>42/50</v>
      </c>
      <c r="J412" s="42"/>
      <c r="K412" s="42" t="e">
        <f ca="1">IF(ISERROR(F407),"",_xlfn.TEXTJOIN("/",FALSE,R412,U412))</f>
        <v>#N/A</v>
      </c>
      <c r="L412" s="42"/>
      <c r="M412" s="7" t="e">
        <f ca="1">IF(ISERROR(F407),"",IF(ISTEXT(P412),IF(P412="A","Ab",IF(P412="D","Dt",IF(P412="UFM","UFM",IF(P412="NA","")))),IF(AND(ISBLANK(P412),ISBLANK(R412)),"",IF(P412&lt;0.3*S412,"F",IF(ISBLANK(R412),"",IF(ISTEXT(R412),R412,IF(R412&gt;=0.9*U412,"O",IF(R412&gt;=0.85*U412,"A+",IF(R412&gt;=0.8*U412,"A",IF(R412&gt;=0.7*U412,"B+",IF(R412&gt;=0.6*U412,"B",IF(R412&gt;=0.5*U412,"C",IF(R412&gt;=0.4*U412,"P",IF(R412&lt;0.4*U412,"F",R412))))))))))))))</f>
        <v>#N/A</v>
      </c>
      <c r="N412" s="8" t="e">
        <f t="shared" ref="N412:N421" ca="1" si="42">INDEX($Z$2:$Z$13,MATCH(M412,$Y$2:$Y$13,0))</f>
        <v>#N/A</v>
      </c>
      <c r="O412">
        <v>1</v>
      </c>
      <c r="P412" s="1" t="e">
        <f ca="1">IF(ISERROR(F407),"",IF(ISTEXT(VLOOKUP(B407,INDIRECT($F$8),6+(O412-1)*3)),(VLOOKUP(B407,INDIRECT($F$8),6+(O412-1)*3)),SUM(VLOOKUP(B407,INDIRECT($F$8),6+(O412-1)*3),IF(W422,W412,0))))</f>
        <v>#N/A</v>
      </c>
      <c r="Q412" s="1">
        <f ca="1">IF(ISERROR(F407),"",VLOOKUP(B407,INDIRECT($F$8),7+(O412-1)*3))</f>
        <v>42</v>
      </c>
      <c r="R412" s="1" t="e">
        <f ca="1">IF(ISERROR(F407),"",SUM(P412:Q412))</f>
        <v>#N/A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e">
        <f ca="1">IF(ISERROR(F407),"",IF(N412=0,A412,""))</f>
        <v>#N/A</v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0</v>
      </c>
      <c r="X412" s="1" t="str">
        <f ca="1">IF(ISERROR(F407),"",IF(W412=0,"",_xlfn.TEXTJOIN("",FALSE," G+",W412," in ",A412)))</f>
        <v/>
      </c>
    </row>
    <row r="413" spans="1:24" ht="13" customHeight="1" x14ac:dyDescent="0.2">
      <c r="A413" s="7" t="str">
        <f ca="1">IF(ISERROR(F407),"",VLOOKUP(C407,INDIRECT($F$8),6+(O413-1)*3,0))</f>
        <v>CAT 010</v>
      </c>
      <c r="B413" s="41" t="str">
        <f ca="1">IF(ISERROR(F407),"",VLOOKUP(D407,INDIRECT($F$8),6+(O413-1)*3,0))</f>
        <v>Data Structures and Analysis of Algorithms</v>
      </c>
      <c r="C413" s="41"/>
      <c r="D413" s="41"/>
      <c r="E413" s="41"/>
      <c r="F413" s="7">
        <f ca="1">IF(ISERROR(F407),"",VLOOKUP(E407,INDIRECT($F$8),6+(O413-1)*3,0))</f>
        <v>4</v>
      </c>
      <c r="G413" s="42" t="e">
        <f ca="1">IF(ISERROR(F407),"",_xlfn.TEXTJOIN("/",FALSE,P413,S413))</f>
        <v>#N/A</v>
      </c>
      <c r="H413" s="42"/>
      <c r="I413" s="42" t="str">
        <f ca="1">IF(ISERROR(F407),"",_xlfn.TEXTJOIN("/",FALSE,Q413,T413))</f>
        <v>40/50</v>
      </c>
      <c r="J413" s="42"/>
      <c r="K413" s="42" t="e">
        <f ca="1">IF(ISERROR(F407),"",_xlfn.TEXTJOIN("/",FALSE,R413,U413))</f>
        <v>#N/A</v>
      </c>
      <c r="L413" s="42"/>
      <c r="M413" s="7" t="e">
        <f ca="1">IF(ISERROR(F407),"",IF(ISTEXT(P413),IF(P413="A","Ab",IF(P413="D","Dt",IF(P413="UFM","UFM",IF(P413="NA","")))),IF(AND(ISBLANK(P413),ISBLANK(R413)),"",IF(P413&lt;0.3*S413,"F",IF(ISBLANK(R413),"",IF(ISTEXT(R413),R413,IF(R413&gt;=0.9*U413,"O",IF(R413&gt;=0.85*U413,"A+",IF(R413&gt;=0.8*U413,"A",IF(R413&gt;=0.7*U413,"B+",IF(R413&gt;=0.6*U413,"B",IF(R413&gt;=0.5*U413,"C",IF(R413&gt;=0.4*U413,"P",IF(R413&lt;0.4*U413,"F",R413))))))))))))))</f>
        <v>#N/A</v>
      </c>
      <c r="N413" s="8" t="e">
        <f t="shared" ca="1" si="42"/>
        <v>#N/A</v>
      </c>
      <c r="O413">
        <f>O412+1</f>
        <v>2</v>
      </c>
      <c r="P413" s="1" t="e">
        <f ca="1">IF(ISERROR(F407),"",IF(ISTEXT(VLOOKUP(B407,INDIRECT($F$8),6+(O413-1)*3)),(VLOOKUP(B407,INDIRECT($F$8),6+(O413-1)*3)),SUM(VLOOKUP(B407,INDIRECT($F$8),6+(O413-1)*3),IF(W422,W413,0))))</f>
        <v>#N/A</v>
      </c>
      <c r="Q413" s="1">
        <f ca="1">IF(ISERROR(F407),"",VLOOKUP(B407,INDIRECT($F$8),7+(O413-1)*3))</f>
        <v>40</v>
      </c>
      <c r="R413" s="1" t="e">
        <f ca="1">IF(ISERROR(F407),"",SUM(P413:Q413))</f>
        <v>#N/A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e">
        <f ca="1">IF(ISERROR(F407),"",IF(N413=0,A413,""))</f>
        <v>#N/A</v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3" customHeight="1" x14ac:dyDescent="0.2">
      <c r="A414" s="7" t="str">
        <f ca="1">IF(ISERROR(F407),"",VLOOKUP(C407,INDIRECT($F$8),6+(O414-1)*3,0))</f>
        <v>CAT 011</v>
      </c>
      <c r="B414" s="41" t="str">
        <f ca="1">IF(ISERROR(F407),"",VLOOKUP(D407,INDIRECT($F$8),6+(O414-1)*3,0))</f>
        <v>Object Oriented Programming with JAVA</v>
      </c>
      <c r="C414" s="41"/>
      <c r="D414" s="41"/>
      <c r="E414" s="41"/>
      <c r="F414" s="7">
        <f ca="1">IF(ISERROR(F407),"",VLOOKUP(E407,INDIRECT($F$8),6+(O414-1)*3,0))</f>
        <v>4</v>
      </c>
      <c r="G414" s="42" t="e">
        <f ca="1">IF(ISERROR(F407),"",_xlfn.TEXTJOIN("/",FALSE,P414,S414))</f>
        <v>#N/A</v>
      </c>
      <c r="H414" s="42"/>
      <c r="I414" s="42" t="str">
        <f ca="1">IF(ISERROR(F407),"",_xlfn.TEXTJOIN("/",FALSE,Q414,T414))</f>
        <v>45/50</v>
      </c>
      <c r="J414" s="42"/>
      <c r="K414" s="42" t="e">
        <f ca="1">IF(ISERROR(F407),"",_xlfn.TEXTJOIN("/",FALSE,R414,U414))</f>
        <v>#N/A</v>
      </c>
      <c r="L414" s="42"/>
      <c r="M414" s="7" t="e">
        <f ca="1">IF(ISERROR(F407),"",IF(ISTEXT(P414),IF(P414="A","Ab",IF(P414="D","Dt",IF(P414="UFM","UFM",IF(P414="NA","")))),IF(AND(ISBLANK(P414),ISBLANK(R414)),"",IF(P414&lt;0.3*S414,"F",IF(ISBLANK(R414),"",IF(ISTEXT(R414),R414,IF(R414&gt;=0.9*U414,"O",IF(R414&gt;=0.85*U414,"A+",IF(R414&gt;=0.8*U414,"A",IF(R414&gt;=0.7*U414,"B+",IF(R414&gt;=0.6*U414,"B",IF(R414&gt;=0.5*U414,"C",IF(R414&gt;=0.4*U414,"P",IF(R414&lt;0.4*U414,"F",R414))))))))))))))</f>
        <v>#N/A</v>
      </c>
      <c r="N414" s="8" t="e">
        <f t="shared" ca="1" si="42"/>
        <v>#N/A</v>
      </c>
      <c r="O414">
        <f>O413+1</f>
        <v>3</v>
      </c>
      <c r="P414" s="1" t="e">
        <f ca="1">IF(ISERROR(F407),"",IF(ISTEXT(VLOOKUP(B407,INDIRECT($F$8),6+(O414-1)*3)),(VLOOKUP(B407,INDIRECT($F$8),6+(O414-1)*3)),SUM(VLOOKUP(B407,INDIRECT($F$8),6+(O414-1)*3),IF(W422,W414,0))))</f>
        <v>#N/A</v>
      </c>
      <c r="Q414" s="1">
        <f ca="1">IF(ISERROR(F407),"",VLOOKUP(B407,INDIRECT($F$8),7+(O414-1)*3))</f>
        <v>45</v>
      </c>
      <c r="R414" s="1" t="e">
        <f ca="1">IF(ISERROR(F407),"",SUM(P414:Q414))</f>
        <v>#N/A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e">
        <f ca="1">IF(ISERROR(F407),"",IF(N414=0,A414,""))</f>
        <v>#N/A</v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3" customHeight="1" x14ac:dyDescent="0.2">
      <c r="A415" s="7" t="str">
        <f ca="1">IF(ISERROR(F407),"",VLOOKUP(C407,INDIRECT($F$8),6+(O415-1)*3,0))</f>
        <v>CAT 012</v>
      </c>
      <c r="B415" s="41" t="str">
        <f ca="1">IF(ISERROR(F407),"",VLOOKUP(D407,INDIRECT($F$8),6+(O415-1)*3,0))</f>
        <v>Computer Networks</v>
      </c>
      <c r="C415" s="41"/>
      <c r="D415" s="41"/>
      <c r="E415" s="41"/>
      <c r="F415" s="7">
        <f ca="1">IF(ISERROR(F407),"",VLOOKUP(E407,INDIRECT($F$8),6+(O415-1)*3,0))</f>
        <v>4</v>
      </c>
      <c r="G415" s="42" t="e">
        <f ca="1">IF(ISERROR(F407),"",_xlfn.TEXTJOIN("/",FALSE,P415,S415))</f>
        <v>#N/A</v>
      </c>
      <c r="H415" s="42"/>
      <c r="I415" s="42" t="str">
        <f ca="1">IF(ISERROR(F407),"",_xlfn.TEXTJOIN("/",FALSE,Q415,T415))</f>
        <v>41/50</v>
      </c>
      <c r="J415" s="42"/>
      <c r="K415" s="42" t="e">
        <f ca="1">IF(ISERROR(F407),"",_xlfn.TEXTJOIN("/",FALSE,R415,U415))</f>
        <v>#N/A</v>
      </c>
      <c r="L415" s="42"/>
      <c r="M415" s="7" t="e">
        <f ca="1">IF(ISERROR(F407),"",IF(ISTEXT(P415),IF(P415="A","Ab",IF(P415="D","Dt",IF(P415="UFM","UFM",IF(P415="NA","")))),IF(AND(ISBLANK(P415),ISBLANK(R415)),"",IF(P415&lt;0.3*S415,"F",IF(ISBLANK(R415),"",IF(ISTEXT(R415),R415,IF(R415&gt;=0.9*U415,"O",IF(R415&gt;=0.85*U415,"A+",IF(R415&gt;=0.8*U415,"A",IF(R415&gt;=0.7*U415,"B+",IF(R415&gt;=0.6*U415,"B",IF(R415&gt;=0.5*U415,"C",IF(R415&gt;=0.4*U415,"P",IF(R415&lt;0.4*U415,"F",R415))))))))))))))</f>
        <v>#N/A</v>
      </c>
      <c r="N415" s="8" t="e">
        <f t="shared" ca="1" si="42"/>
        <v>#N/A</v>
      </c>
      <c r="O415">
        <f t="shared" ref="O415:O421" si="43">O414+1</f>
        <v>4</v>
      </c>
      <c r="P415" s="1" t="e">
        <f ca="1">IF(ISERROR(F407),"",IF(ISTEXT(VLOOKUP(B407,INDIRECT($F$8),6+(O415-1)*3)),(VLOOKUP(B407,INDIRECT($F$8),6+(O415-1)*3)),SUM(VLOOKUP(B407,INDIRECT($F$8),6+(O415-1)*3),IF(W422,W415,0))))</f>
        <v>#N/A</v>
      </c>
      <c r="Q415" s="1">
        <f ca="1">IF(ISERROR(F407),"",VLOOKUP(B407,INDIRECT($F$8),7+(O415-1)*3))</f>
        <v>41</v>
      </c>
      <c r="R415" s="1" t="e">
        <f ca="1">IF(ISERROR(F407),"",SUM(P415:Q415))</f>
        <v>#N/A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e">
        <f ca="1">IF(ISERROR(F407),"",IF(N415=0,A415,""))</f>
        <v>#N/A</v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3" customHeight="1" x14ac:dyDescent="0.2">
      <c r="A416" s="7" t="str">
        <f ca="1">IF(ISERROR(F407),"",VLOOKUP(C407,INDIRECT($F$8),6+(O416-1)*3,0))</f>
        <v>CAT 013</v>
      </c>
      <c r="B416" s="41" t="str">
        <f ca="1">IF(ISERROR(F407),"",VLOOKUP(D407,INDIRECT($F$8),6+(O416-1)*3,0))</f>
        <v>Artificial Intelligence</v>
      </c>
      <c r="C416" s="41"/>
      <c r="D416" s="41"/>
      <c r="E416" s="41"/>
      <c r="F416" s="7">
        <f ca="1">IF(ISERROR(F407),"",VLOOKUP(E407,INDIRECT($F$8),6+(O416-1)*3,0))</f>
        <v>4</v>
      </c>
      <c r="G416" s="42" t="e">
        <f ca="1">IF(ISERROR(F407),"",_xlfn.TEXTJOIN("/",FALSE,P416,S416))</f>
        <v>#N/A</v>
      </c>
      <c r="H416" s="42"/>
      <c r="I416" s="42" t="str">
        <f ca="1">IF(ISERROR(F407),"",_xlfn.TEXTJOIN("/",FALSE,Q416,T416))</f>
        <v>45/50</v>
      </c>
      <c r="J416" s="42"/>
      <c r="K416" s="42" t="e">
        <f ca="1">IF(ISERROR(F407),"",_xlfn.TEXTJOIN("/",FALSE,R416,U416))</f>
        <v>#N/A</v>
      </c>
      <c r="L416" s="42"/>
      <c r="M416" s="7" t="e">
        <f ca="1">IF(ISERROR(F407),"",IF(ISTEXT(P416),IF(P416="A","Ab",IF(P416="D","Dt",IF(P416="UFM","UFM",IF(P416="NA","")))),IF(AND(ISBLANK(P416),ISBLANK(R416)),"",IF(P416&lt;0.3*S416,"F",IF(ISBLANK(R416),"",IF(ISTEXT(R416),R416,IF(R416&gt;=0.9*U416,"O",IF(R416&gt;=0.85*U416,"A+",IF(R416&gt;=0.8*U416,"A",IF(R416&gt;=0.7*U416,"B+",IF(R416&gt;=0.6*U416,"B",IF(R416&gt;=0.5*U416,"C",IF(R416&gt;=0.4*U416,"P",IF(R416&lt;0.4*U416,"F",R416))))))))))))))</f>
        <v>#N/A</v>
      </c>
      <c r="N416" s="8" t="e">
        <f t="shared" ca="1" si="42"/>
        <v>#N/A</v>
      </c>
      <c r="O416">
        <f t="shared" si="43"/>
        <v>5</v>
      </c>
      <c r="P416" s="1" t="e">
        <f ca="1">IF(ISERROR(F407),"",IF(ISTEXT(VLOOKUP(B407,INDIRECT($F$8),6+(O416-1)*3)),(VLOOKUP(B407,INDIRECT($F$8),6+(O416-1)*3)),SUM(VLOOKUP(B407,INDIRECT($F$8),6+(O416-1)*3),IF(W422,W416,0))))</f>
        <v>#N/A</v>
      </c>
      <c r="Q416" s="1">
        <f ca="1">IF(ISERROR(F407),"",VLOOKUP(B407,INDIRECT($F$8),7+(O416-1)*3))</f>
        <v>45</v>
      </c>
      <c r="R416" s="1" t="e">
        <f ca="1">IF(ISERROR(F407),"",SUM(P416:Q416))</f>
        <v>#N/A</v>
      </c>
      <c r="S416" s="1">
        <f ca="1">IF(ISERROR(F407),"",VLOOKUP(A407,INDIRECT($F$8),6+(O416-1)*3))</f>
        <v>100</v>
      </c>
      <c r="T416" s="1">
        <f ca="1">IF(ISERROR(F407),"",VLOOKUP(A407,INDIRECT($F$8),7+(O416-1)*3))</f>
        <v>50</v>
      </c>
      <c r="U416" s="1">
        <f ca="1">IF(ISERROR(F407),"",VLOOKUP(A407,INDIRECT($F$8),8+(O416-1)*3))</f>
        <v>150</v>
      </c>
      <c r="V416" s="1" t="e">
        <f ca="1">IF(ISERROR(F407),"",IF(N416=0,A416,""))</f>
        <v>#N/A</v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3" customHeight="1" x14ac:dyDescent="0.2">
      <c r="A417" s="7" t="str">
        <f ca="1">IF(ISERROR(F407),"",VLOOKUP(C407,INDIRECT($F$8),6+(O417-1)*3,0))</f>
        <v>AHT 304</v>
      </c>
      <c r="B417" s="41" t="str">
        <f ca="1">IF(ISERROR(F407),"",VLOOKUP(D407,INDIRECT($F$8),6+(O417-1)*3,0))</f>
        <v>Accounting and Financial Management ($)</v>
      </c>
      <c r="C417" s="41"/>
      <c r="D417" s="41"/>
      <c r="E417" s="41"/>
      <c r="F417" s="7">
        <f ca="1">IF(ISERROR(F407),"",VLOOKUP(E407,INDIRECT($F$8),6+(O417-1)*3,0))</f>
        <v>0</v>
      </c>
      <c r="G417" s="42" t="e">
        <f ca="1">IF(ISERROR(F407),"",_xlfn.TEXTJOIN("/",FALSE,P417,S417))</f>
        <v>#N/A</v>
      </c>
      <c r="H417" s="42"/>
      <c r="I417" s="42" t="str">
        <f ca="1">IF(ISERROR(F407),"",_xlfn.TEXTJOIN("/",FALSE,Q417,T417))</f>
        <v>39/50</v>
      </c>
      <c r="J417" s="42"/>
      <c r="K417" s="42" t="e">
        <f ca="1">IF(ISERROR(F407),"",_xlfn.TEXTJOIN("/",FALSE,R417,U417))</f>
        <v>#N/A</v>
      </c>
      <c r="L417" s="42"/>
      <c r="M417" s="7" t="e">
        <f ca="1">IF(ISERROR(F407),"",IF(ISTEXT(P417),IF(P417="A","Ab",IF(P417="D","Dt",IF(P417="UFM","UFM",IF(P417="NA","")))),IF(AND(ISBLANK(P417),ISBLANK(R417)),"",IF(P417&lt;0.3*S417,"F",IF(ISBLANK(R417),"",IF(ISTEXT(R417),R417,IF(R417&gt;=0.9*U417,"O",IF(R417&gt;=0.85*U417,"A+",IF(R417&gt;=0.8*U417,"A",IF(R417&gt;=0.7*U417,"B+",IF(R417&gt;=0.6*U417,"B",IF(R417&gt;=0.5*U417,"C",IF(R417&gt;=0.4*U417,"P",IF(R417&lt;0.4*U417,"F",R417))))))))))))))</f>
        <v>#N/A</v>
      </c>
      <c r="N417" s="8" t="e">
        <f t="shared" ca="1" si="42"/>
        <v>#N/A</v>
      </c>
      <c r="O417">
        <f t="shared" si="43"/>
        <v>6</v>
      </c>
      <c r="P417" s="1" t="e">
        <f ca="1">IF(ISERROR(F407),"",IF(ISTEXT(VLOOKUP(B407,INDIRECT($F$8),6+(O417-1)*3)),(VLOOKUP(B407,INDIRECT($F$8),6+(O417-1)*3)),SUM(VLOOKUP(B407,INDIRECT($F$8),6+(O417-1)*3),IF(W422,W417,0))))</f>
        <v>#N/A</v>
      </c>
      <c r="Q417" s="1">
        <f ca="1">IF(ISERROR(F407),"",VLOOKUP(B407,INDIRECT($F$8),7+(O417-1)*3))</f>
        <v>39</v>
      </c>
      <c r="R417" s="1" t="e">
        <f ca="1">IF(ISERROR(F407),"",SUM(P417:Q417))</f>
        <v>#N/A</v>
      </c>
      <c r="S417" s="1">
        <f ca="1">IF(ISERROR(F407),"",VLOOKUP(A407,INDIRECT($F$8),6+(O417-1)*3))</f>
        <v>0</v>
      </c>
      <c r="T417" s="1">
        <f ca="1">IF(ISERROR(F407),"",VLOOKUP(A407,INDIRECT($F$8),7+(O417-1)*3))</f>
        <v>50</v>
      </c>
      <c r="U417" s="1">
        <f ca="1">IF(ISERROR(F407),"",VLOOKUP(A407,INDIRECT($F$8),8+(O417-1)*3))</f>
        <v>50</v>
      </c>
      <c r="V417" s="1" t="e">
        <f ca="1">IF(ISERROR(F407),"",IF(N417=0,A417,""))</f>
        <v>#N/A</v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3" customHeight="1" x14ac:dyDescent="0.2">
      <c r="A418" s="7" t="str">
        <f ca="1">IF(ISERROR(F407),"",VLOOKUP(C407,INDIRECT($F$8),6+(O418-1)*3,0))</f>
        <v>CAP 004</v>
      </c>
      <c r="B418" s="41" t="str">
        <f ca="1">IF(ISERROR(F407),"",VLOOKUP(D407,INDIRECT($F$8),6+(O418-1)*3,0))</f>
        <v>Data Structures and Analysis of Algorithms Lab</v>
      </c>
      <c r="C418" s="41"/>
      <c r="D418" s="41"/>
      <c r="E418" s="41"/>
      <c r="F418" s="7">
        <f ca="1">IF(ISERROR(F407),"",VLOOKUP(E407,INDIRECT($F$8),6+(O418-1)*3,0))</f>
        <v>1</v>
      </c>
      <c r="G418" s="42" t="e">
        <f ca="1">IF(ISERROR(F407),"",_xlfn.TEXTJOIN("/",FALSE,P418,S418))</f>
        <v>#N/A</v>
      </c>
      <c r="H418" s="42"/>
      <c r="I418" s="42" t="str">
        <f ca="1">IF(ISERROR(F407),"",_xlfn.TEXTJOIN("/",FALSE,Q418,T418))</f>
        <v>18/20</v>
      </c>
      <c r="J418" s="42"/>
      <c r="K418" s="42" t="e">
        <f ca="1">IF(ISERROR(F407),"",_xlfn.TEXTJOIN("/",FALSE,R418,U418))</f>
        <v>#N/A</v>
      </c>
      <c r="L418" s="42"/>
      <c r="M418" s="7" t="e">
        <f ca="1">IF(ISERROR(F407),"",IF(ISTEXT(P418),IF(P418="A","Ab",IF(P418="D","Dt",IF(P418="UFM","UFM",IF(P418="NA","")))),IF(AND(ISBLANK(P418),ISBLANK(R418)),"",IF(P418&lt;0.3*S418,"F",IF(ISBLANK(R418),"",IF(ISTEXT(R418),R418,IF(R418&gt;=0.9*U418,"O",IF(R418&gt;=0.85*U418,"A+",IF(R418&gt;=0.8*U418,"A",IF(R418&gt;=0.7*U418,"B+",IF(R418&gt;=0.6*U418,"B",IF(R418&gt;=0.5*U418,"C",IF(R418&gt;=0.4*U418,"P",IF(R418&lt;0.4*U418,"F",R418))))))))))))))</f>
        <v>#N/A</v>
      </c>
      <c r="N418" s="8" t="e">
        <f t="shared" ca="1" si="42"/>
        <v>#N/A</v>
      </c>
      <c r="O418">
        <f t="shared" si="43"/>
        <v>7</v>
      </c>
      <c r="P418" s="1" t="e">
        <f ca="1">IF(ISERROR(F407),"",IF(ISTEXT(VLOOKUP(B407,INDIRECT($F$8),6+(O418-1)*3)),(VLOOKUP(B407,INDIRECT($F$8),6+(O418-1)*3)),SUM(VLOOKUP(B407,INDIRECT($F$8),6+(O418-1)*3),IF(W422,W418,0))))</f>
        <v>#N/A</v>
      </c>
      <c r="Q418" s="1">
        <f ca="1">IF(ISERROR(F407),"",VLOOKUP(B407,INDIRECT($F$8),7+(O418-1)*3))</f>
        <v>18</v>
      </c>
      <c r="R418" s="1" t="e">
        <f ca="1">IF(ISERROR(F407),"",SUM(P418:Q418))</f>
        <v>#N/A</v>
      </c>
      <c r="S418" s="1">
        <f ca="1">IF(ISERROR(F407),"",VLOOKUP(A407,INDIRECT($F$8),6+(O418-1)*3))</f>
        <v>30</v>
      </c>
      <c r="T418" s="1">
        <f ca="1">IF(ISERROR(F407),"",VLOOKUP(A407,INDIRECT($F$8),7+(O418-1)*3))</f>
        <v>20</v>
      </c>
      <c r="U418" s="1">
        <f ca="1">IF(ISERROR(F407),"",VLOOKUP(A407,INDIRECT($F$8),8+(O418-1)*3))</f>
        <v>50</v>
      </c>
      <c r="V418" s="1" t="e">
        <f ca="1">IF(ISERROR(F407),"",IF(N418=0,A418,""))</f>
        <v>#N/A</v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3" customHeight="1" x14ac:dyDescent="0.2">
      <c r="A419" s="7" t="str">
        <f ca="1">IF(ISERROR(F407),"",VLOOKUP(C407,INDIRECT($F$8),6+(O419-1)*3,0))</f>
        <v>CAP 005</v>
      </c>
      <c r="B419" s="41" t="str">
        <f ca="1">IF(ISERROR(F407),"",VLOOKUP(D407,INDIRECT($F$8),6+(O419-1)*3-Z419,0))</f>
        <v>Object Oriented Programming with JAVA Lab</v>
      </c>
      <c r="C419" s="41"/>
      <c r="D419" s="41"/>
      <c r="E419" s="41"/>
      <c r="F419" s="7">
        <f ca="1">IF(ISERROR(F407),"",VLOOKUP(E407,INDIRECT($F$8),6+(O419-1)*3,0))</f>
        <v>1</v>
      </c>
      <c r="G419" s="42" t="e">
        <f ca="1">IF(ISERROR(F407),"",_xlfn.TEXTJOIN("/",FALSE,P419,S419))</f>
        <v>#N/A</v>
      </c>
      <c r="H419" s="42"/>
      <c r="I419" s="42" t="str">
        <f ca="1">IF(ISERROR(F407),"",_xlfn.TEXTJOIN("/",FALSE,Q419,T419))</f>
        <v>18/20</v>
      </c>
      <c r="J419" s="42"/>
      <c r="K419" s="42" t="e">
        <f ca="1">IF(ISERROR(F407),"",_xlfn.TEXTJOIN("/",FALSE,R419,U419))</f>
        <v>#N/A</v>
      </c>
      <c r="L419" s="42"/>
      <c r="M419" s="7" t="e">
        <f ca="1">IF(ISERROR(F407),"",IF(ISTEXT(P419),IF(P419="A","Ab",IF(P419="D","Dt",IF(P419="UFM","UFM",IF(P419="NA","")))),IF(AND(ISBLANK(P419),ISBLANK(R419)),"",IF(P419&lt;0.3*S419,"F",IF(ISBLANK(R419),"",IF(ISTEXT(R419),R419,IF(R419&gt;=0.9*U419,"O",IF(R419&gt;=0.85*U419,"A+",IF(R419&gt;=0.8*U419,"A",IF(R419&gt;=0.7*U419,"B+",IF(R419&gt;=0.6*U419,"B",IF(R419&gt;=0.5*U419,"C",IF(R419&gt;=0.4*U419,"P",IF(R419&lt;0.4*U419,"F",R419))))))))))))))</f>
        <v>#N/A</v>
      </c>
      <c r="N419" s="8" t="e">
        <f t="shared" ca="1" si="42"/>
        <v>#N/A</v>
      </c>
      <c r="O419">
        <f t="shared" si="43"/>
        <v>8</v>
      </c>
      <c r="P419" s="1" t="e">
        <f ca="1">IF(ISERROR(F407),"",IF(ISTEXT(VLOOKUP(B407,INDIRECT($F$8),6+(O419-1)*3)),(VLOOKUP(B407,INDIRECT($F$8),6+(O419-1)*3)),SUM(VLOOKUP(B407,INDIRECT($F$8),6+(O419-1)*3),IF(W422,W419,0))))</f>
        <v>#N/A</v>
      </c>
      <c r="Q419" s="1">
        <f ca="1">IF(ISERROR(F407),"",VLOOKUP(B407,INDIRECT($F$8),7+(O419-1)*3))</f>
        <v>18</v>
      </c>
      <c r="R419" s="1" t="e">
        <f ca="1">IF(ISERROR(F407),"",SUM(P419:Q419))</f>
        <v>#N/A</v>
      </c>
      <c r="S419" s="1">
        <f ca="1">IF(ISERROR(F407),"",VLOOKUP(A407,INDIRECT($F$8),6+(O419-1)*3))</f>
        <v>30</v>
      </c>
      <c r="T419" s="1">
        <f ca="1">IF(ISERROR(F407),"",VLOOKUP(A407,INDIRECT($F$8),7+(O419-1)*3))</f>
        <v>20</v>
      </c>
      <c r="U419" s="1">
        <f ca="1">IF(ISERROR(F407),"",VLOOKUP(A407,INDIRECT($F$8),8+(O419-1)*3))</f>
        <v>50</v>
      </c>
      <c r="V419" s="1" t="e">
        <f ca="1">IF(ISERROR(F407),"",IF(N419=0,A419,""))</f>
        <v>#N/A</v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3" customHeight="1" x14ac:dyDescent="0.2">
      <c r="A420" s="7" t="str">
        <f ca="1">IF(ISERROR(F407),"",VLOOKUP(C407,INDIRECT($F$8),6+(O420-1)*3,0))</f>
        <v>CAP 006</v>
      </c>
      <c r="B420" s="41" t="str">
        <f ca="1">IF(ISERROR(F407),"",VLOOKUP(D407,INDIRECT($F$8),6+(O420-1)*3-Z420,0))</f>
        <v>Computer Networks Lab</v>
      </c>
      <c r="C420" s="41"/>
      <c r="D420" s="41"/>
      <c r="E420" s="41"/>
      <c r="F420" s="7">
        <f ca="1">IF(ISERROR(F407),"",VLOOKUP(E407,INDIRECT($F$8),6+(O420-1)*3,0))</f>
        <v>1</v>
      </c>
      <c r="G420" s="42" t="e">
        <f ca="1">IF(ISERROR(F407),"",_xlfn.TEXTJOIN("/",FALSE,P420,S420))</f>
        <v>#N/A</v>
      </c>
      <c r="H420" s="42"/>
      <c r="I420" s="42" t="str">
        <f ca="1">IF(ISERROR(F407),"",_xlfn.TEXTJOIN("/",FALSE,Q420,T420))</f>
        <v>17/20</v>
      </c>
      <c r="J420" s="42"/>
      <c r="K420" s="42" t="e">
        <f ca="1">IF(ISERROR(F407),"",_xlfn.TEXTJOIN("/",FALSE,R420,U420))</f>
        <v>#N/A</v>
      </c>
      <c r="L420" s="42"/>
      <c r="M420" s="7" t="e">
        <f ca="1">IF(ISERROR(F407),"",IF(ISTEXT(P420),IF(P420="A","Ab",IF(P420="D","Dt",IF(P420="UFM","UFM",IF(P420="NA","")))),IF(AND(ISBLANK(P420),ISBLANK(R420)),"",IF(P420&lt;0.3*S420,"F",IF(ISBLANK(R420),"",IF(ISTEXT(R420),R420,IF(R420&gt;=0.9*U420,"O",IF(R420&gt;=0.85*U420,"A+",IF(R420&gt;=0.8*U420,"A",IF(R420&gt;=0.7*U420,"B+",IF(R420&gt;=0.6*U420,"B",IF(R420&gt;=0.5*U420,"C",IF(R420&gt;=0.4*U420,"P",IF(R420&lt;0.4*U420,"F",R420))))))))))))))</f>
        <v>#N/A</v>
      </c>
      <c r="N420" s="8" t="e">
        <f t="shared" ca="1" si="42"/>
        <v>#N/A</v>
      </c>
      <c r="O420">
        <f t="shared" si="43"/>
        <v>9</v>
      </c>
      <c r="P420" s="1" t="e">
        <f ca="1">IF(ISERROR(F407),"",IF(ISTEXT(VLOOKUP(B407,INDIRECT($F$8),6+(O420-1)*3)),(VLOOKUP(B407,INDIRECT($F$8),6+(O420-1)*3)),SUM(VLOOKUP(B407,INDIRECT($F$8),6+(O420-1)*3),IF(W422,W420,0))))</f>
        <v>#N/A</v>
      </c>
      <c r="Q420" s="1">
        <f ca="1">IF(ISERROR(F407),"",VLOOKUP(B407,INDIRECT($F$8),7+(O420-1)*3))</f>
        <v>17</v>
      </c>
      <c r="R420" s="1" t="e">
        <f ca="1">IF(ISERROR(F407),"",SUM(P420:Q420))</f>
        <v>#N/A</v>
      </c>
      <c r="S420" s="1">
        <f ca="1">IF(ISERROR(F407),"",VLOOKUP(A407,INDIRECT($F$8),6+(O420-1)*3))</f>
        <v>30</v>
      </c>
      <c r="T420" s="1">
        <f ca="1">IF(ISERROR(F407),"",VLOOKUP(A407,INDIRECT($F$8),7+(O420-1)*3))</f>
        <v>20</v>
      </c>
      <c r="U420" s="1">
        <f ca="1">IF(ISERROR(F407),"",VLOOKUP(A407,INDIRECT($F$8),8+(O420-1)*3))</f>
        <v>50</v>
      </c>
      <c r="V420" s="1" t="e">
        <f ca="1">IF(ISERROR(F407),"",IF(N420=0,A420,""))</f>
        <v>#N/A</v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3" customHeight="1" x14ac:dyDescent="0.2">
      <c r="A421" s="7" t="str">
        <f ca="1">IF(ISERROR(F407),"",VLOOKUP(C407,INDIRECT($F$8),6+(O421-1)*3,0))</f>
        <v>CAP 007</v>
      </c>
      <c r="B421" s="41" t="str">
        <f ca="1">IF(ISERROR(F407),"",VLOOKUP(D407,INDIRECT($F$8),6+(O421-1)*3,0))</f>
        <v>Artificial Intelligence Lab</v>
      </c>
      <c r="C421" s="41"/>
      <c r="D421" s="41"/>
      <c r="E421" s="41"/>
      <c r="F421" s="7">
        <f ca="1">IF(ISERROR(F407),"",VLOOKUP(E407,INDIRECT($F$8),6+(O421-1)*3,0))</f>
        <v>1</v>
      </c>
      <c r="G421" s="42" t="e">
        <f ca="1">IF(ISERROR(F407),"",_xlfn.TEXTJOIN("/",FALSE,P421,S421))</f>
        <v>#N/A</v>
      </c>
      <c r="H421" s="42"/>
      <c r="I421" s="42" t="str">
        <f ca="1">IF(ISERROR(F407),"",_xlfn.TEXTJOIN("/",FALSE,Q421,T421))</f>
        <v>19/20</v>
      </c>
      <c r="J421" s="42"/>
      <c r="K421" s="42" t="e">
        <f ca="1">IF(ISERROR(F407),"",_xlfn.TEXTJOIN("/",FALSE,R421,U421))</f>
        <v>#N/A</v>
      </c>
      <c r="L421" s="42"/>
      <c r="M421" s="7" t="e">
        <f ca="1">IF(ISERROR(F407),"",IF(ISTEXT(P421),IF(P421="A","Ab",IF(P421="D","Dt",IF(P421="UFM","UFM",IF(P421="NA","")))),IF(AND(ISBLANK(P421),ISBLANK(R421)),"",IF(P421&lt;0.3*S421,"F",IF(ISBLANK(R421),"",IF(ISTEXT(R421),R421,IF(R421&gt;=0.9*U421,"O",IF(R421&gt;=0.85*U421,"A+",IF(R421&gt;=0.8*U421,"A",IF(R421&gt;=0.7*U421,"B+",IF(R421&gt;=0.6*U421,"B",IF(R421&gt;=0.5*U421,"C",IF(R421&gt;=0.4*U421,"P",IF(R421&lt;0.4*U421,"F",R421))))))))))))))</f>
        <v>#N/A</v>
      </c>
      <c r="N421" s="8" t="e">
        <f t="shared" ca="1" si="42"/>
        <v>#N/A</v>
      </c>
      <c r="O421">
        <f t="shared" si="43"/>
        <v>10</v>
      </c>
      <c r="P421" s="1" t="e">
        <f ca="1">IF(ISERROR(F407),"",IF(ISTEXT(VLOOKUP(B407,INDIRECT($F$8),6+(O421-1)*3)),(VLOOKUP(B407,INDIRECT($F$8),6+(O421-1)*3)),SUM(VLOOKUP(B407,INDIRECT($F$8),6+(O421-1)*3),IF(W422,W421,0))))</f>
        <v>#N/A</v>
      </c>
      <c r="Q421" s="1">
        <f ca="1">IF(ISERROR(F407),"",VLOOKUP(B407,INDIRECT($F$8),7+(O421-1)*3))</f>
        <v>19</v>
      </c>
      <c r="R421" s="1" t="e">
        <f ca="1">IF(ISERROR(F407),"",SUM(P421:Q421))</f>
        <v>#N/A</v>
      </c>
      <c r="S421" s="1">
        <f ca="1">IF(ISERROR(F407),"",VLOOKUP(A407,INDIRECT($F$8),6+(O421-1)*3))</f>
        <v>30</v>
      </c>
      <c r="T421" s="1">
        <f ca="1">IF(ISERROR(F407),"",VLOOKUP(A407,INDIRECT($F$8),7+(O421-1)*3))</f>
        <v>20</v>
      </c>
      <c r="U421" s="1">
        <f ca="1">IF(ISERROR(F407),"",VLOOKUP(A407,INDIRECT($F$8),8+(O421-1)*3))</f>
        <v>50</v>
      </c>
      <c r="V421" s="1" t="e">
        <f ca="1">IF(ISERROR(F407),"",IF(N421=0,A421,""))</f>
        <v>#N/A</v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3" customHeight="1" x14ac:dyDescent="0.2">
      <c r="A422" s="43" t="str">
        <f ca="1">IF(ISERROR(F407),"",A403)</f>
        <v>Total Credits/ Marks/ Total Grade Points</v>
      </c>
      <c r="B422" s="43"/>
      <c r="C422" s="43"/>
      <c r="D422" s="43"/>
      <c r="E422" s="43"/>
      <c r="F422" s="10">
        <f ca="1">IF(ISERROR(F407),"",SUM(F412:F421))</f>
        <v>24</v>
      </c>
      <c r="G422" s="44" t="e">
        <f ca="1">IF(ISERROR(F407),"",_xlfn.TEXTJOIN("/",TRUE,SUMIF(F412:F421,"&gt;0",P412:P421),SUMIF(F412:F421,"&gt;0",S412:S421)))</f>
        <v>#N/A</v>
      </c>
      <c r="H422" s="44"/>
      <c r="I422" s="44" t="str">
        <f ca="1">IF(ISERROR(F407),"",_xlfn.TEXTJOIN("/",TRUE,SUMIF(F412:F421,"&gt;0",Q412:Q421),SUMIF(F412:F421,"&gt;0",T412:T421)))</f>
        <v>285/330</v>
      </c>
      <c r="J422" s="44"/>
      <c r="K422" s="44" t="e">
        <f ca="1">IF(ISERROR(F407),"",_xlfn.TEXTJOIN("/",TRUE,SUMIF(F412:F421,"&gt;0",R412:R421),SUMIF(F412:F421,"&gt;0",U412:U421)))</f>
        <v>#N/A</v>
      </c>
      <c r="L422" s="44"/>
      <c r="M422" s="43" t="e">
        <f ca="1">IF(ISERROR(F407),"",SUMPRODUCT(N412:N421,F412:F421))</f>
        <v>#N/A</v>
      </c>
      <c r="N422" s="43"/>
      <c r="V422" s="1" t="e">
        <f ca="1">IF(ISERROR(F407),"",_xlfn.TEXTJOIN(", ",TRUE,V412:V421))</f>
        <v>#N/A</v>
      </c>
      <c r="W422" t="e">
        <f ca="1">IF(ISERROR(F407),"",IF(SUM(W412:W421)&lt;=W411,TRUE,FALSE))</f>
        <v>#N/A</v>
      </c>
      <c r="X422" s="1" t="str">
        <f ca="1">IF(ISERROR(F407),"",_xlfn.TEXTJOIN(",",TRUE,X412:X421))</f>
        <v/>
      </c>
    </row>
    <row r="423" spans="1:24" ht="13" customHeight="1" x14ac:dyDescent="0.2">
      <c r="A423" s="43" t="str">
        <f ca="1">IF(ISERROR(F407),"",A404)</f>
        <v>Result:</v>
      </c>
      <c r="B423" s="45" t="e">
        <f ca="1">IF(ISERROR(F407),"",IF(V422="","PASS","CARRY OVER"))</f>
        <v>#N/A</v>
      </c>
      <c r="C423" s="45"/>
      <c r="D423" s="43" t="str">
        <f ca="1">IF(ISERROR(F407),"",D404)</f>
        <v>Remark:</v>
      </c>
      <c r="E423" s="45" t="e">
        <f ca="1">IF(ISERROR(F407),"",IF(V422="",IF(X422="","",X422),_xlfn.TEXTJOIN(" ",TRUE,"BACK IN",V422)))</f>
        <v>#N/A</v>
      </c>
      <c r="F423" s="45"/>
      <c r="G423" s="43" t="str">
        <f ca="1">IF(ISERROR(F407),"",G404)</f>
        <v>SGPA:</v>
      </c>
      <c r="H423" s="46" t="e">
        <f ca="1">IF(ISERROR(F407),"",M422/F422)</f>
        <v>#N/A</v>
      </c>
      <c r="I423" s="43" t="str">
        <f ca="1">IF(ISERROR(F407),"",I404)</f>
        <v>CGPA:</v>
      </c>
      <c r="J423" s="46" t="e">
        <f ca="1">IF(ISERROR(F407),"",VLOOKUP(B407,INDIRECT($F$8),12+(O421-1)*3,0))</f>
        <v>#N/A</v>
      </c>
      <c r="K423" s="45" t="str">
        <f ca="1">IF(ISERROR(F407),"",K404)</f>
        <v>Earned Credits:</v>
      </c>
      <c r="L423" s="43">
        <f ca="1">IF(ISERROR(F407),"",SUMIF(N412:N421,"&gt;0",F412:F421))</f>
        <v>0</v>
      </c>
      <c r="M423" s="45" t="str">
        <f ca="1">IF(ISERROR(F407),"",M404)</f>
        <v>Cuml. Earned Credits:</v>
      </c>
      <c r="N423" s="43" t="e">
        <f ca="1">IF(ISERROR(F407),"",VLOOKUP(B407,INDIRECT($F$8),10+(O421-1)*3,0))</f>
        <v>#N/A</v>
      </c>
    </row>
    <row r="424" spans="1:24" ht="13" customHeight="1" x14ac:dyDescent="0.2">
      <c r="A424" s="43"/>
      <c r="B424" s="45"/>
      <c r="C424" s="45"/>
      <c r="D424" s="43"/>
      <c r="E424" s="45"/>
      <c r="F424" s="45"/>
      <c r="G424" s="43"/>
      <c r="H424" s="46"/>
      <c r="I424" s="43"/>
      <c r="J424" s="46"/>
      <c r="K424" s="45"/>
      <c r="L424" s="43"/>
      <c r="M424" s="45"/>
      <c r="N424" s="43"/>
    </row>
    <row r="425" spans="1:24" ht="15" x14ac:dyDescent="0.2">
      <c r="A425" s="43"/>
      <c r="B425" s="45"/>
      <c r="C425" s="45"/>
      <c r="D425" s="43"/>
      <c r="E425" s="45"/>
      <c r="F425" s="45"/>
      <c r="G425" s="43"/>
      <c r="H425" s="46"/>
      <c r="I425" s="43"/>
      <c r="J425" s="46"/>
      <c r="K425" s="45"/>
      <c r="L425" s="43"/>
      <c r="M425" s="45"/>
      <c r="N425" s="43"/>
    </row>
    <row r="426" spans="1:24" ht="13" customHeight="1" x14ac:dyDescent="0.2">
      <c r="A426" s="11" t="str">
        <f>A407</f>
        <v>MM</v>
      </c>
      <c r="B426" s="11">
        <f>B407+1</f>
        <v>23</v>
      </c>
      <c r="C426" s="11" t="str">
        <f>C407</f>
        <v>SC</v>
      </c>
      <c r="D426" s="11" t="str">
        <f>D407</f>
        <v>SN</v>
      </c>
      <c r="E426" s="11" t="str">
        <f>E407</f>
        <v>C</v>
      </c>
      <c r="F426" s="11" t="str">
        <f ca="1">VLOOKUP(B426,INDIRECT($F$8),4,0)</f>
        <v>SHRIYANSHU DHYANI</v>
      </c>
    </row>
    <row r="427" spans="1:24" ht="13" customHeight="1" x14ac:dyDescent="0.2">
      <c r="A427" s="47" t="str">
        <f ca="1">IF(ISERROR(F426),"",A408)</f>
        <v>Name:</v>
      </c>
      <c r="B427" s="47" t="str">
        <f ca="1">IFERROR(VLOOKUP(B426,INDIRECT($F$8),4,0),"")</f>
        <v>SHRIYANSHU DHYANI</v>
      </c>
      <c r="C427" s="47"/>
      <c r="D427" s="47" t="str">
        <f ca="1">IF(ISERROR(F426),"",D408)</f>
        <v>Father's Name:</v>
      </c>
      <c r="E427" s="47" t="str">
        <f ca="1">IFERROR(VLOOKUP(B426,INDIRECT($F$8),5,0),"")</f>
        <v>LUV KUMAR DHYANI</v>
      </c>
      <c r="F427" s="47"/>
      <c r="G427" s="47" t="str">
        <f ca="1">IF(ISERROR(F426),"",G408)</f>
        <v>University Roll No:</v>
      </c>
      <c r="H427" s="47"/>
      <c r="I427" s="48">
        <f ca="1">IFERROR(VLOOKUP(B426,INDIRECT($F$8),2,0),"")</f>
        <v>240090600023</v>
      </c>
      <c r="J427" s="48"/>
      <c r="K427" s="47" t="str">
        <f ca="1">IF(ISERROR(F426),"",K408)</f>
        <v>University Enrol. No:</v>
      </c>
      <c r="L427" s="47"/>
      <c r="M427" s="48" t="str">
        <f ca="1">IFERROR(VLOOKUP(B426,INDIRECT($F$8),3,0),"")</f>
        <v>UTU/2406100184</v>
      </c>
      <c r="N427" s="48"/>
    </row>
    <row r="428" spans="1:24" ht="15" x14ac:dyDescent="0.2">
      <c r="A428" s="47"/>
      <c r="B428" s="47"/>
      <c r="C428" s="47"/>
      <c r="D428" s="47"/>
      <c r="E428" s="47"/>
      <c r="F428" s="47"/>
      <c r="G428" s="47"/>
      <c r="H428" s="47"/>
      <c r="I428" s="48"/>
      <c r="J428" s="48"/>
      <c r="K428" s="47"/>
      <c r="L428" s="47"/>
      <c r="M428" s="48"/>
      <c r="N428" s="48"/>
    </row>
    <row r="429" spans="1:24" ht="13" customHeight="1" x14ac:dyDescent="0.2">
      <c r="A429" s="45" t="str">
        <f ca="1">IF(ISERROR(F426),"",A410)</f>
        <v>Subject Code</v>
      </c>
      <c r="B429" s="45" t="str">
        <f ca="1">IF(ISERROR(F426),"",B410)</f>
        <v>Subject Name</v>
      </c>
      <c r="C429" s="45"/>
      <c r="D429" s="45"/>
      <c r="E429" s="45"/>
      <c r="F429" s="45" t="str">
        <f ca="1">IF(ISERROR(F426),"",F410)</f>
        <v>Credits</v>
      </c>
      <c r="G429" s="45" t="str">
        <f ca="1">IF(ISERROR(F426),"",G410)</f>
        <v>External Marks</v>
      </c>
      <c r="H429" s="45"/>
      <c r="I429" s="45" t="str">
        <f ca="1">IF(ISERROR(F426),"",I410)</f>
        <v>Sessional Marks</v>
      </c>
      <c r="J429" s="45"/>
      <c r="K429" s="45" t="str">
        <f ca="1">IF(ISERROR(F426),"",K410)</f>
        <v>Total Marks</v>
      </c>
      <c r="L429" s="45"/>
      <c r="M429" s="45" t="str">
        <f ca="1">IF(ISERROR(F426),"",M410)</f>
        <v>Grade</v>
      </c>
      <c r="N429" s="45" t="str">
        <f ca="1">IF(ISERROR(F426),"",N410)</f>
        <v>Grade Points</v>
      </c>
    </row>
    <row r="430" spans="1:24" ht="15" x14ac:dyDescent="0.2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W430" t="e">
        <f ca="1">IF(ISNUMBER(MATCH($F$8,{"I","III","V","VII"},0)),10,10-INDEX(INDIRECT(_xlfn.TEXTJOIN("",TRUE,"SEM_",$G$8,"!",ADDRESS(6,4+$I$8*3+4),":",ADDRESS(5+$H$8,4+$I$8*3+4))),MATCH(INDIRECT(_xlfn.TEXTJOIN("",TRUE,"TC_",$F$8,"!",ADDRESS(ROW(I427),COLUMN(I427)))),INDIRECT(_xlfn.TEXTJOIN("",TRUE,"SEM_",$G$8,"!",ADDRESS(6,2),":",ADDRESS(5+$H$8,2))))))</f>
        <v>#N/A</v>
      </c>
    </row>
    <row r="431" spans="1:24" ht="13" customHeight="1" x14ac:dyDescent="0.2">
      <c r="A431" s="7" t="str">
        <f ca="1">IF(ISERROR(F426),"",VLOOKUP(C426,INDIRECT($F$8),6+(O431-1)*3,0))</f>
        <v>CAT 009</v>
      </c>
      <c r="B431" s="41" t="str">
        <f ca="1">IF(ISERROR(F426),"",VLOOKUP(D426,INDIRECT($F$8),6+(O431-1)*3,0))</f>
        <v>Computer Based Numerical and Statistical Techniques</v>
      </c>
      <c r="C431" s="41"/>
      <c r="D431" s="41"/>
      <c r="E431" s="41"/>
      <c r="F431" s="7">
        <f ca="1">IF(ISERROR(F426),"",VLOOKUP(E426,INDIRECT($F$8),6+(O431-1)*3,0))</f>
        <v>4</v>
      </c>
      <c r="G431" s="42" t="e">
        <f ca="1">IF(ISERROR(F426),"",_xlfn.TEXTJOIN("/",FALSE,P431,S431))</f>
        <v>#N/A</v>
      </c>
      <c r="H431" s="42"/>
      <c r="I431" s="42" t="str">
        <f ca="1">IF(ISERROR(F426),"",_xlfn.TEXTJOIN("/",FALSE,Q431,T431))</f>
        <v>44/50</v>
      </c>
      <c r="J431" s="42"/>
      <c r="K431" s="42" t="e">
        <f ca="1">IF(ISERROR(F426),"",_xlfn.TEXTJOIN("/",FALSE,R431,U431))</f>
        <v>#N/A</v>
      </c>
      <c r="L431" s="42"/>
      <c r="M431" s="7" t="e">
        <f ca="1">IF(ISERROR(F426),"",IF(ISTEXT(P431),IF(P431="A","Ab",IF(P431="D","Dt",IF(P431="UFM","UFM",IF(P431="NA","")))),IF(AND(ISBLANK(P431),ISBLANK(R431)),"",IF(P431&lt;0.3*S431,"F",IF(ISBLANK(R431),"",IF(ISTEXT(R431),R431,IF(R431&gt;=0.9*U431,"O",IF(R431&gt;=0.85*U431,"A+",IF(R431&gt;=0.8*U431,"A",IF(R431&gt;=0.7*U431,"B+",IF(R431&gt;=0.6*U431,"B",IF(R431&gt;=0.5*U431,"C",IF(R431&gt;=0.4*U431,"P",IF(R431&lt;0.4*U431,"F",R431))))))))))))))</f>
        <v>#N/A</v>
      </c>
      <c r="N431" s="8" t="e">
        <f t="shared" ref="N431:N440" ca="1" si="44">INDEX($Z$2:$Z$13,MATCH(M431,$Y$2:$Y$13,0))</f>
        <v>#N/A</v>
      </c>
      <c r="O431">
        <v>1</v>
      </c>
      <c r="P431" s="1" t="e">
        <f ca="1">IF(ISERROR(F426),"",IF(ISTEXT(VLOOKUP(B426,INDIRECT($F$8),6+(O431-1)*3)),(VLOOKUP(B426,INDIRECT($F$8),6+(O431-1)*3)),SUM(VLOOKUP(B426,INDIRECT($F$8),6+(O431-1)*3),IF(W441,W431,0))))</f>
        <v>#N/A</v>
      </c>
      <c r="Q431" s="1">
        <f ca="1">IF(ISERROR(F426),"",VLOOKUP(B426,INDIRECT($F$8),7+(O431-1)*3))</f>
        <v>44</v>
      </c>
      <c r="R431" s="1" t="e">
        <f ca="1">IF(ISERROR(F426),"",SUM(P431:Q431))</f>
        <v>#N/A</v>
      </c>
      <c r="S431" s="1">
        <f ca="1">IF(ISERROR(F426),"",VLOOKUP(A426,INDIRECT($F$8),6+(O431-1)*3))</f>
        <v>100</v>
      </c>
      <c r="T431" s="1">
        <f ca="1">IF(ISERROR(F426),"",VLOOKUP(A426,INDIRECT($F$8),7+(O431-1)*3))</f>
        <v>50</v>
      </c>
      <c r="U431" s="1">
        <f ca="1">IF(ISERROR(F426),"",VLOOKUP(A426,INDIRECT($F$8),8+(O431-1)*3))</f>
        <v>150</v>
      </c>
      <c r="V431" s="1" t="e">
        <f ca="1">IF(ISERROR(F426),"",IF(N431=0,A431,""))</f>
        <v>#N/A</v>
      </c>
      <c r="W431" s="1">
        <f ca="1">IF(ISERROR(F426),"",IF(ISTEXT(VLOOKUP(B426,INDIRECT($F$8),6+(O431-1)*3)),11,IF(VLOOKUP(B426,INDIRECT($F$8),6+(O431-1)*3)&lt;S431*0.3,IF(VLOOKUP(B426,INDIRECT($F$8),8+(O431-1)*3)&lt;U431*0.4,IF(AND(0.4*U431-VLOOKUP(B426,INDIRECT($F$8),8+(O431-1)*3)&lt;=5,0.3*S431-VLOOKUP(B426,INDIRECT($F$8),6+(O431-1)*3)&lt;=5),MAX(0.4*U431-VLOOKUP(B426,INDIRECT($F$8),8+(O431-1)*3),0.3*S431-VLOOKUP(B426,INDIRECT($F$8),6+(O431-1)*3)),11),IF(0.3*S431-VLOOKUP(B426,INDIRECT($F$8),6+(O431-1)*3)&lt;=5,0.3*S431-VLOOKUP(B426,INDIRECT($F$8),6+(O431-1)*3),11)),IF(VLOOKUP(B426,INDIRECT($F$8),8+(O431-1)*3)&lt;U431*0.4,IF(U431*0.4-VLOOKUP(B426,INDIRECT($F$8),8+(O431-1)*3)&lt;=5,U431*0.4-VLOOKUP(B426,INDIRECT($F$8),8+(O431-1)*3),11),0))))</f>
        <v>0</v>
      </c>
      <c r="X431" s="1" t="str">
        <f ca="1">IF(ISERROR(F426),"",IF(W431=0,"",_xlfn.TEXTJOIN("",FALSE," G+",W431," in ",A431)))</f>
        <v/>
      </c>
    </row>
    <row r="432" spans="1:24" ht="13" customHeight="1" x14ac:dyDescent="0.2">
      <c r="A432" s="7" t="str">
        <f ca="1">IF(ISERROR(F426),"",VLOOKUP(C426,INDIRECT($F$8),6+(O432-1)*3,0))</f>
        <v>CAT 010</v>
      </c>
      <c r="B432" s="41" t="str">
        <f ca="1">IF(ISERROR(F426),"",VLOOKUP(D426,INDIRECT($F$8),6+(O432-1)*3,0))</f>
        <v>Data Structures and Analysis of Algorithms</v>
      </c>
      <c r="C432" s="41"/>
      <c r="D432" s="41"/>
      <c r="E432" s="41"/>
      <c r="F432" s="7">
        <f ca="1">IF(ISERROR(F426),"",VLOOKUP(E426,INDIRECT($F$8),6+(O432-1)*3,0))</f>
        <v>4</v>
      </c>
      <c r="G432" s="42" t="e">
        <f ca="1">IF(ISERROR(F426),"",_xlfn.TEXTJOIN("/",FALSE,P432,S432))</f>
        <v>#N/A</v>
      </c>
      <c r="H432" s="42"/>
      <c r="I432" s="42" t="str">
        <f ca="1">IF(ISERROR(F426),"",_xlfn.TEXTJOIN("/",FALSE,Q432,T432))</f>
        <v>40/50</v>
      </c>
      <c r="J432" s="42"/>
      <c r="K432" s="42" t="e">
        <f ca="1">IF(ISERROR(F426),"",_xlfn.TEXTJOIN("/",FALSE,R432,U432))</f>
        <v>#N/A</v>
      </c>
      <c r="L432" s="42"/>
      <c r="M432" s="7" t="e">
        <f ca="1">IF(ISERROR(F426),"",IF(ISTEXT(P432),IF(P432="A","Ab",IF(P432="D","Dt",IF(P432="UFM","UFM",IF(P432="NA","")))),IF(AND(ISBLANK(P432),ISBLANK(R432)),"",IF(P432&lt;0.3*S432,"F",IF(ISBLANK(R432),"",IF(ISTEXT(R432),R432,IF(R432&gt;=0.9*U432,"O",IF(R432&gt;=0.85*U432,"A+",IF(R432&gt;=0.8*U432,"A",IF(R432&gt;=0.7*U432,"B+",IF(R432&gt;=0.6*U432,"B",IF(R432&gt;=0.5*U432,"C",IF(R432&gt;=0.4*U432,"P",IF(R432&lt;0.4*U432,"F",R432))))))))))))))</f>
        <v>#N/A</v>
      </c>
      <c r="N432" s="8" t="e">
        <f t="shared" ca="1" si="44"/>
        <v>#N/A</v>
      </c>
      <c r="O432">
        <f>O431+1</f>
        <v>2</v>
      </c>
      <c r="P432" s="1" t="e">
        <f ca="1">IF(ISERROR(F426),"",IF(ISTEXT(VLOOKUP(B426,INDIRECT($F$8),6+(O432-1)*3)),(VLOOKUP(B426,INDIRECT($F$8),6+(O432-1)*3)),SUM(VLOOKUP(B426,INDIRECT($F$8),6+(O432-1)*3),IF(W441,W432,0))))</f>
        <v>#N/A</v>
      </c>
      <c r="Q432" s="1">
        <f ca="1">IF(ISERROR(F426),"",VLOOKUP(B426,INDIRECT($F$8),7+(O432-1)*3))</f>
        <v>40</v>
      </c>
      <c r="R432" s="1" t="e">
        <f ca="1">IF(ISERROR(F426),"",SUM(P432:Q432))</f>
        <v>#N/A</v>
      </c>
      <c r="S432" s="1">
        <f ca="1">IF(ISERROR(F426),"",VLOOKUP(A426,INDIRECT($F$8),6+(O432-1)*3))</f>
        <v>100</v>
      </c>
      <c r="T432" s="1">
        <f ca="1">IF(ISERROR(F426),"",VLOOKUP(A426,INDIRECT($F$8),7+(O432-1)*3))</f>
        <v>50</v>
      </c>
      <c r="U432" s="1">
        <f ca="1">IF(ISERROR(F426),"",VLOOKUP(A426,INDIRECT($F$8),8+(O432-1)*3))</f>
        <v>150</v>
      </c>
      <c r="V432" s="1" t="e">
        <f ca="1">IF(ISERROR(F426),"",IF(N432=0,A432,""))</f>
        <v>#N/A</v>
      </c>
      <c r="W432" s="1">
        <f ca="1">IF(ISERROR(F426),"",IF(ISTEXT(VLOOKUP(B426,INDIRECT($F$8),6+(O432-1)*3)),11,IF(VLOOKUP(B426,INDIRECT($F$8),6+(O432-1)*3)&lt;S432*0.3,IF(VLOOKUP(B426,INDIRECT($F$8),8+(O432-1)*3)&lt;U432*0.4,IF(AND(0.4*U432-VLOOKUP(B426,INDIRECT($F$8),8+(O432-1)*3)&lt;=5,0.3*S432-VLOOKUP(B426,INDIRECT($F$8),6+(O432-1)*3)&lt;=5),MAX(0.4*U432-VLOOKUP(B426,INDIRECT($F$8),8+(O432-1)*3),0.3*S432-VLOOKUP(B426,INDIRECT($F$8),6+(O432-1)*3)),11),IF(0.3*S432-VLOOKUP(B426,INDIRECT($F$8),6+(O432-1)*3)&lt;=5,0.3*S432-VLOOKUP(B426,INDIRECT($F$8),6+(O432-1)*3),11)),IF(VLOOKUP(B426,INDIRECT($F$8),8+(O432-1)*3)&lt;U432*0.4,IF(U432*0.4-VLOOKUP(B426,INDIRECT($F$8),8+(O432-1)*3)&lt;=5,U432*0.4-VLOOKUP(B426,INDIRECT($F$8),8+(O432-1)*3),11),0))))</f>
        <v>0</v>
      </c>
      <c r="X432" s="1" t="str">
        <f ca="1">IF(ISERROR(F426),"",IF(W432=0,"",_xlfn.TEXTJOIN("",FALSE," G+",W432," in ",A432)))</f>
        <v/>
      </c>
    </row>
    <row r="433" spans="1:24" ht="13" customHeight="1" x14ac:dyDescent="0.2">
      <c r="A433" s="7" t="str">
        <f ca="1">IF(ISERROR(F426),"",VLOOKUP(C426,INDIRECT($F$8),6+(O433-1)*3,0))</f>
        <v>CAT 011</v>
      </c>
      <c r="B433" s="41" t="str">
        <f ca="1">IF(ISERROR(F426),"",VLOOKUP(D426,INDIRECT($F$8),6+(O433-1)*3,0))</f>
        <v>Object Oriented Programming with JAVA</v>
      </c>
      <c r="C433" s="41"/>
      <c r="D433" s="41"/>
      <c r="E433" s="41"/>
      <c r="F433" s="7">
        <f ca="1">IF(ISERROR(F426),"",VLOOKUP(E426,INDIRECT($F$8),6+(O433-1)*3,0))</f>
        <v>4</v>
      </c>
      <c r="G433" s="42" t="e">
        <f ca="1">IF(ISERROR(F426),"",_xlfn.TEXTJOIN("/",FALSE,P433,S433))</f>
        <v>#N/A</v>
      </c>
      <c r="H433" s="42"/>
      <c r="I433" s="42" t="str">
        <f ca="1">IF(ISERROR(F426),"",_xlfn.TEXTJOIN("/",FALSE,Q433,T433))</f>
        <v>37/50</v>
      </c>
      <c r="J433" s="42"/>
      <c r="K433" s="42" t="e">
        <f ca="1">IF(ISERROR(F426),"",_xlfn.TEXTJOIN("/",FALSE,R433,U433))</f>
        <v>#N/A</v>
      </c>
      <c r="L433" s="42"/>
      <c r="M433" s="7" t="e">
        <f ca="1">IF(ISERROR(F426),"",IF(ISTEXT(P433),IF(P433="A","Ab",IF(P433="D","Dt",IF(P433="UFM","UFM",IF(P433="NA","")))),IF(AND(ISBLANK(P433),ISBLANK(R433)),"",IF(P433&lt;0.3*S433,"F",IF(ISBLANK(R433),"",IF(ISTEXT(R433),R433,IF(R433&gt;=0.9*U433,"O",IF(R433&gt;=0.85*U433,"A+",IF(R433&gt;=0.8*U433,"A",IF(R433&gt;=0.7*U433,"B+",IF(R433&gt;=0.6*U433,"B",IF(R433&gt;=0.5*U433,"C",IF(R433&gt;=0.4*U433,"P",IF(R433&lt;0.4*U433,"F",R433))))))))))))))</f>
        <v>#N/A</v>
      </c>
      <c r="N433" s="8" t="e">
        <f t="shared" ca="1" si="44"/>
        <v>#N/A</v>
      </c>
      <c r="O433">
        <f>O432+1</f>
        <v>3</v>
      </c>
      <c r="P433" s="1" t="e">
        <f ca="1">IF(ISERROR(F426),"",IF(ISTEXT(VLOOKUP(B426,INDIRECT($F$8),6+(O433-1)*3)),(VLOOKUP(B426,INDIRECT($F$8),6+(O433-1)*3)),SUM(VLOOKUP(B426,INDIRECT($F$8),6+(O433-1)*3),IF(W441,W433,0))))</f>
        <v>#N/A</v>
      </c>
      <c r="Q433" s="1">
        <f ca="1">IF(ISERROR(F426),"",VLOOKUP(B426,INDIRECT($F$8),7+(O433-1)*3))</f>
        <v>37</v>
      </c>
      <c r="R433" s="1" t="e">
        <f ca="1">IF(ISERROR(F426),"",SUM(P433:Q433))</f>
        <v>#N/A</v>
      </c>
      <c r="S433" s="1">
        <f ca="1">IF(ISERROR(F426),"",VLOOKUP(A426,INDIRECT($F$8),6+(O433-1)*3))</f>
        <v>100</v>
      </c>
      <c r="T433" s="1">
        <f ca="1">IF(ISERROR(F426),"",VLOOKUP(A426,INDIRECT($F$8),7+(O433-1)*3))</f>
        <v>50</v>
      </c>
      <c r="U433" s="1">
        <f ca="1">IF(ISERROR(F426),"",VLOOKUP(A426,INDIRECT($F$8),8+(O433-1)*3))</f>
        <v>150</v>
      </c>
      <c r="V433" s="1" t="e">
        <f ca="1">IF(ISERROR(F426),"",IF(N433=0,A433,""))</f>
        <v>#N/A</v>
      </c>
      <c r="W433" s="1">
        <f ca="1">IF(ISERROR(F426),"",IF(ISTEXT(VLOOKUP(B426,INDIRECT($F$8),6+(O433-1)*3)),11,IF(VLOOKUP(B426,INDIRECT($F$8),6+(O433-1)*3)&lt;S433*0.3,IF(VLOOKUP(B426,INDIRECT($F$8),8+(O433-1)*3)&lt;U433*0.4,IF(AND(0.4*U433-VLOOKUP(B426,INDIRECT($F$8),8+(O433-1)*3)&lt;=5,0.3*S433-VLOOKUP(B426,INDIRECT($F$8),6+(O433-1)*3)&lt;=5),MAX(0.4*U433-VLOOKUP(B426,INDIRECT($F$8),8+(O433-1)*3),0.3*S433-VLOOKUP(B426,INDIRECT($F$8),6+(O433-1)*3)),11),IF(0.3*S433-VLOOKUP(B426,INDIRECT($F$8),6+(O433-1)*3)&lt;=5,0.3*S433-VLOOKUP(B426,INDIRECT($F$8),6+(O433-1)*3),11)),IF(VLOOKUP(B426,INDIRECT($F$8),8+(O433-1)*3)&lt;U433*0.4,IF(U433*0.4-VLOOKUP(B426,INDIRECT($F$8),8+(O433-1)*3)&lt;=5,U433*0.4-VLOOKUP(B426,INDIRECT($F$8),8+(O433-1)*3),11),0))))</f>
        <v>0</v>
      </c>
      <c r="X433" s="1" t="str">
        <f ca="1">IF(ISERROR(F426),"",IF(W433=0,"",_xlfn.TEXTJOIN("",FALSE," G+",W433," in ",A433)))</f>
        <v/>
      </c>
    </row>
    <row r="434" spans="1:24" ht="13" customHeight="1" x14ac:dyDescent="0.2">
      <c r="A434" s="7" t="str">
        <f ca="1">IF(ISERROR(F426),"",VLOOKUP(C426,INDIRECT($F$8),6+(O434-1)*3,0))</f>
        <v>CAT 012</v>
      </c>
      <c r="B434" s="41" t="str">
        <f ca="1">IF(ISERROR(F426),"",VLOOKUP(D426,INDIRECT($F$8),6+(O434-1)*3,0))</f>
        <v>Computer Networks</v>
      </c>
      <c r="C434" s="41"/>
      <c r="D434" s="41"/>
      <c r="E434" s="41"/>
      <c r="F434" s="7">
        <f ca="1">IF(ISERROR(F426),"",VLOOKUP(E426,INDIRECT($F$8),6+(O434-1)*3,0))</f>
        <v>4</v>
      </c>
      <c r="G434" s="42" t="e">
        <f ca="1">IF(ISERROR(F426),"",_xlfn.TEXTJOIN("/",FALSE,P434,S434))</f>
        <v>#N/A</v>
      </c>
      <c r="H434" s="42"/>
      <c r="I434" s="42" t="str">
        <f ca="1">IF(ISERROR(F426),"",_xlfn.TEXTJOIN("/",FALSE,Q434,T434))</f>
        <v>43/50</v>
      </c>
      <c r="J434" s="42"/>
      <c r="K434" s="42" t="e">
        <f ca="1">IF(ISERROR(F426),"",_xlfn.TEXTJOIN("/",FALSE,R434,U434))</f>
        <v>#N/A</v>
      </c>
      <c r="L434" s="42"/>
      <c r="M434" s="7" t="e">
        <f ca="1">IF(ISERROR(F426),"",IF(ISTEXT(P434),IF(P434="A","Ab",IF(P434="D","Dt",IF(P434="UFM","UFM",IF(P434="NA","")))),IF(AND(ISBLANK(P434),ISBLANK(R434)),"",IF(P434&lt;0.3*S434,"F",IF(ISBLANK(R434),"",IF(ISTEXT(R434),R434,IF(R434&gt;=0.9*U434,"O",IF(R434&gt;=0.85*U434,"A+",IF(R434&gt;=0.8*U434,"A",IF(R434&gt;=0.7*U434,"B+",IF(R434&gt;=0.6*U434,"B",IF(R434&gt;=0.5*U434,"C",IF(R434&gt;=0.4*U434,"P",IF(R434&lt;0.4*U434,"F",R434))))))))))))))</f>
        <v>#N/A</v>
      </c>
      <c r="N434" s="8" t="e">
        <f t="shared" ca="1" si="44"/>
        <v>#N/A</v>
      </c>
      <c r="O434">
        <f t="shared" ref="O434:O440" si="45">O433+1</f>
        <v>4</v>
      </c>
      <c r="P434" s="1" t="e">
        <f ca="1">IF(ISERROR(F426),"",IF(ISTEXT(VLOOKUP(B426,INDIRECT($F$8),6+(O434-1)*3)),(VLOOKUP(B426,INDIRECT($F$8),6+(O434-1)*3)),SUM(VLOOKUP(B426,INDIRECT($F$8),6+(O434-1)*3),IF(W441,W434,0))))</f>
        <v>#N/A</v>
      </c>
      <c r="Q434" s="1">
        <f ca="1">IF(ISERROR(F426),"",VLOOKUP(B426,INDIRECT($F$8),7+(O434-1)*3))</f>
        <v>43</v>
      </c>
      <c r="R434" s="1" t="e">
        <f ca="1">IF(ISERROR(F426),"",SUM(P434:Q434))</f>
        <v>#N/A</v>
      </c>
      <c r="S434" s="1">
        <f ca="1">IF(ISERROR(F426),"",VLOOKUP(A426,INDIRECT($F$8),6+(O434-1)*3))</f>
        <v>100</v>
      </c>
      <c r="T434" s="1">
        <f ca="1">IF(ISERROR(F426),"",VLOOKUP(A426,INDIRECT($F$8),7+(O434-1)*3))</f>
        <v>50</v>
      </c>
      <c r="U434" s="1">
        <f ca="1">IF(ISERROR(F426),"",VLOOKUP(A426,INDIRECT($F$8),8+(O434-1)*3))</f>
        <v>150</v>
      </c>
      <c r="V434" s="1" t="e">
        <f ca="1">IF(ISERROR(F426),"",IF(N434=0,A434,""))</f>
        <v>#N/A</v>
      </c>
      <c r="W434" s="1">
        <f ca="1">IF(ISERROR(F426),"",IF(ISTEXT(VLOOKUP(B426,INDIRECT($F$8),6+(O434-1)*3)),11,IF(VLOOKUP(B426,INDIRECT($F$8),6+(O434-1)*3)&lt;S434*0.3,IF(VLOOKUP(B426,INDIRECT($F$8),8+(O434-1)*3)&lt;U434*0.4,IF(AND(0.4*U434-VLOOKUP(B426,INDIRECT($F$8),8+(O434-1)*3)&lt;=5,0.3*S434-VLOOKUP(B426,INDIRECT($F$8),6+(O434-1)*3)&lt;=5),MAX(0.4*U434-VLOOKUP(B426,INDIRECT($F$8),8+(O434-1)*3),0.3*S434-VLOOKUP(B426,INDIRECT($F$8),6+(O434-1)*3)),11),IF(0.3*S434-VLOOKUP(B426,INDIRECT($F$8),6+(O434-1)*3)&lt;=5,0.3*S434-VLOOKUP(B426,INDIRECT($F$8),6+(O434-1)*3),11)),IF(VLOOKUP(B426,INDIRECT($F$8),8+(O434-1)*3)&lt;U434*0.4,IF(U434*0.4-VLOOKUP(B426,INDIRECT($F$8),8+(O434-1)*3)&lt;=5,U434*0.4-VLOOKUP(B426,INDIRECT($F$8),8+(O434-1)*3),11),0))))</f>
        <v>0</v>
      </c>
      <c r="X434" s="1" t="str">
        <f ca="1">IF(ISERROR(F426),"",IF(W434=0,"",_xlfn.TEXTJOIN("",FALSE," G+",W434," in ",A434)))</f>
        <v/>
      </c>
    </row>
    <row r="435" spans="1:24" ht="13" customHeight="1" x14ac:dyDescent="0.2">
      <c r="A435" s="7" t="str">
        <f ca="1">IF(ISERROR(F426),"",VLOOKUP(C426,INDIRECT($F$8),6+(O435-1)*3,0))</f>
        <v>CAT 013</v>
      </c>
      <c r="B435" s="41" t="str">
        <f ca="1">IF(ISERROR(F426),"",VLOOKUP(D426,INDIRECT($F$8),6+(O435-1)*3,0))</f>
        <v>Artificial Intelligence</v>
      </c>
      <c r="C435" s="41"/>
      <c r="D435" s="41"/>
      <c r="E435" s="41"/>
      <c r="F435" s="7">
        <f ca="1">IF(ISERROR(F426),"",VLOOKUP(E426,INDIRECT($F$8),6+(O435-1)*3,0))</f>
        <v>4</v>
      </c>
      <c r="G435" s="42" t="e">
        <f ca="1">IF(ISERROR(F426),"",_xlfn.TEXTJOIN("/",FALSE,P435,S435))</f>
        <v>#N/A</v>
      </c>
      <c r="H435" s="42"/>
      <c r="I435" s="42" t="str">
        <f ca="1">IF(ISERROR(F426),"",_xlfn.TEXTJOIN("/",FALSE,Q435,T435))</f>
        <v>44/50</v>
      </c>
      <c r="J435" s="42"/>
      <c r="K435" s="42" t="e">
        <f ca="1">IF(ISERROR(F426),"",_xlfn.TEXTJOIN("/",FALSE,R435,U435))</f>
        <v>#N/A</v>
      </c>
      <c r="L435" s="42"/>
      <c r="M435" s="7" t="e">
        <f ca="1">IF(ISERROR(F426),"",IF(ISTEXT(P435),IF(P435="A","Ab",IF(P435="D","Dt",IF(P435="UFM","UFM",IF(P435="NA","")))),IF(AND(ISBLANK(P435),ISBLANK(R435)),"",IF(P435&lt;0.3*S435,"F",IF(ISBLANK(R435),"",IF(ISTEXT(R435),R435,IF(R435&gt;=0.9*U435,"O",IF(R435&gt;=0.85*U435,"A+",IF(R435&gt;=0.8*U435,"A",IF(R435&gt;=0.7*U435,"B+",IF(R435&gt;=0.6*U435,"B",IF(R435&gt;=0.5*U435,"C",IF(R435&gt;=0.4*U435,"P",IF(R435&lt;0.4*U435,"F",R435))))))))))))))</f>
        <v>#N/A</v>
      </c>
      <c r="N435" s="8" t="e">
        <f t="shared" ca="1" si="44"/>
        <v>#N/A</v>
      </c>
      <c r="O435">
        <f t="shared" si="45"/>
        <v>5</v>
      </c>
      <c r="P435" s="1" t="e">
        <f ca="1">IF(ISERROR(F426),"",IF(ISTEXT(VLOOKUP(B426,INDIRECT($F$8),6+(O435-1)*3)),(VLOOKUP(B426,INDIRECT($F$8),6+(O435-1)*3)),SUM(VLOOKUP(B426,INDIRECT($F$8),6+(O435-1)*3),IF(W441,W435,0))))</f>
        <v>#N/A</v>
      </c>
      <c r="Q435" s="1">
        <f ca="1">IF(ISERROR(F426),"",VLOOKUP(B426,INDIRECT($F$8),7+(O435-1)*3))</f>
        <v>44</v>
      </c>
      <c r="R435" s="1" t="e">
        <f ca="1">IF(ISERROR(F426),"",SUM(P435:Q435))</f>
        <v>#N/A</v>
      </c>
      <c r="S435" s="1">
        <f ca="1">IF(ISERROR(F426),"",VLOOKUP(A426,INDIRECT($F$8),6+(O435-1)*3))</f>
        <v>100</v>
      </c>
      <c r="T435" s="1">
        <f ca="1">IF(ISERROR(F426),"",VLOOKUP(A426,INDIRECT($F$8),7+(O435-1)*3))</f>
        <v>50</v>
      </c>
      <c r="U435" s="1">
        <f ca="1">IF(ISERROR(F426),"",VLOOKUP(A426,INDIRECT($F$8),8+(O435-1)*3))</f>
        <v>150</v>
      </c>
      <c r="V435" s="1" t="e">
        <f ca="1">IF(ISERROR(F426),"",IF(N435=0,A435,""))</f>
        <v>#N/A</v>
      </c>
      <c r="W435" s="1">
        <f ca="1">IF(ISERROR(F426),"",IF(ISTEXT(VLOOKUP(B426,INDIRECT($F$8),6+(O435-1)*3)),11,IF(VLOOKUP(B426,INDIRECT($F$8),6+(O435-1)*3)&lt;S435*0.3,IF(VLOOKUP(B426,INDIRECT($F$8),8+(O435-1)*3)&lt;U435*0.4,IF(AND(0.4*U435-VLOOKUP(B426,INDIRECT($F$8),8+(O435-1)*3)&lt;=5,0.3*S435-VLOOKUP(B426,INDIRECT($F$8),6+(O435-1)*3)&lt;=5),MAX(0.4*U435-VLOOKUP(B426,INDIRECT($F$8),8+(O435-1)*3),0.3*S435-VLOOKUP(B426,INDIRECT($F$8),6+(O435-1)*3)),11),IF(0.3*S435-VLOOKUP(B426,INDIRECT($F$8),6+(O435-1)*3)&lt;=5,0.3*S435-VLOOKUP(B426,INDIRECT($F$8),6+(O435-1)*3),11)),IF(VLOOKUP(B426,INDIRECT($F$8),8+(O435-1)*3)&lt;U435*0.4,IF(U435*0.4-VLOOKUP(B426,INDIRECT($F$8),8+(O435-1)*3)&lt;=5,U435*0.4-VLOOKUP(B426,INDIRECT($F$8),8+(O435-1)*3),11),0))))</f>
        <v>0</v>
      </c>
      <c r="X435" s="1" t="str">
        <f ca="1">IF(ISERROR(F426),"",IF(W435=0,"",_xlfn.TEXTJOIN("",FALSE," G+",W435," in ",A435)))</f>
        <v/>
      </c>
    </row>
    <row r="436" spans="1:24" ht="13" customHeight="1" x14ac:dyDescent="0.2">
      <c r="A436" s="7" t="str">
        <f ca="1">IF(ISERROR(F426),"",VLOOKUP(C426,INDIRECT($F$8),6+(O436-1)*3,0))</f>
        <v>AHT 304</v>
      </c>
      <c r="B436" s="41" t="str">
        <f ca="1">IF(ISERROR(F426),"",VLOOKUP(D426,INDIRECT($F$8),6+(O436-1)*3,0))</f>
        <v>Accounting and Financial Management ($)</v>
      </c>
      <c r="C436" s="41"/>
      <c r="D436" s="41"/>
      <c r="E436" s="41"/>
      <c r="F436" s="7">
        <f ca="1">IF(ISERROR(F426),"",VLOOKUP(E426,INDIRECT($F$8),6+(O436-1)*3,0))</f>
        <v>0</v>
      </c>
      <c r="G436" s="42" t="e">
        <f ca="1">IF(ISERROR(F426),"",_xlfn.TEXTJOIN("/",FALSE,P436,S436))</f>
        <v>#N/A</v>
      </c>
      <c r="H436" s="42"/>
      <c r="I436" s="42" t="str">
        <f ca="1">IF(ISERROR(F426),"",_xlfn.TEXTJOIN("/",FALSE,Q436,T436))</f>
        <v>34/50</v>
      </c>
      <c r="J436" s="42"/>
      <c r="K436" s="42" t="e">
        <f ca="1">IF(ISERROR(F426),"",_xlfn.TEXTJOIN("/",FALSE,R436,U436))</f>
        <v>#N/A</v>
      </c>
      <c r="L436" s="42"/>
      <c r="M436" s="7" t="e">
        <f ca="1">IF(ISERROR(F426),"",IF(ISTEXT(P436),IF(P436="A","Ab",IF(P436="D","Dt",IF(P436="UFM","UFM",IF(P436="NA","")))),IF(AND(ISBLANK(P436),ISBLANK(R436)),"",IF(P436&lt;0.3*S436,"F",IF(ISBLANK(R436),"",IF(ISTEXT(R436),R436,IF(R436&gt;=0.9*U436,"O",IF(R436&gt;=0.85*U436,"A+",IF(R436&gt;=0.8*U436,"A",IF(R436&gt;=0.7*U436,"B+",IF(R436&gt;=0.6*U436,"B",IF(R436&gt;=0.5*U436,"C",IF(R436&gt;=0.4*U436,"P",IF(R436&lt;0.4*U436,"F",R436))))))))))))))</f>
        <v>#N/A</v>
      </c>
      <c r="N436" s="8" t="e">
        <f t="shared" ca="1" si="44"/>
        <v>#N/A</v>
      </c>
      <c r="O436">
        <f t="shared" si="45"/>
        <v>6</v>
      </c>
      <c r="P436" s="1" t="e">
        <f ca="1">IF(ISERROR(F426),"",IF(ISTEXT(VLOOKUP(B426,INDIRECT($F$8),6+(O436-1)*3)),(VLOOKUP(B426,INDIRECT($F$8),6+(O436-1)*3)),SUM(VLOOKUP(B426,INDIRECT($F$8),6+(O436-1)*3),IF(W441,W436,0))))</f>
        <v>#N/A</v>
      </c>
      <c r="Q436" s="1">
        <f ca="1">IF(ISERROR(F426),"",VLOOKUP(B426,INDIRECT($F$8),7+(O436-1)*3))</f>
        <v>34</v>
      </c>
      <c r="R436" s="1" t="e">
        <f ca="1">IF(ISERROR(F426),"",SUM(P436:Q436))</f>
        <v>#N/A</v>
      </c>
      <c r="S436" s="1">
        <f ca="1">IF(ISERROR(F426),"",VLOOKUP(A426,INDIRECT($F$8),6+(O436-1)*3))</f>
        <v>0</v>
      </c>
      <c r="T436" s="1">
        <f ca="1">IF(ISERROR(F426),"",VLOOKUP(A426,INDIRECT($F$8),7+(O436-1)*3))</f>
        <v>50</v>
      </c>
      <c r="U436" s="1">
        <f ca="1">IF(ISERROR(F426),"",VLOOKUP(A426,INDIRECT($F$8),8+(O436-1)*3))</f>
        <v>50</v>
      </c>
      <c r="V436" s="1" t="e">
        <f ca="1">IF(ISERROR(F426),"",IF(N436=0,A436,""))</f>
        <v>#N/A</v>
      </c>
      <c r="W436" s="1">
        <f ca="1">IF(ISERROR(F426),"",IF(ISTEXT(VLOOKUP(B426,INDIRECT($F$8),6+(O436-1)*3)),11,IF(VLOOKUP(B426,INDIRECT($F$8),6+(O436-1)*3)&lt;S436*0.3,IF(VLOOKUP(B426,INDIRECT($F$8),8+(O436-1)*3)&lt;U436*0.4,IF(AND(0.4*U436-VLOOKUP(B426,INDIRECT($F$8),8+(O436-1)*3)&lt;=5,0.3*S436-VLOOKUP(B426,INDIRECT($F$8),6+(O436-1)*3)&lt;=5),MAX(0.4*U436-VLOOKUP(B426,INDIRECT($F$8),8+(O436-1)*3),0.3*S436-VLOOKUP(B426,INDIRECT($F$8),6+(O436-1)*3)),11),IF(0.3*S436-VLOOKUP(B426,INDIRECT($F$8),6+(O436-1)*3)&lt;=5,0.3*S436-VLOOKUP(B426,INDIRECT($F$8),6+(O436-1)*3),11)),IF(VLOOKUP(B426,INDIRECT($F$8),8+(O436-1)*3)&lt;U436*0.4,IF(U436*0.4-VLOOKUP(B426,INDIRECT($F$8),8+(O436-1)*3)&lt;=5,U436*0.4-VLOOKUP(B426,INDIRECT($F$8),8+(O436-1)*3),11),0))))</f>
        <v>0</v>
      </c>
      <c r="X436" s="1" t="str">
        <f ca="1">IF(ISERROR(F426),"",IF(W436=0,"",_xlfn.TEXTJOIN("",FALSE," G+",W436," in ",A436)))</f>
        <v/>
      </c>
    </row>
    <row r="437" spans="1:24" ht="13" customHeight="1" x14ac:dyDescent="0.2">
      <c r="A437" s="7" t="str">
        <f ca="1">IF(ISERROR(F426),"",VLOOKUP(C426,INDIRECT($F$8),6+(O437-1)*3,0))</f>
        <v>CAP 004</v>
      </c>
      <c r="B437" s="41" t="str">
        <f ca="1">IF(ISERROR(F426),"",VLOOKUP(D426,INDIRECT($F$8),6+(O437-1)*3,0))</f>
        <v>Data Structures and Analysis of Algorithms Lab</v>
      </c>
      <c r="C437" s="41"/>
      <c r="D437" s="41"/>
      <c r="E437" s="41"/>
      <c r="F437" s="7">
        <f ca="1">IF(ISERROR(F426),"",VLOOKUP(E426,INDIRECT($F$8),6+(O437-1)*3,0))</f>
        <v>1</v>
      </c>
      <c r="G437" s="42" t="e">
        <f ca="1">IF(ISERROR(F426),"",_xlfn.TEXTJOIN("/",FALSE,P437,S437))</f>
        <v>#N/A</v>
      </c>
      <c r="H437" s="42"/>
      <c r="I437" s="42" t="str">
        <f ca="1">IF(ISERROR(F426),"",_xlfn.TEXTJOIN("/",FALSE,Q437,T437))</f>
        <v>16/20</v>
      </c>
      <c r="J437" s="42"/>
      <c r="K437" s="42" t="e">
        <f ca="1">IF(ISERROR(F426),"",_xlfn.TEXTJOIN("/",FALSE,R437,U437))</f>
        <v>#N/A</v>
      </c>
      <c r="L437" s="42"/>
      <c r="M437" s="7" t="e">
        <f ca="1">IF(ISERROR(F426),"",IF(ISTEXT(P437),IF(P437="A","Ab",IF(P437="D","Dt",IF(P437="UFM","UFM",IF(P437="NA","")))),IF(AND(ISBLANK(P437),ISBLANK(R437)),"",IF(P437&lt;0.3*S437,"F",IF(ISBLANK(R437),"",IF(ISTEXT(R437),R437,IF(R437&gt;=0.9*U437,"O",IF(R437&gt;=0.85*U437,"A+",IF(R437&gt;=0.8*U437,"A",IF(R437&gt;=0.7*U437,"B+",IF(R437&gt;=0.6*U437,"B",IF(R437&gt;=0.5*U437,"C",IF(R437&gt;=0.4*U437,"P",IF(R437&lt;0.4*U437,"F",R437))))))))))))))</f>
        <v>#N/A</v>
      </c>
      <c r="N437" s="8" t="e">
        <f t="shared" ca="1" si="44"/>
        <v>#N/A</v>
      </c>
      <c r="O437">
        <f t="shared" si="45"/>
        <v>7</v>
      </c>
      <c r="P437" s="1" t="e">
        <f ca="1">IF(ISERROR(F426),"",IF(ISTEXT(VLOOKUP(B426,INDIRECT($F$8),6+(O437-1)*3)),(VLOOKUP(B426,INDIRECT($F$8),6+(O437-1)*3)),SUM(VLOOKUP(B426,INDIRECT($F$8),6+(O437-1)*3),IF(W441,W437,0))))</f>
        <v>#N/A</v>
      </c>
      <c r="Q437" s="1">
        <f ca="1">IF(ISERROR(F426),"",VLOOKUP(B426,INDIRECT($F$8),7+(O437-1)*3))</f>
        <v>16</v>
      </c>
      <c r="R437" s="1" t="e">
        <f ca="1">IF(ISERROR(F426),"",SUM(P437:Q437))</f>
        <v>#N/A</v>
      </c>
      <c r="S437" s="1">
        <f ca="1">IF(ISERROR(F426),"",VLOOKUP(A426,INDIRECT($F$8),6+(O437-1)*3))</f>
        <v>30</v>
      </c>
      <c r="T437" s="1">
        <f ca="1">IF(ISERROR(F426),"",VLOOKUP(A426,INDIRECT($F$8),7+(O437-1)*3))</f>
        <v>20</v>
      </c>
      <c r="U437" s="1">
        <f ca="1">IF(ISERROR(F426),"",VLOOKUP(A426,INDIRECT($F$8),8+(O437-1)*3))</f>
        <v>50</v>
      </c>
      <c r="V437" s="1" t="e">
        <f ca="1">IF(ISERROR(F426),"",IF(N437=0,A437,""))</f>
        <v>#N/A</v>
      </c>
      <c r="W437" s="1">
        <f ca="1">IF(ISERROR(F426),"",IF(ISTEXT(VLOOKUP(B426,INDIRECT($F$8),6+(O437-1)*3)),11,IF(VLOOKUP(B426,INDIRECT($F$8),6+(O437-1)*3)&lt;S437*0.3,IF(VLOOKUP(B426,INDIRECT($F$8),8+(O437-1)*3)&lt;U437*0.4,IF(AND(0.4*U437-VLOOKUP(B426,INDIRECT($F$8),8+(O437-1)*3)&lt;=5,0.3*S437-VLOOKUP(B426,INDIRECT($F$8),6+(O437-1)*3)&lt;=5),MAX(0.4*U437-VLOOKUP(B426,INDIRECT($F$8),8+(O437-1)*3),0.3*S437-VLOOKUP(B426,INDIRECT($F$8),6+(O437-1)*3)),11),IF(0.3*S437-VLOOKUP(B426,INDIRECT($F$8),6+(O437-1)*3)&lt;=5,0.3*S437-VLOOKUP(B426,INDIRECT($F$8),6+(O437-1)*3),11)),IF(VLOOKUP(B426,INDIRECT($F$8),8+(O437-1)*3)&lt;U437*0.4,IF(U437*0.4-VLOOKUP(B426,INDIRECT($F$8),8+(O437-1)*3)&lt;=5,U437*0.4-VLOOKUP(B426,INDIRECT($F$8),8+(O437-1)*3),11),0))))</f>
        <v>0</v>
      </c>
      <c r="X437" s="1" t="str">
        <f ca="1">IF(ISERROR(F426),"",IF(W437=0,"",_xlfn.TEXTJOIN("",FALSE," G+",W437," in ",A437)))</f>
        <v/>
      </c>
    </row>
    <row r="438" spans="1:24" ht="13" customHeight="1" x14ac:dyDescent="0.2">
      <c r="A438" s="7" t="str">
        <f ca="1">IF(ISERROR(F426),"",VLOOKUP(C426,INDIRECT($F$8),6+(O438-1)*3,0))</f>
        <v>CAP 005</v>
      </c>
      <c r="B438" s="41" t="str">
        <f ca="1">IF(ISERROR(F426),"",VLOOKUP(D426,INDIRECT($F$8),6+(O438-1)*3-Z438,0))</f>
        <v>Object Oriented Programming with JAVA Lab</v>
      </c>
      <c r="C438" s="41"/>
      <c r="D438" s="41"/>
      <c r="E438" s="41"/>
      <c r="F438" s="7">
        <f ca="1">IF(ISERROR(F426),"",VLOOKUP(E426,INDIRECT($F$8),6+(O438-1)*3,0))</f>
        <v>1</v>
      </c>
      <c r="G438" s="42" t="e">
        <f ca="1">IF(ISERROR(F426),"",_xlfn.TEXTJOIN("/",FALSE,P438,S438))</f>
        <v>#N/A</v>
      </c>
      <c r="H438" s="42"/>
      <c r="I438" s="42" t="str">
        <f ca="1">IF(ISERROR(F426),"",_xlfn.TEXTJOIN("/",FALSE,Q438,T438))</f>
        <v>15/20</v>
      </c>
      <c r="J438" s="42"/>
      <c r="K438" s="42" t="e">
        <f ca="1">IF(ISERROR(F426),"",_xlfn.TEXTJOIN("/",FALSE,R438,U438))</f>
        <v>#N/A</v>
      </c>
      <c r="L438" s="42"/>
      <c r="M438" s="7" t="e">
        <f ca="1">IF(ISERROR(F426),"",IF(ISTEXT(P438),IF(P438="A","Ab",IF(P438="D","Dt",IF(P438="UFM","UFM",IF(P438="NA","")))),IF(AND(ISBLANK(P438),ISBLANK(R438)),"",IF(P438&lt;0.3*S438,"F",IF(ISBLANK(R438),"",IF(ISTEXT(R438),R438,IF(R438&gt;=0.9*U438,"O",IF(R438&gt;=0.85*U438,"A+",IF(R438&gt;=0.8*U438,"A",IF(R438&gt;=0.7*U438,"B+",IF(R438&gt;=0.6*U438,"B",IF(R438&gt;=0.5*U438,"C",IF(R438&gt;=0.4*U438,"P",IF(R438&lt;0.4*U438,"F",R438))))))))))))))</f>
        <v>#N/A</v>
      </c>
      <c r="N438" s="8" t="e">
        <f t="shared" ca="1" si="44"/>
        <v>#N/A</v>
      </c>
      <c r="O438">
        <f t="shared" si="45"/>
        <v>8</v>
      </c>
      <c r="P438" s="1" t="e">
        <f ca="1">IF(ISERROR(F426),"",IF(ISTEXT(VLOOKUP(B426,INDIRECT($F$8),6+(O438-1)*3)),(VLOOKUP(B426,INDIRECT($F$8),6+(O438-1)*3)),SUM(VLOOKUP(B426,INDIRECT($F$8),6+(O438-1)*3),IF(W441,W438,0))))</f>
        <v>#N/A</v>
      </c>
      <c r="Q438" s="1">
        <f ca="1">IF(ISERROR(F426),"",VLOOKUP(B426,INDIRECT($F$8),7+(O438-1)*3))</f>
        <v>15</v>
      </c>
      <c r="R438" s="1" t="e">
        <f ca="1">IF(ISERROR(F426),"",SUM(P438:Q438))</f>
        <v>#N/A</v>
      </c>
      <c r="S438" s="1">
        <f ca="1">IF(ISERROR(F426),"",VLOOKUP(A426,INDIRECT($F$8),6+(O438-1)*3))</f>
        <v>30</v>
      </c>
      <c r="T438" s="1">
        <f ca="1">IF(ISERROR(F426),"",VLOOKUP(A426,INDIRECT($F$8),7+(O438-1)*3))</f>
        <v>20</v>
      </c>
      <c r="U438" s="1">
        <f ca="1">IF(ISERROR(F426),"",VLOOKUP(A426,INDIRECT($F$8),8+(O438-1)*3))</f>
        <v>50</v>
      </c>
      <c r="V438" s="1" t="e">
        <f ca="1">IF(ISERROR(F426),"",IF(N438=0,A438,""))</f>
        <v>#N/A</v>
      </c>
      <c r="W438" s="1">
        <f ca="1">IF(ISERROR(F426),"",IF(ISTEXT(VLOOKUP(B426,INDIRECT($F$8),6+(O438-1)*3)),11,IF(VLOOKUP(B426,INDIRECT($F$8),6+(O438-1)*3)&lt;S438*0.3,IF(VLOOKUP(B426,INDIRECT($F$8),8+(O438-1)*3)&lt;U438*0.4,IF(AND(0.4*U438-VLOOKUP(B426,INDIRECT($F$8),8+(O438-1)*3)&lt;=5,0.3*S438-VLOOKUP(B426,INDIRECT($F$8),6+(O438-1)*3)&lt;=5),MAX(0.4*U438-VLOOKUP(B426,INDIRECT($F$8),8+(O438-1)*3),0.3*S438-VLOOKUP(B426,INDIRECT($F$8),6+(O438-1)*3)),11),IF(0.3*S438-VLOOKUP(B426,INDIRECT($F$8),6+(O438-1)*3)&lt;=5,0.3*S438-VLOOKUP(B426,INDIRECT($F$8),6+(O438-1)*3),11)),IF(VLOOKUP(B426,INDIRECT($F$8),8+(O438-1)*3)&lt;U438*0.4,IF(U438*0.4-VLOOKUP(B426,INDIRECT($F$8),8+(O438-1)*3)&lt;=5,U438*0.4-VLOOKUP(B426,INDIRECT($F$8),8+(O438-1)*3),11),0))))</f>
        <v>0</v>
      </c>
      <c r="X438" s="1" t="str">
        <f ca="1">IF(ISERROR(F426),"",IF(W438=0,"",_xlfn.TEXTJOIN("",FALSE," G+",W438," in ",A438)))</f>
        <v/>
      </c>
    </row>
    <row r="439" spans="1:24" ht="13" customHeight="1" x14ac:dyDescent="0.2">
      <c r="A439" s="7" t="str">
        <f ca="1">IF(ISERROR(F426),"",VLOOKUP(C426,INDIRECT($F$8),6+(O439-1)*3,0))</f>
        <v>CAP 006</v>
      </c>
      <c r="B439" s="41" t="str">
        <f ca="1">IF(ISERROR(F426),"",VLOOKUP(D426,INDIRECT($F$8),6+(O439-1)*3-Z439,0))</f>
        <v>Computer Networks Lab</v>
      </c>
      <c r="C439" s="41"/>
      <c r="D439" s="41"/>
      <c r="E439" s="41"/>
      <c r="F439" s="7">
        <f ca="1">IF(ISERROR(F426),"",VLOOKUP(E426,INDIRECT($F$8),6+(O439-1)*3,0))</f>
        <v>1</v>
      </c>
      <c r="G439" s="42" t="e">
        <f ca="1">IF(ISERROR(F426),"",_xlfn.TEXTJOIN("/",FALSE,P439,S439))</f>
        <v>#N/A</v>
      </c>
      <c r="H439" s="42"/>
      <c r="I439" s="42" t="str">
        <f ca="1">IF(ISERROR(F426),"",_xlfn.TEXTJOIN("/",FALSE,Q439,T439))</f>
        <v>16/20</v>
      </c>
      <c r="J439" s="42"/>
      <c r="K439" s="42" t="e">
        <f ca="1">IF(ISERROR(F426),"",_xlfn.TEXTJOIN("/",FALSE,R439,U439))</f>
        <v>#N/A</v>
      </c>
      <c r="L439" s="42"/>
      <c r="M439" s="7" t="e">
        <f ca="1">IF(ISERROR(F426),"",IF(ISTEXT(P439),IF(P439="A","Ab",IF(P439="D","Dt",IF(P439="UFM","UFM",IF(P439="NA","")))),IF(AND(ISBLANK(P439),ISBLANK(R439)),"",IF(P439&lt;0.3*S439,"F",IF(ISBLANK(R439),"",IF(ISTEXT(R439),R439,IF(R439&gt;=0.9*U439,"O",IF(R439&gt;=0.85*U439,"A+",IF(R439&gt;=0.8*U439,"A",IF(R439&gt;=0.7*U439,"B+",IF(R439&gt;=0.6*U439,"B",IF(R439&gt;=0.5*U439,"C",IF(R439&gt;=0.4*U439,"P",IF(R439&lt;0.4*U439,"F",R439))))))))))))))</f>
        <v>#N/A</v>
      </c>
      <c r="N439" s="8" t="e">
        <f t="shared" ca="1" si="44"/>
        <v>#N/A</v>
      </c>
      <c r="O439">
        <f t="shared" si="45"/>
        <v>9</v>
      </c>
      <c r="P439" s="1" t="e">
        <f ca="1">IF(ISERROR(F426),"",IF(ISTEXT(VLOOKUP(B426,INDIRECT($F$8),6+(O439-1)*3)),(VLOOKUP(B426,INDIRECT($F$8),6+(O439-1)*3)),SUM(VLOOKUP(B426,INDIRECT($F$8),6+(O439-1)*3),IF(W441,W439,0))))</f>
        <v>#N/A</v>
      </c>
      <c r="Q439" s="1">
        <f ca="1">IF(ISERROR(F426),"",VLOOKUP(B426,INDIRECT($F$8),7+(O439-1)*3))</f>
        <v>16</v>
      </c>
      <c r="R439" s="1" t="e">
        <f ca="1">IF(ISERROR(F426),"",SUM(P439:Q439))</f>
        <v>#N/A</v>
      </c>
      <c r="S439" s="1">
        <f ca="1">IF(ISERROR(F426),"",VLOOKUP(A426,INDIRECT($F$8),6+(O439-1)*3))</f>
        <v>30</v>
      </c>
      <c r="T439" s="1">
        <f ca="1">IF(ISERROR(F426),"",VLOOKUP(A426,INDIRECT($F$8),7+(O439-1)*3))</f>
        <v>20</v>
      </c>
      <c r="U439" s="1">
        <f ca="1">IF(ISERROR(F426),"",VLOOKUP(A426,INDIRECT($F$8),8+(O439-1)*3))</f>
        <v>50</v>
      </c>
      <c r="V439" s="1" t="e">
        <f ca="1">IF(ISERROR(F426),"",IF(N439=0,A439,""))</f>
        <v>#N/A</v>
      </c>
      <c r="W439" s="1">
        <f ca="1">IF(ISERROR(F426),"",IF(ISTEXT(VLOOKUP(B426,INDIRECT($F$8),6+(O439-1)*3)),11,IF(VLOOKUP(B426,INDIRECT($F$8),6+(O439-1)*3)&lt;S439*0.3,IF(VLOOKUP(B426,INDIRECT($F$8),8+(O439-1)*3)&lt;U439*0.4,IF(AND(0.4*U439-VLOOKUP(B426,INDIRECT($F$8),8+(O439-1)*3)&lt;=5,0.3*S439-VLOOKUP(B426,INDIRECT($F$8),6+(O439-1)*3)&lt;=5),MAX(0.4*U439-VLOOKUP(B426,INDIRECT($F$8),8+(O439-1)*3),0.3*S439-VLOOKUP(B426,INDIRECT($F$8),6+(O439-1)*3)),11),IF(0.3*S439-VLOOKUP(B426,INDIRECT($F$8),6+(O439-1)*3)&lt;=5,0.3*S439-VLOOKUP(B426,INDIRECT($F$8),6+(O439-1)*3),11)),IF(VLOOKUP(B426,INDIRECT($F$8),8+(O439-1)*3)&lt;U439*0.4,IF(U439*0.4-VLOOKUP(B426,INDIRECT($F$8),8+(O439-1)*3)&lt;=5,U439*0.4-VLOOKUP(B426,INDIRECT($F$8),8+(O439-1)*3),11),0))))</f>
        <v>0</v>
      </c>
      <c r="X439" s="1" t="str">
        <f ca="1">IF(ISERROR(F426),"",IF(W439=0,"",_xlfn.TEXTJOIN("",FALSE," G+",W439," in ",A439)))</f>
        <v/>
      </c>
    </row>
    <row r="440" spans="1:24" ht="13" customHeight="1" x14ac:dyDescent="0.2">
      <c r="A440" s="7" t="str">
        <f ca="1">IF(ISERROR(F426),"",VLOOKUP(C426,INDIRECT($F$8),6+(O440-1)*3,0))</f>
        <v>CAP 007</v>
      </c>
      <c r="B440" s="41" t="str">
        <f ca="1">IF(ISERROR(F426),"",VLOOKUP(D426,INDIRECT($F$8),6+(O440-1)*3,0))</f>
        <v>Artificial Intelligence Lab</v>
      </c>
      <c r="C440" s="41"/>
      <c r="D440" s="41"/>
      <c r="E440" s="41"/>
      <c r="F440" s="7">
        <f ca="1">IF(ISERROR(F426),"",VLOOKUP(E426,INDIRECT($F$8),6+(O440-1)*3,0))</f>
        <v>1</v>
      </c>
      <c r="G440" s="42" t="e">
        <f ca="1">IF(ISERROR(F426),"",_xlfn.TEXTJOIN("/",FALSE,P440,S440))</f>
        <v>#N/A</v>
      </c>
      <c r="H440" s="42"/>
      <c r="I440" s="42" t="str">
        <f ca="1">IF(ISERROR(F426),"",_xlfn.TEXTJOIN("/",FALSE,Q440,T440))</f>
        <v>19/20</v>
      </c>
      <c r="J440" s="42"/>
      <c r="K440" s="42" t="e">
        <f ca="1">IF(ISERROR(F426),"",_xlfn.TEXTJOIN("/",FALSE,R440,U440))</f>
        <v>#N/A</v>
      </c>
      <c r="L440" s="42"/>
      <c r="M440" s="7" t="e">
        <f ca="1">IF(ISERROR(F426),"",IF(ISTEXT(P440),IF(P440="A","Ab",IF(P440="D","Dt",IF(P440="UFM","UFM",IF(P440="NA","")))),IF(AND(ISBLANK(P440),ISBLANK(R440)),"",IF(P440&lt;0.3*S440,"F",IF(ISBLANK(R440),"",IF(ISTEXT(R440),R440,IF(R440&gt;=0.9*U440,"O",IF(R440&gt;=0.85*U440,"A+",IF(R440&gt;=0.8*U440,"A",IF(R440&gt;=0.7*U440,"B+",IF(R440&gt;=0.6*U440,"B",IF(R440&gt;=0.5*U440,"C",IF(R440&gt;=0.4*U440,"P",IF(R440&lt;0.4*U440,"F",R440))))))))))))))</f>
        <v>#N/A</v>
      </c>
      <c r="N440" s="8" t="e">
        <f t="shared" ca="1" si="44"/>
        <v>#N/A</v>
      </c>
      <c r="O440">
        <f t="shared" si="45"/>
        <v>10</v>
      </c>
      <c r="P440" s="1" t="e">
        <f ca="1">IF(ISERROR(F426),"",IF(ISTEXT(VLOOKUP(B426,INDIRECT($F$8),6+(O440-1)*3)),(VLOOKUP(B426,INDIRECT($F$8),6+(O440-1)*3)),SUM(VLOOKUP(B426,INDIRECT($F$8),6+(O440-1)*3),IF(W441,W440,0))))</f>
        <v>#N/A</v>
      </c>
      <c r="Q440" s="1">
        <f ca="1">IF(ISERROR(F426),"",VLOOKUP(B426,INDIRECT($F$8),7+(O440-1)*3))</f>
        <v>19</v>
      </c>
      <c r="R440" s="1" t="e">
        <f ca="1">IF(ISERROR(F426),"",SUM(P440:Q440))</f>
        <v>#N/A</v>
      </c>
      <c r="S440" s="1">
        <f ca="1">IF(ISERROR(F426),"",VLOOKUP(A426,INDIRECT($F$8),6+(O440-1)*3))</f>
        <v>30</v>
      </c>
      <c r="T440" s="1">
        <f ca="1">IF(ISERROR(F426),"",VLOOKUP(A426,INDIRECT($F$8),7+(O440-1)*3))</f>
        <v>20</v>
      </c>
      <c r="U440" s="1">
        <f ca="1">IF(ISERROR(F426),"",VLOOKUP(A426,INDIRECT($F$8),8+(O440-1)*3))</f>
        <v>50</v>
      </c>
      <c r="V440" s="1" t="e">
        <f ca="1">IF(ISERROR(F426),"",IF(N440=0,A440,""))</f>
        <v>#N/A</v>
      </c>
      <c r="W440" s="1">
        <f ca="1">IF(ISERROR(F426),"",IF(ISTEXT(VLOOKUP(B426,INDIRECT($F$8),6+(O440-1)*3)),11,IF(VLOOKUP(B426,INDIRECT($F$8),6+(O440-1)*3)&lt;S440*0.3,IF(VLOOKUP(B426,INDIRECT($F$8),8+(O440-1)*3)&lt;U440*0.4,IF(AND(0.4*U440-VLOOKUP(B426,INDIRECT($F$8),8+(O440-1)*3)&lt;=5,0.3*S440-VLOOKUP(B426,INDIRECT($F$8),6+(O440-1)*3)&lt;=5),MAX(0.4*U440-VLOOKUP(B426,INDIRECT($F$8),8+(O440-1)*3),0.3*S440-VLOOKUP(B426,INDIRECT($F$8),6+(O440-1)*3)),11),IF(0.3*S440-VLOOKUP(B426,INDIRECT($F$8),6+(O440-1)*3)&lt;=5,0.3*S440-VLOOKUP(B426,INDIRECT($F$8),6+(O440-1)*3),11)),IF(VLOOKUP(B426,INDIRECT($F$8),8+(O440-1)*3)&lt;U440*0.4,IF(U440*0.4-VLOOKUP(B426,INDIRECT($F$8),8+(O440-1)*3)&lt;=5,U440*0.4-VLOOKUP(B426,INDIRECT($F$8),8+(O440-1)*3),11),0))))</f>
        <v>0</v>
      </c>
      <c r="X440" s="1" t="str">
        <f ca="1">IF(ISERROR(F426),"",IF(W440=0,"",_xlfn.TEXTJOIN("",FALSE," G+",W440," in ",A440)))</f>
        <v/>
      </c>
    </row>
    <row r="441" spans="1:24" ht="13" customHeight="1" x14ac:dyDescent="0.2">
      <c r="A441" s="43" t="str">
        <f ca="1">IF(ISERROR(F426),"",A422)</f>
        <v>Total Credits/ Marks/ Total Grade Points</v>
      </c>
      <c r="B441" s="43"/>
      <c r="C441" s="43"/>
      <c r="D441" s="43"/>
      <c r="E441" s="43"/>
      <c r="F441" s="10">
        <f ca="1">IF(ISERROR(F426),"",SUM(F431:F440))</f>
        <v>24</v>
      </c>
      <c r="G441" s="44" t="e">
        <f ca="1">IF(ISERROR(F426),"",_xlfn.TEXTJOIN("/",TRUE,SUMIF(F431:F440,"&gt;0",P431:P440),SUMIF(F431:F440,"&gt;0",S431:S440)))</f>
        <v>#N/A</v>
      </c>
      <c r="H441" s="44"/>
      <c r="I441" s="44" t="str">
        <f ca="1">IF(ISERROR(F426),"",_xlfn.TEXTJOIN("/",TRUE,SUMIF(F431:F440,"&gt;0",Q431:Q440),SUMIF(F431:F440,"&gt;0",T431:T440)))</f>
        <v>274/330</v>
      </c>
      <c r="J441" s="44"/>
      <c r="K441" s="44" t="e">
        <f ca="1">IF(ISERROR(F426),"",_xlfn.TEXTJOIN("/",TRUE,SUMIF(F431:F440,"&gt;0",R431:R440),SUMIF(F431:F440,"&gt;0",U431:U440)))</f>
        <v>#N/A</v>
      </c>
      <c r="L441" s="44"/>
      <c r="M441" s="43" t="e">
        <f ca="1">IF(ISERROR(F426),"",SUMPRODUCT(N431:N440,F431:F440))</f>
        <v>#N/A</v>
      </c>
      <c r="N441" s="43"/>
      <c r="V441" s="1" t="e">
        <f ca="1">IF(ISERROR(F426),"",_xlfn.TEXTJOIN(", ",TRUE,V431:V440))</f>
        <v>#N/A</v>
      </c>
      <c r="W441" t="e">
        <f ca="1">IF(ISERROR(F426),"",IF(SUM(W431:W440)&lt;=W430,TRUE,FALSE))</f>
        <v>#N/A</v>
      </c>
      <c r="X441" s="1" t="str">
        <f ca="1">IF(ISERROR(F426),"",_xlfn.TEXTJOIN(",",TRUE,X431:X440))</f>
        <v/>
      </c>
    </row>
    <row r="442" spans="1:24" ht="13" customHeight="1" x14ac:dyDescent="0.2">
      <c r="A442" s="43" t="str">
        <f ca="1">IF(ISERROR(F426),"",A423)</f>
        <v>Result:</v>
      </c>
      <c r="B442" s="45" t="e">
        <f ca="1">IF(ISERROR(F426),"",IF(V441="","PASS","CARRY OVER"))</f>
        <v>#N/A</v>
      </c>
      <c r="C442" s="45"/>
      <c r="D442" s="43" t="str">
        <f ca="1">IF(ISERROR(F426),"",D423)</f>
        <v>Remark:</v>
      </c>
      <c r="E442" s="45" t="e">
        <f ca="1">IF(ISERROR(F426),"",IF(V441="",IF(X441="","",X441),_xlfn.TEXTJOIN(" ",TRUE,"BACK IN",V441)))</f>
        <v>#N/A</v>
      </c>
      <c r="F442" s="45"/>
      <c r="G442" s="43" t="str">
        <f ca="1">IF(ISERROR(F426),"",G423)</f>
        <v>SGPA:</v>
      </c>
      <c r="H442" s="46" t="e">
        <f ca="1">IF(ISERROR(F426),"",M441/F441)</f>
        <v>#N/A</v>
      </c>
      <c r="I442" s="43" t="str">
        <f ca="1">IF(ISERROR(F426),"",I423)</f>
        <v>CGPA:</v>
      </c>
      <c r="J442" s="46" t="e">
        <f ca="1">IF(ISERROR(F426),"",VLOOKUP(B426,INDIRECT($F$8),12+(O440-1)*3,0))</f>
        <v>#N/A</v>
      </c>
      <c r="K442" s="45" t="str">
        <f ca="1">IF(ISERROR(F426),"",K423)</f>
        <v>Earned Credits:</v>
      </c>
      <c r="L442" s="43">
        <f ca="1">IF(ISERROR(F426),"",SUMIF(N431:N440,"&gt;0",F431:F440))</f>
        <v>0</v>
      </c>
      <c r="M442" s="45" t="str">
        <f ca="1">IF(ISERROR(F426),"",M423)</f>
        <v>Cuml. Earned Credits:</v>
      </c>
      <c r="N442" s="43" t="e">
        <f ca="1">IF(ISERROR(F426),"",VLOOKUP(B426,INDIRECT($F$8),10+(O440-1)*3,0))</f>
        <v>#N/A</v>
      </c>
    </row>
    <row r="443" spans="1:24" ht="13" customHeight="1" x14ac:dyDescent="0.2">
      <c r="A443" s="43"/>
      <c r="B443" s="45"/>
      <c r="C443" s="45"/>
      <c r="D443" s="43"/>
      <c r="E443" s="45"/>
      <c r="F443" s="45"/>
      <c r="G443" s="43"/>
      <c r="H443" s="46"/>
      <c r="I443" s="43"/>
      <c r="J443" s="46"/>
      <c r="K443" s="45"/>
      <c r="L443" s="43"/>
      <c r="M443" s="45"/>
      <c r="N443" s="43"/>
    </row>
    <row r="444" spans="1:24" ht="15" x14ac:dyDescent="0.2">
      <c r="A444" s="43"/>
      <c r="B444" s="45"/>
      <c r="C444" s="45"/>
      <c r="D444" s="43"/>
      <c r="E444" s="45"/>
      <c r="F444" s="45"/>
      <c r="G444" s="43"/>
      <c r="H444" s="46"/>
      <c r="I444" s="43"/>
      <c r="J444" s="46"/>
      <c r="K444" s="45"/>
      <c r="L444" s="43"/>
      <c r="M444" s="45"/>
      <c r="N444" s="43"/>
    </row>
    <row r="445" spans="1:24" ht="13" customHeight="1" x14ac:dyDescent="0.2">
      <c r="A445" s="11" t="str">
        <f>A426</f>
        <v>MM</v>
      </c>
      <c r="B445" s="11">
        <f>B426+1</f>
        <v>24</v>
      </c>
      <c r="C445" s="11" t="str">
        <f>C426</f>
        <v>SC</v>
      </c>
      <c r="D445" s="11" t="str">
        <f>D426</f>
        <v>SN</v>
      </c>
      <c r="E445" s="11" t="str">
        <f>E426</f>
        <v>C</v>
      </c>
      <c r="F445" s="11" t="str">
        <f ca="1">VLOOKUP(B445,INDIRECT($F$8),4,0)</f>
        <v>SIDDHARTH PATWAL</v>
      </c>
    </row>
    <row r="446" spans="1:24" ht="13" customHeight="1" x14ac:dyDescent="0.2">
      <c r="A446" s="47" t="str">
        <f ca="1">IF(ISERROR(F445),"",A427)</f>
        <v>Name:</v>
      </c>
      <c r="B446" s="47" t="str">
        <f ca="1">IFERROR(VLOOKUP(B445,INDIRECT($F$8),4,0),"")</f>
        <v>SIDDHARTH PATWAL</v>
      </c>
      <c r="C446" s="47"/>
      <c r="D446" s="47" t="str">
        <f ca="1">IF(ISERROR(F445),"",D427)</f>
        <v>Father's Name:</v>
      </c>
      <c r="E446" s="47" t="str">
        <f ca="1">IFERROR(VLOOKUP(B445,INDIRECT($F$8),5,0),"")</f>
        <v>MANOJ PATWAL</v>
      </c>
      <c r="F446" s="47"/>
      <c r="G446" s="47" t="str">
        <f ca="1">IF(ISERROR(F445),"",G427)</f>
        <v>University Roll No:</v>
      </c>
      <c r="H446" s="47"/>
      <c r="I446" s="48">
        <f ca="1">IFERROR(VLOOKUP(B445,INDIRECT($F$8),2,0),"")</f>
        <v>240090600024</v>
      </c>
      <c r="J446" s="48"/>
      <c r="K446" s="47" t="str">
        <f ca="1">IF(ISERROR(F445),"",K427)</f>
        <v>University Enrol. No:</v>
      </c>
      <c r="L446" s="47"/>
      <c r="M446" s="48" t="str">
        <f ca="1">IFERROR(VLOOKUP(B445,INDIRECT($F$8),3,0),"")</f>
        <v>UTU/2406100190</v>
      </c>
      <c r="N446" s="48"/>
    </row>
    <row r="447" spans="1:24" ht="15" x14ac:dyDescent="0.2">
      <c r="A447" s="47"/>
      <c r="B447" s="47"/>
      <c r="C447" s="47"/>
      <c r="D447" s="47"/>
      <c r="E447" s="47"/>
      <c r="F447" s="47"/>
      <c r="G447" s="47"/>
      <c r="H447" s="47"/>
      <c r="I447" s="48"/>
      <c r="J447" s="48"/>
      <c r="K447" s="47"/>
      <c r="L447" s="47"/>
      <c r="M447" s="48"/>
      <c r="N447" s="48"/>
    </row>
    <row r="448" spans="1:24" ht="13" customHeight="1" x14ac:dyDescent="0.2">
      <c r="A448" s="45" t="str">
        <f ca="1">IF(ISERROR(F445),"",A429)</f>
        <v>Subject Code</v>
      </c>
      <c r="B448" s="45" t="str">
        <f ca="1">IF(ISERROR(F445),"",B429)</f>
        <v>Subject Name</v>
      </c>
      <c r="C448" s="45"/>
      <c r="D448" s="45"/>
      <c r="E448" s="45"/>
      <c r="F448" s="45" t="str">
        <f ca="1">IF(ISERROR(F445),"",F429)</f>
        <v>Credits</v>
      </c>
      <c r="G448" s="45" t="str">
        <f ca="1">IF(ISERROR(F445),"",G429)</f>
        <v>External Marks</v>
      </c>
      <c r="H448" s="45"/>
      <c r="I448" s="45" t="str">
        <f ca="1">IF(ISERROR(F445),"",I429)</f>
        <v>Sessional Marks</v>
      </c>
      <c r="J448" s="45"/>
      <c r="K448" s="45" t="str">
        <f ca="1">IF(ISERROR(F445),"",K429)</f>
        <v>Total Marks</v>
      </c>
      <c r="L448" s="45"/>
      <c r="M448" s="45" t="str">
        <f ca="1">IF(ISERROR(F445),"",M429)</f>
        <v>Grade</v>
      </c>
      <c r="N448" s="45" t="str">
        <f ca="1">IF(ISERROR(F445),"",N429)</f>
        <v>Grade Points</v>
      </c>
    </row>
    <row r="449" spans="1:24" ht="15" x14ac:dyDescent="0.2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W449" t="e">
        <f ca="1">IF(ISNUMBER(MATCH($F$8,{"I","III","V","VII"},0)),10,10-INDEX(INDIRECT(_xlfn.TEXTJOIN("",TRUE,"SEM_",$G$8,"!",ADDRESS(6,4+$I$8*3+4),":",ADDRESS(5+$H$8,4+$I$8*3+4))),MATCH(INDIRECT(_xlfn.TEXTJOIN("",TRUE,"TC_",$F$8,"!",ADDRESS(ROW(I446),COLUMN(I446)))),INDIRECT(_xlfn.TEXTJOIN("",TRUE,"SEM_",$G$8,"!",ADDRESS(6,2),":",ADDRESS(5+$H$8,2))))))</f>
        <v>#N/A</v>
      </c>
    </row>
    <row r="450" spans="1:24" ht="13" customHeight="1" x14ac:dyDescent="0.2">
      <c r="A450" s="7" t="str">
        <f ca="1">IF(ISERROR(F445),"",VLOOKUP(C445,INDIRECT($F$8),6+(O450-1)*3,0))</f>
        <v>CAT 009</v>
      </c>
      <c r="B450" s="41" t="str">
        <f ca="1">IF(ISERROR(F445),"",VLOOKUP(D445,INDIRECT($F$8),6+(O450-1)*3,0))</f>
        <v>Computer Based Numerical and Statistical Techniques</v>
      </c>
      <c r="C450" s="41"/>
      <c r="D450" s="41"/>
      <c r="E450" s="41"/>
      <c r="F450" s="7">
        <f ca="1">IF(ISERROR(F445),"",VLOOKUP(E445,INDIRECT($F$8),6+(O450-1)*3,0))</f>
        <v>4</v>
      </c>
      <c r="G450" s="42" t="e">
        <f ca="1">IF(ISERROR(F445),"",_xlfn.TEXTJOIN("/",FALSE,P450,S450))</f>
        <v>#N/A</v>
      </c>
      <c r="H450" s="42"/>
      <c r="I450" s="42" t="str">
        <f ca="1">IF(ISERROR(F445),"",_xlfn.TEXTJOIN("/",FALSE,Q450,T450))</f>
        <v>36/50</v>
      </c>
      <c r="J450" s="42"/>
      <c r="K450" s="42" t="e">
        <f ca="1">IF(ISERROR(F445),"",_xlfn.TEXTJOIN("/",FALSE,R450,U450))</f>
        <v>#N/A</v>
      </c>
      <c r="L450" s="42"/>
      <c r="M450" s="7" t="e">
        <f ca="1">IF(ISERROR(F445),"",IF(ISTEXT(P450),IF(P450="A","Ab",IF(P450="D","Dt",IF(P450="UFM","UFM",IF(P450="NA","")))),IF(AND(ISBLANK(P450),ISBLANK(R450)),"",IF(P450&lt;0.3*S450,"F",IF(ISBLANK(R450),"",IF(ISTEXT(R450),R450,IF(R450&gt;=0.9*U450,"O",IF(R450&gt;=0.85*U450,"A+",IF(R450&gt;=0.8*U450,"A",IF(R450&gt;=0.7*U450,"B+",IF(R450&gt;=0.6*U450,"B",IF(R450&gt;=0.5*U450,"C",IF(R450&gt;=0.4*U450,"P",IF(R450&lt;0.4*U450,"F",R450))))))))))))))</f>
        <v>#N/A</v>
      </c>
      <c r="N450" s="8" t="e">
        <f t="shared" ref="N450:N459" ca="1" si="46">INDEX($Z$2:$Z$13,MATCH(M450,$Y$2:$Y$13,0))</f>
        <v>#N/A</v>
      </c>
      <c r="O450">
        <v>1</v>
      </c>
      <c r="P450" s="1" t="e">
        <f ca="1">IF(ISERROR(F445),"",IF(ISTEXT(VLOOKUP(B445,INDIRECT($F$8),6+(O450-1)*3)),(VLOOKUP(B445,INDIRECT($F$8),6+(O450-1)*3)),SUM(VLOOKUP(B445,INDIRECT($F$8),6+(O450-1)*3),IF(W460,W450,0))))</f>
        <v>#N/A</v>
      </c>
      <c r="Q450" s="1">
        <f ca="1">IF(ISERROR(F445),"",VLOOKUP(B445,INDIRECT($F$8),7+(O450-1)*3))</f>
        <v>36</v>
      </c>
      <c r="R450" s="1" t="e">
        <f ca="1">IF(ISERROR(F445),"",SUM(P450:Q450))</f>
        <v>#N/A</v>
      </c>
      <c r="S450" s="1">
        <f ca="1">IF(ISERROR(F445),"",VLOOKUP(A445,INDIRECT($F$8),6+(O450-1)*3))</f>
        <v>100</v>
      </c>
      <c r="T450" s="1">
        <f ca="1">IF(ISERROR(F445),"",VLOOKUP(A445,INDIRECT($F$8),7+(O450-1)*3))</f>
        <v>50</v>
      </c>
      <c r="U450" s="1">
        <f ca="1">IF(ISERROR(F445),"",VLOOKUP(A445,INDIRECT($F$8),8+(O450-1)*3))</f>
        <v>150</v>
      </c>
      <c r="V450" s="1" t="e">
        <f ca="1">IF(ISERROR(F445),"",IF(N450=0,A450,""))</f>
        <v>#N/A</v>
      </c>
      <c r="W450" s="1">
        <f ca="1">IF(ISERROR(F445),"",IF(ISTEXT(VLOOKUP(B445,INDIRECT($F$8),6+(O450-1)*3)),11,IF(VLOOKUP(B445,INDIRECT($F$8),6+(O450-1)*3)&lt;S450*0.3,IF(VLOOKUP(B445,INDIRECT($F$8),8+(O450-1)*3)&lt;U450*0.4,IF(AND(0.4*U450-VLOOKUP(B445,INDIRECT($F$8),8+(O450-1)*3)&lt;=5,0.3*S450-VLOOKUP(B445,INDIRECT($F$8),6+(O450-1)*3)&lt;=5),MAX(0.4*U450-VLOOKUP(B445,INDIRECT($F$8),8+(O450-1)*3),0.3*S450-VLOOKUP(B445,INDIRECT($F$8),6+(O450-1)*3)),11),IF(0.3*S450-VLOOKUP(B445,INDIRECT($F$8),6+(O450-1)*3)&lt;=5,0.3*S450-VLOOKUP(B445,INDIRECT($F$8),6+(O450-1)*3),11)),IF(VLOOKUP(B445,INDIRECT($F$8),8+(O450-1)*3)&lt;U450*0.4,IF(U450*0.4-VLOOKUP(B445,INDIRECT($F$8),8+(O450-1)*3)&lt;=5,U450*0.4-VLOOKUP(B445,INDIRECT($F$8),8+(O450-1)*3),11),0))))</f>
        <v>0</v>
      </c>
      <c r="X450" s="1" t="str">
        <f ca="1">IF(ISERROR(F445),"",IF(W450=0,"",_xlfn.TEXTJOIN("",FALSE," G+",W450," in ",A450)))</f>
        <v/>
      </c>
    </row>
    <row r="451" spans="1:24" ht="13" customHeight="1" x14ac:dyDescent="0.2">
      <c r="A451" s="7" t="str">
        <f ca="1">IF(ISERROR(F445),"",VLOOKUP(C445,INDIRECT($F$8),6+(O451-1)*3,0))</f>
        <v>CAT 010</v>
      </c>
      <c r="B451" s="41" t="str">
        <f ca="1">IF(ISERROR(F445),"",VLOOKUP(D445,INDIRECT($F$8),6+(O451-1)*3,0))</f>
        <v>Data Structures and Analysis of Algorithms</v>
      </c>
      <c r="C451" s="41"/>
      <c r="D451" s="41"/>
      <c r="E451" s="41"/>
      <c r="F451" s="7">
        <f ca="1">IF(ISERROR(F445),"",VLOOKUP(E445,INDIRECT($F$8),6+(O451-1)*3,0))</f>
        <v>4</v>
      </c>
      <c r="G451" s="42" t="e">
        <f ca="1">IF(ISERROR(F445),"",_xlfn.TEXTJOIN("/",FALSE,P451,S451))</f>
        <v>#N/A</v>
      </c>
      <c r="H451" s="42"/>
      <c r="I451" s="42" t="str">
        <f ca="1">IF(ISERROR(F445),"",_xlfn.TEXTJOIN("/",FALSE,Q451,T451))</f>
        <v>45/50</v>
      </c>
      <c r="J451" s="42"/>
      <c r="K451" s="42" t="e">
        <f ca="1">IF(ISERROR(F445),"",_xlfn.TEXTJOIN("/",FALSE,R451,U451))</f>
        <v>#N/A</v>
      </c>
      <c r="L451" s="42"/>
      <c r="M451" s="7" t="e">
        <f ca="1">IF(ISERROR(F445),"",IF(ISTEXT(P451),IF(P451="A","Ab",IF(P451="D","Dt",IF(P451="UFM","UFM",IF(P451="NA","")))),IF(AND(ISBLANK(P451),ISBLANK(R451)),"",IF(P451&lt;0.3*S451,"F",IF(ISBLANK(R451),"",IF(ISTEXT(R451),R451,IF(R451&gt;=0.9*U451,"O",IF(R451&gt;=0.85*U451,"A+",IF(R451&gt;=0.8*U451,"A",IF(R451&gt;=0.7*U451,"B+",IF(R451&gt;=0.6*U451,"B",IF(R451&gt;=0.5*U451,"C",IF(R451&gt;=0.4*U451,"P",IF(R451&lt;0.4*U451,"F",R451))))))))))))))</f>
        <v>#N/A</v>
      </c>
      <c r="N451" s="8" t="e">
        <f t="shared" ca="1" si="46"/>
        <v>#N/A</v>
      </c>
      <c r="O451">
        <f>O450+1</f>
        <v>2</v>
      </c>
      <c r="P451" s="1" t="e">
        <f ca="1">IF(ISERROR(F445),"",IF(ISTEXT(VLOOKUP(B445,INDIRECT($F$8),6+(O451-1)*3)),(VLOOKUP(B445,INDIRECT($F$8),6+(O451-1)*3)),SUM(VLOOKUP(B445,INDIRECT($F$8),6+(O451-1)*3),IF(W460,W451,0))))</f>
        <v>#N/A</v>
      </c>
      <c r="Q451" s="1">
        <f ca="1">IF(ISERROR(F445),"",VLOOKUP(B445,INDIRECT($F$8),7+(O451-1)*3))</f>
        <v>45</v>
      </c>
      <c r="R451" s="1" t="e">
        <f ca="1">IF(ISERROR(F445),"",SUM(P451:Q451))</f>
        <v>#N/A</v>
      </c>
      <c r="S451" s="1">
        <f ca="1">IF(ISERROR(F445),"",VLOOKUP(A445,INDIRECT($F$8),6+(O451-1)*3))</f>
        <v>100</v>
      </c>
      <c r="T451" s="1">
        <f ca="1">IF(ISERROR(F445),"",VLOOKUP(A445,INDIRECT($F$8),7+(O451-1)*3))</f>
        <v>50</v>
      </c>
      <c r="U451" s="1">
        <f ca="1">IF(ISERROR(F445),"",VLOOKUP(A445,INDIRECT($F$8),8+(O451-1)*3))</f>
        <v>150</v>
      </c>
      <c r="V451" s="1" t="e">
        <f ca="1">IF(ISERROR(F445),"",IF(N451=0,A451,""))</f>
        <v>#N/A</v>
      </c>
      <c r="W451" s="1">
        <f ca="1">IF(ISERROR(F445),"",IF(ISTEXT(VLOOKUP(B445,INDIRECT($F$8),6+(O451-1)*3)),11,IF(VLOOKUP(B445,INDIRECT($F$8),6+(O451-1)*3)&lt;S451*0.3,IF(VLOOKUP(B445,INDIRECT($F$8),8+(O451-1)*3)&lt;U451*0.4,IF(AND(0.4*U451-VLOOKUP(B445,INDIRECT($F$8),8+(O451-1)*3)&lt;=5,0.3*S451-VLOOKUP(B445,INDIRECT($F$8),6+(O451-1)*3)&lt;=5),MAX(0.4*U451-VLOOKUP(B445,INDIRECT($F$8),8+(O451-1)*3),0.3*S451-VLOOKUP(B445,INDIRECT($F$8),6+(O451-1)*3)),11),IF(0.3*S451-VLOOKUP(B445,INDIRECT($F$8),6+(O451-1)*3)&lt;=5,0.3*S451-VLOOKUP(B445,INDIRECT($F$8),6+(O451-1)*3),11)),IF(VLOOKUP(B445,INDIRECT($F$8),8+(O451-1)*3)&lt;U451*0.4,IF(U451*0.4-VLOOKUP(B445,INDIRECT($F$8),8+(O451-1)*3)&lt;=5,U451*0.4-VLOOKUP(B445,INDIRECT($F$8),8+(O451-1)*3),11),0))))</f>
        <v>0</v>
      </c>
      <c r="X451" s="1" t="str">
        <f ca="1">IF(ISERROR(F445),"",IF(W451=0,"",_xlfn.TEXTJOIN("",FALSE," G+",W451," in ",A451)))</f>
        <v/>
      </c>
    </row>
    <row r="452" spans="1:24" ht="13" customHeight="1" x14ac:dyDescent="0.2">
      <c r="A452" s="7" t="str">
        <f ca="1">IF(ISERROR(F445),"",VLOOKUP(C445,INDIRECT($F$8),6+(O452-1)*3,0))</f>
        <v>CAT 011</v>
      </c>
      <c r="B452" s="41" t="str">
        <f ca="1">IF(ISERROR(F445),"",VLOOKUP(D445,INDIRECT($F$8),6+(O452-1)*3,0))</f>
        <v>Object Oriented Programming with JAVA</v>
      </c>
      <c r="C452" s="41"/>
      <c r="D452" s="41"/>
      <c r="E452" s="41"/>
      <c r="F452" s="7">
        <f ca="1">IF(ISERROR(F445),"",VLOOKUP(E445,INDIRECT($F$8),6+(O452-1)*3,0))</f>
        <v>4</v>
      </c>
      <c r="G452" s="42" t="e">
        <f ca="1">IF(ISERROR(F445),"",_xlfn.TEXTJOIN("/",FALSE,P452,S452))</f>
        <v>#N/A</v>
      </c>
      <c r="H452" s="42"/>
      <c r="I452" s="42" t="str">
        <f ca="1">IF(ISERROR(F445),"",_xlfn.TEXTJOIN("/",FALSE,Q452,T452))</f>
        <v>38/50</v>
      </c>
      <c r="J452" s="42"/>
      <c r="K452" s="42" t="e">
        <f ca="1">IF(ISERROR(F445),"",_xlfn.TEXTJOIN("/",FALSE,R452,U452))</f>
        <v>#N/A</v>
      </c>
      <c r="L452" s="42"/>
      <c r="M452" s="7" t="e">
        <f ca="1">IF(ISERROR(F445),"",IF(ISTEXT(P452),IF(P452="A","Ab",IF(P452="D","Dt",IF(P452="UFM","UFM",IF(P452="NA","")))),IF(AND(ISBLANK(P452),ISBLANK(R452)),"",IF(P452&lt;0.3*S452,"F",IF(ISBLANK(R452),"",IF(ISTEXT(R452),R452,IF(R452&gt;=0.9*U452,"O",IF(R452&gt;=0.85*U452,"A+",IF(R452&gt;=0.8*U452,"A",IF(R452&gt;=0.7*U452,"B+",IF(R452&gt;=0.6*U452,"B",IF(R452&gt;=0.5*U452,"C",IF(R452&gt;=0.4*U452,"P",IF(R452&lt;0.4*U452,"F",R452))))))))))))))</f>
        <v>#N/A</v>
      </c>
      <c r="N452" s="8" t="e">
        <f t="shared" ca="1" si="46"/>
        <v>#N/A</v>
      </c>
      <c r="O452">
        <f>O451+1</f>
        <v>3</v>
      </c>
      <c r="P452" s="1" t="e">
        <f ca="1">IF(ISERROR(F445),"",IF(ISTEXT(VLOOKUP(B445,INDIRECT($F$8),6+(O452-1)*3)),(VLOOKUP(B445,INDIRECT($F$8),6+(O452-1)*3)),SUM(VLOOKUP(B445,INDIRECT($F$8),6+(O452-1)*3),IF(W460,W452,0))))</f>
        <v>#N/A</v>
      </c>
      <c r="Q452" s="1">
        <f ca="1">IF(ISERROR(F445),"",VLOOKUP(B445,INDIRECT($F$8),7+(O452-1)*3))</f>
        <v>38</v>
      </c>
      <c r="R452" s="1" t="e">
        <f ca="1">IF(ISERROR(F445),"",SUM(P452:Q452))</f>
        <v>#N/A</v>
      </c>
      <c r="S452" s="1">
        <f ca="1">IF(ISERROR(F445),"",VLOOKUP(A445,INDIRECT($F$8),6+(O452-1)*3))</f>
        <v>100</v>
      </c>
      <c r="T452" s="1">
        <f ca="1">IF(ISERROR(F445),"",VLOOKUP(A445,INDIRECT($F$8),7+(O452-1)*3))</f>
        <v>50</v>
      </c>
      <c r="U452" s="1">
        <f ca="1">IF(ISERROR(F445),"",VLOOKUP(A445,INDIRECT($F$8),8+(O452-1)*3))</f>
        <v>150</v>
      </c>
      <c r="V452" s="1" t="e">
        <f ca="1">IF(ISERROR(F445),"",IF(N452=0,A452,""))</f>
        <v>#N/A</v>
      </c>
      <c r="W452" s="1">
        <f ca="1">IF(ISERROR(F445),"",IF(ISTEXT(VLOOKUP(B445,INDIRECT($F$8),6+(O452-1)*3)),11,IF(VLOOKUP(B445,INDIRECT($F$8),6+(O452-1)*3)&lt;S452*0.3,IF(VLOOKUP(B445,INDIRECT($F$8),8+(O452-1)*3)&lt;U452*0.4,IF(AND(0.4*U452-VLOOKUP(B445,INDIRECT($F$8),8+(O452-1)*3)&lt;=5,0.3*S452-VLOOKUP(B445,INDIRECT($F$8),6+(O452-1)*3)&lt;=5),MAX(0.4*U452-VLOOKUP(B445,INDIRECT($F$8),8+(O452-1)*3),0.3*S452-VLOOKUP(B445,INDIRECT($F$8),6+(O452-1)*3)),11),IF(0.3*S452-VLOOKUP(B445,INDIRECT($F$8),6+(O452-1)*3)&lt;=5,0.3*S452-VLOOKUP(B445,INDIRECT($F$8),6+(O452-1)*3),11)),IF(VLOOKUP(B445,INDIRECT($F$8),8+(O452-1)*3)&lt;U452*0.4,IF(U452*0.4-VLOOKUP(B445,INDIRECT($F$8),8+(O452-1)*3)&lt;=5,U452*0.4-VLOOKUP(B445,INDIRECT($F$8),8+(O452-1)*3),11),0))))</f>
        <v>0</v>
      </c>
      <c r="X452" s="1" t="str">
        <f ca="1">IF(ISERROR(F445),"",IF(W452=0,"",_xlfn.TEXTJOIN("",FALSE," G+",W452," in ",A452)))</f>
        <v/>
      </c>
    </row>
    <row r="453" spans="1:24" ht="13" customHeight="1" x14ac:dyDescent="0.2">
      <c r="A453" s="7" t="str">
        <f ca="1">IF(ISERROR(F445),"",VLOOKUP(C445,INDIRECT($F$8),6+(O453-1)*3,0))</f>
        <v>CAT 012</v>
      </c>
      <c r="B453" s="41" t="str">
        <f ca="1">IF(ISERROR(F445),"",VLOOKUP(D445,INDIRECT($F$8),6+(O453-1)*3,0))</f>
        <v>Computer Networks</v>
      </c>
      <c r="C453" s="41"/>
      <c r="D453" s="41"/>
      <c r="E453" s="41"/>
      <c r="F453" s="7">
        <f ca="1">IF(ISERROR(F445),"",VLOOKUP(E445,INDIRECT($F$8),6+(O453-1)*3,0))</f>
        <v>4</v>
      </c>
      <c r="G453" s="42" t="e">
        <f ca="1">IF(ISERROR(F445),"",_xlfn.TEXTJOIN("/",FALSE,P453,S453))</f>
        <v>#N/A</v>
      </c>
      <c r="H453" s="42"/>
      <c r="I453" s="42" t="str">
        <f ca="1">IF(ISERROR(F445),"",_xlfn.TEXTJOIN("/",FALSE,Q453,T453))</f>
        <v>44/50</v>
      </c>
      <c r="J453" s="42"/>
      <c r="K453" s="42" t="e">
        <f ca="1">IF(ISERROR(F445),"",_xlfn.TEXTJOIN("/",FALSE,R453,U453))</f>
        <v>#N/A</v>
      </c>
      <c r="L453" s="42"/>
      <c r="M453" s="7" t="e">
        <f ca="1">IF(ISERROR(F445),"",IF(ISTEXT(P453),IF(P453="A","Ab",IF(P453="D","Dt",IF(P453="UFM","UFM",IF(P453="NA","")))),IF(AND(ISBLANK(P453),ISBLANK(R453)),"",IF(P453&lt;0.3*S453,"F",IF(ISBLANK(R453),"",IF(ISTEXT(R453),R453,IF(R453&gt;=0.9*U453,"O",IF(R453&gt;=0.85*U453,"A+",IF(R453&gt;=0.8*U453,"A",IF(R453&gt;=0.7*U453,"B+",IF(R453&gt;=0.6*U453,"B",IF(R453&gt;=0.5*U453,"C",IF(R453&gt;=0.4*U453,"P",IF(R453&lt;0.4*U453,"F",R453))))))))))))))</f>
        <v>#N/A</v>
      </c>
      <c r="N453" s="8" t="e">
        <f t="shared" ca="1" si="46"/>
        <v>#N/A</v>
      </c>
      <c r="O453">
        <f t="shared" ref="O453:O459" si="47">O452+1</f>
        <v>4</v>
      </c>
      <c r="P453" s="1" t="e">
        <f ca="1">IF(ISERROR(F445),"",IF(ISTEXT(VLOOKUP(B445,INDIRECT($F$8),6+(O453-1)*3)),(VLOOKUP(B445,INDIRECT($F$8),6+(O453-1)*3)),SUM(VLOOKUP(B445,INDIRECT($F$8),6+(O453-1)*3),IF(W460,W453,0))))</f>
        <v>#N/A</v>
      </c>
      <c r="Q453" s="1">
        <f ca="1">IF(ISERROR(F445),"",VLOOKUP(B445,INDIRECT($F$8),7+(O453-1)*3))</f>
        <v>44</v>
      </c>
      <c r="R453" s="1" t="e">
        <f ca="1">IF(ISERROR(F445),"",SUM(P453:Q453))</f>
        <v>#N/A</v>
      </c>
      <c r="S453" s="1">
        <f ca="1">IF(ISERROR(F445),"",VLOOKUP(A445,INDIRECT($F$8),6+(O453-1)*3))</f>
        <v>100</v>
      </c>
      <c r="T453" s="1">
        <f ca="1">IF(ISERROR(F445),"",VLOOKUP(A445,INDIRECT($F$8),7+(O453-1)*3))</f>
        <v>50</v>
      </c>
      <c r="U453" s="1">
        <f ca="1">IF(ISERROR(F445),"",VLOOKUP(A445,INDIRECT($F$8),8+(O453-1)*3))</f>
        <v>150</v>
      </c>
      <c r="V453" s="1" t="e">
        <f ca="1">IF(ISERROR(F445),"",IF(N453=0,A453,""))</f>
        <v>#N/A</v>
      </c>
      <c r="W453" s="1">
        <f ca="1">IF(ISERROR(F445),"",IF(ISTEXT(VLOOKUP(B445,INDIRECT($F$8),6+(O453-1)*3)),11,IF(VLOOKUP(B445,INDIRECT($F$8),6+(O453-1)*3)&lt;S453*0.3,IF(VLOOKUP(B445,INDIRECT($F$8),8+(O453-1)*3)&lt;U453*0.4,IF(AND(0.4*U453-VLOOKUP(B445,INDIRECT($F$8),8+(O453-1)*3)&lt;=5,0.3*S453-VLOOKUP(B445,INDIRECT($F$8),6+(O453-1)*3)&lt;=5),MAX(0.4*U453-VLOOKUP(B445,INDIRECT($F$8),8+(O453-1)*3),0.3*S453-VLOOKUP(B445,INDIRECT($F$8),6+(O453-1)*3)),11),IF(0.3*S453-VLOOKUP(B445,INDIRECT($F$8),6+(O453-1)*3)&lt;=5,0.3*S453-VLOOKUP(B445,INDIRECT($F$8),6+(O453-1)*3),11)),IF(VLOOKUP(B445,INDIRECT($F$8),8+(O453-1)*3)&lt;U453*0.4,IF(U453*0.4-VLOOKUP(B445,INDIRECT($F$8),8+(O453-1)*3)&lt;=5,U453*0.4-VLOOKUP(B445,INDIRECT($F$8),8+(O453-1)*3),11),0))))</f>
        <v>0</v>
      </c>
      <c r="X453" s="1" t="str">
        <f ca="1">IF(ISERROR(F445),"",IF(W453=0,"",_xlfn.TEXTJOIN("",FALSE," G+",W453," in ",A453)))</f>
        <v/>
      </c>
    </row>
    <row r="454" spans="1:24" ht="13" customHeight="1" x14ac:dyDescent="0.2">
      <c r="A454" s="7" t="str">
        <f ca="1">IF(ISERROR(F445),"",VLOOKUP(C445,INDIRECT($F$8),6+(O454-1)*3,0))</f>
        <v>CAT 013</v>
      </c>
      <c r="B454" s="41" t="str">
        <f ca="1">IF(ISERROR(F445),"",VLOOKUP(D445,INDIRECT($F$8),6+(O454-1)*3,0))</f>
        <v>Artificial Intelligence</v>
      </c>
      <c r="C454" s="41"/>
      <c r="D454" s="41"/>
      <c r="E454" s="41"/>
      <c r="F454" s="7">
        <f ca="1">IF(ISERROR(F445),"",VLOOKUP(E445,INDIRECT($F$8),6+(O454-1)*3,0))</f>
        <v>4</v>
      </c>
      <c r="G454" s="42" t="e">
        <f ca="1">IF(ISERROR(F445),"",_xlfn.TEXTJOIN("/",FALSE,P454,S454))</f>
        <v>#N/A</v>
      </c>
      <c r="H454" s="42"/>
      <c r="I454" s="42" t="str">
        <f ca="1">IF(ISERROR(F445),"",_xlfn.TEXTJOIN("/",FALSE,Q454,T454))</f>
        <v>46/50</v>
      </c>
      <c r="J454" s="42"/>
      <c r="K454" s="42" t="e">
        <f ca="1">IF(ISERROR(F445),"",_xlfn.TEXTJOIN("/",FALSE,R454,U454))</f>
        <v>#N/A</v>
      </c>
      <c r="L454" s="42"/>
      <c r="M454" s="7" t="e">
        <f ca="1">IF(ISERROR(F445),"",IF(ISTEXT(P454),IF(P454="A","Ab",IF(P454="D","Dt",IF(P454="UFM","UFM",IF(P454="NA","")))),IF(AND(ISBLANK(P454),ISBLANK(R454)),"",IF(P454&lt;0.3*S454,"F",IF(ISBLANK(R454),"",IF(ISTEXT(R454),R454,IF(R454&gt;=0.9*U454,"O",IF(R454&gt;=0.85*U454,"A+",IF(R454&gt;=0.8*U454,"A",IF(R454&gt;=0.7*U454,"B+",IF(R454&gt;=0.6*U454,"B",IF(R454&gt;=0.5*U454,"C",IF(R454&gt;=0.4*U454,"P",IF(R454&lt;0.4*U454,"F",R454))))))))))))))</f>
        <v>#N/A</v>
      </c>
      <c r="N454" s="8" t="e">
        <f t="shared" ca="1" si="46"/>
        <v>#N/A</v>
      </c>
      <c r="O454">
        <f t="shared" si="47"/>
        <v>5</v>
      </c>
      <c r="P454" s="1" t="e">
        <f ca="1">IF(ISERROR(F445),"",IF(ISTEXT(VLOOKUP(B445,INDIRECT($F$8),6+(O454-1)*3)),(VLOOKUP(B445,INDIRECT($F$8),6+(O454-1)*3)),SUM(VLOOKUP(B445,INDIRECT($F$8),6+(O454-1)*3),IF(W460,W454,0))))</f>
        <v>#N/A</v>
      </c>
      <c r="Q454" s="1">
        <f ca="1">IF(ISERROR(F445),"",VLOOKUP(B445,INDIRECT($F$8),7+(O454-1)*3))</f>
        <v>46</v>
      </c>
      <c r="R454" s="1" t="e">
        <f ca="1">IF(ISERROR(F445),"",SUM(P454:Q454))</f>
        <v>#N/A</v>
      </c>
      <c r="S454" s="1">
        <f ca="1">IF(ISERROR(F445),"",VLOOKUP(A445,INDIRECT($F$8),6+(O454-1)*3))</f>
        <v>100</v>
      </c>
      <c r="T454" s="1">
        <f ca="1">IF(ISERROR(F445),"",VLOOKUP(A445,INDIRECT($F$8),7+(O454-1)*3))</f>
        <v>50</v>
      </c>
      <c r="U454" s="1">
        <f ca="1">IF(ISERROR(F445),"",VLOOKUP(A445,INDIRECT($F$8),8+(O454-1)*3))</f>
        <v>150</v>
      </c>
      <c r="V454" s="1" t="e">
        <f ca="1">IF(ISERROR(F445),"",IF(N454=0,A454,""))</f>
        <v>#N/A</v>
      </c>
      <c r="W454" s="1">
        <f ca="1">IF(ISERROR(F445),"",IF(ISTEXT(VLOOKUP(B445,INDIRECT($F$8),6+(O454-1)*3)),11,IF(VLOOKUP(B445,INDIRECT($F$8),6+(O454-1)*3)&lt;S454*0.3,IF(VLOOKUP(B445,INDIRECT($F$8),8+(O454-1)*3)&lt;U454*0.4,IF(AND(0.4*U454-VLOOKUP(B445,INDIRECT($F$8),8+(O454-1)*3)&lt;=5,0.3*S454-VLOOKUP(B445,INDIRECT($F$8),6+(O454-1)*3)&lt;=5),MAX(0.4*U454-VLOOKUP(B445,INDIRECT($F$8),8+(O454-1)*3),0.3*S454-VLOOKUP(B445,INDIRECT($F$8),6+(O454-1)*3)),11),IF(0.3*S454-VLOOKUP(B445,INDIRECT($F$8),6+(O454-1)*3)&lt;=5,0.3*S454-VLOOKUP(B445,INDIRECT($F$8),6+(O454-1)*3),11)),IF(VLOOKUP(B445,INDIRECT($F$8),8+(O454-1)*3)&lt;U454*0.4,IF(U454*0.4-VLOOKUP(B445,INDIRECT($F$8),8+(O454-1)*3)&lt;=5,U454*0.4-VLOOKUP(B445,INDIRECT($F$8),8+(O454-1)*3),11),0))))</f>
        <v>0</v>
      </c>
      <c r="X454" s="1" t="str">
        <f ca="1">IF(ISERROR(F445),"",IF(W454=0,"",_xlfn.TEXTJOIN("",FALSE," G+",W454," in ",A454)))</f>
        <v/>
      </c>
    </row>
    <row r="455" spans="1:24" ht="13" customHeight="1" x14ac:dyDescent="0.2">
      <c r="A455" s="7" t="str">
        <f ca="1">IF(ISERROR(F445),"",VLOOKUP(C445,INDIRECT($F$8),6+(O455-1)*3,0))</f>
        <v>AHT 304</v>
      </c>
      <c r="B455" s="41" t="str">
        <f ca="1">IF(ISERROR(F445),"",VLOOKUP(D445,INDIRECT($F$8),6+(O455-1)*3,0))</f>
        <v>Accounting and Financial Management ($)</v>
      </c>
      <c r="C455" s="41"/>
      <c r="D455" s="41"/>
      <c r="E455" s="41"/>
      <c r="F455" s="7">
        <f ca="1">IF(ISERROR(F445),"",VLOOKUP(E445,INDIRECT($F$8),6+(O455-1)*3,0))</f>
        <v>0</v>
      </c>
      <c r="G455" s="42" t="e">
        <f ca="1">IF(ISERROR(F445),"",_xlfn.TEXTJOIN("/",FALSE,P455,S455))</f>
        <v>#N/A</v>
      </c>
      <c r="H455" s="42"/>
      <c r="I455" s="42" t="str">
        <f ca="1">IF(ISERROR(F445),"",_xlfn.TEXTJOIN("/",FALSE,Q455,T455))</f>
        <v>35/50</v>
      </c>
      <c r="J455" s="42"/>
      <c r="K455" s="42" t="e">
        <f ca="1">IF(ISERROR(F445),"",_xlfn.TEXTJOIN("/",FALSE,R455,U455))</f>
        <v>#N/A</v>
      </c>
      <c r="L455" s="42"/>
      <c r="M455" s="7" t="e">
        <f ca="1">IF(ISERROR(F445),"",IF(ISTEXT(P455),IF(P455="A","Ab",IF(P455="D","Dt",IF(P455="UFM","UFM",IF(P455="NA","")))),IF(AND(ISBLANK(P455),ISBLANK(R455)),"",IF(P455&lt;0.3*S455,"F",IF(ISBLANK(R455),"",IF(ISTEXT(R455),R455,IF(R455&gt;=0.9*U455,"O",IF(R455&gt;=0.85*U455,"A+",IF(R455&gt;=0.8*U455,"A",IF(R455&gt;=0.7*U455,"B+",IF(R455&gt;=0.6*U455,"B",IF(R455&gt;=0.5*U455,"C",IF(R455&gt;=0.4*U455,"P",IF(R455&lt;0.4*U455,"F",R455))))))))))))))</f>
        <v>#N/A</v>
      </c>
      <c r="N455" s="8" t="e">
        <f t="shared" ca="1" si="46"/>
        <v>#N/A</v>
      </c>
      <c r="O455">
        <f t="shared" si="47"/>
        <v>6</v>
      </c>
      <c r="P455" s="1" t="e">
        <f ca="1">IF(ISERROR(F445),"",IF(ISTEXT(VLOOKUP(B445,INDIRECT($F$8),6+(O455-1)*3)),(VLOOKUP(B445,INDIRECT($F$8),6+(O455-1)*3)),SUM(VLOOKUP(B445,INDIRECT($F$8),6+(O455-1)*3),IF(W460,W455,0))))</f>
        <v>#N/A</v>
      </c>
      <c r="Q455" s="1">
        <f ca="1">IF(ISERROR(F445),"",VLOOKUP(B445,INDIRECT($F$8),7+(O455-1)*3))</f>
        <v>35</v>
      </c>
      <c r="R455" s="1" t="e">
        <f ca="1">IF(ISERROR(F445),"",SUM(P455:Q455))</f>
        <v>#N/A</v>
      </c>
      <c r="S455" s="1">
        <f ca="1">IF(ISERROR(F445),"",VLOOKUP(A445,INDIRECT($F$8),6+(O455-1)*3))</f>
        <v>0</v>
      </c>
      <c r="T455" s="1">
        <f ca="1">IF(ISERROR(F445),"",VLOOKUP(A445,INDIRECT($F$8),7+(O455-1)*3))</f>
        <v>50</v>
      </c>
      <c r="U455" s="1">
        <f ca="1">IF(ISERROR(F445),"",VLOOKUP(A445,INDIRECT($F$8),8+(O455-1)*3))</f>
        <v>50</v>
      </c>
      <c r="V455" s="1" t="e">
        <f ca="1">IF(ISERROR(F445),"",IF(N455=0,A455,""))</f>
        <v>#N/A</v>
      </c>
      <c r="W455" s="1">
        <f ca="1">IF(ISERROR(F445),"",IF(ISTEXT(VLOOKUP(B445,INDIRECT($F$8),6+(O455-1)*3)),11,IF(VLOOKUP(B445,INDIRECT($F$8),6+(O455-1)*3)&lt;S455*0.3,IF(VLOOKUP(B445,INDIRECT($F$8),8+(O455-1)*3)&lt;U455*0.4,IF(AND(0.4*U455-VLOOKUP(B445,INDIRECT($F$8),8+(O455-1)*3)&lt;=5,0.3*S455-VLOOKUP(B445,INDIRECT($F$8),6+(O455-1)*3)&lt;=5),MAX(0.4*U455-VLOOKUP(B445,INDIRECT($F$8),8+(O455-1)*3),0.3*S455-VLOOKUP(B445,INDIRECT($F$8),6+(O455-1)*3)),11),IF(0.3*S455-VLOOKUP(B445,INDIRECT($F$8),6+(O455-1)*3)&lt;=5,0.3*S455-VLOOKUP(B445,INDIRECT($F$8),6+(O455-1)*3),11)),IF(VLOOKUP(B445,INDIRECT($F$8),8+(O455-1)*3)&lt;U455*0.4,IF(U455*0.4-VLOOKUP(B445,INDIRECT($F$8),8+(O455-1)*3)&lt;=5,U455*0.4-VLOOKUP(B445,INDIRECT($F$8),8+(O455-1)*3),11),0))))</f>
        <v>0</v>
      </c>
      <c r="X455" s="1" t="str">
        <f ca="1">IF(ISERROR(F445),"",IF(W455=0,"",_xlfn.TEXTJOIN("",FALSE," G+",W455," in ",A455)))</f>
        <v/>
      </c>
    </row>
    <row r="456" spans="1:24" ht="13" customHeight="1" x14ac:dyDescent="0.2">
      <c r="A456" s="7" t="str">
        <f ca="1">IF(ISERROR(F445),"",VLOOKUP(C445,INDIRECT($F$8),6+(O456-1)*3,0))</f>
        <v>CAP 004</v>
      </c>
      <c r="B456" s="41" t="str">
        <f ca="1">IF(ISERROR(F445),"",VLOOKUP(D445,INDIRECT($F$8),6+(O456-1)*3,0))</f>
        <v>Data Structures and Analysis of Algorithms Lab</v>
      </c>
      <c r="C456" s="41"/>
      <c r="D456" s="41"/>
      <c r="E456" s="41"/>
      <c r="F456" s="7">
        <f ca="1">IF(ISERROR(F445),"",VLOOKUP(E445,INDIRECT($F$8),6+(O456-1)*3,0))</f>
        <v>1</v>
      </c>
      <c r="G456" s="42" t="e">
        <f ca="1">IF(ISERROR(F445),"",_xlfn.TEXTJOIN("/",FALSE,P456,S456))</f>
        <v>#N/A</v>
      </c>
      <c r="H456" s="42"/>
      <c r="I456" s="42" t="str">
        <f ca="1">IF(ISERROR(F445),"",_xlfn.TEXTJOIN("/",FALSE,Q456,T456))</f>
        <v>19/20</v>
      </c>
      <c r="J456" s="42"/>
      <c r="K456" s="42" t="e">
        <f ca="1">IF(ISERROR(F445),"",_xlfn.TEXTJOIN("/",FALSE,R456,U456))</f>
        <v>#N/A</v>
      </c>
      <c r="L456" s="42"/>
      <c r="M456" s="7" t="e">
        <f ca="1">IF(ISERROR(F445),"",IF(ISTEXT(P456),IF(P456="A","Ab",IF(P456="D","Dt",IF(P456="UFM","UFM",IF(P456="NA","")))),IF(AND(ISBLANK(P456),ISBLANK(R456)),"",IF(P456&lt;0.3*S456,"F",IF(ISBLANK(R456),"",IF(ISTEXT(R456),R456,IF(R456&gt;=0.9*U456,"O",IF(R456&gt;=0.85*U456,"A+",IF(R456&gt;=0.8*U456,"A",IF(R456&gt;=0.7*U456,"B+",IF(R456&gt;=0.6*U456,"B",IF(R456&gt;=0.5*U456,"C",IF(R456&gt;=0.4*U456,"P",IF(R456&lt;0.4*U456,"F",R456))))))))))))))</f>
        <v>#N/A</v>
      </c>
      <c r="N456" s="8" t="e">
        <f t="shared" ca="1" si="46"/>
        <v>#N/A</v>
      </c>
      <c r="O456">
        <f t="shared" si="47"/>
        <v>7</v>
      </c>
      <c r="P456" s="1" t="e">
        <f ca="1">IF(ISERROR(F445),"",IF(ISTEXT(VLOOKUP(B445,INDIRECT($F$8),6+(O456-1)*3)),(VLOOKUP(B445,INDIRECT($F$8),6+(O456-1)*3)),SUM(VLOOKUP(B445,INDIRECT($F$8),6+(O456-1)*3),IF(W460,W456,0))))</f>
        <v>#N/A</v>
      </c>
      <c r="Q456" s="1">
        <f ca="1">IF(ISERROR(F445),"",VLOOKUP(B445,INDIRECT($F$8),7+(O456-1)*3))</f>
        <v>19</v>
      </c>
      <c r="R456" s="1" t="e">
        <f ca="1">IF(ISERROR(F445),"",SUM(P456:Q456))</f>
        <v>#N/A</v>
      </c>
      <c r="S456" s="1">
        <f ca="1">IF(ISERROR(F445),"",VLOOKUP(A445,INDIRECT($F$8),6+(O456-1)*3))</f>
        <v>30</v>
      </c>
      <c r="T456" s="1">
        <f ca="1">IF(ISERROR(F445),"",VLOOKUP(A445,INDIRECT($F$8),7+(O456-1)*3))</f>
        <v>20</v>
      </c>
      <c r="U456" s="1">
        <f ca="1">IF(ISERROR(F445),"",VLOOKUP(A445,INDIRECT($F$8),8+(O456-1)*3))</f>
        <v>50</v>
      </c>
      <c r="V456" s="1" t="e">
        <f ca="1">IF(ISERROR(F445),"",IF(N456=0,A456,""))</f>
        <v>#N/A</v>
      </c>
      <c r="W456" s="1">
        <f ca="1">IF(ISERROR(F445),"",IF(ISTEXT(VLOOKUP(B445,INDIRECT($F$8),6+(O456-1)*3)),11,IF(VLOOKUP(B445,INDIRECT($F$8),6+(O456-1)*3)&lt;S456*0.3,IF(VLOOKUP(B445,INDIRECT($F$8),8+(O456-1)*3)&lt;U456*0.4,IF(AND(0.4*U456-VLOOKUP(B445,INDIRECT($F$8),8+(O456-1)*3)&lt;=5,0.3*S456-VLOOKUP(B445,INDIRECT($F$8),6+(O456-1)*3)&lt;=5),MAX(0.4*U456-VLOOKUP(B445,INDIRECT($F$8),8+(O456-1)*3),0.3*S456-VLOOKUP(B445,INDIRECT($F$8),6+(O456-1)*3)),11),IF(0.3*S456-VLOOKUP(B445,INDIRECT($F$8),6+(O456-1)*3)&lt;=5,0.3*S456-VLOOKUP(B445,INDIRECT($F$8),6+(O456-1)*3),11)),IF(VLOOKUP(B445,INDIRECT($F$8),8+(O456-1)*3)&lt;U456*0.4,IF(U456*0.4-VLOOKUP(B445,INDIRECT($F$8),8+(O456-1)*3)&lt;=5,U456*0.4-VLOOKUP(B445,INDIRECT($F$8),8+(O456-1)*3),11),0))))</f>
        <v>0</v>
      </c>
      <c r="X456" s="1" t="str">
        <f ca="1">IF(ISERROR(F445),"",IF(W456=0,"",_xlfn.TEXTJOIN("",FALSE," G+",W456," in ",A456)))</f>
        <v/>
      </c>
    </row>
    <row r="457" spans="1:24" ht="13" customHeight="1" x14ac:dyDescent="0.2">
      <c r="A457" s="7" t="str">
        <f ca="1">IF(ISERROR(F445),"",VLOOKUP(C445,INDIRECT($F$8),6+(O457-1)*3,0))</f>
        <v>CAP 005</v>
      </c>
      <c r="B457" s="41" t="str">
        <f ca="1">IF(ISERROR(F445),"",VLOOKUP(D445,INDIRECT($F$8),6+(O457-1)*3-Z457,0))</f>
        <v>Object Oriented Programming with JAVA Lab</v>
      </c>
      <c r="C457" s="41"/>
      <c r="D457" s="41"/>
      <c r="E457" s="41"/>
      <c r="F457" s="7">
        <f ca="1">IF(ISERROR(F445),"",VLOOKUP(E445,INDIRECT($F$8),6+(O457-1)*3,0))</f>
        <v>1</v>
      </c>
      <c r="G457" s="42" t="e">
        <f ca="1">IF(ISERROR(F445),"",_xlfn.TEXTJOIN("/",FALSE,P457,S457))</f>
        <v>#N/A</v>
      </c>
      <c r="H457" s="42"/>
      <c r="I457" s="42" t="str">
        <f ca="1">IF(ISERROR(F445),"",_xlfn.TEXTJOIN("/",FALSE,Q457,T457))</f>
        <v>15/20</v>
      </c>
      <c r="J457" s="42"/>
      <c r="K457" s="42" t="e">
        <f ca="1">IF(ISERROR(F445),"",_xlfn.TEXTJOIN("/",FALSE,R457,U457))</f>
        <v>#N/A</v>
      </c>
      <c r="L457" s="42"/>
      <c r="M457" s="7" t="e">
        <f ca="1">IF(ISERROR(F445),"",IF(ISTEXT(P457),IF(P457="A","Ab",IF(P457="D","Dt",IF(P457="UFM","UFM",IF(P457="NA","")))),IF(AND(ISBLANK(P457),ISBLANK(R457)),"",IF(P457&lt;0.3*S457,"F",IF(ISBLANK(R457),"",IF(ISTEXT(R457),R457,IF(R457&gt;=0.9*U457,"O",IF(R457&gt;=0.85*U457,"A+",IF(R457&gt;=0.8*U457,"A",IF(R457&gt;=0.7*U457,"B+",IF(R457&gt;=0.6*U457,"B",IF(R457&gt;=0.5*U457,"C",IF(R457&gt;=0.4*U457,"P",IF(R457&lt;0.4*U457,"F",R457))))))))))))))</f>
        <v>#N/A</v>
      </c>
      <c r="N457" s="8" t="e">
        <f t="shared" ca="1" si="46"/>
        <v>#N/A</v>
      </c>
      <c r="O457">
        <f t="shared" si="47"/>
        <v>8</v>
      </c>
      <c r="P457" s="1" t="e">
        <f ca="1">IF(ISERROR(F445),"",IF(ISTEXT(VLOOKUP(B445,INDIRECT($F$8),6+(O457-1)*3)),(VLOOKUP(B445,INDIRECT($F$8),6+(O457-1)*3)),SUM(VLOOKUP(B445,INDIRECT($F$8),6+(O457-1)*3),IF(W460,W457,0))))</f>
        <v>#N/A</v>
      </c>
      <c r="Q457" s="1">
        <f ca="1">IF(ISERROR(F445),"",VLOOKUP(B445,INDIRECT($F$8),7+(O457-1)*3))</f>
        <v>15</v>
      </c>
      <c r="R457" s="1" t="e">
        <f ca="1">IF(ISERROR(F445),"",SUM(P457:Q457))</f>
        <v>#N/A</v>
      </c>
      <c r="S457" s="1">
        <f ca="1">IF(ISERROR(F445),"",VLOOKUP(A445,INDIRECT($F$8),6+(O457-1)*3))</f>
        <v>30</v>
      </c>
      <c r="T457" s="1">
        <f ca="1">IF(ISERROR(F445),"",VLOOKUP(A445,INDIRECT($F$8),7+(O457-1)*3))</f>
        <v>20</v>
      </c>
      <c r="U457" s="1">
        <f ca="1">IF(ISERROR(F445),"",VLOOKUP(A445,INDIRECT($F$8),8+(O457-1)*3))</f>
        <v>50</v>
      </c>
      <c r="V457" s="1" t="e">
        <f ca="1">IF(ISERROR(F445),"",IF(N457=0,A457,""))</f>
        <v>#N/A</v>
      </c>
      <c r="W457" s="1">
        <f ca="1">IF(ISERROR(F445),"",IF(ISTEXT(VLOOKUP(B445,INDIRECT($F$8),6+(O457-1)*3)),11,IF(VLOOKUP(B445,INDIRECT($F$8),6+(O457-1)*3)&lt;S457*0.3,IF(VLOOKUP(B445,INDIRECT($F$8),8+(O457-1)*3)&lt;U457*0.4,IF(AND(0.4*U457-VLOOKUP(B445,INDIRECT($F$8),8+(O457-1)*3)&lt;=5,0.3*S457-VLOOKUP(B445,INDIRECT($F$8),6+(O457-1)*3)&lt;=5),MAX(0.4*U457-VLOOKUP(B445,INDIRECT($F$8),8+(O457-1)*3),0.3*S457-VLOOKUP(B445,INDIRECT($F$8),6+(O457-1)*3)),11),IF(0.3*S457-VLOOKUP(B445,INDIRECT($F$8),6+(O457-1)*3)&lt;=5,0.3*S457-VLOOKUP(B445,INDIRECT($F$8),6+(O457-1)*3),11)),IF(VLOOKUP(B445,INDIRECT($F$8),8+(O457-1)*3)&lt;U457*0.4,IF(U457*0.4-VLOOKUP(B445,INDIRECT($F$8),8+(O457-1)*3)&lt;=5,U457*0.4-VLOOKUP(B445,INDIRECT($F$8),8+(O457-1)*3),11),0))))</f>
        <v>0</v>
      </c>
      <c r="X457" s="1" t="str">
        <f ca="1">IF(ISERROR(F445),"",IF(W457=0,"",_xlfn.TEXTJOIN("",FALSE," G+",W457," in ",A457)))</f>
        <v/>
      </c>
    </row>
    <row r="458" spans="1:24" ht="13" customHeight="1" x14ac:dyDescent="0.2">
      <c r="A458" s="7" t="str">
        <f ca="1">IF(ISERROR(F445),"",VLOOKUP(C445,INDIRECT($F$8),6+(O458-1)*3,0))</f>
        <v>CAP 006</v>
      </c>
      <c r="B458" s="41" t="str">
        <f ca="1">IF(ISERROR(F445),"",VLOOKUP(D445,INDIRECT($F$8),6+(O458-1)*3-Z458,0))</f>
        <v>Computer Networks Lab</v>
      </c>
      <c r="C458" s="41"/>
      <c r="D458" s="41"/>
      <c r="E458" s="41"/>
      <c r="F458" s="7">
        <f ca="1">IF(ISERROR(F445),"",VLOOKUP(E445,INDIRECT($F$8),6+(O458-1)*3,0))</f>
        <v>1</v>
      </c>
      <c r="G458" s="42" t="e">
        <f ca="1">IF(ISERROR(F445),"",_xlfn.TEXTJOIN("/",FALSE,P458,S458))</f>
        <v>#N/A</v>
      </c>
      <c r="H458" s="42"/>
      <c r="I458" s="42" t="str">
        <f ca="1">IF(ISERROR(F445),"",_xlfn.TEXTJOIN("/",FALSE,Q458,T458))</f>
        <v>17/20</v>
      </c>
      <c r="J458" s="42"/>
      <c r="K458" s="42" t="e">
        <f ca="1">IF(ISERROR(F445),"",_xlfn.TEXTJOIN("/",FALSE,R458,U458))</f>
        <v>#N/A</v>
      </c>
      <c r="L458" s="42"/>
      <c r="M458" s="7" t="e">
        <f ca="1">IF(ISERROR(F445),"",IF(ISTEXT(P458),IF(P458="A","Ab",IF(P458="D","Dt",IF(P458="UFM","UFM",IF(P458="NA","")))),IF(AND(ISBLANK(P458),ISBLANK(R458)),"",IF(P458&lt;0.3*S458,"F",IF(ISBLANK(R458),"",IF(ISTEXT(R458),R458,IF(R458&gt;=0.9*U458,"O",IF(R458&gt;=0.85*U458,"A+",IF(R458&gt;=0.8*U458,"A",IF(R458&gt;=0.7*U458,"B+",IF(R458&gt;=0.6*U458,"B",IF(R458&gt;=0.5*U458,"C",IF(R458&gt;=0.4*U458,"P",IF(R458&lt;0.4*U458,"F",R458))))))))))))))</f>
        <v>#N/A</v>
      </c>
      <c r="N458" s="8" t="e">
        <f t="shared" ca="1" si="46"/>
        <v>#N/A</v>
      </c>
      <c r="O458">
        <f t="shared" si="47"/>
        <v>9</v>
      </c>
      <c r="P458" s="1" t="e">
        <f ca="1">IF(ISERROR(F445),"",IF(ISTEXT(VLOOKUP(B445,INDIRECT($F$8),6+(O458-1)*3)),(VLOOKUP(B445,INDIRECT($F$8),6+(O458-1)*3)),SUM(VLOOKUP(B445,INDIRECT($F$8),6+(O458-1)*3),IF(W460,W458,0))))</f>
        <v>#N/A</v>
      </c>
      <c r="Q458" s="1">
        <f ca="1">IF(ISERROR(F445),"",VLOOKUP(B445,INDIRECT($F$8),7+(O458-1)*3))</f>
        <v>17</v>
      </c>
      <c r="R458" s="1" t="e">
        <f ca="1">IF(ISERROR(F445),"",SUM(P458:Q458))</f>
        <v>#N/A</v>
      </c>
      <c r="S458" s="1">
        <f ca="1">IF(ISERROR(F445),"",VLOOKUP(A445,INDIRECT($F$8),6+(O458-1)*3))</f>
        <v>30</v>
      </c>
      <c r="T458" s="1">
        <f ca="1">IF(ISERROR(F445),"",VLOOKUP(A445,INDIRECT($F$8),7+(O458-1)*3))</f>
        <v>20</v>
      </c>
      <c r="U458" s="1">
        <f ca="1">IF(ISERROR(F445),"",VLOOKUP(A445,INDIRECT($F$8),8+(O458-1)*3))</f>
        <v>50</v>
      </c>
      <c r="V458" s="1" t="e">
        <f ca="1">IF(ISERROR(F445),"",IF(N458=0,A458,""))</f>
        <v>#N/A</v>
      </c>
      <c r="W458" s="1">
        <f ca="1">IF(ISERROR(F445),"",IF(ISTEXT(VLOOKUP(B445,INDIRECT($F$8),6+(O458-1)*3)),11,IF(VLOOKUP(B445,INDIRECT($F$8),6+(O458-1)*3)&lt;S458*0.3,IF(VLOOKUP(B445,INDIRECT($F$8),8+(O458-1)*3)&lt;U458*0.4,IF(AND(0.4*U458-VLOOKUP(B445,INDIRECT($F$8),8+(O458-1)*3)&lt;=5,0.3*S458-VLOOKUP(B445,INDIRECT($F$8),6+(O458-1)*3)&lt;=5),MAX(0.4*U458-VLOOKUP(B445,INDIRECT($F$8),8+(O458-1)*3),0.3*S458-VLOOKUP(B445,INDIRECT($F$8),6+(O458-1)*3)),11),IF(0.3*S458-VLOOKUP(B445,INDIRECT($F$8),6+(O458-1)*3)&lt;=5,0.3*S458-VLOOKUP(B445,INDIRECT($F$8),6+(O458-1)*3),11)),IF(VLOOKUP(B445,INDIRECT($F$8),8+(O458-1)*3)&lt;U458*0.4,IF(U458*0.4-VLOOKUP(B445,INDIRECT($F$8),8+(O458-1)*3)&lt;=5,U458*0.4-VLOOKUP(B445,INDIRECT($F$8),8+(O458-1)*3),11),0))))</f>
        <v>0</v>
      </c>
      <c r="X458" s="1" t="str">
        <f ca="1">IF(ISERROR(F445),"",IF(W458=0,"",_xlfn.TEXTJOIN("",FALSE," G+",W458," in ",A458)))</f>
        <v/>
      </c>
    </row>
    <row r="459" spans="1:24" ht="13" customHeight="1" x14ac:dyDescent="0.2">
      <c r="A459" s="7" t="str">
        <f ca="1">IF(ISERROR(F445),"",VLOOKUP(C445,INDIRECT($F$8),6+(O459-1)*3,0))</f>
        <v>CAP 007</v>
      </c>
      <c r="B459" s="41" t="str">
        <f ca="1">IF(ISERROR(F445),"",VLOOKUP(D445,INDIRECT($F$8),6+(O459-1)*3,0))</f>
        <v>Artificial Intelligence Lab</v>
      </c>
      <c r="C459" s="41"/>
      <c r="D459" s="41"/>
      <c r="E459" s="41"/>
      <c r="F459" s="7">
        <f ca="1">IF(ISERROR(F445),"",VLOOKUP(E445,INDIRECT($F$8),6+(O459-1)*3,0))</f>
        <v>1</v>
      </c>
      <c r="G459" s="42" t="e">
        <f ca="1">IF(ISERROR(F445),"",_xlfn.TEXTJOIN("/",FALSE,P459,S459))</f>
        <v>#N/A</v>
      </c>
      <c r="H459" s="42"/>
      <c r="I459" s="42" t="str">
        <f ca="1">IF(ISERROR(F445),"",_xlfn.TEXTJOIN("/",FALSE,Q459,T459))</f>
        <v>19/20</v>
      </c>
      <c r="J459" s="42"/>
      <c r="K459" s="42" t="e">
        <f ca="1">IF(ISERROR(F445),"",_xlfn.TEXTJOIN("/",FALSE,R459,U459))</f>
        <v>#N/A</v>
      </c>
      <c r="L459" s="42"/>
      <c r="M459" s="7" t="e">
        <f ca="1">IF(ISERROR(F445),"",IF(ISTEXT(P459),IF(P459="A","Ab",IF(P459="D","Dt",IF(P459="UFM","UFM",IF(P459="NA","")))),IF(AND(ISBLANK(P459),ISBLANK(R459)),"",IF(P459&lt;0.3*S459,"F",IF(ISBLANK(R459),"",IF(ISTEXT(R459),R459,IF(R459&gt;=0.9*U459,"O",IF(R459&gt;=0.85*U459,"A+",IF(R459&gt;=0.8*U459,"A",IF(R459&gt;=0.7*U459,"B+",IF(R459&gt;=0.6*U459,"B",IF(R459&gt;=0.5*U459,"C",IF(R459&gt;=0.4*U459,"P",IF(R459&lt;0.4*U459,"F",R459))))))))))))))</f>
        <v>#N/A</v>
      </c>
      <c r="N459" s="8" t="e">
        <f t="shared" ca="1" si="46"/>
        <v>#N/A</v>
      </c>
      <c r="O459">
        <f t="shared" si="47"/>
        <v>10</v>
      </c>
      <c r="P459" s="1" t="e">
        <f ca="1">IF(ISERROR(F445),"",IF(ISTEXT(VLOOKUP(B445,INDIRECT($F$8),6+(O459-1)*3)),(VLOOKUP(B445,INDIRECT($F$8),6+(O459-1)*3)),SUM(VLOOKUP(B445,INDIRECT($F$8),6+(O459-1)*3),IF(W460,W459,0))))</f>
        <v>#N/A</v>
      </c>
      <c r="Q459" s="1">
        <f ca="1">IF(ISERROR(F445),"",VLOOKUP(B445,INDIRECT($F$8),7+(O459-1)*3))</f>
        <v>19</v>
      </c>
      <c r="R459" s="1" t="e">
        <f ca="1">IF(ISERROR(F445),"",SUM(P459:Q459))</f>
        <v>#N/A</v>
      </c>
      <c r="S459" s="1">
        <f ca="1">IF(ISERROR(F445),"",VLOOKUP(A445,INDIRECT($F$8),6+(O459-1)*3))</f>
        <v>30</v>
      </c>
      <c r="T459" s="1">
        <f ca="1">IF(ISERROR(F445),"",VLOOKUP(A445,INDIRECT($F$8),7+(O459-1)*3))</f>
        <v>20</v>
      </c>
      <c r="U459" s="1">
        <f ca="1">IF(ISERROR(F445),"",VLOOKUP(A445,INDIRECT($F$8),8+(O459-1)*3))</f>
        <v>50</v>
      </c>
      <c r="V459" s="1" t="e">
        <f ca="1">IF(ISERROR(F445),"",IF(N459=0,A459,""))</f>
        <v>#N/A</v>
      </c>
      <c r="W459" s="1">
        <f ca="1">IF(ISERROR(F445),"",IF(ISTEXT(VLOOKUP(B445,INDIRECT($F$8),6+(O459-1)*3)),11,IF(VLOOKUP(B445,INDIRECT($F$8),6+(O459-1)*3)&lt;S459*0.3,IF(VLOOKUP(B445,INDIRECT($F$8),8+(O459-1)*3)&lt;U459*0.4,IF(AND(0.4*U459-VLOOKUP(B445,INDIRECT($F$8),8+(O459-1)*3)&lt;=5,0.3*S459-VLOOKUP(B445,INDIRECT($F$8),6+(O459-1)*3)&lt;=5),MAX(0.4*U459-VLOOKUP(B445,INDIRECT($F$8),8+(O459-1)*3),0.3*S459-VLOOKUP(B445,INDIRECT($F$8),6+(O459-1)*3)),11),IF(0.3*S459-VLOOKUP(B445,INDIRECT($F$8),6+(O459-1)*3)&lt;=5,0.3*S459-VLOOKUP(B445,INDIRECT($F$8),6+(O459-1)*3),11)),IF(VLOOKUP(B445,INDIRECT($F$8),8+(O459-1)*3)&lt;U459*0.4,IF(U459*0.4-VLOOKUP(B445,INDIRECT($F$8),8+(O459-1)*3)&lt;=5,U459*0.4-VLOOKUP(B445,INDIRECT($F$8),8+(O459-1)*3),11),0))))</f>
        <v>0</v>
      </c>
      <c r="X459" s="1" t="str">
        <f ca="1">IF(ISERROR(F445),"",IF(W459=0,"",_xlfn.TEXTJOIN("",FALSE," G+",W459," in ",A459)))</f>
        <v/>
      </c>
    </row>
    <row r="460" spans="1:24" ht="13" customHeight="1" x14ac:dyDescent="0.2">
      <c r="A460" s="43" t="str">
        <f ca="1">IF(ISERROR(F445),"",A441)</f>
        <v>Total Credits/ Marks/ Total Grade Points</v>
      </c>
      <c r="B460" s="43"/>
      <c r="C460" s="43"/>
      <c r="D460" s="43"/>
      <c r="E460" s="43"/>
      <c r="F460" s="10">
        <f ca="1">IF(ISERROR(F445),"",SUM(F450:F459))</f>
        <v>24</v>
      </c>
      <c r="G460" s="44" t="e">
        <f ca="1">IF(ISERROR(F445),"",_xlfn.TEXTJOIN("/",TRUE,SUMIF(F450:F459,"&gt;0",P450:P459),SUMIF(F450:F459,"&gt;0",S450:S459)))</f>
        <v>#N/A</v>
      </c>
      <c r="H460" s="44"/>
      <c r="I460" s="44" t="str">
        <f ca="1">IF(ISERROR(F445),"",_xlfn.TEXTJOIN("/",TRUE,SUMIF(F450:F459,"&gt;0",Q450:Q459),SUMIF(F450:F459,"&gt;0",T450:T459)))</f>
        <v>279/330</v>
      </c>
      <c r="J460" s="44"/>
      <c r="K460" s="44" t="e">
        <f ca="1">IF(ISERROR(F445),"",_xlfn.TEXTJOIN("/",TRUE,SUMIF(F450:F459,"&gt;0",R450:R459),SUMIF(F450:F459,"&gt;0",U450:U459)))</f>
        <v>#N/A</v>
      </c>
      <c r="L460" s="44"/>
      <c r="M460" s="43" t="e">
        <f ca="1">IF(ISERROR(F445),"",SUMPRODUCT(N450:N459,F450:F459))</f>
        <v>#N/A</v>
      </c>
      <c r="N460" s="43"/>
      <c r="V460" s="1" t="e">
        <f ca="1">IF(ISERROR(F445),"",_xlfn.TEXTJOIN(", ",TRUE,V450:V459))</f>
        <v>#N/A</v>
      </c>
      <c r="W460" t="e">
        <f ca="1">IF(ISERROR(F445),"",IF(SUM(W450:W459)&lt;=W449,TRUE,FALSE))</f>
        <v>#N/A</v>
      </c>
      <c r="X460" s="1" t="str">
        <f ca="1">IF(ISERROR(F445),"",_xlfn.TEXTJOIN(",",TRUE,X450:X459))</f>
        <v/>
      </c>
    </row>
    <row r="461" spans="1:24" ht="13" customHeight="1" x14ac:dyDescent="0.2">
      <c r="A461" s="43" t="str">
        <f ca="1">IF(ISERROR(F445),"",A442)</f>
        <v>Result:</v>
      </c>
      <c r="B461" s="45" t="e">
        <f ca="1">IF(ISERROR(F445),"",IF(V460="","PASS","CARRY OVER"))</f>
        <v>#N/A</v>
      </c>
      <c r="C461" s="45"/>
      <c r="D461" s="43" t="str">
        <f ca="1">IF(ISERROR(F445),"",D442)</f>
        <v>Remark:</v>
      </c>
      <c r="E461" s="45" t="e">
        <f ca="1">IF(ISERROR(F445),"",IF(V460="",IF(X460="","",X460),_xlfn.TEXTJOIN(" ",TRUE,"BACK IN",V460)))</f>
        <v>#N/A</v>
      </c>
      <c r="F461" s="45"/>
      <c r="G461" s="43" t="str">
        <f ca="1">IF(ISERROR(F445),"",G442)</f>
        <v>SGPA:</v>
      </c>
      <c r="H461" s="46" t="e">
        <f ca="1">IF(ISERROR(F445),"",M460/F460)</f>
        <v>#N/A</v>
      </c>
      <c r="I461" s="43" t="str">
        <f ca="1">IF(ISERROR(F445),"",I442)</f>
        <v>CGPA:</v>
      </c>
      <c r="J461" s="46" t="e">
        <f ca="1">IF(ISERROR(F445),"",VLOOKUP(B445,INDIRECT($F$8),12+(O459-1)*3,0))</f>
        <v>#N/A</v>
      </c>
      <c r="K461" s="45" t="str">
        <f ca="1">IF(ISERROR(F445),"",K442)</f>
        <v>Earned Credits:</v>
      </c>
      <c r="L461" s="43">
        <f ca="1">IF(ISERROR(F445),"",SUMIF(N450:N459,"&gt;0",F450:F459))</f>
        <v>0</v>
      </c>
      <c r="M461" s="45" t="str">
        <f ca="1">IF(ISERROR(F445),"",M442)</f>
        <v>Cuml. Earned Credits:</v>
      </c>
      <c r="N461" s="43" t="e">
        <f ca="1">IF(ISERROR(F445),"",VLOOKUP(B445,INDIRECT($F$8),10+(O459-1)*3,0))</f>
        <v>#N/A</v>
      </c>
    </row>
    <row r="462" spans="1:24" ht="13" customHeight="1" x14ac:dyDescent="0.2">
      <c r="A462" s="43"/>
      <c r="B462" s="45"/>
      <c r="C462" s="45"/>
      <c r="D462" s="43"/>
      <c r="E462" s="45"/>
      <c r="F462" s="45"/>
      <c r="G462" s="43"/>
      <c r="H462" s="46"/>
      <c r="I462" s="43"/>
      <c r="J462" s="46"/>
      <c r="K462" s="45"/>
      <c r="L462" s="43"/>
      <c r="M462" s="45"/>
      <c r="N462" s="43"/>
    </row>
    <row r="463" spans="1:24" ht="15" x14ac:dyDescent="0.2">
      <c r="A463" s="43"/>
      <c r="B463" s="45"/>
      <c r="C463" s="45"/>
      <c r="D463" s="43"/>
      <c r="E463" s="45"/>
      <c r="F463" s="45"/>
      <c r="G463" s="43"/>
      <c r="H463" s="46"/>
      <c r="I463" s="43"/>
      <c r="J463" s="46"/>
      <c r="K463" s="45"/>
      <c r="L463" s="43"/>
      <c r="M463" s="45"/>
      <c r="N463" s="43"/>
    </row>
    <row r="464" spans="1:24" ht="13" customHeight="1" x14ac:dyDescent="0.2">
      <c r="A464" s="11" t="str">
        <f>A445</f>
        <v>MM</v>
      </c>
      <c r="B464" s="11">
        <f>B445+1</f>
        <v>25</v>
      </c>
      <c r="C464" s="11" t="str">
        <f>C445</f>
        <v>SC</v>
      </c>
      <c r="D464" s="11" t="str">
        <f>D445</f>
        <v>SN</v>
      </c>
      <c r="E464" s="11" t="str">
        <f>E445</f>
        <v>C</v>
      </c>
      <c r="F464" s="11" t="str">
        <f ca="1">VLOOKUP(B464,INDIRECT($F$8),4,0)</f>
        <v>SURAJ SINGH BISHT</v>
      </c>
    </row>
    <row r="465" spans="1:24" ht="13" customHeight="1" x14ac:dyDescent="0.2">
      <c r="A465" s="47" t="str">
        <f ca="1">IF(ISERROR(F464),"",A446)</f>
        <v>Name:</v>
      </c>
      <c r="B465" s="47" t="str">
        <f ca="1">IFERROR(VLOOKUP(B464,INDIRECT($F$8),4,0),"")</f>
        <v>SURAJ SINGH BISHT</v>
      </c>
      <c r="C465" s="47"/>
      <c r="D465" s="47" t="str">
        <f ca="1">IF(ISERROR(F464),"",D446)</f>
        <v>Father's Name:</v>
      </c>
      <c r="E465" s="47" t="str">
        <f ca="1">IFERROR(VLOOKUP(B464,INDIRECT($F$8),5,0),"")</f>
        <v>KHUSHAL SINGH</v>
      </c>
      <c r="F465" s="47"/>
      <c r="G465" s="47" t="str">
        <f ca="1">IF(ISERROR(F464),"",G446)</f>
        <v>University Roll No:</v>
      </c>
      <c r="H465" s="47"/>
      <c r="I465" s="48">
        <f ca="1">IFERROR(VLOOKUP(B464,INDIRECT($F$8),2,0),"")</f>
        <v>240090600025</v>
      </c>
      <c r="J465" s="48"/>
      <c r="K465" s="47" t="str">
        <f ca="1">IF(ISERROR(F464),"",K446)</f>
        <v>University Enrol. No:</v>
      </c>
      <c r="L465" s="47"/>
      <c r="M465" s="48" t="str">
        <f ca="1">IFERROR(VLOOKUP(B464,INDIRECT($F$8),3,0),"")</f>
        <v>UTU/2406100189</v>
      </c>
      <c r="N465" s="48"/>
    </row>
    <row r="466" spans="1:24" ht="15" x14ac:dyDescent="0.2">
      <c r="A466" s="47"/>
      <c r="B466" s="47"/>
      <c r="C466" s="47"/>
      <c r="D466" s="47"/>
      <c r="E466" s="47"/>
      <c r="F466" s="47"/>
      <c r="G466" s="47"/>
      <c r="H466" s="47"/>
      <c r="I466" s="48"/>
      <c r="J466" s="48"/>
      <c r="K466" s="47"/>
      <c r="L466" s="47"/>
      <c r="M466" s="48"/>
      <c r="N466" s="48"/>
    </row>
    <row r="467" spans="1:24" ht="13" customHeight="1" x14ac:dyDescent="0.2">
      <c r="A467" s="45" t="str">
        <f ca="1">IF(ISERROR(F464),"",A448)</f>
        <v>Subject Code</v>
      </c>
      <c r="B467" s="45" t="str">
        <f ca="1">IF(ISERROR(F464),"",B448)</f>
        <v>Subject Name</v>
      </c>
      <c r="C467" s="45"/>
      <c r="D467" s="45"/>
      <c r="E467" s="45"/>
      <c r="F467" s="45" t="str">
        <f ca="1">IF(ISERROR(F464),"",F448)</f>
        <v>Credits</v>
      </c>
      <c r="G467" s="45" t="str">
        <f ca="1">IF(ISERROR(F464),"",G448)</f>
        <v>External Marks</v>
      </c>
      <c r="H467" s="45"/>
      <c r="I467" s="45" t="str">
        <f ca="1">IF(ISERROR(F464),"",I448)</f>
        <v>Sessional Marks</v>
      </c>
      <c r="J467" s="45"/>
      <c r="K467" s="45" t="str">
        <f ca="1">IF(ISERROR(F464),"",K448)</f>
        <v>Total Marks</v>
      </c>
      <c r="L467" s="45"/>
      <c r="M467" s="45" t="str">
        <f ca="1">IF(ISERROR(F464),"",M448)</f>
        <v>Grade</v>
      </c>
      <c r="N467" s="45" t="str">
        <f ca="1">IF(ISERROR(F464),"",N448)</f>
        <v>Grade Points</v>
      </c>
    </row>
    <row r="468" spans="1:24" ht="15" x14ac:dyDescent="0.2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W468" t="e">
        <f ca="1">IF(ISNUMBER(MATCH($F$8,{"I","III","V","VII"},0)),10,10-INDEX(INDIRECT(_xlfn.TEXTJOIN("",TRUE,"SEM_",$G$8,"!",ADDRESS(6,4+$I$8*3+4),":",ADDRESS(5+$H$8,4+$I$8*3+4))),MATCH(INDIRECT(_xlfn.TEXTJOIN("",TRUE,"TC_",$F$8,"!",ADDRESS(ROW(I465),COLUMN(I465)))),INDIRECT(_xlfn.TEXTJOIN("",TRUE,"SEM_",$G$8,"!",ADDRESS(6,2),":",ADDRESS(5+$H$8,2))))))</f>
        <v>#N/A</v>
      </c>
    </row>
    <row r="469" spans="1:24" ht="13" customHeight="1" x14ac:dyDescent="0.2">
      <c r="A469" s="7" t="str">
        <f ca="1">IF(ISERROR(F464),"",VLOOKUP(C464,INDIRECT($F$8),6+(O469-1)*3,0))</f>
        <v>CAT 009</v>
      </c>
      <c r="B469" s="41" t="str">
        <f ca="1">IF(ISERROR(F464),"",VLOOKUP(D464,INDIRECT($F$8),6+(O469-1)*3,0))</f>
        <v>Computer Based Numerical and Statistical Techniques</v>
      </c>
      <c r="C469" s="41"/>
      <c r="D469" s="41"/>
      <c r="E469" s="41"/>
      <c r="F469" s="7">
        <f ca="1">IF(ISERROR(F464),"",VLOOKUP(E464,INDIRECT($F$8),6+(O469-1)*3,0))</f>
        <v>4</v>
      </c>
      <c r="G469" s="42" t="e">
        <f ca="1">IF(ISERROR(F464),"",_xlfn.TEXTJOIN("/",FALSE,P469,S469))</f>
        <v>#N/A</v>
      </c>
      <c r="H469" s="42"/>
      <c r="I469" s="42" t="str">
        <f ca="1">IF(ISERROR(F464),"",_xlfn.TEXTJOIN("/",FALSE,Q469,T469))</f>
        <v>41/50</v>
      </c>
      <c r="J469" s="42"/>
      <c r="K469" s="42" t="e">
        <f ca="1">IF(ISERROR(F464),"",_xlfn.TEXTJOIN("/",FALSE,R469,U469))</f>
        <v>#N/A</v>
      </c>
      <c r="L469" s="42"/>
      <c r="M469" s="7" t="e">
        <f ca="1">IF(ISERROR(F464),"",IF(ISTEXT(P469),IF(P469="A","Ab",IF(P469="D","Dt",IF(P469="UFM","UFM",IF(P469="NA","")))),IF(AND(ISBLANK(P469),ISBLANK(R469)),"",IF(P469&lt;0.3*S469,"F",IF(ISBLANK(R469),"",IF(ISTEXT(R469),R469,IF(R469&gt;=0.9*U469,"O",IF(R469&gt;=0.85*U469,"A+",IF(R469&gt;=0.8*U469,"A",IF(R469&gt;=0.7*U469,"B+",IF(R469&gt;=0.6*U469,"B",IF(R469&gt;=0.5*U469,"C",IF(R469&gt;=0.4*U469,"P",IF(R469&lt;0.4*U469,"F",R469))))))))))))))</f>
        <v>#N/A</v>
      </c>
      <c r="N469" s="8" t="e">
        <f t="shared" ref="N469:N478" ca="1" si="48">INDEX($Z$2:$Z$13,MATCH(M469,$Y$2:$Y$13,0))</f>
        <v>#N/A</v>
      </c>
      <c r="O469">
        <v>1</v>
      </c>
      <c r="P469" s="1" t="e">
        <f ca="1">IF(ISERROR(F464),"",IF(ISTEXT(VLOOKUP(B464,INDIRECT($F$8),6+(O469-1)*3)),(VLOOKUP(B464,INDIRECT($F$8),6+(O469-1)*3)),SUM(VLOOKUP(B464,INDIRECT($F$8),6+(O469-1)*3),IF(W479,W469,0))))</f>
        <v>#N/A</v>
      </c>
      <c r="Q469" s="1">
        <f ca="1">IF(ISERROR(F464),"",VLOOKUP(B464,INDIRECT($F$8),7+(O469-1)*3))</f>
        <v>41</v>
      </c>
      <c r="R469" s="1" t="e">
        <f ca="1">IF(ISERROR(F464),"",SUM(P469:Q469))</f>
        <v>#N/A</v>
      </c>
      <c r="S469" s="1">
        <f ca="1">IF(ISERROR(F464),"",VLOOKUP(A464,INDIRECT($F$8),6+(O469-1)*3))</f>
        <v>100</v>
      </c>
      <c r="T469" s="1">
        <f ca="1">IF(ISERROR(F464),"",VLOOKUP(A464,INDIRECT($F$8),7+(O469-1)*3))</f>
        <v>50</v>
      </c>
      <c r="U469" s="1">
        <f ca="1">IF(ISERROR(F464),"",VLOOKUP(A464,INDIRECT($F$8),8+(O469-1)*3))</f>
        <v>150</v>
      </c>
      <c r="V469" s="1" t="e">
        <f ca="1">IF(ISERROR(F464),"",IF(N469=0,A469,""))</f>
        <v>#N/A</v>
      </c>
      <c r="W469" s="1">
        <f ca="1">IF(ISERROR(F464),"",IF(ISTEXT(VLOOKUP(B464,INDIRECT($F$8),6+(O469-1)*3)),11,IF(VLOOKUP(B464,INDIRECT($F$8),6+(O469-1)*3)&lt;S469*0.3,IF(VLOOKUP(B464,INDIRECT($F$8),8+(O469-1)*3)&lt;U469*0.4,IF(AND(0.4*U469-VLOOKUP(B464,INDIRECT($F$8),8+(O469-1)*3)&lt;=5,0.3*S469-VLOOKUP(B464,INDIRECT($F$8),6+(O469-1)*3)&lt;=5),MAX(0.4*U469-VLOOKUP(B464,INDIRECT($F$8),8+(O469-1)*3),0.3*S469-VLOOKUP(B464,INDIRECT($F$8),6+(O469-1)*3)),11),IF(0.3*S469-VLOOKUP(B464,INDIRECT($F$8),6+(O469-1)*3)&lt;=5,0.3*S469-VLOOKUP(B464,INDIRECT($F$8),6+(O469-1)*3),11)),IF(VLOOKUP(B464,INDIRECT($F$8),8+(O469-1)*3)&lt;U469*0.4,IF(U469*0.4-VLOOKUP(B464,INDIRECT($F$8),8+(O469-1)*3)&lt;=5,U469*0.4-VLOOKUP(B464,INDIRECT($F$8),8+(O469-1)*3),11),0))))</f>
        <v>0</v>
      </c>
      <c r="X469" s="1" t="str">
        <f ca="1">IF(ISERROR(F464),"",IF(W469=0,"",_xlfn.TEXTJOIN("",FALSE," G+",W469," in ",A469)))</f>
        <v/>
      </c>
    </row>
    <row r="470" spans="1:24" ht="13" customHeight="1" x14ac:dyDescent="0.2">
      <c r="A470" s="7" t="str">
        <f ca="1">IF(ISERROR(F464),"",VLOOKUP(C464,INDIRECT($F$8),6+(O470-1)*3,0))</f>
        <v>CAT 010</v>
      </c>
      <c r="B470" s="41" t="str">
        <f ca="1">IF(ISERROR(F464),"",VLOOKUP(D464,INDIRECT($F$8),6+(O470-1)*3,0))</f>
        <v>Data Structures and Analysis of Algorithms</v>
      </c>
      <c r="C470" s="41"/>
      <c r="D470" s="41"/>
      <c r="E470" s="41"/>
      <c r="F470" s="7">
        <f ca="1">IF(ISERROR(F464),"",VLOOKUP(E464,INDIRECT($F$8),6+(O470-1)*3,0))</f>
        <v>4</v>
      </c>
      <c r="G470" s="42" t="e">
        <f ca="1">IF(ISERROR(F464),"",_xlfn.TEXTJOIN("/",FALSE,P470,S470))</f>
        <v>#N/A</v>
      </c>
      <c r="H470" s="42"/>
      <c r="I470" s="42" t="str">
        <f ca="1">IF(ISERROR(F464),"",_xlfn.TEXTJOIN("/",FALSE,Q470,T470))</f>
        <v>38/50</v>
      </c>
      <c r="J470" s="42"/>
      <c r="K470" s="42" t="e">
        <f ca="1">IF(ISERROR(F464),"",_xlfn.TEXTJOIN("/",FALSE,R470,U470))</f>
        <v>#N/A</v>
      </c>
      <c r="L470" s="42"/>
      <c r="M470" s="7" t="e">
        <f ca="1">IF(ISERROR(F464),"",IF(ISTEXT(P470),IF(P470="A","Ab",IF(P470="D","Dt",IF(P470="UFM","UFM",IF(P470="NA","")))),IF(AND(ISBLANK(P470),ISBLANK(R470)),"",IF(P470&lt;0.3*S470,"F",IF(ISBLANK(R470),"",IF(ISTEXT(R470),R470,IF(R470&gt;=0.9*U470,"O",IF(R470&gt;=0.85*U470,"A+",IF(R470&gt;=0.8*U470,"A",IF(R470&gt;=0.7*U470,"B+",IF(R470&gt;=0.6*U470,"B",IF(R470&gt;=0.5*U470,"C",IF(R470&gt;=0.4*U470,"P",IF(R470&lt;0.4*U470,"F",R470))))))))))))))</f>
        <v>#N/A</v>
      </c>
      <c r="N470" s="8" t="e">
        <f t="shared" ca="1" si="48"/>
        <v>#N/A</v>
      </c>
      <c r="O470">
        <f>O469+1</f>
        <v>2</v>
      </c>
      <c r="P470" s="1" t="e">
        <f ca="1">IF(ISERROR(F464),"",IF(ISTEXT(VLOOKUP(B464,INDIRECT($F$8),6+(O470-1)*3)),(VLOOKUP(B464,INDIRECT($F$8),6+(O470-1)*3)),SUM(VLOOKUP(B464,INDIRECT($F$8),6+(O470-1)*3),IF(W479,W470,0))))</f>
        <v>#N/A</v>
      </c>
      <c r="Q470" s="1">
        <f ca="1">IF(ISERROR(F464),"",VLOOKUP(B464,INDIRECT($F$8),7+(O470-1)*3))</f>
        <v>38</v>
      </c>
      <c r="R470" s="1" t="e">
        <f ca="1">IF(ISERROR(F464),"",SUM(P470:Q470))</f>
        <v>#N/A</v>
      </c>
      <c r="S470" s="1">
        <f ca="1">IF(ISERROR(F464),"",VLOOKUP(A464,INDIRECT($F$8),6+(O470-1)*3))</f>
        <v>100</v>
      </c>
      <c r="T470" s="1">
        <f ca="1">IF(ISERROR(F464),"",VLOOKUP(A464,INDIRECT($F$8),7+(O470-1)*3))</f>
        <v>50</v>
      </c>
      <c r="U470" s="1">
        <f ca="1">IF(ISERROR(F464),"",VLOOKUP(A464,INDIRECT($F$8),8+(O470-1)*3))</f>
        <v>150</v>
      </c>
      <c r="V470" s="1" t="e">
        <f ca="1">IF(ISERROR(F464),"",IF(N470=0,A470,""))</f>
        <v>#N/A</v>
      </c>
      <c r="W470" s="1">
        <f ca="1">IF(ISERROR(F464),"",IF(ISTEXT(VLOOKUP(B464,INDIRECT($F$8),6+(O470-1)*3)),11,IF(VLOOKUP(B464,INDIRECT($F$8),6+(O470-1)*3)&lt;S470*0.3,IF(VLOOKUP(B464,INDIRECT($F$8),8+(O470-1)*3)&lt;U470*0.4,IF(AND(0.4*U470-VLOOKUP(B464,INDIRECT($F$8),8+(O470-1)*3)&lt;=5,0.3*S470-VLOOKUP(B464,INDIRECT($F$8),6+(O470-1)*3)&lt;=5),MAX(0.4*U470-VLOOKUP(B464,INDIRECT($F$8),8+(O470-1)*3),0.3*S470-VLOOKUP(B464,INDIRECT($F$8),6+(O470-1)*3)),11),IF(0.3*S470-VLOOKUP(B464,INDIRECT($F$8),6+(O470-1)*3)&lt;=5,0.3*S470-VLOOKUP(B464,INDIRECT($F$8),6+(O470-1)*3),11)),IF(VLOOKUP(B464,INDIRECT($F$8),8+(O470-1)*3)&lt;U470*0.4,IF(U470*0.4-VLOOKUP(B464,INDIRECT($F$8),8+(O470-1)*3)&lt;=5,U470*0.4-VLOOKUP(B464,INDIRECT($F$8),8+(O470-1)*3),11),0))))</f>
        <v>0</v>
      </c>
      <c r="X470" s="1" t="str">
        <f ca="1">IF(ISERROR(F464),"",IF(W470=0,"",_xlfn.TEXTJOIN("",FALSE," G+",W470," in ",A470)))</f>
        <v/>
      </c>
    </row>
    <row r="471" spans="1:24" ht="13" customHeight="1" x14ac:dyDescent="0.2">
      <c r="A471" s="7" t="str">
        <f ca="1">IF(ISERROR(F464),"",VLOOKUP(C464,INDIRECT($F$8),6+(O471-1)*3,0))</f>
        <v>CAT 011</v>
      </c>
      <c r="B471" s="41" t="str">
        <f ca="1">IF(ISERROR(F464),"",VLOOKUP(D464,INDIRECT($F$8),6+(O471-1)*3,0))</f>
        <v>Object Oriented Programming with JAVA</v>
      </c>
      <c r="C471" s="41"/>
      <c r="D471" s="41"/>
      <c r="E471" s="41"/>
      <c r="F471" s="7">
        <f ca="1">IF(ISERROR(F464),"",VLOOKUP(E464,INDIRECT($F$8),6+(O471-1)*3,0))</f>
        <v>4</v>
      </c>
      <c r="G471" s="42" t="e">
        <f ca="1">IF(ISERROR(F464),"",_xlfn.TEXTJOIN("/",FALSE,P471,S471))</f>
        <v>#N/A</v>
      </c>
      <c r="H471" s="42"/>
      <c r="I471" s="42" t="str">
        <f ca="1">IF(ISERROR(F464),"",_xlfn.TEXTJOIN("/",FALSE,Q471,T471))</f>
        <v>36/50</v>
      </c>
      <c r="J471" s="42"/>
      <c r="K471" s="42" t="e">
        <f ca="1">IF(ISERROR(F464),"",_xlfn.TEXTJOIN("/",FALSE,R471,U471))</f>
        <v>#N/A</v>
      </c>
      <c r="L471" s="42"/>
      <c r="M471" s="7" t="e">
        <f ca="1">IF(ISERROR(F464),"",IF(ISTEXT(P471),IF(P471="A","Ab",IF(P471="D","Dt",IF(P471="UFM","UFM",IF(P471="NA","")))),IF(AND(ISBLANK(P471),ISBLANK(R471)),"",IF(P471&lt;0.3*S471,"F",IF(ISBLANK(R471),"",IF(ISTEXT(R471),R471,IF(R471&gt;=0.9*U471,"O",IF(R471&gt;=0.85*U471,"A+",IF(R471&gt;=0.8*U471,"A",IF(R471&gt;=0.7*U471,"B+",IF(R471&gt;=0.6*U471,"B",IF(R471&gt;=0.5*U471,"C",IF(R471&gt;=0.4*U471,"P",IF(R471&lt;0.4*U471,"F",R471))))))))))))))</f>
        <v>#N/A</v>
      </c>
      <c r="N471" s="8" t="e">
        <f t="shared" ca="1" si="48"/>
        <v>#N/A</v>
      </c>
      <c r="O471">
        <f>O470+1</f>
        <v>3</v>
      </c>
      <c r="P471" s="1" t="e">
        <f ca="1">IF(ISERROR(F464),"",IF(ISTEXT(VLOOKUP(B464,INDIRECT($F$8),6+(O471-1)*3)),(VLOOKUP(B464,INDIRECT($F$8),6+(O471-1)*3)),SUM(VLOOKUP(B464,INDIRECT($F$8),6+(O471-1)*3),IF(W479,W471,0))))</f>
        <v>#N/A</v>
      </c>
      <c r="Q471" s="1">
        <f ca="1">IF(ISERROR(F464),"",VLOOKUP(B464,INDIRECT($F$8),7+(O471-1)*3))</f>
        <v>36</v>
      </c>
      <c r="R471" s="1" t="e">
        <f ca="1">IF(ISERROR(F464),"",SUM(P471:Q471))</f>
        <v>#N/A</v>
      </c>
      <c r="S471" s="1">
        <f ca="1">IF(ISERROR(F464),"",VLOOKUP(A464,INDIRECT($F$8),6+(O471-1)*3))</f>
        <v>100</v>
      </c>
      <c r="T471" s="1">
        <f ca="1">IF(ISERROR(F464),"",VLOOKUP(A464,INDIRECT($F$8),7+(O471-1)*3))</f>
        <v>50</v>
      </c>
      <c r="U471" s="1">
        <f ca="1">IF(ISERROR(F464),"",VLOOKUP(A464,INDIRECT($F$8),8+(O471-1)*3))</f>
        <v>150</v>
      </c>
      <c r="V471" s="1" t="e">
        <f ca="1">IF(ISERROR(F464),"",IF(N471=0,A471,""))</f>
        <v>#N/A</v>
      </c>
      <c r="W471" s="1">
        <f ca="1">IF(ISERROR(F465),"",IF(ISTEXT(VLOOKUP(B465,INDIRECT($F$8),6+(O471-1)*3)),11,IF(VLOOKUP(B465,INDIRECT($F$8),6+(O471-1)*3)&lt;S471*0.3,IF(VLOOKUP(B465,INDIRECT($F$8),8+(O471-1)*3)&lt;U471*0.4,IF(AND(0.4*U471-VLOOKUP(B465,INDIRECT($F$8),8+(O471-1)*3)&lt;=5,0.3*S471-VLOOKUP(B465,INDIRECT($F$8),6+(O471-1)*3)&lt;=5),MAX(0.4*U471-VLOOKUP(B465,INDIRECT($F$8),8+(O471-1)*3),0.3*S471-VLOOKUP(B465,INDIRECT($F$8),6+(O471-1)*3)),11),IF(0.3*S471-VLOOKUP(B465,INDIRECT($F$8),6+(O471-1)*3)&lt;=5,0.3*S471-VLOOKUP(B465,INDIRECT($F$8),6+(O471-1)*3),11)),IF(VLOOKUP(B465,INDIRECT($F$8),8+(O471-1)*3)&lt;U471*0.4,IF(U471*0.4-VLOOKUP(B465,INDIRECT($F$8),8+(O471-1)*3)&lt;=5,U471*0.4-VLOOKUP(B465,INDIRECT($F$8),8+(O471-1)*3),11),0))))</f>
        <v>0</v>
      </c>
      <c r="X471" s="1" t="str">
        <f ca="1">IF(ISERROR(F464),"",IF(W471=0,"",_xlfn.TEXTJOIN("",FALSE," G+",W471," in ",A471)))</f>
        <v/>
      </c>
    </row>
    <row r="472" spans="1:24" ht="13" customHeight="1" x14ac:dyDescent="0.2">
      <c r="A472" s="7" t="str">
        <f ca="1">IF(ISERROR(F464),"",VLOOKUP(C464,INDIRECT($F$8),6+(O472-1)*3,0))</f>
        <v>CAT 012</v>
      </c>
      <c r="B472" s="41" t="str">
        <f ca="1">IF(ISERROR(F464),"",VLOOKUP(D464,INDIRECT($F$8),6+(O472-1)*3,0))</f>
        <v>Computer Networks</v>
      </c>
      <c r="C472" s="41"/>
      <c r="D472" s="41"/>
      <c r="E472" s="41"/>
      <c r="F472" s="7">
        <f ca="1">IF(ISERROR(F464),"",VLOOKUP(E464,INDIRECT($F$8),6+(O472-1)*3,0))</f>
        <v>4</v>
      </c>
      <c r="G472" s="42" t="e">
        <f ca="1">IF(ISERROR(F464),"",_xlfn.TEXTJOIN("/",FALSE,P472,S472))</f>
        <v>#N/A</v>
      </c>
      <c r="H472" s="42"/>
      <c r="I472" s="42" t="str">
        <f ca="1">IF(ISERROR(F464),"",_xlfn.TEXTJOIN("/",FALSE,Q472,T472))</f>
        <v>31/50</v>
      </c>
      <c r="J472" s="42"/>
      <c r="K472" s="42" t="e">
        <f ca="1">IF(ISERROR(F464),"",_xlfn.TEXTJOIN("/",FALSE,R472,U472))</f>
        <v>#N/A</v>
      </c>
      <c r="L472" s="42"/>
      <c r="M472" s="7" t="e">
        <f ca="1">IF(ISERROR(F464),"",IF(ISTEXT(P472),IF(P472="A","Ab",IF(P472="D","Dt",IF(P472="UFM","UFM",IF(P472="NA","")))),IF(AND(ISBLANK(P472),ISBLANK(R472)),"",IF(P472&lt;0.3*S472,"F",IF(ISBLANK(R472),"",IF(ISTEXT(R472),R472,IF(R472&gt;=0.9*U472,"O",IF(R472&gt;=0.85*U472,"A+",IF(R472&gt;=0.8*U472,"A",IF(R472&gt;=0.7*U472,"B+",IF(R472&gt;=0.6*U472,"B",IF(R472&gt;=0.5*U472,"C",IF(R472&gt;=0.4*U472,"P",IF(R472&lt;0.4*U472,"F",R472))))))))))))))</f>
        <v>#N/A</v>
      </c>
      <c r="N472" s="8" t="e">
        <f t="shared" ca="1" si="48"/>
        <v>#N/A</v>
      </c>
      <c r="O472">
        <f t="shared" ref="O472:O478" si="49">O471+1</f>
        <v>4</v>
      </c>
      <c r="P472" s="1" t="e">
        <f ca="1">IF(ISERROR(F464),"",IF(ISTEXT(VLOOKUP(B464,INDIRECT($F$8),6+(O472-1)*3)),(VLOOKUP(B464,INDIRECT($F$8),6+(O472-1)*3)),SUM(VLOOKUP(B464,INDIRECT($F$8),6+(O472-1)*3),IF(W479,W472,0))))</f>
        <v>#N/A</v>
      </c>
      <c r="Q472" s="1">
        <f ca="1">IF(ISERROR(F464),"",VLOOKUP(B464,INDIRECT($F$8),7+(O472-1)*3))</f>
        <v>31</v>
      </c>
      <c r="R472" s="1" t="e">
        <f ca="1">IF(ISERROR(F464),"",SUM(P472:Q472))</f>
        <v>#N/A</v>
      </c>
      <c r="S472" s="1">
        <f ca="1">IF(ISERROR(F464),"",VLOOKUP(A464,INDIRECT($F$8),6+(O472-1)*3))</f>
        <v>100</v>
      </c>
      <c r="T472" s="1">
        <f ca="1">IF(ISERROR(F464),"",VLOOKUP(A464,INDIRECT($F$8),7+(O472-1)*3))</f>
        <v>50</v>
      </c>
      <c r="U472" s="1">
        <f ca="1">IF(ISERROR(F464),"",VLOOKUP(A464,INDIRECT($F$8),8+(O472-1)*3))</f>
        <v>150</v>
      </c>
      <c r="V472" s="1" t="e">
        <f ca="1">IF(ISERROR(F464),"",IF(N472=0,A472,""))</f>
        <v>#N/A</v>
      </c>
      <c r="W472" s="1">
        <f ca="1">IF(ISERROR(F464),"",IF(ISTEXT(VLOOKUP(B464,INDIRECT($F$8),6+(O472-1)*3)),11,IF(VLOOKUP(B464,INDIRECT($F$8),6+(O472-1)*3)&lt;S472*0.3,IF(VLOOKUP(B464,INDIRECT($F$8),8+(O472-1)*3)&lt;U472*0.4,IF(AND(0.4*U472-VLOOKUP(B464,INDIRECT($F$8),8+(O472-1)*3)&lt;=5,0.3*S472-VLOOKUP(B464,INDIRECT($F$8),6+(O472-1)*3)&lt;=5),MAX(0.4*U472-VLOOKUP(B464,INDIRECT($F$8),8+(O472-1)*3),0.3*S472-VLOOKUP(B464,INDIRECT($F$8),6+(O472-1)*3)),11),IF(0.3*S472-VLOOKUP(B464,INDIRECT($F$8),6+(O472-1)*3)&lt;=5,0.3*S472-VLOOKUP(B464,INDIRECT($F$8),6+(O472-1)*3),11)),IF(VLOOKUP(B464,INDIRECT($F$8),8+(O472-1)*3)&lt;U472*0.4,IF(U472*0.4-VLOOKUP(B464,INDIRECT($F$8),8+(O472-1)*3)&lt;=5,U472*0.4-VLOOKUP(B464,INDIRECT($F$8),8+(O472-1)*3),11),0))))</f>
        <v>11</v>
      </c>
      <c r="X472" s="1" t="str">
        <f ca="1">IF(ISERROR(F464),"",IF(W472=0,"",_xlfn.TEXTJOIN("",FALSE," G+",W472," in ",A472)))</f>
        <v xml:space="preserve"> G+11 in CAT 012</v>
      </c>
    </row>
    <row r="473" spans="1:24" ht="13" customHeight="1" x14ac:dyDescent="0.2">
      <c r="A473" s="7" t="str">
        <f ca="1">IF(ISERROR(F464),"",VLOOKUP(C464,INDIRECT($F$8),6+(O473-1)*3,0))</f>
        <v>CAT 013</v>
      </c>
      <c r="B473" s="41" t="str">
        <f ca="1">IF(ISERROR(F464),"",VLOOKUP(D464,INDIRECT($F$8),6+(O473-1)*3,0))</f>
        <v>Artificial Intelligence</v>
      </c>
      <c r="C473" s="41"/>
      <c r="D473" s="41"/>
      <c r="E473" s="41"/>
      <c r="F473" s="7">
        <f ca="1">IF(ISERROR(F464),"",VLOOKUP(E464,INDIRECT($F$8),6+(O473-1)*3,0))</f>
        <v>4</v>
      </c>
      <c r="G473" s="42" t="e">
        <f ca="1">IF(ISERROR(F464),"",_xlfn.TEXTJOIN("/",FALSE,P473,S473))</f>
        <v>#N/A</v>
      </c>
      <c r="H473" s="42"/>
      <c r="I473" s="42" t="str">
        <f ca="1">IF(ISERROR(F464),"",_xlfn.TEXTJOIN("/",FALSE,Q473,T473))</f>
        <v>33/50</v>
      </c>
      <c r="J473" s="42"/>
      <c r="K473" s="42" t="e">
        <f ca="1">IF(ISERROR(F464),"",_xlfn.TEXTJOIN("/",FALSE,R473,U473))</f>
        <v>#N/A</v>
      </c>
      <c r="L473" s="42"/>
      <c r="M473" s="7" t="e">
        <f ca="1">IF(ISERROR(F464),"",IF(ISTEXT(P473),IF(P473="A","Ab",IF(P473="D","Dt",IF(P473="UFM","UFM",IF(P473="NA","")))),IF(AND(ISBLANK(P473),ISBLANK(R473)),"",IF(P473&lt;0.3*S473,"F",IF(ISBLANK(R473),"",IF(ISTEXT(R473),R473,IF(R473&gt;=0.9*U473,"O",IF(R473&gt;=0.85*U473,"A+",IF(R473&gt;=0.8*U473,"A",IF(R473&gt;=0.7*U473,"B+",IF(R473&gt;=0.6*U473,"B",IF(R473&gt;=0.5*U473,"C",IF(R473&gt;=0.4*U473,"P",IF(R473&lt;0.4*U473,"F",R473))))))))))))))</f>
        <v>#N/A</v>
      </c>
      <c r="N473" s="8" t="e">
        <f t="shared" ca="1" si="48"/>
        <v>#N/A</v>
      </c>
      <c r="O473">
        <f t="shared" si="49"/>
        <v>5</v>
      </c>
      <c r="P473" s="1" t="e">
        <f ca="1">IF(ISERROR(F464),"",IF(ISTEXT(VLOOKUP(B464,INDIRECT($F$8),6+(O473-1)*3)),(VLOOKUP(B464,INDIRECT($F$8),6+(O473-1)*3)),SUM(VLOOKUP(B464,INDIRECT($F$8),6+(O473-1)*3),IF(W479,W473,0))))</f>
        <v>#N/A</v>
      </c>
      <c r="Q473" s="1">
        <f ca="1">IF(ISERROR(F464),"",VLOOKUP(B464,INDIRECT($F$8),7+(O473-1)*3))</f>
        <v>33</v>
      </c>
      <c r="R473" s="1" t="e">
        <f ca="1">IF(ISERROR(F464),"",SUM(P473:Q473))</f>
        <v>#N/A</v>
      </c>
      <c r="S473" s="1">
        <f ca="1">IF(ISERROR(F464),"",VLOOKUP(A464,INDIRECT($F$8),6+(O473-1)*3))</f>
        <v>100</v>
      </c>
      <c r="T473" s="1">
        <f ca="1">IF(ISERROR(F464),"",VLOOKUP(A464,INDIRECT($F$8),7+(O473-1)*3))</f>
        <v>50</v>
      </c>
      <c r="U473" s="1">
        <f ca="1">IF(ISERROR(F464),"",VLOOKUP(A464,INDIRECT($F$8),8+(O473-1)*3))</f>
        <v>150</v>
      </c>
      <c r="V473" s="1" t="e">
        <f ca="1">IF(ISERROR(F464),"",IF(N473=0,A473,""))</f>
        <v>#N/A</v>
      </c>
      <c r="W473" s="1">
        <f ca="1">IF(ISERROR(F464),"",IF(ISTEXT(VLOOKUP(B464,INDIRECT($F$8),6+(O473-1)*3)),11,IF(VLOOKUP(B464,INDIRECT($F$8),6+(O473-1)*3)&lt;S473*0.3,IF(VLOOKUP(B464,INDIRECT($F$8),8+(O473-1)*3)&lt;U473*0.4,IF(AND(0.4*U473-VLOOKUP(B464,INDIRECT($F$8),8+(O473-1)*3)&lt;=5,0.3*S473-VLOOKUP(B464,INDIRECT($F$8),6+(O473-1)*3)&lt;=5),MAX(0.4*U473-VLOOKUP(B464,INDIRECT($F$8),8+(O473-1)*3),0.3*S473-VLOOKUP(B464,INDIRECT($F$8),6+(O473-1)*3)),11),IF(0.3*S473-VLOOKUP(B464,INDIRECT($F$8),6+(O473-1)*3)&lt;=5,0.3*S473-VLOOKUP(B464,INDIRECT($F$8),6+(O473-1)*3),11)),IF(VLOOKUP(B464,INDIRECT($F$8),8+(O473-1)*3)&lt;U473*0.4,IF(U473*0.4-VLOOKUP(B464,INDIRECT($F$8),8+(O473-1)*3)&lt;=5,U473*0.4-VLOOKUP(B464,INDIRECT($F$8),8+(O473-1)*3),11),0))))</f>
        <v>0</v>
      </c>
      <c r="X473" s="1" t="str">
        <f ca="1">IF(ISERROR(F464),"",IF(W473=0,"",_xlfn.TEXTJOIN("",FALSE," G+",W473," in ",A473)))</f>
        <v/>
      </c>
    </row>
    <row r="474" spans="1:24" ht="13" customHeight="1" x14ac:dyDescent="0.2">
      <c r="A474" s="7" t="str">
        <f ca="1">IF(ISERROR(F464),"",VLOOKUP(C464,INDIRECT($F$8),6+(O474-1)*3,0))</f>
        <v>AHT 304</v>
      </c>
      <c r="B474" s="41" t="str">
        <f ca="1">IF(ISERROR(F464),"",VLOOKUP(D464,INDIRECT($F$8),6+(O474-1)*3,0))</f>
        <v>Accounting and Financial Management ($)</v>
      </c>
      <c r="C474" s="41"/>
      <c r="D474" s="41"/>
      <c r="E474" s="41"/>
      <c r="F474" s="7">
        <f ca="1">IF(ISERROR(F464),"",VLOOKUP(E464,INDIRECT($F$8),6+(O474-1)*3,0))</f>
        <v>0</v>
      </c>
      <c r="G474" s="42" t="e">
        <f ca="1">IF(ISERROR(F464),"",_xlfn.TEXTJOIN("/",FALSE,P474,S474))</f>
        <v>#N/A</v>
      </c>
      <c r="H474" s="42"/>
      <c r="I474" s="42" t="str">
        <f ca="1">IF(ISERROR(F464),"",_xlfn.TEXTJOIN("/",FALSE,Q474,T474))</f>
        <v>25/50</v>
      </c>
      <c r="J474" s="42"/>
      <c r="K474" s="42" t="e">
        <f ca="1">IF(ISERROR(F464),"",_xlfn.TEXTJOIN("/",FALSE,R474,U474))</f>
        <v>#N/A</v>
      </c>
      <c r="L474" s="42"/>
      <c r="M474" s="7" t="e">
        <f ca="1">IF(ISERROR(F464),"",IF(ISTEXT(P474),IF(P474="A","Ab",IF(P474="D","Dt",IF(P474="UFM","UFM",IF(P474="NA","")))),IF(AND(ISBLANK(P474),ISBLANK(R474)),"",IF(P474&lt;0.3*S474,"F",IF(ISBLANK(R474),"",IF(ISTEXT(R474),R474,IF(R474&gt;=0.9*U474,"O",IF(R474&gt;=0.85*U474,"A+",IF(R474&gt;=0.8*U474,"A",IF(R474&gt;=0.7*U474,"B+",IF(R474&gt;=0.6*U474,"B",IF(R474&gt;=0.5*U474,"C",IF(R474&gt;=0.4*U474,"P",IF(R474&lt;0.4*U474,"F",R474))))))))))))))</f>
        <v>#N/A</v>
      </c>
      <c r="N474" s="8" t="e">
        <f t="shared" ca="1" si="48"/>
        <v>#N/A</v>
      </c>
      <c r="O474">
        <f t="shared" si="49"/>
        <v>6</v>
      </c>
      <c r="P474" s="1" t="e">
        <f ca="1">IF(ISERROR(F464),"",IF(ISTEXT(VLOOKUP(B464,INDIRECT($F$8),6+(O474-1)*3)),(VLOOKUP(B464,INDIRECT($F$8),6+(O474-1)*3)),SUM(VLOOKUP(B464,INDIRECT($F$8),6+(O474-1)*3),IF(W479,W474,0))))</f>
        <v>#N/A</v>
      </c>
      <c r="Q474" s="1">
        <f ca="1">IF(ISERROR(F464),"",VLOOKUP(B464,INDIRECT($F$8),7+(O474-1)*3))</f>
        <v>25</v>
      </c>
      <c r="R474" s="1" t="e">
        <f ca="1">IF(ISERROR(F464),"",SUM(P474:Q474))</f>
        <v>#N/A</v>
      </c>
      <c r="S474" s="1">
        <f ca="1">IF(ISERROR(F464),"",VLOOKUP(A464,INDIRECT($F$8),6+(O474-1)*3))</f>
        <v>0</v>
      </c>
      <c r="T474" s="1">
        <f ca="1">IF(ISERROR(F464),"",VLOOKUP(A464,INDIRECT($F$8),7+(O474-1)*3))</f>
        <v>50</v>
      </c>
      <c r="U474" s="1">
        <f ca="1">IF(ISERROR(F464),"",VLOOKUP(A464,INDIRECT($F$8),8+(O474-1)*3))</f>
        <v>50</v>
      </c>
      <c r="V474" s="1" t="e">
        <f ca="1">IF(ISERROR(F464),"",IF(N474=0,A474,""))</f>
        <v>#N/A</v>
      </c>
      <c r="W474" s="1">
        <f ca="1">IF(ISERROR(F464),"",IF(ISTEXT(VLOOKUP(B464,INDIRECT($F$8),6+(O474-1)*3)),11,IF(VLOOKUP(B464,INDIRECT($F$8),6+(O474-1)*3)&lt;S474*0.3,IF(VLOOKUP(B464,INDIRECT($F$8),8+(O474-1)*3)&lt;U474*0.4,IF(AND(0.4*U474-VLOOKUP(B464,INDIRECT($F$8),8+(O474-1)*3)&lt;=5,0.3*S474-VLOOKUP(B464,INDIRECT($F$8),6+(O474-1)*3)&lt;=5),MAX(0.4*U474-VLOOKUP(B464,INDIRECT($F$8),8+(O474-1)*3),0.3*S474-VLOOKUP(B464,INDIRECT($F$8),6+(O474-1)*3)),11),IF(0.3*S474-VLOOKUP(B464,INDIRECT($F$8),6+(O474-1)*3)&lt;=5,0.3*S474-VLOOKUP(B464,INDIRECT($F$8),6+(O474-1)*3),11)),IF(VLOOKUP(B464,INDIRECT($F$8),8+(O474-1)*3)&lt;U474*0.4,IF(U474*0.4-VLOOKUP(B464,INDIRECT($F$8),8+(O474-1)*3)&lt;=5,U474*0.4-VLOOKUP(B464,INDIRECT($F$8),8+(O474-1)*3),11),0))))</f>
        <v>0</v>
      </c>
      <c r="X474" s="1" t="str">
        <f ca="1">IF(ISERROR(F464),"",IF(W474=0,"",_xlfn.TEXTJOIN("",FALSE," G+",W474," in ",A474)))</f>
        <v/>
      </c>
    </row>
    <row r="475" spans="1:24" ht="13" customHeight="1" x14ac:dyDescent="0.2">
      <c r="A475" s="7" t="str">
        <f ca="1">IF(ISERROR(F464),"",VLOOKUP(C464,INDIRECT($F$8),6+(O475-1)*3,0))</f>
        <v>CAP 004</v>
      </c>
      <c r="B475" s="41" t="str">
        <f ca="1">IF(ISERROR(F464),"",VLOOKUP(D464,INDIRECT($F$8),6+(O475-1)*3,0))</f>
        <v>Data Structures and Analysis of Algorithms Lab</v>
      </c>
      <c r="C475" s="41"/>
      <c r="D475" s="41"/>
      <c r="E475" s="41"/>
      <c r="F475" s="7">
        <f ca="1">IF(ISERROR(F464),"",VLOOKUP(E464,INDIRECT($F$8),6+(O475-1)*3,0))</f>
        <v>1</v>
      </c>
      <c r="G475" s="42" t="e">
        <f ca="1">IF(ISERROR(F464),"",_xlfn.TEXTJOIN("/",FALSE,P475,S475))</f>
        <v>#N/A</v>
      </c>
      <c r="H475" s="42"/>
      <c r="I475" s="42" t="str">
        <f ca="1">IF(ISERROR(F464),"",_xlfn.TEXTJOIN("/",FALSE,Q475,T475))</f>
        <v>17/20</v>
      </c>
      <c r="J475" s="42"/>
      <c r="K475" s="42" t="e">
        <f ca="1">IF(ISERROR(F464),"",_xlfn.TEXTJOIN("/",FALSE,R475,U475))</f>
        <v>#N/A</v>
      </c>
      <c r="L475" s="42"/>
      <c r="M475" s="7" t="e">
        <f ca="1">IF(ISERROR(F464),"",IF(ISTEXT(P475),IF(P475="A","Ab",IF(P475="D","Dt",IF(P475="UFM","UFM",IF(P475="NA","")))),IF(AND(ISBLANK(P475),ISBLANK(R475)),"",IF(P475&lt;0.3*S475,"F",IF(ISBLANK(R475),"",IF(ISTEXT(R475),R475,IF(R475&gt;=0.9*U475,"O",IF(R475&gt;=0.85*U475,"A+",IF(R475&gt;=0.8*U475,"A",IF(R475&gt;=0.7*U475,"B+",IF(R475&gt;=0.6*U475,"B",IF(R475&gt;=0.5*U475,"C",IF(R475&gt;=0.4*U475,"P",IF(R475&lt;0.4*U475,"F",R475))))))))))))))</f>
        <v>#N/A</v>
      </c>
      <c r="N475" s="8" t="e">
        <f t="shared" ca="1" si="48"/>
        <v>#N/A</v>
      </c>
      <c r="O475">
        <f t="shared" si="49"/>
        <v>7</v>
      </c>
      <c r="P475" s="1" t="e">
        <f ca="1">IF(ISERROR(F464),"",IF(ISTEXT(VLOOKUP(B464,INDIRECT($F$8),6+(O475-1)*3)),(VLOOKUP(B464,INDIRECT($F$8),6+(O475-1)*3)),SUM(VLOOKUP(B464,INDIRECT($F$8),6+(O475-1)*3),IF(W479,W475,0))))</f>
        <v>#N/A</v>
      </c>
      <c r="Q475" s="1">
        <f ca="1">IF(ISERROR(F464),"",VLOOKUP(B464,INDIRECT($F$8),7+(O475-1)*3))</f>
        <v>17</v>
      </c>
      <c r="R475" s="1" t="e">
        <f ca="1">IF(ISERROR(F464),"",SUM(P475:Q475))</f>
        <v>#N/A</v>
      </c>
      <c r="S475" s="1">
        <f ca="1">IF(ISERROR(F464),"",VLOOKUP(A464,INDIRECT($F$8),6+(O475-1)*3))</f>
        <v>30</v>
      </c>
      <c r="T475" s="1">
        <f ca="1">IF(ISERROR(F464),"",VLOOKUP(A464,INDIRECT($F$8),7+(O475-1)*3))</f>
        <v>20</v>
      </c>
      <c r="U475" s="1">
        <f ca="1">IF(ISERROR(F464),"",VLOOKUP(A464,INDIRECT($F$8),8+(O475-1)*3))</f>
        <v>50</v>
      </c>
      <c r="V475" s="1" t="e">
        <f ca="1">IF(ISERROR(F464),"",IF(N475=0,A475,""))</f>
        <v>#N/A</v>
      </c>
      <c r="W475" s="1">
        <f ca="1">IF(ISERROR(F464),"",IF(ISTEXT(VLOOKUP(B464,INDIRECT($F$8),6+(O475-1)*3)),11,IF(VLOOKUP(B464,INDIRECT($F$8),6+(O475-1)*3)&lt;S475*0.3,IF(VLOOKUP(B464,INDIRECT($F$8),8+(O475-1)*3)&lt;U475*0.4,IF(AND(0.4*U475-VLOOKUP(B464,INDIRECT($F$8),8+(O475-1)*3)&lt;=5,0.3*S475-VLOOKUP(B464,INDIRECT($F$8),6+(O475-1)*3)&lt;=5),MAX(0.4*U475-VLOOKUP(B464,INDIRECT($F$8),8+(O475-1)*3),0.3*S475-VLOOKUP(B464,INDIRECT($F$8),6+(O475-1)*3)),11),IF(0.3*S475-VLOOKUP(B464,INDIRECT($F$8),6+(O475-1)*3)&lt;=5,0.3*S475-VLOOKUP(B464,INDIRECT($F$8),6+(O475-1)*3),11)),IF(VLOOKUP(B464,INDIRECT($F$8),8+(O475-1)*3)&lt;U475*0.4,IF(U475*0.4-VLOOKUP(B464,INDIRECT($F$8),8+(O475-1)*3)&lt;=5,U475*0.4-VLOOKUP(B464,INDIRECT($F$8),8+(O475-1)*3),11),0))))</f>
        <v>0</v>
      </c>
      <c r="X475" s="1" t="str">
        <f ca="1">IF(ISERROR(F464),"",IF(W475=0,"",_xlfn.TEXTJOIN("",FALSE," G+",W475," in ",A475)))</f>
        <v/>
      </c>
    </row>
    <row r="476" spans="1:24" ht="13" customHeight="1" x14ac:dyDescent="0.2">
      <c r="A476" s="7" t="str">
        <f ca="1">IF(ISERROR(F464),"",VLOOKUP(C464,INDIRECT($F$8),6+(O476-1)*3,0))</f>
        <v>CAP 005</v>
      </c>
      <c r="B476" s="41" t="str">
        <f ca="1">IF(ISERROR(F464),"",VLOOKUP(D464,INDIRECT($F$8),6+(O476-1)*3-Z476,0))</f>
        <v>Object Oriented Programming with JAVA Lab</v>
      </c>
      <c r="C476" s="41"/>
      <c r="D476" s="41"/>
      <c r="E476" s="41"/>
      <c r="F476" s="7">
        <f ca="1">IF(ISERROR(F464),"",VLOOKUP(E464,INDIRECT($F$8),6+(O476-1)*3,0))</f>
        <v>1</v>
      </c>
      <c r="G476" s="42" t="e">
        <f ca="1">IF(ISERROR(F464),"",_xlfn.TEXTJOIN("/",FALSE,P476,S476))</f>
        <v>#N/A</v>
      </c>
      <c r="H476" s="42"/>
      <c r="I476" s="42" t="str">
        <f ca="1">IF(ISERROR(F464),"",_xlfn.TEXTJOIN("/",FALSE,Q476,T476))</f>
        <v>14/20</v>
      </c>
      <c r="J476" s="42"/>
      <c r="K476" s="42" t="e">
        <f ca="1">IF(ISERROR(F464),"",_xlfn.TEXTJOIN("/",FALSE,R476,U476))</f>
        <v>#N/A</v>
      </c>
      <c r="L476" s="42"/>
      <c r="M476" s="7" t="e">
        <f ca="1">IF(ISERROR(F464),"",IF(ISTEXT(P476),IF(P476="A","Ab",IF(P476="D","Dt",IF(P476="UFM","UFM",IF(P476="NA","")))),IF(AND(ISBLANK(P476),ISBLANK(R476)),"",IF(P476&lt;0.3*S476,"F",IF(ISBLANK(R476),"",IF(ISTEXT(R476),R476,IF(R476&gt;=0.9*U476,"O",IF(R476&gt;=0.85*U476,"A+",IF(R476&gt;=0.8*U476,"A",IF(R476&gt;=0.7*U476,"B+",IF(R476&gt;=0.6*U476,"B",IF(R476&gt;=0.5*U476,"C",IF(R476&gt;=0.4*U476,"P",IF(R476&lt;0.4*U476,"F",R476))))))))))))))</f>
        <v>#N/A</v>
      </c>
      <c r="N476" s="8" t="e">
        <f t="shared" ca="1" si="48"/>
        <v>#N/A</v>
      </c>
      <c r="O476">
        <f t="shared" si="49"/>
        <v>8</v>
      </c>
      <c r="P476" s="1" t="e">
        <f ca="1">IF(ISERROR(F464),"",IF(ISTEXT(VLOOKUP(B464,INDIRECT($F$8),6+(O476-1)*3)),(VLOOKUP(B464,INDIRECT($F$8),6+(O476-1)*3)),SUM(VLOOKUP(B464,INDIRECT($F$8),6+(O476-1)*3),IF(W479,W476,0))))</f>
        <v>#N/A</v>
      </c>
      <c r="Q476" s="1">
        <f ca="1">IF(ISERROR(F464),"",VLOOKUP(B464,INDIRECT($F$8),7+(O476-1)*3))</f>
        <v>14</v>
      </c>
      <c r="R476" s="1" t="e">
        <f ca="1">IF(ISERROR(F464),"",SUM(P476:Q476))</f>
        <v>#N/A</v>
      </c>
      <c r="S476" s="1">
        <f ca="1">IF(ISERROR(F464),"",VLOOKUP(A464,INDIRECT($F$8),6+(O476-1)*3))</f>
        <v>30</v>
      </c>
      <c r="T476" s="1">
        <f ca="1">IF(ISERROR(F464),"",VLOOKUP(A464,INDIRECT($F$8),7+(O476-1)*3))</f>
        <v>20</v>
      </c>
      <c r="U476" s="1">
        <f ca="1">IF(ISERROR(F464),"",VLOOKUP(A464,INDIRECT($F$8),8+(O476-1)*3))</f>
        <v>50</v>
      </c>
      <c r="V476" s="1" t="e">
        <f ca="1">IF(ISERROR(F464),"",IF(N476=0,A476,""))</f>
        <v>#N/A</v>
      </c>
      <c r="W476" s="1">
        <f ca="1">IF(ISERROR(F464),"",IF(ISTEXT(VLOOKUP(B464,INDIRECT($F$8),6+(O476-1)*3)),11,IF(VLOOKUP(B464,INDIRECT($F$8),6+(O476-1)*3)&lt;S476*0.3,IF(VLOOKUP(B464,INDIRECT($F$8),8+(O476-1)*3)&lt;U476*0.4,IF(AND(0.4*U476-VLOOKUP(B464,INDIRECT($F$8),8+(O476-1)*3)&lt;=5,0.3*S476-VLOOKUP(B464,INDIRECT($F$8),6+(O476-1)*3)&lt;=5),MAX(0.4*U476-VLOOKUP(B464,INDIRECT($F$8),8+(O476-1)*3),0.3*S476-VLOOKUP(B464,INDIRECT($F$8),6+(O476-1)*3)),11),IF(0.3*S476-VLOOKUP(B464,INDIRECT($F$8),6+(O476-1)*3)&lt;=5,0.3*S476-VLOOKUP(B464,INDIRECT($F$8),6+(O476-1)*3),11)),IF(VLOOKUP(B464,INDIRECT($F$8),8+(O476-1)*3)&lt;U476*0.4,IF(U476*0.4-VLOOKUP(B464,INDIRECT($F$8),8+(O476-1)*3)&lt;=5,U476*0.4-VLOOKUP(B464,INDIRECT($F$8),8+(O476-1)*3),11),0))))</f>
        <v>0</v>
      </c>
      <c r="X476" s="1" t="str">
        <f ca="1">IF(ISERROR(F464),"",IF(W476=0,"",_xlfn.TEXTJOIN("",FALSE," G+",W476," in ",A476)))</f>
        <v/>
      </c>
    </row>
    <row r="477" spans="1:24" ht="13" customHeight="1" x14ac:dyDescent="0.2">
      <c r="A477" s="7" t="str">
        <f ca="1">IF(ISERROR(F464),"",VLOOKUP(C464,INDIRECT($F$8),6+(O477-1)*3,0))</f>
        <v>CAP 006</v>
      </c>
      <c r="B477" s="41" t="str">
        <f ca="1">IF(ISERROR(F464),"",VLOOKUP(D464,INDIRECT($F$8),6+(O477-1)*3-Z477,0))</f>
        <v>Computer Networks Lab</v>
      </c>
      <c r="C477" s="41"/>
      <c r="D477" s="41"/>
      <c r="E477" s="41"/>
      <c r="F477" s="7">
        <f ca="1">IF(ISERROR(F464),"",VLOOKUP(E464,INDIRECT($F$8),6+(O477-1)*3,0))</f>
        <v>1</v>
      </c>
      <c r="G477" s="42" t="e">
        <f ca="1">IF(ISERROR(F464),"",_xlfn.TEXTJOIN("/",FALSE,P477,S477))</f>
        <v>#N/A</v>
      </c>
      <c r="H477" s="42"/>
      <c r="I477" s="42" t="str">
        <f ca="1">IF(ISERROR(F464),"",_xlfn.TEXTJOIN("/",FALSE,Q477,T477))</f>
        <v>16/20</v>
      </c>
      <c r="J477" s="42"/>
      <c r="K477" s="42" t="e">
        <f ca="1">IF(ISERROR(F464),"",_xlfn.TEXTJOIN("/",FALSE,R477,U477))</f>
        <v>#N/A</v>
      </c>
      <c r="L477" s="42"/>
      <c r="M477" s="7" t="e">
        <f ca="1">IF(ISERROR(F464),"",IF(ISTEXT(P477),IF(P477="A","Ab",IF(P477="D","Dt",IF(P477="UFM","UFM",IF(P477="NA","")))),IF(AND(ISBLANK(P477),ISBLANK(R477)),"",IF(P477&lt;0.3*S477,"F",IF(ISBLANK(R477),"",IF(ISTEXT(R477),R477,IF(R477&gt;=0.9*U477,"O",IF(R477&gt;=0.85*U477,"A+",IF(R477&gt;=0.8*U477,"A",IF(R477&gt;=0.7*U477,"B+",IF(R477&gt;=0.6*U477,"B",IF(R477&gt;=0.5*U477,"C",IF(R477&gt;=0.4*U477,"P",IF(R477&lt;0.4*U477,"F",R477))))))))))))))</f>
        <v>#N/A</v>
      </c>
      <c r="N477" s="8" t="e">
        <f t="shared" ca="1" si="48"/>
        <v>#N/A</v>
      </c>
      <c r="O477">
        <f t="shared" si="49"/>
        <v>9</v>
      </c>
      <c r="P477" s="1" t="e">
        <f ca="1">IF(ISERROR(F464),"",IF(ISTEXT(VLOOKUP(B464,INDIRECT($F$8),6+(O477-1)*3)),(VLOOKUP(B464,INDIRECT($F$8),6+(O477-1)*3)),SUM(VLOOKUP(B464,INDIRECT($F$8),6+(O477-1)*3),IF(W479,W477,0))))</f>
        <v>#N/A</v>
      </c>
      <c r="Q477" s="1">
        <f ca="1">IF(ISERROR(F464),"",VLOOKUP(B464,INDIRECT($F$8),7+(O477-1)*3))</f>
        <v>16</v>
      </c>
      <c r="R477" s="1" t="e">
        <f ca="1">IF(ISERROR(F464),"",SUM(P477:Q477))</f>
        <v>#N/A</v>
      </c>
      <c r="S477" s="1">
        <f ca="1">IF(ISERROR(F464),"",VLOOKUP(A464,INDIRECT($F$8),6+(O477-1)*3))</f>
        <v>30</v>
      </c>
      <c r="T477" s="1">
        <f ca="1">IF(ISERROR(F464),"",VLOOKUP(A464,INDIRECT($F$8),7+(O477-1)*3))</f>
        <v>20</v>
      </c>
      <c r="U477" s="1">
        <f ca="1">IF(ISERROR(F464),"",VLOOKUP(A464,INDIRECT($F$8),8+(O477-1)*3))</f>
        <v>50</v>
      </c>
      <c r="V477" s="1" t="e">
        <f ca="1">IF(ISERROR(F464),"",IF(N477=0,A477,""))</f>
        <v>#N/A</v>
      </c>
      <c r="W477" s="1">
        <f ca="1">IF(ISERROR(F464),"",IF(ISTEXT(VLOOKUP(B464,INDIRECT($F$8),6+(O477-1)*3)),11,IF(VLOOKUP(B464,INDIRECT($F$8),6+(O477-1)*3)&lt;S477*0.3,IF(VLOOKUP(B464,INDIRECT($F$8),8+(O477-1)*3)&lt;U477*0.4,IF(AND(0.4*U477-VLOOKUP(B464,INDIRECT($F$8),8+(O477-1)*3)&lt;=5,0.3*S477-VLOOKUP(B464,INDIRECT($F$8),6+(O477-1)*3)&lt;=5),MAX(0.4*U477-VLOOKUP(B464,INDIRECT($F$8),8+(O477-1)*3),0.3*S477-VLOOKUP(B464,INDIRECT($F$8),6+(O477-1)*3)),11),IF(0.3*S477-VLOOKUP(B464,INDIRECT($F$8),6+(O477-1)*3)&lt;=5,0.3*S477-VLOOKUP(B464,INDIRECT($F$8),6+(O477-1)*3),11)),IF(VLOOKUP(B464,INDIRECT($F$8),8+(O477-1)*3)&lt;U477*0.4,IF(U477*0.4-VLOOKUP(B464,INDIRECT($F$8),8+(O477-1)*3)&lt;=5,U477*0.4-VLOOKUP(B464,INDIRECT($F$8),8+(O477-1)*3),11),0))))</f>
        <v>0</v>
      </c>
      <c r="X477" s="1" t="str">
        <f ca="1">IF(ISERROR(F464),"",IF(W477=0,"",_xlfn.TEXTJOIN("",FALSE," G+",W477," in ",A477)))</f>
        <v/>
      </c>
    </row>
    <row r="478" spans="1:24" ht="13" customHeight="1" x14ac:dyDescent="0.2">
      <c r="A478" s="7" t="str">
        <f ca="1">IF(ISERROR(F464),"",VLOOKUP(C464,INDIRECT($F$8),6+(O478-1)*3,0))</f>
        <v>CAP 007</v>
      </c>
      <c r="B478" s="41" t="str">
        <f ca="1">IF(ISERROR(F464),"",VLOOKUP(D464,INDIRECT($F$8),6+(O478-1)*3,0))</f>
        <v>Artificial Intelligence Lab</v>
      </c>
      <c r="C478" s="41"/>
      <c r="D478" s="41"/>
      <c r="E478" s="41"/>
      <c r="F478" s="7">
        <f ca="1">IF(ISERROR(F464),"",VLOOKUP(E464,INDIRECT($F$8),6+(O478-1)*3,0))</f>
        <v>1</v>
      </c>
      <c r="G478" s="42" t="e">
        <f ca="1">IF(ISERROR(F464),"",_xlfn.TEXTJOIN("/",FALSE,P478,S478))</f>
        <v>#N/A</v>
      </c>
      <c r="H478" s="42"/>
      <c r="I478" s="42" t="str">
        <f ca="1">IF(ISERROR(F464),"",_xlfn.TEXTJOIN("/",FALSE,Q478,T478))</f>
        <v>16/20</v>
      </c>
      <c r="J478" s="42"/>
      <c r="K478" s="42" t="e">
        <f ca="1">IF(ISERROR(F464),"",_xlfn.TEXTJOIN("/",FALSE,R478,U478))</f>
        <v>#N/A</v>
      </c>
      <c r="L478" s="42"/>
      <c r="M478" s="7" t="e">
        <f ca="1">IF(ISERROR(F464),"",IF(ISTEXT(P478),IF(P478="A","Ab",IF(P478="D","Dt",IF(P478="UFM","UFM",IF(P478="NA","")))),IF(AND(ISBLANK(P478),ISBLANK(R478)),"",IF(P478&lt;0.3*S478,"F",IF(ISBLANK(R478),"",IF(ISTEXT(R478),R478,IF(R478&gt;=0.9*U478,"O",IF(R478&gt;=0.85*U478,"A+",IF(R478&gt;=0.8*U478,"A",IF(R478&gt;=0.7*U478,"B+",IF(R478&gt;=0.6*U478,"B",IF(R478&gt;=0.5*U478,"C",IF(R478&gt;=0.4*U478,"P",IF(R478&lt;0.4*U478,"F",R478))))))))))))))</f>
        <v>#N/A</v>
      </c>
      <c r="N478" s="8" t="e">
        <f t="shared" ca="1" si="48"/>
        <v>#N/A</v>
      </c>
      <c r="O478">
        <f t="shared" si="49"/>
        <v>10</v>
      </c>
      <c r="P478" s="1" t="e">
        <f ca="1">IF(ISERROR(F464),"",IF(ISTEXT(VLOOKUP(B464,INDIRECT($F$8),6+(O478-1)*3)),(VLOOKUP(B464,INDIRECT($F$8),6+(O478-1)*3)),SUM(VLOOKUP(B464,INDIRECT($F$8),6+(O478-1)*3),IF(W479,W478,0))))</f>
        <v>#N/A</v>
      </c>
      <c r="Q478" s="1">
        <f ca="1">IF(ISERROR(F464),"",VLOOKUP(B464,INDIRECT($F$8),7+(O478-1)*3))</f>
        <v>16</v>
      </c>
      <c r="R478" s="1" t="e">
        <f ca="1">IF(ISERROR(F464),"",SUM(P478:Q478))</f>
        <v>#N/A</v>
      </c>
      <c r="S478" s="1">
        <f ca="1">IF(ISERROR(F464),"",VLOOKUP(A464,INDIRECT($F$8),6+(O478-1)*3))</f>
        <v>30</v>
      </c>
      <c r="T478" s="1">
        <f ca="1">IF(ISERROR(F464),"",VLOOKUP(A464,INDIRECT($F$8),7+(O478-1)*3))</f>
        <v>20</v>
      </c>
      <c r="U478" s="1">
        <f ca="1">IF(ISERROR(F464),"",VLOOKUP(A464,INDIRECT($F$8),8+(O478-1)*3))</f>
        <v>50</v>
      </c>
      <c r="V478" s="1" t="e">
        <f ca="1">IF(ISERROR(F464),"",IF(N478=0,A478,""))</f>
        <v>#N/A</v>
      </c>
      <c r="W478" s="1">
        <f ca="1">IF(ISERROR(F464),"",IF(ISTEXT(VLOOKUP(B464,INDIRECT($F$8),6+(O478-1)*3)),11,IF(VLOOKUP(B464,INDIRECT($F$8),6+(O478-1)*3)&lt;S478*0.3,IF(VLOOKUP(B464,INDIRECT($F$8),8+(O478-1)*3)&lt;U478*0.4,IF(AND(0.4*U478-VLOOKUP(B464,INDIRECT($F$8),8+(O478-1)*3)&lt;=5,0.3*S478-VLOOKUP(B464,INDIRECT($F$8),6+(O478-1)*3)&lt;=5),MAX(0.4*U478-VLOOKUP(B464,INDIRECT($F$8),8+(O478-1)*3),0.3*S478-VLOOKUP(B464,INDIRECT($F$8),6+(O478-1)*3)),11),IF(0.3*S478-VLOOKUP(B464,INDIRECT($F$8),6+(O478-1)*3)&lt;=5,0.3*S478-VLOOKUP(B464,INDIRECT($F$8),6+(O478-1)*3),11)),IF(VLOOKUP(B464,INDIRECT($F$8),8+(O478-1)*3)&lt;U478*0.4,IF(U478*0.4-VLOOKUP(B464,INDIRECT($F$8),8+(O478-1)*3)&lt;=5,U478*0.4-VLOOKUP(B464,INDIRECT($F$8),8+(O478-1)*3),11),0))))</f>
        <v>0</v>
      </c>
      <c r="X478" s="1" t="str">
        <f ca="1">IF(ISERROR(F464),"",IF(W478=0,"",_xlfn.TEXTJOIN("",FALSE," G+",W478," in ",A478)))</f>
        <v/>
      </c>
    </row>
    <row r="479" spans="1:24" ht="13" customHeight="1" x14ac:dyDescent="0.2">
      <c r="A479" s="43" t="str">
        <f ca="1">IF(ISERROR(F464),"",A460)</f>
        <v>Total Credits/ Marks/ Total Grade Points</v>
      </c>
      <c r="B479" s="43"/>
      <c r="C479" s="43"/>
      <c r="D479" s="43"/>
      <c r="E479" s="43"/>
      <c r="F479" s="10">
        <f ca="1">IF(ISERROR(F464),"",SUM(F469:F478))</f>
        <v>24</v>
      </c>
      <c r="G479" s="44" t="e">
        <f ca="1">IF(ISERROR(F464),"",_xlfn.TEXTJOIN("/",TRUE,SUMIF(F469:F478,"&gt;0",P469:P478),SUMIF(F469:F478,"&gt;0",S469:S478)))</f>
        <v>#N/A</v>
      </c>
      <c r="H479" s="44"/>
      <c r="I479" s="44" t="str">
        <f ca="1">IF(ISERROR(F464),"",_xlfn.TEXTJOIN("/",TRUE,SUMIF(F469:F478,"&gt;0",Q469:Q478),SUMIF(F469:F478,"&gt;0",T469:T478)))</f>
        <v>242/330</v>
      </c>
      <c r="J479" s="44"/>
      <c r="K479" s="44" t="e">
        <f ca="1">IF(ISERROR(F464),"",_xlfn.TEXTJOIN("/",TRUE,SUMIF(F469:F478,"&gt;0",R469:R478),SUMIF(F469:F478,"&gt;0",U469:U478)))</f>
        <v>#N/A</v>
      </c>
      <c r="L479" s="44"/>
      <c r="M479" s="43" t="e">
        <f ca="1">IF(ISERROR(F464),"",SUMPRODUCT(N469:N478,F469:F478))</f>
        <v>#N/A</v>
      </c>
      <c r="N479" s="43"/>
      <c r="V479" s="1" t="e">
        <f ca="1">IF(ISERROR(F464),"",_xlfn.TEXTJOIN(", ",TRUE,V469:V478))</f>
        <v>#N/A</v>
      </c>
      <c r="W479" t="e">
        <f ca="1">IF(ISERROR(F464),"",IF(SUM(W469:W478)&lt;=W468,TRUE,FALSE))</f>
        <v>#N/A</v>
      </c>
      <c r="X479" s="1" t="str">
        <f ca="1">IF(ISERROR(F464),"",_xlfn.TEXTJOIN(",",TRUE,X469:X478))</f>
        <v xml:space="preserve"> G+11 in CAT 012</v>
      </c>
    </row>
    <row r="480" spans="1:24" ht="13" customHeight="1" x14ac:dyDescent="0.2">
      <c r="A480" s="43" t="str">
        <f ca="1">IF(ISERROR(F464),"",A461)</f>
        <v>Result:</v>
      </c>
      <c r="B480" s="45" t="e">
        <f ca="1">IF(ISERROR(F464),"",IF(V479="","PASS","CARRY OVER"))</f>
        <v>#N/A</v>
      </c>
      <c r="C480" s="45"/>
      <c r="D480" s="43" t="str">
        <f ca="1">IF(ISERROR(F464),"",D461)</f>
        <v>Remark:</v>
      </c>
      <c r="E480" s="45" t="e">
        <f ca="1">IF(ISERROR(F464),"",IF(V479="",IF(X479="","",X479),_xlfn.TEXTJOIN(" ",TRUE,"BACK IN",V479)))</f>
        <v>#N/A</v>
      </c>
      <c r="F480" s="45"/>
      <c r="G480" s="43" t="str">
        <f ca="1">IF(ISERROR(F464),"",G461)</f>
        <v>SGPA:</v>
      </c>
      <c r="H480" s="46" t="e">
        <f ca="1">IF(ISERROR(F464),"",M479/F479)</f>
        <v>#N/A</v>
      </c>
      <c r="I480" s="43" t="str">
        <f ca="1">IF(ISERROR(F464),"",I461)</f>
        <v>CGPA:</v>
      </c>
      <c r="J480" s="46" t="e">
        <f ca="1">IF(ISERROR(F464),"",VLOOKUP(B464,INDIRECT($F$8),12+(O478-1)*3,0))</f>
        <v>#N/A</v>
      </c>
      <c r="K480" s="45" t="str">
        <f ca="1">IF(ISERROR(F464),"",K461)</f>
        <v>Earned Credits:</v>
      </c>
      <c r="L480" s="43">
        <f ca="1">IF(ISERROR(F464),"",SUMIF(N469:N478,"&gt;0",F469:F478))</f>
        <v>0</v>
      </c>
      <c r="M480" s="45" t="str">
        <f ca="1">IF(ISERROR(F464),"",M461)</f>
        <v>Cuml. Earned Credits:</v>
      </c>
      <c r="N480" s="43" t="e">
        <f ca="1">IF(ISERROR(F464),"",VLOOKUP(B464,INDIRECT($F$8),10+(O478-1)*3,0))</f>
        <v>#N/A</v>
      </c>
    </row>
    <row r="481" spans="1:24" ht="13" customHeight="1" x14ac:dyDescent="0.2">
      <c r="A481" s="43"/>
      <c r="B481" s="45"/>
      <c r="C481" s="45"/>
      <c r="D481" s="43"/>
      <c r="E481" s="45"/>
      <c r="F481" s="45"/>
      <c r="G481" s="43"/>
      <c r="H481" s="46"/>
      <c r="I481" s="43"/>
      <c r="J481" s="46"/>
      <c r="K481" s="45"/>
      <c r="L481" s="43"/>
      <c r="M481" s="45"/>
      <c r="N481" s="43"/>
    </row>
    <row r="482" spans="1:24" ht="15" x14ac:dyDescent="0.2">
      <c r="A482" s="43"/>
      <c r="B482" s="45"/>
      <c r="C482" s="45"/>
      <c r="D482" s="43"/>
      <c r="E482" s="45"/>
      <c r="F482" s="45"/>
      <c r="G482" s="43"/>
      <c r="H482" s="46"/>
      <c r="I482" s="43"/>
      <c r="J482" s="46"/>
      <c r="K482" s="45"/>
      <c r="L482" s="43"/>
      <c r="M482" s="45"/>
      <c r="N482" s="43"/>
    </row>
    <row r="483" spans="1:24" ht="13" customHeight="1" x14ac:dyDescent="0.2">
      <c r="A483" s="11" t="str">
        <f>A464</f>
        <v>MM</v>
      </c>
      <c r="B483" s="11">
        <f>B464+1</f>
        <v>26</v>
      </c>
      <c r="C483" s="11" t="str">
        <f>C464</f>
        <v>SC</v>
      </c>
      <c r="D483" s="11" t="str">
        <f>D464</f>
        <v>SN</v>
      </c>
      <c r="E483" s="11" t="str">
        <f>E464</f>
        <v>C</v>
      </c>
      <c r="F483" s="11" t="e">
        <f ca="1">VLOOKUP(B483,INDIRECT($F$8),4,0)</f>
        <v>#N/A</v>
      </c>
    </row>
    <row r="484" spans="1:24" ht="13" customHeight="1" x14ac:dyDescent="0.2">
      <c r="A484" s="47" t="str">
        <f ca="1">IF(ISERROR(F483),"",A465)</f>
        <v/>
      </c>
      <c r="B484" s="47" t="str">
        <f ca="1">IFERROR(VLOOKUP(B483,INDIRECT($F$8),4,0),"")</f>
        <v/>
      </c>
      <c r="C484" s="47"/>
      <c r="D484" s="47" t="str">
        <f ca="1">IF(ISERROR(F483),"",D465)</f>
        <v/>
      </c>
      <c r="E484" s="47" t="str">
        <f ca="1">IFERROR(VLOOKUP(B483,INDIRECT($F$8),5,0),"")</f>
        <v/>
      </c>
      <c r="F484" s="47"/>
      <c r="G484" s="47" t="str">
        <f ca="1">IF(ISERROR(F483),"",G465)</f>
        <v/>
      </c>
      <c r="H484" s="47"/>
      <c r="I484" s="48" t="str">
        <f ca="1">IFERROR(VLOOKUP(B483,INDIRECT($F$8),2,0),"")</f>
        <v/>
      </c>
      <c r="J484" s="48"/>
      <c r="K484" s="47" t="str">
        <f ca="1">IF(ISERROR(F483),"",K465)</f>
        <v/>
      </c>
      <c r="L484" s="47"/>
      <c r="M484" s="48" t="str">
        <f ca="1">IFERROR(VLOOKUP(B483,INDIRECT($F$8),3,0),"")</f>
        <v/>
      </c>
      <c r="N484" s="48"/>
    </row>
    <row r="485" spans="1:24" ht="13" customHeight="1" x14ac:dyDescent="0.2">
      <c r="A485" s="47"/>
      <c r="B485" s="47"/>
      <c r="C485" s="47"/>
      <c r="D485" s="47"/>
      <c r="E485" s="47"/>
      <c r="F485" s="47"/>
      <c r="G485" s="47"/>
      <c r="H485" s="47"/>
      <c r="I485" s="48"/>
      <c r="J485" s="48"/>
      <c r="K485" s="47"/>
      <c r="L485" s="47"/>
      <c r="M485" s="48"/>
      <c r="N485" s="48"/>
    </row>
    <row r="486" spans="1:24" ht="13" customHeight="1" x14ac:dyDescent="0.2">
      <c r="A486" s="45" t="str">
        <f ca="1">IF(ISERROR(F483),"",A467)</f>
        <v/>
      </c>
      <c r="B486" s="45" t="str">
        <f ca="1">IF(ISERROR(F483),"",B467)</f>
        <v/>
      </c>
      <c r="C486" s="45"/>
      <c r="D486" s="45"/>
      <c r="E486" s="45"/>
      <c r="F486" s="45" t="str">
        <f ca="1">IF(ISERROR(F483),"",F467)</f>
        <v/>
      </c>
      <c r="G486" s="45" t="str">
        <f ca="1">IF(ISERROR(F483),"",G467)</f>
        <v/>
      </c>
      <c r="H486" s="45"/>
      <c r="I486" s="45" t="str">
        <f ca="1">IF(ISERROR(F483),"",I467)</f>
        <v/>
      </c>
      <c r="J486" s="45"/>
      <c r="K486" s="45" t="str">
        <f ca="1">IF(ISERROR(F483),"",K467)</f>
        <v/>
      </c>
      <c r="L486" s="45"/>
      <c r="M486" s="45" t="str">
        <f ca="1">IF(ISERROR(F483),"",M467)</f>
        <v/>
      </c>
      <c r="N486" s="45" t="str">
        <f ca="1">IF(ISERROR(F483),"",N467)</f>
        <v/>
      </c>
    </row>
    <row r="487" spans="1:24" ht="13" customHeight="1" x14ac:dyDescent="0.2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W487" t="e">
        <f ca="1">IF(ISNUMBER(MATCH($F$8,{"I","III","V","VII"},0)),10,10-INDEX(INDIRECT(_xlfn.TEXTJOIN("",TRUE,"SEM_",$G$8,"!",ADDRESS(6,4+$I$8*3+4),":",ADDRESS(5+$H$8,4+$I$8*3+4))),MATCH(INDIRECT(_xlfn.TEXTJOIN("",TRUE,"TC_",$F$8,"!",ADDRESS(ROW(I484),COLUMN(I484)))),INDIRECT(_xlfn.TEXTJOIN("",TRUE,"SEM_",$G$8,"!",ADDRESS(6,2),":",ADDRESS(5+$H$8,2))))))</f>
        <v>#N/A</v>
      </c>
    </row>
    <row r="488" spans="1:24" ht="13" customHeight="1" x14ac:dyDescent="0.2">
      <c r="A488" s="7" t="str">
        <f ca="1">IF(ISERROR(F483),"",VLOOKUP(C483,INDIRECT($F$8),6+(O488-1)*3,0))</f>
        <v/>
      </c>
      <c r="B488" s="41" t="str">
        <f ca="1">IF(ISERROR(F483),"",VLOOKUP(D483,INDIRECT($F$8),6+(O488-1)*3,0))</f>
        <v/>
      </c>
      <c r="C488" s="41"/>
      <c r="D488" s="41"/>
      <c r="E488" s="41"/>
      <c r="F488" s="7" t="str">
        <f ca="1">IF(ISERROR(F483),"",VLOOKUP(E483,INDIRECT($F$8),6+(O488-1)*3,0))</f>
        <v/>
      </c>
      <c r="G488" s="42" t="str">
        <f ca="1">IF(ISERROR(F483),"",_xlfn.TEXTJOIN("/",FALSE,P488,S488))</f>
        <v/>
      </c>
      <c r="H488" s="42"/>
      <c r="I488" s="42" t="str">
        <f ca="1">IF(ISERROR(F483),"",_xlfn.TEXTJOIN("/",FALSE,Q488,T488))</f>
        <v/>
      </c>
      <c r="J488" s="42"/>
      <c r="K488" s="42" t="str">
        <f ca="1">IF(ISERROR(F483),"",_xlfn.TEXTJOIN("/",FALSE,R488,U488))</f>
        <v/>
      </c>
      <c r="L488" s="42"/>
      <c r="M488" s="7" t="str">
        <f ca="1">IF(ISERROR(F483),"",IF(ISTEXT(P488),IF(P488="A","Ab",IF(P488="D","Dt",IF(P488="UFM","UFM",IF(P488="NA","")))),IF(AND(ISBLANK(P488),ISBLANK(R488)),"",IF(P488&lt;0.3*S488,"F",IF(ISBLANK(R488),"",IF(ISTEXT(R488),R488,IF(R488&gt;=0.9*U488,"O",IF(R488&gt;=0.85*U488,"A+",IF(R488&gt;=0.8*U488,"A",IF(R488&gt;=0.7*U488,"B+",IF(R488&gt;=0.6*U488,"B",IF(R488&gt;=0.5*U488,"C",IF(R488&gt;=0.4*U488,"P",IF(R488&lt;0.4*U488,"F",R488))))))))))))))</f>
        <v/>
      </c>
      <c r="N488" s="8" t="str">
        <f t="shared" ref="N488:N497" ca="1" si="50">INDEX($Z$2:$Z$13,MATCH(M488,$Y$2:$Y$13,0))</f>
        <v/>
      </c>
      <c r="O488">
        <v>1</v>
      </c>
      <c r="P488" s="1" t="str">
        <f ca="1">IF(ISERROR(F483),"",IF(ISTEXT(VLOOKUP(B483,INDIRECT($F$8),6+(O488-1)*3)),(VLOOKUP(B483,INDIRECT($F$8),6+(O488-1)*3)),SUM(VLOOKUP(B483,INDIRECT($F$8),6+(O488-1)*3),IF(W498,W488,0))))</f>
        <v/>
      </c>
      <c r="Q488" s="1" t="str">
        <f ca="1">IF(ISERROR(F483),"",VLOOKUP(B483,INDIRECT($F$8),7+(O488-1)*3))</f>
        <v/>
      </c>
      <c r="R488" s="1" t="str">
        <f ca="1">IF(ISERROR(F483),"",SUM(P488:Q488))</f>
        <v/>
      </c>
      <c r="S488" s="1" t="str">
        <f ca="1">IF(ISERROR(F483),"",VLOOKUP(A483,INDIRECT($F$8),6+(O488-1)*3))</f>
        <v/>
      </c>
      <c r="T488" s="1" t="str">
        <f ca="1">IF(ISERROR(F483),"",VLOOKUP(A483,INDIRECT($F$8),7+(O488-1)*3))</f>
        <v/>
      </c>
      <c r="U488" s="1" t="str">
        <f ca="1">IF(ISERROR(F483),"",VLOOKUP(A483,INDIRECT($F$8),8+(O488-1)*3))</f>
        <v/>
      </c>
      <c r="V488" s="1" t="str">
        <f ca="1">IF(ISERROR(F483),"",IF(N488=0,A488,""))</f>
        <v/>
      </c>
      <c r="W488" s="1" t="str">
        <f ca="1">IF(ISERROR(F483),"",IF(ISTEXT(VLOOKUP(B483,INDIRECT($F$8),6+(O488-1)*3)),11,IF(VLOOKUP(B483,INDIRECT($F$8),6+(O488-1)*3)&lt;S488*0.3,IF(VLOOKUP(B483,INDIRECT($F$8),8+(O488-1)*3)&lt;U488*0.4,IF(AND(0.4*U488-VLOOKUP(B483,INDIRECT($F$8),8+(O488-1)*3)&lt;=5,0.3*S488-VLOOKUP(B483,INDIRECT($F$8),6+(O488-1)*3)&lt;=5),MAX(0.4*U488-VLOOKUP(B483,INDIRECT($F$8),8+(O488-1)*3),0.3*S488-VLOOKUP(B483,INDIRECT($F$8),6+(O488-1)*3)),11),IF(0.3*S488-VLOOKUP(B483,INDIRECT($F$8),6+(O488-1)*3)&lt;=5,0.3*S488-VLOOKUP(B483,INDIRECT($F$8),6+(O488-1)*3),11)),IF(VLOOKUP(B483,INDIRECT($F$8),8+(O488-1)*3)&lt;U488*0.4,IF(U488*0.4-VLOOKUP(B483,INDIRECT($F$8),8+(O488-1)*3)&lt;=5,U488*0.4-VLOOKUP(B483,INDIRECT($F$8),8+(O488-1)*3),11),0))))</f>
        <v/>
      </c>
      <c r="X488" s="1" t="str">
        <f ca="1">IF(ISERROR(F483),"",IF(W488=0,"",_xlfn.TEXTJOIN("",FALSE," G+",W488," in ",A488)))</f>
        <v/>
      </c>
    </row>
    <row r="489" spans="1:24" ht="13" customHeight="1" x14ac:dyDescent="0.2">
      <c r="A489" s="7" t="str">
        <f ca="1">IF(ISERROR(F483),"",VLOOKUP(C483,INDIRECT($F$8),6+(O489-1)*3,0))</f>
        <v/>
      </c>
      <c r="B489" s="41" t="str">
        <f ca="1">IF(ISERROR(F483),"",VLOOKUP(D483,INDIRECT($F$8),6+(O489-1)*3,0))</f>
        <v/>
      </c>
      <c r="C489" s="41"/>
      <c r="D489" s="41"/>
      <c r="E489" s="41"/>
      <c r="F489" s="7" t="str">
        <f ca="1">IF(ISERROR(F483),"",VLOOKUP(E483,INDIRECT($F$8),6+(O489-1)*3,0))</f>
        <v/>
      </c>
      <c r="G489" s="42" t="str">
        <f ca="1">IF(ISERROR(F483),"",_xlfn.TEXTJOIN("/",FALSE,P489,S489))</f>
        <v/>
      </c>
      <c r="H489" s="42"/>
      <c r="I489" s="42" t="str">
        <f ca="1">IF(ISERROR(F483),"",_xlfn.TEXTJOIN("/",FALSE,Q489,T489))</f>
        <v/>
      </c>
      <c r="J489" s="42"/>
      <c r="K489" s="42" t="str">
        <f ca="1">IF(ISERROR(F483),"",_xlfn.TEXTJOIN("/",FALSE,R489,U489))</f>
        <v/>
      </c>
      <c r="L489" s="42"/>
      <c r="M489" s="7" t="str">
        <f ca="1">IF(ISERROR(F483),"",IF(ISTEXT(P489),IF(P489="A","Ab",IF(P489="D","Dt",IF(P489="UFM","UFM",IF(P489="NA","")))),IF(AND(ISBLANK(P489),ISBLANK(R489)),"",IF(P489&lt;0.3*S489,"F",IF(ISBLANK(R489),"",IF(ISTEXT(R489),R489,IF(R489&gt;=0.9*U489,"O",IF(R489&gt;=0.85*U489,"A+",IF(R489&gt;=0.8*U489,"A",IF(R489&gt;=0.7*U489,"B+",IF(R489&gt;=0.6*U489,"B",IF(R489&gt;=0.5*U489,"C",IF(R489&gt;=0.4*U489,"P",IF(R489&lt;0.4*U489,"F",R489))))))))))))))</f>
        <v/>
      </c>
      <c r="N489" s="8" t="str">
        <f t="shared" ca="1" si="50"/>
        <v/>
      </c>
      <c r="O489">
        <f>O488+1</f>
        <v>2</v>
      </c>
      <c r="P489" s="1" t="str">
        <f ca="1">IF(ISERROR(F483),"",IF(ISTEXT(VLOOKUP(B483,INDIRECT($F$8),6+(O489-1)*3)),(VLOOKUP(B483,INDIRECT($F$8),6+(O489-1)*3)),SUM(VLOOKUP(B483,INDIRECT($F$8),6+(O489-1)*3),IF(W498,W489,0))))</f>
        <v/>
      </c>
      <c r="Q489" s="1" t="str">
        <f ca="1">IF(ISERROR(F483),"",VLOOKUP(B483,INDIRECT($F$8),7+(O489-1)*3))</f>
        <v/>
      </c>
      <c r="R489" s="1" t="str">
        <f ca="1">IF(ISERROR(F483),"",SUM(P489:Q489))</f>
        <v/>
      </c>
      <c r="S489" s="1" t="str">
        <f ca="1">IF(ISERROR(F483),"",VLOOKUP(A483,INDIRECT($F$8),6+(O489-1)*3))</f>
        <v/>
      </c>
      <c r="T489" s="1" t="str">
        <f ca="1">IF(ISERROR(F483),"",VLOOKUP(A483,INDIRECT($F$8),7+(O489-1)*3))</f>
        <v/>
      </c>
      <c r="U489" s="1" t="str">
        <f ca="1">IF(ISERROR(F483),"",VLOOKUP(A483,INDIRECT($F$8),8+(O489-1)*3))</f>
        <v/>
      </c>
      <c r="V489" s="1" t="str">
        <f ca="1">IF(ISERROR(F483),"",IF(N489=0,A489,""))</f>
        <v/>
      </c>
      <c r="W489" s="1" t="str">
        <f ca="1">IF(ISERROR(F483),"",IF(ISTEXT(VLOOKUP(B483,INDIRECT($F$8),6+(O489-1)*3)),11,IF(VLOOKUP(B483,INDIRECT($F$8),6+(O489-1)*3)&lt;S489*0.3,IF(VLOOKUP(B483,INDIRECT($F$8),8+(O489-1)*3)&lt;U489*0.4,IF(AND(0.4*U489-VLOOKUP(B483,INDIRECT($F$8),8+(O489-1)*3)&lt;=5,0.3*S489-VLOOKUP(B483,INDIRECT($F$8),6+(O489-1)*3)&lt;=5),MAX(0.4*U489-VLOOKUP(B483,INDIRECT($F$8),8+(O489-1)*3),0.3*S489-VLOOKUP(B483,INDIRECT($F$8),6+(O489-1)*3)),11),IF(0.3*S489-VLOOKUP(B483,INDIRECT($F$8),6+(O489-1)*3)&lt;=5,0.3*S489-VLOOKUP(B483,INDIRECT($F$8),6+(O489-1)*3),11)),IF(VLOOKUP(B483,INDIRECT($F$8),8+(O489-1)*3)&lt;U489*0.4,IF(U489*0.4-VLOOKUP(B483,INDIRECT($F$8),8+(O489-1)*3)&lt;=5,U489*0.4-VLOOKUP(B483,INDIRECT($F$8),8+(O489-1)*3),11),0))))</f>
        <v/>
      </c>
      <c r="X489" s="1" t="str">
        <f ca="1">IF(ISERROR(F483),"",IF(W489=0,"",_xlfn.TEXTJOIN("",FALSE," G+",W489," in ",A489)))</f>
        <v/>
      </c>
    </row>
    <row r="490" spans="1:24" ht="13" customHeight="1" x14ac:dyDescent="0.2">
      <c r="A490" s="7" t="str">
        <f ca="1">IF(ISERROR(F483),"",VLOOKUP(C483,INDIRECT($F$8),6+(O490-1)*3,0))</f>
        <v/>
      </c>
      <c r="B490" s="41" t="str">
        <f ca="1">IF(ISERROR(F483),"",VLOOKUP(D483,INDIRECT($F$8),6+(O490-1)*3,0))</f>
        <v/>
      </c>
      <c r="C490" s="41"/>
      <c r="D490" s="41"/>
      <c r="E490" s="41"/>
      <c r="F490" s="7" t="str">
        <f ca="1">IF(ISERROR(F483),"",VLOOKUP(E483,INDIRECT($F$8),6+(O490-1)*3,0))</f>
        <v/>
      </c>
      <c r="G490" s="42" t="str">
        <f ca="1">IF(ISERROR(F483),"",_xlfn.TEXTJOIN("/",FALSE,P490,S490))</f>
        <v/>
      </c>
      <c r="H490" s="42"/>
      <c r="I490" s="42" t="str">
        <f ca="1">IF(ISERROR(F483),"",_xlfn.TEXTJOIN("/",FALSE,Q490,T490))</f>
        <v/>
      </c>
      <c r="J490" s="42"/>
      <c r="K490" s="42" t="str">
        <f ca="1">IF(ISERROR(F483),"",_xlfn.TEXTJOIN("/",FALSE,R490,U490))</f>
        <v/>
      </c>
      <c r="L490" s="42"/>
      <c r="M490" s="7" t="str">
        <f ca="1">IF(ISERROR(F483),"",IF(ISTEXT(P490),IF(P490="A","Ab",IF(P490="D","Dt",IF(P490="UFM","UFM",IF(P490="NA","")))),IF(AND(ISBLANK(P490),ISBLANK(R490)),"",IF(P490&lt;0.3*S490,"F",IF(ISBLANK(R490),"",IF(ISTEXT(R490),R490,IF(R490&gt;=0.9*U490,"O",IF(R490&gt;=0.85*U490,"A+",IF(R490&gt;=0.8*U490,"A",IF(R490&gt;=0.7*U490,"B+",IF(R490&gt;=0.6*U490,"B",IF(R490&gt;=0.5*U490,"C",IF(R490&gt;=0.4*U490,"P",IF(R490&lt;0.4*U490,"F",R490))))))))))))))</f>
        <v/>
      </c>
      <c r="N490" s="8" t="str">
        <f t="shared" ca="1" si="50"/>
        <v/>
      </c>
      <c r="O490">
        <f>O489+1</f>
        <v>3</v>
      </c>
      <c r="P490" s="1" t="str">
        <f ca="1">IF(ISERROR(F483),"",IF(ISTEXT(VLOOKUP(B483,INDIRECT($F$8),6+(O490-1)*3)),(VLOOKUP(B483,INDIRECT($F$8),6+(O490-1)*3)),SUM(VLOOKUP(B483,INDIRECT($F$8),6+(O490-1)*3),IF(W498,W490,0))))</f>
        <v/>
      </c>
      <c r="Q490" s="1" t="str">
        <f ca="1">IF(ISERROR(F483),"",VLOOKUP(B483,INDIRECT($F$8),7+(O490-1)*3))</f>
        <v/>
      </c>
      <c r="R490" s="1" t="str">
        <f ca="1">IF(ISERROR(F483),"",SUM(P490:Q490))</f>
        <v/>
      </c>
      <c r="S490" s="1" t="str">
        <f ca="1">IF(ISERROR(F483),"",VLOOKUP(A483,INDIRECT($F$8),6+(O490-1)*3))</f>
        <v/>
      </c>
      <c r="T490" s="1" t="str">
        <f ca="1">IF(ISERROR(F483),"",VLOOKUP(A483,INDIRECT($F$8),7+(O490-1)*3))</f>
        <v/>
      </c>
      <c r="U490" s="1" t="str">
        <f ca="1">IF(ISERROR(F483),"",VLOOKUP(A483,INDIRECT($F$8),8+(O490-1)*3))</f>
        <v/>
      </c>
      <c r="V490" s="1" t="str">
        <f ca="1">IF(ISERROR(F483),"",IF(N490=0,A490,""))</f>
        <v/>
      </c>
      <c r="W490" s="1" t="str">
        <f ca="1">IF(ISERROR(F483),"",IF(ISTEXT(VLOOKUP(B483,INDIRECT($F$8),6+(O490-1)*3)),11,IF(VLOOKUP(B483,INDIRECT($F$8),6+(O490-1)*3)&lt;S490*0.3,IF(VLOOKUP(B483,INDIRECT($F$8),8+(O490-1)*3)&lt;U490*0.4,IF(AND(0.4*U490-VLOOKUP(B483,INDIRECT($F$8),8+(O490-1)*3)&lt;=5,0.3*S490-VLOOKUP(B483,INDIRECT($F$8),6+(O490-1)*3)&lt;=5),MAX(0.4*U490-VLOOKUP(B483,INDIRECT($F$8),8+(O490-1)*3),0.3*S490-VLOOKUP(B483,INDIRECT($F$8),6+(O490-1)*3)),11),IF(0.3*S490-VLOOKUP(B483,INDIRECT($F$8),6+(O490-1)*3)&lt;=5,0.3*S490-VLOOKUP(B483,INDIRECT($F$8),6+(O490-1)*3),11)),IF(VLOOKUP(B483,INDIRECT($F$8),8+(O490-1)*3)&lt;U490*0.4,IF(U490*0.4-VLOOKUP(B483,INDIRECT($F$8),8+(O490-1)*3)&lt;=5,U490*0.4-VLOOKUP(B483,INDIRECT($F$8),8+(O490-1)*3),11),0))))</f>
        <v/>
      </c>
      <c r="X490" s="1" t="str">
        <f ca="1">IF(ISERROR(F483),"",IF(W490=0,"",_xlfn.TEXTJOIN("",FALSE," G+",W490," in ",A490)))</f>
        <v/>
      </c>
    </row>
    <row r="491" spans="1:24" ht="13" customHeight="1" x14ac:dyDescent="0.2">
      <c r="A491" s="7" t="str">
        <f ca="1">IF(ISERROR(F483),"",VLOOKUP(C483,INDIRECT($F$8),6+(O491-1)*3,0))</f>
        <v/>
      </c>
      <c r="B491" s="41" t="str">
        <f ca="1">IF(ISERROR(F483),"",VLOOKUP(D483,INDIRECT($F$8),6+(O491-1)*3,0))</f>
        <v/>
      </c>
      <c r="C491" s="41"/>
      <c r="D491" s="41"/>
      <c r="E491" s="41"/>
      <c r="F491" s="7" t="str">
        <f ca="1">IF(ISERROR(F483),"",VLOOKUP(E483,INDIRECT($F$8),6+(O491-1)*3,0))</f>
        <v/>
      </c>
      <c r="G491" s="42" t="str">
        <f ca="1">IF(ISERROR(F483),"",_xlfn.TEXTJOIN("/",FALSE,P491,S491))</f>
        <v/>
      </c>
      <c r="H491" s="42"/>
      <c r="I491" s="42" t="str">
        <f ca="1">IF(ISERROR(F483),"",_xlfn.TEXTJOIN("/",FALSE,Q491,T491))</f>
        <v/>
      </c>
      <c r="J491" s="42"/>
      <c r="K491" s="42" t="str">
        <f ca="1">IF(ISERROR(F483),"",_xlfn.TEXTJOIN("/",FALSE,R491,U491))</f>
        <v/>
      </c>
      <c r="L491" s="42"/>
      <c r="M491" s="7" t="str">
        <f ca="1">IF(ISERROR(F483),"",IF(ISTEXT(P491),IF(P491="A","Ab",IF(P491="D","Dt",IF(P491="UFM","UFM",IF(P491="NA","")))),IF(AND(ISBLANK(P491),ISBLANK(R491)),"",IF(P491&lt;0.3*S491,"F",IF(ISBLANK(R491),"",IF(ISTEXT(R491),R491,IF(R491&gt;=0.9*U491,"O",IF(R491&gt;=0.85*U491,"A+",IF(R491&gt;=0.8*U491,"A",IF(R491&gt;=0.7*U491,"B+",IF(R491&gt;=0.6*U491,"B",IF(R491&gt;=0.5*U491,"C",IF(R491&gt;=0.4*U491,"P",IF(R491&lt;0.4*U491,"F",R491))))))))))))))</f>
        <v/>
      </c>
      <c r="N491" s="8" t="str">
        <f t="shared" ca="1" si="50"/>
        <v/>
      </c>
      <c r="O491">
        <f t="shared" ref="O491:O497" si="51">O490+1</f>
        <v>4</v>
      </c>
      <c r="P491" s="1" t="str">
        <f ca="1">IF(ISERROR(F483),"",IF(ISTEXT(VLOOKUP(B483,INDIRECT($F$8),6+(O491-1)*3)),(VLOOKUP(B483,INDIRECT($F$8),6+(O491-1)*3)),SUM(VLOOKUP(B483,INDIRECT($F$8),6+(O491-1)*3),IF(W498,W491,0))))</f>
        <v/>
      </c>
      <c r="Q491" s="1" t="str">
        <f ca="1">IF(ISERROR(F483),"",VLOOKUP(B483,INDIRECT($F$8),7+(O491-1)*3))</f>
        <v/>
      </c>
      <c r="R491" s="1" t="str">
        <f ca="1">IF(ISERROR(F483),"",SUM(P491:Q491))</f>
        <v/>
      </c>
      <c r="S491" s="1" t="str">
        <f ca="1">IF(ISERROR(F483),"",VLOOKUP(A483,INDIRECT($F$8),6+(O491-1)*3))</f>
        <v/>
      </c>
      <c r="T491" s="1" t="str">
        <f ca="1">IF(ISERROR(F483),"",VLOOKUP(A483,INDIRECT($F$8),7+(O491-1)*3))</f>
        <v/>
      </c>
      <c r="U491" s="1" t="str">
        <f ca="1">IF(ISERROR(F483),"",VLOOKUP(A483,INDIRECT($F$8),8+(O491-1)*3))</f>
        <v/>
      </c>
      <c r="V491" s="1" t="str">
        <f ca="1">IF(ISERROR(F483),"",IF(N491=0,A491,""))</f>
        <v/>
      </c>
      <c r="W491" s="1" t="str">
        <f ca="1">IF(ISERROR(F483),"",IF(ISTEXT(VLOOKUP(B483,INDIRECT($F$8),6+(O491-1)*3)),11,IF(VLOOKUP(B483,INDIRECT($F$8),6+(O491-1)*3)&lt;S491*0.3,IF(VLOOKUP(B483,INDIRECT($F$8),8+(O491-1)*3)&lt;U491*0.4,IF(AND(0.4*U491-VLOOKUP(B483,INDIRECT($F$8),8+(O491-1)*3)&lt;=5,0.3*S491-VLOOKUP(B483,INDIRECT($F$8),6+(O491-1)*3)&lt;=5),MAX(0.4*U491-VLOOKUP(B483,INDIRECT($F$8),8+(O491-1)*3),0.3*S491-VLOOKUP(B483,INDIRECT($F$8),6+(O491-1)*3)),11),IF(0.3*S491-VLOOKUP(B483,INDIRECT($F$8),6+(O491-1)*3)&lt;=5,0.3*S491-VLOOKUP(B483,INDIRECT($F$8),6+(O491-1)*3),11)),IF(VLOOKUP(B483,INDIRECT($F$8),8+(O491-1)*3)&lt;U491*0.4,IF(U491*0.4-VLOOKUP(B483,INDIRECT($F$8),8+(O491-1)*3)&lt;=5,U491*0.4-VLOOKUP(B483,INDIRECT($F$8),8+(O491-1)*3),11),0))))</f>
        <v/>
      </c>
      <c r="X491" s="1" t="str">
        <f ca="1">IF(ISERROR(F483),"",IF(W491=0,"",_xlfn.TEXTJOIN("",FALSE," G+",W491," in ",A491)))</f>
        <v/>
      </c>
    </row>
    <row r="492" spans="1:24" ht="13" customHeight="1" x14ac:dyDescent="0.2">
      <c r="A492" s="7" t="str">
        <f ca="1">IF(ISERROR(F483),"",VLOOKUP(C483,INDIRECT($F$8),6+(O492-1)*3,0))</f>
        <v/>
      </c>
      <c r="B492" s="41" t="str">
        <f ca="1">IF(ISERROR(F483),"",VLOOKUP(D483,INDIRECT($F$8),6+(O492-1)*3,0))</f>
        <v/>
      </c>
      <c r="C492" s="41"/>
      <c r="D492" s="41"/>
      <c r="E492" s="41"/>
      <c r="F492" s="7" t="str">
        <f ca="1">IF(ISERROR(F483),"",VLOOKUP(E483,INDIRECT($F$8),6+(O492-1)*3,0))</f>
        <v/>
      </c>
      <c r="G492" s="42" t="str">
        <f ca="1">IF(ISERROR(F483),"",_xlfn.TEXTJOIN("/",FALSE,P492,S492))</f>
        <v/>
      </c>
      <c r="H492" s="42"/>
      <c r="I492" s="42" t="str">
        <f ca="1">IF(ISERROR(F483),"",_xlfn.TEXTJOIN("/",FALSE,Q492,T492))</f>
        <v/>
      </c>
      <c r="J492" s="42"/>
      <c r="K492" s="42" t="str">
        <f ca="1">IF(ISERROR(F483),"",_xlfn.TEXTJOIN("/",FALSE,R492,U492))</f>
        <v/>
      </c>
      <c r="L492" s="42"/>
      <c r="M492" s="7" t="str">
        <f ca="1">IF(ISERROR(F483),"",IF(ISTEXT(P492),IF(P492="A","Ab",IF(P492="D","Dt",IF(P492="UFM","UFM",IF(P492="NA","")))),IF(AND(ISBLANK(P492),ISBLANK(R492)),"",IF(P492&lt;0.3*S492,"F",IF(ISBLANK(R492),"",IF(ISTEXT(R492),R492,IF(R492&gt;=0.9*U492,"O",IF(R492&gt;=0.85*U492,"A+",IF(R492&gt;=0.8*U492,"A",IF(R492&gt;=0.7*U492,"B+",IF(R492&gt;=0.6*U492,"B",IF(R492&gt;=0.5*U492,"C",IF(R492&gt;=0.4*U492,"P",IF(R492&lt;0.4*U492,"F",R492))))))))))))))</f>
        <v/>
      </c>
      <c r="N492" s="8" t="str">
        <f t="shared" ca="1" si="50"/>
        <v/>
      </c>
      <c r="O492">
        <f t="shared" si="51"/>
        <v>5</v>
      </c>
      <c r="P492" s="1" t="str">
        <f ca="1">IF(ISERROR(F483),"",IF(ISTEXT(VLOOKUP(B483,INDIRECT($F$8),6+(O492-1)*3)),(VLOOKUP(B483,INDIRECT($F$8),6+(O492-1)*3)),SUM(VLOOKUP(B483,INDIRECT($F$8),6+(O492-1)*3),IF(W498,W492,0))))</f>
        <v/>
      </c>
      <c r="Q492" s="1" t="str">
        <f ca="1">IF(ISERROR(F483),"",VLOOKUP(B483,INDIRECT($F$8),7+(O492-1)*3))</f>
        <v/>
      </c>
      <c r="R492" s="1" t="str">
        <f ca="1">IF(ISERROR(F483),"",SUM(P492:Q492))</f>
        <v/>
      </c>
      <c r="S492" s="1" t="str">
        <f ca="1">IF(ISERROR(F483),"",VLOOKUP(A483,INDIRECT($F$8),6+(O492-1)*3))</f>
        <v/>
      </c>
      <c r="T492" s="1" t="str">
        <f ca="1">IF(ISERROR(F483),"",VLOOKUP(A483,INDIRECT($F$8),7+(O492-1)*3))</f>
        <v/>
      </c>
      <c r="U492" s="1" t="str">
        <f ca="1">IF(ISERROR(F483),"",VLOOKUP(A483,INDIRECT($F$8),8+(O492-1)*3))</f>
        <v/>
      </c>
      <c r="V492" s="1" t="str">
        <f ca="1">IF(ISERROR(F483),"",IF(N492=0,A492,""))</f>
        <v/>
      </c>
      <c r="W492" s="1" t="str">
        <f ca="1">IF(ISERROR(F483),"",IF(ISTEXT(VLOOKUP(B483,INDIRECT($F$8),6+(O492-1)*3)),11,IF(VLOOKUP(B483,INDIRECT($F$8),6+(O492-1)*3)&lt;S492*0.3,IF(VLOOKUP(B483,INDIRECT($F$8),8+(O492-1)*3)&lt;U492*0.4,IF(AND(0.4*U492-VLOOKUP(B483,INDIRECT($F$8),8+(O492-1)*3)&lt;=5,0.3*S492-VLOOKUP(B483,INDIRECT($F$8),6+(O492-1)*3)&lt;=5),MAX(0.4*U492-VLOOKUP(B483,INDIRECT($F$8),8+(O492-1)*3),0.3*S492-VLOOKUP(B483,INDIRECT($F$8),6+(O492-1)*3)),11),IF(0.3*S492-VLOOKUP(B483,INDIRECT($F$8),6+(O492-1)*3)&lt;=5,0.3*S492-VLOOKUP(B483,INDIRECT($F$8),6+(O492-1)*3),11)),IF(VLOOKUP(B483,INDIRECT($F$8),8+(O492-1)*3)&lt;U492*0.4,IF(U492*0.4-VLOOKUP(B483,INDIRECT($F$8),8+(O492-1)*3)&lt;=5,U492*0.4-VLOOKUP(B483,INDIRECT($F$8),8+(O492-1)*3),11),0))))</f>
        <v/>
      </c>
      <c r="X492" s="1" t="str">
        <f ca="1">IF(ISERROR(F483),"",IF(W492=0,"",_xlfn.TEXTJOIN("",FALSE," G+",W492," in ",A492)))</f>
        <v/>
      </c>
    </row>
    <row r="493" spans="1:24" ht="13" customHeight="1" x14ac:dyDescent="0.2">
      <c r="A493" s="7" t="str">
        <f ca="1">IF(ISERROR(F483),"",VLOOKUP(C483,INDIRECT($F$8),6+(O493-1)*3,0))</f>
        <v/>
      </c>
      <c r="B493" s="41" t="str">
        <f ca="1">IF(ISERROR(F483),"",VLOOKUP(D483,INDIRECT($F$8),6+(O493-1)*3,0))</f>
        <v/>
      </c>
      <c r="C493" s="41"/>
      <c r="D493" s="41"/>
      <c r="E493" s="41"/>
      <c r="F493" s="7" t="str">
        <f ca="1">IF(ISERROR(F483),"",VLOOKUP(E483,INDIRECT($F$8),6+(O493-1)*3,0))</f>
        <v/>
      </c>
      <c r="G493" s="42" t="str">
        <f ca="1">IF(ISERROR(F483),"",_xlfn.TEXTJOIN("/",FALSE,P493,S493))</f>
        <v/>
      </c>
      <c r="H493" s="42"/>
      <c r="I493" s="42" t="str">
        <f ca="1">IF(ISERROR(F483),"",_xlfn.TEXTJOIN("/",FALSE,Q493,T493))</f>
        <v/>
      </c>
      <c r="J493" s="42"/>
      <c r="K493" s="42" t="str">
        <f ca="1">IF(ISERROR(F483),"",_xlfn.TEXTJOIN("/",FALSE,R493,U493))</f>
        <v/>
      </c>
      <c r="L493" s="42"/>
      <c r="M493" s="7" t="str">
        <f ca="1">IF(ISERROR(F483),"",IF(ISTEXT(P493),IF(P493="A","Ab",IF(P493="D","Dt",IF(P493="UFM","UFM",IF(P493="NA","")))),IF(AND(ISBLANK(P493),ISBLANK(R493)),"",IF(P493&lt;0.3*S493,"F",IF(ISBLANK(R493),"",IF(ISTEXT(R493),R493,IF(R493&gt;=0.9*U493,"O",IF(R493&gt;=0.85*U493,"A+",IF(R493&gt;=0.8*U493,"A",IF(R493&gt;=0.7*U493,"B+",IF(R493&gt;=0.6*U493,"B",IF(R493&gt;=0.5*U493,"C",IF(R493&gt;=0.4*U493,"P",IF(R493&lt;0.4*U493,"F",R493))))))))))))))</f>
        <v/>
      </c>
      <c r="N493" s="8" t="str">
        <f t="shared" ca="1" si="50"/>
        <v/>
      </c>
      <c r="O493">
        <f t="shared" si="51"/>
        <v>6</v>
      </c>
      <c r="P493" s="1" t="str">
        <f ca="1">IF(ISERROR(F483),"",IF(ISTEXT(VLOOKUP(B483,INDIRECT($F$8),6+(O493-1)*3)),(VLOOKUP(B483,INDIRECT($F$8),6+(O493-1)*3)),SUM(VLOOKUP(B483,INDIRECT($F$8),6+(O493-1)*3),IF(W498,W493,0))))</f>
        <v/>
      </c>
      <c r="Q493" s="1" t="str">
        <f ca="1">IF(ISERROR(F483),"",VLOOKUP(B483,INDIRECT($F$8),7+(O493-1)*3))</f>
        <v/>
      </c>
      <c r="R493" s="1" t="str">
        <f ca="1">IF(ISERROR(F483),"",SUM(P493:Q493))</f>
        <v/>
      </c>
      <c r="S493" s="1" t="str">
        <f ca="1">IF(ISERROR(F483),"",VLOOKUP(A483,INDIRECT($F$8),6+(O493-1)*3))</f>
        <v/>
      </c>
      <c r="T493" s="1" t="str">
        <f ca="1">IF(ISERROR(F483),"",VLOOKUP(A483,INDIRECT($F$8),7+(O493-1)*3))</f>
        <v/>
      </c>
      <c r="U493" s="1" t="str">
        <f ca="1">IF(ISERROR(F483),"",VLOOKUP(A483,INDIRECT($F$8),8+(O493-1)*3))</f>
        <v/>
      </c>
      <c r="V493" s="1" t="str">
        <f ca="1">IF(ISERROR(F483),"",IF(N493=0,A493,""))</f>
        <v/>
      </c>
      <c r="W493" s="1" t="str">
        <f ca="1">IF(ISERROR(F483),"",IF(ISTEXT(VLOOKUP(B483,INDIRECT($F$8),6+(O493-1)*3)),11,IF(VLOOKUP(B483,INDIRECT($F$8),6+(O493-1)*3)&lt;S493*0.3,IF(VLOOKUP(B483,INDIRECT($F$8),8+(O493-1)*3)&lt;U493*0.4,IF(AND(0.4*U493-VLOOKUP(B483,INDIRECT($F$8),8+(O493-1)*3)&lt;=5,0.3*S493-VLOOKUP(B483,INDIRECT($F$8),6+(O493-1)*3)&lt;=5),MAX(0.4*U493-VLOOKUP(B483,INDIRECT($F$8),8+(O493-1)*3),0.3*S493-VLOOKUP(B483,INDIRECT($F$8),6+(O493-1)*3)),11),IF(0.3*S493-VLOOKUP(B483,INDIRECT($F$8),6+(O493-1)*3)&lt;=5,0.3*S493-VLOOKUP(B483,INDIRECT($F$8),6+(O493-1)*3),11)),IF(VLOOKUP(B483,INDIRECT($F$8),8+(O493-1)*3)&lt;U493*0.4,IF(U493*0.4-VLOOKUP(B483,INDIRECT($F$8),8+(O493-1)*3)&lt;=5,U493*0.4-VLOOKUP(B483,INDIRECT($F$8),8+(O493-1)*3),11),0))))</f>
        <v/>
      </c>
      <c r="X493" s="1" t="str">
        <f ca="1">IF(ISERROR(F483),"",IF(W493=0,"",_xlfn.TEXTJOIN("",FALSE," G+",W493," in ",A493)))</f>
        <v/>
      </c>
    </row>
    <row r="494" spans="1:24" ht="13" customHeight="1" x14ac:dyDescent="0.2">
      <c r="A494" s="7" t="str">
        <f ca="1">IF(ISERROR(F483),"",VLOOKUP(C483,INDIRECT($F$8),6+(O494-1)*3,0))</f>
        <v/>
      </c>
      <c r="B494" s="41" t="str">
        <f ca="1">IF(ISERROR(F483),"",VLOOKUP(D483,INDIRECT($F$8),6+(O494-1)*3,0))</f>
        <v/>
      </c>
      <c r="C494" s="41"/>
      <c r="D494" s="41"/>
      <c r="E494" s="41"/>
      <c r="F494" s="7" t="str">
        <f ca="1">IF(ISERROR(F483),"",VLOOKUP(E483,INDIRECT($F$8),6+(O494-1)*3,0))</f>
        <v/>
      </c>
      <c r="G494" s="42" t="str">
        <f ca="1">IF(ISERROR(F483),"",_xlfn.TEXTJOIN("/",FALSE,P494,S494))</f>
        <v/>
      </c>
      <c r="H494" s="42"/>
      <c r="I494" s="42" t="str">
        <f ca="1">IF(ISERROR(F483),"",_xlfn.TEXTJOIN("/",FALSE,Q494,T494))</f>
        <v/>
      </c>
      <c r="J494" s="42"/>
      <c r="K494" s="42" t="str">
        <f ca="1">IF(ISERROR(F483),"",_xlfn.TEXTJOIN("/",FALSE,R494,U494))</f>
        <v/>
      </c>
      <c r="L494" s="42"/>
      <c r="M494" s="7" t="str">
        <f ca="1">IF(ISERROR(F483),"",IF(ISTEXT(P494),IF(P494="A","Ab",IF(P494="D","Dt",IF(P494="UFM","UFM",IF(P494="NA","")))),IF(AND(ISBLANK(P494),ISBLANK(R494)),"",IF(P494&lt;0.3*S494,"F",IF(ISBLANK(R494),"",IF(ISTEXT(R494),R494,IF(R494&gt;=0.9*U494,"O",IF(R494&gt;=0.85*U494,"A+",IF(R494&gt;=0.8*U494,"A",IF(R494&gt;=0.7*U494,"B+",IF(R494&gt;=0.6*U494,"B",IF(R494&gt;=0.5*U494,"C",IF(R494&gt;=0.4*U494,"P",IF(R494&lt;0.4*U494,"F",R494))))))))))))))</f>
        <v/>
      </c>
      <c r="N494" s="8" t="str">
        <f t="shared" ca="1" si="50"/>
        <v/>
      </c>
      <c r="O494">
        <f t="shared" si="51"/>
        <v>7</v>
      </c>
      <c r="P494" s="1" t="str">
        <f ca="1">IF(ISERROR(F483),"",IF(ISTEXT(VLOOKUP(B483,INDIRECT($F$8),6+(O494-1)*3)),(VLOOKUP(B483,INDIRECT($F$8),6+(O494-1)*3)),SUM(VLOOKUP(B483,INDIRECT($F$8),6+(O494-1)*3),IF(W498,W494,0))))</f>
        <v/>
      </c>
      <c r="Q494" s="1" t="str">
        <f ca="1">IF(ISERROR(F483),"",VLOOKUP(B483,INDIRECT($F$8),7+(O494-1)*3))</f>
        <v/>
      </c>
      <c r="R494" s="1" t="str">
        <f ca="1">IF(ISERROR(F483),"",SUM(P494:Q494))</f>
        <v/>
      </c>
      <c r="S494" s="1" t="str">
        <f ca="1">IF(ISERROR(F483),"",VLOOKUP(A483,INDIRECT($F$8),6+(O494-1)*3))</f>
        <v/>
      </c>
      <c r="T494" s="1" t="str">
        <f ca="1">IF(ISERROR(F483),"",VLOOKUP(A483,INDIRECT($F$8),7+(O494-1)*3))</f>
        <v/>
      </c>
      <c r="U494" s="1" t="str">
        <f ca="1">IF(ISERROR(F483),"",VLOOKUP(A483,INDIRECT($F$8),8+(O494-1)*3))</f>
        <v/>
      </c>
      <c r="V494" s="1" t="str">
        <f ca="1">IF(ISERROR(F483),"",IF(N494=0,A494,""))</f>
        <v/>
      </c>
      <c r="W494" s="1" t="str">
        <f ca="1">IF(ISERROR(F483),"",IF(ISTEXT(VLOOKUP(B483,INDIRECT($F$8),6+(O494-1)*3)),11,IF(VLOOKUP(B483,INDIRECT($F$8),6+(O494-1)*3)&lt;S494*0.3,IF(VLOOKUP(B483,INDIRECT($F$8),8+(O494-1)*3)&lt;U494*0.4,IF(AND(0.4*U494-VLOOKUP(B483,INDIRECT($F$8),8+(O494-1)*3)&lt;=5,0.3*S494-VLOOKUP(B483,INDIRECT($F$8),6+(O494-1)*3)&lt;=5),MAX(0.4*U494-VLOOKUP(B483,INDIRECT($F$8),8+(O494-1)*3),0.3*S494-VLOOKUP(B483,INDIRECT($F$8),6+(O494-1)*3)),11),IF(0.3*S494-VLOOKUP(B483,INDIRECT($F$8),6+(O494-1)*3)&lt;=5,0.3*S494-VLOOKUP(B483,INDIRECT($F$8),6+(O494-1)*3),11)),IF(VLOOKUP(B483,INDIRECT($F$8),8+(O494-1)*3)&lt;U494*0.4,IF(U494*0.4-VLOOKUP(B483,INDIRECT($F$8),8+(O494-1)*3)&lt;=5,U494*0.4-VLOOKUP(B483,INDIRECT($F$8),8+(O494-1)*3),11),0))))</f>
        <v/>
      </c>
      <c r="X494" s="1" t="str">
        <f ca="1">IF(ISERROR(F483),"",IF(W494=0,"",_xlfn.TEXTJOIN("",FALSE," G+",W494," in ",A494)))</f>
        <v/>
      </c>
    </row>
    <row r="495" spans="1:24" ht="13" customHeight="1" x14ac:dyDescent="0.2">
      <c r="A495" s="7" t="str">
        <f ca="1">IF(ISERROR(F483),"",VLOOKUP(C483,INDIRECT($F$8),6+(O495-1)*3,0))</f>
        <v/>
      </c>
      <c r="B495" s="41" t="str">
        <f ca="1">IF(ISERROR(F483),"",VLOOKUP(D483,INDIRECT($F$8),6+(O495-1)*3-Z495,0))</f>
        <v/>
      </c>
      <c r="C495" s="41"/>
      <c r="D495" s="41"/>
      <c r="E495" s="41"/>
      <c r="F495" s="7" t="str">
        <f ca="1">IF(ISERROR(F483),"",VLOOKUP(E483,INDIRECT($F$8),6+(O495-1)*3,0))</f>
        <v/>
      </c>
      <c r="G495" s="42" t="str">
        <f ca="1">IF(ISERROR(F483),"",_xlfn.TEXTJOIN("/",FALSE,P495,S495))</f>
        <v/>
      </c>
      <c r="H495" s="42"/>
      <c r="I495" s="42" t="str">
        <f ca="1">IF(ISERROR(F483),"",_xlfn.TEXTJOIN("/",FALSE,Q495,T495))</f>
        <v/>
      </c>
      <c r="J495" s="42"/>
      <c r="K495" s="42" t="str">
        <f ca="1">IF(ISERROR(F483),"",_xlfn.TEXTJOIN("/",FALSE,R495,U495))</f>
        <v/>
      </c>
      <c r="L495" s="42"/>
      <c r="M495" s="7" t="str">
        <f ca="1">IF(ISERROR(F483),"",IF(ISTEXT(P495),IF(P495="A","Ab",IF(P495="D","Dt",IF(P495="UFM","UFM",IF(P495="NA","")))),IF(AND(ISBLANK(P495),ISBLANK(R495)),"",IF(P495&lt;0.3*S495,"F",IF(ISBLANK(R495),"",IF(ISTEXT(R495),R495,IF(R495&gt;=0.9*U495,"O",IF(R495&gt;=0.85*U495,"A+",IF(R495&gt;=0.8*U495,"A",IF(R495&gt;=0.7*U495,"B+",IF(R495&gt;=0.6*U495,"B",IF(R495&gt;=0.5*U495,"C",IF(R495&gt;=0.4*U495,"P",IF(R495&lt;0.4*U495,"F",R495))))))))))))))</f>
        <v/>
      </c>
      <c r="N495" s="8" t="str">
        <f t="shared" ca="1" si="50"/>
        <v/>
      </c>
      <c r="O495">
        <f t="shared" si="51"/>
        <v>8</v>
      </c>
      <c r="P495" s="1" t="str">
        <f ca="1">IF(ISERROR(F483),"",IF(ISTEXT(VLOOKUP(B483,INDIRECT($F$8),6+(O495-1)*3)),(VLOOKUP(B483,INDIRECT($F$8),6+(O495-1)*3)),SUM(VLOOKUP(B483,INDIRECT($F$8),6+(O495-1)*3),IF(W498,W495,0))))</f>
        <v/>
      </c>
      <c r="Q495" s="1" t="str">
        <f ca="1">IF(ISERROR(F483),"",VLOOKUP(B483,INDIRECT($F$8),7+(O495-1)*3))</f>
        <v/>
      </c>
      <c r="R495" s="1" t="str">
        <f ca="1">IF(ISERROR(F483),"",SUM(P495:Q495))</f>
        <v/>
      </c>
      <c r="S495" s="1" t="str">
        <f ca="1">IF(ISERROR(F483),"",VLOOKUP(A483,INDIRECT($F$8),6+(O495-1)*3))</f>
        <v/>
      </c>
      <c r="T495" s="1" t="str">
        <f ca="1">IF(ISERROR(F483),"",VLOOKUP(A483,INDIRECT($F$8),7+(O495-1)*3))</f>
        <v/>
      </c>
      <c r="U495" s="1" t="str">
        <f ca="1">IF(ISERROR(F483),"",VLOOKUP(A483,INDIRECT($F$8),8+(O495-1)*3))</f>
        <v/>
      </c>
      <c r="V495" s="1" t="str">
        <f ca="1">IF(ISERROR(F483),"",IF(N495=0,A495,""))</f>
        <v/>
      </c>
      <c r="W495" s="1" t="str">
        <f ca="1">IF(ISERROR(F483),"",IF(ISTEXT(VLOOKUP(B483,INDIRECT($F$8),6+(O495-1)*3)),11,IF(VLOOKUP(B483,INDIRECT($F$8),6+(O495-1)*3)&lt;S495*0.3,IF(VLOOKUP(B483,INDIRECT($F$8),8+(O495-1)*3)&lt;U495*0.4,IF(AND(0.4*U495-VLOOKUP(B483,INDIRECT($F$8),8+(O495-1)*3)&lt;=5,0.3*S495-VLOOKUP(B483,INDIRECT($F$8),6+(O495-1)*3)&lt;=5),MAX(0.4*U495-VLOOKUP(B483,INDIRECT($F$8),8+(O495-1)*3),0.3*S495-VLOOKUP(B483,INDIRECT($F$8),6+(O495-1)*3)),11),IF(0.3*S495-VLOOKUP(B483,INDIRECT($F$8),6+(O495-1)*3)&lt;=5,0.3*S495-VLOOKUP(B483,INDIRECT($F$8),6+(O495-1)*3),11)),IF(VLOOKUP(B483,INDIRECT($F$8),8+(O495-1)*3)&lt;U495*0.4,IF(U495*0.4-VLOOKUP(B483,INDIRECT($F$8),8+(O495-1)*3)&lt;=5,U495*0.4-VLOOKUP(B483,INDIRECT($F$8),8+(O495-1)*3),11),0))))</f>
        <v/>
      </c>
      <c r="X495" s="1" t="str">
        <f ca="1">IF(ISERROR(F483),"",IF(W495=0,"",_xlfn.TEXTJOIN("",FALSE," G+",W495," in ",A495)))</f>
        <v/>
      </c>
    </row>
    <row r="496" spans="1:24" ht="13" customHeight="1" x14ac:dyDescent="0.2">
      <c r="A496" s="7" t="str">
        <f ca="1">IF(ISERROR(F483),"",VLOOKUP(C483,INDIRECT($F$8),6+(O496-1)*3,0))</f>
        <v/>
      </c>
      <c r="B496" s="41" t="str">
        <f ca="1">IF(ISERROR(F483),"",VLOOKUP(D483,INDIRECT($F$8),6+(O496-1)*3-Z496,0))</f>
        <v/>
      </c>
      <c r="C496" s="41"/>
      <c r="D496" s="41"/>
      <c r="E496" s="41"/>
      <c r="F496" s="7" t="str">
        <f ca="1">IF(ISERROR(F483),"",VLOOKUP(E483,INDIRECT($F$8),6+(O496-1)*3,0))</f>
        <v/>
      </c>
      <c r="G496" s="42" t="str">
        <f ca="1">IF(ISERROR(F483),"",_xlfn.TEXTJOIN("/",FALSE,P496,S496))</f>
        <v/>
      </c>
      <c r="H496" s="42"/>
      <c r="I496" s="42" t="str">
        <f ca="1">IF(ISERROR(F483),"",_xlfn.TEXTJOIN("/",FALSE,Q496,T496))</f>
        <v/>
      </c>
      <c r="J496" s="42"/>
      <c r="K496" s="42" t="str">
        <f ca="1">IF(ISERROR(F483),"",_xlfn.TEXTJOIN("/",FALSE,R496,U496))</f>
        <v/>
      </c>
      <c r="L496" s="42"/>
      <c r="M496" s="7" t="str">
        <f ca="1">IF(ISERROR(F483),"",IF(ISTEXT(P496),IF(P496="A","Ab",IF(P496="D","Dt",IF(P496="UFM","UFM",IF(P496="NA","")))),IF(AND(ISBLANK(P496),ISBLANK(R496)),"",IF(P496&lt;0.3*S496,"F",IF(ISBLANK(R496),"",IF(ISTEXT(R496),R496,IF(R496&gt;=0.9*U496,"O",IF(R496&gt;=0.85*U496,"A+",IF(R496&gt;=0.8*U496,"A",IF(R496&gt;=0.7*U496,"B+",IF(R496&gt;=0.6*U496,"B",IF(R496&gt;=0.5*U496,"C",IF(R496&gt;=0.4*U496,"P",IF(R496&lt;0.4*U496,"F",R496))))))))))))))</f>
        <v/>
      </c>
      <c r="N496" s="8" t="str">
        <f t="shared" ca="1" si="50"/>
        <v/>
      </c>
      <c r="O496">
        <f t="shared" si="51"/>
        <v>9</v>
      </c>
      <c r="P496" s="1" t="str">
        <f ca="1">IF(ISERROR(F483),"",IF(ISTEXT(VLOOKUP(B483,INDIRECT($F$8),6+(O496-1)*3)),(VLOOKUP(B483,INDIRECT($F$8),6+(O496-1)*3)),SUM(VLOOKUP(B483,INDIRECT($F$8),6+(O496-1)*3),IF(W498,W496,0))))</f>
        <v/>
      </c>
      <c r="Q496" s="1" t="str">
        <f ca="1">IF(ISERROR(F483),"",VLOOKUP(B483,INDIRECT($F$8),7+(O496-1)*3))</f>
        <v/>
      </c>
      <c r="R496" s="1" t="str">
        <f ca="1">IF(ISERROR(F483),"",SUM(P496:Q496))</f>
        <v/>
      </c>
      <c r="S496" s="1" t="str">
        <f ca="1">IF(ISERROR(F483),"",VLOOKUP(A483,INDIRECT($F$8),6+(O496-1)*3))</f>
        <v/>
      </c>
      <c r="T496" s="1" t="str">
        <f ca="1">IF(ISERROR(F483),"",VLOOKUP(A483,INDIRECT($F$8),7+(O496-1)*3))</f>
        <v/>
      </c>
      <c r="U496" s="1" t="str">
        <f ca="1">IF(ISERROR(F483),"",VLOOKUP(A483,INDIRECT($F$8),8+(O496-1)*3))</f>
        <v/>
      </c>
      <c r="V496" s="1" t="str">
        <f ca="1">IF(ISERROR(F483),"",IF(N496=0,A496,""))</f>
        <v/>
      </c>
      <c r="W496" s="1" t="str">
        <f ca="1">IF(ISERROR(F483),"",IF(ISTEXT(VLOOKUP(B483,INDIRECT($F$8),6+(O496-1)*3)),11,IF(VLOOKUP(B483,INDIRECT($F$8),6+(O496-1)*3)&lt;S496*0.3,IF(VLOOKUP(B483,INDIRECT($F$8),8+(O496-1)*3)&lt;U496*0.4,IF(AND(0.4*U496-VLOOKUP(B483,INDIRECT($F$8),8+(O496-1)*3)&lt;=5,0.3*S496-VLOOKUP(B483,INDIRECT($F$8),6+(O496-1)*3)&lt;=5),MAX(0.4*U496-VLOOKUP(B483,INDIRECT($F$8),8+(O496-1)*3),0.3*S496-VLOOKUP(B483,INDIRECT($F$8),6+(O496-1)*3)),11),IF(0.3*S496-VLOOKUP(B483,INDIRECT($F$8),6+(O496-1)*3)&lt;=5,0.3*S496-VLOOKUP(B483,INDIRECT($F$8),6+(O496-1)*3),11)),IF(VLOOKUP(B483,INDIRECT($F$8),8+(O496-1)*3)&lt;U496*0.4,IF(U496*0.4-VLOOKUP(B483,INDIRECT($F$8),8+(O496-1)*3)&lt;=5,U496*0.4-VLOOKUP(B483,INDIRECT($F$8),8+(O496-1)*3),11),0))))</f>
        <v/>
      </c>
      <c r="X496" s="1" t="str">
        <f ca="1">IF(ISERROR(F483),"",IF(W496=0,"",_xlfn.TEXTJOIN("",FALSE," G+",W496," in ",A496)))</f>
        <v/>
      </c>
    </row>
    <row r="497" spans="1:24" ht="13" customHeight="1" x14ac:dyDescent="0.2">
      <c r="A497" s="7" t="str">
        <f ca="1">IF(ISERROR(F483),"",VLOOKUP(C483,INDIRECT($F$8),6+(O497-1)*3,0))</f>
        <v/>
      </c>
      <c r="B497" s="41" t="str">
        <f ca="1">IF(ISERROR(F483),"",VLOOKUP(D483,INDIRECT($F$8),6+(O497-1)*3,0))</f>
        <v/>
      </c>
      <c r="C497" s="41"/>
      <c r="D497" s="41"/>
      <c r="E497" s="41"/>
      <c r="F497" s="7" t="str">
        <f ca="1">IF(ISERROR(F483),"",VLOOKUP(E483,INDIRECT($F$8),6+(O497-1)*3,0))</f>
        <v/>
      </c>
      <c r="G497" s="42" t="str">
        <f ca="1">IF(ISERROR(F483),"",_xlfn.TEXTJOIN("/",FALSE,P497,S497))</f>
        <v/>
      </c>
      <c r="H497" s="42"/>
      <c r="I497" s="42" t="str">
        <f ca="1">IF(ISERROR(F483),"",_xlfn.TEXTJOIN("/",FALSE,Q497,T497))</f>
        <v/>
      </c>
      <c r="J497" s="42"/>
      <c r="K497" s="42" t="str">
        <f ca="1">IF(ISERROR(F483),"",_xlfn.TEXTJOIN("/",FALSE,R497,U497))</f>
        <v/>
      </c>
      <c r="L497" s="42"/>
      <c r="M497" s="7" t="str">
        <f ca="1">IF(ISERROR(F483),"",IF(ISTEXT(P497),IF(P497="A","Ab",IF(P497="D","Dt",IF(P497="UFM","UFM",IF(P497="NA","")))),IF(AND(ISBLANK(P497),ISBLANK(R497)),"",IF(P497&lt;0.3*S497,"F",IF(ISBLANK(R497),"",IF(ISTEXT(R497),R497,IF(R497&gt;=0.9*U497,"O",IF(R497&gt;=0.85*U497,"A+",IF(R497&gt;=0.8*U497,"A",IF(R497&gt;=0.7*U497,"B+",IF(R497&gt;=0.6*U497,"B",IF(R497&gt;=0.5*U497,"C",IF(R497&gt;=0.4*U497,"P",IF(R497&lt;0.4*U497,"F",R497))))))))))))))</f>
        <v/>
      </c>
      <c r="N497" s="8" t="str">
        <f t="shared" ca="1" si="50"/>
        <v/>
      </c>
      <c r="O497">
        <f t="shared" si="51"/>
        <v>10</v>
      </c>
      <c r="P497" s="1" t="str">
        <f ca="1">IF(ISERROR(F483),"",IF(ISTEXT(VLOOKUP(B483,INDIRECT($F$8),6+(O497-1)*3)),(VLOOKUP(B483,INDIRECT($F$8),6+(O497-1)*3)),SUM(VLOOKUP(B483,INDIRECT($F$8),6+(O497-1)*3),IF(W498,W497,0))))</f>
        <v/>
      </c>
      <c r="Q497" s="1" t="str">
        <f ca="1">IF(ISERROR(F483),"",VLOOKUP(B483,INDIRECT($F$8),7+(O497-1)*3))</f>
        <v/>
      </c>
      <c r="R497" s="1" t="str">
        <f ca="1">IF(ISERROR(F483),"",SUM(P497:Q497))</f>
        <v/>
      </c>
      <c r="S497" s="1" t="str">
        <f ca="1">IF(ISERROR(F483),"",VLOOKUP(A483,INDIRECT($F$8),6+(O497-1)*3))</f>
        <v/>
      </c>
      <c r="T497" s="1" t="str">
        <f ca="1">IF(ISERROR(F483),"",VLOOKUP(A483,INDIRECT($F$8),7+(O497-1)*3))</f>
        <v/>
      </c>
      <c r="U497" s="1" t="str">
        <f ca="1">IF(ISERROR(F483),"",VLOOKUP(A483,INDIRECT($F$8),8+(O497-1)*3))</f>
        <v/>
      </c>
      <c r="V497" s="1" t="str">
        <f ca="1">IF(ISERROR(F483),"",IF(N497=0,A497,""))</f>
        <v/>
      </c>
      <c r="W497" s="1" t="str">
        <f ca="1">IF(ISERROR(F483),"",IF(ISTEXT(VLOOKUP(B483,INDIRECT($F$8),6+(O497-1)*3)),11,IF(VLOOKUP(B483,INDIRECT($F$8),6+(O497-1)*3)&lt;S497*0.3,IF(VLOOKUP(B483,INDIRECT($F$8),8+(O497-1)*3)&lt;U497*0.4,IF(AND(0.4*U497-VLOOKUP(B483,INDIRECT($F$8),8+(O497-1)*3)&lt;=5,0.3*S497-VLOOKUP(B483,INDIRECT($F$8),6+(O497-1)*3)&lt;=5),MAX(0.4*U497-VLOOKUP(B483,INDIRECT($F$8),8+(O497-1)*3),0.3*S497-VLOOKUP(B483,INDIRECT($F$8),6+(O497-1)*3)),11),IF(0.3*S497-VLOOKUP(B483,INDIRECT($F$8),6+(O497-1)*3)&lt;=5,0.3*S497-VLOOKUP(B483,INDIRECT($F$8),6+(O497-1)*3),11)),IF(VLOOKUP(B483,INDIRECT($F$8),8+(O497-1)*3)&lt;U497*0.4,IF(U497*0.4-VLOOKUP(B483,INDIRECT($F$8),8+(O497-1)*3)&lt;=5,U497*0.4-VLOOKUP(B483,INDIRECT($F$8),8+(O497-1)*3),11),0))))</f>
        <v/>
      </c>
      <c r="X497" s="1" t="str">
        <f ca="1">IF(ISERROR(F483),"",IF(W497=0,"",_xlfn.TEXTJOIN("",FALSE," G+",W497," in ",A497)))</f>
        <v/>
      </c>
    </row>
    <row r="498" spans="1:24" ht="13" customHeight="1" x14ac:dyDescent="0.2">
      <c r="A498" s="43" t="str">
        <f ca="1">IF(ISERROR(F483),"",A479)</f>
        <v/>
      </c>
      <c r="B498" s="43"/>
      <c r="C498" s="43"/>
      <c r="D498" s="43"/>
      <c r="E498" s="43"/>
      <c r="F498" s="10" t="str">
        <f ca="1">IF(ISERROR(F483),"",SUM(F488:F497))</f>
        <v/>
      </c>
      <c r="G498" s="44" t="str">
        <f ca="1">IF(ISERROR(F483),"",_xlfn.TEXTJOIN("/",TRUE,SUMIF(F488:F497,"&gt;0",P488:P497),SUMIF(F488:F497,"&gt;0",S488:S497)))</f>
        <v/>
      </c>
      <c r="H498" s="44"/>
      <c r="I498" s="44" t="str">
        <f ca="1">IF(ISERROR(F483),"",_xlfn.TEXTJOIN("/",TRUE,SUMIF(F488:F497,"&gt;0",Q488:Q497),SUMIF(F488:F497,"&gt;0",T488:T497)))</f>
        <v/>
      </c>
      <c r="J498" s="44"/>
      <c r="K498" s="44" t="str">
        <f ca="1">IF(ISERROR(F483),"",_xlfn.TEXTJOIN("/",TRUE,SUMIF(F488:F497,"&gt;0",R488:R497),SUMIF(F488:F497,"&gt;0",U488:U497)))</f>
        <v/>
      </c>
      <c r="L498" s="44"/>
      <c r="M498" s="43" t="str">
        <f ca="1">IF(ISERROR(F483),"",SUMPRODUCT(N488:N497,F488:F497))</f>
        <v/>
      </c>
      <c r="N498" s="43"/>
      <c r="V498" s="1" t="str">
        <f ca="1">IF(ISERROR(F483),"",_xlfn.TEXTJOIN(", ",TRUE,V488:V497))</f>
        <v/>
      </c>
      <c r="W498" t="str">
        <f ca="1">IF(ISERROR(F483),"",IF(SUM(W488:W497)&lt;=W487,TRUE,FALSE))</f>
        <v/>
      </c>
      <c r="X498" s="1" t="str">
        <f ca="1">IF(ISERROR(F483),"",_xlfn.TEXTJOIN(",",TRUE,X488:X497))</f>
        <v/>
      </c>
    </row>
    <row r="499" spans="1:24" ht="13" customHeight="1" x14ac:dyDescent="0.2">
      <c r="A499" s="43" t="str">
        <f ca="1">IF(ISERROR(F483),"",A480)</f>
        <v/>
      </c>
      <c r="B499" s="45" t="str">
        <f ca="1">IF(ISERROR(F483),"",IF(V498="","PASS","CARRY OVER"))</f>
        <v/>
      </c>
      <c r="C499" s="45"/>
      <c r="D499" s="43" t="str">
        <f ca="1">IF(ISERROR(F483),"",D480)</f>
        <v/>
      </c>
      <c r="E499" s="45" t="str">
        <f ca="1">IF(ISERROR(F483),"",IF(V498="",IF(X498="","",X498),_xlfn.TEXTJOIN(" ",TRUE,"BACK IN",V498)))</f>
        <v/>
      </c>
      <c r="F499" s="45"/>
      <c r="G499" s="43" t="str">
        <f ca="1">IF(ISERROR(F483),"",G480)</f>
        <v/>
      </c>
      <c r="H499" s="46" t="str">
        <f ca="1">IF(ISERROR(F483),"",M498/F498)</f>
        <v/>
      </c>
      <c r="I499" s="43" t="str">
        <f ca="1">IF(ISERROR(F483),"",I480)</f>
        <v/>
      </c>
      <c r="J499" s="46" t="str">
        <f ca="1">IF(ISERROR(F483),"",VLOOKUP(B483,INDIRECT($F$8),12+(O497-1)*3,0))</f>
        <v/>
      </c>
      <c r="K499" s="45" t="str">
        <f ca="1">IF(ISERROR(F483),"",K480)</f>
        <v/>
      </c>
      <c r="L499" s="43" t="str">
        <f ca="1">IF(ISERROR(F483),"",SUMIF(N488:N497,"&gt;0",F488:F497))</f>
        <v/>
      </c>
      <c r="M499" s="45" t="str">
        <f ca="1">IF(ISERROR(F483),"",M480)</f>
        <v/>
      </c>
      <c r="N499" s="43" t="str">
        <f ca="1">IF(ISERROR(F483),"",VLOOKUP(B483,INDIRECT($F$8),10+(O497-1)*3,0))</f>
        <v/>
      </c>
    </row>
    <row r="500" spans="1:24" ht="13" customHeight="1" x14ac:dyDescent="0.2">
      <c r="A500" s="43"/>
      <c r="B500" s="45"/>
      <c r="C500" s="45"/>
      <c r="D500" s="43"/>
      <c r="E500" s="45"/>
      <c r="F500" s="45"/>
      <c r="G500" s="43"/>
      <c r="H500" s="46"/>
      <c r="I500" s="43"/>
      <c r="J500" s="46"/>
      <c r="K500" s="45"/>
      <c r="L500" s="43"/>
      <c r="M500" s="45"/>
      <c r="N500" s="43"/>
    </row>
    <row r="501" spans="1:24" ht="13" customHeight="1" x14ac:dyDescent="0.2">
      <c r="A501" s="43"/>
      <c r="B501" s="45"/>
      <c r="C501" s="45"/>
      <c r="D501" s="43"/>
      <c r="E501" s="45"/>
      <c r="F501" s="45"/>
      <c r="G501" s="43"/>
      <c r="H501" s="46"/>
      <c r="I501" s="43"/>
      <c r="J501" s="46"/>
      <c r="K501" s="45"/>
      <c r="L501" s="43"/>
      <c r="M501" s="45"/>
      <c r="N501" s="43"/>
    </row>
    <row r="502" spans="1:24" ht="13" customHeight="1" x14ac:dyDescent="0.2">
      <c r="A502" s="11" t="str">
        <f>A483</f>
        <v>MM</v>
      </c>
      <c r="B502" s="11">
        <f>B483+1</f>
        <v>27</v>
      </c>
      <c r="C502" s="11" t="str">
        <f>C483</f>
        <v>SC</v>
      </c>
      <c r="D502" s="11" t="str">
        <f>D483</f>
        <v>SN</v>
      </c>
      <c r="E502" s="11" t="str">
        <f>E483</f>
        <v>C</v>
      </c>
      <c r="F502" s="11" t="e">
        <f ca="1">VLOOKUP(B502,INDIRECT($F$8),4,0)</f>
        <v>#N/A</v>
      </c>
    </row>
    <row r="503" spans="1:24" ht="13" customHeight="1" x14ac:dyDescent="0.2">
      <c r="A503" s="47" t="str">
        <f ca="1">IF(ISERROR(F502),"",A484)</f>
        <v/>
      </c>
      <c r="B503" s="47" t="str">
        <f ca="1">IFERROR(VLOOKUP(B502,INDIRECT($F$8),4,0),"")</f>
        <v/>
      </c>
      <c r="C503" s="47"/>
      <c r="D503" s="47" t="str">
        <f ca="1">IF(ISERROR(F502),"",D484)</f>
        <v/>
      </c>
      <c r="E503" s="47" t="str">
        <f ca="1">IFERROR(VLOOKUP(B502,INDIRECT($F$8),5,0),"")</f>
        <v/>
      </c>
      <c r="F503" s="47"/>
      <c r="G503" s="47" t="str">
        <f ca="1">IF(ISERROR(F502),"",G484)</f>
        <v/>
      </c>
      <c r="H503" s="47"/>
      <c r="I503" s="48" t="str">
        <f ca="1">IFERROR(VLOOKUP(B502,INDIRECT($F$8),2,0),"")</f>
        <v/>
      </c>
      <c r="J503" s="48"/>
      <c r="K503" s="47" t="str">
        <f ca="1">IF(ISERROR(F502),"",K484)</f>
        <v/>
      </c>
      <c r="L503" s="47"/>
      <c r="M503" s="48" t="str">
        <f ca="1">IFERROR(VLOOKUP(B502,INDIRECT($F$8),3,0),"")</f>
        <v/>
      </c>
      <c r="N503" s="48"/>
    </row>
    <row r="504" spans="1:24" ht="13" customHeight="1" x14ac:dyDescent="0.2">
      <c r="A504" s="47"/>
      <c r="B504" s="47"/>
      <c r="C504" s="47"/>
      <c r="D504" s="47"/>
      <c r="E504" s="47"/>
      <c r="F504" s="47"/>
      <c r="G504" s="47"/>
      <c r="H504" s="47"/>
      <c r="I504" s="48"/>
      <c r="J504" s="48"/>
      <c r="K504" s="47"/>
      <c r="L504" s="47"/>
      <c r="M504" s="48"/>
      <c r="N504" s="48"/>
    </row>
    <row r="505" spans="1:24" ht="13" customHeight="1" x14ac:dyDescent="0.2">
      <c r="A505" s="45" t="str">
        <f ca="1">IF(ISERROR(F502),"",A486)</f>
        <v/>
      </c>
      <c r="B505" s="45" t="str">
        <f ca="1">IF(ISERROR(F502),"",B486)</f>
        <v/>
      </c>
      <c r="C505" s="45"/>
      <c r="D505" s="45"/>
      <c r="E505" s="45"/>
      <c r="F505" s="45" t="str">
        <f ca="1">IF(ISERROR(F502),"",F486)</f>
        <v/>
      </c>
      <c r="G505" s="45" t="str">
        <f ca="1">IF(ISERROR(F502),"",G486)</f>
        <v/>
      </c>
      <c r="H505" s="45"/>
      <c r="I505" s="45" t="str">
        <f ca="1">IF(ISERROR(F502),"",I486)</f>
        <v/>
      </c>
      <c r="J505" s="45"/>
      <c r="K505" s="45" t="str">
        <f ca="1">IF(ISERROR(F502),"",K486)</f>
        <v/>
      </c>
      <c r="L505" s="45"/>
      <c r="M505" s="45" t="str">
        <f ca="1">IF(ISERROR(F502),"",M486)</f>
        <v/>
      </c>
      <c r="N505" s="45" t="str">
        <f ca="1">IF(ISERROR(F502),"",N486)</f>
        <v/>
      </c>
    </row>
    <row r="506" spans="1:24" ht="13" customHeight="1" x14ac:dyDescent="0.2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W506" t="e">
        <f ca="1">IF(ISNUMBER(MATCH($F$8,{"I","III","V","VII"},0)),10,10-INDEX(INDIRECT(_xlfn.TEXTJOIN("",TRUE,"SEM_",$G$8,"!",ADDRESS(6,4+$I$8*3+4),":",ADDRESS(5+$H$8,4+$I$8*3+4))),MATCH(INDIRECT(_xlfn.TEXTJOIN("",TRUE,"TC_",$F$8,"!",ADDRESS(ROW(I503),COLUMN(I503)))),INDIRECT(_xlfn.TEXTJOIN("",TRUE,"SEM_",$G$8,"!",ADDRESS(6,2),":",ADDRESS(5+$H$8,2))))))</f>
        <v>#N/A</v>
      </c>
    </row>
    <row r="507" spans="1:24" ht="13" customHeight="1" x14ac:dyDescent="0.2">
      <c r="A507" s="7" t="str">
        <f ca="1">IF(ISERROR(F502),"",VLOOKUP(C502,INDIRECT($F$8),6+(O507-1)*3,0))</f>
        <v/>
      </c>
      <c r="B507" s="41" t="str">
        <f ca="1">IF(ISERROR(F502),"",VLOOKUP(D502,INDIRECT($F$8),6+(O507-1)*3,0))</f>
        <v/>
      </c>
      <c r="C507" s="41"/>
      <c r="D507" s="41"/>
      <c r="E507" s="41"/>
      <c r="F507" s="7" t="str">
        <f ca="1">IF(ISERROR(F502),"",VLOOKUP(E502,INDIRECT($F$8),6+(O507-1)*3,0))</f>
        <v/>
      </c>
      <c r="G507" s="42" t="str">
        <f ca="1">IF(ISERROR(F502),"",_xlfn.TEXTJOIN("/",FALSE,P507,S507))</f>
        <v/>
      </c>
      <c r="H507" s="42"/>
      <c r="I507" s="42" t="str">
        <f ca="1">IF(ISERROR(F502),"",_xlfn.TEXTJOIN("/",FALSE,Q507,T507))</f>
        <v/>
      </c>
      <c r="J507" s="42"/>
      <c r="K507" s="42" t="str">
        <f ca="1">IF(ISERROR(F502),"",_xlfn.TEXTJOIN("/",FALSE,R507,U507))</f>
        <v/>
      </c>
      <c r="L507" s="42"/>
      <c r="M507" s="7" t="str">
        <f ca="1">IF(ISERROR(F502),"",IF(ISTEXT(P507),IF(P507="A","Ab",IF(P507="D","Dt",IF(P507="UFM","UFM",IF(P507="NA","")))),IF(AND(ISBLANK(P507),ISBLANK(R507)),"",IF(P507&lt;0.3*S507,"F",IF(ISBLANK(R507),"",IF(ISTEXT(R507),R507,IF(R507&gt;=0.9*U507,"O",IF(R507&gt;=0.85*U507,"A+",IF(R507&gt;=0.8*U507,"A",IF(R507&gt;=0.7*U507,"B+",IF(R507&gt;=0.6*U507,"B",IF(R507&gt;=0.5*U507,"C",IF(R507&gt;=0.4*U507,"P",IF(R507&lt;0.4*U507,"F",R507))))))))))))))</f>
        <v/>
      </c>
      <c r="N507" s="8" t="str">
        <f t="shared" ref="N507:N516" ca="1" si="52">INDEX($Z$2:$Z$13,MATCH(M507,$Y$2:$Y$13,0))</f>
        <v/>
      </c>
      <c r="O507">
        <v>1</v>
      </c>
      <c r="P507" s="1" t="str">
        <f ca="1">IF(ISERROR(F502),"",IF(ISTEXT(VLOOKUP(B502,INDIRECT($F$8),6+(O507-1)*3)),(VLOOKUP(B502,INDIRECT($F$8),6+(O507-1)*3)),SUM(VLOOKUP(B502,INDIRECT($F$8),6+(O507-1)*3),IF(W517,W507,0))))</f>
        <v/>
      </c>
      <c r="Q507" s="1" t="str">
        <f ca="1">IF(ISERROR(F502),"",VLOOKUP(B502,INDIRECT($F$8),7+(O507-1)*3))</f>
        <v/>
      </c>
      <c r="R507" s="1" t="str">
        <f ca="1">IF(ISERROR(F502),"",SUM(P507:Q507))</f>
        <v/>
      </c>
      <c r="S507" s="1" t="str">
        <f ca="1">IF(ISERROR(F502),"",VLOOKUP(A502,INDIRECT($F$8),6+(O507-1)*3))</f>
        <v/>
      </c>
      <c r="T507" s="1" t="str">
        <f ca="1">IF(ISERROR(F502),"",VLOOKUP(A502,INDIRECT($F$8),7+(O507-1)*3))</f>
        <v/>
      </c>
      <c r="U507" s="1" t="str">
        <f ca="1">IF(ISERROR(F502),"",VLOOKUP(A502,INDIRECT($F$8),8+(O507-1)*3))</f>
        <v/>
      </c>
      <c r="V507" s="1" t="str">
        <f ca="1">IF(ISERROR(F502),"",IF(N507=0,A507,""))</f>
        <v/>
      </c>
      <c r="W507" s="1" t="str">
        <f ca="1">IF(ISERROR(F502),"",IF(ISTEXT(VLOOKUP(B502,INDIRECT($F$8),6+(O507-1)*3)),11,IF(VLOOKUP(B502,INDIRECT($F$8),6+(O507-1)*3)&lt;S507*0.3,IF(VLOOKUP(B502,INDIRECT($F$8),8+(O507-1)*3)&lt;U507*0.4,IF(AND(0.4*U507-VLOOKUP(B502,INDIRECT($F$8),8+(O507-1)*3)&lt;=5,0.3*S507-VLOOKUP(B502,INDIRECT($F$8),6+(O507-1)*3)&lt;=5),MAX(0.4*U507-VLOOKUP(B502,INDIRECT($F$8),8+(O507-1)*3),0.3*S507-VLOOKUP(B502,INDIRECT($F$8),6+(O507-1)*3)),11),IF(0.3*S507-VLOOKUP(B502,INDIRECT($F$8),6+(O507-1)*3)&lt;=5,0.3*S507-VLOOKUP(B502,INDIRECT($F$8),6+(O507-1)*3),11)),IF(VLOOKUP(B502,INDIRECT($F$8),8+(O507-1)*3)&lt;U507*0.4,IF(U507*0.4-VLOOKUP(B502,INDIRECT($F$8),8+(O507-1)*3)&lt;=5,U507*0.4-VLOOKUP(B502,INDIRECT($F$8),8+(O507-1)*3),11),0))))</f>
        <v/>
      </c>
      <c r="X507" s="1" t="str">
        <f ca="1">IF(ISERROR(F502),"",IF(W507=0,"",_xlfn.TEXTJOIN("",FALSE," G+",W507," in ",A507)))</f>
        <v/>
      </c>
    </row>
    <row r="508" spans="1:24" ht="13" customHeight="1" x14ac:dyDescent="0.2">
      <c r="A508" s="7" t="str">
        <f ca="1">IF(ISERROR(F502),"",VLOOKUP(C502,INDIRECT($F$8),6+(O508-1)*3,0))</f>
        <v/>
      </c>
      <c r="B508" s="41" t="str">
        <f ca="1">IF(ISERROR(F502),"",VLOOKUP(D502,INDIRECT($F$8),6+(O508-1)*3,0))</f>
        <v/>
      </c>
      <c r="C508" s="41"/>
      <c r="D508" s="41"/>
      <c r="E508" s="41"/>
      <c r="F508" s="7" t="str">
        <f ca="1">IF(ISERROR(F502),"",VLOOKUP(E502,INDIRECT($F$8),6+(O508-1)*3,0))</f>
        <v/>
      </c>
      <c r="G508" s="42" t="str">
        <f ca="1">IF(ISERROR(F502),"",_xlfn.TEXTJOIN("/",FALSE,P508,S508))</f>
        <v/>
      </c>
      <c r="H508" s="42"/>
      <c r="I508" s="42" t="str">
        <f ca="1">IF(ISERROR(F502),"",_xlfn.TEXTJOIN("/",FALSE,Q508,T508))</f>
        <v/>
      </c>
      <c r="J508" s="42"/>
      <c r="K508" s="42" t="str">
        <f ca="1">IF(ISERROR(F502),"",_xlfn.TEXTJOIN("/",FALSE,R508,U508))</f>
        <v/>
      </c>
      <c r="L508" s="42"/>
      <c r="M508" s="7" t="str">
        <f ca="1">IF(ISERROR(F502),"",IF(ISTEXT(P508),IF(P508="A","Ab",IF(P508="D","Dt",IF(P508="UFM","UFM",IF(P508="NA","")))),IF(AND(ISBLANK(P508),ISBLANK(R508)),"",IF(P508&lt;0.3*S508,"F",IF(ISBLANK(R508),"",IF(ISTEXT(R508),R508,IF(R508&gt;=0.9*U508,"O",IF(R508&gt;=0.85*U508,"A+",IF(R508&gt;=0.8*U508,"A",IF(R508&gt;=0.7*U508,"B+",IF(R508&gt;=0.6*U508,"B",IF(R508&gt;=0.5*U508,"C",IF(R508&gt;=0.4*U508,"P",IF(R508&lt;0.4*U508,"F",R508))))))))))))))</f>
        <v/>
      </c>
      <c r="N508" s="8" t="str">
        <f t="shared" ca="1" si="52"/>
        <v/>
      </c>
      <c r="O508">
        <f>O507+1</f>
        <v>2</v>
      </c>
      <c r="P508" s="1" t="str">
        <f ca="1">IF(ISERROR(F502),"",IF(ISTEXT(VLOOKUP(B502,INDIRECT($F$8),6+(O508-1)*3)),(VLOOKUP(B502,INDIRECT($F$8),6+(O508-1)*3)),SUM(VLOOKUP(B502,INDIRECT($F$8),6+(O508-1)*3),IF(W517,W508,0))))</f>
        <v/>
      </c>
      <c r="Q508" s="1" t="str">
        <f ca="1">IF(ISERROR(F502),"",VLOOKUP(B502,INDIRECT($F$8),7+(O508-1)*3))</f>
        <v/>
      </c>
      <c r="R508" s="1" t="str">
        <f ca="1">IF(ISERROR(F502),"",SUM(P508:Q508))</f>
        <v/>
      </c>
      <c r="S508" s="1" t="str">
        <f ca="1">IF(ISERROR(F502),"",VLOOKUP(A502,INDIRECT($F$8),6+(O508-1)*3))</f>
        <v/>
      </c>
      <c r="T508" s="1" t="str">
        <f ca="1">IF(ISERROR(F502),"",VLOOKUP(A502,INDIRECT($F$8),7+(O508-1)*3))</f>
        <v/>
      </c>
      <c r="U508" s="1" t="str">
        <f ca="1">IF(ISERROR(F502),"",VLOOKUP(A502,INDIRECT($F$8),8+(O508-1)*3))</f>
        <v/>
      </c>
      <c r="V508" s="1" t="str">
        <f ca="1">IF(ISERROR(F502),"",IF(N508=0,A508,""))</f>
        <v/>
      </c>
      <c r="W508" s="1" t="str">
        <f ca="1">IF(ISERROR(F502),"",IF(ISTEXT(VLOOKUP(B502,INDIRECT($F$8),6+(O508-1)*3)),11,IF(VLOOKUP(B502,INDIRECT($F$8),6+(O508-1)*3)&lt;S508*0.3,IF(VLOOKUP(B502,INDIRECT($F$8),8+(O508-1)*3)&lt;U508*0.4,IF(AND(0.4*U508-VLOOKUP(B502,INDIRECT($F$8),8+(O508-1)*3)&lt;=5,0.3*S508-VLOOKUP(B502,INDIRECT($F$8),6+(O508-1)*3)&lt;=5),MAX(0.4*U508-VLOOKUP(B502,INDIRECT($F$8),8+(O508-1)*3),0.3*S508-VLOOKUP(B502,INDIRECT($F$8),6+(O508-1)*3)),11),IF(0.3*S508-VLOOKUP(B502,INDIRECT($F$8),6+(O508-1)*3)&lt;=5,0.3*S508-VLOOKUP(B502,INDIRECT($F$8),6+(O508-1)*3),11)),IF(VLOOKUP(B502,INDIRECT($F$8),8+(O508-1)*3)&lt;U508*0.4,IF(U508*0.4-VLOOKUP(B502,INDIRECT($F$8),8+(O508-1)*3)&lt;=5,U508*0.4-VLOOKUP(B502,INDIRECT($F$8),8+(O508-1)*3),11),0))))</f>
        <v/>
      </c>
      <c r="X508" s="1" t="str">
        <f ca="1">IF(ISERROR(F502),"",IF(W508=0,"",_xlfn.TEXTJOIN("",FALSE," G+",W508," in ",A508)))</f>
        <v/>
      </c>
    </row>
    <row r="509" spans="1:24" ht="13" customHeight="1" x14ac:dyDescent="0.2">
      <c r="A509" s="7" t="str">
        <f ca="1">IF(ISERROR(F502),"",VLOOKUP(C502,INDIRECT($F$8),6+(O509-1)*3,0))</f>
        <v/>
      </c>
      <c r="B509" s="41" t="str">
        <f ca="1">IF(ISERROR(F502),"",VLOOKUP(D502,INDIRECT($F$8),6+(O509-1)*3,0))</f>
        <v/>
      </c>
      <c r="C509" s="41"/>
      <c r="D509" s="41"/>
      <c r="E509" s="41"/>
      <c r="F509" s="7" t="str">
        <f ca="1">IF(ISERROR(F502),"",VLOOKUP(E502,INDIRECT($F$8),6+(O509-1)*3,0))</f>
        <v/>
      </c>
      <c r="G509" s="42" t="str">
        <f ca="1">IF(ISERROR(F502),"",_xlfn.TEXTJOIN("/",FALSE,P509,S509))</f>
        <v/>
      </c>
      <c r="H509" s="42"/>
      <c r="I509" s="42" t="str">
        <f ca="1">IF(ISERROR(F502),"",_xlfn.TEXTJOIN("/",FALSE,Q509,T509))</f>
        <v/>
      </c>
      <c r="J509" s="42"/>
      <c r="K509" s="42" t="str">
        <f ca="1">IF(ISERROR(F502),"",_xlfn.TEXTJOIN("/",FALSE,R509,U509))</f>
        <v/>
      </c>
      <c r="L509" s="42"/>
      <c r="M509" s="7" t="str">
        <f ca="1">IF(ISERROR(F502),"",IF(ISTEXT(P509),IF(P509="A","Ab",IF(P509="D","Dt",IF(P509="UFM","UFM",IF(P509="NA","")))),IF(AND(ISBLANK(P509),ISBLANK(R509)),"",IF(P509&lt;0.3*S509,"F",IF(ISBLANK(R509),"",IF(ISTEXT(R509),R509,IF(R509&gt;=0.9*U509,"O",IF(R509&gt;=0.85*U509,"A+",IF(R509&gt;=0.8*U509,"A",IF(R509&gt;=0.7*U509,"B+",IF(R509&gt;=0.6*U509,"B",IF(R509&gt;=0.5*U509,"C",IF(R509&gt;=0.4*U509,"P",IF(R509&lt;0.4*U509,"F",R509))))))))))))))</f>
        <v/>
      </c>
      <c r="N509" s="8" t="str">
        <f t="shared" ca="1" si="52"/>
        <v/>
      </c>
      <c r="O509">
        <f>O508+1</f>
        <v>3</v>
      </c>
      <c r="P509" s="1" t="str">
        <f ca="1">IF(ISERROR(F502),"",IF(ISTEXT(VLOOKUP(B502,INDIRECT($F$8),6+(O509-1)*3)),(VLOOKUP(B502,INDIRECT($F$8),6+(O509-1)*3)),SUM(VLOOKUP(B502,INDIRECT($F$8),6+(O509-1)*3),IF(W517,W509,0))))</f>
        <v/>
      </c>
      <c r="Q509" s="1" t="str">
        <f ca="1">IF(ISERROR(F502),"",VLOOKUP(B502,INDIRECT($F$8),7+(O509-1)*3))</f>
        <v/>
      </c>
      <c r="R509" s="1" t="str">
        <f ca="1">IF(ISERROR(F502),"",SUM(P509:Q509))</f>
        <v/>
      </c>
      <c r="S509" s="1" t="str">
        <f ca="1">IF(ISERROR(F502),"",VLOOKUP(A502,INDIRECT($F$8),6+(O509-1)*3))</f>
        <v/>
      </c>
      <c r="T509" s="1" t="str">
        <f ca="1">IF(ISERROR(F502),"",VLOOKUP(A502,INDIRECT($F$8),7+(O509-1)*3))</f>
        <v/>
      </c>
      <c r="U509" s="1" t="str">
        <f ca="1">IF(ISERROR(F502),"",VLOOKUP(A502,INDIRECT($F$8),8+(O509-1)*3))</f>
        <v/>
      </c>
      <c r="V509" s="1" t="str">
        <f ca="1">IF(ISERROR(F502),"",IF(N509=0,A509,""))</f>
        <v/>
      </c>
      <c r="W509" s="1" t="str">
        <f ca="1">IF(ISERROR(F502),"",IF(ISTEXT(VLOOKUP(B502,INDIRECT($F$8),6+(O509-1)*3)),11,IF(VLOOKUP(B502,INDIRECT($F$8),6+(O509-1)*3)&lt;S509*0.3,IF(VLOOKUP(B502,INDIRECT($F$8),8+(O509-1)*3)&lt;U509*0.4,IF(AND(0.4*U509-VLOOKUP(B502,INDIRECT($F$8),8+(O509-1)*3)&lt;=5,0.3*S509-VLOOKUP(B502,INDIRECT($F$8),6+(O509-1)*3)&lt;=5),MAX(0.4*U509-VLOOKUP(B502,INDIRECT($F$8),8+(O509-1)*3),0.3*S509-VLOOKUP(B502,INDIRECT($F$8),6+(O509-1)*3)),11),IF(0.3*S509-VLOOKUP(B502,INDIRECT($F$8),6+(O509-1)*3)&lt;=5,0.3*S509-VLOOKUP(B502,INDIRECT($F$8),6+(O509-1)*3),11)),IF(VLOOKUP(B502,INDIRECT($F$8),8+(O509-1)*3)&lt;U509*0.4,IF(U509*0.4-VLOOKUP(B502,INDIRECT($F$8),8+(O509-1)*3)&lt;=5,U509*0.4-VLOOKUP(B502,INDIRECT($F$8),8+(O509-1)*3),11),0))))</f>
        <v/>
      </c>
      <c r="X509" s="1" t="str">
        <f ca="1">IF(ISERROR(F502),"",IF(W509=0,"",_xlfn.TEXTJOIN("",FALSE," G+",W509," in ",A509)))</f>
        <v/>
      </c>
    </row>
    <row r="510" spans="1:24" ht="13" customHeight="1" x14ac:dyDescent="0.2">
      <c r="A510" s="7" t="str">
        <f ca="1">IF(ISERROR(F502),"",VLOOKUP(C502,INDIRECT($F$8),6+(O510-1)*3,0))</f>
        <v/>
      </c>
      <c r="B510" s="41" t="str">
        <f ca="1">IF(ISERROR(F502),"",VLOOKUP(D502,INDIRECT($F$8),6+(O510-1)*3,0))</f>
        <v/>
      </c>
      <c r="C510" s="41"/>
      <c r="D510" s="41"/>
      <c r="E510" s="41"/>
      <c r="F510" s="7" t="str">
        <f ca="1">IF(ISERROR(F502),"",VLOOKUP(E502,INDIRECT($F$8),6+(O510-1)*3,0))</f>
        <v/>
      </c>
      <c r="G510" s="42" t="str">
        <f ca="1">IF(ISERROR(F502),"",_xlfn.TEXTJOIN("/",FALSE,P510,S510))</f>
        <v/>
      </c>
      <c r="H510" s="42"/>
      <c r="I510" s="42" t="str">
        <f ca="1">IF(ISERROR(F502),"",_xlfn.TEXTJOIN("/",FALSE,Q510,T510))</f>
        <v/>
      </c>
      <c r="J510" s="42"/>
      <c r="K510" s="42" t="str">
        <f ca="1">IF(ISERROR(F502),"",_xlfn.TEXTJOIN("/",FALSE,R510,U510))</f>
        <v/>
      </c>
      <c r="L510" s="42"/>
      <c r="M510" s="7" t="str">
        <f ca="1">IF(ISERROR(F502),"",IF(ISTEXT(P510),IF(P510="A","Ab",IF(P510="D","Dt",IF(P510="UFM","UFM",IF(P510="NA","")))),IF(AND(ISBLANK(P510),ISBLANK(R510)),"",IF(P510&lt;0.3*S510,"F",IF(ISBLANK(R510),"",IF(ISTEXT(R510),R510,IF(R510&gt;=0.9*U510,"O",IF(R510&gt;=0.85*U510,"A+",IF(R510&gt;=0.8*U510,"A",IF(R510&gt;=0.7*U510,"B+",IF(R510&gt;=0.6*U510,"B",IF(R510&gt;=0.5*U510,"C",IF(R510&gt;=0.4*U510,"P",IF(R510&lt;0.4*U510,"F",R510))))))))))))))</f>
        <v/>
      </c>
      <c r="N510" s="8" t="str">
        <f t="shared" ca="1" si="52"/>
        <v/>
      </c>
      <c r="O510">
        <f t="shared" ref="O510:O516" si="53">O509+1</f>
        <v>4</v>
      </c>
      <c r="P510" s="1" t="str">
        <f ca="1">IF(ISERROR(F502),"",IF(ISTEXT(VLOOKUP(B502,INDIRECT($F$8),6+(O510-1)*3)),(VLOOKUP(B502,INDIRECT($F$8),6+(O510-1)*3)),SUM(VLOOKUP(B502,INDIRECT($F$8),6+(O510-1)*3),IF(W517,W510,0))))</f>
        <v/>
      </c>
      <c r="Q510" s="1" t="str">
        <f ca="1">IF(ISERROR(F502),"",VLOOKUP(B502,INDIRECT($F$8),7+(O510-1)*3))</f>
        <v/>
      </c>
      <c r="R510" s="1" t="str">
        <f ca="1">IF(ISERROR(F502),"",SUM(P510:Q510))</f>
        <v/>
      </c>
      <c r="S510" s="1" t="str">
        <f ca="1">IF(ISERROR(F502),"",VLOOKUP(A502,INDIRECT($F$8),6+(O510-1)*3))</f>
        <v/>
      </c>
      <c r="T510" s="1" t="str">
        <f ca="1">IF(ISERROR(F502),"",VLOOKUP(A502,INDIRECT($F$8),7+(O510-1)*3))</f>
        <v/>
      </c>
      <c r="U510" s="1" t="str">
        <f ca="1">IF(ISERROR(F502),"",VLOOKUP(A502,INDIRECT($F$8),8+(O510-1)*3))</f>
        <v/>
      </c>
      <c r="V510" s="1" t="str">
        <f ca="1">IF(ISERROR(F502),"",IF(N510=0,A510,""))</f>
        <v/>
      </c>
      <c r="W510" s="1" t="str">
        <f ca="1">IF(ISERROR(F502),"",IF(ISTEXT(VLOOKUP(B502,INDIRECT($F$8),6+(O510-1)*3)),11,IF(VLOOKUP(B502,INDIRECT($F$8),6+(O510-1)*3)&lt;S510*0.3,IF(VLOOKUP(B502,INDIRECT($F$8),8+(O510-1)*3)&lt;U510*0.4,IF(AND(0.4*U510-VLOOKUP(B502,INDIRECT($F$8),8+(O510-1)*3)&lt;=5,0.3*S510-VLOOKUP(B502,INDIRECT($F$8),6+(O510-1)*3)&lt;=5),MAX(0.4*U510-VLOOKUP(B502,INDIRECT($F$8),8+(O510-1)*3),0.3*S510-VLOOKUP(B502,INDIRECT($F$8),6+(O510-1)*3)),11),IF(0.3*S510-VLOOKUP(B502,INDIRECT($F$8),6+(O510-1)*3)&lt;=5,0.3*S510-VLOOKUP(B502,INDIRECT($F$8),6+(O510-1)*3),11)),IF(VLOOKUP(B502,INDIRECT($F$8),8+(O510-1)*3)&lt;U510*0.4,IF(U510*0.4-VLOOKUP(B502,INDIRECT($F$8),8+(O510-1)*3)&lt;=5,U510*0.4-VLOOKUP(B502,INDIRECT($F$8),8+(O510-1)*3),11),0))))</f>
        <v/>
      </c>
      <c r="X510" s="1" t="str">
        <f ca="1">IF(ISERROR(F502),"",IF(W510=0,"",_xlfn.TEXTJOIN("",FALSE," G+",W510," in ",A510)))</f>
        <v/>
      </c>
    </row>
    <row r="511" spans="1:24" ht="13" customHeight="1" x14ac:dyDescent="0.2">
      <c r="A511" s="7" t="str">
        <f ca="1">IF(ISERROR(F502),"",VLOOKUP(C502,INDIRECT($F$8),6+(O511-1)*3,0))</f>
        <v/>
      </c>
      <c r="B511" s="41" t="str">
        <f ca="1">IF(ISERROR(F502),"",VLOOKUP(D502,INDIRECT($F$8),6+(O511-1)*3,0))</f>
        <v/>
      </c>
      <c r="C511" s="41"/>
      <c r="D511" s="41"/>
      <c r="E511" s="41"/>
      <c r="F511" s="7" t="str">
        <f ca="1">IF(ISERROR(F502),"",VLOOKUP(E502,INDIRECT($F$8),6+(O511-1)*3,0))</f>
        <v/>
      </c>
      <c r="G511" s="42" t="str">
        <f ca="1">IF(ISERROR(F502),"",_xlfn.TEXTJOIN("/",FALSE,P511,S511))</f>
        <v/>
      </c>
      <c r="H511" s="42"/>
      <c r="I511" s="42" t="str">
        <f ca="1">IF(ISERROR(F502),"",_xlfn.TEXTJOIN("/",FALSE,Q511,T511))</f>
        <v/>
      </c>
      <c r="J511" s="42"/>
      <c r="K511" s="42" t="str">
        <f ca="1">IF(ISERROR(F502),"",_xlfn.TEXTJOIN("/",FALSE,R511,U511))</f>
        <v/>
      </c>
      <c r="L511" s="42"/>
      <c r="M511" s="7" t="str">
        <f ca="1">IF(ISERROR(F502),"",IF(ISTEXT(P511),IF(P511="A","Ab",IF(P511="D","Dt",IF(P511="UFM","UFM",IF(P511="NA","")))),IF(AND(ISBLANK(P511),ISBLANK(R511)),"",IF(P511&lt;0.3*S511,"F",IF(ISBLANK(R511),"",IF(ISTEXT(R511),R511,IF(R511&gt;=0.9*U511,"O",IF(R511&gt;=0.85*U511,"A+",IF(R511&gt;=0.8*U511,"A",IF(R511&gt;=0.7*U511,"B+",IF(R511&gt;=0.6*U511,"B",IF(R511&gt;=0.5*U511,"C",IF(R511&gt;=0.4*U511,"P",IF(R511&lt;0.4*U511,"F",R511))))))))))))))</f>
        <v/>
      </c>
      <c r="N511" s="8" t="str">
        <f t="shared" ca="1" si="52"/>
        <v/>
      </c>
      <c r="O511">
        <f t="shared" si="53"/>
        <v>5</v>
      </c>
      <c r="P511" s="1" t="str">
        <f ca="1">IF(ISERROR(F502),"",IF(ISTEXT(VLOOKUP(B502,INDIRECT($F$8),6+(O511-1)*3)),(VLOOKUP(B502,INDIRECT($F$8),6+(O511-1)*3)),SUM(VLOOKUP(B502,INDIRECT($F$8),6+(O511-1)*3),IF(W517,W511,0))))</f>
        <v/>
      </c>
      <c r="Q511" s="1" t="str">
        <f ca="1">IF(ISERROR(F502),"",VLOOKUP(B502,INDIRECT($F$8),7+(O511-1)*3))</f>
        <v/>
      </c>
      <c r="R511" s="1" t="str">
        <f ca="1">IF(ISERROR(F502),"",SUM(P511:Q511))</f>
        <v/>
      </c>
      <c r="S511" s="1" t="str">
        <f ca="1">IF(ISERROR(F502),"",VLOOKUP(A502,INDIRECT($F$8),6+(O511-1)*3))</f>
        <v/>
      </c>
      <c r="T511" s="1" t="str">
        <f ca="1">IF(ISERROR(F502),"",VLOOKUP(A502,INDIRECT($F$8),7+(O511-1)*3))</f>
        <v/>
      </c>
      <c r="U511" s="1" t="str">
        <f ca="1">IF(ISERROR(F502),"",VLOOKUP(A502,INDIRECT($F$8),8+(O511-1)*3))</f>
        <v/>
      </c>
      <c r="V511" s="1" t="str">
        <f ca="1">IF(ISERROR(F502),"",IF(N511=0,A511,""))</f>
        <v/>
      </c>
      <c r="W511" s="1" t="str">
        <f ca="1">IF(ISERROR(F502),"",IF(ISTEXT(VLOOKUP(B502,INDIRECT($F$8),6+(O511-1)*3)),11,IF(VLOOKUP(B502,INDIRECT($F$8),6+(O511-1)*3)&lt;S511*0.3,IF(VLOOKUP(B502,INDIRECT($F$8),8+(O511-1)*3)&lt;U511*0.4,IF(AND(0.4*U511-VLOOKUP(B502,INDIRECT($F$8),8+(O511-1)*3)&lt;=5,0.3*S511-VLOOKUP(B502,INDIRECT($F$8),6+(O511-1)*3)&lt;=5),MAX(0.4*U511-VLOOKUP(B502,INDIRECT($F$8),8+(O511-1)*3),0.3*S511-VLOOKUP(B502,INDIRECT($F$8),6+(O511-1)*3)),11),IF(0.3*S511-VLOOKUP(B502,INDIRECT($F$8),6+(O511-1)*3)&lt;=5,0.3*S511-VLOOKUP(B502,INDIRECT($F$8),6+(O511-1)*3),11)),IF(VLOOKUP(B502,INDIRECT($F$8),8+(O511-1)*3)&lt;U511*0.4,IF(U511*0.4-VLOOKUP(B502,INDIRECT($F$8),8+(O511-1)*3)&lt;=5,U511*0.4-VLOOKUP(B502,INDIRECT($F$8),8+(O511-1)*3),11),0))))</f>
        <v/>
      </c>
      <c r="X511" s="1" t="str">
        <f ca="1">IF(ISERROR(F502),"",IF(W511=0,"",_xlfn.TEXTJOIN("",FALSE," G+",W511," in ",A511)))</f>
        <v/>
      </c>
    </row>
    <row r="512" spans="1:24" ht="13" customHeight="1" x14ac:dyDescent="0.2">
      <c r="A512" s="7" t="str">
        <f ca="1">IF(ISERROR(F502),"",VLOOKUP(C502,INDIRECT($F$8),6+(O512-1)*3,0))</f>
        <v/>
      </c>
      <c r="B512" s="41" t="str">
        <f ca="1">IF(ISERROR(F502),"",VLOOKUP(D502,INDIRECT($F$8),6+(O512-1)*3,0))</f>
        <v/>
      </c>
      <c r="C512" s="41"/>
      <c r="D512" s="41"/>
      <c r="E512" s="41"/>
      <c r="F512" s="7" t="str">
        <f ca="1">IF(ISERROR(F502),"",VLOOKUP(E502,INDIRECT($F$8),6+(O512-1)*3,0))</f>
        <v/>
      </c>
      <c r="G512" s="42" t="str">
        <f ca="1">IF(ISERROR(F502),"",_xlfn.TEXTJOIN("/",FALSE,P512,S512))</f>
        <v/>
      </c>
      <c r="H512" s="42"/>
      <c r="I512" s="42" t="str">
        <f ca="1">IF(ISERROR(F502),"",_xlfn.TEXTJOIN("/",FALSE,Q512,T512))</f>
        <v/>
      </c>
      <c r="J512" s="42"/>
      <c r="K512" s="42" t="str">
        <f ca="1">IF(ISERROR(F502),"",_xlfn.TEXTJOIN("/",FALSE,R512,U512))</f>
        <v/>
      </c>
      <c r="L512" s="42"/>
      <c r="M512" s="7" t="str">
        <f ca="1">IF(ISERROR(F502),"",IF(ISTEXT(P512),IF(P512="A","Ab",IF(P512="D","Dt",IF(P512="UFM","UFM",IF(P512="NA","")))),IF(AND(ISBLANK(P512),ISBLANK(R512)),"",IF(P512&lt;0.3*S512,"F",IF(ISBLANK(R512),"",IF(ISTEXT(R512),R512,IF(R512&gt;=0.9*U512,"O",IF(R512&gt;=0.85*U512,"A+",IF(R512&gt;=0.8*U512,"A",IF(R512&gt;=0.7*U512,"B+",IF(R512&gt;=0.6*U512,"B",IF(R512&gt;=0.5*U512,"C",IF(R512&gt;=0.4*U512,"P",IF(R512&lt;0.4*U512,"F",R512))))))))))))))</f>
        <v/>
      </c>
      <c r="N512" s="8" t="str">
        <f t="shared" ca="1" si="52"/>
        <v/>
      </c>
      <c r="O512">
        <f t="shared" si="53"/>
        <v>6</v>
      </c>
      <c r="P512" s="1" t="str">
        <f ca="1">IF(ISERROR(F502),"",IF(ISTEXT(VLOOKUP(B502,INDIRECT($F$8),6+(O512-1)*3)),(VLOOKUP(B502,INDIRECT($F$8),6+(O512-1)*3)),SUM(VLOOKUP(B502,INDIRECT($F$8),6+(O512-1)*3),IF(W517,W512,0))))</f>
        <v/>
      </c>
      <c r="Q512" s="1" t="str">
        <f ca="1">IF(ISERROR(F502),"",VLOOKUP(B502,INDIRECT($F$8),7+(O512-1)*3))</f>
        <v/>
      </c>
      <c r="R512" s="1" t="str">
        <f ca="1">IF(ISERROR(F502),"",SUM(P512:Q512))</f>
        <v/>
      </c>
      <c r="S512" s="1" t="str">
        <f ca="1">IF(ISERROR(F502),"",VLOOKUP(A502,INDIRECT($F$8),6+(O512-1)*3))</f>
        <v/>
      </c>
      <c r="T512" s="1" t="str">
        <f ca="1">IF(ISERROR(F502),"",VLOOKUP(A502,INDIRECT($F$8),7+(O512-1)*3))</f>
        <v/>
      </c>
      <c r="U512" s="1" t="str">
        <f ca="1">IF(ISERROR(F502),"",VLOOKUP(A502,INDIRECT($F$8),8+(O512-1)*3))</f>
        <v/>
      </c>
      <c r="V512" s="1" t="str">
        <f ca="1">IF(ISERROR(F502),"",IF(N512=0,A512,""))</f>
        <v/>
      </c>
      <c r="W512" s="1" t="str">
        <f ca="1">IF(ISERROR(F502),"",IF(ISTEXT(VLOOKUP(B502,INDIRECT($F$8),6+(O512-1)*3)),11,IF(VLOOKUP(B502,INDIRECT($F$8),6+(O512-1)*3)&lt;S512*0.3,IF(VLOOKUP(B502,INDIRECT($F$8),8+(O512-1)*3)&lt;U512*0.4,IF(AND(0.4*U512-VLOOKUP(B502,INDIRECT($F$8),8+(O512-1)*3)&lt;=5,0.3*S512-VLOOKUP(B502,INDIRECT($F$8),6+(O512-1)*3)&lt;=5),MAX(0.4*U512-VLOOKUP(B502,INDIRECT($F$8),8+(O512-1)*3),0.3*S512-VLOOKUP(B502,INDIRECT($F$8),6+(O512-1)*3)),11),IF(0.3*S512-VLOOKUP(B502,INDIRECT($F$8),6+(O512-1)*3)&lt;=5,0.3*S512-VLOOKUP(B502,INDIRECT($F$8),6+(O512-1)*3),11)),IF(VLOOKUP(B502,INDIRECT($F$8),8+(O512-1)*3)&lt;U512*0.4,IF(U512*0.4-VLOOKUP(B502,INDIRECT($F$8),8+(O512-1)*3)&lt;=5,U512*0.4-VLOOKUP(B502,INDIRECT($F$8),8+(O512-1)*3),11),0))))</f>
        <v/>
      </c>
      <c r="X512" s="1" t="str">
        <f ca="1">IF(ISERROR(F502),"",IF(W512=0,"",_xlfn.TEXTJOIN("",FALSE," G+",W512," in ",A512)))</f>
        <v/>
      </c>
    </row>
    <row r="513" spans="1:24" ht="13" customHeight="1" x14ac:dyDescent="0.2">
      <c r="A513" s="7" t="str">
        <f ca="1">IF(ISERROR(F502),"",VLOOKUP(C502,INDIRECT($F$8),6+(O513-1)*3,0))</f>
        <v/>
      </c>
      <c r="B513" s="41" t="str">
        <f ca="1">IF(ISERROR(F502),"",VLOOKUP(D502,INDIRECT($F$8),6+(O513-1)*3,0))</f>
        <v/>
      </c>
      <c r="C513" s="41"/>
      <c r="D513" s="41"/>
      <c r="E513" s="41"/>
      <c r="F513" s="7" t="str">
        <f ca="1">IF(ISERROR(F502),"",VLOOKUP(E502,INDIRECT($F$8),6+(O513-1)*3,0))</f>
        <v/>
      </c>
      <c r="G513" s="42" t="str">
        <f ca="1">IF(ISERROR(F502),"",_xlfn.TEXTJOIN("/",FALSE,P513,S513))</f>
        <v/>
      </c>
      <c r="H513" s="42"/>
      <c r="I513" s="42" t="str">
        <f ca="1">IF(ISERROR(F502),"",_xlfn.TEXTJOIN("/",FALSE,Q513,T513))</f>
        <v/>
      </c>
      <c r="J513" s="42"/>
      <c r="K513" s="42" t="str">
        <f ca="1">IF(ISERROR(F502),"",_xlfn.TEXTJOIN("/",FALSE,R513,U513))</f>
        <v/>
      </c>
      <c r="L513" s="42"/>
      <c r="M513" s="7" t="str">
        <f ca="1">IF(ISERROR(F502),"",IF(ISTEXT(P513),IF(P513="A","Ab",IF(P513="D","Dt",IF(P513="UFM","UFM",IF(P513="NA","")))),IF(AND(ISBLANK(P513),ISBLANK(R513)),"",IF(P513&lt;0.3*S513,"F",IF(ISBLANK(R513),"",IF(ISTEXT(R513),R513,IF(R513&gt;=0.9*U513,"O",IF(R513&gt;=0.85*U513,"A+",IF(R513&gt;=0.8*U513,"A",IF(R513&gt;=0.7*U513,"B+",IF(R513&gt;=0.6*U513,"B",IF(R513&gt;=0.5*U513,"C",IF(R513&gt;=0.4*U513,"P",IF(R513&lt;0.4*U513,"F",R513))))))))))))))</f>
        <v/>
      </c>
      <c r="N513" s="8" t="str">
        <f t="shared" ca="1" si="52"/>
        <v/>
      </c>
      <c r="O513">
        <f t="shared" si="53"/>
        <v>7</v>
      </c>
      <c r="P513" s="1" t="str">
        <f ca="1">IF(ISERROR(F502),"",IF(ISTEXT(VLOOKUP(B502,INDIRECT($F$8),6+(O513-1)*3)),(VLOOKUP(B502,INDIRECT($F$8),6+(O513-1)*3)),SUM(VLOOKUP(B502,INDIRECT($F$8),6+(O513-1)*3),IF(W517,W513,0))))</f>
        <v/>
      </c>
      <c r="Q513" s="1" t="str">
        <f ca="1">IF(ISERROR(F502),"",VLOOKUP(B502,INDIRECT($F$8),7+(O513-1)*3))</f>
        <v/>
      </c>
      <c r="R513" s="1" t="str">
        <f ca="1">IF(ISERROR(F502),"",SUM(P513:Q513))</f>
        <v/>
      </c>
      <c r="S513" s="1" t="str">
        <f ca="1">IF(ISERROR(F502),"",VLOOKUP(A502,INDIRECT($F$8),6+(O513-1)*3))</f>
        <v/>
      </c>
      <c r="T513" s="1" t="str">
        <f ca="1">IF(ISERROR(F502),"",VLOOKUP(A502,INDIRECT($F$8),7+(O513-1)*3))</f>
        <v/>
      </c>
      <c r="U513" s="1" t="str">
        <f ca="1">IF(ISERROR(F502),"",VLOOKUP(A502,INDIRECT($F$8),8+(O513-1)*3))</f>
        <v/>
      </c>
      <c r="V513" s="1" t="str">
        <f ca="1">IF(ISERROR(F502),"",IF(N513=0,A513,""))</f>
        <v/>
      </c>
      <c r="W513" s="1" t="str">
        <f ca="1">IF(ISERROR(F502),"",IF(ISTEXT(VLOOKUP(B502,INDIRECT($F$8),6+(O513-1)*3)),11,IF(VLOOKUP(B502,INDIRECT($F$8),6+(O513-1)*3)&lt;S513*0.3,IF(VLOOKUP(B502,INDIRECT($F$8),8+(O513-1)*3)&lt;U513*0.4,IF(AND(0.4*U513-VLOOKUP(B502,INDIRECT($F$8),8+(O513-1)*3)&lt;=5,0.3*S513-VLOOKUP(B502,INDIRECT($F$8),6+(O513-1)*3)&lt;=5),MAX(0.4*U513-VLOOKUP(B502,INDIRECT($F$8),8+(O513-1)*3),0.3*S513-VLOOKUP(B502,INDIRECT($F$8),6+(O513-1)*3)),11),IF(0.3*S513-VLOOKUP(B502,INDIRECT($F$8),6+(O513-1)*3)&lt;=5,0.3*S513-VLOOKUP(B502,INDIRECT($F$8),6+(O513-1)*3),11)),IF(VLOOKUP(B502,INDIRECT($F$8),8+(O513-1)*3)&lt;U513*0.4,IF(U513*0.4-VLOOKUP(B502,INDIRECT($F$8),8+(O513-1)*3)&lt;=5,U513*0.4-VLOOKUP(B502,INDIRECT($F$8),8+(O513-1)*3),11),0))))</f>
        <v/>
      </c>
      <c r="X513" s="1" t="str">
        <f ca="1">IF(ISERROR(F502),"",IF(W513=0,"",_xlfn.TEXTJOIN("",FALSE," G+",W513," in ",A513)))</f>
        <v/>
      </c>
    </row>
    <row r="514" spans="1:24" ht="13" customHeight="1" x14ac:dyDescent="0.2">
      <c r="A514" s="7" t="str">
        <f ca="1">IF(ISERROR(F502),"",VLOOKUP(C502,INDIRECT($F$8),6+(O514-1)*3,0))</f>
        <v/>
      </c>
      <c r="B514" s="41" t="str">
        <f ca="1">IF(ISERROR(F502),"",VLOOKUP(D502,INDIRECT($F$8),6+(O514-1)*3-Z514,0))</f>
        <v/>
      </c>
      <c r="C514" s="41"/>
      <c r="D514" s="41"/>
      <c r="E514" s="41"/>
      <c r="F514" s="7" t="str">
        <f ca="1">IF(ISERROR(F502),"",VLOOKUP(E502,INDIRECT($F$8),6+(O514-1)*3,0))</f>
        <v/>
      </c>
      <c r="G514" s="42" t="str">
        <f ca="1">IF(ISERROR(F502),"",_xlfn.TEXTJOIN("/",FALSE,P514,S514))</f>
        <v/>
      </c>
      <c r="H514" s="42"/>
      <c r="I514" s="42" t="str">
        <f ca="1">IF(ISERROR(F502),"",_xlfn.TEXTJOIN("/",FALSE,Q514,T514))</f>
        <v/>
      </c>
      <c r="J514" s="42"/>
      <c r="K514" s="42" t="str">
        <f ca="1">IF(ISERROR(F502),"",_xlfn.TEXTJOIN("/",FALSE,R514,U514))</f>
        <v/>
      </c>
      <c r="L514" s="42"/>
      <c r="M514" s="7" t="str">
        <f ca="1">IF(ISERROR(F502),"",IF(ISTEXT(P514),IF(P514="A","Ab",IF(P514="D","Dt",IF(P514="UFM","UFM",IF(P514="NA","")))),IF(AND(ISBLANK(P514),ISBLANK(R514)),"",IF(P514&lt;0.3*S514,"F",IF(ISBLANK(R514),"",IF(ISTEXT(R514),R514,IF(R514&gt;=0.9*U514,"O",IF(R514&gt;=0.85*U514,"A+",IF(R514&gt;=0.8*U514,"A",IF(R514&gt;=0.7*U514,"B+",IF(R514&gt;=0.6*U514,"B",IF(R514&gt;=0.5*U514,"C",IF(R514&gt;=0.4*U514,"P",IF(R514&lt;0.4*U514,"F",R514))))))))))))))</f>
        <v/>
      </c>
      <c r="N514" s="8" t="str">
        <f t="shared" ca="1" si="52"/>
        <v/>
      </c>
      <c r="O514">
        <f t="shared" si="53"/>
        <v>8</v>
      </c>
      <c r="P514" s="1" t="str">
        <f ca="1">IF(ISERROR(F502),"",IF(ISTEXT(VLOOKUP(B502,INDIRECT($F$8),6+(O514-1)*3)),(VLOOKUP(B502,INDIRECT($F$8),6+(O514-1)*3)),SUM(VLOOKUP(B502,INDIRECT($F$8),6+(O514-1)*3),IF(W517,W514,0))))</f>
        <v/>
      </c>
      <c r="Q514" s="1" t="str">
        <f ca="1">IF(ISERROR(F502),"",VLOOKUP(B502,INDIRECT($F$8),7+(O514-1)*3))</f>
        <v/>
      </c>
      <c r="R514" s="1" t="str">
        <f ca="1">IF(ISERROR(F502),"",SUM(P514:Q514))</f>
        <v/>
      </c>
      <c r="S514" s="1" t="str">
        <f ca="1">IF(ISERROR(F502),"",VLOOKUP(A502,INDIRECT($F$8),6+(O514-1)*3))</f>
        <v/>
      </c>
      <c r="T514" s="1" t="str">
        <f ca="1">IF(ISERROR(F502),"",VLOOKUP(A502,INDIRECT($F$8),7+(O514-1)*3))</f>
        <v/>
      </c>
      <c r="U514" s="1" t="str">
        <f ca="1">IF(ISERROR(F502),"",VLOOKUP(A502,INDIRECT($F$8),8+(O514-1)*3))</f>
        <v/>
      </c>
      <c r="V514" s="1" t="str">
        <f ca="1">IF(ISERROR(F502),"",IF(N514=0,A514,""))</f>
        <v/>
      </c>
      <c r="W514" s="1" t="str">
        <f ca="1">IF(ISERROR(F502),"",IF(ISTEXT(VLOOKUP(B502,INDIRECT($F$8),6+(O514-1)*3)),11,IF(VLOOKUP(B502,INDIRECT($F$8),6+(O514-1)*3)&lt;S514*0.3,IF(VLOOKUP(B502,INDIRECT($F$8),8+(O514-1)*3)&lt;U514*0.4,IF(AND(0.4*U514-VLOOKUP(B502,INDIRECT($F$8),8+(O514-1)*3)&lt;=5,0.3*S514-VLOOKUP(B502,INDIRECT($F$8),6+(O514-1)*3)&lt;=5),MAX(0.4*U514-VLOOKUP(B502,INDIRECT($F$8),8+(O514-1)*3),0.3*S514-VLOOKUP(B502,INDIRECT($F$8),6+(O514-1)*3)),11),IF(0.3*S514-VLOOKUP(B502,INDIRECT($F$8),6+(O514-1)*3)&lt;=5,0.3*S514-VLOOKUP(B502,INDIRECT($F$8),6+(O514-1)*3),11)),IF(VLOOKUP(B502,INDIRECT($F$8),8+(O514-1)*3)&lt;U514*0.4,IF(U514*0.4-VLOOKUP(B502,INDIRECT($F$8),8+(O514-1)*3)&lt;=5,U514*0.4-VLOOKUP(B502,INDIRECT($F$8),8+(O514-1)*3),11),0))))</f>
        <v/>
      </c>
      <c r="X514" s="1" t="str">
        <f ca="1">IF(ISERROR(F502),"",IF(W514=0,"",_xlfn.TEXTJOIN("",FALSE," G+",W514," in ",A514)))</f>
        <v/>
      </c>
    </row>
    <row r="515" spans="1:24" ht="13" customHeight="1" x14ac:dyDescent="0.2">
      <c r="A515" s="7" t="str">
        <f ca="1">IF(ISERROR(F502),"",VLOOKUP(C502,INDIRECT($F$8),6+(O515-1)*3,0))</f>
        <v/>
      </c>
      <c r="B515" s="41" t="str">
        <f ca="1">IF(ISERROR(F502),"",VLOOKUP(D502,INDIRECT($F$8),6+(O515-1)*3-Z515,0))</f>
        <v/>
      </c>
      <c r="C515" s="41"/>
      <c r="D515" s="41"/>
      <c r="E515" s="41"/>
      <c r="F515" s="7" t="str">
        <f ca="1">IF(ISERROR(F502),"",VLOOKUP(E502,INDIRECT($F$8),6+(O515-1)*3,0))</f>
        <v/>
      </c>
      <c r="G515" s="42" t="str">
        <f ca="1">IF(ISERROR(F502),"",_xlfn.TEXTJOIN("/",FALSE,P515,S515))</f>
        <v/>
      </c>
      <c r="H515" s="42"/>
      <c r="I515" s="42" t="str">
        <f ca="1">IF(ISERROR(F502),"",_xlfn.TEXTJOIN("/",FALSE,Q515,T515))</f>
        <v/>
      </c>
      <c r="J515" s="42"/>
      <c r="K515" s="42" t="str">
        <f ca="1">IF(ISERROR(F502),"",_xlfn.TEXTJOIN("/",FALSE,R515,U515))</f>
        <v/>
      </c>
      <c r="L515" s="42"/>
      <c r="M515" s="7" t="str">
        <f ca="1">IF(ISERROR(F502),"",IF(ISTEXT(P515),IF(P515="A","Ab",IF(P515="D","Dt",IF(P515="UFM","UFM",IF(P515="NA","")))),IF(AND(ISBLANK(P515),ISBLANK(R515)),"",IF(P515&lt;0.3*S515,"F",IF(ISBLANK(R515),"",IF(ISTEXT(R515),R515,IF(R515&gt;=0.9*U515,"O",IF(R515&gt;=0.85*U515,"A+",IF(R515&gt;=0.8*U515,"A",IF(R515&gt;=0.7*U515,"B+",IF(R515&gt;=0.6*U515,"B",IF(R515&gt;=0.5*U515,"C",IF(R515&gt;=0.4*U515,"P",IF(R515&lt;0.4*U515,"F",R515))))))))))))))</f>
        <v/>
      </c>
      <c r="N515" s="8" t="str">
        <f t="shared" ca="1" si="52"/>
        <v/>
      </c>
      <c r="O515">
        <f t="shared" si="53"/>
        <v>9</v>
      </c>
      <c r="P515" s="1" t="str">
        <f ca="1">IF(ISERROR(F502),"",IF(ISTEXT(VLOOKUP(B502,INDIRECT($F$8),6+(O515-1)*3)),(VLOOKUP(B502,INDIRECT($F$8),6+(O515-1)*3)),SUM(VLOOKUP(B502,INDIRECT($F$8),6+(O515-1)*3),IF(W517,W515,0))))</f>
        <v/>
      </c>
      <c r="Q515" s="1" t="str">
        <f ca="1">IF(ISERROR(F502),"",VLOOKUP(B502,INDIRECT($F$8),7+(O515-1)*3))</f>
        <v/>
      </c>
      <c r="R515" s="1" t="str">
        <f ca="1">IF(ISERROR(F502),"",SUM(P515:Q515))</f>
        <v/>
      </c>
      <c r="S515" s="1" t="str">
        <f ca="1">IF(ISERROR(F502),"",VLOOKUP(A502,INDIRECT($F$8),6+(O515-1)*3))</f>
        <v/>
      </c>
      <c r="T515" s="1" t="str">
        <f ca="1">IF(ISERROR(F502),"",VLOOKUP(A502,INDIRECT($F$8),7+(O515-1)*3))</f>
        <v/>
      </c>
      <c r="U515" s="1" t="str">
        <f ca="1">IF(ISERROR(F502),"",VLOOKUP(A502,INDIRECT($F$8),8+(O515-1)*3))</f>
        <v/>
      </c>
      <c r="V515" s="1" t="str">
        <f ca="1">IF(ISERROR(F502),"",IF(N515=0,A515,""))</f>
        <v/>
      </c>
      <c r="W515" s="1" t="str">
        <f ca="1">IF(ISERROR(F502),"",IF(ISTEXT(VLOOKUP(B502,INDIRECT($F$8),6+(O515-1)*3)),11,IF(VLOOKUP(B502,INDIRECT($F$8),6+(O515-1)*3)&lt;S515*0.3,IF(VLOOKUP(B502,INDIRECT($F$8),8+(O515-1)*3)&lt;U515*0.4,IF(AND(0.4*U515-VLOOKUP(B502,INDIRECT($F$8),8+(O515-1)*3)&lt;=5,0.3*S515-VLOOKUP(B502,INDIRECT($F$8),6+(O515-1)*3)&lt;=5),MAX(0.4*U515-VLOOKUP(B502,INDIRECT($F$8),8+(O515-1)*3),0.3*S515-VLOOKUP(B502,INDIRECT($F$8),6+(O515-1)*3)),11),IF(0.3*S515-VLOOKUP(B502,INDIRECT($F$8),6+(O515-1)*3)&lt;=5,0.3*S515-VLOOKUP(B502,INDIRECT($F$8),6+(O515-1)*3),11)),IF(VLOOKUP(B502,INDIRECT($F$8),8+(O515-1)*3)&lt;U515*0.4,IF(U515*0.4-VLOOKUP(B502,INDIRECT($F$8),8+(O515-1)*3)&lt;=5,U515*0.4-VLOOKUP(B502,INDIRECT($F$8),8+(O515-1)*3),11),0))))</f>
        <v/>
      </c>
      <c r="X515" s="1" t="str">
        <f ca="1">IF(ISERROR(F502),"",IF(W515=0,"",_xlfn.TEXTJOIN("",FALSE," G+",W515," in ",A515)))</f>
        <v/>
      </c>
    </row>
    <row r="516" spans="1:24" ht="13" customHeight="1" x14ac:dyDescent="0.2">
      <c r="A516" s="7" t="str">
        <f ca="1">IF(ISERROR(F502),"",VLOOKUP(C502,INDIRECT($F$8),6+(O516-1)*3,0))</f>
        <v/>
      </c>
      <c r="B516" s="41" t="str">
        <f ca="1">IF(ISERROR(F502),"",VLOOKUP(D502,INDIRECT($F$8),6+(O516-1)*3,0))</f>
        <v/>
      </c>
      <c r="C516" s="41"/>
      <c r="D516" s="41"/>
      <c r="E516" s="41"/>
      <c r="F516" s="7" t="str">
        <f ca="1">IF(ISERROR(F502),"",VLOOKUP(E502,INDIRECT($F$8),6+(O516-1)*3,0))</f>
        <v/>
      </c>
      <c r="G516" s="42" t="str">
        <f ca="1">IF(ISERROR(F502),"",_xlfn.TEXTJOIN("/",FALSE,P516,S516))</f>
        <v/>
      </c>
      <c r="H516" s="42"/>
      <c r="I516" s="42" t="str">
        <f ca="1">IF(ISERROR(F502),"",_xlfn.TEXTJOIN("/",FALSE,Q516,T516))</f>
        <v/>
      </c>
      <c r="J516" s="42"/>
      <c r="K516" s="42" t="str">
        <f ca="1">IF(ISERROR(F502),"",_xlfn.TEXTJOIN("/",FALSE,R516,U516))</f>
        <v/>
      </c>
      <c r="L516" s="42"/>
      <c r="M516" s="7" t="str">
        <f ca="1">IF(ISERROR(F502),"",IF(ISTEXT(P516),IF(P516="A","Ab",IF(P516="D","Dt",IF(P516="UFM","UFM",IF(P516="NA","")))),IF(AND(ISBLANK(P516),ISBLANK(R516)),"",IF(P516&lt;0.3*S516,"F",IF(ISBLANK(R516),"",IF(ISTEXT(R516),R516,IF(R516&gt;=0.9*U516,"O",IF(R516&gt;=0.85*U516,"A+",IF(R516&gt;=0.8*U516,"A",IF(R516&gt;=0.7*U516,"B+",IF(R516&gt;=0.6*U516,"B",IF(R516&gt;=0.5*U516,"C",IF(R516&gt;=0.4*U516,"P",IF(R516&lt;0.4*U516,"F",R516))))))))))))))</f>
        <v/>
      </c>
      <c r="N516" s="8" t="str">
        <f t="shared" ca="1" si="52"/>
        <v/>
      </c>
      <c r="O516">
        <f t="shared" si="53"/>
        <v>10</v>
      </c>
      <c r="P516" s="1" t="str">
        <f ca="1">IF(ISERROR(F502),"",IF(ISTEXT(VLOOKUP(B502,INDIRECT($F$8),6+(O516-1)*3)),(VLOOKUP(B502,INDIRECT($F$8),6+(O516-1)*3)),SUM(VLOOKUP(B502,INDIRECT($F$8),6+(O516-1)*3),IF(W517,W516,0))))</f>
        <v/>
      </c>
      <c r="Q516" s="1" t="str">
        <f ca="1">IF(ISERROR(F502),"",VLOOKUP(B502,INDIRECT($F$8),7+(O516-1)*3))</f>
        <v/>
      </c>
      <c r="R516" s="1" t="str">
        <f ca="1">IF(ISERROR(F502),"",SUM(P516:Q516))</f>
        <v/>
      </c>
      <c r="S516" s="1" t="str">
        <f ca="1">IF(ISERROR(F502),"",VLOOKUP(A502,INDIRECT($F$8),6+(O516-1)*3))</f>
        <v/>
      </c>
      <c r="T516" s="1" t="str">
        <f ca="1">IF(ISERROR(F502),"",VLOOKUP(A502,INDIRECT($F$8),7+(O516-1)*3))</f>
        <v/>
      </c>
      <c r="U516" s="1" t="str">
        <f ca="1">IF(ISERROR(F502),"",VLOOKUP(A502,INDIRECT($F$8),8+(O516-1)*3))</f>
        <v/>
      </c>
      <c r="V516" s="1" t="str">
        <f ca="1">IF(ISERROR(F502),"",IF(N516=0,A516,""))</f>
        <v/>
      </c>
      <c r="W516" s="1" t="str">
        <f ca="1">IF(ISERROR(F502),"",IF(ISTEXT(VLOOKUP(B502,INDIRECT($F$8),6+(O516-1)*3)),11,IF(VLOOKUP(B502,INDIRECT($F$8),6+(O516-1)*3)&lt;S516*0.3,IF(VLOOKUP(B502,INDIRECT($F$8),8+(O516-1)*3)&lt;U516*0.4,IF(AND(0.4*U516-VLOOKUP(B502,INDIRECT($F$8),8+(O516-1)*3)&lt;=5,0.3*S516-VLOOKUP(B502,INDIRECT($F$8),6+(O516-1)*3)&lt;=5),MAX(0.4*U516-VLOOKUP(B502,INDIRECT($F$8),8+(O516-1)*3),0.3*S516-VLOOKUP(B502,INDIRECT($F$8),6+(O516-1)*3)),11),IF(0.3*S516-VLOOKUP(B502,INDIRECT($F$8),6+(O516-1)*3)&lt;=5,0.3*S516-VLOOKUP(B502,INDIRECT($F$8),6+(O516-1)*3),11)),IF(VLOOKUP(B502,INDIRECT($F$8),8+(O516-1)*3)&lt;U516*0.4,IF(U516*0.4-VLOOKUP(B502,INDIRECT($F$8),8+(O516-1)*3)&lt;=5,U516*0.4-VLOOKUP(B502,INDIRECT($F$8),8+(O516-1)*3),11),0))))</f>
        <v/>
      </c>
      <c r="X516" s="1" t="str">
        <f ca="1">IF(ISERROR(F502),"",IF(W516=0,"",_xlfn.TEXTJOIN("",FALSE," G+",W516," in ",A516)))</f>
        <v/>
      </c>
    </row>
    <row r="517" spans="1:24" ht="13" customHeight="1" x14ac:dyDescent="0.2">
      <c r="A517" s="43" t="str">
        <f ca="1">IF(ISERROR(F502),"",A498)</f>
        <v/>
      </c>
      <c r="B517" s="43"/>
      <c r="C517" s="43"/>
      <c r="D517" s="43"/>
      <c r="E517" s="43"/>
      <c r="F517" s="10" t="str">
        <f ca="1">IF(ISERROR(F502),"",SUM(F507:F516))</f>
        <v/>
      </c>
      <c r="G517" s="44" t="str">
        <f ca="1">IF(ISERROR(F502),"",_xlfn.TEXTJOIN("/",TRUE,SUMIF(F507:F516,"&gt;0",P507:P516),SUMIF(F507:F516,"&gt;0",S507:S516)))</f>
        <v/>
      </c>
      <c r="H517" s="44"/>
      <c r="I517" s="44" t="str">
        <f ca="1">IF(ISERROR(F502),"",_xlfn.TEXTJOIN("/",TRUE,SUMIF(F507:F516,"&gt;0",Q507:Q516),SUMIF(F507:F516,"&gt;0",T507:T516)))</f>
        <v/>
      </c>
      <c r="J517" s="44"/>
      <c r="K517" s="44" t="str">
        <f ca="1">IF(ISERROR(F502),"",_xlfn.TEXTJOIN("/",TRUE,SUMIF(F507:F516,"&gt;0",R507:R516),SUMIF(F507:F516,"&gt;0",U507:U516)))</f>
        <v/>
      </c>
      <c r="L517" s="44"/>
      <c r="M517" s="43" t="str">
        <f ca="1">IF(ISERROR(F502),"",SUMPRODUCT(N507:N516,F507:F516))</f>
        <v/>
      </c>
      <c r="N517" s="43"/>
      <c r="V517" s="1" t="str">
        <f ca="1">IF(ISERROR(F502),"",_xlfn.TEXTJOIN(", ",TRUE,V507:V516))</f>
        <v/>
      </c>
      <c r="W517" t="str">
        <f ca="1">IF(ISERROR(F502),"",IF(SUM(W507:W516)&lt;=W506,TRUE,FALSE))</f>
        <v/>
      </c>
      <c r="X517" s="1" t="str">
        <f ca="1">IF(ISERROR(F502),"",_xlfn.TEXTJOIN(",",TRUE,X507:X516))</f>
        <v/>
      </c>
    </row>
    <row r="518" spans="1:24" ht="13" customHeight="1" x14ac:dyDescent="0.2">
      <c r="A518" s="43" t="str">
        <f ca="1">IF(ISERROR(F502),"",A499)</f>
        <v/>
      </c>
      <c r="B518" s="45" t="str">
        <f ca="1">IF(ISERROR(F502),"",IF(V517="","PASS","CARRY OVER"))</f>
        <v/>
      </c>
      <c r="C518" s="45"/>
      <c r="D518" s="43" t="str">
        <f ca="1">IF(ISERROR(F502),"",D499)</f>
        <v/>
      </c>
      <c r="E518" s="45" t="str">
        <f ca="1">IF(ISERROR(F502),"",IF(V517="",IF(X517="","",X517),_xlfn.TEXTJOIN(" ",TRUE,"BACK IN",V517)))</f>
        <v/>
      </c>
      <c r="F518" s="45"/>
      <c r="G518" s="43" t="str">
        <f ca="1">IF(ISERROR(F502),"",G499)</f>
        <v/>
      </c>
      <c r="H518" s="46" t="str">
        <f ca="1">IF(ISERROR(F502),"",M517/F517)</f>
        <v/>
      </c>
      <c r="I518" s="43" t="str">
        <f ca="1">IF(ISERROR(F502),"",I499)</f>
        <v/>
      </c>
      <c r="J518" s="46" t="str">
        <f ca="1">IF(ISERROR(F502),"",VLOOKUP(B502,INDIRECT($F$8),12+(O516-1)*3,0))</f>
        <v/>
      </c>
      <c r="K518" s="45" t="str">
        <f ca="1">IF(ISERROR(F502),"",K499)</f>
        <v/>
      </c>
      <c r="L518" s="43" t="str">
        <f ca="1">IF(ISERROR(F502),"",SUMIF(N507:N516,"&gt;0",F507:F516))</f>
        <v/>
      </c>
      <c r="M518" s="45" t="str">
        <f ca="1">IF(ISERROR(F502),"",M499)</f>
        <v/>
      </c>
      <c r="N518" s="43" t="str">
        <f ca="1">IF(ISERROR(F502),"",VLOOKUP(B502,INDIRECT($F$8),10+(O516-1)*3,0))</f>
        <v/>
      </c>
    </row>
    <row r="519" spans="1:24" ht="13" customHeight="1" x14ac:dyDescent="0.2">
      <c r="A519" s="43"/>
      <c r="B519" s="45"/>
      <c r="C519" s="45"/>
      <c r="D519" s="43"/>
      <c r="E519" s="45"/>
      <c r="F519" s="45"/>
      <c r="G519" s="43"/>
      <c r="H519" s="46"/>
      <c r="I519" s="43"/>
      <c r="J519" s="46"/>
      <c r="K519" s="45"/>
      <c r="L519" s="43"/>
      <c r="M519" s="45"/>
      <c r="N519" s="43"/>
    </row>
    <row r="520" spans="1:24" ht="13" customHeight="1" x14ac:dyDescent="0.2">
      <c r="A520" s="43"/>
      <c r="B520" s="45"/>
      <c r="C520" s="45"/>
      <c r="D520" s="43"/>
      <c r="E520" s="45"/>
      <c r="F520" s="45"/>
      <c r="G520" s="43"/>
      <c r="H520" s="46"/>
      <c r="I520" s="43"/>
      <c r="J520" s="46"/>
      <c r="K520" s="45"/>
      <c r="L520" s="43"/>
      <c r="M520" s="45"/>
      <c r="N520" s="43"/>
    </row>
    <row r="521" spans="1:24" ht="13" customHeight="1" x14ac:dyDescent="0.2">
      <c r="A521" s="11" t="str">
        <f>A502</f>
        <v>MM</v>
      </c>
      <c r="B521" s="11">
        <f>B502+1</f>
        <v>28</v>
      </c>
      <c r="C521" s="11" t="str">
        <f>C502</f>
        <v>SC</v>
      </c>
      <c r="D521" s="11" t="str">
        <f>D502</f>
        <v>SN</v>
      </c>
      <c r="E521" s="11" t="str">
        <f>E502</f>
        <v>C</v>
      </c>
      <c r="F521" s="11" t="e">
        <f ca="1">VLOOKUP(B521,INDIRECT($F$8),4,0)</f>
        <v>#N/A</v>
      </c>
    </row>
    <row r="522" spans="1:24" ht="13" customHeight="1" x14ac:dyDescent="0.2">
      <c r="A522" s="47" t="str">
        <f ca="1">IF(ISERROR(F521),"",A503)</f>
        <v/>
      </c>
      <c r="B522" s="47" t="str">
        <f ca="1">IFERROR(VLOOKUP(B521,INDIRECT($F$8),4,0),"")</f>
        <v/>
      </c>
      <c r="C522" s="47"/>
      <c r="D522" s="47" t="str">
        <f ca="1">IF(ISERROR(F521),"",D503)</f>
        <v/>
      </c>
      <c r="E522" s="47" t="str">
        <f ca="1">IFERROR(VLOOKUP(B521,INDIRECT($F$8),5,0),"")</f>
        <v/>
      </c>
      <c r="F522" s="47"/>
      <c r="G522" s="47" t="str">
        <f ca="1">IF(ISERROR(F521),"",G503)</f>
        <v/>
      </c>
      <c r="H522" s="47"/>
      <c r="I522" s="48" t="str">
        <f ca="1">IFERROR(VLOOKUP(B521,INDIRECT($F$8),2,0),"")</f>
        <v/>
      </c>
      <c r="J522" s="48"/>
      <c r="K522" s="47" t="str">
        <f ca="1">IF(ISERROR(F521),"",K503)</f>
        <v/>
      </c>
      <c r="L522" s="47"/>
      <c r="M522" s="48" t="str">
        <f ca="1">IFERROR(VLOOKUP(B521,INDIRECT($F$8),3,0),"")</f>
        <v/>
      </c>
      <c r="N522" s="48"/>
    </row>
    <row r="523" spans="1:24" ht="13" customHeight="1" x14ac:dyDescent="0.2">
      <c r="A523" s="47"/>
      <c r="B523" s="47"/>
      <c r="C523" s="47"/>
      <c r="D523" s="47"/>
      <c r="E523" s="47"/>
      <c r="F523" s="47"/>
      <c r="G523" s="47"/>
      <c r="H523" s="47"/>
      <c r="I523" s="48"/>
      <c r="J523" s="48"/>
      <c r="K523" s="47"/>
      <c r="L523" s="47"/>
      <c r="M523" s="48"/>
      <c r="N523" s="48"/>
    </row>
    <row r="524" spans="1:24" ht="13" customHeight="1" x14ac:dyDescent="0.2">
      <c r="A524" s="45" t="str">
        <f ca="1">IF(ISERROR(F521),"",A505)</f>
        <v/>
      </c>
      <c r="B524" s="45" t="str">
        <f ca="1">IF(ISERROR(F521),"",B505)</f>
        <v/>
      </c>
      <c r="C524" s="45"/>
      <c r="D524" s="45"/>
      <c r="E524" s="45"/>
      <c r="F524" s="45" t="str">
        <f ca="1">IF(ISERROR(F521),"",F505)</f>
        <v/>
      </c>
      <c r="G524" s="45" t="str">
        <f ca="1">IF(ISERROR(F521),"",G505)</f>
        <v/>
      </c>
      <c r="H524" s="45"/>
      <c r="I524" s="45" t="str">
        <f ca="1">IF(ISERROR(F521),"",I505)</f>
        <v/>
      </c>
      <c r="J524" s="45"/>
      <c r="K524" s="45" t="str">
        <f ca="1">IF(ISERROR(F521),"",K505)</f>
        <v/>
      </c>
      <c r="L524" s="45"/>
      <c r="M524" s="45" t="str">
        <f ca="1">IF(ISERROR(F521),"",M505)</f>
        <v/>
      </c>
      <c r="N524" s="45" t="str">
        <f ca="1">IF(ISERROR(F521),"",N505)</f>
        <v/>
      </c>
    </row>
    <row r="525" spans="1:24" ht="13" customHeight="1" x14ac:dyDescent="0.2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W525" t="e">
        <f ca="1">IF(ISNUMBER(MATCH($F$8,{"I","III","V","VII"},0)),10,10-INDEX(INDIRECT(_xlfn.TEXTJOIN("",TRUE,"SEM_",$G$8,"!",ADDRESS(6,4+$I$8*3+4),":",ADDRESS(5+$H$8,4+$I$8*3+4))),MATCH(INDIRECT(_xlfn.TEXTJOIN("",TRUE,"TC_",$F$8,"!",ADDRESS(ROW(I522),COLUMN(I522)))),INDIRECT(_xlfn.TEXTJOIN("",TRUE,"SEM_",$G$8,"!",ADDRESS(6,2),":",ADDRESS(5+$H$8,2))))))</f>
        <v>#N/A</v>
      </c>
    </row>
    <row r="526" spans="1:24" ht="13" customHeight="1" x14ac:dyDescent="0.2">
      <c r="A526" s="7" t="str">
        <f ca="1">IF(ISERROR(F521),"",VLOOKUP(C521,INDIRECT($F$8),6+(O526-1)*3,0))</f>
        <v/>
      </c>
      <c r="B526" s="41" t="str">
        <f ca="1">IF(ISERROR(F521),"",VLOOKUP(D521,INDIRECT($F$8),6+(O526-1)*3,0))</f>
        <v/>
      </c>
      <c r="C526" s="41"/>
      <c r="D526" s="41"/>
      <c r="E526" s="41"/>
      <c r="F526" s="7" t="str">
        <f ca="1">IF(ISERROR(F521),"",VLOOKUP(E521,INDIRECT($F$8),6+(O526-1)*3,0))</f>
        <v/>
      </c>
      <c r="G526" s="42" t="str">
        <f ca="1">IF(ISERROR(F521),"",_xlfn.TEXTJOIN("/",FALSE,P526,S526))</f>
        <v/>
      </c>
      <c r="H526" s="42"/>
      <c r="I526" s="42" t="str">
        <f ca="1">IF(ISERROR(F521),"",_xlfn.TEXTJOIN("/",FALSE,Q526,T526))</f>
        <v/>
      </c>
      <c r="J526" s="42"/>
      <c r="K526" s="42" t="str">
        <f ca="1">IF(ISERROR(F521),"",_xlfn.TEXTJOIN("/",FALSE,R526,U526))</f>
        <v/>
      </c>
      <c r="L526" s="42"/>
      <c r="M526" s="7" t="str">
        <f ca="1">IF(ISERROR(F521),"",IF(ISTEXT(P526),IF(P526="A","Ab",IF(P526="D","Dt",IF(P526="UFM","UFM",IF(P526="NA","")))),IF(AND(ISBLANK(P526),ISBLANK(R526)),"",IF(P526&lt;0.3*S526,"F",IF(ISBLANK(R526),"",IF(ISTEXT(R526),R526,IF(R526&gt;=0.9*U526,"O",IF(R526&gt;=0.85*U526,"A+",IF(R526&gt;=0.8*U526,"A",IF(R526&gt;=0.7*U526,"B+",IF(R526&gt;=0.6*U526,"B",IF(R526&gt;=0.5*U526,"C",IF(R526&gt;=0.4*U526,"P",IF(R526&lt;0.4*U526,"F",R526))))))))))))))</f>
        <v/>
      </c>
      <c r="N526" s="8" t="str">
        <f t="shared" ref="N526:N535" ca="1" si="54">INDEX($Z$2:$Z$13,MATCH(M526,$Y$2:$Y$13,0))</f>
        <v/>
      </c>
      <c r="O526">
        <v>1</v>
      </c>
      <c r="P526" s="1" t="str">
        <f ca="1">IF(ISERROR(F521),"",IF(ISTEXT(VLOOKUP(B521,INDIRECT($F$8),6+(O526-1)*3)),(VLOOKUP(B521,INDIRECT($F$8),6+(O526-1)*3)),SUM(VLOOKUP(B521,INDIRECT($F$8),6+(O526-1)*3),IF(W536,W526,0))))</f>
        <v/>
      </c>
      <c r="Q526" s="1" t="str">
        <f ca="1">IF(ISERROR(F521),"",VLOOKUP(B521,INDIRECT($F$8),7+(O526-1)*3))</f>
        <v/>
      </c>
      <c r="R526" s="1" t="str">
        <f ca="1">IF(ISERROR(F521),"",SUM(P526:Q526))</f>
        <v/>
      </c>
      <c r="S526" s="1" t="str">
        <f ca="1">IF(ISERROR(F521),"",VLOOKUP(A521,INDIRECT($F$8),6+(O526-1)*3))</f>
        <v/>
      </c>
      <c r="T526" s="1" t="str">
        <f ca="1">IF(ISERROR(F521),"",VLOOKUP(A521,INDIRECT($F$8),7+(O526-1)*3))</f>
        <v/>
      </c>
      <c r="U526" s="1" t="str">
        <f ca="1">IF(ISERROR(F521),"",VLOOKUP(A521,INDIRECT($F$8),8+(O526-1)*3))</f>
        <v/>
      </c>
      <c r="V526" s="1" t="str">
        <f ca="1">IF(ISERROR(F521),"",IF(N526=0,A526,""))</f>
        <v/>
      </c>
      <c r="W526" s="1" t="str">
        <f ca="1">IF(ISERROR(F521),"",IF(ISTEXT(VLOOKUP(B521,INDIRECT($F$8),6+(O526-1)*3)),11,IF(VLOOKUP(B521,INDIRECT($F$8),6+(O526-1)*3)&lt;S526*0.3,IF(VLOOKUP(B521,INDIRECT($F$8),8+(O526-1)*3)&lt;U526*0.4,IF(AND(0.4*U526-VLOOKUP(B521,INDIRECT($F$8),8+(O526-1)*3)&lt;=5,0.3*S526-VLOOKUP(B521,INDIRECT($F$8),6+(O526-1)*3)&lt;=5),MAX(0.4*U526-VLOOKUP(B521,INDIRECT($F$8),8+(O526-1)*3),0.3*S526-VLOOKUP(B521,INDIRECT($F$8),6+(O526-1)*3)),11),IF(0.3*S526-VLOOKUP(B521,INDIRECT($F$8),6+(O526-1)*3)&lt;=5,0.3*S526-VLOOKUP(B521,INDIRECT($F$8),6+(O526-1)*3),11)),IF(VLOOKUP(B521,INDIRECT($F$8),8+(O526-1)*3)&lt;U526*0.4,IF(U526*0.4-VLOOKUP(B521,INDIRECT($F$8),8+(O526-1)*3)&lt;=5,U526*0.4-VLOOKUP(B521,INDIRECT($F$8),8+(O526-1)*3),11),0))))</f>
        <v/>
      </c>
      <c r="X526" s="1" t="str">
        <f ca="1">IF(ISERROR(F521),"",IF(W526=0,"",_xlfn.TEXTJOIN("",FALSE," G+",W526," in ",A526)))</f>
        <v/>
      </c>
    </row>
    <row r="527" spans="1:24" ht="13" customHeight="1" x14ac:dyDescent="0.2">
      <c r="A527" s="7" t="str">
        <f ca="1">IF(ISERROR(F521),"",VLOOKUP(C521,INDIRECT($F$8),6+(O527-1)*3,0))</f>
        <v/>
      </c>
      <c r="B527" s="41" t="str">
        <f ca="1">IF(ISERROR(F521),"",VLOOKUP(D521,INDIRECT($F$8),6+(O527-1)*3,0))</f>
        <v/>
      </c>
      <c r="C527" s="41"/>
      <c r="D527" s="41"/>
      <c r="E527" s="41"/>
      <c r="F527" s="7" t="str">
        <f ca="1">IF(ISERROR(F521),"",VLOOKUP(E521,INDIRECT($F$8),6+(O527-1)*3,0))</f>
        <v/>
      </c>
      <c r="G527" s="42" t="str">
        <f ca="1">IF(ISERROR(F521),"",_xlfn.TEXTJOIN("/",FALSE,P527,S527))</f>
        <v/>
      </c>
      <c r="H527" s="42"/>
      <c r="I527" s="42" t="str">
        <f ca="1">IF(ISERROR(F521),"",_xlfn.TEXTJOIN("/",FALSE,Q527,T527))</f>
        <v/>
      </c>
      <c r="J527" s="42"/>
      <c r="K527" s="42" t="str">
        <f ca="1">IF(ISERROR(F521),"",_xlfn.TEXTJOIN("/",FALSE,R527,U527))</f>
        <v/>
      </c>
      <c r="L527" s="42"/>
      <c r="M527" s="7" t="str">
        <f ca="1">IF(ISERROR(F521),"",IF(ISTEXT(P527),IF(P527="A","Ab",IF(P527="D","Dt",IF(P527="UFM","UFM",IF(P527="NA","")))),IF(AND(ISBLANK(P527),ISBLANK(R527)),"",IF(P527&lt;0.3*S527,"F",IF(ISBLANK(R527),"",IF(ISTEXT(R527),R527,IF(R527&gt;=0.9*U527,"O",IF(R527&gt;=0.85*U527,"A+",IF(R527&gt;=0.8*U527,"A",IF(R527&gt;=0.7*U527,"B+",IF(R527&gt;=0.6*U527,"B",IF(R527&gt;=0.5*U527,"C",IF(R527&gt;=0.4*U527,"P",IF(R527&lt;0.4*U527,"F",R527))))))))))))))</f>
        <v/>
      </c>
      <c r="N527" s="8" t="str">
        <f t="shared" ca="1" si="54"/>
        <v/>
      </c>
      <c r="O527">
        <f>O526+1</f>
        <v>2</v>
      </c>
      <c r="P527" s="1" t="str">
        <f ca="1">IF(ISERROR(F521),"",IF(ISTEXT(VLOOKUP(B521,INDIRECT($F$8),6+(O527-1)*3)),(VLOOKUP(B521,INDIRECT($F$8),6+(O527-1)*3)),SUM(VLOOKUP(B521,INDIRECT($F$8),6+(O527-1)*3),IF(W536,W527,0))))</f>
        <v/>
      </c>
      <c r="Q527" s="1" t="str">
        <f ca="1">IF(ISERROR(F521),"",VLOOKUP(B521,INDIRECT($F$8),7+(O527-1)*3))</f>
        <v/>
      </c>
      <c r="R527" s="1" t="str">
        <f ca="1">IF(ISERROR(F521),"",SUM(P527:Q527))</f>
        <v/>
      </c>
      <c r="S527" s="1" t="str">
        <f ca="1">IF(ISERROR(F521),"",VLOOKUP(A521,INDIRECT($F$8),6+(O527-1)*3))</f>
        <v/>
      </c>
      <c r="T527" s="1" t="str">
        <f ca="1">IF(ISERROR(F521),"",VLOOKUP(A521,INDIRECT($F$8),7+(O527-1)*3))</f>
        <v/>
      </c>
      <c r="U527" s="1" t="str">
        <f ca="1">IF(ISERROR(F521),"",VLOOKUP(A521,INDIRECT($F$8),8+(O527-1)*3))</f>
        <v/>
      </c>
      <c r="V527" s="1" t="str">
        <f ca="1">IF(ISERROR(F521),"",IF(N527=0,A527,""))</f>
        <v/>
      </c>
      <c r="W527" s="1" t="str">
        <f ca="1">IF(ISERROR(F521),"",IF(ISTEXT(VLOOKUP(B521,INDIRECT($F$8),6+(O527-1)*3)),11,IF(VLOOKUP(B521,INDIRECT($F$8),6+(O527-1)*3)&lt;S527*0.3,IF(VLOOKUP(B521,INDIRECT($F$8),8+(O527-1)*3)&lt;U527*0.4,IF(AND(0.4*U527-VLOOKUP(B521,INDIRECT($F$8),8+(O527-1)*3)&lt;=5,0.3*S527-VLOOKUP(B521,INDIRECT($F$8),6+(O527-1)*3)&lt;=5),MAX(0.4*U527-VLOOKUP(B521,INDIRECT($F$8),8+(O527-1)*3),0.3*S527-VLOOKUP(B521,INDIRECT($F$8),6+(O527-1)*3)),11),IF(0.3*S527-VLOOKUP(B521,INDIRECT($F$8),6+(O527-1)*3)&lt;=5,0.3*S527-VLOOKUP(B521,INDIRECT($F$8),6+(O527-1)*3),11)),IF(VLOOKUP(B521,INDIRECT($F$8),8+(O527-1)*3)&lt;U527*0.4,IF(U527*0.4-VLOOKUP(B521,INDIRECT($F$8),8+(O527-1)*3)&lt;=5,U527*0.4-VLOOKUP(B521,INDIRECT($F$8),8+(O527-1)*3),11),0))))</f>
        <v/>
      </c>
      <c r="X527" s="1" t="str">
        <f ca="1">IF(ISERROR(F521),"",IF(W527=0,"",_xlfn.TEXTJOIN("",FALSE," G+",W527," in ",A527)))</f>
        <v/>
      </c>
    </row>
    <row r="528" spans="1:24" ht="13" customHeight="1" x14ac:dyDescent="0.2">
      <c r="A528" s="7" t="str">
        <f ca="1">IF(ISERROR(F521),"",VLOOKUP(C521,INDIRECT($F$8),6+(O528-1)*3,0))</f>
        <v/>
      </c>
      <c r="B528" s="41" t="str">
        <f ca="1">IF(ISERROR(F521),"",VLOOKUP(D521,INDIRECT($F$8),6+(O528-1)*3,0))</f>
        <v/>
      </c>
      <c r="C528" s="41"/>
      <c r="D528" s="41"/>
      <c r="E528" s="41"/>
      <c r="F528" s="7" t="str">
        <f ca="1">IF(ISERROR(F521),"",VLOOKUP(E521,INDIRECT($F$8),6+(O528-1)*3,0))</f>
        <v/>
      </c>
      <c r="G528" s="42" t="str">
        <f ca="1">IF(ISERROR(F521),"",_xlfn.TEXTJOIN("/",FALSE,P528,S528))</f>
        <v/>
      </c>
      <c r="H528" s="42"/>
      <c r="I528" s="42" t="str">
        <f ca="1">IF(ISERROR(F521),"",_xlfn.TEXTJOIN("/",FALSE,Q528,T528))</f>
        <v/>
      </c>
      <c r="J528" s="42"/>
      <c r="K528" s="42" t="str">
        <f ca="1">IF(ISERROR(F521),"",_xlfn.TEXTJOIN("/",FALSE,R528,U528))</f>
        <v/>
      </c>
      <c r="L528" s="42"/>
      <c r="M528" s="7" t="str">
        <f ca="1">IF(ISERROR(F521),"",IF(ISTEXT(P528),IF(P528="A","Ab",IF(P528="D","Dt",IF(P528="UFM","UFM",IF(P528="NA","")))),IF(AND(ISBLANK(P528),ISBLANK(R528)),"",IF(P528&lt;0.3*S528,"F",IF(ISBLANK(R528),"",IF(ISTEXT(R528),R528,IF(R528&gt;=0.9*U528,"O",IF(R528&gt;=0.85*U528,"A+",IF(R528&gt;=0.8*U528,"A",IF(R528&gt;=0.7*U528,"B+",IF(R528&gt;=0.6*U528,"B",IF(R528&gt;=0.5*U528,"C",IF(R528&gt;=0.4*U528,"P",IF(R528&lt;0.4*U528,"F",R528))))))))))))))</f>
        <v/>
      </c>
      <c r="N528" s="8" t="str">
        <f t="shared" ca="1" si="54"/>
        <v/>
      </c>
      <c r="O528">
        <f>O527+1</f>
        <v>3</v>
      </c>
      <c r="P528" s="1" t="str">
        <f ca="1">IF(ISERROR(F521),"",IF(ISTEXT(VLOOKUP(B521,INDIRECT($F$8),6+(O528-1)*3)),(VLOOKUP(B521,INDIRECT($F$8),6+(O528-1)*3)),SUM(VLOOKUP(B521,INDIRECT($F$8),6+(O528-1)*3),IF(W536,W528,0))))</f>
        <v/>
      </c>
      <c r="Q528" s="1" t="str">
        <f ca="1">IF(ISERROR(F521),"",VLOOKUP(B521,INDIRECT($F$8),7+(O528-1)*3))</f>
        <v/>
      </c>
      <c r="R528" s="1" t="str">
        <f ca="1">IF(ISERROR(F521),"",SUM(P528:Q528))</f>
        <v/>
      </c>
      <c r="S528" s="1" t="str">
        <f ca="1">IF(ISERROR(F521),"",VLOOKUP(A521,INDIRECT($F$8),6+(O528-1)*3))</f>
        <v/>
      </c>
      <c r="T528" s="1" t="str">
        <f ca="1">IF(ISERROR(F521),"",VLOOKUP(A521,INDIRECT($F$8),7+(O528-1)*3))</f>
        <v/>
      </c>
      <c r="U528" s="1" t="str">
        <f ca="1">IF(ISERROR(F521),"",VLOOKUP(A521,INDIRECT($F$8),8+(O528-1)*3))</f>
        <v/>
      </c>
      <c r="V528" s="1" t="str">
        <f ca="1">IF(ISERROR(F521),"",IF(N528=0,A528,""))</f>
        <v/>
      </c>
      <c r="W528" s="1" t="str">
        <f ca="1">IF(ISERROR(F521),"",IF(ISTEXT(VLOOKUP(B521,INDIRECT($F$8),6+(O528-1)*3)),11,IF(VLOOKUP(B521,INDIRECT($F$8),6+(O528-1)*3)&lt;S528*0.3,IF(VLOOKUP(B521,INDIRECT($F$8),8+(O528-1)*3)&lt;U528*0.4,IF(AND(0.4*U528-VLOOKUP(B521,INDIRECT($F$8),8+(O528-1)*3)&lt;=5,0.3*S528-VLOOKUP(B521,INDIRECT($F$8),6+(O528-1)*3)&lt;=5),MAX(0.4*U528-VLOOKUP(B521,INDIRECT($F$8),8+(O528-1)*3),0.3*S528-VLOOKUP(B521,INDIRECT($F$8),6+(O528-1)*3)),11),IF(0.3*S528-VLOOKUP(B521,INDIRECT($F$8),6+(O528-1)*3)&lt;=5,0.3*S528-VLOOKUP(B521,INDIRECT($F$8),6+(O528-1)*3),11)),IF(VLOOKUP(B521,INDIRECT($F$8),8+(O528-1)*3)&lt;U528*0.4,IF(U528*0.4-VLOOKUP(B521,INDIRECT($F$8),8+(O528-1)*3)&lt;=5,U528*0.4-VLOOKUP(B521,INDIRECT($F$8),8+(O528-1)*3),11),0))))</f>
        <v/>
      </c>
      <c r="X528" s="1" t="str">
        <f ca="1">IF(ISERROR(F521),"",IF(W528=0,"",_xlfn.TEXTJOIN("",FALSE," G+",W528," in ",A528)))</f>
        <v/>
      </c>
    </row>
    <row r="529" spans="1:24" ht="13" customHeight="1" x14ac:dyDescent="0.2">
      <c r="A529" s="7" t="str">
        <f ca="1">IF(ISERROR(F521),"",VLOOKUP(C521,INDIRECT($F$8),6+(O529-1)*3,0))</f>
        <v/>
      </c>
      <c r="B529" s="41" t="str">
        <f ca="1">IF(ISERROR(F521),"",VLOOKUP(D521,INDIRECT($F$8),6+(O529-1)*3,0))</f>
        <v/>
      </c>
      <c r="C529" s="41"/>
      <c r="D529" s="41"/>
      <c r="E529" s="41"/>
      <c r="F529" s="7" t="str">
        <f ca="1">IF(ISERROR(F521),"",VLOOKUP(E521,INDIRECT($F$8),6+(O529-1)*3,0))</f>
        <v/>
      </c>
      <c r="G529" s="42" t="str">
        <f ca="1">IF(ISERROR(F521),"",_xlfn.TEXTJOIN("/",FALSE,P529,S529))</f>
        <v/>
      </c>
      <c r="H529" s="42"/>
      <c r="I529" s="42" t="str">
        <f ca="1">IF(ISERROR(F521),"",_xlfn.TEXTJOIN("/",FALSE,Q529,T529))</f>
        <v/>
      </c>
      <c r="J529" s="42"/>
      <c r="K529" s="42" t="str">
        <f ca="1">IF(ISERROR(F521),"",_xlfn.TEXTJOIN("/",FALSE,R529,U529))</f>
        <v/>
      </c>
      <c r="L529" s="42"/>
      <c r="M529" s="7" t="str">
        <f ca="1">IF(ISERROR(F521),"",IF(ISTEXT(P529),IF(P529="A","Ab",IF(P529="D","Dt",IF(P529="UFM","UFM",IF(P529="NA","")))),IF(AND(ISBLANK(P529),ISBLANK(R529)),"",IF(P529&lt;0.3*S529,"F",IF(ISBLANK(R529),"",IF(ISTEXT(R529),R529,IF(R529&gt;=0.9*U529,"O",IF(R529&gt;=0.85*U529,"A+",IF(R529&gt;=0.8*U529,"A",IF(R529&gt;=0.7*U529,"B+",IF(R529&gt;=0.6*U529,"B",IF(R529&gt;=0.5*U529,"C",IF(R529&gt;=0.4*U529,"P",IF(R529&lt;0.4*U529,"F",R529))))))))))))))</f>
        <v/>
      </c>
      <c r="N529" s="8" t="str">
        <f t="shared" ca="1" si="54"/>
        <v/>
      </c>
      <c r="O529">
        <f t="shared" ref="O529:O535" si="55">O528+1</f>
        <v>4</v>
      </c>
      <c r="P529" s="1" t="str">
        <f ca="1">IF(ISERROR(F521),"",IF(ISTEXT(VLOOKUP(B521,INDIRECT($F$8),6+(O529-1)*3)),(VLOOKUP(B521,INDIRECT($F$8),6+(O529-1)*3)),SUM(VLOOKUP(B521,INDIRECT($F$8),6+(O529-1)*3),IF(W536,W529,0))))</f>
        <v/>
      </c>
      <c r="Q529" s="1" t="str">
        <f ca="1">IF(ISERROR(F521),"",VLOOKUP(B521,INDIRECT($F$8),7+(O529-1)*3))</f>
        <v/>
      </c>
      <c r="R529" s="1" t="str">
        <f ca="1">IF(ISERROR(F521),"",SUM(P529:Q529))</f>
        <v/>
      </c>
      <c r="S529" s="1" t="str">
        <f ca="1">IF(ISERROR(F521),"",VLOOKUP(A521,INDIRECT($F$8),6+(O529-1)*3))</f>
        <v/>
      </c>
      <c r="T529" s="1" t="str">
        <f ca="1">IF(ISERROR(F521),"",VLOOKUP(A521,INDIRECT($F$8),7+(O529-1)*3))</f>
        <v/>
      </c>
      <c r="U529" s="1" t="str">
        <f ca="1">IF(ISERROR(F521),"",VLOOKUP(A521,INDIRECT($F$8),8+(O529-1)*3))</f>
        <v/>
      </c>
      <c r="V529" s="1" t="str">
        <f ca="1">IF(ISERROR(F521),"",IF(N529=0,A529,""))</f>
        <v/>
      </c>
      <c r="W529" s="1" t="str">
        <f ca="1">IF(ISERROR(F521),"",IF(ISTEXT(VLOOKUP(B521,INDIRECT($F$8),6+(O529-1)*3)),11,IF(VLOOKUP(B521,INDIRECT($F$8),6+(O529-1)*3)&lt;S529*0.3,IF(VLOOKUP(B521,INDIRECT($F$8),8+(O529-1)*3)&lt;U529*0.4,IF(AND(0.4*U529-VLOOKUP(B521,INDIRECT($F$8),8+(O529-1)*3)&lt;=5,0.3*S529-VLOOKUP(B521,INDIRECT($F$8),6+(O529-1)*3)&lt;=5),MAX(0.4*U529-VLOOKUP(B521,INDIRECT($F$8),8+(O529-1)*3),0.3*S529-VLOOKUP(B521,INDIRECT($F$8),6+(O529-1)*3)),11),IF(0.3*S529-VLOOKUP(B521,INDIRECT($F$8),6+(O529-1)*3)&lt;=5,0.3*S529-VLOOKUP(B521,INDIRECT($F$8),6+(O529-1)*3),11)),IF(VLOOKUP(B521,INDIRECT($F$8),8+(O529-1)*3)&lt;U529*0.4,IF(U529*0.4-VLOOKUP(B521,INDIRECT($F$8),8+(O529-1)*3)&lt;=5,U529*0.4-VLOOKUP(B521,INDIRECT($F$8),8+(O529-1)*3),11),0))))</f>
        <v/>
      </c>
      <c r="X529" s="1" t="str">
        <f ca="1">IF(ISERROR(F521),"",IF(W529=0,"",_xlfn.TEXTJOIN("",FALSE," G+",W529," in ",A529)))</f>
        <v/>
      </c>
    </row>
    <row r="530" spans="1:24" ht="13" customHeight="1" x14ac:dyDescent="0.2">
      <c r="A530" s="7" t="str">
        <f ca="1">IF(ISERROR(F521),"",VLOOKUP(C521,INDIRECT($F$8),6+(O530-1)*3,0))</f>
        <v/>
      </c>
      <c r="B530" s="41" t="str">
        <f ca="1">IF(ISERROR(F521),"",VLOOKUP(D521,INDIRECT($F$8),6+(O530-1)*3,0))</f>
        <v/>
      </c>
      <c r="C530" s="41"/>
      <c r="D530" s="41"/>
      <c r="E530" s="41"/>
      <c r="F530" s="7" t="str">
        <f ca="1">IF(ISERROR(F521),"",VLOOKUP(E521,INDIRECT($F$8),6+(O530-1)*3,0))</f>
        <v/>
      </c>
      <c r="G530" s="42" t="str">
        <f ca="1">IF(ISERROR(F521),"",_xlfn.TEXTJOIN("/",FALSE,P530,S530))</f>
        <v/>
      </c>
      <c r="H530" s="42"/>
      <c r="I530" s="42" t="str">
        <f ca="1">IF(ISERROR(F521),"",_xlfn.TEXTJOIN("/",FALSE,Q530,T530))</f>
        <v/>
      </c>
      <c r="J530" s="42"/>
      <c r="K530" s="42" t="str">
        <f ca="1">IF(ISERROR(F521),"",_xlfn.TEXTJOIN("/",FALSE,R530,U530))</f>
        <v/>
      </c>
      <c r="L530" s="42"/>
      <c r="M530" s="7" t="str">
        <f ca="1">IF(ISERROR(F521),"",IF(ISTEXT(P530),IF(P530="A","Ab",IF(P530="D","Dt",IF(P530="UFM","UFM",IF(P530="NA","")))),IF(AND(ISBLANK(P530),ISBLANK(R530)),"",IF(P530&lt;0.3*S530,"F",IF(ISBLANK(R530),"",IF(ISTEXT(R530),R530,IF(R530&gt;=0.9*U530,"O",IF(R530&gt;=0.85*U530,"A+",IF(R530&gt;=0.8*U530,"A",IF(R530&gt;=0.7*U530,"B+",IF(R530&gt;=0.6*U530,"B",IF(R530&gt;=0.5*U530,"C",IF(R530&gt;=0.4*U530,"P",IF(R530&lt;0.4*U530,"F",R530))))))))))))))</f>
        <v/>
      </c>
      <c r="N530" s="8" t="str">
        <f t="shared" ca="1" si="54"/>
        <v/>
      </c>
      <c r="O530">
        <f t="shared" si="55"/>
        <v>5</v>
      </c>
      <c r="P530" s="1" t="str">
        <f ca="1">IF(ISERROR(F521),"",IF(ISTEXT(VLOOKUP(B521,INDIRECT($F$8),6+(O530-1)*3)),(VLOOKUP(B521,INDIRECT($F$8),6+(O530-1)*3)),SUM(VLOOKUP(B521,INDIRECT($F$8),6+(O530-1)*3),IF(W536,W530,0))))</f>
        <v/>
      </c>
      <c r="Q530" s="1" t="str">
        <f ca="1">IF(ISERROR(F521),"",VLOOKUP(B521,INDIRECT($F$8),7+(O530-1)*3))</f>
        <v/>
      </c>
      <c r="R530" s="1" t="str">
        <f ca="1">IF(ISERROR(F521),"",SUM(P530:Q530))</f>
        <v/>
      </c>
      <c r="S530" s="1" t="str">
        <f ca="1">IF(ISERROR(F521),"",VLOOKUP(A521,INDIRECT($F$8),6+(O530-1)*3))</f>
        <v/>
      </c>
      <c r="T530" s="1" t="str">
        <f ca="1">IF(ISERROR(F521),"",VLOOKUP(A521,INDIRECT($F$8),7+(O530-1)*3))</f>
        <v/>
      </c>
      <c r="U530" s="1" t="str">
        <f ca="1">IF(ISERROR(F521),"",VLOOKUP(A521,INDIRECT($F$8),8+(O530-1)*3))</f>
        <v/>
      </c>
      <c r="V530" s="1" t="str">
        <f ca="1">IF(ISERROR(F521),"",IF(N530=0,A530,""))</f>
        <v/>
      </c>
      <c r="W530" s="1" t="str">
        <f ca="1">IF(ISERROR(F521),"",IF(ISTEXT(VLOOKUP(B521,INDIRECT($F$8),6+(O530-1)*3)),11,IF(VLOOKUP(B521,INDIRECT($F$8),6+(O530-1)*3)&lt;S530*0.3,IF(VLOOKUP(B521,INDIRECT($F$8),8+(O530-1)*3)&lt;U530*0.4,IF(AND(0.4*U530-VLOOKUP(B521,INDIRECT($F$8),8+(O530-1)*3)&lt;=5,0.3*S530-VLOOKUP(B521,INDIRECT($F$8),6+(O530-1)*3)&lt;=5),MAX(0.4*U530-VLOOKUP(B521,INDIRECT($F$8),8+(O530-1)*3),0.3*S530-VLOOKUP(B521,INDIRECT($F$8),6+(O530-1)*3)),11),IF(0.3*S530-VLOOKUP(B521,INDIRECT($F$8),6+(O530-1)*3)&lt;=5,0.3*S530-VLOOKUP(B521,INDIRECT($F$8),6+(O530-1)*3),11)),IF(VLOOKUP(B521,INDIRECT($F$8),8+(O530-1)*3)&lt;U530*0.4,IF(U530*0.4-VLOOKUP(B521,INDIRECT($F$8),8+(O530-1)*3)&lt;=5,U530*0.4-VLOOKUP(B521,INDIRECT($F$8),8+(O530-1)*3),11),0))))</f>
        <v/>
      </c>
      <c r="X530" s="1" t="str">
        <f ca="1">IF(ISERROR(F521),"",IF(W530=0,"",_xlfn.TEXTJOIN("",FALSE," G+",W530," in ",A530)))</f>
        <v/>
      </c>
    </row>
    <row r="531" spans="1:24" ht="13" customHeight="1" x14ac:dyDescent="0.2">
      <c r="A531" s="7" t="str">
        <f ca="1">IF(ISERROR(F521),"",VLOOKUP(C521,INDIRECT($F$8),6+(O531-1)*3,0))</f>
        <v/>
      </c>
      <c r="B531" s="41" t="str">
        <f ca="1">IF(ISERROR(F521),"",VLOOKUP(D521,INDIRECT($F$8),6+(O531-1)*3,0))</f>
        <v/>
      </c>
      <c r="C531" s="41"/>
      <c r="D531" s="41"/>
      <c r="E531" s="41"/>
      <c r="F531" s="7" t="str">
        <f ca="1">IF(ISERROR(F521),"",VLOOKUP(E521,INDIRECT($F$8),6+(O531-1)*3,0))</f>
        <v/>
      </c>
      <c r="G531" s="42" t="str">
        <f ca="1">IF(ISERROR(F521),"",_xlfn.TEXTJOIN("/",FALSE,P531,S531))</f>
        <v/>
      </c>
      <c r="H531" s="42"/>
      <c r="I531" s="42" t="str">
        <f ca="1">IF(ISERROR(F521),"",_xlfn.TEXTJOIN("/",FALSE,Q531,T531))</f>
        <v/>
      </c>
      <c r="J531" s="42"/>
      <c r="K531" s="42" t="str">
        <f ca="1">IF(ISERROR(F521),"",_xlfn.TEXTJOIN("/",FALSE,R531,U531))</f>
        <v/>
      </c>
      <c r="L531" s="42"/>
      <c r="M531" s="7" t="str">
        <f ca="1">IF(ISERROR(F521),"",IF(ISTEXT(P531),IF(P531="A","Ab",IF(P531="D","Dt",IF(P531="UFM","UFM",IF(P531="NA","")))),IF(AND(ISBLANK(P531),ISBLANK(R531)),"",IF(P531&lt;0.3*S531,"F",IF(ISBLANK(R531),"",IF(ISTEXT(R531),R531,IF(R531&gt;=0.9*U531,"O",IF(R531&gt;=0.85*U531,"A+",IF(R531&gt;=0.8*U531,"A",IF(R531&gt;=0.7*U531,"B+",IF(R531&gt;=0.6*U531,"B",IF(R531&gt;=0.5*U531,"C",IF(R531&gt;=0.4*U531,"P",IF(R531&lt;0.4*U531,"F",R531))))))))))))))</f>
        <v/>
      </c>
      <c r="N531" s="8" t="str">
        <f t="shared" ca="1" si="54"/>
        <v/>
      </c>
      <c r="O531">
        <f t="shared" si="55"/>
        <v>6</v>
      </c>
      <c r="P531" s="1" t="str">
        <f ca="1">IF(ISERROR(F521),"",IF(ISTEXT(VLOOKUP(B521,INDIRECT($F$8),6+(O531-1)*3)),(VLOOKUP(B521,INDIRECT($F$8),6+(O531-1)*3)),SUM(VLOOKUP(B521,INDIRECT($F$8),6+(O531-1)*3),IF(W536,W531,0))))</f>
        <v/>
      </c>
      <c r="Q531" s="1" t="str">
        <f ca="1">IF(ISERROR(F521),"",VLOOKUP(B521,INDIRECT($F$8),7+(O531-1)*3))</f>
        <v/>
      </c>
      <c r="R531" s="1" t="str">
        <f ca="1">IF(ISERROR(F521),"",SUM(P531:Q531))</f>
        <v/>
      </c>
      <c r="S531" s="1" t="str">
        <f ca="1">IF(ISERROR(F521),"",VLOOKUP(A521,INDIRECT($F$8),6+(O531-1)*3))</f>
        <v/>
      </c>
      <c r="T531" s="1" t="str">
        <f ca="1">IF(ISERROR(F521),"",VLOOKUP(A521,INDIRECT($F$8),7+(O531-1)*3))</f>
        <v/>
      </c>
      <c r="U531" s="1" t="str">
        <f ca="1">IF(ISERROR(F521),"",VLOOKUP(A521,INDIRECT($F$8),8+(O531-1)*3))</f>
        <v/>
      </c>
      <c r="V531" s="1" t="str">
        <f ca="1">IF(ISERROR(F521),"",IF(N531=0,A531,""))</f>
        <v/>
      </c>
      <c r="W531" s="1" t="str">
        <f ca="1">IF(ISERROR(F521),"",IF(ISTEXT(VLOOKUP(B521,INDIRECT($F$8),6+(O531-1)*3)),11,IF(VLOOKUP(B521,INDIRECT($F$8),6+(O531-1)*3)&lt;S531*0.3,IF(VLOOKUP(B521,INDIRECT($F$8),8+(O531-1)*3)&lt;U531*0.4,IF(AND(0.4*U531-VLOOKUP(B521,INDIRECT($F$8),8+(O531-1)*3)&lt;=5,0.3*S531-VLOOKUP(B521,INDIRECT($F$8),6+(O531-1)*3)&lt;=5),MAX(0.4*U531-VLOOKUP(B521,INDIRECT($F$8),8+(O531-1)*3),0.3*S531-VLOOKUP(B521,INDIRECT($F$8),6+(O531-1)*3)),11),IF(0.3*S531-VLOOKUP(B521,INDIRECT($F$8),6+(O531-1)*3)&lt;=5,0.3*S531-VLOOKUP(B521,INDIRECT($F$8),6+(O531-1)*3),11)),IF(VLOOKUP(B521,INDIRECT($F$8),8+(O531-1)*3)&lt;U531*0.4,IF(U531*0.4-VLOOKUP(B521,INDIRECT($F$8),8+(O531-1)*3)&lt;=5,U531*0.4-VLOOKUP(B521,INDIRECT($F$8),8+(O531-1)*3),11),0))))</f>
        <v/>
      </c>
      <c r="X531" s="1" t="str">
        <f ca="1">IF(ISERROR(F521),"",IF(W531=0,"",_xlfn.TEXTJOIN("",FALSE," G+",W531," in ",A531)))</f>
        <v/>
      </c>
    </row>
    <row r="532" spans="1:24" ht="13" customHeight="1" x14ac:dyDescent="0.2">
      <c r="A532" s="7" t="str">
        <f ca="1">IF(ISERROR(F521),"",VLOOKUP(C521,INDIRECT($F$8),6+(O532-1)*3,0))</f>
        <v/>
      </c>
      <c r="B532" s="41" t="str">
        <f ca="1">IF(ISERROR(F521),"",VLOOKUP(D521,INDIRECT($F$8),6+(O532-1)*3,0))</f>
        <v/>
      </c>
      <c r="C532" s="41"/>
      <c r="D532" s="41"/>
      <c r="E532" s="41"/>
      <c r="F532" s="7" t="str">
        <f ca="1">IF(ISERROR(F521),"",VLOOKUP(E521,INDIRECT($F$8),6+(O532-1)*3,0))</f>
        <v/>
      </c>
      <c r="G532" s="42" t="str">
        <f ca="1">IF(ISERROR(F521),"",_xlfn.TEXTJOIN("/",FALSE,P532,S532))</f>
        <v/>
      </c>
      <c r="H532" s="42"/>
      <c r="I532" s="42" t="str">
        <f ca="1">IF(ISERROR(F521),"",_xlfn.TEXTJOIN("/",FALSE,Q532,T532))</f>
        <v/>
      </c>
      <c r="J532" s="42"/>
      <c r="K532" s="42" t="str">
        <f ca="1">IF(ISERROR(F521),"",_xlfn.TEXTJOIN("/",FALSE,R532,U532))</f>
        <v/>
      </c>
      <c r="L532" s="42"/>
      <c r="M532" s="7" t="str">
        <f ca="1">IF(ISERROR(F521),"",IF(ISTEXT(P532),IF(P532="A","Ab",IF(P532="D","Dt",IF(P532="UFM","UFM",IF(P532="NA","")))),IF(AND(ISBLANK(P532),ISBLANK(R532)),"",IF(P532&lt;0.3*S532,"F",IF(ISBLANK(R532),"",IF(ISTEXT(R532),R532,IF(R532&gt;=0.9*U532,"O",IF(R532&gt;=0.85*U532,"A+",IF(R532&gt;=0.8*U532,"A",IF(R532&gt;=0.7*U532,"B+",IF(R532&gt;=0.6*U532,"B",IF(R532&gt;=0.5*U532,"C",IF(R532&gt;=0.4*U532,"P",IF(R532&lt;0.4*U532,"F",R532))))))))))))))</f>
        <v/>
      </c>
      <c r="N532" s="8" t="str">
        <f t="shared" ca="1" si="54"/>
        <v/>
      </c>
      <c r="O532">
        <f t="shared" si="55"/>
        <v>7</v>
      </c>
      <c r="P532" s="1" t="str">
        <f ca="1">IF(ISERROR(F521),"",IF(ISTEXT(VLOOKUP(B521,INDIRECT($F$8),6+(O532-1)*3)),(VLOOKUP(B521,INDIRECT($F$8),6+(O532-1)*3)),SUM(VLOOKUP(B521,INDIRECT($F$8),6+(O532-1)*3),IF(W536,W532,0))))</f>
        <v/>
      </c>
      <c r="Q532" s="1" t="str">
        <f ca="1">IF(ISERROR(F521),"",VLOOKUP(B521,INDIRECT($F$8),7+(O532-1)*3))</f>
        <v/>
      </c>
      <c r="R532" s="1" t="str">
        <f ca="1">IF(ISERROR(F521),"",SUM(P532:Q532))</f>
        <v/>
      </c>
      <c r="S532" s="1" t="str">
        <f ca="1">IF(ISERROR(F521),"",VLOOKUP(A521,INDIRECT($F$8),6+(O532-1)*3))</f>
        <v/>
      </c>
      <c r="T532" s="1" t="str">
        <f ca="1">IF(ISERROR(F521),"",VLOOKUP(A521,INDIRECT($F$8),7+(O532-1)*3))</f>
        <v/>
      </c>
      <c r="U532" s="1" t="str">
        <f ca="1">IF(ISERROR(F521),"",VLOOKUP(A521,INDIRECT($F$8),8+(O532-1)*3))</f>
        <v/>
      </c>
      <c r="V532" s="1" t="str">
        <f ca="1">IF(ISERROR(F521),"",IF(N532=0,A532,""))</f>
        <v/>
      </c>
      <c r="W532" s="1" t="str">
        <f ca="1">IF(ISERROR(F521),"",IF(ISTEXT(VLOOKUP(B521,INDIRECT($F$8),6+(O532-1)*3)),11,IF(VLOOKUP(B521,INDIRECT($F$8),6+(O532-1)*3)&lt;S532*0.3,IF(VLOOKUP(B521,INDIRECT($F$8),8+(O532-1)*3)&lt;U532*0.4,IF(AND(0.4*U532-VLOOKUP(B521,INDIRECT($F$8),8+(O532-1)*3)&lt;=5,0.3*S532-VLOOKUP(B521,INDIRECT($F$8),6+(O532-1)*3)&lt;=5),MAX(0.4*U532-VLOOKUP(B521,INDIRECT($F$8),8+(O532-1)*3),0.3*S532-VLOOKUP(B521,INDIRECT($F$8),6+(O532-1)*3)),11),IF(0.3*S532-VLOOKUP(B521,INDIRECT($F$8),6+(O532-1)*3)&lt;=5,0.3*S532-VLOOKUP(B521,INDIRECT($F$8),6+(O532-1)*3),11)),IF(VLOOKUP(B521,INDIRECT($F$8),8+(O532-1)*3)&lt;U532*0.4,IF(U532*0.4-VLOOKUP(B521,INDIRECT($F$8),8+(O532-1)*3)&lt;=5,U532*0.4-VLOOKUP(B521,INDIRECT($F$8),8+(O532-1)*3),11),0))))</f>
        <v/>
      </c>
      <c r="X532" s="1" t="str">
        <f ca="1">IF(ISERROR(F521),"",IF(W532=0,"",_xlfn.TEXTJOIN("",FALSE," G+",W532," in ",A532)))</f>
        <v/>
      </c>
    </row>
    <row r="533" spans="1:24" ht="13" customHeight="1" x14ac:dyDescent="0.2">
      <c r="A533" s="7" t="str">
        <f ca="1">IF(ISERROR(F521),"",VLOOKUP(C521,INDIRECT($F$8),6+(O533-1)*3,0))</f>
        <v/>
      </c>
      <c r="B533" s="41" t="str">
        <f ca="1">IF(ISERROR(F521),"",VLOOKUP(D521,INDIRECT($F$8),6+(O533-1)*3-Z533,0))</f>
        <v/>
      </c>
      <c r="C533" s="41"/>
      <c r="D533" s="41"/>
      <c r="E533" s="41"/>
      <c r="F533" s="7" t="str">
        <f ca="1">IF(ISERROR(F521),"",VLOOKUP(E521,INDIRECT($F$8),6+(O533-1)*3,0))</f>
        <v/>
      </c>
      <c r="G533" s="42" t="str">
        <f ca="1">IF(ISERROR(F521),"",_xlfn.TEXTJOIN("/",FALSE,P533,S533))</f>
        <v/>
      </c>
      <c r="H533" s="42"/>
      <c r="I533" s="42" t="str">
        <f ca="1">IF(ISERROR(F521),"",_xlfn.TEXTJOIN("/",FALSE,Q533,T533))</f>
        <v/>
      </c>
      <c r="J533" s="42"/>
      <c r="K533" s="42" t="str">
        <f ca="1">IF(ISERROR(F521),"",_xlfn.TEXTJOIN("/",FALSE,R533,U533))</f>
        <v/>
      </c>
      <c r="L533" s="42"/>
      <c r="M533" s="7" t="str">
        <f ca="1">IF(ISERROR(F521),"",IF(ISTEXT(P533),IF(P533="A","Ab",IF(P533="D","Dt",IF(P533="UFM","UFM",IF(P533="NA","")))),IF(AND(ISBLANK(P533),ISBLANK(R533)),"",IF(P533&lt;0.3*S533,"F",IF(ISBLANK(R533),"",IF(ISTEXT(R533),R533,IF(R533&gt;=0.9*U533,"O",IF(R533&gt;=0.85*U533,"A+",IF(R533&gt;=0.8*U533,"A",IF(R533&gt;=0.7*U533,"B+",IF(R533&gt;=0.6*U533,"B",IF(R533&gt;=0.5*U533,"C",IF(R533&gt;=0.4*U533,"P",IF(R533&lt;0.4*U533,"F",R533))))))))))))))</f>
        <v/>
      </c>
      <c r="N533" s="8" t="str">
        <f t="shared" ca="1" si="54"/>
        <v/>
      </c>
      <c r="O533">
        <f t="shared" si="55"/>
        <v>8</v>
      </c>
      <c r="P533" s="1" t="str">
        <f ca="1">IF(ISERROR(F521),"",IF(ISTEXT(VLOOKUP(B521,INDIRECT($F$8),6+(O533-1)*3)),(VLOOKUP(B521,INDIRECT($F$8),6+(O533-1)*3)),SUM(VLOOKUP(B521,INDIRECT($F$8),6+(O533-1)*3),IF(W536,W533,0))))</f>
        <v/>
      </c>
      <c r="Q533" s="1" t="str">
        <f ca="1">IF(ISERROR(F521),"",VLOOKUP(B521,INDIRECT($F$8),7+(O533-1)*3))</f>
        <v/>
      </c>
      <c r="R533" s="1" t="str">
        <f ca="1">IF(ISERROR(F521),"",SUM(P533:Q533))</f>
        <v/>
      </c>
      <c r="S533" s="1" t="str">
        <f ca="1">IF(ISERROR(F521),"",VLOOKUP(A521,INDIRECT($F$8),6+(O533-1)*3))</f>
        <v/>
      </c>
      <c r="T533" s="1" t="str">
        <f ca="1">IF(ISERROR(F521),"",VLOOKUP(A521,INDIRECT($F$8),7+(O533-1)*3))</f>
        <v/>
      </c>
      <c r="U533" s="1" t="str">
        <f ca="1">IF(ISERROR(F521),"",VLOOKUP(A521,INDIRECT($F$8),8+(O533-1)*3))</f>
        <v/>
      </c>
      <c r="V533" s="1" t="str">
        <f ca="1">IF(ISERROR(F521),"",IF(N533=0,A533,""))</f>
        <v/>
      </c>
      <c r="W533" s="1" t="str">
        <f ca="1">IF(ISERROR(F521),"",IF(ISTEXT(VLOOKUP(B521,INDIRECT($F$8),6+(O533-1)*3)),11,IF(VLOOKUP(B521,INDIRECT($F$8),6+(O533-1)*3)&lt;S533*0.3,IF(VLOOKUP(B521,INDIRECT($F$8),8+(O533-1)*3)&lt;U533*0.4,IF(AND(0.4*U533-VLOOKUP(B521,INDIRECT($F$8),8+(O533-1)*3)&lt;=5,0.3*S533-VLOOKUP(B521,INDIRECT($F$8),6+(O533-1)*3)&lt;=5),MAX(0.4*U533-VLOOKUP(B521,INDIRECT($F$8),8+(O533-1)*3),0.3*S533-VLOOKUP(B521,INDIRECT($F$8),6+(O533-1)*3)),11),IF(0.3*S533-VLOOKUP(B521,INDIRECT($F$8),6+(O533-1)*3)&lt;=5,0.3*S533-VLOOKUP(B521,INDIRECT($F$8),6+(O533-1)*3),11)),IF(VLOOKUP(B521,INDIRECT($F$8),8+(O533-1)*3)&lt;U533*0.4,IF(U533*0.4-VLOOKUP(B521,INDIRECT($F$8),8+(O533-1)*3)&lt;=5,U533*0.4-VLOOKUP(B521,INDIRECT($F$8),8+(O533-1)*3),11),0))))</f>
        <v/>
      </c>
      <c r="X533" s="1" t="str">
        <f ca="1">IF(ISERROR(F521),"",IF(W533=0,"",_xlfn.TEXTJOIN("",FALSE," G+",W533," in ",A533)))</f>
        <v/>
      </c>
    </row>
    <row r="534" spans="1:24" ht="13" customHeight="1" x14ac:dyDescent="0.2">
      <c r="A534" s="7" t="str">
        <f ca="1">IF(ISERROR(F521),"",VLOOKUP(C521,INDIRECT($F$8),6+(O534-1)*3,0))</f>
        <v/>
      </c>
      <c r="B534" s="41" t="str">
        <f ca="1">IF(ISERROR(F521),"",VLOOKUP(D521,INDIRECT($F$8),6+(O534-1)*3-Z534,0))</f>
        <v/>
      </c>
      <c r="C534" s="41"/>
      <c r="D534" s="41"/>
      <c r="E534" s="41"/>
      <c r="F534" s="7" t="str">
        <f ca="1">IF(ISERROR(F521),"",VLOOKUP(E521,INDIRECT($F$8),6+(O534-1)*3,0))</f>
        <v/>
      </c>
      <c r="G534" s="42" t="str">
        <f ca="1">IF(ISERROR(F521),"",_xlfn.TEXTJOIN("/",FALSE,P534,S534))</f>
        <v/>
      </c>
      <c r="H534" s="42"/>
      <c r="I534" s="42" t="str">
        <f ca="1">IF(ISERROR(F521),"",_xlfn.TEXTJOIN("/",FALSE,Q534,T534))</f>
        <v/>
      </c>
      <c r="J534" s="42"/>
      <c r="K534" s="42" t="str">
        <f ca="1">IF(ISERROR(F521),"",_xlfn.TEXTJOIN("/",FALSE,R534,U534))</f>
        <v/>
      </c>
      <c r="L534" s="42"/>
      <c r="M534" s="7" t="str">
        <f ca="1">IF(ISERROR(F521),"",IF(ISTEXT(P534),IF(P534="A","Ab",IF(P534="D","Dt",IF(P534="UFM","UFM",IF(P534="NA","")))),IF(AND(ISBLANK(P534),ISBLANK(R534)),"",IF(P534&lt;0.3*S534,"F",IF(ISBLANK(R534),"",IF(ISTEXT(R534),R534,IF(R534&gt;=0.9*U534,"O",IF(R534&gt;=0.85*U534,"A+",IF(R534&gt;=0.8*U534,"A",IF(R534&gt;=0.7*U534,"B+",IF(R534&gt;=0.6*U534,"B",IF(R534&gt;=0.5*U534,"C",IF(R534&gt;=0.4*U534,"P",IF(R534&lt;0.4*U534,"F",R534))))))))))))))</f>
        <v/>
      </c>
      <c r="N534" s="8" t="str">
        <f t="shared" ca="1" si="54"/>
        <v/>
      </c>
      <c r="O534">
        <f t="shared" si="55"/>
        <v>9</v>
      </c>
      <c r="P534" s="1" t="str">
        <f ca="1">IF(ISERROR(F521),"",IF(ISTEXT(VLOOKUP(B521,INDIRECT($F$8),6+(O534-1)*3)),(VLOOKUP(B521,INDIRECT($F$8),6+(O534-1)*3)),SUM(VLOOKUP(B521,INDIRECT($F$8),6+(O534-1)*3),IF(W536,W534,0))))</f>
        <v/>
      </c>
      <c r="Q534" s="1" t="str">
        <f ca="1">IF(ISERROR(F521),"",VLOOKUP(B521,INDIRECT($F$8),7+(O534-1)*3))</f>
        <v/>
      </c>
      <c r="R534" s="1" t="str">
        <f ca="1">IF(ISERROR(F521),"",SUM(P534:Q534))</f>
        <v/>
      </c>
      <c r="S534" s="1" t="str">
        <f ca="1">IF(ISERROR(F521),"",VLOOKUP(A521,INDIRECT($F$8),6+(O534-1)*3))</f>
        <v/>
      </c>
      <c r="T534" s="1" t="str">
        <f ca="1">IF(ISERROR(F521),"",VLOOKUP(A521,INDIRECT($F$8),7+(O534-1)*3))</f>
        <v/>
      </c>
      <c r="U534" s="1" t="str">
        <f ca="1">IF(ISERROR(F521),"",VLOOKUP(A521,INDIRECT($F$8),8+(O534-1)*3))</f>
        <v/>
      </c>
      <c r="V534" s="1" t="str">
        <f ca="1">IF(ISERROR(F521),"",IF(N534=0,A534,""))</f>
        <v/>
      </c>
      <c r="W534" s="1" t="str">
        <f ca="1">IF(ISERROR(F521),"",IF(ISTEXT(VLOOKUP(B521,INDIRECT($F$8),6+(O534-1)*3)),11,IF(VLOOKUP(B521,INDIRECT($F$8),6+(O534-1)*3)&lt;S534*0.3,IF(VLOOKUP(B521,INDIRECT($F$8),8+(O534-1)*3)&lt;U534*0.4,IF(AND(0.4*U534-VLOOKUP(B521,INDIRECT($F$8),8+(O534-1)*3)&lt;=5,0.3*S534-VLOOKUP(B521,INDIRECT($F$8),6+(O534-1)*3)&lt;=5),MAX(0.4*U534-VLOOKUP(B521,INDIRECT($F$8),8+(O534-1)*3),0.3*S534-VLOOKUP(B521,INDIRECT($F$8),6+(O534-1)*3)),11),IF(0.3*S534-VLOOKUP(B521,INDIRECT($F$8),6+(O534-1)*3)&lt;=5,0.3*S534-VLOOKUP(B521,INDIRECT($F$8),6+(O534-1)*3),11)),IF(VLOOKUP(B521,INDIRECT($F$8),8+(O534-1)*3)&lt;U534*0.4,IF(U534*0.4-VLOOKUP(B521,INDIRECT($F$8),8+(O534-1)*3)&lt;=5,U534*0.4-VLOOKUP(B521,INDIRECT($F$8),8+(O534-1)*3),11),0))))</f>
        <v/>
      </c>
      <c r="X534" s="1" t="str">
        <f ca="1">IF(ISERROR(F521),"",IF(W534=0,"",_xlfn.TEXTJOIN("",FALSE," G+",W534," in ",A534)))</f>
        <v/>
      </c>
    </row>
    <row r="535" spans="1:24" ht="13" customHeight="1" x14ac:dyDescent="0.2">
      <c r="A535" s="7" t="str">
        <f ca="1">IF(ISERROR(F521),"",VLOOKUP(C521,INDIRECT($F$8),6+(O535-1)*3,0))</f>
        <v/>
      </c>
      <c r="B535" s="41" t="str">
        <f ca="1">IF(ISERROR(F521),"",VLOOKUP(D521,INDIRECT($F$8),6+(O535-1)*3,0))</f>
        <v/>
      </c>
      <c r="C535" s="41"/>
      <c r="D535" s="41"/>
      <c r="E535" s="41"/>
      <c r="F535" s="7" t="str">
        <f ca="1">IF(ISERROR(F521),"",VLOOKUP(E521,INDIRECT($F$8),6+(O535-1)*3,0))</f>
        <v/>
      </c>
      <c r="G535" s="42" t="str">
        <f ca="1">IF(ISERROR(F521),"",_xlfn.TEXTJOIN("/",FALSE,P535,S535))</f>
        <v/>
      </c>
      <c r="H535" s="42"/>
      <c r="I535" s="42" t="str">
        <f ca="1">IF(ISERROR(F521),"",_xlfn.TEXTJOIN("/",FALSE,Q535,T535))</f>
        <v/>
      </c>
      <c r="J535" s="42"/>
      <c r="K535" s="42" t="str">
        <f ca="1">IF(ISERROR(F521),"",_xlfn.TEXTJOIN("/",FALSE,R535,U535))</f>
        <v/>
      </c>
      <c r="L535" s="42"/>
      <c r="M535" s="7" t="str">
        <f ca="1">IF(ISERROR(F521),"",IF(ISTEXT(P535),IF(P535="A","Ab",IF(P535="D","Dt",IF(P535="UFM","UFM",IF(P535="NA","")))),IF(AND(ISBLANK(P535),ISBLANK(R535)),"",IF(P535&lt;0.3*S535,"F",IF(ISBLANK(R535),"",IF(ISTEXT(R535),R535,IF(R535&gt;=0.9*U535,"O",IF(R535&gt;=0.85*U535,"A+",IF(R535&gt;=0.8*U535,"A",IF(R535&gt;=0.7*U535,"B+",IF(R535&gt;=0.6*U535,"B",IF(R535&gt;=0.5*U535,"C",IF(R535&gt;=0.4*U535,"P",IF(R535&lt;0.4*U535,"F",R535))))))))))))))</f>
        <v/>
      </c>
      <c r="N535" s="8" t="str">
        <f t="shared" ca="1" si="54"/>
        <v/>
      </c>
      <c r="O535">
        <f t="shared" si="55"/>
        <v>10</v>
      </c>
      <c r="P535" s="1" t="str">
        <f ca="1">IF(ISERROR(F521),"",IF(ISTEXT(VLOOKUP(B521,INDIRECT($F$8),6+(O535-1)*3)),(VLOOKUP(B521,INDIRECT($F$8),6+(O535-1)*3)),SUM(VLOOKUP(B521,INDIRECT($F$8),6+(O535-1)*3),IF(W536,W535,0))))</f>
        <v/>
      </c>
      <c r="Q535" s="1" t="str">
        <f ca="1">IF(ISERROR(F521),"",VLOOKUP(B521,INDIRECT($F$8),7+(O535-1)*3))</f>
        <v/>
      </c>
      <c r="R535" s="1" t="str">
        <f ca="1">IF(ISERROR(F521),"",SUM(P535:Q535))</f>
        <v/>
      </c>
      <c r="S535" s="1" t="str">
        <f ca="1">IF(ISERROR(F521),"",VLOOKUP(A521,INDIRECT($F$8),6+(O535-1)*3))</f>
        <v/>
      </c>
      <c r="T535" s="1" t="str">
        <f ca="1">IF(ISERROR(F521),"",VLOOKUP(A521,INDIRECT($F$8),7+(O535-1)*3))</f>
        <v/>
      </c>
      <c r="U535" s="1" t="str">
        <f ca="1">IF(ISERROR(F521),"",VLOOKUP(A521,INDIRECT($F$8),8+(O535-1)*3))</f>
        <v/>
      </c>
      <c r="V535" s="1" t="str">
        <f ca="1">IF(ISERROR(F521),"",IF(N535=0,A535,""))</f>
        <v/>
      </c>
      <c r="W535" s="1" t="str">
        <f ca="1">IF(ISERROR(F521),"",IF(ISTEXT(VLOOKUP(B521,INDIRECT($F$8),6+(O535-1)*3)),11,IF(VLOOKUP(B521,INDIRECT($F$8),6+(O535-1)*3)&lt;S535*0.3,IF(VLOOKUP(B521,INDIRECT($F$8),8+(O535-1)*3)&lt;U535*0.4,IF(AND(0.4*U535-VLOOKUP(B521,INDIRECT($F$8),8+(O535-1)*3)&lt;=5,0.3*S535-VLOOKUP(B521,INDIRECT($F$8),6+(O535-1)*3)&lt;=5),MAX(0.4*U535-VLOOKUP(B521,INDIRECT($F$8),8+(O535-1)*3),0.3*S535-VLOOKUP(B521,INDIRECT($F$8),6+(O535-1)*3)),11),IF(0.3*S535-VLOOKUP(B521,INDIRECT($F$8),6+(O535-1)*3)&lt;=5,0.3*S535-VLOOKUP(B521,INDIRECT($F$8),6+(O535-1)*3),11)),IF(VLOOKUP(B521,INDIRECT($F$8),8+(O535-1)*3)&lt;U535*0.4,IF(U535*0.4-VLOOKUP(B521,INDIRECT($F$8),8+(O535-1)*3)&lt;=5,U535*0.4-VLOOKUP(B521,INDIRECT($F$8),8+(O535-1)*3),11),0))))</f>
        <v/>
      </c>
      <c r="X535" s="1" t="str">
        <f ca="1">IF(ISERROR(F521),"",IF(W535=0,"",_xlfn.TEXTJOIN("",FALSE," G+",W535," in ",A535)))</f>
        <v/>
      </c>
    </row>
    <row r="536" spans="1:24" ht="13" customHeight="1" x14ac:dyDescent="0.2">
      <c r="A536" s="43" t="str">
        <f ca="1">IF(ISERROR(F521),"",A517)</f>
        <v/>
      </c>
      <c r="B536" s="43"/>
      <c r="C536" s="43"/>
      <c r="D536" s="43"/>
      <c r="E536" s="43"/>
      <c r="F536" s="10" t="str">
        <f ca="1">IF(ISERROR(F521),"",SUM(F526:F535))</f>
        <v/>
      </c>
      <c r="G536" s="44" t="str">
        <f ca="1">IF(ISERROR(F521),"",_xlfn.TEXTJOIN("/",TRUE,SUMIF(F526:F535,"&gt;0",P526:P535),SUMIF(F526:F535,"&gt;0",S526:S535)))</f>
        <v/>
      </c>
      <c r="H536" s="44"/>
      <c r="I536" s="44" t="str">
        <f ca="1">IF(ISERROR(F521),"",_xlfn.TEXTJOIN("/",TRUE,SUMIF(F526:F535,"&gt;0",Q526:Q535),SUMIF(F526:F535,"&gt;0",T526:T535)))</f>
        <v/>
      </c>
      <c r="J536" s="44"/>
      <c r="K536" s="44" t="str">
        <f ca="1">IF(ISERROR(F521),"",_xlfn.TEXTJOIN("/",TRUE,SUMIF(F526:F535,"&gt;0",R526:R535),SUMIF(F526:F535,"&gt;0",U526:U535)))</f>
        <v/>
      </c>
      <c r="L536" s="44"/>
      <c r="M536" s="43" t="str">
        <f ca="1">IF(ISERROR(F521),"",SUMPRODUCT(N526:N535,F526:F535))</f>
        <v/>
      </c>
      <c r="N536" s="43"/>
      <c r="V536" s="1" t="str">
        <f ca="1">IF(ISERROR(F521),"",_xlfn.TEXTJOIN(", ",TRUE,V526:V535))</f>
        <v/>
      </c>
      <c r="W536" t="str">
        <f ca="1">IF(ISERROR(F521),"",IF(SUM(W526:W535)&lt;=W525,TRUE,FALSE))</f>
        <v/>
      </c>
      <c r="X536" s="1" t="str">
        <f ca="1">IF(ISERROR(F521),"",_xlfn.TEXTJOIN(",",TRUE,X526:X535))</f>
        <v/>
      </c>
    </row>
    <row r="537" spans="1:24" ht="13" customHeight="1" x14ac:dyDescent="0.2">
      <c r="A537" s="43" t="str">
        <f ca="1">IF(ISERROR(F521),"",A518)</f>
        <v/>
      </c>
      <c r="B537" s="45" t="str">
        <f ca="1">IF(ISERROR(F521),"",IF(V536="","PASS","CARRY OVER"))</f>
        <v/>
      </c>
      <c r="C537" s="45"/>
      <c r="D537" s="43" t="str">
        <f ca="1">IF(ISERROR(F521),"",D518)</f>
        <v/>
      </c>
      <c r="E537" s="45" t="str">
        <f ca="1">IF(ISERROR(F521),"",IF(V536="",IF(X536="","",X536),_xlfn.TEXTJOIN(" ",TRUE,"BACK IN",V536)))</f>
        <v/>
      </c>
      <c r="F537" s="45"/>
      <c r="G537" s="43" t="str">
        <f ca="1">IF(ISERROR(F521),"",G518)</f>
        <v/>
      </c>
      <c r="H537" s="46" t="str">
        <f ca="1">IF(ISERROR(F521),"",M536/F536)</f>
        <v/>
      </c>
      <c r="I537" s="43" t="str">
        <f ca="1">IF(ISERROR(F521),"",I518)</f>
        <v/>
      </c>
      <c r="J537" s="46" t="str">
        <f ca="1">IF(ISERROR(F521),"",VLOOKUP(B521,INDIRECT($F$8),12+(O535-1)*3,0))</f>
        <v/>
      </c>
      <c r="K537" s="45" t="str">
        <f ca="1">IF(ISERROR(F521),"",K518)</f>
        <v/>
      </c>
      <c r="L537" s="43" t="str">
        <f ca="1">IF(ISERROR(F521),"",SUMIF(N526:N535,"&gt;0",F526:F535))</f>
        <v/>
      </c>
      <c r="M537" s="45" t="str">
        <f ca="1">IF(ISERROR(F521),"",M518)</f>
        <v/>
      </c>
      <c r="N537" s="43" t="str">
        <f ca="1">IF(ISERROR(F521),"",VLOOKUP(B521,INDIRECT($F$8),10+(O535-1)*3,0))</f>
        <v/>
      </c>
    </row>
    <row r="538" spans="1:24" ht="13" customHeight="1" x14ac:dyDescent="0.2">
      <c r="A538" s="43"/>
      <c r="B538" s="45"/>
      <c r="C538" s="45"/>
      <c r="D538" s="43"/>
      <c r="E538" s="45"/>
      <c r="F538" s="45"/>
      <c r="G538" s="43"/>
      <c r="H538" s="46"/>
      <c r="I538" s="43"/>
      <c r="J538" s="46"/>
      <c r="K538" s="45"/>
      <c r="L538" s="43"/>
      <c r="M538" s="45"/>
      <c r="N538" s="43"/>
    </row>
    <row r="539" spans="1:24" ht="13" customHeight="1" x14ac:dyDescent="0.2">
      <c r="A539" s="43"/>
      <c r="B539" s="45"/>
      <c r="C539" s="45"/>
      <c r="D539" s="43"/>
      <c r="E539" s="45"/>
      <c r="F539" s="45"/>
      <c r="G539" s="43"/>
      <c r="H539" s="46"/>
      <c r="I539" s="43"/>
      <c r="J539" s="46"/>
      <c r="K539" s="45"/>
      <c r="L539" s="43"/>
      <c r="M539" s="45"/>
      <c r="N539" s="43"/>
    </row>
    <row r="540" spans="1:24" ht="13" customHeight="1" x14ac:dyDescent="0.2">
      <c r="A540" s="11" t="str">
        <f>A521</f>
        <v>MM</v>
      </c>
      <c r="B540" s="11">
        <f>B521+1</f>
        <v>29</v>
      </c>
      <c r="C540" s="11" t="str">
        <f>C521</f>
        <v>SC</v>
      </c>
      <c r="D540" s="11" t="str">
        <f>D521</f>
        <v>SN</v>
      </c>
      <c r="E540" s="11" t="str">
        <f>E521</f>
        <v>C</v>
      </c>
      <c r="F540" s="11" t="e">
        <f ca="1">VLOOKUP(B540,INDIRECT($F$8),4,0)</f>
        <v>#N/A</v>
      </c>
    </row>
    <row r="541" spans="1:24" ht="13" customHeight="1" x14ac:dyDescent="0.2">
      <c r="A541" s="47" t="str">
        <f ca="1">IF(ISERROR(F540),"",A522)</f>
        <v/>
      </c>
      <c r="B541" s="47" t="str">
        <f ca="1">IFERROR(VLOOKUP(B540,INDIRECT($F$8),4,0),"")</f>
        <v/>
      </c>
      <c r="C541" s="47"/>
      <c r="D541" s="47" t="str">
        <f ca="1">IF(ISERROR(F540),"",D522)</f>
        <v/>
      </c>
      <c r="E541" s="47" t="str">
        <f ca="1">IFERROR(VLOOKUP(B540,INDIRECT($F$8),5,0),"")</f>
        <v/>
      </c>
      <c r="F541" s="47"/>
      <c r="G541" s="47" t="str">
        <f ca="1">IF(ISERROR(F540),"",G522)</f>
        <v/>
      </c>
      <c r="H541" s="47"/>
      <c r="I541" s="48" t="str">
        <f ca="1">IFERROR(VLOOKUP(B540,INDIRECT($F$8),2,0),"")</f>
        <v/>
      </c>
      <c r="J541" s="48"/>
      <c r="K541" s="47" t="str">
        <f ca="1">IF(ISERROR(F540),"",K522)</f>
        <v/>
      </c>
      <c r="L541" s="47"/>
      <c r="M541" s="48" t="str">
        <f ca="1">IFERROR(VLOOKUP(B540,INDIRECT($F$8),3,0),"")</f>
        <v/>
      </c>
      <c r="N541" s="48"/>
    </row>
    <row r="542" spans="1:24" ht="13" customHeight="1" x14ac:dyDescent="0.2">
      <c r="A542" s="47"/>
      <c r="B542" s="47"/>
      <c r="C542" s="47"/>
      <c r="D542" s="47"/>
      <c r="E542" s="47"/>
      <c r="F542" s="47"/>
      <c r="G542" s="47"/>
      <c r="H542" s="47"/>
      <c r="I542" s="48"/>
      <c r="J542" s="48"/>
      <c r="K542" s="47"/>
      <c r="L542" s="47"/>
      <c r="M542" s="48"/>
      <c r="N542" s="48"/>
    </row>
    <row r="543" spans="1:24" ht="13" customHeight="1" x14ac:dyDescent="0.2">
      <c r="A543" s="45" t="str">
        <f ca="1">IF(ISERROR(F540),"",A524)</f>
        <v/>
      </c>
      <c r="B543" s="45" t="str">
        <f ca="1">IF(ISERROR(F540),"",B524)</f>
        <v/>
      </c>
      <c r="C543" s="45"/>
      <c r="D543" s="45"/>
      <c r="E543" s="45"/>
      <c r="F543" s="45" t="str">
        <f ca="1">IF(ISERROR(F540),"",F524)</f>
        <v/>
      </c>
      <c r="G543" s="45" t="str">
        <f ca="1">IF(ISERROR(F540),"",G524)</f>
        <v/>
      </c>
      <c r="H543" s="45"/>
      <c r="I543" s="45" t="str">
        <f ca="1">IF(ISERROR(F540),"",I524)</f>
        <v/>
      </c>
      <c r="J543" s="45"/>
      <c r="K543" s="45" t="str">
        <f ca="1">IF(ISERROR(F540),"",K524)</f>
        <v/>
      </c>
      <c r="L543" s="45"/>
      <c r="M543" s="45" t="str">
        <f ca="1">IF(ISERROR(F540),"",M524)</f>
        <v/>
      </c>
      <c r="N543" s="45" t="str">
        <f ca="1">IF(ISERROR(F540),"",N524)</f>
        <v/>
      </c>
    </row>
    <row r="544" spans="1:24" ht="13" customHeight="1" x14ac:dyDescent="0.2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W544" t="e">
        <f ca="1">IF(ISNUMBER(MATCH($F$8,{"I","III","V","VII"},0)),10,10-INDEX(INDIRECT(_xlfn.TEXTJOIN("",TRUE,"SEM_",$G$8,"!",ADDRESS(6,4+$I$8*3+4),":",ADDRESS(5+$H$8,4+$I$8*3+4))),MATCH(INDIRECT(_xlfn.TEXTJOIN("",TRUE,"TC_",$F$8,"!",ADDRESS(ROW(I541),COLUMN(I541)))),INDIRECT(_xlfn.TEXTJOIN("",TRUE,"SEM_",$G$8,"!",ADDRESS(6,2),":",ADDRESS(5+$H$8,2))))))</f>
        <v>#N/A</v>
      </c>
    </row>
    <row r="545" spans="1:24" ht="13" customHeight="1" x14ac:dyDescent="0.2">
      <c r="A545" s="7" t="str">
        <f ca="1">IF(ISERROR(F540),"",VLOOKUP(C540,INDIRECT($F$8),6+(O545-1)*3,0))</f>
        <v/>
      </c>
      <c r="B545" s="41" t="str">
        <f ca="1">IF(ISERROR(F540),"",VLOOKUP(D540,INDIRECT($F$8),6+(O545-1)*3,0))</f>
        <v/>
      </c>
      <c r="C545" s="41"/>
      <c r="D545" s="41"/>
      <c r="E545" s="41"/>
      <c r="F545" s="7" t="str">
        <f ca="1">IF(ISERROR(F540),"",VLOOKUP(E540,INDIRECT($F$8),6+(O545-1)*3,0))</f>
        <v/>
      </c>
      <c r="G545" s="42" t="str">
        <f ca="1">IF(ISERROR(F540),"",_xlfn.TEXTJOIN("/",FALSE,P545,S545))</f>
        <v/>
      </c>
      <c r="H545" s="42"/>
      <c r="I545" s="42" t="str">
        <f ca="1">IF(ISERROR(F540),"",_xlfn.TEXTJOIN("/",FALSE,Q545,T545))</f>
        <v/>
      </c>
      <c r="J545" s="42"/>
      <c r="K545" s="42" t="str">
        <f ca="1">IF(ISERROR(F540),"",_xlfn.TEXTJOIN("/",FALSE,R545,U545))</f>
        <v/>
      </c>
      <c r="L545" s="42"/>
      <c r="M545" s="7" t="str">
        <f ca="1">IF(ISERROR(F540),"",IF(ISTEXT(P545),IF(P545="A","Ab",IF(P545="D","Dt",IF(P545="UFM","UFM",IF(P545="NA","")))),IF(AND(ISBLANK(P545),ISBLANK(R545)),"",IF(P545&lt;0.3*S545,"F",IF(ISBLANK(R545),"",IF(ISTEXT(R545),R545,IF(R545&gt;=0.9*U545,"O",IF(R545&gt;=0.85*U545,"A+",IF(R545&gt;=0.8*U545,"A",IF(R545&gt;=0.7*U545,"B+",IF(R545&gt;=0.6*U545,"B",IF(R545&gt;=0.5*U545,"C",IF(R545&gt;=0.4*U545,"P",IF(R545&lt;0.4*U545,"F",R545))))))))))))))</f>
        <v/>
      </c>
      <c r="N545" s="8" t="str">
        <f t="shared" ref="N545:N554" ca="1" si="56">INDEX($Z$2:$Z$13,MATCH(M545,$Y$2:$Y$13,0))</f>
        <v/>
      </c>
      <c r="O545">
        <v>1</v>
      </c>
      <c r="P545" s="1" t="str">
        <f ca="1">IF(ISERROR(F540),"",IF(ISTEXT(VLOOKUP(B540,INDIRECT($F$8),6+(O545-1)*3)),(VLOOKUP(B540,INDIRECT($F$8),6+(O545-1)*3)),SUM(VLOOKUP(B540,INDIRECT($F$8),6+(O545-1)*3),IF(W555,W545,0))))</f>
        <v/>
      </c>
      <c r="Q545" s="1" t="str">
        <f ca="1">IF(ISERROR(F540),"",VLOOKUP(B540,INDIRECT($F$8),7+(O545-1)*3))</f>
        <v/>
      </c>
      <c r="R545" s="1" t="str">
        <f ca="1">IF(ISERROR(F540),"",SUM(P545:Q545))</f>
        <v/>
      </c>
      <c r="S545" s="1" t="str">
        <f ca="1">IF(ISERROR(F540),"",VLOOKUP(A540,INDIRECT($F$8),6+(O545-1)*3))</f>
        <v/>
      </c>
      <c r="T545" s="1" t="str">
        <f ca="1">IF(ISERROR(F540),"",VLOOKUP(A540,INDIRECT($F$8),7+(O545-1)*3))</f>
        <v/>
      </c>
      <c r="U545" s="1" t="str">
        <f ca="1">IF(ISERROR(F540),"",VLOOKUP(A540,INDIRECT($F$8),8+(O545-1)*3))</f>
        <v/>
      </c>
      <c r="V545" s="1" t="str">
        <f ca="1">IF(ISERROR(F540),"",IF(N545=0,A545,""))</f>
        <v/>
      </c>
      <c r="W545" s="1" t="str">
        <f ca="1">IF(ISERROR(F540),"",IF(ISTEXT(VLOOKUP(B540,INDIRECT($F$8),6+(O545-1)*3)),11,IF(VLOOKUP(B540,INDIRECT($F$8),6+(O545-1)*3)&lt;S545*0.3,IF(VLOOKUP(B540,INDIRECT($F$8),8+(O545-1)*3)&lt;U545*0.4,IF(AND(0.4*U545-VLOOKUP(B540,INDIRECT($F$8),8+(O545-1)*3)&lt;=5,0.3*S545-VLOOKUP(B540,INDIRECT($F$8),6+(O545-1)*3)&lt;=5),MAX(0.4*U545-VLOOKUP(B540,INDIRECT($F$8),8+(O545-1)*3),0.3*S545-VLOOKUP(B540,INDIRECT($F$8),6+(O545-1)*3)),11),IF(0.3*S545-VLOOKUP(B540,INDIRECT($F$8),6+(O545-1)*3)&lt;=5,0.3*S545-VLOOKUP(B540,INDIRECT($F$8),6+(O545-1)*3),11)),IF(VLOOKUP(B540,INDIRECT($F$8),8+(O545-1)*3)&lt;U545*0.4,IF(U545*0.4-VLOOKUP(B540,INDIRECT($F$8),8+(O545-1)*3)&lt;=5,U545*0.4-VLOOKUP(B540,INDIRECT($F$8),8+(O545-1)*3),11),0))))</f>
        <v/>
      </c>
      <c r="X545" s="1" t="str">
        <f ca="1">IF(ISERROR(F540),"",IF(W545=0,"",_xlfn.TEXTJOIN("",FALSE," G+",W545," in ",A545)))</f>
        <v/>
      </c>
    </row>
    <row r="546" spans="1:24" ht="13" customHeight="1" x14ac:dyDescent="0.2">
      <c r="A546" s="7" t="str">
        <f ca="1">IF(ISERROR(F540),"",VLOOKUP(C540,INDIRECT($F$8),6+(O546-1)*3,0))</f>
        <v/>
      </c>
      <c r="B546" s="41" t="str">
        <f ca="1">IF(ISERROR(F540),"",VLOOKUP(D540,INDIRECT($F$8),6+(O546-1)*3,0))</f>
        <v/>
      </c>
      <c r="C546" s="41"/>
      <c r="D546" s="41"/>
      <c r="E546" s="41"/>
      <c r="F546" s="7" t="str">
        <f ca="1">IF(ISERROR(F540),"",VLOOKUP(E540,INDIRECT($F$8),6+(O546-1)*3,0))</f>
        <v/>
      </c>
      <c r="G546" s="42" t="str">
        <f ca="1">IF(ISERROR(F540),"",_xlfn.TEXTJOIN("/",FALSE,P546,S546))</f>
        <v/>
      </c>
      <c r="H546" s="42"/>
      <c r="I546" s="42" t="str">
        <f ca="1">IF(ISERROR(F540),"",_xlfn.TEXTJOIN("/",FALSE,Q546,T546))</f>
        <v/>
      </c>
      <c r="J546" s="42"/>
      <c r="K546" s="42" t="str">
        <f ca="1">IF(ISERROR(F540),"",_xlfn.TEXTJOIN("/",FALSE,R546,U546))</f>
        <v/>
      </c>
      <c r="L546" s="42"/>
      <c r="M546" s="7" t="str">
        <f ca="1">IF(ISERROR(F540),"",IF(ISTEXT(P546),IF(P546="A","Ab",IF(P546="D","Dt",IF(P546="UFM","UFM",IF(P546="NA","")))),IF(AND(ISBLANK(P546),ISBLANK(R546)),"",IF(P546&lt;0.3*S546,"F",IF(ISBLANK(R546),"",IF(ISTEXT(R546),R546,IF(R546&gt;=0.9*U546,"O",IF(R546&gt;=0.85*U546,"A+",IF(R546&gt;=0.8*U546,"A",IF(R546&gt;=0.7*U546,"B+",IF(R546&gt;=0.6*U546,"B",IF(R546&gt;=0.5*U546,"C",IF(R546&gt;=0.4*U546,"P",IF(R546&lt;0.4*U546,"F",R546))))))))))))))</f>
        <v/>
      </c>
      <c r="N546" s="8" t="str">
        <f t="shared" ca="1" si="56"/>
        <v/>
      </c>
      <c r="O546">
        <f>O545+1</f>
        <v>2</v>
      </c>
      <c r="P546" s="1" t="str">
        <f ca="1">IF(ISERROR(F540),"",IF(ISTEXT(VLOOKUP(B540,INDIRECT($F$8),6+(O546-1)*3)),(VLOOKUP(B540,INDIRECT($F$8),6+(O546-1)*3)),SUM(VLOOKUP(B540,INDIRECT($F$8),6+(O546-1)*3),IF(W555,W546,0))))</f>
        <v/>
      </c>
      <c r="Q546" s="1" t="str">
        <f ca="1">IF(ISERROR(F540),"",VLOOKUP(B540,INDIRECT($F$8),7+(O546-1)*3))</f>
        <v/>
      </c>
      <c r="R546" s="1" t="str">
        <f ca="1">IF(ISERROR(F540),"",SUM(P546:Q546))</f>
        <v/>
      </c>
      <c r="S546" s="1" t="str">
        <f ca="1">IF(ISERROR(F540),"",VLOOKUP(A540,INDIRECT($F$8),6+(O546-1)*3))</f>
        <v/>
      </c>
      <c r="T546" s="1" t="str">
        <f ca="1">IF(ISERROR(F540),"",VLOOKUP(A540,INDIRECT($F$8),7+(O546-1)*3))</f>
        <v/>
      </c>
      <c r="U546" s="1" t="str">
        <f ca="1">IF(ISERROR(F540),"",VLOOKUP(A540,INDIRECT($F$8),8+(O546-1)*3))</f>
        <v/>
      </c>
      <c r="V546" s="1" t="str">
        <f ca="1">IF(ISERROR(F540),"",IF(N546=0,A546,""))</f>
        <v/>
      </c>
      <c r="W546" s="1" t="str">
        <f ca="1">IF(ISERROR(F540),"",IF(ISTEXT(VLOOKUP(B540,INDIRECT($F$8),6+(O546-1)*3)),11,IF(VLOOKUP(B540,INDIRECT($F$8),6+(O546-1)*3)&lt;S546*0.3,IF(VLOOKUP(B540,INDIRECT($F$8),8+(O546-1)*3)&lt;U546*0.4,IF(AND(0.4*U546-VLOOKUP(B540,INDIRECT($F$8),8+(O546-1)*3)&lt;=5,0.3*S546-VLOOKUP(B540,INDIRECT($F$8),6+(O546-1)*3)&lt;=5),MAX(0.4*U546-VLOOKUP(B540,INDIRECT($F$8),8+(O546-1)*3),0.3*S546-VLOOKUP(B540,INDIRECT($F$8),6+(O546-1)*3)),11),IF(0.3*S546-VLOOKUP(B540,INDIRECT($F$8),6+(O546-1)*3)&lt;=5,0.3*S546-VLOOKUP(B540,INDIRECT($F$8),6+(O546-1)*3),11)),IF(VLOOKUP(B540,INDIRECT($F$8),8+(O546-1)*3)&lt;U546*0.4,IF(U546*0.4-VLOOKUP(B540,INDIRECT($F$8),8+(O546-1)*3)&lt;=5,U546*0.4-VLOOKUP(B540,INDIRECT($F$8),8+(O546-1)*3),11),0))))</f>
        <v/>
      </c>
      <c r="X546" s="1" t="str">
        <f ca="1">IF(ISERROR(F540),"",IF(W546=0,"",_xlfn.TEXTJOIN("",FALSE," G+",W546," in ",A546)))</f>
        <v/>
      </c>
    </row>
    <row r="547" spans="1:24" ht="13" customHeight="1" x14ac:dyDescent="0.2">
      <c r="A547" s="7" t="str">
        <f ca="1">IF(ISERROR(F540),"",VLOOKUP(C540,INDIRECT($F$8),6+(O547-1)*3,0))</f>
        <v/>
      </c>
      <c r="B547" s="41" t="str">
        <f ca="1">IF(ISERROR(F540),"",VLOOKUP(D540,INDIRECT($F$8),6+(O547-1)*3,0))</f>
        <v/>
      </c>
      <c r="C547" s="41"/>
      <c r="D547" s="41"/>
      <c r="E547" s="41"/>
      <c r="F547" s="7" t="str">
        <f ca="1">IF(ISERROR(F540),"",VLOOKUP(E540,INDIRECT($F$8),6+(O547-1)*3,0))</f>
        <v/>
      </c>
      <c r="G547" s="42" t="str">
        <f ca="1">IF(ISERROR(F540),"",_xlfn.TEXTJOIN("/",FALSE,P547,S547))</f>
        <v/>
      </c>
      <c r="H547" s="42"/>
      <c r="I547" s="42" t="str">
        <f ca="1">IF(ISERROR(F540),"",_xlfn.TEXTJOIN("/",FALSE,Q547,T547))</f>
        <v/>
      </c>
      <c r="J547" s="42"/>
      <c r="K547" s="42" t="str">
        <f ca="1">IF(ISERROR(F540),"",_xlfn.TEXTJOIN("/",FALSE,R547,U547))</f>
        <v/>
      </c>
      <c r="L547" s="42"/>
      <c r="M547" s="7" t="str">
        <f ca="1">IF(ISERROR(F540),"",IF(ISTEXT(P547),IF(P547="A","Ab",IF(P547="D","Dt",IF(P547="UFM","UFM",IF(P547="NA","")))),IF(AND(ISBLANK(P547),ISBLANK(R547)),"",IF(P547&lt;0.3*S547,"F",IF(ISBLANK(R547),"",IF(ISTEXT(R547),R547,IF(R547&gt;=0.9*U547,"O",IF(R547&gt;=0.85*U547,"A+",IF(R547&gt;=0.8*U547,"A",IF(R547&gt;=0.7*U547,"B+",IF(R547&gt;=0.6*U547,"B",IF(R547&gt;=0.5*U547,"C",IF(R547&gt;=0.4*U547,"P",IF(R547&lt;0.4*U547,"F",R547))))))))))))))</f>
        <v/>
      </c>
      <c r="N547" s="8" t="str">
        <f t="shared" ca="1" si="56"/>
        <v/>
      </c>
      <c r="O547">
        <f>O546+1</f>
        <v>3</v>
      </c>
      <c r="P547" s="1" t="str">
        <f ca="1">IF(ISERROR(F540),"",IF(ISTEXT(VLOOKUP(B540,INDIRECT($F$8),6+(O547-1)*3)),(VLOOKUP(B540,INDIRECT($F$8),6+(O547-1)*3)),SUM(VLOOKUP(B540,INDIRECT($F$8),6+(O547-1)*3),IF(W555,W547,0))))</f>
        <v/>
      </c>
      <c r="Q547" s="1" t="str">
        <f ca="1">IF(ISERROR(F540),"",VLOOKUP(B540,INDIRECT($F$8),7+(O547-1)*3))</f>
        <v/>
      </c>
      <c r="R547" s="1" t="str">
        <f ca="1">IF(ISERROR(F540),"",SUM(P547:Q547))</f>
        <v/>
      </c>
      <c r="S547" s="1" t="str">
        <f ca="1">IF(ISERROR(F540),"",VLOOKUP(A540,INDIRECT($F$8),6+(O547-1)*3))</f>
        <v/>
      </c>
      <c r="T547" s="1" t="str">
        <f ca="1">IF(ISERROR(F540),"",VLOOKUP(A540,INDIRECT($F$8),7+(O547-1)*3))</f>
        <v/>
      </c>
      <c r="U547" s="1" t="str">
        <f ca="1">IF(ISERROR(F540),"",VLOOKUP(A540,INDIRECT($F$8),8+(O547-1)*3))</f>
        <v/>
      </c>
      <c r="V547" s="1" t="str">
        <f ca="1">IF(ISERROR(F540),"",IF(N547=0,A547,""))</f>
        <v/>
      </c>
      <c r="W547" s="1" t="str">
        <f ca="1">IF(ISERROR(F540),"",IF(ISTEXT(VLOOKUP(B540,INDIRECT($F$8),6+(O547-1)*3)),11,IF(VLOOKUP(B540,INDIRECT($F$8),6+(O547-1)*3)&lt;S547*0.3,IF(VLOOKUP(B540,INDIRECT($F$8),8+(O547-1)*3)&lt;U547*0.4,IF(AND(0.4*U547-VLOOKUP(B540,INDIRECT($F$8),8+(O547-1)*3)&lt;=5,0.3*S547-VLOOKUP(B540,INDIRECT($F$8),6+(O547-1)*3)&lt;=5),MAX(0.4*U547-VLOOKUP(B540,INDIRECT($F$8),8+(O547-1)*3),0.3*S547-VLOOKUP(B540,INDIRECT($F$8),6+(O547-1)*3)),11),IF(0.3*S547-VLOOKUP(B540,INDIRECT($F$8),6+(O547-1)*3)&lt;=5,0.3*S547-VLOOKUP(B540,INDIRECT($F$8),6+(O547-1)*3),11)),IF(VLOOKUP(B540,INDIRECT($F$8),8+(O547-1)*3)&lt;U547*0.4,IF(U547*0.4-VLOOKUP(B540,INDIRECT($F$8),8+(O547-1)*3)&lt;=5,U547*0.4-VLOOKUP(B540,INDIRECT($F$8),8+(O547-1)*3),11),0))))</f>
        <v/>
      </c>
      <c r="X547" s="1" t="str">
        <f ca="1">IF(ISERROR(F540),"",IF(W547=0,"",_xlfn.TEXTJOIN("",FALSE," G+",W547," in ",A547)))</f>
        <v/>
      </c>
    </row>
    <row r="548" spans="1:24" ht="13" customHeight="1" x14ac:dyDescent="0.2">
      <c r="A548" s="7" t="str">
        <f ca="1">IF(ISERROR(F540),"",VLOOKUP(C540,INDIRECT($F$8),6+(O548-1)*3,0))</f>
        <v/>
      </c>
      <c r="B548" s="41" t="str">
        <f ca="1">IF(ISERROR(F540),"",VLOOKUP(D540,INDIRECT($F$8),6+(O548-1)*3,0))</f>
        <v/>
      </c>
      <c r="C548" s="41"/>
      <c r="D548" s="41"/>
      <c r="E548" s="41"/>
      <c r="F548" s="7" t="str">
        <f ca="1">IF(ISERROR(F540),"",VLOOKUP(E540,INDIRECT($F$8),6+(O548-1)*3,0))</f>
        <v/>
      </c>
      <c r="G548" s="42" t="str">
        <f ca="1">IF(ISERROR(F540),"",_xlfn.TEXTJOIN("/",FALSE,P548,S548))</f>
        <v/>
      </c>
      <c r="H548" s="42"/>
      <c r="I548" s="42" t="str">
        <f ca="1">IF(ISERROR(F540),"",_xlfn.TEXTJOIN("/",FALSE,Q548,T548))</f>
        <v/>
      </c>
      <c r="J548" s="42"/>
      <c r="K548" s="42" t="str">
        <f ca="1">IF(ISERROR(F540),"",_xlfn.TEXTJOIN("/",FALSE,R548,U548))</f>
        <v/>
      </c>
      <c r="L548" s="42"/>
      <c r="M548" s="7" t="str">
        <f ca="1">IF(ISERROR(F540),"",IF(ISTEXT(P548),IF(P548="A","Ab",IF(P548="D","Dt",IF(P548="UFM","UFM",IF(P548="NA","")))),IF(AND(ISBLANK(P548),ISBLANK(R548)),"",IF(P548&lt;0.3*S548,"F",IF(ISBLANK(R548),"",IF(ISTEXT(R548),R548,IF(R548&gt;=0.9*U548,"O",IF(R548&gt;=0.85*U548,"A+",IF(R548&gt;=0.8*U548,"A",IF(R548&gt;=0.7*U548,"B+",IF(R548&gt;=0.6*U548,"B",IF(R548&gt;=0.5*U548,"C",IF(R548&gt;=0.4*U548,"P",IF(R548&lt;0.4*U548,"F",R548))))))))))))))</f>
        <v/>
      </c>
      <c r="N548" s="8" t="str">
        <f t="shared" ca="1" si="56"/>
        <v/>
      </c>
      <c r="O548">
        <f t="shared" ref="O548:O554" si="57">O547+1</f>
        <v>4</v>
      </c>
      <c r="P548" s="1" t="str">
        <f ca="1">IF(ISERROR(F540),"",IF(ISTEXT(VLOOKUP(B540,INDIRECT($F$8),6+(O548-1)*3)),(VLOOKUP(B540,INDIRECT($F$8),6+(O548-1)*3)),SUM(VLOOKUP(B540,INDIRECT($F$8),6+(O548-1)*3),IF(W555,W548,0))))</f>
        <v/>
      </c>
      <c r="Q548" s="1" t="str">
        <f ca="1">IF(ISERROR(F540),"",VLOOKUP(B540,INDIRECT($F$8),7+(O548-1)*3))</f>
        <v/>
      </c>
      <c r="R548" s="1" t="str">
        <f ca="1">IF(ISERROR(F540),"",SUM(P548:Q548))</f>
        <v/>
      </c>
      <c r="S548" s="1" t="str">
        <f ca="1">IF(ISERROR(F540),"",VLOOKUP(A540,INDIRECT($F$8),6+(O548-1)*3))</f>
        <v/>
      </c>
      <c r="T548" s="1" t="str">
        <f ca="1">IF(ISERROR(F540),"",VLOOKUP(A540,INDIRECT($F$8),7+(O548-1)*3))</f>
        <v/>
      </c>
      <c r="U548" s="1" t="str">
        <f ca="1">IF(ISERROR(F540),"",VLOOKUP(A540,INDIRECT($F$8),8+(O548-1)*3))</f>
        <v/>
      </c>
      <c r="V548" s="1" t="str">
        <f ca="1">IF(ISERROR(F540),"",IF(N548=0,A548,""))</f>
        <v/>
      </c>
      <c r="W548" s="1" t="str">
        <f ca="1">IF(ISERROR(F540),"",IF(ISTEXT(VLOOKUP(B540,INDIRECT($F$8),6+(O548-1)*3)),11,IF(VLOOKUP(B540,INDIRECT($F$8),6+(O548-1)*3)&lt;S548*0.3,IF(VLOOKUP(B540,INDIRECT($F$8),8+(O548-1)*3)&lt;U548*0.4,IF(AND(0.4*U548-VLOOKUP(B540,INDIRECT($F$8),8+(O548-1)*3)&lt;=5,0.3*S548-VLOOKUP(B540,INDIRECT($F$8),6+(O548-1)*3)&lt;=5),MAX(0.4*U548-VLOOKUP(B540,INDIRECT($F$8),8+(O548-1)*3),0.3*S548-VLOOKUP(B540,INDIRECT($F$8),6+(O548-1)*3)),11),IF(0.3*S548-VLOOKUP(B540,INDIRECT($F$8),6+(O548-1)*3)&lt;=5,0.3*S548-VLOOKUP(B540,INDIRECT($F$8),6+(O548-1)*3),11)),IF(VLOOKUP(B540,INDIRECT($F$8),8+(O548-1)*3)&lt;U548*0.4,IF(U548*0.4-VLOOKUP(B540,INDIRECT($F$8),8+(O548-1)*3)&lt;=5,U548*0.4-VLOOKUP(B540,INDIRECT($F$8),8+(O548-1)*3),11),0))))</f>
        <v/>
      </c>
      <c r="X548" s="1" t="str">
        <f ca="1">IF(ISERROR(F540),"",IF(W548=0,"",_xlfn.TEXTJOIN("",FALSE," G+",W548," in ",A548)))</f>
        <v/>
      </c>
    </row>
    <row r="549" spans="1:24" ht="13" customHeight="1" x14ac:dyDescent="0.2">
      <c r="A549" s="7" t="str">
        <f ca="1">IF(ISERROR(F540),"",VLOOKUP(C540,INDIRECT($F$8),6+(O549-1)*3,0))</f>
        <v/>
      </c>
      <c r="B549" s="41" t="str">
        <f ca="1">IF(ISERROR(F540),"",VLOOKUP(D540,INDIRECT($F$8),6+(O549-1)*3,0))</f>
        <v/>
      </c>
      <c r="C549" s="41"/>
      <c r="D549" s="41"/>
      <c r="E549" s="41"/>
      <c r="F549" s="7" t="str">
        <f ca="1">IF(ISERROR(F540),"",VLOOKUP(E540,INDIRECT($F$8),6+(O549-1)*3,0))</f>
        <v/>
      </c>
      <c r="G549" s="42" t="str">
        <f ca="1">IF(ISERROR(F540),"",_xlfn.TEXTJOIN("/",FALSE,P549,S549))</f>
        <v/>
      </c>
      <c r="H549" s="42"/>
      <c r="I549" s="42" t="str">
        <f ca="1">IF(ISERROR(F540),"",_xlfn.TEXTJOIN("/",FALSE,Q549,T549))</f>
        <v/>
      </c>
      <c r="J549" s="42"/>
      <c r="K549" s="42" t="str">
        <f ca="1">IF(ISERROR(F540),"",_xlfn.TEXTJOIN("/",FALSE,R549,U549))</f>
        <v/>
      </c>
      <c r="L549" s="42"/>
      <c r="M549" s="7" t="str">
        <f ca="1">IF(ISERROR(F540),"",IF(ISTEXT(P549),IF(P549="A","Ab",IF(P549="D","Dt",IF(P549="UFM","UFM",IF(P549="NA","")))),IF(AND(ISBLANK(P549),ISBLANK(R549)),"",IF(P549&lt;0.3*S549,"F",IF(ISBLANK(R549),"",IF(ISTEXT(R549),R549,IF(R549&gt;=0.9*U549,"O",IF(R549&gt;=0.85*U549,"A+",IF(R549&gt;=0.8*U549,"A",IF(R549&gt;=0.7*U549,"B+",IF(R549&gt;=0.6*U549,"B",IF(R549&gt;=0.5*U549,"C",IF(R549&gt;=0.4*U549,"P",IF(R549&lt;0.4*U549,"F",R549))))))))))))))</f>
        <v/>
      </c>
      <c r="N549" s="8" t="str">
        <f t="shared" ca="1" si="56"/>
        <v/>
      </c>
      <c r="O549">
        <f t="shared" si="57"/>
        <v>5</v>
      </c>
      <c r="P549" s="1" t="str">
        <f ca="1">IF(ISERROR(F540),"",IF(ISTEXT(VLOOKUP(B540,INDIRECT($F$8),6+(O549-1)*3)),(VLOOKUP(B540,INDIRECT($F$8),6+(O549-1)*3)),SUM(VLOOKUP(B540,INDIRECT($F$8),6+(O549-1)*3),IF(W555,W549,0))))</f>
        <v/>
      </c>
      <c r="Q549" s="1" t="str">
        <f ca="1">IF(ISERROR(F540),"",VLOOKUP(B540,INDIRECT($F$8),7+(O549-1)*3))</f>
        <v/>
      </c>
      <c r="R549" s="1" t="str">
        <f ca="1">IF(ISERROR(F540),"",SUM(P549:Q549))</f>
        <v/>
      </c>
      <c r="S549" s="1" t="str">
        <f ca="1">IF(ISERROR(F540),"",VLOOKUP(A540,INDIRECT($F$8),6+(O549-1)*3))</f>
        <v/>
      </c>
      <c r="T549" s="1" t="str">
        <f ca="1">IF(ISERROR(F540),"",VLOOKUP(A540,INDIRECT($F$8),7+(O549-1)*3))</f>
        <v/>
      </c>
      <c r="U549" s="1" t="str">
        <f ca="1">IF(ISERROR(F540),"",VLOOKUP(A540,INDIRECT($F$8),8+(O549-1)*3))</f>
        <v/>
      </c>
      <c r="V549" s="1" t="str">
        <f ca="1">IF(ISERROR(F540),"",IF(N549=0,A549,""))</f>
        <v/>
      </c>
      <c r="W549" s="1" t="str">
        <f ca="1">IF(ISERROR(F540),"",IF(ISTEXT(VLOOKUP(B540,INDIRECT($F$8),6+(O549-1)*3)),11,IF(VLOOKUP(B540,INDIRECT($F$8),6+(O549-1)*3)&lt;S549*0.3,IF(VLOOKUP(B540,INDIRECT($F$8),8+(O549-1)*3)&lt;U549*0.4,IF(AND(0.4*U549-VLOOKUP(B540,INDIRECT($F$8),8+(O549-1)*3)&lt;=5,0.3*S549-VLOOKUP(B540,INDIRECT($F$8),6+(O549-1)*3)&lt;=5),MAX(0.4*U549-VLOOKUP(B540,INDIRECT($F$8),8+(O549-1)*3),0.3*S549-VLOOKUP(B540,INDIRECT($F$8),6+(O549-1)*3)),11),IF(0.3*S549-VLOOKUP(B540,INDIRECT($F$8),6+(O549-1)*3)&lt;=5,0.3*S549-VLOOKUP(B540,INDIRECT($F$8),6+(O549-1)*3),11)),IF(VLOOKUP(B540,INDIRECT($F$8),8+(O549-1)*3)&lt;U549*0.4,IF(U549*0.4-VLOOKUP(B540,INDIRECT($F$8),8+(O549-1)*3)&lt;=5,U549*0.4-VLOOKUP(B540,INDIRECT($F$8),8+(O549-1)*3),11),0))))</f>
        <v/>
      </c>
      <c r="X549" s="1" t="str">
        <f ca="1">IF(ISERROR(F540),"",IF(W549=0,"",_xlfn.TEXTJOIN("",FALSE," G+",W549," in ",A549)))</f>
        <v/>
      </c>
    </row>
    <row r="550" spans="1:24" ht="13" customHeight="1" x14ac:dyDescent="0.2">
      <c r="A550" s="7" t="str">
        <f ca="1">IF(ISERROR(F540),"",VLOOKUP(C540,INDIRECT($F$8),6+(O550-1)*3,0))</f>
        <v/>
      </c>
      <c r="B550" s="41" t="str">
        <f ca="1">IF(ISERROR(F540),"",VLOOKUP(D540,INDIRECT($F$8),6+(O550-1)*3,0))</f>
        <v/>
      </c>
      <c r="C550" s="41"/>
      <c r="D550" s="41"/>
      <c r="E550" s="41"/>
      <c r="F550" s="7" t="str">
        <f ca="1">IF(ISERROR(F540),"",VLOOKUP(E540,INDIRECT($F$8),6+(O550-1)*3,0))</f>
        <v/>
      </c>
      <c r="G550" s="42" t="str">
        <f ca="1">IF(ISERROR(F540),"",_xlfn.TEXTJOIN("/",FALSE,P550,S550))</f>
        <v/>
      </c>
      <c r="H550" s="42"/>
      <c r="I550" s="42" t="str">
        <f ca="1">IF(ISERROR(F540),"",_xlfn.TEXTJOIN("/",FALSE,Q550,T550))</f>
        <v/>
      </c>
      <c r="J550" s="42"/>
      <c r="K550" s="42" t="str">
        <f ca="1">IF(ISERROR(F540),"",_xlfn.TEXTJOIN("/",FALSE,R550,U550))</f>
        <v/>
      </c>
      <c r="L550" s="42"/>
      <c r="M550" s="7" t="str">
        <f ca="1">IF(ISERROR(F540),"",IF(ISTEXT(P550),IF(P550="A","Ab",IF(P550="D","Dt",IF(P550="UFM","UFM",IF(P550="NA","")))),IF(AND(ISBLANK(P550),ISBLANK(R550)),"",IF(P550&lt;0.3*S550,"F",IF(ISBLANK(R550),"",IF(ISTEXT(R550),R550,IF(R550&gt;=0.9*U550,"O",IF(R550&gt;=0.85*U550,"A+",IF(R550&gt;=0.8*U550,"A",IF(R550&gt;=0.7*U550,"B+",IF(R550&gt;=0.6*U550,"B",IF(R550&gt;=0.5*U550,"C",IF(R550&gt;=0.4*U550,"P",IF(R550&lt;0.4*U550,"F",R550))))))))))))))</f>
        <v/>
      </c>
      <c r="N550" s="8" t="str">
        <f t="shared" ca="1" si="56"/>
        <v/>
      </c>
      <c r="O550">
        <f t="shared" si="57"/>
        <v>6</v>
      </c>
      <c r="P550" s="1" t="str">
        <f ca="1">IF(ISERROR(F540),"",IF(ISTEXT(VLOOKUP(B540,INDIRECT($F$8),6+(O550-1)*3)),(VLOOKUP(B540,INDIRECT($F$8),6+(O550-1)*3)),SUM(VLOOKUP(B540,INDIRECT($F$8),6+(O550-1)*3),IF(W555,W550,0))))</f>
        <v/>
      </c>
      <c r="Q550" s="1" t="str">
        <f ca="1">IF(ISERROR(F540),"",VLOOKUP(B540,INDIRECT($F$8),7+(O550-1)*3))</f>
        <v/>
      </c>
      <c r="R550" s="1" t="str">
        <f ca="1">IF(ISERROR(F540),"",SUM(P550:Q550))</f>
        <v/>
      </c>
      <c r="S550" s="1" t="str">
        <f ca="1">IF(ISERROR(F540),"",VLOOKUP(A540,INDIRECT($F$8),6+(O550-1)*3))</f>
        <v/>
      </c>
      <c r="T550" s="1" t="str">
        <f ca="1">IF(ISERROR(F540),"",VLOOKUP(A540,INDIRECT($F$8),7+(O550-1)*3))</f>
        <v/>
      </c>
      <c r="U550" s="1" t="str">
        <f ca="1">IF(ISERROR(F540),"",VLOOKUP(A540,INDIRECT($F$8),8+(O550-1)*3))</f>
        <v/>
      </c>
      <c r="V550" s="1" t="str">
        <f ca="1">IF(ISERROR(F540),"",IF(N550=0,A550,""))</f>
        <v/>
      </c>
      <c r="W550" s="1" t="str">
        <f ca="1">IF(ISERROR(F540),"",IF(ISTEXT(VLOOKUP(B540,INDIRECT($F$8),6+(O550-1)*3)),11,IF(VLOOKUP(B540,INDIRECT($F$8),6+(O550-1)*3)&lt;S550*0.3,IF(VLOOKUP(B540,INDIRECT($F$8),8+(O550-1)*3)&lt;U550*0.4,IF(AND(0.4*U550-VLOOKUP(B540,INDIRECT($F$8),8+(O550-1)*3)&lt;=5,0.3*S550-VLOOKUP(B540,INDIRECT($F$8),6+(O550-1)*3)&lt;=5),MAX(0.4*U550-VLOOKUP(B540,INDIRECT($F$8),8+(O550-1)*3),0.3*S550-VLOOKUP(B540,INDIRECT($F$8),6+(O550-1)*3)),11),IF(0.3*S550-VLOOKUP(B540,INDIRECT($F$8),6+(O550-1)*3)&lt;=5,0.3*S550-VLOOKUP(B540,INDIRECT($F$8),6+(O550-1)*3),11)),IF(VLOOKUP(B540,INDIRECT($F$8),8+(O550-1)*3)&lt;U550*0.4,IF(U550*0.4-VLOOKUP(B540,INDIRECT($F$8),8+(O550-1)*3)&lt;=5,U550*0.4-VLOOKUP(B540,INDIRECT($F$8),8+(O550-1)*3),11),0))))</f>
        <v/>
      </c>
      <c r="X550" s="1" t="str">
        <f ca="1">IF(ISERROR(F540),"",IF(W550=0,"",_xlfn.TEXTJOIN("",FALSE," G+",W550," in ",A550)))</f>
        <v/>
      </c>
    </row>
    <row r="551" spans="1:24" ht="13" customHeight="1" x14ac:dyDescent="0.2">
      <c r="A551" s="7" t="str">
        <f ca="1">IF(ISERROR(F540),"",VLOOKUP(C540,INDIRECT($F$8),6+(O551-1)*3,0))</f>
        <v/>
      </c>
      <c r="B551" s="41" t="str">
        <f ca="1">IF(ISERROR(F540),"",VLOOKUP(D540,INDIRECT($F$8),6+(O551-1)*3,0))</f>
        <v/>
      </c>
      <c r="C551" s="41"/>
      <c r="D551" s="41"/>
      <c r="E551" s="41"/>
      <c r="F551" s="7" t="str">
        <f ca="1">IF(ISERROR(F540),"",VLOOKUP(E540,INDIRECT($F$8),6+(O551-1)*3,0))</f>
        <v/>
      </c>
      <c r="G551" s="42" t="str">
        <f ca="1">IF(ISERROR(F540),"",_xlfn.TEXTJOIN("/",FALSE,P551,S551))</f>
        <v/>
      </c>
      <c r="H551" s="42"/>
      <c r="I551" s="42" t="str">
        <f ca="1">IF(ISERROR(F540),"",_xlfn.TEXTJOIN("/",FALSE,Q551,T551))</f>
        <v/>
      </c>
      <c r="J551" s="42"/>
      <c r="K551" s="42" t="str">
        <f ca="1">IF(ISERROR(F540),"",_xlfn.TEXTJOIN("/",FALSE,R551,U551))</f>
        <v/>
      </c>
      <c r="L551" s="42"/>
      <c r="M551" s="7" t="str">
        <f ca="1">IF(ISERROR(F540),"",IF(ISTEXT(P551),IF(P551="A","Ab",IF(P551="D","Dt",IF(P551="UFM","UFM",IF(P551="NA","")))),IF(AND(ISBLANK(P551),ISBLANK(R551)),"",IF(P551&lt;0.3*S551,"F",IF(ISBLANK(R551),"",IF(ISTEXT(R551),R551,IF(R551&gt;=0.9*U551,"O",IF(R551&gt;=0.85*U551,"A+",IF(R551&gt;=0.8*U551,"A",IF(R551&gt;=0.7*U551,"B+",IF(R551&gt;=0.6*U551,"B",IF(R551&gt;=0.5*U551,"C",IF(R551&gt;=0.4*U551,"P",IF(R551&lt;0.4*U551,"F",R551))))))))))))))</f>
        <v/>
      </c>
      <c r="N551" s="8" t="str">
        <f t="shared" ca="1" si="56"/>
        <v/>
      </c>
      <c r="O551">
        <f t="shared" si="57"/>
        <v>7</v>
      </c>
      <c r="P551" s="1" t="str">
        <f ca="1">IF(ISERROR(F540),"",IF(ISTEXT(VLOOKUP(B540,INDIRECT($F$8),6+(O551-1)*3)),(VLOOKUP(B540,INDIRECT($F$8),6+(O551-1)*3)),SUM(VLOOKUP(B540,INDIRECT($F$8),6+(O551-1)*3),IF(W555,W551,0))))</f>
        <v/>
      </c>
      <c r="Q551" s="1" t="str">
        <f ca="1">IF(ISERROR(F540),"",VLOOKUP(B540,INDIRECT($F$8),7+(O551-1)*3))</f>
        <v/>
      </c>
      <c r="R551" s="1" t="str">
        <f ca="1">IF(ISERROR(F540),"",SUM(P551:Q551))</f>
        <v/>
      </c>
      <c r="S551" s="1" t="str">
        <f ca="1">IF(ISERROR(F540),"",VLOOKUP(A540,INDIRECT($F$8),6+(O551-1)*3))</f>
        <v/>
      </c>
      <c r="T551" s="1" t="str">
        <f ca="1">IF(ISERROR(F540),"",VLOOKUP(A540,INDIRECT($F$8),7+(O551-1)*3))</f>
        <v/>
      </c>
      <c r="U551" s="1" t="str">
        <f ca="1">IF(ISERROR(F540),"",VLOOKUP(A540,INDIRECT($F$8),8+(O551-1)*3))</f>
        <v/>
      </c>
      <c r="V551" s="1" t="str">
        <f ca="1">IF(ISERROR(F540),"",IF(N551=0,A551,""))</f>
        <v/>
      </c>
      <c r="W551" s="1" t="str">
        <f ca="1">IF(ISERROR(F540),"",IF(ISTEXT(VLOOKUP(B540,INDIRECT($F$8),6+(O551-1)*3)),11,IF(VLOOKUP(B540,INDIRECT($F$8),6+(O551-1)*3)&lt;S551*0.3,IF(VLOOKUP(B540,INDIRECT($F$8),8+(O551-1)*3)&lt;U551*0.4,IF(AND(0.4*U551-VLOOKUP(B540,INDIRECT($F$8),8+(O551-1)*3)&lt;=5,0.3*S551-VLOOKUP(B540,INDIRECT($F$8),6+(O551-1)*3)&lt;=5),MAX(0.4*U551-VLOOKUP(B540,INDIRECT($F$8),8+(O551-1)*3),0.3*S551-VLOOKUP(B540,INDIRECT($F$8),6+(O551-1)*3)),11),IF(0.3*S551-VLOOKUP(B540,INDIRECT($F$8),6+(O551-1)*3)&lt;=5,0.3*S551-VLOOKUP(B540,INDIRECT($F$8),6+(O551-1)*3),11)),IF(VLOOKUP(B540,INDIRECT($F$8),8+(O551-1)*3)&lt;U551*0.4,IF(U551*0.4-VLOOKUP(B540,INDIRECT($F$8),8+(O551-1)*3)&lt;=5,U551*0.4-VLOOKUP(B540,INDIRECT($F$8),8+(O551-1)*3),11),0))))</f>
        <v/>
      </c>
      <c r="X551" s="1" t="str">
        <f ca="1">IF(ISERROR(F540),"",IF(W551=0,"",_xlfn.TEXTJOIN("",FALSE," G+",W551," in ",A551)))</f>
        <v/>
      </c>
    </row>
    <row r="552" spans="1:24" ht="13" customHeight="1" x14ac:dyDescent="0.2">
      <c r="A552" s="7" t="str">
        <f ca="1">IF(ISERROR(F540),"",VLOOKUP(C540,INDIRECT($F$8),6+(O552-1)*3,0))</f>
        <v/>
      </c>
      <c r="B552" s="41" t="str">
        <f ca="1">IF(ISERROR(F540),"",VLOOKUP(D540,INDIRECT($F$8),6+(O552-1)*3-Z552,0))</f>
        <v/>
      </c>
      <c r="C552" s="41"/>
      <c r="D552" s="41"/>
      <c r="E552" s="41"/>
      <c r="F552" s="7" t="str">
        <f ca="1">IF(ISERROR(F540),"",VLOOKUP(E540,INDIRECT($F$8),6+(O552-1)*3,0))</f>
        <v/>
      </c>
      <c r="G552" s="42" t="str">
        <f ca="1">IF(ISERROR(F540),"",_xlfn.TEXTJOIN("/",FALSE,P552,S552))</f>
        <v/>
      </c>
      <c r="H552" s="42"/>
      <c r="I552" s="42" t="str">
        <f ca="1">IF(ISERROR(F540),"",_xlfn.TEXTJOIN("/",FALSE,Q552,T552))</f>
        <v/>
      </c>
      <c r="J552" s="42"/>
      <c r="K552" s="42" t="str">
        <f ca="1">IF(ISERROR(F540),"",_xlfn.TEXTJOIN("/",FALSE,R552,U552))</f>
        <v/>
      </c>
      <c r="L552" s="42"/>
      <c r="M552" s="7" t="str">
        <f ca="1">IF(ISERROR(F540),"",IF(ISTEXT(P552),IF(P552="A","Ab",IF(P552="D","Dt",IF(P552="UFM","UFM",IF(P552="NA","")))),IF(AND(ISBLANK(P552),ISBLANK(R552)),"",IF(P552&lt;0.3*S552,"F",IF(ISBLANK(R552),"",IF(ISTEXT(R552),R552,IF(R552&gt;=0.9*U552,"O",IF(R552&gt;=0.85*U552,"A+",IF(R552&gt;=0.8*U552,"A",IF(R552&gt;=0.7*U552,"B+",IF(R552&gt;=0.6*U552,"B",IF(R552&gt;=0.5*U552,"C",IF(R552&gt;=0.4*U552,"P",IF(R552&lt;0.4*U552,"F",R552))))))))))))))</f>
        <v/>
      </c>
      <c r="N552" s="8" t="str">
        <f t="shared" ca="1" si="56"/>
        <v/>
      </c>
      <c r="O552">
        <f t="shared" si="57"/>
        <v>8</v>
      </c>
      <c r="P552" s="1" t="str">
        <f ca="1">IF(ISERROR(F540),"",IF(ISTEXT(VLOOKUP(B540,INDIRECT($F$8),6+(O552-1)*3)),(VLOOKUP(B540,INDIRECT($F$8),6+(O552-1)*3)),SUM(VLOOKUP(B540,INDIRECT($F$8),6+(O552-1)*3),IF(W555,W552,0))))</f>
        <v/>
      </c>
      <c r="Q552" s="1" t="str">
        <f ca="1">IF(ISERROR(F540),"",VLOOKUP(B540,INDIRECT($F$8),7+(O552-1)*3))</f>
        <v/>
      </c>
      <c r="R552" s="1" t="str">
        <f ca="1">IF(ISERROR(F540),"",SUM(P552:Q552))</f>
        <v/>
      </c>
      <c r="S552" s="1" t="str">
        <f ca="1">IF(ISERROR(F540),"",VLOOKUP(A540,INDIRECT($F$8),6+(O552-1)*3))</f>
        <v/>
      </c>
      <c r="T552" s="1" t="str">
        <f ca="1">IF(ISERROR(F540),"",VLOOKUP(A540,INDIRECT($F$8),7+(O552-1)*3))</f>
        <v/>
      </c>
      <c r="U552" s="1" t="str">
        <f ca="1">IF(ISERROR(F540),"",VLOOKUP(A540,INDIRECT($F$8),8+(O552-1)*3))</f>
        <v/>
      </c>
      <c r="V552" s="1" t="str">
        <f ca="1">IF(ISERROR(F540),"",IF(N552=0,A552,""))</f>
        <v/>
      </c>
      <c r="W552" s="1" t="str">
        <f ca="1">IF(ISERROR(F540),"",IF(ISTEXT(VLOOKUP(B540,INDIRECT($F$8),6+(O552-1)*3)),11,IF(VLOOKUP(B540,INDIRECT($F$8),6+(O552-1)*3)&lt;S552*0.3,IF(VLOOKUP(B540,INDIRECT($F$8),8+(O552-1)*3)&lt;U552*0.4,IF(AND(0.4*U552-VLOOKUP(B540,INDIRECT($F$8),8+(O552-1)*3)&lt;=5,0.3*S552-VLOOKUP(B540,INDIRECT($F$8),6+(O552-1)*3)&lt;=5),MAX(0.4*U552-VLOOKUP(B540,INDIRECT($F$8),8+(O552-1)*3),0.3*S552-VLOOKUP(B540,INDIRECT($F$8),6+(O552-1)*3)),11),IF(0.3*S552-VLOOKUP(B540,INDIRECT($F$8),6+(O552-1)*3)&lt;=5,0.3*S552-VLOOKUP(B540,INDIRECT($F$8),6+(O552-1)*3),11)),IF(VLOOKUP(B540,INDIRECT($F$8),8+(O552-1)*3)&lt;U552*0.4,IF(U552*0.4-VLOOKUP(B540,INDIRECT($F$8),8+(O552-1)*3)&lt;=5,U552*0.4-VLOOKUP(B540,INDIRECT($F$8),8+(O552-1)*3),11),0))))</f>
        <v/>
      </c>
      <c r="X552" s="1" t="str">
        <f ca="1">IF(ISERROR(F540),"",IF(W552=0,"",_xlfn.TEXTJOIN("",FALSE," G+",W552," in ",A552)))</f>
        <v/>
      </c>
    </row>
    <row r="553" spans="1:24" ht="13" customHeight="1" x14ac:dyDescent="0.2">
      <c r="A553" s="7" t="str">
        <f ca="1">IF(ISERROR(F540),"",VLOOKUP(C540,INDIRECT($F$8),6+(O553-1)*3,0))</f>
        <v/>
      </c>
      <c r="B553" s="41" t="str">
        <f ca="1">IF(ISERROR(F540),"",VLOOKUP(D540,INDIRECT($F$8),6+(O553-1)*3-Z553,0))</f>
        <v/>
      </c>
      <c r="C553" s="41"/>
      <c r="D553" s="41"/>
      <c r="E553" s="41"/>
      <c r="F553" s="7" t="str">
        <f ca="1">IF(ISERROR(F540),"",VLOOKUP(E540,INDIRECT($F$8),6+(O553-1)*3,0))</f>
        <v/>
      </c>
      <c r="G553" s="42" t="str">
        <f ca="1">IF(ISERROR(F540),"",_xlfn.TEXTJOIN("/",FALSE,P553,S553))</f>
        <v/>
      </c>
      <c r="H553" s="42"/>
      <c r="I553" s="42" t="str">
        <f ca="1">IF(ISERROR(F540),"",_xlfn.TEXTJOIN("/",FALSE,Q553,T553))</f>
        <v/>
      </c>
      <c r="J553" s="42"/>
      <c r="K553" s="42" t="str">
        <f ca="1">IF(ISERROR(F540),"",_xlfn.TEXTJOIN("/",FALSE,R553,U553))</f>
        <v/>
      </c>
      <c r="L553" s="42"/>
      <c r="M553" s="7" t="str">
        <f ca="1">IF(ISERROR(F540),"",IF(ISTEXT(P553),IF(P553="A","Ab",IF(P553="D","Dt",IF(P553="UFM","UFM",IF(P553="NA","")))),IF(AND(ISBLANK(P553),ISBLANK(R553)),"",IF(P553&lt;0.3*S553,"F",IF(ISBLANK(R553),"",IF(ISTEXT(R553),R553,IF(R553&gt;=0.9*U553,"O",IF(R553&gt;=0.85*U553,"A+",IF(R553&gt;=0.8*U553,"A",IF(R553&gt;=0.7*U553,"B+",IF(R553&gt;=0.6*U553,"B",IF(R553&gt;=0.5*U553,"C",IF(R553&gt;=0.4*U553,"P",IF(R553&lt;0.4*U553,"F",R553))))))))))))))</f>
        <v/>
      </c>
      <c r="N553" s="8" t="str">
        <f t="shared" ca="1" si="56"/>
        <v/>
      </c>
      <c r="O553">
        <f t="shared" si="57"/>
        <v>9</v>
      </c>
      <c r="P553" s="1" t="str">
        <f ca="1">IF(ISERROR(F540),"",IF(ISTEXT(VLOOKUP(B540,INDIRECT($F$8),6+(O553-1)*3)),(VLOOKUP(B540,INDIRECT($F$8),6+(O553-1)*3)),SUM(VLOOKUP(B540,INDIRECT($F$8),6+(O553-1)*3),IF(W555,W553,0))))</f>
        <v/>
      </c>
      <c r="Q553" s="1" t="str">
        <f ca="1">IF(ISERROR(F540),"",VLOOKUP(B540,INDIRECT($F$8),7+(O553-1)*3))</f>
        <v/>
      </c>
      <c r="R553" s="1" t="str">
        <f ca="1">IF(ISERROR(F540),"",SUM(P553:Q553))</f>
        <v/>
      </c>
      <c r="S553" s="1" t="str">
        <f ca="1">IF(ISERROR(F540),"",VLOOKUP(A540,INDIRECT($F$8),6+(O553-1)*3))</f>
        <v/>
      </c>
      <c r="T553" s="1" t="str">
        <f ca="1">IF(ISERROR(F540),"",VLOOKUP(A540,INDIRECT($F$8),7+(O553-1)*3))</f>
        <v/>
      </c>
      <c r="U553" s="1" t="str">
        <f ca="1">IF(ISERROR(F540),"",VLOOKUP(A540,INDIRECT($F$8),8+(O553-1)*3))</f>
        <v/>
      </c>
      <c r="V553" s="1" t="str">
        <f ca="1">IF(ISERROR(F540),"",IF(N553=0,A553,""))</f>
        <v/>
      </c>
      <c r="W553" s="1" t="str">
        <f ca="1">IF(ISERROR(F540),"",IF(ISTEXT(VLOOKUP(B540,INDIRECT($F$8),6+(O553-1)*3)),11,IF(VLOOKUP(B540,INDIRECT($F$8),6+(O553-1)*3)&lt;S553*0.3,IF(VLOOKUP(B540,INDIRECT($F$8),8+(O553-1)*3)&lt;U553*0.4,IF(AND(0.4*U553-VLOOKUP(B540,INDIRECT($F$8),8+(O553-1)*3)&lt;=5,0.3*S553-VLOOKUP(B540,INDIRECT($F$8),6+(O553-1)*3)&lt;=5),MAX(0.4*U553-VLOOKUP(B540,INDIRECT($F$8),8+(O553-1)*3),0.3*S553-VLOOKUP(B540,INDIRECT($F$8),6+(O553-1)*3)),11),IF(0.3*S553-VLOOKUP(B540,INDIRECT($F$8),6+(O553-1)*3)&lt;=5,0.3*S553-VLOOKUP(B540,INDIRECT($F$8),6+(O553-1)*3),11)),IF(VLOOKUP(B540,INDIRECT($F$8),8+(O553-1)*3)&lt;U553*0.4,IF(U553*0.4-VLOOKUP(B540,INDIRECT($F$8),8+(O553-1)*3)&lt;=5,U553*0.4-VLOOKUP(B540,INDIRECT($F$8),8+(O553-1)*3),11),0))))</f>
        <v/>
      </c>
      <c r="X553" s="1" t="str">
        <f ca="1">IF(ISERROR(F540),"",IF(W553=0,"",_xlfn.TEXTJOIN("",FALSE," G+",W553," in ",A553)))</f>
        <v/>
      </c>
    </row>
    <row r="554" spans="1:24" ht="13" customHeight="1" x14ac:dyDescent="0.2">
      <c r="A554" s="7" t="str">
        <f ca="1">IF(ISERROR(F540),"",VLOOKUP(C540,INDIRECT($F$8),6+(O554-1)*3,0))</f>
        <v/>
      </c>
      <c r="B554" s="41" t="str">
        <f ca="1">IF(ISERROR(F540),"",VLOOKUP(D540,INDIRECT($F$8),6+(O554-1)*3,0))</f>
        <v/>
      </c>
      <c r="C554" s="41"/>
      <c r="D554" s="41"/>
      <c r="E554" s="41"/>
      <c r="F554" s="7" t="str">
        <f ca="1">IF(ISERROR(F540),"",VLOOKUP(E540,INDIRECT($F$8),6+(O554-1)*3,0))</f>
        <v/>
      </c>
      <c r="G554" s="42" t="str">
        <f ca="1">IF(ISERROR(F540),"",_xlfn.TEXTJOIN("/",FALSE,P554,S554))</f>
        <v/>
      </c>
      <c r="H554" s="42"/>
      <c r="I554" s="42" t="str">
        <f ca="1">IF(ISERROR(F540),"",_xlfn.TEXTJOIN("/",FALSE,Q554,T554))</f>
        <v/>
      </c>
      <c r="J554" s="42"/>
      <c r="K554" s="42" t="str">
        <f ca="1">IF(ISERROR(F540),"",_xlfn.TEXTJOIN("/",FALSE,R554,U554))</f>
        <v/>
      </c>
      <c r="L554" s="42"/>
      <c r="M554" s="7" t="str">
        <f ca="1">IF(ISERROR(F540),"",IF(ISTEXT(P554),IF(P554="A","Ab",IF(P554="D","Dt",IF(P554="UFM","UFM",IF(P554="NA","")))),IF(AND(ISBLANK(P554),ISBLANK(R554)),"",IF(P554&lt;0.3*S554,"F",IF(ISBLANK(R554),"",IF(ISTEXT(R554),R554,IF(R554&gt;=0.9*U554,"O",IF(R554&gt;=0.85*U554,"A+",IF(R554&gt;=0.8*U554,"A",IF(R554&gt;=0.7*U554,"B+",IF(R554&gt;=0.6*U554,"B",IF(R554&gt;=0.5*U554,"C",IF(R554&gt;=0.4*U554,"P",IF(R554&lt;0.4*U554,"F",R554))))))))))))))</f>
        <v/>
      </c>
      <c r="N554" s="8" t="str">
        <f t="shared" ca="1" si="56"/>
        <v/>
      </c>
      <c r="O554">
        <f t="shared" si="57"/>
        <v>10</v>
      </c>
      <c r="P554" s="1" t="str">
        <f ca="1">IF(ISERROR(F540),"",IF(ISTEXT(VLOOKUP(B540,INDIRECT($F$8),6+(O554-1)*3)),(VLOOKUP(B540,INDIRECT($F$8),6+(O554-1)*3)),SUM(VLOOKUP(B540,INDIRECT($F$8),6+(O554-1)*3),IF(W555,W554,0))))</f>
        <v/>
      </c>
      <c r="Q554" s="1" t="str">
        <f ca="1">IF(ISERROR(F540),"",VLOOKUP(B540,INDIRECT($F$8),7+(O554-1)*3))</f>
        <v/>
      </c>
      <c r="R554" s="1" t="str">
        <f ca="1">IF(ISERROR(F540),"",SUM(P554:Q554))</f>
        <v/>
      </c>
      <c r="S554" s="1" t="str">
        <f ca="1">IF(ISERROR(F540),"",VLOOKUP(A540,INDIRECT($F$8),6+(O554-1)*3))</f>
        <v/>
      </c>
      <c r="T554" s="1" t="str">
        <f ca="1">IF(ISERROR(F540),"",VLOOKUP(A540,INDIRECT($F$8),7+(O554-1)*3))</f>
        <v/>
      </c>
      <c r="U554" s="1" t="str">
        <f ca="1">IF(ISERROR(F540),"",VLOOKUP(A540,INDIRECT($F$8),8+(O554-1)*3))</f>
        <v/>
      </c>
      <c r="V554" s="1" t="str">
        <f ca="1">IF(ISERROR(F540),"",IF(N554=0,A554,""))</f>
        <v/>
      </c>
      <c r="W554" s="1" t="str">
        <f ca="1">IF(ISERROR(F540),"",IF(ISTEXT(VLOOKUP(B540,INDIRECT($F$8),6+(O554-1)*3)),11,IF(VLOOKUP(B540,INDIRECT($F$8),6+(O554-1)*3)&lt;S554*0.3,IF(VLOOKUP(B540,INDIRECT($F$8),8+(O554-1)*3)&lt;U554*0.4,IF(AND(0.4*U554-VLOOKUP(B540,INDIRECT($F$8),8+(O554-1)*3)&lt;=5,0.3*S554-VLOOKUP(B540,INDIRECT($F$8),6+(O554-1)*3)&lt;=5),MAX(0.4*U554-VLOOKUP(B540,INDIRECT($F$8),8+(O554-1)*3),0.3*S554-VLOOKUP(B540,INDIRECT($F$8),6+(O554-1)*3)),11),IF(0.3*S554-VLOOKUP(B540,INDIRECT($F$8),6+(O554-1)*3)&lt;=5,0.3*S554-VLOOKUP(B540,INDIRECT($F$8),6+(O554-1)*3),11)),IF(VLOOKUP(B540,INDIRECT($F$8),8+(O554-1)*3)&lt;U554*0.4,IF(U554*0.4-VLOOKUP(B540,INDIRECT($F$8),8+(O554-1)*3)&lt;=5,U554*0.4-VLOOKUP(B540,INDIRECT($F$8),8+(O554-1)*3),11),0))))</f>
        <v/>
      </c>
      <c r="X554" s="1" t="str">
        <f ca="1">IF(ISERROR(F540),"",IF(W554=0,"",_xlfn.TEXTJOIN("",FALSE," G+",W554," in ",A554)))</f>
        <v/>
      </c>
    </row>
    <row r="555" spans="1:24" ht="13" customHeight="1" x14ac:dyDescent="0.2">
      <c r="A555" s="43" t="str">
        <f ca="1">IF(ISERROR(F540),"",A536)</f>
        <v/>
      </c>
      <c r="B555" s="43"/>
      <c r="C555" s="43"/>
      <c r="D555" s="43"/>
      <c r="E555" s="43"/>
      <c r="F555" s="10" t="str">
        <f ca="1">IF(ISERROR(F540),"",SUM(F545:F554))</f>
        <v/>
      </c>
      <c r="G555" s="44" t="str">
        <f ca="1">IF(ISERROR(F540),"",_xlfn.TEXTJOIN("/",TRUE,SUMIF(F545:F554,"&gt;0",P545:P554),SUMIF(F545:F554,"&gt;0",S545:S554)))</f>
        <v/>
      </c>
      <c r="H555" s="44"/>
      <c r="I555" s="44" t="str">
        <f ca="1">IF(ISERROR(F540),"",_xlfn.TEXTJOIN("/",TRUE,SUMIF(F545:F554,"&gt;0",Q545:Q554),SUMIF(F545:F554,"&gt;0",T545:T554)))</f>
        <v/>
      </c>
      <c r="J555" s="44"/>
      <c r="K555" s="44" t="str">
        <f ca="1">IF(ISERROR(F540),"",_xlfn.TEXTJOIN("/",TRUE,SUMIF(F545:F554,"&gt;0",R545:R554),SUMIF(F545:F554,"&gt;0",U545:U554)))</f>
        <v/>
      </c>
      <c r="L555" s="44"/>
      <c r="M555" s="43" t="str">
        <f ca="1">IF(ISERROR(F540),"",SUMPRODUCT(N545:N554,F545:F554))</f>
        <v/>
      </c>
      <c r="N555" s="43"/>
      <c r="V555" s="1" t="str">
        <f ca="1">IF(ISERROR(F540),"",_xlfn.TEXTJOIN(", ",TRUE,V545:V554))</f>
        <v/>
      </c>
      <c r="W555" t="str">
        <f ca="1">IF(ISERROR(F540),"",IF(SUM(W545:W554)&lt;=W544,TRUE,FALSE))</f>
        <v/>
      </c>
      <c r="X555" s="1" t="str">
        <f ca="1">IF(ISERROR(F540),"",_xlfn.TEXTJOIN(",",TRUE,X545:X554))</f>
        <v/>
      </c>
    </row>
    <row r="556" spans="1:24" ht="13" customHeight="1" x14ac:dyDescent="0.2">
      <c r="A556" s="43" t="str">
        <f ca="1">IF(ISERROR(F540),"",A537)</f>
        <v/>
      </c>
      <c r="B556" s="45" t="str">
        <f ca="1">IF(ISERROR(F540),"",IF(V555="","PASS","CARRY OVER"))</f>
        <v/>
      </c>
      <c r="C556" s="45"/>
      <c r="D556" s="43" t="str">
        <f ca="1">IF(ISERROR(F540),"",D537)</f>
        <v/>
      </c>
      <c r="E556" s="45" t="str">
        <f ca="1">IF(ISERROR(F540),"",IF(V555="",IF(X555="","",X555),_xlfn.TEXTJOIN(" ",TRUE,"BACK IN",V555)))</f>
        <v/>
      </c>
      <c r="F556" s="45"/>
      <c r="G556" s="43" t="str">
        <f ca="1">IF(ISERROR(F540),"",G537)</f>
        <v/>
      </c>
      <c r="H556" s="46" t="str">
        <f ca="1">IF(ISERROR(F540),"",M555/F555)</f>
        <v/>
      </c>
      <c r="I556" s="43" t="str">
        <f ca="1">IF(ISERROR(F540),"",I537)</f>
        <v/>
      </c>
      <c r="J556" s="46" t="str">
        <f ca="1">IF(ISERROR(F540),"",VLOOKUP(B540,INDIRECT($F$8),12+(O554-1)*3,0))</f>
        <v/>
      </c>
      <c r="K556" s="45" t="str">
        <f ca="1">IF(ISERROR(F540),"",K537)</f>
        <v/>
      </c>
      <c r="L556" s="43" t="str">
        <f ca="1">IF(ISERROR(F540),"",SUMIF(N545:N554,"&gt;0",F545:F554))</f>
        <v/>
      </c>
      <c r="M556" s="45" t="str">
        <f ca="1">IF(ISERROR(F540),"",M537)</f>
        <v/>
      </c>
      <c r="N556" s="43" t="str">
        <f ca="1">IF(ISERROR(F540),"",VLOOKUP(B540,INDIRECT($F$8),10+(O554-1)*3,0))</f>
        <v/>
      </c>
    </row>
    <row r="557" spans="1:24" ht="13" customHeight="1" x14ac:dyDescent="0.2">
      <c r="A557" s="43"/>
      <c r="B557" s="45"/>
      <c r="C557" s="45"/>
      <c r="D557" s="43"/>
      <c r="E557" s="45"/>
      <c r="F557" s="45"/>
      <c r="G557" s="43"/>
      <c r="H557" s="46"/>
      <c r="I557" s="43"/>
      <c r="J557" s="46"/>
      <c r="K557" s="45"/>
      <c r="L557" s="43"/>
      <c r="M557" s="45"/>
      <c r="N557" s="43"/>
    </row>
    <row r="558" spans="1:24" ht="13" customHeight="1" x14ac:dyDescent="0.2">
      <c r="A558" s="43"/>
      <c r="B558" s="45"/>
      <c r="C558" s="45"/>
      <c r="D558" s="43"/>
      <c r="E558" s="45"/>
      <c r="F558" s="45"/>
      <c r="G558" s="43"/>
      <c r="H558" s="46"/>
      <c r="I558" s="43"/>
      <c r="J558" s="46"/>
      <c r="K558" s="45"/>
      <c r="L558" s="43"/>
      <c r="M558" s="45"/>
      <c r="N558" s="43"/>
    </row>
    <row r="559" spans="1:24" ht="13" customHeight="1" x14ac:dyDescent="0.2">
      <c r="A559" s="11" t="str">
        <f>A540</f>
        <v>MM</v>
      </c>
      <c r="B559" s="11">
        <f>B540+1</f>
        <v>30</v>
      </c>
      <c r="C559" s="11" t="str">
        <f>C540</f>
        <v>SC</v>
      </c>
      <c r="D559" s="11" t="str">
        <f>D540</f>
        <v>SN</v>
      </c>
      <c r="E559" s="11" t="str">
        <f>E540</f>
        <v>C</v>
      </c>
      <c r="F559" s="11" t="e">
        <f ca="1">VLOOKUP(B559,INDIRECT($F$8),4,0)</f>
        <v>#N/A</v>
      </c>
    </row>
    <row r="560" spans="1:24" ht="13" customHeight="1" x14ac:dyDescent="0.2">
      <c r="A560" s="47" t="str">
        <f ca="1">IF(ISERROR(F559),"",A541)</f>
        <v/>
      </c>
      <c r="B560" s="47" t="str">
        <f ca="1">IFERROR(VLOOKUP(B559,INDIRECT($F$8),4,0),"")</f>
        <v/>
      </c>
      <c r="C560" s="47"/>
      <c r="D560" s="47" t="str">
        <f ca="1">IF(ISERROR(F559),"",D541)</f>
        <v/>
      </c>
      <c r="E560" s="47" t="str">
        <f ca="1">IFERROR(VLOOKUP(B559,INDIRECT($F$8),5,0),"")</f>
        <v/>
      </c>
      <c r="F560" s="47"/>
      <c r="G560" s="47" t="str">
        <f ca="1">IF(ISERROR(F559),"",G541)</f>
        <v/>
      </c>
      <c r="H560" s="47"/>
      <c r="I560" s="48" t="str">
        <f ca="1">IFERROR(VLOOKUP(B559,INDIRECT($F$8),2,0),"")</f>
        <v/>
      </c>
      <c r="J560" s="48"/>
      <c r="K560" s="47" t="str">
        <f ca="1">IF(ISERROR(F559),"",K541)</f>
        <v/>
      </c>
      <c r="L560" s="47"/>
      <c r="M560" s="48" t="str">
        <f ca="1">IFERROR(VLOOKUP(B559,INDIRECT($F$8),3,0),"")</f>
        <v/>
      </c>
      <c r="N560" s="48"/>
    </row>
    <row r="561" spans="1:24" ht="13" customHeight="1" x14ac:dyDescent="0.2">
      <c r="A561" s="47"/>
      <c r="B561" s="47"/>
      <c r="C561" s="47"/>
      <c r="D561" s="47"/>
      <c r="E561" s="47"/>
      <c r="F561" s="47"/>
      <c r="G561" s="47"/>
      <c r="H561" s="47"/>
      <c r="I561" s="48"/>
      <c r="J561" s="48"/>
      <c r="K561" s="47"/>
      <c r="L561" s="47"/>
      <c r="M561" s="48"/>
      <c r="N561" s="48"/>
    </row>
    <row r="562" spans="1:24" ht="13" customHeight="1" x14ac:dyDescent="0.2">
      <c r="A562" s="45" t="str">
        <f ca="1">IF(ISERROR(F559),"",A543)</f>
        <v/>
      </c>
      <c r="B562" s="45" t="str">
        <f ca="1">IF(ISERROR(F559),"",B543)</f>
        <v/>
      </c>
      <c r="C562" s="45"/>
      <c r="D562" s="45"/>
      <c r="E562" s="45"/>
      <c r="F562" s="45" t="str">
        <f ca="1">IF(ISERROR(F559),"",F543)</f>
        <v/>
      </c>
      <c r="G562" s="45" t="str">
        <f ca="1">IF(ISERROR(F559),"",G543)</f>
        <v/>
      </c>
      <c r="H562" s="45"/>
      <c r="I562" s="45" t="str">
        <f ca="1">IF(ISERROR(F559),"",I543)</f>
        <v/>
      </c>
      <c r="J562" s="45"/>
      <c r="K562" s="45" t="str">
        <f ca="1">IF(ISERROR(F559),"",K543)</f>
        <v/>
      </c>
      <c r="L562" s="45"/>
      <c r="M562" s="45" t="str">
        <f ca="1">IF(ISERROR(F559),"",M543)</f>
        <v/>
      </c>
      <c r="N562" s="45" t="str">
        <f ca="1">IF(ISERROR(F559),"",N543)</f>
        <v/>
      </c>
    </row>
    <row r="563" spans="1:24" ht="13" customHeight="1" x14ac:dyDescent="0.2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W563" t="e">
        <f ca="1">IF(ISNUMBER(MATCH($F$8,{"I","III","V","VII"},0)),10,10-INDEX(INDIRECT(_xlfn.TEXTJOIN("",TRUE,"SEM_",$G$8,"!",ADDRESS(6,4+$I$8*3+4),":",ADDRESS(5+$H$8,4+$I$8*3+4))),MATCH(INDIRECT(_xlfn.TEXTJOIN("",TRUE,"TC_",$F$8,"!",ADDRESS(ROW(I560),COLUMN(I560)))),INDIRECT(_xlfn.TEXTJOIN("",TRUE,"SEM_",$G$8,"!",ADDRESS(6,2),":",ADDRESS(5+$H$8,2))))))</f>
        <v>#N/A</v>
      </c>
    </row>
    <row r="564" spans="1:24" ht="13" customHeight="1" x14ac:dyDescent="0.2">
      <c r="A564" s="7" t="str">
        <f ca="1">IF(ISERROR(F559),"",VLOOKUP(C559,INDIRECT($F$8),6+(O564-1)*3,0))</f>
        <v/>
      </c>
      <c r="B564" s="41" t="str">
        <f ca="1">IF(ISERROR(F559),"",VLOOKUP(D559,INDIRECT($F$8),6+(O564-1)*3,0))</f>
        <v/>
      </c>
      <c r="C564" s="41"/>
      <c r="D564" s="41"/>
      <c r="E564" s="41"/>
      <c r="F564" s="7" t="str">
        <f ca="1">IF(ISERROR(F559),"",VLOOKUP(E559,INDIRECT($F$8),6+(O564-1)*3,0))</f>
        <v/>
      </c>
      <c r="G564" s="42" t="str">
        <f ca="1">IF(ISERROR(F559),"",_xlfn.TEXTJOIN("/",FALSE,P564,S564))</f>
        <v/>
      </c>
      <c r="H564" s="42"/>
      <c r="I564" s="42" t="str">
        <f ca="1">IF(ISERROR(F559),"",_xlfn.TEXTJOIN("/",FALSE,Q564,T564))</f>
        <v/>
      </c>
      <c r="J564" s="42"/>
      <c r="K564" s="42" t="str">
        <f ca="1">IF(ISERROR(F559),"",_xlfn.TEXTJOIN("/",FALSE,R564,U564))</f>
        <v/>
      </c>
      <c r="L564" s="42"/>
      <c r="M564" s="7" t="str">
        <f ca="1">IF(ISERROR(F559),"",IF(ISTEXT(P564),IF(P564="A","Ab",IF(P564="D","Dt",IF(P564="UFM","UFM",IF(P564="NA","")))),IF(AND(ISBLANK(P564),ISBLANK(R564)),"",IF(P564&lt;0.3*S564,"F",IF(ISBLANK(R564),"",IF(ISTEXT(R564),R564,IF(R564&gt;=0.9*U564,"O",IF(R564&gt;=0.85*U564,"A+",IF(R564&gt;=0.8*U564,"A",IF(R564&gt;=0.7*U564,"B+",IF(R564&gt;=0.6*U564,"B",IF(R564&gt;=0.5*U564,"C",IF(R564&gt;=0.4*U564,"P",IF(R564&lt;0.4*U564,"F",R564))))))))))))))</f>
        <v/>
      </c>
      <c r="N564" s="8" t="str">
        <f t="shared" ref="N564:N573" ca="1" si="58">INDEX($Z$2:$Z$13,MATCH(M564,$Y$2:$Y$13,0))</f>
        <v/>
      </c>
      <c r="O564">
        <v>1</v>
      </c>
      <c r="P564" s="1" t="str">
        <f ca="1">IF(ISERROR(F559),"",IF(ISTEXT(VLOOKUP(B559,INDIRECT($F$8),6+(O564-1)*3)),(VLOOKUP(B559,INDIRECT($F$8),6+(O564-1)*3)),SUM(VLOOKUP(B559,INDIRECT($F$8),6+(O564-1)*3),IF(W574,W564,0))))</f>
        <v/>
      </c>
      <c r="Q564" s="1" t="str">
        <f ca="1">IF(ISERROR(F559),"",VLOOKUP(B559,INDIRECT($F$8),7+(O564-1)*3))</f>
        <v/>
      </c>
      <c r="R564" s="1" t="str">
        <f ca="1">IF(ISERROR(F559),"",SUM(P564:Q564))</f>
        <v/>
      </c>
      <c r="S564" s="1" t="str">
        <f ca="1">IF(ISERROR(F559),"",VLOOKUP(A559,INDIRECT($F$8),6+(O564-1)*3))</f>
        <v/>
      </c>
      <c r="T564" s="1" t="str">
        <f ca="1">IF(ISERROR(F559),"",VLOOKUP(A559,INDIRECT($F$8),7+(O564-1)*3))</f>
        <v/>
      </c>
      <c r="U564" s="1" t="str">
        <f ca="1">IF(ISERROR(F559),"",VLOOKUP(A559,INDIRECT($F$8),8+(O564-1)*3))</f>
        <v/>
      </c>
      <c r="V564" s="1" t="str">
        <f ca="1">IF(ISERROR(F559),"",IF(N564=0,A564,""))</f>
        <v/>
      </c>
      <c r="W564" s="1" t="str">
        <f ca="1">IF(ISERROR(F559),"",IF(ISTEXT(VLOOKUP(B559,INDIRECT($F$8),6+(O564-1)*3)),11,IF(VLOOKUP(B559,INDIRECT($F$8),6+(O564-1)*3)&lt;S564*0.3,IF(VLOOKUP(B559,INDIRECT($F$8),8+(O564-1)*3)&lt;U564*0.4,IF(AND(0.4*U564-VLOOKUP(B559,INDIRECT($F$8),8+(O564-1)*3)&lt;=5,0.3*S564-VLOOKUP(B559,INDIRECT($F$8),6+(O564-1)*3)&lt;=5),MAX(0.4*U564-VLOOKUP(B559,INDIRECT($F$8),8+(O564-1)*3),0.3*S564-VLOOKUP(B559,INDIRECT($F$8),6+(O564-1)*3)),11),IF(0.3*S564-VLOOKUP(B559,INDIRECT($F$8),6+(O564-1)*3)&lt;=5,0.3*S564-VLOOKUP(B559,INDIRECT($F$8),6+(O564-1)*3),11)),IF(VLOOKUP(B559,INDIRECT($F$8),8+(O564-1)*3)&lt;U564*0.4,IF(U564*0.4-VLOOKUP(B559,INDIRECT($F$8),8+(O564-1)*3)&lt;=5,U564*0.4-VLOOKUP(B559,INDIRECT($F$8),8+(O564-1)*3),11),0))))</f>
        <v/>
      </c>
      <c r="X564" s="1" t="str">
        <f ca="1">IF(ISERROR(F559),"",IF(W564=0,"",_xlfn.TEXTJOIN("",FALSE," G+",W564," in ",A564)))</f>
        <v/>
      </c>
    </row>
    <row r="565" spans="1:24" ht="13" customHeight="1" x14ac:dyDescent="0.2">
      <c r="A565" s="7" t="str">
        <f ca="1">IF(ISERROR(F559),"",VLOOKUP(C559,INDIRECT($F$8),6+(O565-1)*3,0))</f>
        <v/>
      </c>
      <c r="B565" s="41" t="str">
        <f ca="1">IF(ISERROR(F559),"",VLOOKUP(D559,INDIRECT($F$8),6+(O565-1)*3,0))</f>
        <v/>
      </c>
      <c r="C565" s="41"/>
      <c r="D565" s="41"/>
      <c r="E565" s="41"/>
      <c r="F565" s="7" t="str">
        <f ca="1">IF(ISERROR(F559),"",VLOOKUP(E559,INDIRECT($F$8),6+(O565-1)*3,0))</f>
        <v/>
      </c>
      <c r="G565" s="42" t="str">
        <f ca="1">IF(ISERROR(F559),"",_xlfn.TEXTJOIN("/",FALSE,P565,S565))</f>
        <v/>
      </c>
      <c r="H565" s="42"/>
      <c r="I565" s="42" t="str">
        <f ca="1">IF(ISERROR(F559),"",_xlfn.TEXTJOIN("/",FALSE,Q565,T565))</f>
        <v/>
      </c>
      <c r="J565" s="42"/>
      <c r="K565" s="42" t="str">
        <f ca="1">IF(ISERROR(F559),"",_xlfn.TEXTJOIN("/",FALSE,R565,U565))</f>
        <v/>
      </c>
      <c r="L565" s="42"/>
      <c r="M565" s="7" t="str">
        <f ca="1">IF(ISERROR(F559),"",IF(ISTEXT(P565),IF(P565="A","Ab",IF(P565="D","Dt",IF(P565="UFM","UFM",IF(P565="NA","")))),IF(AND(ISBLANK(P565),ISBLANK(R565)),"",IF(P565&lt;0.3*S565,"F",IF(ISBLANK(R565),"",IF(ISTEXT(R565),R565,IF(R565&gt;=0.9*U565,"O",IF(R565&gt;=0.85*U565,"A+",IF(R565&gt;=0.8*U565,"A",IF(R565&gt;=0.7*U565,"B+",IF(R565&gt;=0.6*U565,"B",IF(R565&gt;=0.5*U565,"C",IF(R565&gt;=0.4*U565,"P",IF(R565&lt;0.4*U565,"F",R565))))))))))))))</f>
        <v/>
      </c>
      <c r="N565" s="8" t="str">
        <f t="shared" ca="1" si="58"/>
        <v/>
      </c>
      <c r="O565">
        <f>O564+1</f>
        <v>2</v>
      </c>
      <c r="P565" s="1" t="str">
        <f ca="1">IF(ISERROR(F559),"",IF(ISTEXT(VLOOKUP(B559,INDIRECT($F$8),6+(O565-1)*3)),(VLOOKUP(B559,INDIRECT($F$8),6+(O565-1)*3)),SUM(VLOOKUP(B559,INDIRECT($F$8),6+(O565-1)*3),IF(W574,W565,0))))</f>
        <v/>
      </c>
      <c r="Q565" s="1" t="str">
        <f ca="1">IF(ISERROR(F559),"",VLOOKUP(B559,INDIRECT($F$8),7+(O565-1)*3))</f>
        <v/>
      </c>
      <c r="R565" s="1" t="str">
        <f ca="1">IF(ISERROR(F559),"",SUM(P565:Q565))</f>
        <v/>
      </c>
      <c r="S565" s="1" t="str">
        <f ca="1">IF(ISERROR(F559),"",VLOOKUP(A559,INDIRECT($F$8),6+(O565-1)*3))</f>
        <v/>
      </c>
      <c r="T565" s="1" t="str">
        <f ca="1">IF(ISERROR(F559),"",VLOOKUP(A559,INDIRECT($F$8),7+(O565-1)*3))</f>
        <v/>
      </c>
      <c r="U565" s="1" t="str">
        <f ca="1">IF(ISERROR(F559),"",VLOOKUP(A559,INDIRECT($F$8),8+(O565-1)*3))</f>
        <v/>
      </c>
      <c r="V565" s="1" t="str">
        <f ca="1">IF(ISERROR(F559),"",IF(N565=0,A565,""))</f>
        <v/>
      </c>
      <c r="W565" s="1" t="str">
        <f ca="1">IF(ISERROR(F559),"",IF(ISTEXT(VLOOKUP(B559,INDIRECT($F$8),6+(O565-1)*3)),11,IF(VLOOKUP(B559,INDIRECT($F$8),6+(O565-1)*3)&lt;S565*0.3,IF(VLOOKUP(B559,INDIRECT($F$8),8+(O565-1)*3)&lt;U565*0.4,IF(AND(0.4*U565-VLOOKUP(B559,INDIRECT($F$8),8+(O565-1)*3)&lt;=5,0.3*S565-VLOOKUP(B559,INDIRECT($F$8),6+(O565-1)*3)&lt;=5),MAX(0.4*U565-VLOOKUP(B559,INDIRECT($F$8),8+(O565-1)*3),0.3*S565-VLOOKUP(B559,INDIRECT($F$8),6+(O565-1)*3)),11),IF(0.3*S565-VLOOKUP(B559,INDIRECT($F$8),6+(O565-1)*3)&lt;=5,0.3*S565-VLOOKUP(B559,INDIRECT($F$8),6+(O565-1)*3),11)),IF(VLOOKUP(B559,INDIRECT($F$8),8+(O565-1)*3)&lt;U565*0.4,IF(U565*0.4-VLOOKUP(B559,INDIRECT($F$8),8+(O565-1)*3)&lt;=5,U565*0.4-VLOOKUP(B559,INDIRECT($F$8),8+(O565-1)*3),11),0))))</f>
        <v/>
      </c>
      <c r="X565" s="1" t="str">
        <f ca="1">IF(ISERROR(F559),"",IF(W565=0,"",_xlfn.TEXTJOIN("",FALSE," G+",W565," in ",A565)))</f>
        <v/>
      </c>
    </row>
    <row r="566" spans="1:24" ht="13" customHeight="1" x14ac:dyDescent="0.2">
      <c r="A566" s="7" t="str">
        <f ca="1">IF(ISERROR(F559),"",VLOOKUP(C559,INDIRECT($F$8),6+(O566-1)*3,0))</f>
        <v/>
      </c>
      <c r="B566" s="41" t="str">
        <f ca="1">IF(ISERROR(F559),"",VLOOKUP(D559,INDIRECT($F$8),6+(O566-1)*3,0))</f>
        <v/>
      </c>
      <c r="C566" s="41"/>
      <c r="D566" s="41"/>
      <c r="E566" s="41"/>
      <c r="F566" s="7" t="str">
        <f ca="1">IF(ISERROR(F559),"",VLOOKUP(E559,INDIRECT($F$8),6+(O566-1)*3,0))</f>
        <v/>
      </c>
      <c r="G566" s="42" t="str">
        <f ca="1">IF(ISERROR(F559),"",_xlfn.TEXTJOIN("/",FALSE,P566,S566))</f>
        <v/>
      </c>
      <c r="H566" s="42"/>
      <c r="I566" s="42" t="str">
        <f ca="1">IF(ISERROR(F559),"",_xlfn.TEXTJOIN("/",FALSE,Q566,T566))</f>
        <v/>
      </c>
      <c r="J566" s="42"/>
      <c r="K566" s="42" t="str">
        <f ca="1">IF(ISERROR(F559),"",_xlfn.TEXTJOIN("/",FALSE,R566,U566))</f>
        <v/>
      </c>
      <c r="L566" s="42"/>
      <c r="M566" s="7" t="str">
        <f ca="1">IF(ISERROR(F559),"",IF(ISTEXT(P566),IF(P566="A","Ab",IF(P566="D","Dt",IF(P566="UFM","UFM",IF(P566="NA","")))),IF(AND(ISBLANK(P566),ISBLANK(R566)),"",IF(P566&lt;0.3*S566,"F",IF(ISBLANK(R566),"",IF(ISTEXT(R566),R566,IF(R566&gt;=0.9*U566,"O",IF(R566&gt;=0.85*U566,"A+",IF(R566&gt;=0.8*U566,"A",IF(R566&gt;=0.7*U566,"B+",IF(R566&gt;=0.6*U566,"B",IF(R566&gt;=0.5*U566,"C",IF(R566&gt;=0.4*U566,"P",IF(R566&lt;0.4*U566,"F",R566))))))))))))))</f>
        <v/>
      </c>
      <c r="N566" s="8" t="str">
        <f t="shared" ca="1" si="58"/>
        <v/>
      </c>
      <c r="O566">
        <f>O565+1</f>
        <v>3</v>
      </c>
      <c r="P566" s="1" t="str">
        <f ca="1">IF(ISERROR(F559),"",IF(ISTEXT(VLOOKUP(B559,INDIRECT($F$8),6+(O566-1)*3)),(VLOOKUP(B559,INDIRECT($F$8),6+(O566-1)*3)),SUM(VLOOKUP(B559,INDIRECT($F$8),6+(O566-1)*3),IF(W574,W566,0))))</f>
        <v/>
      </c>
      <c r="Q566" s="1" t="str">
        <f ca="1">IF(ISERROR(F559),"",VLOOKUP(B559,INDIRECT($F$8),7+(O566-1)*3))</f>
        <v/>
      </c>
      <c r="R566" s="1" t="str">
        <f ca="1">IF(ISERROR(F559),"",SUM(P566:Q566))</f>
        <v/>
      </c>
      <c r="S566" s="1" t="str">
        <f ca="1">IF(ISERROR(F559),"",VLOOKUP(A559,INDIRECT($F$8),6+(O566-1)*3))</f>
        <v/>
      </c>
      <c r="T566" s="1" t="str">
        <f ca="1">IF(ISERROR(F559),"",VLOOKUP(A559,INDIRECT($F$8),7+(O566-1)*3))</f>
        <v/>
      </c>
      <c r="U566" s="1" t="str">
        <f ca="1">IF(ISERROR(F559),"",VLOOKUP(A559,INDIRECT($F$8),8+(O566-1)*3))</f>
        <v/>
      </c>
      <c r="V566" s="1" t="str">
        <f ca="1">IF(ISERROR(F559),"",IF(N566=0,A566,""))</f>
        <v/>
      </c>
      <c r="W566" s="1" t="str">
        <f ca="1">IF(ISERROR(F559),"",IF(ISTEXT(VLOOKUP(B559,INDIRECT($F$8),6+(O566-1)*3)),11,IF(VLOOKUP(B559,INDIRECT($F$8),6+(O566-1)*3)&lt;S566*0.3,IF(VLOOKUP(B559,INDIRECT($F$8),8+(O566-1)*3)&lt;U566*0.4,IF(AND(0.4*U566-VLOOKUP(B559,INDIRECT($F$8),8+(O566-1)*3)&lt;=5,0.3*S566-VLOOKUP(B559,INDIRECT($F$8),6+(O566-1)*3)&lt;=5),MAX(0.4*U566-VLOOKUP(B559,INDIRECT($F$8),8+(O566-1)*3),0.3*S566-VLOOKUP(B559,INDIRECT($F$8),6+(O566-1)*3)),11),IF(0.3*S566-VLOOKUP(B559,INDIRECT($F$8),6+(O566-1)*3)&lt;=5,0.3*S566-VLOOKUP(B559,INDIRECT($F$8),6+(O566-1)*3),11)),IF(VLOOKUP(B559,INDIRECT($F$8),8+(O566-1)*3)&lt;U566*0.4,IF(U566*0.4-VLOOKUP(B559,INDIRECT($F$8),8+(O566-1)*3)&lt;=5,U566*0.4-VLOOKUP(B559,INDIRECT($F$8),8+(O566-1)*3),11),0))))</f>
        <v/>
      </c>
      <c r="X566" s="1" t="str">
        <f ca="1">IF(ISERROR(F559),"",IF(W566=0,"",_xlfn.TEXTJOIN("",FALSE," G+",W566," in ",A566)))</f>
        <v/>
      </c>
    </row>
    <row r="567" spans="1:24" ht="13" customHeight="1" x14ac:dyDescent="0.2">
      <c r="A567" s="7" t="str">
        <f ca="1">IF(ISERROR(F559),"",VLOOKUP(C559,INDIRECT($F$8),6+(O567-1)*3,0))</f>
        <v/>
      </c>
      <c r="B567" s="41" t="str">
        <f ca="1">IF(ISERROR(F559),"",VLOOKUP(D559,INDIRECT($F$8),6+(O567-1)*3,0))</f>
        <v/>
      </c>
      <c r="C567" s="41"/>
      <c r="D567" s="41"/>
      <c r="E567" s="41"/>
      <c r="F567" s="7" t="str">
        <f ca="1">IF(ISERROR(F559),"",VLOOKUP(E559,INDIRECT($F$8),6+(O567-1)*3,0))</f>
        <v/>
      </c>
      <c r="G567" s="42" t="str">
        <f ca="1">IF(ISERROR(F559),"",_xlfn.TEXTJOIN("/",FALSE,P567,S567))</f>
        <v/>
      </c>
      <c r="H567" s="42"/>
      <c r="I567" s="42" t="str">
        <f ca="1">IF(ISERROR(F559),"",_xlfn.TEXTJOIN("/",FALSE,Q567,T567))</f>
        <v/>
      </c>
      <c r="J567" s="42"/>
      <c r="K567" s="42" t="str">
        <f ca="1">IF(ISERROR(F559),"",_xlfn.TEXTJOIN("/",FALSE,R567,U567))</f>
        <v/>
      </c>
      <c r="L567" s="42"/>
      <c r="M567" s="7" t="str">
        <f ca="1">IF(ISERROR(F559),"",IF(ISTEXT(P567),IF(P567="A","Ab",IF(P567="D","Dt",IF(P567="UFM","UFM",IF(P567="NA","")))),IF(AND(ISBLANK(P567),ISBLANK(R567)),"",IF(P567&lt;0.3*S567,"F",IF(ISBLANK(R567),"",IF(ISTEXT(R567),R567,IF(R567&gt;=0.9*U567,"O",IF(R567&gt;=0.85*U567,"A+",IF(R567&gt;=0.8*U567,"A",IF(R567&gt;=0.7*U567,"B+",IF(R567&gt;=0.6*U567,"B",IF(R567&gt;=0.5*U567,"C",IF(R567&gt;=0.4*U567,"P",IF(R567&lt;0.4*U567,"F",R567))))))))))))))</f>
        <v/>
      </c>
      <c r="N567" s="8" t="str">
        <f t="shared" ca="1" si="58"/>
        <v/>
      </c>
      <c r="O567">
        <f t="shared" ref="O567:O573" si="59">O566+1</f>
        <v>4</v>
      </c>
      <c r="P567" s="1" t="str">
        <f ca="1">IF(ISERROR(F559),"",IF(ISTEXT(VLOOKUP(B559,INDIRECT($F$8),6+(O567-1)*3)),(VLOOKUP(B559,INDIRECT($F$8),6+(O567-1)*3)),SUM(VLOOKUP(B559,INDIRECT($F$8),6+(O567-1)*3),IF(W574,W567,0))))</f>
        <v/>
      </c>
      <c r="Q567" s="1" t="str">
        <f ca="1">IF(ISERROR(F559),"",VLOOKUP(B559,INDIRECT($F$8),7+(O567-1)*3))</f>
        <v/>
      </c>
      <c r="R567" s="1" t="str">
        <f ca="1">IF(ISERROR(F559),"",SUM(P567:Q567))</f>
        <v/>
      </c>
      <c r="S567" s="1" t="str">
        <f ca="1">IF(ISERROR(F559),"",VLOOKUP(A559,INDIRECT($F$8),6+(O567-1)*3))</f>
        <v/>
      </c>
      <c r="T567" s="1" t="str">
        <f ca="1">IF(ISERROR(F559),"",VLOOKUP(A559,INDIRECT($F$8),7+(O567-1)*3))</f>
        <v/>
      </c>
      <c r="U567" s="1" t="str">
        <f ca="1">IF(ISERROR(F559),"",VLOOKUP(A559,INDIRECT($F$8),8+(O567-1)*3))</f>
        <v/>
      </c>
      <c r="V567" s="1" t="str">
        <f ca="1">IF(ISERROR(F559),"",IF(N567=0,A567,""))</f>
        <v/>
      </c>
      <c r="W567" s="1" t="str">
        <f ca="1">IF(ISERROR(F559),"",IF(ISTEXT(VLOOKUP(B559,INDIRECT($F$8),6+(O567-1)*3)),11,IF(VLOOKUP(B559,INDIRECT($F$8),6+(O567-1)*3)&lt;S567*0.3,IF(VLOOKUP(B559,INDIRECT($F$8),8+(O567-1)*3)&lt;U567*0.4,IF(AND(0.4*U567-VLOOKUP(B559,INDIRECT($F$8),8+(O567-1)*3)&lt;=5,0.3*S567-VLOOKUP(B559,INDIRECT($F$8),6+(O567-1)*3)&lt;=5),MAX(0.4*U567-VLOOKUP(B559,INDIRECT($F$8),8+(O567-1)*3),0.3*S567-VLOOKUP(B559,INDIRECT($F$8),6+(O567-1)*3)),11),IF(0.3*S567-VLOOKUP(B559,INDIRECT($F$8),6+(O567-1)*3)&lt;=5,0.3*S567-VLOOKUP(B559,INDIRECT($F$8),6+(O567-1)*3),11)),IF(VLOOKUP(B559,INDIRECT($F$8),8+(O567-1)*3)&lt;U567*0.4,IF(U567*0.4-VLOOKUP(B559,INDIRECT($F$8),8+(O567-1)*3)&lt;=5,U567*0.4-VLOOKUP(B559,INDIRECT($F$8),8+(O567-1)*3),11),0))))</f>
        <v/>
      </c>
      <c r="X567" s="1" t="str">
        <f ca="1">IF(ISERROR(F559),"",IF(W567=0,"",_xlfn.TEXTJOIN("",FALSE," G+",W567," in ",A567)))</f>
        <v/>
      </c>
    </row>
    <row r="568" spans="1:24" ht="13" customHeight="1" x14ac:dyDescent="0.2">
      <c r="A568" s="7" t="str">
        <f ca="1">IF(ISERROR(F559),"",VLOOKUP(C559,INDIRECT($F$8),6+(O568-1)*3,0))</f>
        <v/>
      </c>
      <c r="B568" s="41" t="str">
        <f ca="1">IF(ISERROR(F559),"",VLOOKUP(D559,INDIRECT($F$8),6+(O568-1)*3,0))</f>
        <v/>
      </c>
      <c r="C568" s="41"/>
      <c r="D568" s="41"/>
      <c r="E568" s="41"/>
      <c r="F568" s="7" t="str">
        <f ca="1">IF(ISERROR(F559),"",VLOOKUP(E559,INDIRECT($F$8),6+(O568-1)*3,0))</f>
        <v/>
      </c>
      <c r="G568" s="42" t="str">
        <f ca="1">IF(ISERROR(F559),"",_xlfn.TEXTJOIN("/",FALSE,P568,S568))</f>
        <v/>
      </c>
      <c r="H568" s="42"/>
      <c r="I568" s="42" t="str">
        <f ca="1">IF(ISERROR(F559),"",_xlfn.TEXTJOIN("/",FALSE,Q568,T568))</f>
        <v/>
      </c>
      <c r="J568" s="42"/>
      <c r="K568" s="42" t="str">
        <f ca="1">IF(ISERROR(F559),"",_xlfn.TEXTJOIN("/",FALSE,R568,U568))</f>
        <v/>
      </c>
      <c r="L568" s="42"/>
      <c r="M568" s="7" t="str">
        <f ca="1">IF(ISERROR(F559),"",IF(ISTEXT(P568),IF(P568="A","Ab",IF(P568="D","Dt",IF(P568="UFM","UFM",IF(P568="NA","")))),IF(AND(ISBLANK(P568),ISBLANK(R568)),"",IF(P568&lt;0.3*S568,"F",IF(ISBLANK(R568),"",IF(ISTEXT(R568),R568,IF(R568&gt;=0.9*U568,"O",IF(R568&gt;=0.85*U568,"A+",IF(R568&gt;=0.8*U568,"A",IF(R568&gt;=0.7*U568,"B+",IF(R568&gt;=0.6*U568,"B",IF(R568&gt;=0.5*U568,"C",IF(R568&gt;=0.4*U568,"P",IF(R568&lt;0.4*U568,"F",R568))))))))))))))</f>
        <v/>
      </c>
      <c r="N568" s="8" t="str">
        <f t="shared" ca="1" si="58"/>
        <v/>
      </c>
      <c r="O568">
        <f t="shared" si="59"/>
        <v>5</v>
      </c>
      <c r="P568" s="1" t="str">
        <f ca="1">IF(ISERROR(F559),"",IF(ISTEXT(VLOOKUP(B559,INDIRECT($F$8),6+(O568-1)*3)),(VLOOKUP(B559,INDIRECT($F$8),6+(O568-1)*3)),SUM(VLOOKUP(B559,INDIRECT($F$8),6+(O568-1)*3),IF(W574,W568,0))))</f>
        <v/>
      </c>
      <c r="Q568" s="1" t="str">
        <f ca="1">IF(ISERROR(F559),"",VLOOKUP(B559,INDIRECT($F$8),7+(O568-1)*3))</f>
        <v/>
      </c>
      <c r="R568" s="1" t="str">
        <f ca="1">IF(ISERROR(F559),"",SUM(P568:Q568))</f>
        <v/>
      </c>
      <c r="S568" s="1" t="str">
        <f ca="1">IF(ISERROR(F559),"",VLOOKUP(A559,INDIRECT($F$8),6+(O568-1)*3))</f>
        <v/>
      </c>
      <c r="T568" s="1" t="str">
        <f ca="1">IF(ISERROR(F559),"",VLOOKUP(A559,INDIRECT($F$8),7+(O568-1)*3))</f>
        <v/>
      </c>
      <c r="U568" s="1" t="str">
        <f ca="1">IF(ISERROR(F559),"",VLOOKUP(A559,INDIRECT($F$8),8+(O568-1)*3))</f>
        <v/>
      </c>
      <c r="V568" s="1" t="str">
        <f ca="1">IF(ISERROR(F559),"",IF(N568=0,A568,""))</f>
        <v/>
      </c>
      <c r="W568" s="1" t="str">
        <f ca="1">IF(ISERROR(F559),"",IF(ISTEXT(VLOOKUP(B559,INDIRECT($F$8),6+(O568-1)*3)),11,IF(VLOOKUP(B559,INDIRECT($F$8),6+(O568-1)*3)&lt;S568*0.3,IF(VLOOKUP(B559,INDIRECT($F$8),8+(O568-1)*3)&lt;U568*0.4,IF(AND(0.4*U568-VLOOKUP(B559,INDIRECT($F$8),8+(O568-1)*3)&lt;=5,0.3*S568-VLOOKUP(B559,INDIRECT($F$8),6+(O568-1)*3)&lt;=5),MAX(0.4*U568-VLOOKUP(B559,INDIRECT($F$8),8+(O568-1)*3),0.3*S568-VLOOKUP(B559,INDIRECT($F$8),6+(O568-1)*3)),11),IF(0.3*S568-VLOOKUP(B559,INDIRECT($F$8),6+(O568-1)*3)&lt;=5,0.3*S568-VLOOKUP(B559,INDIRECT($F$8),6+(O568-1)*3),11)),IF(VLOOKUP(B559,INDIRECT($F$8),8+(O568-1)*3)&lt;U568*0.4,IF(U568*0.4-VLOOKUP(B559,INDIRECT($F$8),8+(O568-1)*3)&lt;=5,U568*0.4-VLOOKUP(B559,INDIRECT($F$8),8+(O568-1)*3),11),0))))</f>
        <v/>
      </c>
      <c r="X568" s="1" t="str">
        <f ca="1">IF(ISERROR(F559),"",IF(W568=0,"",_xlfn.TEXTJOIN("",FALSE," G+",W568," in ",A568)))</f>
        <v/>
      </c>
    </row>
    <row r="569" spans="1:24" ht="13" customHeight="1" x14ac:dyDescent="0.2">
      <c r="A569" s="7" t="str">
        <f ca="1">IF(ISERROR(F559),"",VLOOKUP(C559,INDIRECT($F$8),6+(O569-1)*3,0))</f>
        <v/>
      </c>
      <c r="B569" s="41" t="str">
        <f ca="1">IF(ISERROR(F559),"",VLOOKUP(D559,INDIRECT($F$8),6+(O569-1)*3,0))</f>
        <v/>
      </c>
      <c r="C569" s="41"/>
      <c r="D569" s="41"/>
      <c r="E569" s="41"/>
      <c r="F569" s="7" t="str">
        <f ca="1">IF(ISERROR(F559),"",VLOOKUP(E559,INDIRECT($F$8),6+(O569-1)*3,0))</f>
        <v/>
      </c>
      <c r="G569" s="42" t="str">
        <f ca="1">IF(ISERROR(F559),"",_xlfn.TEXTJOIN("/",FALSE,P569,S569))</f>
        <v/>
      </c>
      <c r="H569" s="42"/>
      <c r="I569" s="42" t="str">
        <f ca="1">IF(ISERROR(F559),"",_xlfn.TEXTJOIN("/",FALSE,Q569,T569))</f>
        <v/>
      </c>
      <c r="J569" s="42"/>
      <c r="K569" s="42" t="str">
        <f ca="1">IF(ISERROR(F559),"",_xlfn.TEXTJOIN("/",FALSE,R569,U569))</f>
        <v/>
      </c>
      <c r="L569" s="42"/>
      <c r="M569" s="7" t="str">
        <f ca="1">IF(ISERROR(F559),"",IF(ISTEXT(P569),IF(P569="A","Ab",IF(P569="D","Dt",IF(P569="UFM","UFM",IF(P569="NA","")))),IF(AND(ISBLANK(P569),ISBLANK(R569)),"",IF(P569&lt;0.3*S569,"F",IF(ISBLANK(R569),"",IF(ISTEXT(R569),R569,IF(R569&gt;=0.9*U569,"O",IF(R569&gt;=0.85*U569,"A+",IF(R569&gt;=0.8*U569,"A",IF(R569&gt;=0.7*U569,"B+",IF(R569&gt;=0.6*U569,"B",IF(R569&gt;=0.5*U569,"C",IF(R569&gt;=0.4*U569,"P",IF(R569&lt;0.4*U569,"F",R569))))))))))))))</f>
        <v/>
      </c>
      <c r="N569" s="8" t="str">
        <f t="shared" ca="1" si="58"/>
        <v/>
      </c>
      <c r="O569">
        <f t="shared" si="59"/>
        <v>6</v>
      </c>
      <c r="P569" s="1" t="str">
        <f ca="1">IF(ISERROR(F559),"",IF(ISTEXT(VLOOKUP(B559,INDIRECT($F$8),6+(O569-1)*3)),(VLOOKUP(B559,INDIRECT($F$8),6+(O569-1)*3)),SUM(VLOOKUP(B559,INDIRECT($F$8),6+(O569-1)*3),IF(W574,W569,0))))</f>
        <v/>
      </c>
      <c r="Q569" s="1" t="str">
        <f ca="1">IF(ISERROR(F559),"",VLOOKUP(B559,INDIRECT($F$8),7+(O569-1)*3))</f>
        <v/>
      </c>
      <c r="R569" s="1" t="str">
        <f ca="1">IF(ISERROR(F559),"",SUM(P569:Q569))</f>
        <v/>
      </c>
      <c r="S569" s="1" t="str">
        <f ca="1">IF(ISERROR(F559),"",VLOOKUP(A559,INDIRECT($F$8),6+(O569-1)*3))</f>
        <v/>
      </c>
      <c r="T569" s="1" t="str">
        <f ca="1">IF(ISERROR(F559),"",VLOOKUP(A559,INDIRECT($F$8),7+(O569-1)*3))</f>
        <v/>
      </c>
      <c r="U569" s="1" t="str">
        <f ca="1">IF(ISERROR(F559),"",VLOOKUP(A559,INDIRECT($F$8),8+(O569-1)*3))</f>
        <v/>
      </c>
      <c r="V569" s="1" t="str">
        <f ca="1">IF(ISERROR(F559),"",IF(N569=0,A569,""))</f>
        <v/>
      </c>
      <c r="W569" s="1" t="str">
        <f ca="1">IF(ISERROR(F559),"",IF(ISTEXT(VLOOKUP(B559,INDIRECT($F$8),6+(O569-1)*3)),11,IF(VLOOKUP(B559,INDIRECT($F$8),6+(O569-1)*3)&lt;S569*0.3,IF(VLOOKUP(B559,INDIRECT($F$8),8+(O569-1)*3)&lt;U569*0.4,IF(AND(0.4*U569-VLOOKUP(B559,INDIRECT($F$8),8+(O569-1)*3)&lt;=5,0.3*S569-VLOOKUP(B559,INDIRECT($F$8),6+(O569-1)*3)&lt;=5),MAX(0.4*U569-VLOOKUP(B559,INDIRECT($F$8),8+(O569-1)*3),0.3*S569-VLOOKUP(B559,INDIRECT($F$8),6+(O569-1)*3)),11),IF(0.3*S569-VLOOKUP(B559,INDIRECT($F$8),6+(O569-1)*3)&lt;=5,0.3*S569-VLOOKUP(B559,INDIRECT($F$8),6+(O569-1)*3),11)),IF(VLOOKUP(B559,INDIRECT($F$8),8+(O569-1)*3)&lt;U569*0.4,IF(U569*0.4-VLOOKUP(B559,INDIRECT($F$8),8+(O569-1)*3)&lt;=5,U569*0.4-VLOOKUP(B559,INDIRECT($F$8),8+(O569-1)*3),11),0))))</f>
        <v/>
      </c>
      <c r="X569" s="1" t="str">
        <f ca="1">IF(ISERROR(F559),"",IF(W569=0,"",_xlfn.TEXTJOIN("",FALSE," G+",W569," in ",A569)))</f>
        <v/>
      </c>
    </row>
    <row r="570" spans="1:24" ht="13" customHeight="1" x14ac:dyDescent="0.2">
      <c r="A570" s="7" t="str">
        <f ca="1">IF(ISERROR(F559),"",VLOOKUP(C559,INDIRECT($F$8),6+(O570-1)*3,0))</f>
        <v/>
      </c>
      <c r="B570" s="41" t="str">
        <f ca="1">IF(ISERROR(F559),"",VLOOKUP(D559,INDIRECT($F$8),6+(O570-1)*3,0))</f>
        <v/>
      </c>
      <c r="C570" s="41"/>
      <c r="D570" s="41"/>
      <c r="E570" s="41"/>
      <c r="F570" s="7" t="str">
        <f ca="1">IF(ISERROR(F559),"",VLOOKUP(E559,INDIRECT($F$8),6+(O570-1)*3,0))</f>
        <v/>
      </c>
      <c r="G570" s="42" t="str">
        <f ca="1">IF(ISERROR(F559),"",_xlfn.TEXTJOIN("/",FALSE,P570,S570))</f>
        <v/>
      </c>
      <c r="H570" s="42"/>
      <c r="I570" s="42" t="str">
        <f ca="1">IF(ISERROR(F559),"",_xlfn.TEXTJOIN("/",FALSE,Q570,T570))</f>
        <v/>
      </c>
      <c r="J570" s="42"/>
      <c r="K570" s="42" t="str">
        <f ca="1">IF(ISERROR(F559),"",_xlfn.TEXTJOIN("/",FALSE,R570,U570))</f>
        <v/>
      </c>
      <c r="L570" s="42"/>
      <c r="M570" s="7" t="str">
        <f ca="1">IF(ISERROR(F559),"",IF(ISTEXT(P570),IF(P570="A","Ab",IF(P570="D","Dt",IF(P570="UFM","UFM",IF(P570="NA","")))),IF(AND(ISBLANK(P570),ISBLANK(R570)),"",IF(P570&lt;0.3*S570,"F",IF(ISBLANK(R570),"",IF(ISTEXT(R570),R570,IF(R570&gt;=0.9*U570,"O",IF(R570&gt;=0.85*U570,"A+",IF(R570&gt;=0.8*U570,"A",IF(R570&gt;=0.7*U570,"B+",IF(R570&gt;=0.6*U570,"B",IF(R570&gt;=0.5*U570,"C",IF(R570&gt;=0.4*U570,"P",IF(R570&lt;0.4*U570,"F",R570))))))))))))))</f>
        <v/>
      </c>
      <c r="N570" s="8" t="str">
        <f t="shared" ca="1" si="58"/>
        <v/>
      </c>
      <c r="O570">
        <f t="shared" si="59"/>
        <v>7</v>
      </c>
      <c r="P570" s="1" t="str">
        <f ca="1">IF(ISERROR(F559),"",IF(ISTEXT(VLOOKUP(B559,INDIRECT($F$8),6+(O570-1)*3)),(VLOOKUP(B559,INDIRECT($F$8),6+(O570-1)*3)),SUM(VLOOKUP(B559,INDIRECT($F$8),6+(O570-1)*3),IF(W574,W570,0))))</f>
        <v/>
      </c>
      <c r="Q570" s="1" t="str">
        <f ca="1">IF(ISERROR(F559),"",VLOOKUP(B559,INDIRECT($F$8),7+(O570-1)*3))</f>
        <v/>
      </c>
      <c r="R570" s="1" t="str">
        <f ca="1">IF(ISERROR(F559),"",SUM(P570:Q570))</f>
        <v/>
      </c>
      <c r="S570" s="1" t="str">
        <f ca="1">IF(ISERROR(F559),"",VLOOKUP(A559,INDIRECT($F$8),6+(O570-1)*3))</f>
        <v/>
      </c>
      <c r="T570" s="1" t="str">
        <f ca="1">IF(ISERROR(F559),"",VLOOKUP(A559,INDIRECT($F$8),7+(O570-1)*3))</f>
        <v/>
      </c>
      <c r="U570" s="1" t="str">
        <f ca="1">IF(ISERROR(F559),"",VLOOKUP(A559,INDIRECT($F$8),8+(O570-1)*3))</f>
        <v/>
      </c>
      <c r="V570" s="1" t="str">
        <f ca="1">IF(ISERROR(F559),"",IF(N570=0,A570,""))</f>
        <v/>
      </c>
      <c r="W570" s="1" t="str">
        <f ca="1">IF(ISERROR(F559),"",IF(ISTEXT(VLOOKUP(B559,INDIRECT($F$8),6+(O570-1)*3)),11,IF(VLOOKUP(B559,INDIRECT($F$8),6+(O570-1)*3)&lt;S570*0.3,IF(VLOOKUP(B559,INDIRECT($F$8),8+(O570-1)*3)&lt;U570*0.4,IF(AND(0.4*U570-VLOOKUP(B559,INDIRECT($F$8),8+(O570-1)*3)&lt;=5,0.3*S570-VLOOKUP(B559,INDIRECT($F$8),6+(O570-1)*3)&lt;=5),MAX(0.4*U570-VLOOKUP(B559,INDIRECT($F$8),8+(O570-1)*3),0.3*S570-VLOOKUP(B559,INDIRECT($F$8),6+(O570-1)*3)),11),IF(0.3*S570-VLOOKUP(B559,INDIRECT($F$8),6+(O570-1)*3)&lt;=5,0.3*S570-VLOOKUP(B559,INDIRECT($F$8),6+(O570-1)*3),11)),IF(VLOOKUP(B559,INDIRECT($F$8),8+(O570-1)*3)&lt;U570*0.4,IF(U570*0.4-VLOOKUP(B559,INDIRECT($F$8),8+(O570-1)*3)&lt;=5,U570*0.4-VLOOKUP(B559,INDIRECT($F$8),8+(O570-1)*3),11),0))))</f>
        <v/>
      </c>
      <c r="X570" s="1" t="str">
        <f ca="1">IF(ISERROR(F559),"",IF(W570=0,"",_xlfn.TEXTJOIN("",FALSE," G+",W570," in ",A570)))</f>
        <v/>
      </c>
    </row>
    <row r="571" spans="1:24" ht="13" customHeight="1" x14ac:dyDescent="0.2">
      <c r="A571" s="7" t="str">
        <f ca="1">IF(ISERROR(F559),"",VLOOKUP(C559,INDIRECT($F$8),6+(O571-1)*3,0))</f>
        <v/>
      </c>
      <c r="B571" s="41" t="str">
        <f ca="1">IF(ISERROR(F559),"",VLOOKUP(D559,INDIRECT($F$8),6+(O571-1)*3-Z571,0))</f>
        <v/>
      </c>
      <c r="C571" s="41"/>
      <c r="D571" s="41"/>
      <c r="E571" s="41"/>
      <c r="F571" s="7" t="str">
        <f ca="1">IF(ISERROR(F559),"",VLOOKUP(E559,INDIRECT($F$8),6+(O571-1)*3,0))</f>
        <v/>
      </c>
      <c r="G571" s="42" t="str">
        <f ca="1">IF(ISERROR(F559),"",_xlfn.TEXTJOIN("/",FALSE,P571,S571))</f>
        <v/>
      </c>
      <c r="H571" s="42"/>
      <c r="I571" s="42" t="str">
        <f ca="1">IF(ISERROR(F559),"",_xlfn.TEXTJOIN("/",FALSE,Q571,T571))</f>
        <v/>
      </c>
      <c r="J571" s="42"/>
      <c r="K571" s="42" t="str">
        <f ca="1">IF(ISERROR(F559),"",_xlfn.TEXTJOIN("/",FALSE,R571,U571))</f>
        <v/>
      </c>
      <c r="L571" s="42"/>
      <c r="M571" s="7" t="str">
        <f ca="1">IF(ISERROR(F559),"",IF(ISTEXT(P571),IF(P571="A","Ab",IF(P571="D","Dt",IF(P571="UFM","UFM",IF(P571="NA","")))),IF(AND(ISBLANK(P571),ISBLANK(R571)),"",IF(P571&lt;0.3*S571,"F",IF(ISBLANK(R571),"",IF(ISTEXT(R571),R571,IF(R571&gt;=0.9*U571,"O",IF(R571&gt;=0.85*U571,"A+",IF(R571&gt;=0.8*U571,"A",IF(R571&gt;=0.7*U571,"B+",IF(R571&gt;=0.6*U571,"B",IF(R571&gt;=0.5*U571,"C",IF(R571&gt;=0.4*U571,"P",IF(R571&lt;0.4*U571,"F",R571))))))))))))))</f>
        <v/>
      </c>
      <c r="N571" s="8" t="str">
        <f t="shared" ca="1" si="58"/>
        <v/>
      </c>
      <c r="O571">
        <f t="shared" si="59"/>
        <v>8</v>
      </c>
      <c r="P571" s="1" t="str">
        <f ca="1">IF(ISERROR(F559),"",IF(ISTEXT(VLOOKUP(B559,INDIRECT($F$8),6+(O571-1)*3)),(VLOOKUP(B559,INDIRECT($F$8),6+(O571-1)*3)),SUM(VLOOKUP(B559,INDIRECT($F$8),6+(O571-1)*3),IF(W574,W571,0))))</f>
        <v/>
      </c>
      <c r="Q571" s="1" t="str">
        <f ca="1">IF(ISERROR(F559),"",VLOOKUP(B559,INDIRECT($F$8),7+(O571-1)*3))</f>
        <v/>
      </c>
      <c r="R571" s="1" t="str">
        <f ca="1">IF(ISERROR(F559),"",SUM(P571:Q571))</f>
        <v/>
      </c>
      <c r="S571" s="1" t="str">
        <f ca="1">IF(ISERROR(F559),"",VLOOKUP(A559,INDIRECT($F$8),6+(O571-1)*3))</f>
        <v/>
      </c>
      <c r="T571" s="1" t="str">
        <f ca="1">IF(ISERROR(F559),"",VLOOKUP(A559,INDIRECT($F$8),7+(O571-1)*3))</f>
        <v/>
      </c>
      <c r="U571" s="1" t="str">
        <f ca="1">IF(ISERROR(F559),"",VLOOKUP(A559,INDIRECT($F$8),8+(O571-1)*3))</f>
        <v/>
      </c>
      <c r="V571" s="1" t="str">
        <f ca="1">IF(ISERROR(F559),"",IF(N571=0,A571,""))</f>
        <v/>
      </c>
      <c r="W571" s="1" t="str">
        <f ca="1">IF(ISERROR(F559),"",IF(ISTEXT(VLOOKUP(B559,INDIRECT($F$8),6+(O571-1)*3)),11,IF(VLOOKUP(B559,INDIRECT($F$8),6+(O571-1)*3)&lt;S571*0.3,IF(VLOOKUP(B559,INDIRECT($F$8),8+(O571-1)*3)&lt;U571*0.4,IF(AND(0.4*U571-VLOOKUP(B559,INDIRECT($F$8),8+(O571-1)*3)&lt;=5,0.3*S571-VLOOKUP(B559,INDIRECT($F$8),6+(O571-1)*3)&lt;=5),MAX(0.4*U571-VLOOKUP(B559,INDIRECT($F$8),8+(O571-1)*3),0.3*S571-VLOOKUP(B559,INDIRECT($F$8),6+(O571-1)*3)),11),IF(0.3*S571-VLOOKUP(B559,INDIRECT($F$8),6+(O571-1)*3)&lt;=5,0.3*S571-VLOOKUP(B559,INDIRECT($F$8),6+(O571-1)*3),11)),IF(VLOOKUP(B559,INDIRECT($F$8),8+(O571-1)*3)&lt;U571*0.4,IF(U571*0.4-VLOOKUP(B559,INDIRECT($F$8),8+(O571-1)*3)&lt;=5,U571*0.4-VLOOKUP(B559,INDIRECT($F$8),8+(O571-1)*3),11),0))))</f>
        <v/>
      </c>
      <c r="X571" s="1" t="str">
        <f ca="1">IF(ISERROR(F559),"",IF(W571=0,"",_xlfn.TEXTJOIN("",FALSE," G+",W571," in ",A571)))</f>
        <v/>
      </c>
    </row>
    <row r="572" spans="1:24" ht="13" customHeight="1" x14ac:dyDescent="0.2">
      <c r="A572" s="7" t="str">
        <f ca="1">IF(ISERROR(F559),"",VLOOKUP(C559,INDIRECT($F$8),6+(O572-1)*3,0))</f>
        <v/>
      </c>
      <c r="B572" s="41" t="str">
        <f ca="1">IF(ISERROR(F559),"",VLOOKUP(D559,INDIRECT($F$8),6+(O572-1)*3-Z572,0))</f>
        <v/>
      </c>
      <c r="C572" s="41"/>
      <c r="D572" s="41"/>
      <c r="E572" s="41"/>
      <c r="F572" s="7" t="str">
        <f ca="1">IF(ISERROR(F559),"",VLOOKUP(E559,INDIRECT($F$8),6+(O572-1)*3,0))</f>
        <v/>
      </c>
      <c r="G572" s="42" t="str">
        <f ca="1">IF(ISERROR(F559),"",_xlfn.TEXTJOIN("/",FALSE,P572,S572))</f>
        <v/>
      </c>
      <c r="H572" s="42"/>
      <c r="I572" s="42" t="str">
        <f ca="1">IF(ISERROR(F559),"",_xlfn.TEXTJOIN("/",FALSE,Q572,T572))</f>
        <v/>
      </c>
      <c r="J572" s="42"/>
      <c r="K572" s="42" t="str">
        <f ca="1">IF(ISERROR(F559),"",_xlfn.TEXTJOIN("/",FALSE,R572,U572))</f>
        <v/>
      </c>
      <c r="L572" s="42"/>
      <c r="M572" s="7" t="str">
        <f ca="1">IF(ISERROR(F559),"",IF(ISTEXT(P572),IF(P572="A","Ab",IF(P572="D","Dt",IF(P572="UFM","UFM",IF(P572="NA","")))),IF(AND(ISBLANK(P572),ISBLANK(R572)),"",IF(P572&lt;0.3*S572,"F",IF(ISBLANK(R572),"",IF(ISTEXT(R572),R572,IF(R572&gt;=0.9*U572,"O",IF(R572&gt;=0.85*U572,"A+",IF(R572&gt;=0.8*U572,"A",IF(R572&gt;=0.7*U572,"B+",IF(R572&gt;=0.6*U572,"B",IF(R572&gt;=0.5*U572,"C",IF(R572&gt;=0.4*U572,"P",IF(R572&lt;0.4*U572,"F",R572))))))))))))))</f>
        <v/>
      </c>
      <c r="N572" s="8" t="str">
        <f t="shared" ca="1" si="58"/>
        <v/>
      </c>
      <c r="O572">
        <f t="shared" si="59"/>
        <v>9</v>
      </c>
      <c r="P572" s="1" t="str">
        <f ca="1">IF(ISERROR(F559),"",IF(ISTEXT(VLOOKUP(B559,INDIRECT($F$8),6+(O572-1)*3)),(VLOOKUP(B559,INDIRECT($F$8),6+(O572-1)*3)),SUM(VLOOKUP(B559,INDIRECT($F$8),6+(O572-1)*3),IF(W574,W572,0))))</f>
        <v/>
      </c>
      <c r="Q572" s="1" t="str">
        <f ca="1">IF(ISERROR(F559),"",VLOOKUP(B559,INDIRECT($F$8),7+(O572-1)*3))</f>
        <v/>
      </c>
      <c r="R572" s="1" t="str">
        <f ca="1">IF(ISERROR(F559),"",SUM(P572:Q572))</f>
        <v/>
      </c>
      <c r="S572" s="1" t="str">
        <f ca="1">IF(ISERROR(F559),"",VLOOKUP(A559,INDIRECT($F$8),6+(O572-1)*3))</f>
        <v/>
      </c>
      <c r="T572" s="1" t="str">
        <f ca="1">IF(ISERROR(F559),"",VLOOKUP(A559,INDIRECT($F$8),7+(O572-1)*3))</f>
        <v/>
      </c>
      <c r="U572" s="1" t="str">
        <f ca="1">IF(ISERROR(F559),"",VLOOKUP(A559,INDIRECT($F$8),8+(O572-1)*3))</f>
        <v/>
      </c>
      <c r="V572" s="1" t="str">
        <f ca="1">IF(ISERROR(F559),"",IF(N572=0,A572,""))</f>
        <v/>
      </c>
      <c r="W572" s="1" t="str">
        <f ca="1">IF(ISERROR(F559),"",IF(ISTEXT(VLOOKUP(B559,INDIRECT($F$8),6+(O572-1)*3)),11,IF(VLOOKUP(B559,INDIRECT($F$8),6+(O572-1)*3)&lt;S572*0.3,IF(VLOOKUP(B559,INDIRECT($F$8),8+(O572-1)*3)&lt;U572*0.4,IF(AND(0.4*U572-VLOOKUP(B559,INDIRECT($F$8),8+(O572-1)*3)&lt;=5,0.3*S572-VLOOKUP(B559,INDIRECT($F$8),6+(O572-1)*3)&lt;=5),MAX(0.4*U572-VLOOKUP(B559,INDIRECT($F$8),8+(O572-1)*3),0.3*S572-VLOOKUP(B559,INDIRECT($F$8),6+(O572-1)*3)),11),IF(0.3*S572-VLOOKUP(B559,INDIRECT($F$8),6+(O572-1)*3)&lt;=5,0.3*S572-VLOOKUP(B559,INDIRECT($F$8),6+(O572-1)*3),11)),IF(VLOOKUP(B559,INDIRECT($F$8),8+(O572-1)*3)&lt;U572*0.4,IF(U572*0.4-VLOOKUP(B559,INDIRECT($F$8),8+(O572-1)*3)&lt;=5,U572*0.4-VLOOKUP(B559,INDIRECT($F$8),8+(O572-1)*3),11),0))))</f>
        <v/>
      </c>
      <c r="X572" s="1" t="str">
        <f ca="1">IF(ISERROR(F559),"",IF(W572=0,"",_xlfn.TEXTJOIN("",FALSE," G+",W572," in ",A572)))</f>
        <v/>
      </c>
    </row>
    <row r="573" spans="1:24" ht="13" customHeight="1" x14ac:dyDescent="0.2">
      <c r="A573" s="7" t="str">
        <f ca="1">IF(ISERROR(F559),"",VLOOKUP(C559,INDIRECT($F$8),6+(O573-1)*3,0))</f>
        <v/>
      </c>
      <c r="B573" s="41" t="str">
        <f ca="1">IF(ISERROR(F559),"",VLOOKUP(D559,INDIRECT($F$8),6+(O573-1)*3,0))</f>
        <v/>
      </c>
      <c r="C573" s="41"/>
      <c r="D573" s="41"/>
      <c r="E573" s="41"/>
      <c r="F573" s="7" t="str">
        <f ca="1">IF(ISERROR(F559),"",VLOOKUP(E559,INDIRECT($F$8),6+(O573-1)*3,0))</f>
        <v/>
      </c>
      <c r="G573" s="42" t="str">
        <f ca="1">IF(ISERROR(F559),"",_xlfn.TEXTJOIN("/",FALSE,P573,S573))</f>
        <v/>
      </c>
      <c r="H573" s="42"/>
      <c r="I573" s="42" t="str">
        <f ca="1">IF(ISERROR(F559),"",_xlfn.TEXTJOIN("/",FALSE,Q573,T573))</f>
        <v/>
      </c>
      <c r="J573" s="42"/>
      <c r="K573" s="42" t="str">
        <f ca="1">IF(ISERROR(F559),"",_xlfn.TEXTJOIN("/",FALSE,R573,U573))</f>
        <v/>
      </c>
      <c r="L573" s="42"/>
      <c r="M573" s="7" t="str">
        <f ca="1">IF(ISERROR(F559),"",IF(ISTEXT(P573),IF(P573="A","Ab",IF(P573="D","Dt",IF(P573="UFM","UFM",IF(P573="NA","")))),IF(AND(ISBLANK(P573),ISBLANK(R573)),"",IF(P573&lt;0.3*S573,"F",IF(ISBLANK(R573),"",IF(ISTEXT(R573),R573,IF(R573&gt;=0.9*U573,"O",IF(R573&gt;=0.85*U573,"A+",IF(R573&gt;=0.8*U573,"A",IF(R573&gt;=0.7*U573,"B+",IF(R573&gt;=0.6*U573,"B",IF(R573&gt;=0.5*U573,"C",IF(R573&gt;=0.4*U573,"P",IF(R573&lt;0.4*U573,"F",R573))))))))))))))</f>
        <v/>
      </c>
      <c r="N573" s="8" t="str">
        <f t="shared" ca="1" si="58"/>
        <v/>
      </c>
      <c r="O573">
        <f t="shared" si="59"/>
        <v>10</v>
      </c>
      <c r="P573" s="1" t="str">
        <f ca="1">IF(ISERROR(F559),"",IF(ISTEXT(VLOOKUP(B559,INDIRECT($F$8),6+(O573-1)*3)),(VLOOKUP(B559,INDIRECT($F$8),6+(O573-1)*3)),SUM(VLOOKUP(B559,INDIRECT($F$8),6+(O573-1)*3),IF(W574,W573,0))))</f>
        <v/>
      </c>
      <c r="Q573" s="1" t="str">
        <f ca="1">IF(ISERROR(F559),"",VLOOKUP(B559,INDIRECT($F$8),7+(O573-1)*3))</f>
        <v/>
      </c>
      <c r="R573" s="1" t="str">
        <f ca="1">IF(ISERROR(F559),"",SUM(P573:Q573))</f>
        <v/>
      </c>
      <c r="S573" s="1" t="str">
        <f ca="1">IF(ISERROR(F559),"",VLOOKUP(A559,INDIRECT($F$8),6+(O573-1)*3))</f>
        <v/>
      </c>
      <c r="T573" s="1" t="str">
        <f ca="1">IF(ISERROR(F559),"",VLOOKUP(A559,INDIRECT($F$8),7+(O573-1)*3))</f>
        <v/>
      </c>
      <c r="U573" s="1" t="str">
        <f ca="1">IF(ISERROR(F559),"",VLOOKUP(A559,INDIRECT($F$8),8+(O573-1)*3))</f>
        <v/>
      </c>
      <c r="V573" s="1" t="str">
        <f ca="1">IF(ISERROR(F559),"",IF(N573=0,A573,""))</f>
        <v/>
      </c>
      <c r="W573" s="1" t="str">
        <f ca="1">IF(ISERROR(F559),"",IF(ISTEXT(VLOOKUP(B559,INDIRECT($F$8),6+(O573-1)*3)),11,IF(VLOOKUP(B559,INDIRECT($F$8),6+(O573-1)*3)&lt;S573*0.3,IF(VLOOKUP(B559,INDIRECT($F$8),8+(O573-1)*3)&lt;U573*0.4,IF(AND(0.4*U573-VLOOKUP(B559,INDIRECT($F$8),8+(O573-1)*3)&lt;=5,0.3*S573-VLOOKUP(B559,INDIRECT($F$8),6+(O573-1)*3)&lt;=5),MAX(0.4*U573-VLOOKUP(B559,INDIRECT($F$8),8+(O573-1)*3),0.3*S573-VLOOKUP(B559,INDIRECT($F$8),6+(O573-1)*3)),11),IF(0.3*S573-VLOOKUP(B559,INDIRECT($F$8),6+(O573-1)*3)&lt;=5,0.3*S573-VLOOKUP(B559,INDIRECT($F$8),6+(O573-1)*3),11)),IF(VLOOKUP(B559,INDIRECT($F$8),8+(O573-1)*3)&lt;U573*0.4,IF(U573*0.4-VLOOKUP(B559,INDIRECT($F$8),8+(O573-1)*3)&lt;=5,U573*0.4-VLOOKUP(B559,INDIRECT($F$8),8+(O573-1)*3),11),0))))</f>
        <v/>
      </c>
      <c r="X573" s="1" t="str">
        <f ca="1">IF(ISERROR(F559),"",IF(W573=0,"",_xlfn.TEXTJOIN("",FALSE," G+",W573," in ",A573)))</f>
        <v/>
      </c>
    </row>
    <row r="574" spans="1:24" ht="13" customHeight="1" x14ac:dyDescent="0.2">
      <c r="A574" s="43" t="str">
        <f ca="1">IF(ISERROR(F559),"",A555)</f>
        <v/>
      </c>
      <c r="B574" s="43"/>
      <c r="C574" s="43"/>
      <c r="D574" s="43"/>
      <c r="E574" s="43"/>
      <c r="F574" s="10" t="str">
        <f ca="1">IF(ISERROR(F559),"",SUM(F564:F573))</f>
        <v/>
      </c>
      <c r="G574" s="44" t="str">
        <f ca="1">IF(ISERROR(F559),"",_xlfn.TEXTJOIN("/",TRUE,SUMIF(F564:F573,"&gt;0",P564:P573),SUMIF(F564:F573,"&gt;0",S564:S573)))</f>
        <v/>
      </c>
      <c r="H574" s="44"/>
      <c r="I574" s="44" t="str">
        <f ca="1">IF(ISERROR(F559),"",_xlfn.TEXTJOIN("/",TRUE,SUMIF(F564:F573,"&gt;0",Q564:Q573),SUMIF(F564:F573,"&gt;0",T564:T573)))</f>
        <v/>
      </c>
      <c r="J574" s="44"/>
      <c r="K574" s="44" t="str">
        <f ca="1">IF(ISERROR(F559),"",_xlfn.TEXTJOIN("/",TRUE,SUMIF(F564:F573,"&gt;0",R564:R573),SUMIF(F564:F573,"&gt;0",U564:U573)))</f>
        <v/>
      </c>
      <c r="L574" s="44"/>
      <c r="M574" s="43" t="str">
        <f ca="1">IF(ISERROR(F559),"",SUMPRODUCT(N564:N573,F564:F573))</f>
        <v/>
      </c>
      <c r="N574" s="43"/>
      <c r="V574" s="1" t="str">
        <f ca="1">IF(ISERROR(F559),"",_xlfn.TEXTJOIN(", ",TRUE,V564:V573))</f>
        <v/>
      </c>
      <c r="W574" t="str">
        <f ca="1">IF(ISERROR(F559),"",IF(SUM(W564:W573)&lt;=W563,TRUE,FALSE))</f>
        <v/>
      </c>
      <c r="X574" s="1" t="str">
        <f ca="1">IF(ISERROR(F559),"",_xlfn.TEXTJOIN(",",TRUE,X564:X573))</f>
        <v/>
      </c>
    </row>
    <row r="575" spans="1:24" ht="13" customHeight="1" x14ac:dyDescent="0.2">
      <c r="A575" s="43" t="str">
        <f ca="1">IF(ISERROR(F559),"",A556)</f>
        <v/>
      </c>
      <c r="B575" s="45" t="str">
        <f ca="1">IF(ISERROR(F559),"",IF(V574="","PASS","CARRY OVER"))</f>
        <v/>
      </c>
      <c r="C575" s="45"/>
      <c r="D575" s="43" t="str">
        <f ca="1">IF(ISERROR(F559),"",D556)</f>
        <v/>
      </c>
      <c r="E575" s="45" t="str">
        <f ca="1">IF(ISERROR(F559),"",IF(V574="",IF(X574="","",X574),_xlfn.TEXTJOIN(" ",TRUE,"BACK IN",V574)))</f>
        <v/>
      </c>
      <c r="F575" s="45"/>
      <c r="G575" s="43" t="str">
        <f ca="1">IF(ISERROR(F559),"",G556)</f>
        <v/>
      </c>
      <c r="H575" s="46" t="str">
        <f ca="1">IF(ISERROR(F559),"",M574/F574)</f>
        <v/>
      </c>
      <c r="I575" s="43" t="str">
        <f ca="1">IF(ISERROR(F559),"",I556)</f>
        <v/>
      </c>
      <c r="J575" s="46" t="str">
        <f ca="1">IF(ISERROR(F559),"",VLOOKUP(B559,INDIRECT($F$8),12+(O573-1)*3,0))</f>
        <v/>
      </c>
      <c r="K575" s="45" t="str">
        <f ca="1">IF(ISERROR(F559),"",K556)</f>
        <v/>
      </c>
      <c r="L575" s="43" t="str">
        <f ca="1">IF(ISERROR(F559),"",SUMIF(N564:N573,"&gt;0",F564:F573))</f>
        <v/>
      </c>
      <c r="M575" s="45" t="str">
        <f ca="1">IF(ISERROR(F559),"",M556)</f>
        <v/>
      </c>
      <c r="N575" s="43" t="str">
        <f ca="1">IF(ISERROR(F559),"",VLOOKUP(B559,INDIRECT($F$8),10+(O573-1)*3,0))</f>
        <v/>
      </c>
    </row>
    <row r="576" spans="1:24" ht="13" customHeight="1" x14ac:dyDescent="0.2">
      <c r="A576" s="43"/>
      <c r="B576" s="45"/>
      <c r="C576" s="45"/>
      <c r="D576" s="43"/>
      <c r="E576" s="45"/>
      <c r="F576" s="45"/>
      <c r="G576" s="43"/>
      <c r="H576" s="46"/>
      <c r="I576" s="43"/>
      <c r="J576" s="46"/>
      <c r="K576" s="45"/>
      <c r="L576" s="43"/>
      <c r="M576" s="45"/>
      <c r="N576" s="43"/>
    </row>
    <row r="577" spans="1:24" ht="13" customHeight="1" x14ac:dyDescent="0.2">
      <c r="A577" s="43"/>
      <c r="B577" s="45"/>
      <c r="C577" s="45"/>
      <c r="D577" s="43"/>
      <c r="E577" s="45"/>
      <c r="F577" s="45"/>
      <c r="G577" s="43"/>
      <c r="H577" s="46"/>
      <c r="I577" s="43"/>
      <c r="J577" s="46"/>
      <c r="K577" s="45"/>
      <c r="L577" s="43"/>
      <c r="M577" s="45"/>
      <c r="N577" s="43"/>
    </row>
    <row r="578" spans="1:24" ht="13" customHeight="1" x14ac:dyDescent="0.2">
      <c r="A578" s="11" t="str">
        <f>A559</f>
        <v>MM</v>
      </c>
      <c r="B578" s="11">
        <f>B559+1</f>
        <v>31</v>
      </c>
      <c r="C578" s="11" t="str">
        <f>C559</f>
        <v>SC</v>
      </c>
      <c r="D578" s="11" t="str">
        <f>D559</f>
        <v>SN</v>
      </c>
      <c r="E578" s="11" t="str">
        <f>E559</f>
        <v>C</v>
      </c>
      <c r="F578" s="11" t="e">
        <f ca="1">VLOOKUP(B578,INDIRECT($F$8),4,0)</f>
        <v>#N/A</v>
      </c>
    </row>
    <row r="579" spans="1:24" ht="13" customHeight="1" x14ac:dyDescent="0.2">
      <c r="A579" s="47" t="str">
        <f ca="1">IF(ISERROR(F578),"",A560)</f>
        <v/>
      </c>
      <c r="B579" s="47" t="str">
        <f ca="1">IFERROR(VLOOKUP(B578,INDIRECT($F$8),4,0),"")</f>
        <v/>
      </c>
      <c r="C579" s="47"/>
      <c r="D579" s="47" t="str">
        <f ca="1">IF(ISERROR(F578),"",D560)</f>
        <v/>
      </c>
      <c r="E579" s="47" t="str">
        <f ca="1">IFERROR(VLOOKUP(B578,INDIRECT($F$8),5,0),"")</f>
        <v/>
      </c>
      <c r="F579" s="47"/>
      <c r="G579" s="47" t="str">
        <f ca="1">IF(ISERROR(F578),"",G560)</f>
        <v/>
      </c>
      <c r="H579" s="47"/>
      <c r="I579" s="48" t="str">
        <f ca="1">IFERROR(VLOOKUP(B578,INDIRECT($F$8),2,0),"")</f>
        <v/>
      </c>
      <c r="J579" s="48"/>
      <c r="K579" s="47" t="str">
        <f ca="1">IF(ISERROR(F578),"",K560)</f>
        <v/>
      </c>
      <c r="L579" s="47"/>
      <c r="M579" s="48" t="str">
        <f ca="1">IFERROR(VLOOKUP(B578,INDIRECT($F$8),3,0),"")</f>
        <v/>
      </c>
      <c r="N579" s="48"/>
    </row>
    <row r="580" spans="1:24" ht="13" customHeight="1" x14ac:dyDescent="0.2">
      <c r="A580" s="47"/>
      <c r="B580" s="47"/>
      <c r="C580" s="47"/>
      <c r="D580" s="47"/>
      <c r="E580" s="47"/>
      <c r="F580" s="47"/>
      <c r="G580" s="47"/>
      <c r="H580" s="47"/>
      <c r="I580" s="48"/>
      <c r="J580" s="48"/>
      <c r="K580" s="47"/>
      <c r="L580" s="47"/>
      <c r="M580" s="48"/>
      <c r="N580" s="48"/>
    </row>
    <row r="581" spans="1:24" ht="13" customHeight="1" x14ac:dyDescent="0.2">
      <c r="A581" s="45" t="str">
        <f ca="1">IF(ISERROR(F578),"",A562)</f>
        <v/>
      </c>
      <c r="B581" s="45" t="str">
        <f ca="1">IF(ISERROR(F578),"",B562)</f>
        <v/>
      </c>
      <c r="C581" s="45"/>
      <c r="D581" s="45"/>
      <c r="E581" s="45"/>
      <c r="F581" s="45" t="str">
        <f ca="1">IF(ISERROR(F578),"",F562)</f>
        <v/>
      </c>
      <c r="G581" s="45" t="str">
        <f ca="1">IF(ISERROR(F578),"",G562)</f>
        <v/>
      </c>
      <c r="H581" s="45"/>
      <c r="I581" s="45" t="str">
        <f ca="1">IF(ISERROR(F578),"",I562)</f>
        <v/>
      </c>
      <c r="J581" s="45"/>
      <c r="K581" s="45" t="str">
        <f ca="1">IF(ISERROR(F578),"",K562)</f>
        <v/>
      </c>
      <c r="L581" s="45"/>
      <c r="M581" s="45" t="str">
        <f ca="1">IF(ISERROR(F578),"",M562)</f>
        <v/>
      </c>
      <c r="N581" s="45" t="str">
        <f ca="1">IF(ISERROR(F578),"",N562)</f>
        <v/>
      </c>
    </row>
    <row r="582" spans="1:24" ht="13" customHeight="1" x14ac:dyDescent="0.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W582" t="e">
        <f ca="1">IF(ISNUMBER(MATCH($F$8,{"I","III","V","VII"},0)),10,10-INDEX(INDIRECT(_xlfn.TEXTJOIN("",TRUE,"SEM_",$G$8,"!",ADDRESS(6,4+$I$8*3+4),":",ADDRESS(5+$H$8,4+$I$8*3+4))),MATCH(INDIRECT(_xlfn.TEXTJOIN("",TRUE,"TC_",$F$8,"!",ADDRESS(ROW(I579),COLUMN(I579)))),INDIRECT(_xlfn.TEXTJOIN("",TRUE,"SEM_",$G$8,"!",ADDRESS(6,2),":",ADDRESS(5+$H$8,2))))))</f>
        <v>#N/A</v>
      </c>
    </row>
    <row r="583" spans="1:24" ht="13" customHeight="1" x14ac:dyDescent="0.2">
      <c r="A583" s="7" t="str">
        <f ca="1">IF(ISERROR(F578),"",VLOOKUP(C578,INDIRECT($F$8),6+(O583-1)*3,0))</f>
        <v/>
      </c>
      <c r="B583" s="41" t="str">
        <f ca="1">IF(ISERROR(F578),"",VLOOKUP(D578,INDIRECT($F$8),6+(O583-1)*3,0))</f>
        <v/>
      </c>
      <c r="C583" s="41"/>
      <c r="D583" s="41"/>
      <c r="E583" s="41"/>
      <c r="F583" s="7" t="str">
        <f ca="1">IF(ISERROR(F578),"",VLOOKUP(E578,INDIRECT($F$8),6+(O583-1)*3,0))</f>
        <v/>
      </c>
      <c r="G583" s="42" t="str">
        <f ca="1">IF(ISERROR(F578),"",_xlfn.TEXTJOIN("/",FALSE,P583,S583))</f>
        <v/>
      </c>
      <c r="H583" s="42"/>
      <c r="I583" s="42" t="str">
        <f ca="1">IF(ISERROR(F578),"",_xlfn.TEXTJOIN("/",FALSE,Q583,T583))</f>
        <v/>
      </c>
      <c r="J583" s="42"/>
      <c r="K583" s="42" t="str">
        <f ca="1">IF(ISERROR(F578),"",_xlfn.TEXTJOIN("/",FALSE,R583,U583))</f>
        <v/>
      </c>
      <c r="L583" s="42"/>
      <c r="M583" s="7" t="str">
        <f ca="1">IF(ISERROR(F578),"",IF(ISTEXT(P583),IF(P583="A","Ab",IF(P583="D","Dt",IF(P583="UFM","UFM",IF(P583="NA","")))),IF(AND(ISBLANK(P583),ISBLANK(R583)),"",IF(P583&lt;0.3*S583,"F",IF(ISBLANK(R583),"",IF(ISTEXT(R583),R583,IF(R583&gt;=0.9*U583,"O",IF(R583&gt;=0.85*U583,"A+",IF(R583&gt;=0.8*U583,"A",IF(R583&gt;=0.7*U583,"B+",IF(R583&gt;=0.6*U583,"B",IF(R583&gt;=0.5*U583,"C",IF(R583&gt;=0.4*U583,"P",IF(R583&lt;0.4*U583,"F",R583))))))))))))))</f>
        <v/>
      </c>
      <c r="N583" s="8" t="str">
        <f t="shared" ref="N583:N592" ca="1" si="60">INDEX($Z$2:$Z$13,MATCH(M583,$Y$2:$Y$13,0))</f>
        <v/>
      </c>
      <c r="O583">
        <v>1</v>
      </c>
      <c r="P583" s="1" t="str">
        <f ca="1">IF(ISERROR(F578),"",IF(ISTEXT(VLOOKUP(B578,INDIRECT($F$8),6+(O583-1)*3)),(VLOOKUP(B578,INDIRECT($F$8),6+(O583-1)*3)),SUM(VLOOKUP(B578,INDIRECT($F$8),6+(O583-1)*3),IF(W593,W583,0))))</f>
        <v/>
      </c>
      <c r="Q583" s="1" t="str">
        <f ca="1">IF(ISERROR(F578),"",VLOOKUP(B578,INDIRECT($F$8),7+(O583-1)*3))</f>
        <v/>
      </c>
      <c r="R583" s="1" t="str">
        <f ca="1">IF(ISERROR(F578),"",SUM(P583:Q583))</f>
        <v/>
      </c>
      <c r="S583" s="1" t="str">
        <f ca="1">IF(ISERROR(F578),"",VLOOKUP(A578,INDIRECT($F$8),6+(O583-1)*3))</f>
        <v/>
      </c>
      <c r="T583" s="1" t="str">
        <f ca="1">IF(ISERROR(F578),"",VLOOKUP(A578,INDIRECT($F$8),7+(O583-1)*3))</f>
        <v/>
      </c>
      <c r="U583" s="1" t="str">
        <f ca="1">IF(ISERROR(F578),"",VLOOKUP(A578,INDIRECT($F$8),8+(O583-1)*3))</f>
        <v/>
      </c>
      <c r="V583" s="1" t="str">
        <f ca="1">IF(ISERROR(F578),"",IF(N583=0,A583,""))</f>
        <v/>
      </c>
      <c r="W583" s="1" t="str">
        <f ca="1">IF(ISERROR(F578),"",IF(ISTEXT(VLOOKUP(B578,INDIRECT($F$8),6+(O583-1)*3)),11,IF(VLOOKUP(B578,INDIRECT($F$8),6+(O583-1)*3)&lt;S583*0.3,IF(VLOOKUP(B578,INDIRECT($F$8),8+(O583-1)*3)&lt;U583*0.4,IF(AND(0.4*U583-VLOOKUP(B578,INDIRECT($F$8),8+(O583-1)*3)&lt;=5,0.3*S583-VLOOKUP(B578,INDIRECT($F$8),6+(O583-1)*3)&lt;=5),MAX(0.4*U583-VLOOKUP(B578,INDIRECT($F$8),8+(O583-1)*3),0.3*S583-VLOOKUP(B578,INDIRECT($F$8),6+(O583-1)*3)),11),IF(0.3*S583-VLOOKUP(B578,INDIRECT($F$8),6+(O583-1)*3)&lt;=5,0.3*S583-VLOOKUP(B578,INDIRECT($F$8),6+(O583-1)*3),11)),IF(VLOOKUP(B578,INDIRECT($F$8),8+(O583-1)*3)&lt;U583*0.4,IF(U583*0.4-VLOOKUP(B578,INDIRECT($F$8),8+(O583-1)*3)&lt;=5,U583*0.4-VLOOKUP(B578,INDIRECT($F$8),8+(O583-1)*3),11),0))))</f>
        <v/>
      </c>
      <c r="X583" s="1" t="str">
        <f ca="1">IF(ISERROR(F578),"",IF(W583=0,"",_xlfn.TEXTJOIN("",FALSE," G+",W583," in ",A583)))</f>
        <v/>
      </c>
    </row>
    <row r="584" spans="1:24" ht="13" customHeight="1" x14ac:dyDescent="0.2">
      <c r="A584" s="7" t="str">
        <f ca="1">IF(ISERROR(F578),"",VLOOKUP(C578,INDIRECT($F$8),6+(O584-1)*3,0))</f>
        <v/>
      </c>
      <c r="B584" s="41" t="str">
        <f ca="1">IF(ISERROR(F578),"",VLOOKUP(D578,INDIRECT($F$8),6+(O584-1)*3,0))</f>
        <v/>
      </c>
      <c r="C584" s="41"/>
      <c r="D584" s="41"/>
      <c r="E584" s="41"/>
      <c r="F584" s="7" t="str">
        <f ca="1">IF(ISERROR(F578),"",VLOOKUP(E578,INDIRECT($F$8),6+(O584-1)*3,0))</f>
        <v/>
      </c>
      <c r="G584" s="42" t="str">
        <f ca="1">IF(ISERROR(F578),"",_xlfn.TEXTJOIN("/",FALSE,P584,S584))</f>
        <v/>
      </c>
      <c r="H584" s="42"/>
      <c r="I584" s="42" t="str">
        <f ca="1">IF(ISERROR(F578),"",_xlfn.TEXTJOIN("/",FALSE,Q584,T584))</f>
        <v/>
      </c>
      <c r="J584" s="42"/>
      <c r="K584" s="42" t="str">
        <f ca="1">IF(ISERROR(F578),"",_xlfn.TEXTJOIN("/",FALSE,R584,U584))</f>
        <v/>
      </c>
      <c r="L584" s="42"/>
      <c r="M584" s="7" t="str">
        <f ca="1">IF(ISERROR(F578),"",IF(ISTEXT(P584),IF(P584="A","Ab",IF(P584="D","Dt",IF(P584="UFM","UFM",IF(P584="NA","")))),IF(AND(ISBLANK(P584),ISBLANK(R584)),"",IF(P584&lt;0.3*S584,"F",IF(ISBLANK(R584),"",IF(ISTEXT(R584),R584,IF(R584&gt;=0.9*U584,"O",IF(R584&gt;=0.85*U584,"A+",IF(R584&gt;=0.8*U584,"A",IF(R584&gt;=0.7*U584,"B+",IF(R584&gt;=0.6*U584,"B",IF(R584&gt;=0.5*U584,"C",IF(R584&gt;=0.4*U584,"P",IF(R584&lt;0.4*U584,"F",R584))))))))))))))</f>
        <v/>
      </c>
      <c r="N584" s="8" t="str">
        <f t="shared" ca="1" si="60"/>
        <v/>
      </c>
      <c r="O584">
        <f>O583+1</f>
        <v>2</v>
      </c>
      <c r="P584" s="1" t="str">
        <f ca="1">IF(ISERROR(F578),"",IF(ISTEXT(VLOOKUP(B578,INDIRECT($F$8),6+(O584-1)*3)),(VLOOKUP(B578,INDIRECT($F$8),6+(O584-1)*3)),SUM(VLOOKUP(B578,INDIRECT($F$8),6+(O584-1)*3),IF(W593,W584,0))))</f>
        <v/>
      </c>
      <c r="Q584" s="1" t="str">
        <f ca="1">IF(ISERROR(F578),"",VLOOKUP(B578,INDIRECT($F$8),7+(O584-1)*3))</f>
        <v/>
      </c>
      <c r="R584" s="1" t="str">
        <f ca="1">IF(ISERROR(F578),"",SUM(P584:Q584))</f>
        <v/>
      </c>
      <c r="S584" s="1" t="str">
        <f ca="1">IF(ISERROR(F578),"",VLOOKUP(A578,INDIRECT($F$8),6+(O584-1)*3))</f>
        <v/>
      </c>
      <c r="T584" s="1" t="str">
        <f ca="1">IF(ISERROR(F578),"",VLOOKUP(A578,INDIRECT($F$8),7+(O584-1)*3))</f>
        <v/>
      </c>
      <c r="U584" s="1" t="str">
        <f ca="1">IF(ISERROR(F578),"",VLOOKUP(A578,INDIRECT($F$8),8+(O584-1)*3))</f>
        <v/>
      </c>
      <c r="V584" s="1" t="str">
        <f ca="1">IF(ISERROR(F578),"",IF(N584=0,A584,""))</f>
        <v/>
      </c>
      <c r="W584" s="1" t="str">
        <f ca="1">IF(ISERROR(F578),"",IF(ISTEXT(VLOOKUP(B578,INDIRECT($F$8),6+(O584-1)*3)),11,IF(VLOOKUP(B578,INDIRECT($F$8),6+(O584-1)*3)&lt;S584*0.3,IF(VLOOKUP(B578,INDIRECT($F$8),8+(O584-1)*3)&lt;U584*0.4,IF(AND(0.4*U584-VLOOKUP(B578,INDIRECT($F$8),8+(O584-1)*3)&lt;=5,0.3*S584-VLOOKUP(B578,INDIRECT($F$8),6+(O584-1)*3)&lt;=5),MAX(0.4*U584-VLOOKUP(B578,INDIRECT($F$8),8+(O584-1)*3),0.3*S584-VLOOKUP(B578,INDIRECT($F$8),6+(O584-1)*3)),11),IF(0.3*S584-VLOOKUP(B578,INDIRECT($F$8),6+(O584-1)*3)&lt;=5,0.3*S584-VLOOKUP(B578,INDIRECT($F$8),6+(O584-1)*3),11)),IF(VLOOKUP(B578,INDIRECT($F$8),8+(O584-1)*3)&lt;U584*0.4,IF(U584*0.4-VLOOKUP(B578,INDIRECT($F$8),8+(O584-1)*3)&lt;=5,U584*0.4-VLOOKUP(B578,INDIRECT($F$8),8+(O584-1)*3),11),0))))</f>
        <v/>
      </c>
      <c r="X584" s="1" t="str">
        <f ca="1">IF(ISERROR(F578),"",IF(W584=0,"",_xlfn.TEXTJOIN("",FALSE," G+",W584," in ",A584)))</f>
        <v/>
      </c>
    </row>
    <row r="585" spans="1:24" ht="13" customHeight="1" x14ac:dyDescent="0.2">
      <c r="A585" s="7" t="str">
        <f ca="1">IF(ISERROR(F578),"",VLOOKUP(C578,INDIRECT($F$8),6+(O585-1)*3,0))</f>
        <v/>
      </c>
      <c r="B585" s="41" t="str">
        <f ca="1">IF(ISERROR(F578),"",VLOOKUP(D578,INDIRECT($F$8),6+(O585-1)*3,0))</f>
        <v/>
      </c>
      <c r="C585" s="41"/>
      <c r="D585" s="41"/>
      <c r="E585" s="41"/>
      <c r="F585" s="7" t="str">
        <f ca="1">IF(ISERROR(F578),"",VLOOKUP(E578,INDIRECT($F$8),6+(O585-1)*3,0))</f>
        <v/>
      </c>
      <c r="G585" s="42" t="str">
        <f ca="1">IF(ISERROR(F578),"",_xlfn.TEXTJOIN("/",FALSE,P585,S585))</f>
        <v/>
      </c>
      <c r="H585" s="42"/>
      <c r="I585" s="42" t="str">
        <f ca="1">IF(ISERROR(F578),"",_xlfn.TEXTJOIN("/",FALSE,Q585,T585))</f>
        <v/>
      </c>
      <c r="J585" s="42"/>
      <c r="K585" s="42" t="str">
        <f ca="1">IF(ISERROR(F578),"",_xlfn.TEXTJOIN("/",FALSE,R585,U585))</f>
        <v/>
      </c>
      <c r="L585" s="42"/>
      <c r="M585" s="7" t="str">
        <f ca="1">IF(ISERROR(F578),"",IF(ISTEXT(P585),IF(P585="A","Ab",IF(P585="D","Dt",IF(P585="UFM","UFM",IF(P585="NA","")))),IF(AND(ISBLANK(P585),ISBLANK(R585)),"",IF(P585&lt;0.3*S585,"F",IF(ISBLANK(R585),"",IF(ISTEXT(R585),R585,IF(R585&gt;=0.9*U585,"O",IF(R585&gt;=0.85*U585,"A+",IF(R585&gt;=0.8*U585,"A",IF(R585&gt;=0.7*U585,"B+",IF(R585&gt;=0.6*U585,"B",IF(R585&gt;=0.5*U585,"C",IF(R585&gt;=0.4*U585,"P",IF(R585&lt;0.4*U585,"F",R585))))))))))))))</f>
        <v/>
      </c>
      <c r="N585" s="8" t="str">
        <f t="shared" ca="1" si="60"/>
        <v/>
      </c>
      <c r="O585">
        <f>O584+1</f>
        <v>3</v>
      </c>
      <c r="P585" s="1" t="str">
        <f ca="1">IF(ISERROR(F578),"",IF(ISTEXT(VLOOKUP(B578,INDIRECT($F$8),6+(O585-1)*3)),(VLOOKUP(B578,INDIRECT($F$8),6+(O585-1)*3)),SUM(VLOOKUP(B578,INDIRECT($F$8),6+(O585-1)*3),IF(W593,W585,0))))</f>
        <v/>
      </c>
      <c r="Q585" s="1" t="str">
        <f ca="1">IF(ISERROR(F578),"",VLOOKUP(B578,INDIRECT($F$8),7+(O585-1)*3))</f>
        <v/>
      </c>
      <c r="R585" s="1" t="str">
        <f ca="1">IF(ISERROR(F578),"",SUM(P585:Q585))</f>
        <v/>
      </c>
      <c r="S585" s="1" t="str">
        <f ca="1">IF(ISERROR(F578),"",VLOOKUP(A578,INDIRECT($F$8),6+(O585-1)*3))</f>
        <v/>
      </c>
      <c r="T585" s="1" t="str">
        <f ca="1">IF(ISERROR(F578),"",VLOOKUP(A578,INDIRECT($F$8),7+(O585-1)*3))</f>
        <v/>
      </c>
      <c r="U585" s="1" t="str">
        <f ca="1">IF(ISERROR(F578),"",VLOOKUP(A578,INDIRECT($F$8),8+(O585-1)*3))</f>
        <v/>
      </c>
      <c r="V585" s="1" t="str">
        <f ca="1">IF(ISERROR(F578),"",IF(N585=0,A585,""))</f>
        <v/>
      </c>
      <c r="W585" s="1" t="str">
        <f ca="1">IF(ISERROR(F578),"",IF(ISTEXT(VLOOKUP(B578,INDIRECT($F$8),6+(O585-1)*3)),11,IF(VLOOKUP(B578,INDIRECT($F$8),6+(O585-1)*3)&lt;S585*0.3,IF(VLOOKUP(B578,INDIRECT($F$8),8+(O585-1)*3)&lt;U585*0.4,IF(AND(0.4*U585-VLOOKUP(B578,INDIRECT($F$8),8+(O585-1)*3)&lt;=5,0.3*S585-VLOOKUP(B578,INDIRECT($F$8),6+(O585-1)*3)&lt;=5),MAX(0.4*U585-VLOOKUP(B578,INDIRECT($F$8),8+(O585-1)*3),0.3*S585-VLOOKUP(B578,INDIRECT($F$8),6+(O585-1)*3)),11),IF(0.3*S585-VLOOKUP(B578,INDIRECT($F$8),6+(O585-1)*3)&lt;=5,0.3*S585-VLOOKUP(B578,INDIRECT($F$8),6+(O585-1)*3),11)),IF(VLOOKUP(B578,INDIRECT($F$8),8+(O585-1)*3)&lt;U585*0.4,IF(U585*0.4-VLOOKUP(B578,INDIRECT($F$8),8+(O585-1)*3)&lt;=5,U585*0.4-VLOOKUP(B578,INDIRECT($F$8),8+(O585-1)*3),11),0))))</f>
        <v/>
      </c>
      <c r="X585" s="1" t="str">
        <f ca="1">IF(ISERROR(F578),"",IF(W585=0,"",_xlfn.TEXTJOIN("",FALSE," G+",W585," in ",A585)))</f>
        <v/>
      </c>
    </row>
    <row r="586" spans="1:24" ht="13" customHeight="1" x14ac:dyDescent="0.2">
      <c r="A586" s="7" t="str">
        <f ca="1">IF(ISERROR(F578),"",VLOOKUP(C578,INDIRECT($F$8),6+(O586-1)*3,0))</f>
        <v/>
      </c>
      <c r="B586" s="41" t="str">
        <f ca="1">IF(ISERROR(F578),"",VLOOKUP(D578,INDIRECT($F$8),6+(O586-1)*3,0))</f>
        <v/>
      </c>
      <c r="C586" s="41"/>
      <c r="D586" s="41"/>
      <c r="E586" s="41"/>
      <c r="F586" s="7" t="str">
        <f ca="1">IF(ISERROR(F578),"",VLOOKUP(E578,INDIRECT($F$8),6+(O586-1)*3,0))</f>
        <v/>
      </c>
      <c r="G586" s="42" t="str">
        <f ca="1">IF(ISERROR(F578),"",_xlfn.TEXTJOIN("/",FALSE,P586,S586))</f>
        <v/>
      </c>
      <c r="H586" s="42"/>
      <c r="I586" s="42" t="str">
        <f ca="1">IF(ISERROR(F578),"",_xlfn.TEXTJOIN("/",FALSE,Q586,T586))</f>
        <v/>
      </c>
      <c r="J586" s="42"/>
      <c r="K586" s="42" t="str">
        <f ca="1">IF(ISERROR(F578),"",_xlfn.TEXTJOIN("/",FALSE,R586,U586))</f>
        <v/>
      </c>
      <c r="L586" s="42"/>
      <c r="M586" s="7" t="str">
        <f ca="1">IF(ISERROR(F578),"",IF(ISTEXT(P586),IF(P586="A","Ab",IF(P586="D","Dt",IF(P586="UFM","UFM",IF(P586="NA","")))),IF(AND(ISBLANK(P586),ISBLANK(R586)),"",IF(P586&lt;0.3*S586,"F",IF(ISBLANK(R586),"",IF(ISTEXT(R586),R586,IF(R586&gt;=0.9*U586,"O",IF(R586&gt;=0.85*U586,"A+",IF(R586&gt;=0.8*U586,"A",IF(R586&gt;=0.7*U586,"B+",IF(R586&gt;=0.6*U586,"B",IF(R586&gt;=0.5*U586,"C",IF(R586&gt;=0.4*U586,"P",IF(R586&lt;0.4*U586,"F",R586))))))))))))))</f>
        <v/>
      </c>
      <c r="N586" s="8" t="str">
        <f t="shared" ca="1" si="60"/>
        <v/>
      </c>
      <c r="O586">
        <f t="shared" ref="O586:O592" si="61">O585+1</f>
        <v>4</v>
      </c>
      <c r="P586" s="1" t="str">
        <f ca="1">IF(ISERROR(F578),"",IF(ISTEXT(VLOOKUP(B578,INDIRECT($F$8),6+(O586-1)*3)),(VLOOKUP(B578,INDIRECT($F$8),6+(O586-1)*3)),SUM(VLOOKUP(B578,INDIRECT($F$8),6+(O586-1)*3),IF(W593,W586,0))))</f>
        <v/>
      </c>
      <c r="Q586" s="1" t="str">
        <f ca="1">IF(ISERROR(F578),"",VLOOKUP(B578,INDIRECT($F$8),7+(O586-1)*3))</f>
        <v/>
      </c>
      <c r="R586" s="1" t="str">
        <f ca="1">IF(ISERROR(F578),"",SUM(P586:Q586))</f>
        <v/>
      </c>
      <c r="S586" s="1" t="str">
        <f ca="1">IF(ISERROR(F578),"",VLOOKUP(A578,INDIRECT($F$8),6+(O586-1)*3))</f>
        <v/>
      </c>
      <c r="T586" s="1" t="str">
        <f ca="1">IF(ISERROR(F578),"",VLOOKUP(A578,INDIRECT($F$8),7+(O586-1)*3))</f>
        <v/>
      </c>
      <c r="U586" s="1" t="str">
        <f ca="1">IF(ISERROR(F578),"",VLOOKUP(A578,INDIRECT($F$8),8+(O586-1)*3))</f>
        <v/>
      </c>
      <c r="V586" s="1" t="str">
        <f ca="1">IF(ISERROR(F578),"",IF(N586=0,A586,""))</f>
        <v/>
      </c>
      <c r="W586" s="1" t="str">
        <f ca="1">IF(ISERROR(F578),"",IF(ISTEXT(VLOOKUP(B578,INDIRECT($F$8),6+(O586-1)*3)),11,IF(VLOOKUP(B578,INDIRECT($F$8),6+(O586-1)*3)&lt;S586*0.3,IF(VLOOKUP(B578,INDIRECT($F$8),8+(O586-1)*3)&lt;U586*0.4,IF(AND(0.4*U586-VLOOKUP(B578,INDIRECT($F$8),8+(O586-1)*3)&lt;=5,0.3*S586-VLOOKUP(B578,INDIRECT($F$8),6+(O586-1)*3)&lt;=5),MAX(0.4*U586-VLOOKUP(B578,INDIRECT($F$8),8+(O586-1)*3),0.3*S586-VLOOKUP(B578,INDIRECT($F$8),6+(O586-1)*3)),11),IF(0.3*S586-VLOOKUP(B578,INDIRECT($F$8),6+(O586-1)*3)&lt;=5,0.3*S586-VLOOKUP(B578,INDIRECT($F$8),6+(O586-1)*3),11)),IF(VLOOKUP(B578,INDIRECT($F$8),8+(O586-1)*3)&lt;U586*0.4,IF(U586*0.4-VLOOKUP(B578,INDIRECT($F$8),8+(O586-1)*3)&lt;=5,U586*0.4-VLOOKUP(B578,INDIRECT($F$8),8+(O586-1)*3),11),0))))</f>
        <v/>
      </c>
      <c r="X586" s="1" t="str">
        <f ca="1">IF(ISERROR(F578),"",IF(W586=0,"",_xlfn.TEXTJOIN("",FALSE," G+",W586," in ",A586)))</f>
        <v/>
      </c>
    </row>
    <row r="587" spans="1:24" ht="13" customHeight="1" x14ac:dyDescent="0.2">
      <c r="A587" s="7" t="str">
        <f ca="1">IF(ISERROR(F578),"",VLOOKUP(C578,INDIRECT($F$8),6+(O587-1)*3,0))</f>
        <v/>
      </c>
      <c r="B587" s="41" t="str">
        <f ca="1">IF(ISERROR(F578),"",VLOOKUP(D578,INDIRECT($F$8),6+(O587-1)*3,0))</f>
        <v/>
      </c>
      <c r="C587" s="41"/>
      <c r="D587" s="41"/>
      <c r="E587" s="41"/>
      <c r="F587" s="7" t="str">
        <f ca="1">IF(ISERROR(F578),"",VLOOKUP(E578,INDIRECT($F$8),6+(O587-1)*3,0))</f>
        <v/>
      </c>
      <c r="G587" s="42" t="str">
        <f ca="1">IF(ISERROR(F578),"",_xlfn.TEXTJOIN("/",FALSE,P587,S587))</f>
        <v/>
      </c>
      <c r="H587" s="42"/>
      <c r="I587" s="42" t="str">
        <f ca="1">IF(ISERROR(F578),"",_xlfn.TEXTJOIN("/",FALSE,Q587,T587))</f>
        <v/>
      </c>
      <c r="J587" s="42"/>
      <c r="K587" s="42" t="str">
        <f ca="1">IF(ISERROR(F578),"",_xlfn.TEXTJOIN("/",FALSE,R587,U587))</f>
        <v/>
      </c>
      <c r="L587" s="42"/>
      <c r="M587" s="7" t="str">
        <f ca="1">IF(ISERROR(F578),"",IF(ISTEXT(P587),IF(P587="A","Ab",IF(P587="D","Dt",IF(P587="UFM","UFM",IF(P587="NA","")))),IF(AND(ISBLANK(P587),ISBLANK(R587)),"",IF(P587&lt;0.3*S587,"F",IF(ISBLANK(R587),"",IF(ISTEXT(R587),R587,IF(R587&gt;=0.9*U587,"O",IF(R587&gt;=0.85*U587,"A+",IF(R587&gt;=0.8*U587,"A",IF(R587&gt;=0.7*U587,"B+",IF(R587&gt;=0.6*U587,"B",IF(R587&gt;=0.5*U587,"C",IF(R587&gt;=0.4*U587,"P",IF(R587&lt;0.4*U587,"F",R587))))))))))))))</f>
        <v/>
      </c>
      <c r="N587" s="8" t="str">
        <f t="shared" ca="1" si="60"/>
        <v/>
      </c>
      <c r="O587">
        <f t="shared" si="61"/>
        <v>5</v>
      </c>
      <c r="P587" s="1" t="str">
        <f ca="1">IF(ISERROR(F578),"",IF(ISTEXT(VLOOKUP(B578,INDIRECT($F$8),6+(O587-1)*3)),(VLOOKUP(B578,INDIRECT($F$8),6+(O587-1)*3)),SUM(VLOOKUP(B578,INDIRECT($F$8),6+(O587-1)*3),IF(W593,W587,0))))</f>
        <v/>
      </c>
      <c r="Q587" s="1" t="str">
        <f ca="1">IF(ISERROR(F578),"",VLOOKUP(B578,INDIRECT($F$8),7+(O587-1)*3))</f>
        <v/>
      </c>
      <c r="R587" s="1" t="str">
        <f ca="1">IF(ISERROR(F578),"",SUM(P587:Q587))</f>
        <v/>
      </c>
      <c r="S587" s="1" t="str">
        <f ca="1">IF(ISERROR(F578),"",VLOOKUP(A578,INDIRECT($F$8),6+(O587-1)*3))</f>
        <v/>
      </c>
      <c r="T587" s="1" t="str">
        <f ca="1">IF(ISERROR(F578),"",VLOOKUP(A578,INDIRECT($F$8),7+(O587-1)*3))</f>
        <v/>
      </c>
      <c r="U587" s="1" t="str">
        <f ca="1">IF(ISERROR(F578),"",VLOOKUP(A578,INDIRECT($F$8),8+(O587-1)*3))</f>
        <v/>
      </c>
      <c r="V587" s="1" t="str">
        <f ca="1">IF(ISERROR(F578),"",IF(N587=0,A587,""))</f>
        <v/>
      </c>
      <c r="W587" s="1" t="str">
        <f ca="1">IF(ISERROR(F578),"",IF(ISTEXT(VLOOKUP(B578,INDIRECT($F$8),6+(O587-1)*3)),11,IF(VLOOKUP(B578,INDIRECT($F$8),6+(O587-1)*3)&lt;S587*0.3,IF(VLOOKUP(B578,INDIRECT($F$8),8+(O587-1)*3)&lt;U587*0.4,IF(AND(0.4*U587-VLOOKUP(B578,INDIRECT($F$8),8+(O587-1)*3)&lt;=5,0.3*S587-VLOOKUP(B578,INDIRECT($F$8),6+(O587-1)*3)&lt;=5),MAX(0.4*U587-VLOOKUP(B578,INDIRECT($F$8),8+(O587-1)*3),0.3*S587-VLOOKUP(B578,INDIRECT($F$8),6+(O587-1)*3)),11),IF(0.3*S587-VLOOKUP(B578,INDIRECT($F$8),6+(O587-1)*3)&lt;=5,0.3*S587-VLOOKUP(B578,INDIRECT($F$8),6+(O587-1)*3),11)),IF(VLOOKUP(B578,INDIRECT($F$8),8+(O587-1)*3)&lt;U587*0.4,IF(U587*0.4-VLOOKUP(B578,INDIRECT($F$8),8+(O587-1)*3)&lt;=5,U587*0.4-VLOOKUP(B578,INDIRECT($F$8),8+(O587-1)*3),11),0))))</f>
        <v/>
      </c>
      <c r="X587" s="1" t="str">
        <f ca="1">IF(ISERROR(F578),"",IF(W587=0,"",_xlfn.TEXTJOIN("",FALSE," G+",W587," in ",A587)))</f>
        <v/>
      </c>
    </row>
    <row r="588" spans="1:24" ht="13" customHeight="1" x14ac:dyDescent="0.2">
      <c r="A588" s="7" t="str">
        <f ca="1">IF(ISERROR(F578),"",VLOOKUP(C578,INDIRECT($F$8),6+(O588-1)*3,0))</f>
        <v/>
      </c>
      <c r="B588" s="41" t="str">
        <f ca="1">IF(ISERROR(F578),"",VLOOKUP(D578,INDIRECT($F$8),6+(O588-1)*3,0))</f>
        <v/>
      </c>
      <c r="C588" s="41"/>
      <c r="D588" s="41"/>
      <c r="E588" s="41"/>
      <c r="F588" s="7" t="str">
        <f ca="1">IF(ISERROR(F578),"",VLOOKUP(E578,INDIRECT($F$8),6+(O588-1)*3,0))</f>
        <v/>
      </c>
      <c r="G588" s="42" t="str">
        <f ca="1">IF(ISERROR(F578),"",_xlfn.TEXTJOIN("/",FALSE,P588,S588))</f>
        <v/>
      </c>
      <c r="H588" s="42"/>
      <c r="I588" s="42" t="str">
        <f ca="1">IF(ISERROR(F578),"",_xlfn.TEXTJOIN("/",FALSE,Q588,T588))</f>
        <v/>
      </c>
      <c r="J588" s="42"/>
      <c r="K588" s="42" t="str">
        <f ca="1">IF(ISERROR(F578),"",_xlfn.TEXTJOIN("/",FALSE,R588,U588))</f>
        <v/>
      </c>
      <c r="L588" s="42"/>
      <c r="M588" s="7" t="str">
        <f ca="1">IF(ISERROR(F578),"",IF(ISTEXT(P588),IF(P588="A","Ab",IF(P588="D","Dt",IF(P588="UFM","UFM",IF(P588="NA","")))),IF(AND(ISBLANK(P588),ISBLANK(R588)),"",IF(P588&lt;0.3*S588,"F",IF(ISBLANK(R588),"",IF(ISTEXT(R588),R588,IF(R588&gt;=0.9*U588,"O",IF(R588&gt;=0.85*U588,"A+",IF(R588&gt;=0.8*U588,"A",IF(R588&gt;=0.7*U588,"B+",IF(R588&gt;=0.6*U588,"B",IF(R588&gt;=0.5*U588,"C",IF(R588&gt;=0.4*U588,"P",IF(R588&lt;0.4*U588,"F",R588))))))))))))))</f>
        <v/>
      </c>
      <c r="N588" s="8" t="str">
        <f t="shared" ca="1" si="60"/>
        <v/>
      </c>
      <c r="O588">
        <f t="shared" si="61"/>
        <v>6</v>
      </c>
      <c r="P588" s="1" t="str">
        <f ca="1">IF(ISERROR(F578),"",IF(ISTEXT(VLOOKUP(B578,INDIRECT($F$8),6+(O588-1)*3)),(VLOOKUP(B578,INDIRECT($F$8),6+(O588-1)*3)),SUM(VLOOKUP(B578,INDIRECT($F$8),6+(O588-1)*3),IF(W593,W588,0))))</f>
        <v/>
      </c>
      <c r="Q588" s="1" t="str">
        <f ca="1">IF(ISERROR(F578),"",VLOOKUP(B578,INDIRECT($F$8),7+(O588-1)*3))</f>
        <v/>
      </c>
      <c r="R588" s="1" t="str">
        <f ca="1">IF(ISERROR(F578),"",SUM(P588:Q588))</f>
        <v/>
      </c>
      <c r="S588" s="1" t="str">
        <f ca="1">IF(ISERROR(F578),"",VLOOKUP(A578,INDIRECT($F$8),6+(O588-1)*3))</f>
        <v/>
      </c>
      <c r="T588" s="1" t="str">
        <f ca="1">IF(ISERROR(F578),"",VLOOKUP(A578,INDIRECT($F$8),7+(O588-1)*3))</f>
        <v/>
      </c>
      <c r="U588" s="1" t="str">
        <f ca="1">IF(ISERROR(F578),"",VLOOKUP(A578,INDIRECT($F$8),8+(O588-1)*3))</f>
        <v/>
      </c>
      <c r="V588" s="1" t="str">
        <f ca="1">IF(ISERROR(F578),"",IF(N588=0,A588,""))</f>
        <v/>
      </c>
      <c r="W588" s="1" t="str">
        <f ca="1">IF(ISERROR(F578),"",IF(ISTEXT(VLOOKUP(B578,INDIRECT($F$8),6+(O588-1)*3)),11,IF(VLOOKUP(B578,INDIRECT($F$8),6+(O588-1)*3)&lt;S588*0.3,IF(VLOOKUP(B578,INDIRECT($F$8),8+(O588-1)*3)&lt;U588*0.4,IF(AND(0.4*U588-VLOOKUP(B578,INDIRECT($F$8),8+(O588-1)*3)&lt;=5,0.3*S588-VLOOKUP(B578,INDIRECT($F$8),6+(O588-1)*3)&lt;=5),MAX(0.4*U588-VLOOKUP(B578,INDIRECT($F$8),8+(O588-1)*3),0.3*S588-VLOOKUP(B578,INDIRECT($F$8),6+(O588-1)*3)),11),IF(0.3*S588-VLOOKUP(B578,INDIRECT($F$8),6+(O588-1)*3)&lt;=5,0.3*S588-VLOOKUP(B578,INDIRECT($F$8),6+(O588-1)*3),11)),IF(VLOOKUP(B578,INDIRECT($F$8),8+(O588-1)*3)&lt;U588*0.4,IF(U588*0.4-VLOOKUP(B578,INDIRECT($F$8),8+(O588-1)*3)&lt;=5,U588*0.4-VLOOKUP(B578,INDIRECT($F$8),8+(O588-1)*3),11),0))))</f>
        <v/>
      </c>
      <c r="X588" s="1" t="str">
        <f ca="1">IF(ISERROR(F578),"",IF(W588=0,"",_xlfn.TEXTJOIN("",FALSE," G+",W588," in ",A588)))</f>
        <v/>
      </c>
    </row>
    <row r="589" spans="1:24" ht="13" customHeight="1" x14ac:dyDescent="0.2">
      <c r="A589" s="7" t="str">
        <f ca="1">IF(ISERROR(F578),"",VLOOKUP(C578,INDIRECT($F$8),6+(O589-1)*3,0))</f>
        <v/>
      </c>
      <c r="B589" s="41" t="str">
        <f ca="1">IF(ISERROR(F578),"",VLOOKUP(D578,INDIRECT($F$8),6+(O589-1)*3,0))</f>
        <v/>
      </c>
      <c r="C589" s="41"/>
      <c r="D589" s="41"/>
      <c r="E589" s="41"/>
      <c r="F589" s="7" t="str">
        <f ca="1">IF(ISERROR(F578),"",VLOOKUP(E578,INDIRECT($F$8),6+(O589-1)*3,0))</f>
        <v/>
      </c>
      <c r="G589" s="42" t="str">
        <f ca="1">IF(ISERROR(F578),"",_xlfn.TEXTJOIN("/",FALSE,P589,S589))</f>
        <v/>
      </c>
      <c r="H589" s="42"/>
      <c r="I589" s="42" t="str">
        <f ca="1">IF(ISERROR(F578),"",_xlfn.TEXTJOIN("/",FALSE,Q589,T589))</f>
        <v/>
      </c>
      <c r="J589" s="42"/>
      <c r="K589" s="42" t="str">
        <f ca="1">IF(ISERROR(F578),"",_xlfn.TEXTJOIN("/",FALSE,R589,U589))</f>
        <v/>
      </c>
      <c r="L589" s="42"/>
      <c r="M589" s="7" t="str">
        <f ca="1">IF(ISERROR(F578),"",IF(ISTEXT(P589),IF(P589="A","Ab",IF(P589="D","Dt",IF(P589="UFM","UFM",IF(P589="NA","")))),IF(AND(ISBLANK(P589),ISBLANK(R589)),"",IF(P589&lt;0.3*S589,"F",IF(ISBLANK(R589),"",IF(ISTEXT(R589),R589,IF(R589&gt;=0.9*U589,"O",IF(R589&gt;=0.85*U589,"A+",IF(R589&gt;=0.8*U589,"A",IF(R589&gt;=0.7*U589,"B+",IF(R589&gt;=0.6*U589,"B",IF(R589&gt;=0.5*U589,"C",IF(R589&gt;=0.4*U589,"P",IF(R589&lt;0.4*U589,"F",R589))))))))))))))</f>
        <v/>
      </c>
      <c r="N589" s="8" t="str">
        <f t="shared" ca="1" si="60"/>
        <v/>
      </c>
      <c r="O589">
        <f t="shared" si="61"/>
        <v>7</v>
      </c>
      <c r="P589" s="1" t="str">
        <f ca="1">IF(ISERROR(F578),"",IF(ISTEXT(VLOOKUP(B578,INDIRECT($F$8),6+(O589-1)*3)),(VLOOKUP(B578,INDIRECT($F$8),6+(O589-1)*3)),SUM(VLOOKUP(B578,INDIRECT($F$8),6+(O589-1)*3),IF(W593,W589,0))))</f>
        <v/>
      </c>
      <c r="Q589" s="1" t="str">
        <f ca="1">IF(ISERROR(F578),"",VLOOKUP(B578,INDIRECT($F$8),7+(O589-1)*3))</f>
        <v/>
      </c>
      <c r="R589" s="1" t="str">
        <f ca="1">IF(ISERROR(F578),"",SUM(P589:Q589))</f>
        <v/>
      </c>
      <c r="S589" s="1" t="str">
        <f ca="1">IF(ISERROR(F578),"",VLOOKUP(A578,INDIRECT($F$8),6+(O589-1)*3))</f>
        <v/>
      </c>
      <c r="T589" s="1" t="str">
        <f ca="1">IF(ISERROR(F578),"",VLOOKUP(A578,INDIRECT($F$8),7+(O589-1)*3))</f>
        <v/>
      </c>
      <c r="U589" s="1" t="str">
        <f ca="1">IF(ISERROR(F578),"",VLOOKUP(A578,INDIRECT($F$8),8+(O589-1)*3))</f>
        <v/>
      </c>
      <c r="V589" s="1" t="str">
        <f ca="1">IF(ISERROR(F578),"",IF(N589=0,A589,""))</f>
        <v/>
      </c>
      <c r="W589" s="1" t="str">
        <f ca="1">IF(ISERROR(F578),"",IF(ISTEXT(VLOOKUP(B578,INDIRECT($F$8),6+(O589-1)*3)),11,IF(VLOOKUP(B578,INDIRECT($F$8),6+(O589-1)*3)&lt;S589*0.3,IF(VLOOKUP(B578,INDIRECT($F$8),8+(O589-1)*3)&lt;U589*0.4,IF(AND(0.4*U589-VLOOKUP(B578,INDIRECT($F$8),8+(O589-1)*3)&lt;=5,0.3*S589-VLOOKUP(B578,INDIRECT($F$8),6+(O589-1)*3)&lt;=5),MAX(0.4*U589-VLOOKUP(B578,INDIRECT($F$8),8+(O589-1)*3),0.3*S589-VLOOKUP(B578,INDIRECT($F$8),6+(O589-1)*3)),11),IF(0.3*S589-VLOOKUP(B578,INDIRECT($F$8),6+(O589-1)*3)&lt;=5,0.3*S589-VLOOKUP(B578,INDIRECT($F$8),6+(O589-1)*3),11)),IF(VLOOKUP(B578,INDIRECT($F$8),8+(O589-1)*3)&lt;U589*0.4,IF(U589*0.4-VLOOKUP(B578,INDIRECT($F$8),8+(O589-1)*3)&lt;=5,U589*0.4-VLOOKUP(B578,INDIRECT($F$8),8+(O589-1)*3),11),0))))</f>
        <v/>
      </c>
      <c r="X589" s="1" t="str">
        <f ca="1">IF(ISERROR(F578),"",IF(W589=0,"",_xlfn.TEXTJOIN("",FALSE," G+",W589," in ",A589)))</f>
        <v/>
      </c>
    </row>
    <row r="590" spans="1:24" ht="13" customHeight="1" x14ac:dyDescent="0.2">
      <c r="A590" s="7" t="str">
        <f ca="1">IF(ISERROR(F578),"",VLOOKUP(C578,INDIRECT($F$8),6+(O590-1)*3,0))</f>
        <v/>
      </c>
      <c r="B590" s="41" t="str">
        <f ca="1">IF(ISERROR(F578),"",VLOOKUP(D578,INDIRECT($F$8),6+(O590-1)*3-Z590,0))</f>
        <v/>
      </c>
      <c r="C590" s="41"/>
      <c r="D590" s="41"/>
      <c r="E590" s="41"/>
      <c r="F590" s="7" t="str">
        <f ca="1">IF(ISERROR(F578),"",VLOOKUP(E578,INDIRECT($F$8),6+(O590-1)*3,0))</f>
        <v/>
      </c>
      <c r="G590" s="42" t="str">
        <f ca="1">IF(ISERROR(F578),"",_xlfn.TEXTJOIN("/",FALSE,P590,S590))</f>
        <v/>
      </c>
      <c r="H590" s="42"/>
      <c r="I590" s="42" t="str">
        <f ca="1">IF(ISERROR(F578),"",_xlfn.TEXTJOIN("/",FALSE,Q590,T590))</f>
        <v/>
      </c>
      <c r="J590" s="42"/>
      <c r="K590" s="42" t="str">
        <f ca="1">IF(ISERROR(F578),"",_xlfn.TEXTJOIN("/",FALSE,R590,U590))</f>
        <v/>
      </c>
      <c r="L590" s="42"/>
      <c r="M590" s="7" t="str">
        <f ca="1">IF(ISERROR(F578),"",IF(ISTEXT(P590),IF(P590="A","Ab",IF(P590="D","Dt",IF(P590="UFM","UFM",IF(P590="NA","")))),IF(AND(ISBLANK(P590),ISBLANK(R590)),"",IF(P590&lt;0.3*S590,"F",IF(ISBLANK(R590),"",IF(ISTEXT(R590),R590,IF(R590&gt;=0.9*U590,"O",IF(R590&gt;=0.85*U590,"A+",IF(R590&gt;=0.8*U590,"A",IF(R590&gt;=0.7*U590,"B+",IF(R590&gt;=0.6*U590,"B",IF(R590&gt;=0.5*U590,"C",IF(R590&gt;=0.4*U590,"P",IF(R590&lt;0.4*U590,"F",R590))))))))))))))</f>
        <v/>
      </c>
      <c r="N590" s="8" t="str">
        <f t="shared" ca="1" si="60"/>
        <v/>
      </c>
      <c r="O590">
        <f t="shared" si="61"/>
        <v>8</v>
      </c>
      <c r="P590" s="1" t="str">
        <f ca="1">IF(ISERROR(F578),"",IF(ISTEXT(VLOOKUP(B578,INDIRECT($F$8),6+(O590-1)*3)),(VLOOKUP(B578,INDIRECT($F$8),6+(O590-1)*3)),SUM(VLOOKUP(B578,INDIRECT($F$8),6+(O590-1)*3),IF(W593,W590,0))))</f>
        <v/>
      </c>
      <c r="Q590" s="1" t="str">
        <f ca="1">IF(ISERROR(F578),"",VLOOKUP(B578,INDIRECT($F$8),7+(O590-1)*3))</f>
        <v/>
      </c>
      <c r="R590" s="1" t="str">
        <f ca="1">IF(ISERROR(F578),"",SUM(P590:Q590))</f>
        <v/>
      </c>
      <c r="S590" s="1" t="str">
        <f ca="1">IF(ISERROR(F578),"",VLOOKUP(A578,INDIRECT($F$8),6+(O590-1)*3))</f>
        <v/>
      </c>
      <c r="T590" s="1" t="str">
        <f ca="1">IF(ISERROR(F578),"",VLOOKUP(A578,INDIRECT($F$8),7+(O590-1)*3))</f>
        <v/>
      </c>
      <c r="U590" s="1" t="str">
        <f ca="1">IF(ISERROR(F578),"",VLOOKUP(A578,INDIRECT($F$8),8+(O590-1)*3))</f>
        <v/>
      </c>
      <c r="V590" s="1" t="str">
        <f ca="1">IF(ISERROR(F578),"",IF(N590=0,A590,""))</f>
        <v/>
      </c>
      <c r="W590" s="1" t="str">
        <f ca="1">IF(ISERROR(F578),"",IF(ISTEXT(VLOOKUP(B578,INDIRECT($F$8),6+(O590-1)*3)),11,IF(VLOOKUP(B578,INDIRECT($F$8),6+(O590-1)*3)&lt;S590*0.3,IF(VLOOKUP(B578,INDIRECT($F$8),8+(O590-1)*3)&lt;U590*0.4,IF(AND(0.4*U590-VLOOKUP(B578,INDIRECT($F$8),8+(O590-1)*3)&lt;=5,0.3*S590-VLOOKUP(B578,INDIRECT($F$8),6+(O590-1)*3)&lt;=5),MAX(0.4*U590-VLOOKUP(B578,INDIRECT($F$8),8+(O590-1)*3),0.3*S590-VLOOKUP(B578,INDIRECT($F$8),6+(O590-1)*3)),11),IF(0.3*S590-VLOOKUP(B578,INDIRECT($F$8),6+(O590-1)*3)&lt;=5,0.3*S590-VLOOKUP(B578,INDIRECT($F$8),6+(O590-1)*3),11)),IF(VLOOKUP(B578,INDIRECT($F$8),8+(O590-1)*3)&lt;U590*0.4,IF(U590*0.4-VLOOKUP(B578,INDIRECT($F$8),8+(O590-1)*3)&lt;=5,U590*0.4-VLOOKUP(B578,INDIRECT($F$8),8+(O590-1)*3),11),0))))</f>
        <v/>
      </c>
      <c r="X590" s="1" t="str">
        <f ca="1">IF(ISERROR(F578),"",IF(W590=0,"",_xlfn.TEXTJOIN("",FALSE," G+",W590," in ",A590)))</f>
        <v/>
      </c>
    </row>
    <row r="591" spans="1:24" ht="13" customHeight="1" x14ac:dyDescent="0.2">
      <c r="A591" s="7" t="str">
        <f ca="1">IF(ISERROR(F578),"",VLOOKUP(C578,INDIRECT($F$8),6+(O591-1)*3,0))</f>
        <v/>
      </c>
      <c r="B591" s="41" t="str">
        <f ca="1">IF(ISERROR(F578),"",VLOOKUP(D578,INDIRECT($F$8),6+(O591-1)*3-Z591,0))</f>
        <v/>
      </c>
      <c r="C591" s="41"/>
      <c r="D591" s="41"/>
      <c r="E591" s="41"/>
      <c r="F591" s="7" t="str">
        <f ca="1">IF(ISERROR(F578),"",VLOOKUP(E578,INDIRECT($F$8),6+(O591-1)*3,0))</f>
        <v/>
      </c>
      <c r="G591" s="42" t="str">
        <f ca="1">IF(ISERROR(F578),"",_xlfn.TEXTJOIN("/",FALSE,P591,S591))</f>
        <v/>
      </c>
      <c r="H591" s="42"/>
      <c r="I591" s="42" t="str">
        <f ca="1">IF(ISERROR(F578),"",_xlfn.TEXTJOIN("/",FALSE,Q591,T591))</f>
        <v/>
      </c>
      <c r="J591" s="42"/>
      <c r="K591" s="42" t="str">
        <f ca="1">IF(ISERROR(F578),"",_xlfn.TEXTJOIN("/",FALSE,R591,U591))</f>
        <v/>
      </c>
      <c r="L591" s="42"/>
      <c r="M591" s="7" t="str">
        <f ca="1">IF(ISERROR(F578),"",IF(ISTEXT(P591),IF(P591="A","Ab",IF(P591="D","Dt",IF(P591="UFM","UFM",IF(P591="NA","")))),IF(AND(ISBLANK(P591),ISBLANK(R591)),"",IF(P591&lt;0.3*S591,"F",IF(ISBLANK(R591),"",IF(ISTEXT(R591),R591,IF(R591&gt;=0.9*U591,"O",IF(R591&gt;=0.85*U591,"A+",IF(R591&gt;=0.8*U591,"A",IF(R591&gt;=0.7*U591,"B+",IF(R591&gt;=0.6*U591,"B",IF(R591&gt;=0.5*U591,"C",IF(R591&gt;=0.4*U591,"P",IF(R591&lt;0.4*U591,"F",R591))))))))))))))</f>
        <v/>
      </c>
      <c r="N591" s="8" t="str">
        <f t="shared" ca="1" si="60"/>
        <v/>
      </c>
      <c r="O591">
        <f t="shared" si="61"/>
        <v>9</v>
      </c>
      <c r="P591" s="1" t="str">
        <f ca="1">IF(ISERROR(F578),"",IF(ISTEXT(VLOOKUP(B578,INDIRECT($F$8),6+(O591-1)*3)),(VLOOKUP(B578,INDIRECT($F$8),6+(O591-1)*3)),SUM(VLOOKUP(B578,INDIRECT($F$8),6+(O591-1)*3),IF(W593,W591,0))))</f>
        <v/>
      </c>
      <c r="Q591" s="1" t="str">
        <f ca="1">IF(ISERROR(F578),"",VLOOKUP(B578,INDIRECT($F$8),7+(O591-1)*3))</f>
        <v/>
      </c>
      <c r="R591" s="1" t="str">
        <f ca="1">IF(ISERROR(F578),"",SUM(P591:Q591))</f>
        <v/>
      </c>
      <c r="S591" s="1" t="str">
        <f ca="1">IF(ISERROR(F578),"",VLOOKUP(A578,INDIRECT($F$8),6+(O591-1)*3))</f>
        <v/>
      </c>
      <c r="T591" s="1" t="str">
        <f ca="1">IF(ISERROR(F578),"",VLOOKUP(A578,INDIRECT($F$8),7+(O591-1)*3))</f>
        <v/>
      </c>
      <c r="U591" s="1" t="str">
        <f ca="1">IF(ISERROR(F578),"",VLOOKUP(A578,INDIRECT($F$8),8+(O591-1)*3))</f>
        <v/>
      </c>
      <c r="V591" s="1" t="str">
        <f ca="1">IF(ISERROR(F578),"",IF(N591=0,A591,""))</f>
        <v/>
      </c>
      <c r="W591" s="1" t="str">
        <f ca="1">IF(ISERROR(F578),"",IF(ISTEXT(VLOOKUP(B578,INDIRECT($F$8),6+(O591-1)*3)),11,IF(VLOOKUP(B578,INDIRECT($F$8),6+(O591-1)*3)&lt;S591*0.3,IF(VLOOKUP(B578,INDIRECT($F$8),8+(O591-1)*3)&lt;U591*0.4,IF(AND(0.4*U591-VLOOKUP(B578,INDIRECT($F$8),8+(O591-1)*3)&lt;=5,0.3*S591-VLOOKUP(B578,INDIRECT($F$8),6+(O591-1)*3)&lt;=5),MAX(0.4*U591-VLOOKUP(B578,INDIRECT($F$8),8+(O591-1)*3),0.3*S591-VLOOKUP(B578,INDIRECT($F$8),6+(O591-1)*3)),11),IF(0.3*S591-VLOOKUP(B578,INDIRECT($F$8),6+(O591-1)*3)&lt;=5,0.3*S591-VLOOKUP(B578,INDIRECT($F$8),6+(O591-1)*3),11)),IF(VLOOKUP(B578,INDIRECT($F$8),8+(O591-1)*3)&lt;U591*0.4,IF(U591*0.4-VLOOKUP(B578,INDIRECT($F$8),8+(O591-1)*3)&lt;=5,U591*0.4-VLOOKUP(B578,INDIRECT($F$8),8+(O591-1)*3),11),0))))</f>
        <v/>
      </c>
      <c r="X591" s="1" t="str">
        <f ca="1">IF(ISERROR(F578),"",IF(W591=0,"",_xlfn.TEXTJOIN("",FALSE," G+",W591," in ",A591)))</f>
        <v/>
      </c>
    </row>
    <row r="592" spans="1:24" ht="13" customHeight="1" x14ac:dyDescent="0.2">
      <c r="A592" s="7" t="str">
        <f ca="1">IF(ISERROR(F578),"",VLOOKUP(C578,INDIRECT($F$8),6+(O592-1)*3,0))</f>
        <v/>
      </c>
      <c r="B592" s="41" t="str">
        <f ca="1">IF(ISERROR(F578),"",VLOOKUP(D578,INDIRECT($F$8),6+(O592-1)*3,0))</f>
        <v/>
      </c>
      <c r="C592" s="41"/>
      <c r="D592" s="41"/>
      <c r="E592" s="41"/>
      <c r="F592" s="7" t="str">
        <f ca="1">IF(ISERROR(F578),"",VLOOKUP(E578,INDIRECT($F$8),6+(O592-1)*3,0))</f>
        <v/>
      </c>
      <c r="G592" s="42" t="str">
        <f ca="1">IF(ISERROR(F578),"",_xlfn.TEXTJOIN("/",FALSE,P592,S592))</f>
        <v/>
      </c>
      <c r="H592" s="42"/>
      <c r="I592" s="42" t="str">
        <f ca="1">IF(ISERROR(F578),"",_xlfn.TEXTJOIN("/",FALSE,Q592,T592))</f>
        <v/>
      </c>
      <c r="J592" s="42"/>
      <c r="K592" s="42" t="str">
        <f ca="1">IF(ISERROR(F578),"",_xlfn.TEXTJOIN("/",FALSE,R592,U592))</f>
        <v/>
      </c>
      <c r="L592" s="42"/>
      <c r="M592" s="7" t="str">
        <f ca="1">IF(ISERROR(F578),"",IF(ISTEXT(P592),IF(P592="A","Ab",IF(P592="D","Dt",IF(P592="UFM","UFM",IF(P592="NA","")))),IF(AND(ISBLANK(P592),ISBLANK(R592)),"",IF(P592&lt;0.3*S592,"F",IF(ISBLANK(R592),"",IF(ISTEXT(R592),R592,IF(R592&gt;=0.9*U592,"O",IF(R592&gt;=0.85*U592,"A+",IF(R592&gt;=0.8*U592,"A",IF(R592&gt;=0.7*U592,"B+",IF(R592&gt;=0.6*U592,"B",IF(R592&gt;=0.5*U592,"C",IF(R592&gt;=0.4*U592,"P",IF(R592&lt;0.4*U592,"F",R592))))))))))))))</f>
        <v/>
      </c>
      <c r="N592" s="8" t="str">
        <f t="shared" ca="1" si="60"/>
        <v/>
      </c>
      <c r="O592">
        <f t="shared" si="61"/>
        <v>10</v>
      </c>
      <c r="P592" s="1" t="str">
        <f ca="1">IF(ISERROR(F578),"",IF(ISTEXT(VLOOKUP(B578,INDIRECT($F$8),6+(O592-1)*3)),(VLOOKUP(B578,INDIRECT($F$8),6+(O592-1)*3)),SUM(VLOOKUP(B578,INDIRECT($F$8),6+(O592-1)*3),IF(W593,W592,0))))</f>
        <v/>
      </c>
      <c r="Q592" s="1" t="str">
        <f ca="1">IF(ISERROR(F578),"",VLOOKUP(B578,INDIRECT($F$8),7+(O592-1)*3))</f>
        <v/>
      </c>
      <c r="R592" s="1" t="str">
        <f ca="1">IF(ISERROR(F578),"",SUM(P592:Q592))</f>
        <v/>
      </c>
      <c r="S592" s="1" t="str">
        <f ca="1">IF(ISERROR(F578),"",VLOOKUP(A578,INDIRECT($F$8),6+(O592-1)*3))</f>
        <v/>
      </c>
      <c r="T592" s="1" t="str">
        <f ca="1">IF(ISERROR(F578),"",VLOOKUP(A578,INDIRECT($F$8),7+(O592-1)*3))</f>
        <v/>
      </c>
      <c r="U592" s="1" t="str">
        <f ca="1">IF(ISERROR(F578),"",VLOOKUP(A578,INDIRECT($F$8),8+(O592-1)*3))</f>
        <v/>
      </c>
      <c r="V592" s="1" t="str">
        <f ca="1">IF(ISERROR(F578),"",IF(N592=0,A592,""))</f>
        <v/>
      </c>
      <c r="W592" s="1" t="str">
        <f ca="1">IF(ISERROR(F578),"",IF(ISTEXT(VLOOKUP(B578,INDIRECT($F$8),6+(O592-1)*3)),11,IF(VLOOKUP(B578,INDIRECT($F$8),6+(O592-1)*3)&lt;S592*0.3,IF(VLOOKUP(B578,INDIRECT($F$8),8+(O592-1)*3)&lt;U592*0.4,IF(AND(0.4*U592-VLOOKUP(B578,INDIRECT($F$8),8+(O592-1)*3)&lt;=5,0.3*S592-VLOOKUP(B578,INDIRECT($F$8),6+(O592-1)*3)&lt;=5),MAX(0.4*U592-VLOOKUP(B578,INDIRECT($F$8),8+(O592-1)*3),0.3*S592-VLOOKUP(B578,INDIRECT($F$8),6+(O592-1)*3)),11),IF(0.3*S592-VLOOKUP(B578,INDIRECT($F$8),6+(O592-1)*3)&lt;=5,0.3*S592-VLOOKUP(B578,INDIRECT($F$8),6+(O592-1)*3),11)),IF(VLOOKUP(B578,INDIRECT($F$8),8+(O592-1)*3)&lt;U592*0.4,IF(U592*0.4-VLOOKUP(B578,INDIRECT($F$8),8+(O592-1)*3)&lt;=5,U592*0.4-VLOOKUP(B578,INDIRECT($F$8),8+(O592-1)*3),11),0))))</f>
        <v/>
      </c>
      <c r="X592" s="1" t="str">
        <f ca="1">IF(ISERROR(F578),"",IF(W592=0,"",_xlfn.TEXTJOIN("",FALSE," G+",W592," in ",A592)))</f>
        <v/>
      </c>
    </row>
    <row r="593" spans="1:24" ht="13" customHeight="1" x14ac:dyDescent="0.2">
      <c r="A593" s="43" t="str">
        <f ca="1">IF(ISERROR(F578),"",A574)</f>
        <v/>
      </c>
      <c r="B593" s="43"/>
      <c r="C593" s="43"/>
      <c r="D593" s="43"/>
      <c r="E593" s="43"/>
      <c r="F593" s="10" t="str">
        <f ca="1">IF(ISERROR(F578),"",SUM(F583:F592))</f>
        <v/>
      </c>
      <c r="G593" s="44" t="str">
        <f ca="1">IF(ISERROR(F578),"",_xlfn.TEXTJOIN("/",TRUE,SUMIF(F583:F592,"&gt;0",P583:P592),SUMIF(F583:F592,"&gt;0",S583:S592)))</f>
        <v/>
      </c>
      <c r="H593" s="44"/>
      <c r="I593" s="44" t="str">
        <f ca="1">IF(ISERROR(F578),"",_xlfn.TEXTJOIN("/",TRUE,SUMIF(F583:F592,"&gt;0",Q583:Q592),SUMIF(F583:F592,"&gt;0",T583:T592)))</f>
        <v/>
      </c>
      <c r="J593" s="44"/>
      <c r="K593" s="44" t="str">
        <f ca="1">IF(ISERROR(F578),"",_xlfn.TEXTJOIN("/",TRUE,SUMIF(F583:F592,"&gt;0",R583:R592),SUMIF(F583:F592,"&gt;0",U583:U592)))</f>
        <v/>
      </c>
      <c r="L593" s="44"/>
      <c r="M593" s="43" t="str">
        <f ca="1">IF(ISERROR(F578),"",SUMPRODUCT(N583:N592,F583:F592))</f>
        <v/>
      </c>
      <c r="N593" s="43"/>
      <c r="V593" s="1" t="str">
        <f ca="1">IF(ISERROR(F578),"",_xlfn.TEXTJOIN(", ",TRUE,V583:V592))</f>
        <v/>
      </c>
      <c r="W593" t="str">
        <f ca="1">IF(ISERROR(F578),"",IF(SUM(W583:W592)&lt;=W582,TRUE,FALSE))</f>
        <v/>
      </c>
      <c r="X593" s="1" t="str">
        <f ca="1">IF(ISERROR(F578),"",_xlfn.TEXTJOIN(",",TRUE,X583:X592))</f>
        <v/>
      </c>
    </row>
    <row r="594" spans="1:24" ht="13" customHeight="1" x14ac:dyDescent="0.2">
      <c r="A594" s="43" t="str">
        <f ca="1">IF(ISERROR(F578),"",A575)</f>
        <v/>
      </c>
      <c r="B594" s="45" t="str">
        <f ca="1">IF(ISERROR(F578),"",IF(V593="","PASS","CARRY OVER"))</f>
        <v/>
      </c>
      <c r="C594" s="45"/>
      <c r="D594" s="43" t="str">
        <f ca="1">IF(ISERROR(F578),"",D575)</f>
        <v/>
      </c>
      <c r="E594" s="45" t="str">
        <f ca="1">IF(ISERROR(F578),"",IF(V593="",IF(X593="","",X593),_xlfn.TEXTJOIN(" ",TRUE,"BACK IN",V593)))</f>
        <v/>
      </c>
      <c r="F594" s="45"/>
      <c r="G594" s="43" t="str">
        <f ca="1">IF(ISERROR(F578),"",G575)</f>
        <v/>
      </c>
      <c r="H594" s="46" t="str">
        <f ca="1">IF(ISERROR(F578),"",M593/F593)</f>
        <v/>
      </c>
      <c r="I594" s="43" t="str">
        <f ca="1">IF(ISERROR(F578),"",I575)</f>
        <v/>
      </c>
      <c r="J594" s="46" t="str">
        <f ca="1">IF(ISERROR(F578),"",VLOOKUP(B578,INDIRECT($F$8),12+(O592-1)*3,0))</f>
        <v/>
      </c>
      <c r="K594" s="45" t="str">
        <f ca="1">IF(ISERROR(F578),"",K575)</f>
        <v/>
      </c>
      <c r="L594" s="43" t="str">
        <f ca="1">IF(ISERROR(F578),"",SUMIF(N583:N592,"&gt;0",F583:F592))</f>
        <v/>
      </c>
      <c r="M594" s="45" t="str">
        <f ca="1">IF(ISERROR(F578),"",M575)</f>
        <v/>
      </c>
      <c r="N594" s="43" t="str">
        <f ca="1">IF(ISERROR(F578),"",VLOOKUP(B578,INDIRECT($F$8),10+(O592-1)*3,0))</f>
        <v/>
      </c>
    </row>
    <row r="595" spans="1:24" ht="13" customHeight="1" x14ac:dyDescent="0.2">
      <c r="A595" s="43"/>
      <c r="B595" s="45"/>
      <c r="C595" s="45"/>
      <c r="D595" s="43"/>
      <c r="E595" s="45"/>
      <c r="F595" s="45"/>
      <c r="G595" s="43"/>
      <c r="H595" s="46"/>
      <c r="I595" s="43"/>
      <c r="J595" s="46"/>
      <c r="K595" s="45"/>
      <c r="L595" s="43"/>
      <c r="M595" s="45"/>
      <c r="N595" s="43"/>
    </row>
    <row r="596" spans="1:24" ht="13" customHeight="1" x14ac:dyDescent="0.2">
      <c r="A596" s="43"/>
      <c r="B596" s="45"/>
      <c r="C596" s="45"/>
      <c r="D596" s="43"/>
      <c r="E596" s="45"/>
      <c r="F596" s="45"/>
      <c r="G596" s="43"/>
      <c r="H596" s="46"/>
      <c r="I596" s="43"/>
      <c r="J596" s="46"/>
      <c r="K596" s="45"/>
      <c r="L596" s="43"/>
      <c r="M596" s="45"/>
      <c r="N596" s="43"/>
    </row>
    <row r="597" spans="1:24" ht="13" customHeight="1" x14ac:dyDescent="0.2">
      <c r="A597" s="11" t="str">
        <f>A578</f>
        <v>MM</v>
      </c>
      <c r="B597" s="11">
        <f>B578+1</f>
        <v>32</v>
      </c>
      <c r="C597" s="11" t="str">
        <f>C578</f>
        <v>SC</v>
      </c>
      <c r="D597" s="11" t="str">
        <f>D578</f>
        <v>SN</v>
      </c>
      <c r="E597" s="11" t="str">
        <f>E578</f>
        <v>C</v>
      </c>
      <c r="F597" s="11" t="e">
        <f ca="1">VLOOKUP(B597,INDIRECT($F$8),4,0)</f>
        <v>#N/A</v>
      </c>
    </row>
    <row r="598" spans="1:24" ht="13" customHeight="1" x14ac:dyDescent="0.2">
      <c r="A598" s="47" t="str">
        <f ca="1">IF(ISERROR(F597),"",A579)</f>
        <v/>
      </c>
      <c r="B598" s="47" t="str">
        <f ca="1">IFERROR(VLOOKUP(B597,INDIRECT($F$8),4,0),"")</f>
        <v/>
      </c>
      <c r="C598" s="47"/>
      <c r="D598" s="47" t="str">
        <f ca="1">IF(ISERROR(F597),"",D579)</f>
        <v/>
      </c>
      <c r="E598" s="47" t="str">
        <f ca="1">IFERROR(VLOOKUP(B597,INDIRECT($F$8),5,0),"")</f>
        <v/>
      </c>
      <c r="F598" s="47"/>
      <c r="G598" s="47" t="str">
        <f ca="1">IF(ISERROR(F597),"",G579)</f>
        <v/>
      </c>
      <c r="H598" s="47"/>
      <c r="I598" s="48" t="str">
        <f ca="1">IFERROR(VLOOKUP(B597,INDIRECT($F$8),2,0),"")</f>
        <v/>
      </c>
      <c r="J598" s="48"/>
      <c r="K598" s="47" t="str">
        <f ca="1">IF(ISERROR(F597),"",K579)</f>
        <v/>
      </c>
      <c r="L598" s="47"/>
      <c r="M598" s="48" t="str">
        <f ca="1">IFERROR(VLOOKUP(B597,INDIRECT($F$8),3,0),"")</f>
        <v/>
      </c>
      <c r="N598" s="48"/>
    </row>
    <row r="599" spans="1:24" ht="13" customHeight="1" x14ac:dyDescent="0.2">
      <c r="A599" s="47"/>
      <c r="B599" s="47"/>
      <c r="C599" s="47"/>
      <c r="D599" s="47"/>
      <c r="E599" s="47"/>
      <c r="F599" s="47"/>
      <c r="G599" s="47"/>
      <c r="H599" s="47"/>
      <c r="I599" s="48"/>
      <c r="J599" s="48"/>
      <c r="K599" s="47"/>
      <c r="L599" s="47"/>
      <c r="M599" s="48"/>
      <c r="N599" s="48"/>
    </row>
    <row r="600" spans="1:24" ht="13" customHeight="1" x14ac:dyDescent="0.2">
      <c r="A600" s="45" t="str">
        <f ca="1">IF(ISERROR(F597),"",A581)</f>
        <v/>
      </c>
      <c r="B600" s="45" t="str">
        <f ca="1">IF(ISERROR(F597),"",B581)</f>
        <v/>
      </c>
      <c r="C600" s="45"/>
      <c r="D600" s="45"/>
      <c r="E600" s="45"/>
      <c r="F600" s="45" t="str">
        <f ca="1">IF(ISERROR(F597),"",F581)</f>
        <v/>
      </c>
      <c r="G600" s="45" t="str">
        <f ca="1">IF(ISERROR(F597),"",G581)</f>
        <v/>
      </c>
      <c r="H600" s="45"/>
      <c r="I600" s="45" t="str">
        <f ca="1">IF(ISERROR(F597),"",I581)</f>
        <v/>
      </c>
      <c r="J600" s="45"/>
      <c r="K600" s="45" t="str">
        <f ca="1">IF(ISERROR(F597),"",K581)</f>
        <v/>
      </c>
      <c r="L600" s="45"/>
      <c r="M600" s="45" t="str">
        <f ca="1">IF(ISERROR(F597),"",M581)</f>
        <v/>
      </c>
      <c r="N600" s="45" t="str">
        <f ca="1">IF(ISERROR(F597),"",N581)</f>
        <v/>
      </c>
    </row>
    <row r="601" spans="1:24" ht="13" customHeight="1" x14ac:dyDescent="0.2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W601" t="e">
        <f ca="1">IF(ISNUMBER(MATCH($F$8,{"I","III","V","VII"},0)),10,10-INDEX(INDIRECT(_xlfn.TEXTJOIN("",TRUE,"SEM_",$G$8,"!",ADDRESS(6,4+$I$8*3+4),":",ADDRESS(5+$H$8,4+$I$8*3+4))),MATCH(INDIRECT(_xlfn.TEXTJOIN("",TRUE,"TC_",$F$8,"!",ADDRESS(ROW(I598),COLUMN(I598)))),INDIRECT(_xlfn.TEXTJOIN("",TRUE,"SEM_",$G$8,"!",ADDRESS(6,2),":",ADDRESS(5+$H$8,2))))))</f>
        <v>#N/A</v>
      </c>
    </row>
    <row r="602" spans="1:24" ht="13" customHeight="1" x14ac:dyDescent="0.2">
      <c r="A602" s="7" t="str">
        <f ca="1">IF(ISERROR(F597),"",VLOOKUP(C597,INDIRECT($F$8),6+(O602-1)*3,0))</f>
        <v/>
      </c>
      <c r="B602" s="41" t="str">
        <f ca="1">IF(ISERROR(F597),"",VLOOKUP(D597,INDIRECT($F$8),6+(O602-1)*3,0))</f>
        <v/>
      </c>
      <c r="C602" s="41"/>
      <c r="D602" s="41"/>
      <c r="E602" s="41"/>
      <c r="F602" s="7" t="str">
        <f ca="1">IF(ISERROR(F597),"",VLOOKUP(E597,INDIRECT($F$8),6+(O602-1)*3,0))</f>
        <v/>
      </c>
      <c r="G602" s="42" t="str">
        <f ca="1">IF(ISERROR(F597),"",_xlfn.TEXTJOIN("/",FALSE,P602,S602))</f>
        <v/>
      </c>
      <c r="H602" s="42"/>
      <c r="I602" s="42" t="str">
        <f ca="1">IF(ISERROR(F597),"",_xlfn.TEXTJOIN("/",FALSE,Q602,T602))</f>
        <v/>
      </c>
      <c r="J602" s="42"/>
      <c r="K602" s="42" t="str">
        <f ca="1">IF(ISERROR(F597),"",_xlfn.TEXTJOIN("/",FALSE,R602,U602))</f>
        <v/>
      </c>
      <c r="L602" s="42"/>
      <c r="M602" s="7" t="str">
        <f ca="1">IF(ISERROR(F597),"",IF(ISTEXT(P602),IF(P602="A","Ab",IF(P602="D","Dt",IF(P602="UFM","UFM",IF(P602="NA","")))),IF(AND(ISBLANK(P602),ISBLANK(R602)),"",IF(P602&lt;0.3*S602,"F",IF(ISBLANK(R602),"",IF(ISTEXT(R602),R602,IF(R602&gt;=0.9*U602,"O",IF(R602&gt;=0.85*U602,"A+",IF(R602&gt;=0.8*U602,"A",IF(R602&gt;=0.7*U602,"B+",IF(R602&gt;=0.6*U602,"B",IF(R602&gt;=0.5*U602,"C",IF(R602&gt;=0.4*U602,"P",IF(R602&lt;0.4*U602,"F",R602))))))))))))))</f>
        <v/>
      </c>
      <c r="N602" s="8" t="str">
        <f t="shared" ref="N602:N611" ca="1" si="62">INDEX($Z$2:$Z$13,MATCH(M602,$Y$2:$Y$13,0))</f>
        <v/>
      </c>
      <c r="O602">
        <v>1</v>
      </c>
      <c r="P602" s="1" t="str">
        <f ca="1">IF(ISERROR(F597),"",IF(ISTEXT(VLOOKUP(B597,INDIRECT($F$8),6+(O602-1)*3)),(VLOOKUP(B597,INDIRECT($F$8),6+(O602-1)*3)),SUM(VLOOKUP(B597,INDIRECT($F$8),6+(O602-1)*3),IF(W612,W602,0))))</f>
        <v/>
      </c>
      <c r="Q602" s="1" t="str">
        <f ca="1">IF(ISERROR(F597),"",VLOOKUP(B597,INDIRECT($F$8),7+(O602-1)*3))</f>
        <v/>
      </c>
      <c r="R602" s="1" t="str">
        <f ca="1">IF(ISERROR(F597),"",SUM(P602:Q602))</f>
        <v/>
      </c>
      <c r="S602" s="1" t="str">
        <f ca="1">IF(ISERROR(F597),"",VLOOKUP(A597,INDIRECT($F$8),6+(O602-1)*3))</f>
        <v/>
      </c>
      <c r="T602" s="1" t="str">
        <f ca="1">IF(ISERROR(F597),"",VLOOKUP(A597,INDIRECT($F$8),7+(O602-1)*3))</f>
        <v/>
      </c>
      <c r="U602" s="1" t="str">
        <f ca="1">IF(ISERROR(F597),"",VLOOKUP(A597,INDIRECT($F$8),8+(O602-1)*3))</f>
        <v/>
      </c>
      <c r="V602" s="1" t="str">
        <f ca="1">IF(ISERROR(F597),"",IF(N602=0,A602,""))</f>
        <v/>
      </c>
      <c r="W602" s="1" t="str">
        <f ca="1">IF(ISERROR(F597),"",IF(ISTEXT(VLOOKUP(B597,INDIRECT($F$8),6+(O602-1)*3)),11,IF(VLOOKUP(B597,INDIRECT($F$8),6+(O602-1)*3)&lt;S602*0.3,IF(VLOOKUP(B597,INDIRECT($F$8),8+(O602-1)*3)&lt;U602*0.4,IF(AND(0.4*U602-VLOOKUP(B597,INDIRECT($F$8),8+(O602-1)*3)&lt;=5,0.3*S602-VLOOKUP(B597,INDIRECT($F$8),6+(O602-1)*3)&lt;=5),MAX(0.4*U602-VLOOKUP(B597,INDIRECT($F$8),8+(O602-1)*3),0.3*S602-VLOOKUP(B597,INDIRECT($F$8),6+(O602-1)*3)),11),IF(0.3*S602-VLOOKUP(B597,INDIRECT($F$8),6+(O602-1)*3)&lt;=5,0.3*S602-VLOOKUP(B597,INDIRECT($F$8),6+(O602-1)*3),11)),IF(VLOOKUP(B597,INDIRECT($F$8),8+(O602-1)*3)&lt;U602*0.4,IF(U602*0.4-VLOOKUP(B597,INDIRECT($F$8),8+(O602-1)*3)&lt;=5,U602*0.4-VLOOKUP(B597,INDIRECT($F$8),8+(O602-1)*3),11),0))))</f>
        <v/>
      </c>
      <c r="X602" s="1" t="str">
        <f ca="1">IF(ISERROR(F597),"",IF(W602=0,"",_xlfn.TEXTJOIN("",FALSE," G+",W602," in ",A602)))</f>
        <v/>
      </c>
    </row>
    <row r="603" spans="1:24" ht="13" customHeight="1" x14ac:dyDescent="0.2">
      <c r="A603" s="7" t="str">
        <f ca="1">IF(ISERROR(F597),"",VLOOKUP(C597,INDIRECT($F$8),6+(O603-1)*3,0))</f>
        <v/>
      </c>
      <c r="B603" s="41" t="str">
        <f ca="1">IF(ISERROR(F597),"",VLOOKUP(D597,INDIRECT($F$8),6+(O603-1)*3,0))</f>
        <v/>
      </c>
      <c r="C603" s="41"/>
      <c r="D603" s="41"/>
      <c r="E603" s="41"/>
      <c r="F603" s="7" t="str">
        <f ca="1">IF(ISERROR(F597),"",VLOOKUP(E597,INDIRECT($F$8),6+(O603-1)*3,0))</f>
        <v/>
      </c>
      <c r="G603" s="42" t="str">
        <f ca="1">IF(ISERROR(F597),"",_xlfn.TEXTJOIN("/",FALSE,P603,S603))</f>
        <v/>
      </c>
      <c r="H603" s="42"/>
      <c r="I603" s="42" t="str">
        <f ca="1">IF(ISERROR(F597),"",_xlfn.TEXTJOIN("/",FALSE,Q603,T603))</f>
        <v/>
      </c>
      <c r="J603" s="42"/>
      <c r="K603" s="42" t="str">
        <f ca="1">IF(ISERROR(F597),"",_xlfn.TEXTJOIN("/",FALSE,R603,U603))</f>
        <v/>
      </c>
      <c r="L603" s="42"/>
      <c r="M603" s="7" t="str">
        <f ca="1">IF(ISERROR(F597),"",IF(ISTEXT(P603),IF(P603="A","Ab",IF(P603="D","Dt",IF(P603="UFM","UFM",IF(P603="NA","")))),IF(AND(ISBLANK(P603),ISBLANK(R603)),"",IF(P603&lt;0.3*S603,"F",IF(ISBLANK(R603),"",IF(ISTEXT(R603),R603,IF(R603&gt;=0.9*U603,"O",IF(R603&gt;=0.85*U603,"A+",IF(R603&gt;=0.8*U603,"A",IF(R603&gt;=0.7*U603,"B+",IF(R603&gt;=0.6*U603,"B",IF(R603&gt;=0.5*U603,"C",IF(R603&gt;=0.4*U603,"P",IF(R603&lt;0.4*U603,"F",R603))))))))))))))</f>
        <v/>
      </c>
      <c r="N603" s="8" t="str">
        <f t="shared" ca="1" si="62"/>
        <v/>
      </c>
      <c r="O603">
        <f>O602+1</f>
        <v>2</v>
      </c>
      <c r="P603" s="1" t="str">
        <f ca="1">IF(ISERROR(F597),"",IF(ISTEXT(VLOOKUP(B597,INDIRECT($F$8),6+(O603-1)*3)),(VLOOKUP(B597,INDIRECT($F$8),6+(O603-1)*3)),SUM(VLOOKUP(B597,INDIRECT($F$8),6+(O603-1)*3),IF(W612,W603,0))))</f>
        <v/>
      </c>
      <c r="Q603" s="1" t="str">
        <f ca="1">IF(ISERROR(F597),"",VLOOKUP(B597,INDIRECT($F$8),7+(O603-1)*3))</f>
        <v/>
      </c>
      <c r="R603" s="1" t="str">
        <f ca="1">IF(ISERROR(F597),"",SUM(P603:Q603))</f>
        <v/>
      </c>
      <c r="S603" s="1" t="str">
        <f ca="1">IF(ISERROR(F597),"",VLOOKUP(A597,INDIRECT($F$8),6+(O603-1)*3))</f>
        <v/>
      </c>
      <c r="T603" s="1" t="str">
        <f ca="1">IF(ISERROR(F597),"",VLOOKUP(A597,INDIRECT($F$8),7+(O603-1)*3))</f>
        <v/>
      </c>
      <c r="U603" s="1" t="str">
        <f ca="1">IF(ISERROR(F597),"",VLOOKUP(A597,INDIRECT($F$8),8+(O603-1)*3))</f>
        <v/>
      </c>
      <c r="V603" s="1" t="str">
        <f ca="1">IF(ISERROR(F597),"",IF(N603=0,A603,""))</f>
        <v/>
      </c>
      <c r="W603" s="1" t="str">
        <f ca="1">IF(ISERROR(F597),"",IF(ISTEXT(VLOOKUP(B597,INDIRECT($F$8),6+(O603-1)*3)),11,IF(VLOOKUP(B597,INDIRECT($F$8),6+(O603-1)*3)&lt;S603*0.3,IF(VLOOKUP(B597,INDIRECT($F$8),8+(O603-1)*3)&lt;U603*0.4,IF(AND(0.4*U603-VLOOKUP(B597,INDIRECT($F$8),8+(O603-1)*3)&lt;=5,0.3*S603-VLOOKUP(B597,INDIRECT($F$8),6+(O603-1)*3)&lt;=5),MAX(0.4*U603-VLOOKUP(B597,INDIRECT($F$8),8+(O603-1)*3),0.3*S603-VLOOKUP(B597,INDIRECT($F$8),6+(O603-1)*3)),11),IF(0.3*S603-VLOOKUP(B597,INDIRECT($F$8),6+(O603-1)*3)&lt;=5,0.3*S603-VLOOKUP(B597,INDIRECT($F$8),6+(O603-1)*3),11)),IF(VLOOKUP(B597,INDIRECT($F$8),8+(O603-1)*3)&lt;U603*0.4,IF(U603*0.4-VLOOKUP(B597,INDIRECT($F$8),8+(O603-1)*3)&lt;=5,U603*0.4-VLOOKUP(B597,INDIRECT($F$8),8+(O603-1)*3),11),0))))</f>
        <v/>
      </c>
      <c r="X603" s="1" t="str">
        <f ca="1">IF(ISERROR(F597),"",IF(W603=0,"",_xlfn.TEXTJOIN("",FALSE," G+",W603," in ",A603)))</f>
        <v/>
      </c>
    </row>
    <row r="604" spans="1:24" ht="13" customHeight="1" x14ac:dyDescent="0.2">
      <c r="A604" s="7" t="str">
        <f ca="1">IF(ISERROR(F597),"",VLOOKUP(C597,INDIRECT($F$8),6+(O604-1)*3,0))</f>
        <v/>
      </c>
      <c r="B604" s="41" t="str">
        <f ca="1">IF(ISERROR(F597),"",VLOOKUP(D597,INDIRECT($F$8),6+(O604-1)*3,0))</f>
        <v/>
      </c>
      <c r="C604" s="41"/>
      <c r="D604" s="41"/>
      <c r="E604" s="41"/>
      <c r="F604" s="7" t="str">
        <f ca="1">IF(ISERROR(F597),"",VLOOKUP(E597,INDIRECT($F$8),6+(O604-1)*3,0))</f>
        <v/>
      </c>
      <c r="G604" s="42" t="str">
        <f ca="1">IF(ISERROR(F597),"",_xlfn.TEXTJOIN("/",FALSE,P604,S604))</f>
        <v/>
      </c>
      <c r="H604" s="42"/>
      <c r="I604" s="42" t="str">
        <f ca="1">IF(ISERROR(F597),"",_xlfn.TEXTJOIN("/",FALSE,Q604,T604))</f>
        <v/>
      </c>
      <c r="J604" s="42"/>
      <c r="K604" s="42" t="str">
        <f ca="1">IF(ISERROR(F597),"",_xlfn.TEXTJOIN("/",FALSE,R604,U604))</f>
        <v/>
      </c>
      <c r="L604" s="42"/>
      <c r="M604" s="7" t="str">
        <f ca="1">IF(ISERROR(F597),"",IF(ISTEXT(P604),IF(P604="A","Ab",IF(P604="D","Dt",IF(P604="UFM","UFM",IF(P604="NA","")))),IF(AND(ISBLANK(P604),ISBLANK(R604)),"",IF(P604&lt;0.3*S604,"F",IF(ISBLANK(R604),"",IF(ISTEXT(R604),R604,IF(R604&gt;=0.9*U604,"O",IF(R604&gt;=0.85*U604,"A+",IF(R604&gt;=0.8*U604,"A",IF(R604&gt;=0.7*U604,"B+",IF(R604&gt;=0.6*U604,"B",IF(R604&gt;=0.5*U604,"C",IF(R604&gt;=0.4*U604,"P",IF(R604&lt;0.4*U604,"F",R604))))))))))))))</f>
        <v/>
      </c>
      <c r="N604" s="8" t="str">
        <f t="shared" ca="1" si="62"/>
        <v/>
      </c>
      <c r="O604">
        <f>O603+1</f>
        <v>3</v>
      </c>
      <c r="P604" s="1" t="str">
        <f ca="1">IF(ISERROR(F597),"",IF(ISTEXT(VLOOKUP(B597,INDIRECT($F$8),6+(O604-1)*3)),(VLOOKUP(B597,INDIRECT($F$8),6+(O604-1)*3)),SUM(VLOOKUP(B597,INDIRECT($F$8),6+(O604-1)*3),IF(W612,W604,0))))</f>
        <v/>
      </c>
      <c r="Q604" s="1" t="str">
        <f ca="1">IF(ISERROR(F597),"",VLOOKUP(B597,INDIRECT($F$8),7+(O604-1)*3))</f>
        <v/>
      </c>
      <c r="R604" s="1" t="str">
        <f ca="1">IF(ISERROR(F597),"",SUM(P604:Q604))</f>
        <v/>
      </c>
      <c r="S604" s="1" t="str">
        <f ca="1">IF(ISERROR(F597),"",VLOOKUP(A597,INDIRECT($F$8),6+(O604-1)*3))</f>
        <v/>
      </c>
      <c r="T604" s="1" t="str">
        <f ca="1">IF(ISERROR(F597),"",VLOOKUP(A597,INDIRECT($F$8),7+(O604-1)*3))</f>
        <v/>
      </c>
      <c r="U604" s="1" t="str">
        <f ca="1">IF(ISERROR(F597),"",VLOOKUP(A597,INDIRECT($F$8),8+(O604-1)*3))</f>
        <v/>
      </c>
      <c r="V604" s="1" t="str">
        <f ca="1">IF(ISERROR(F597),"",IF(N604=0,A604,""))</f>
        <v/>
      </c>
      <c r="W604" s="1" t="str">
        <f ca="1">IF(ISERROR(F597),"",IF(ISTEXT(VLOOKUP(B597,INDIRECT($F$8),6+(O604-1)*3)),11,IF(VLOOKUP(B597,INDIRECT($F$8),6+(O604-1)*3)&lt;S604*0.3,IF(VLOOKUP(B597,INDIRECT($F$8),8+(O604-1)*3)&lt;U604*0.4,IF(AND(0.4*U604-VLOOKUP(B597,INDIRECT($F$8),8+(O604-1)*3)&lt;=5,0.3*S604-VLOOKUP(B597,INDIRECT($F$8),6+(O604-1)*3)&lt;=5),MAX(0.4*U604-VLOOKUP(B597,INDIRECT($F$8),8+(O604-1)*3),0.3*S604-VLOOKUP(B597,INDIRECT($F$8),6+(O604-1)*3)),11),IF(0.3*S604-VLOOKUP(B597,INDIRECT($F$8),6+(O604-1)*3)&lt;=5,0.3*S604-VLOOKUP(B597,INDIRECT($F$8),6+(O604-1)*3),11)),IF(VLOOKUP(B597,INDIRECT($F$8),8+(O604-1)*3)&lt;U604*0.4,IF(U604*0.4-VLOOKUP(B597,INDIRECT($F$8),8+(O604-1)*3)&lt;=5,U604*0.4-VLOOKUP(B597,INDIRECT($F$8),8+(O604-1)*3),11),0))))</f>
        <v/>
      </c>
      <c r="X604" s="1" t="str">
        <f ca="1">IF(ISERROR(F597),"",IF(W604=0,"",_xlfn.TEXTJOIN("",FALSE," G+",W604," in ",A604)))</f>
        <v/>
      </c>
    </row>
    <row r="605" spans="1:24" ht="13" customHeight="1" x14ac:dyDescent="0.2">
      <c r="A605" s="7" t="str">
        <f ca="1">IF(ISERROR(F597),"",VLOOKUP(C597,INDIRECT($F$8),6+(O605-1)*3,0))</f>
        <v/>
      </c>
      <c r="B605" s="41" t="str">
        <f ca="1">IF(ISERROR(F597),"",VLOOKUP(D597,INDIRECT($F$8),6+(O605-1)*3,0))</f>
        <v/>
      </c>
      <c r="C605" s="41"/>
      <c r="D605" s="41"/>
      <c r="E605" s="41"/>
      <c r="F605" s="7" t="str">
        <f ca="1">IF(ISERROR(F597),"",VLOOKUP(E597,INDIRECT($F$8),6+(O605-1)*3,0))</f>
        <v/>
      </c>
      <c r="G605" s="42" t="str">
        <f ca="1">IF(ISERROR(F597),"",_xlfn.TEXTJOIN("/",FALSE,P605,S605))</f>
        <v/>
      </c>
      <c r="H605" s="42"/>
      <c r="I605" s="42" t="str">
        <f ca="1">IF(ISERROR(F597),"",_xlfn.TEXTJOIN("/",FALSE,Q605,T605))</f>
        <v/>
      </c>
      <c r="J605" s="42"/>
      <c r="K605" s="42" t="str">
        <f ca="1">IF(ISERROR(F597),"",_xlfn.TEXTJOIN("/",FALSE,R605,U605))</f>
        <v/>
      </c>
      <c r="L605" s="42"/>
      <c r="M605" s="7" t="str">
        <f ca="1">IF(ISERROR(F597),"",IF(ISTEXT(P605),IF(P605="A","Ab",IF(P605="D","Dt",IF(P605="UFM","UFM",IF(P605="NA","")))),IF(AND(ISBLANK(P605),ISBLANK(R605)),"",IF(P605&lt;0.3*S605,"F",IF(ISBLANK(R605),"",IF(ISTEXT(R605),R605,IF(R605&gt;=0.9*U605,"O",IF(R605&gt;=0.85*U605,"A+",IF(R605&gt;=0.8*U605,"A",IF(R605&gt;=0.7*U605,"B+",IF(R605&gt;=0.6*U605,"B",IF(R605&gt;=0.5*U605,"C",IF(R605&gt;=0.4*U605,"P",IF(R605&lt;0.4*U605,"F",R605))))))))))))))</f>
        <v/>
      </c>
      <c r="N605" s="8" t="str">
        <f t="shared" ca="1" si="62"/>
        <v/>
      </c>
      <c r="O605">
        <f t="shared" ref="O605:O611" si="63">O604+1</f>
        <v>4</v>
      </c>
      <c r="P605" s="1" t="str">
        <f ca="1">IF(ISERROR(F597),"",IF(ISTEXT(VLOOKUP(B597,INDIRECT($F$8),6+(O605-1)*3)),(VLOOKUP(B597,INDIRECT($F$8),6+(O605-1)*3)),SUM(VLOOKUP(B597,INDIRECT($F$8),6+(O605-1)*3),IF(W612,W605,0))))</f>
        <v/>
      </c>
      <c r="Q605" s="1" t="str">
        <f ca="1">IF(ISERROR(F597),"",VLOOKUP(B597,INDIRECT($F$8),7+(O605-1)*3))</f>
        <v/>
      </c>
      <c r="R605" s="1" t="str">
        <f ca="1">IF(ISERROR(F597),"",SUM(P605:Q605))</f>
        <v/>
      </c>
      <c r="S605" s="1" t="str">
        <f ca="1">IF(ISERROR(F597),"",VLOOKUP(A597,INDIRECT($F$8),6+(O605-1)*3))</f>
        <v/>
      </c>
      <c r="T605" s="1" t="str">
        <f ca="1">IF(ISERROR(F597),"",VLOOKUP(A597,INDIRECT($F$8),7+(O605-1)*3))</f>
        <v/>
      </c>
      <c r="U605" s="1" t="str">
        <f ca="1">IF(ISERROR(F597),"",VLOOKUP(A597,INDIRECT($F$8),8+(O605-1)*3))</f>
        <v/>
      </c>
      <c r="V605" s="1" t="str">
        <f ca="1">IF(ISERROR(F597),"",IF(N605=0,A605,""))</f>
        <v/>
      </c>
      <c r="W605" s="1" t="str">
        <f ca="1">IF(ISERROR(F597),"",IF(ISTEXT(VLOOKUP(B597,INDIRECT($F$8),6+(O605-1)*3)),11,IF(VLOOKUP(B597,INDIRECT($F$8),6+(O605-1)*3)&lt;S605*0.3,IF(VLOOKUP(B597,INDIRECT($F$8),8+(O605-1)*3)&lt;U605*0.4,IF(AND(0.4*U605-VLOOKUP(B597,INDIRECT($F$8),8+(O605-1)*3)&lt;=5,0.3*S605-VLOOKUP(B597,INDIRECT($F$8),6+(O605-1)*3)&lt;=5),MAX(0.4*U605-VLOOKUP(B597,INDIRECT($F$8),8+(O605-1)*3),0.3*S605-VLOOKUP(B597,INDIRECT($F$8),6+(O605-1)*3)),11),IF(0.3*S605-VLOOKUP(B597,INDIRECT($F$8),6+(O605-1)*3)&lt;=5,0.3*S605-VLOOKUP(B597,INDIRECT($F$8),6+(O605-1)*3),11)),IF(VLOOKUP(B597,INDIRECT($F$8),8+(O605-1)*3)&lt;U605*0.4,IF(U605*0.4-VLOOKUP(B597,INDIRECT($F$8),8+(O605-1)*3)&lt;=5,U605*0.4-VLOOKUP(B597,INDIRECT($F$8),8+(O605-1)*3),11),0))))</f>
        <v/>
      </c>
      <c r="X605" s="1" t="str">
        <f ca="1">IF(ISERROR(F597),"",IF(W605=0,"",_xlfn.TEXTJOIN("",FALSE," G+",W605," in ",A605)))</f>
        <v/>
      </c>
    </row>
    <row r="606" spans="1:24" ht="13" customHeight="1" x14ac:dyDescent="0.2">
      <c r="A606" s="7" t="str">
        <f ca="1">IF(ISERROR(F597),"",VLOOKUP(C597,INDIRECT($F$8),6+(O606-1)*3,0))</f>
        <v/>
      </c>
      <c r="B606" s="41" t="str">
        <f ca="1">IF(ISERROR(F597),"",VLOOKUP(D597,INDIRECT($F$8),6+(O606-1)*3,0))</f>
        <v/>
      </c>
      <c r="C606" s="41"/>
      <c r="D606" s="41"/>
      <c r="E606" s="41"/>
      <c r="F606" s="7" t="str">
        <f ca="1">IF(ISERROR(F597),"",VLOOKUP(E597,INDIRECT($F$8),6+(O606-1)*3,0))</f>
        <v/>
      </c>
      <c r="G606" s="42" t="str">
        <f ca="1">IF(ISERROR(F597),"",_xlfn.TEXTJOIN("/",FALSE,P606,S606))</f>
        <v/>
      </c>
      <c r="H606" s="42"/>
      <c r="I606" s="42" t="str">
        <f ca="1">IF(ISERROR(F597),"",_xlfn.TEXTJOIN("/",FALSE,Q606,T606))</f>
        <v/>
      </c>
      <c r="J606" s="42"/>
      <c r="K606" s="42" t="str">
        <f ca="1">IF(ISERROR(F597),"",_xlfn.TEXTJOIN("/",FALSE,R606,U606))</f>
        <v/>
      </c>
      <c r="L606" s="42"/>
      <c r="M606" s="7" t="str">
        <f ca="1">IF(ISERROR(F597),"",IF(ISTEXT(P606),IF(P606="A","Ab",IF(P606="D","Dt",IF(P606="UFM","UFM",IF(P606="NA","")))),IF(AND(ISBLANK(P606),ISBLANK(R606)),"",IF(P606&lt;0.3*S606,"F",IF(ISBLANK(R606),"",IF(ISTEXT(R606),R606,IF(R606&gt;=0.9*U606,"O",IF(R606&gt;=0.85*U606,"A+",IF(R606&gt;=0.8*U606,"A",IF(R606&gt;=0.7*U606,"B+",IF(R606&gt;=0.6*U606,"B",IF(R606&gt;=0.5*U606,"C",IF(R606&gt;=0.4*U606,"P",IF(R606&lt;0.4*U606,"F",R606))))))))))))))</f>
        <v/>
      </c>
      <c r="N606" s="8" t="str">
        <f t="shared" ca="1" si="62"/>
        <v/>
      </c>
      <c r="O606">
        <f t="shared" si="63"/>
        <v>5</v>
      </c>
      <c r="P606" s="1" t="str">
        <f ca="1">IF(ISERROR(F597),"",IF(ISTEXT(VLOOKUP(B597,INDIRECT($F$8),6+(O606-1)*3)),(VLOOKUP(B597,INDIRECT($F$8),6+(O606-1)*3)),SUM(VLOOKUP(B597,INDIRECT($F$8),6+(O606-1)*3),IF(W612,W606,0))))</f>
        <v/>
      </c>
      <c r="Q606" s="1" t="str">
        <f ca="1">IF(ISERROR(F597),"",VLOOKUP(B597,INDIRECT($F$8),7+(O606-1)*3))</f>
        <v/>
      </c>
      <c r="R606" s="1" t="str">
        <f ca="1">IF(ISERROR(F597),"",SUM(P606:Q606))</f>
        <v/>
      </c>
      <c r="S606" s="1" t="str">
        <f ca="1">IF(ISERROR(F597),"",VLOOKUP(A597,INDIRECT($F$8),6+(O606-1)*3))</f>
        <v/>
      </c>
      <c r="T606" s="1" t="str">
        <f ca="1">IF(ISERROR(F597),"",VLOOKUP(A597,INDIRECT($F$8),7+(O606-1)*3))</f>
        <v/>
      </c>
      <c r="U606" s="1" t="str">
        <f ca="1">IF(ISERROR(F597),"",VLOOKUP(A597,INDIRECT($F$8),8+(O606-1)*3))</f>
        <v/>
      </c>
      <c r="V606" s="1" t="str">
        <f ca="1">IF(ISERROR(F597),"",IF(N606=0,A606,""))</f>
        <v/>
      </c>
      <c r="W606" s="1" t="str">
        <f ca="1">IF(ISERROR(F597),"",IF(ISTEXT(VLOOKUP(B597,INDIRECT($F$8),6+(O606-1)*3)),11,IF(VLOOKUP(B597,INDIRECT($F$8),6+(O606-1)*3)&lt;S606*0.3,IF(VLOOKUP(B597,INDIRECT($F$8),8+(O606-1)*3)&lt;U606*0.4,IF(AND(0.4*U606-VLOOKUP(B597,INDIRECT($F$8),8+(O606-1)*3)&lt;=5,0.3*S606-VLOOKUP(B597,INDIRECT($F$8),6+(O606-1)*3)&lt;=5),MAX(0.4*U606-VLOOKUP(B597,INDIRECT($F$8),8+(O606-1)*3),0.3*S606-VLOOKUP(B597,INDIRECT($F$8),6+(O606-1)*3)),11),IF(0.3*S606-VLOOKUP(B597,INDIRECT($F$8),6+(O606-1)*3)&lt;=5,0.3*S606-VLOOKUP(B597,INDIRECT($F$8),6+(O606-1)*3),11)),IF(VLOOKUP(B597,INDIRECT($F$8),8+(O606-1)*3)&lt;U606*0.4,IF(U606*0.4-VLOOKUP(B597,INDIRECT($F$8),8+(O606-1)*3)&lt;=5,U606*0.4-VLOOKUP(B597,INDIRECT($F$8),8+(O606-1)*3),11),0))))</f>
        <v/>
      </c>
      <c r="X606" s="1" t="str">
        <f ca="1">IF(ISERROR(F597),"",IF(W606=0,"",_xlfn.TEXTJOIN("",FALSE," G+",W606," in ",A606)))</f>
        <v/>
      </c>
    </row>
    <row r="607" spans="1:24" ht="13" customHeight="1" x14ac:dyDescent="0.2">
      <c r="A607" s="7" t="str">
        <f ca="1">IF(ISERROR(F597),"",VLOOKUP(C597,INDIRECT($F$8),6+(O607-1)*3,0))</f>
        <v/>
      </c>
      <c r="B607" s="41" t="str">
        <f ca="1">IF(ISERROR(F597),"",VLOOKUP(D597,INDIRECT($F$8),6+(O607-1)*3,0))</f>
        <v/>
      </c>
      <c r="C607" s="41"/>
      <c r="D607" s="41"/>
      <c r="E607" s="41"/>
      <c r="F607" s="7" t="str">
        <f ca="1">IF(ISERROR(F597),"",VLOOKUP(E597,INDIRECT($F$8),6+(O607-1)*3,0))</f>
        <v/>
      </c>
      <c r="G607" s="42" t="str">
        <f ca="1">IF(ISERROR(F597),"",_xlfn.TEXTJOIN("/",FALSE,P607,S607))</f>
        <v/>
      </c>
      <c r="H607" s="42"/>
      <c r="I607" s="42" t="str">
        <f ca="1">IF(ISERROR(F597),"",_xlfn.TEXTJOIN("/",FALSE,Q607,T607))</f>
        <v/>
      </c>
      <c r="J607" s="42"/>
      <c r="K607" s="42" t="str">
        <f ca="1">IF(ISERROR(F597),"",_xlfn.TEXTJOIN("/",FALSE,R607,U607))</f>
        <v/>
      </c>
      <c r="L607" s="42"/>
      <c r="M607" s="7" t="str">
        <f ca="1">IF(ISERROR(F597),"",IF(ISTEXT(P607),IF(P607="A","Ab",IF(P607="D","Dt",IF(P607="UFM","UFM",IF(P607="NA","")))),IF(AND(ISBLANK(P607),ISBLANK(R607)),"",IF(P607&lt;0.3*S607,"F",IF(ISBLANK(R607),"",IF(ISTEXT(R607),R607,IF(R607&gt;=0.9*U607,"O",IF(R607&gt;=0.85*U607,"A+",IF(R607&gt;=0.8*U607,"A",IF(R607&gt;=0.7*U607,"B+",IF(R607&gt;=0.6*U607,"B",IF(R607&gt;=0.5*U607,"C",IF(R607&gt;=0.4*U607,"P",IF(R607&lt;0.4*U607,"F",R607))))))))))))))</f>
        <v/>
      </c>
      <c r="N607" s="8" t="str">
        <f t="shared" ca="1" si="62"/>
        <v/>
      </c>
      <c r="O607">
        <f t="shared" si="63"/>
        <v>6</v>
      </c>
      <c r="P607" s="1" t="str">
        <f ca="1">IF(ISERROR(F597),"",IF(ISTEXT(VLOOKUP(B597,INDIRECT($F$8),6+(O607-1)*3)),(VLOOKUP(B597,INDIRECT($F$8),6+(O607-1)*3)),SUM(VLOOKUP(B597,INDIRECT($F$8),6+(O607-1)*3),IF(W612,W607,0))))</f>
        <v/>
      </c>
      <c r="Q607" s="1" t="str">
        <f ca="1">IF(ISERROR(F597),"",VLOOKUP(B597,INDIRECT($F$8),7+(O607-1)*3))</f>
        <v/>
      </c>
      <c r="R607" s="1" t="str">
        <f ca="1">IF(ISERROR(F597),"",SUM(P607:Q607))</f>
        <v/>
      </c>
      <c r="S607" s="1" t="str">
        <f ca="1">IF(ISERROR(F597),"",VLOOKUP(A597,INDIRECT($F$8),6+(O607-1)*3))</f>
        <v/>
      </c>
      <c r="T607" s="1" t="str">
        <f ca="1">IF(ISERROR(F597),"",VLOOKUP(A597,INDIRECT($F$8),7+(O607-1)*3))</f>
        <v/>
      </c>
      <c r="U607" s="1" t="str">
        <f ca="1">IF(ISERROR(F597),"",VLOOKUP(A597,INDIRECT($F$8),8+(O607-1)*3))</f>
        <v/>
      </c>
      <c r="V607" s="1" t="str">
        <f ca="1">IF(ISERROR(F597),"",IF(N607=0,A607,""))</f>
        <v/>
      </c>
      <c r="W607" s="1" t="str">
        <f ca="1">IF(ISERROR(F597),"",IF(ISTEXT(VLOOKUP(B597,INDIRECT($F$8),6+(O607-1)*3)),11,IF(VLOOKUP(B597,INDIRECT($F$8),6+(O607-1)*3)&lt;S607*0.3,IF(VLOOKUP(B597,INDIRECT($F$8),8+(O607-1)*3)&lt;U607*0.4,IF(AND(0.4*U607-VLOOKUP(B597,INDIRECT($F$8),8+(O607-1)*3)&lt;=5,0.3*S607-VLOOKUP(B597,INDIRECT($F$8),6+(O607-1)*3)&lt;=5),MAX(0.4*U607-VLOOKUP(B597,INDIRECT($F$8),8+(O607-1)*3),0.3*S607-VLOOKUP(B597,INDIRECT($F$8),6+(O607-1)*3)),11),IF(0.3*S607-VLOOKUP(B597,INDIRECT($F$8),6+(O607-1)*3)&lt;=5,0.3*S607-VLOOKUP(B597,INDIRECT($F$8),6+(O607-1)*3),11)),IF(VLOOKUP(B597,INDIRECT($F$8),8+(O607-1)*3)&lt;U607*0.4,IF(U607*0.4-VLOOKUP(B597,INDIRECT($F$8),8+(O607-1)*3)&lt;=5,U607*0.4-VLOOKUP(B597,INDIRECT($F$8),8+(O607-1)*3),11),0))))</f>
        <v/>
      </c>
      <c r="X607" s="1" t="str">
        <f ca="1">IF(ISERROR(F597),"",IF(W607=0,"",_xlfn.TEXTJOIN("",FALSE," G+",W607," in ",A607)))</f>
        <v/>
      </c>
    </row>
    <row r="608" spans="1:24" ht="13" customHeight="1" x14ac:dyDescent="0.2">
      <c r="A608" s="7" t="str">
        <f ca="1">IF(ISERROR(F597),"",VLOOKUP(C597,INDIRECT($F$8),6+(O608-1)*3,0))</f>
        <v/>
      </c>
      <c r="B608" s="41" t="str">
        <f ca="1">IF(ISERROR(F597),"",VLOOKUP(D597,INDIRECT($F$8),6+(O608-1)*3,0))</f>
        <v/>
      </c>
      <c r="C608" s="41"/>
      <c r="D608" s="41"/>
      <c r="E608" s="41"/>
      <c r="F608" s="7" t="str">
        <f ca="1">IF(ISERROR(F597),"",VLOOKUP(E597,INDIRECT($F$8),6+(O608-1)*3,0))</f>
        <v/>
      </c>
      <c r="G608" s="42" t="str">
        <f ca="1">IF(ISERROR(F597),"",_xlfn.TEXTJOIN("/",FALSE,P608,S608))</f>
        <v/>
      </c>
      <c r="H608" s="42"/>
      <c r="I608" s="42" t="str">
        <f ca="1">IF(ISERROR(F597),"",_xlfn.TEXTJOIN("/",FALSE,Q608,T608))</f>
        <v/>
      </c>
      <c r="J608" s="42"/>
      <c r="K608" s="42" t="str">
        <f ca="1">IF(ISERROR(F597),"",_xlfn.TEXTJOIN("/",FALSE,R608,U608))</f>
        <v/>
      </c>
      <c r="L608" s="42"/>
      <c r="M608" s="7" t="str">
        <f ca="1">IF(ISERROR(F597),"",IF(ISTEXT(P608),IF(P608="A","Ab",IF(P608="D","Dt",IF(P608="UFM","UFM",IF(P608="NA","")))),IF(AND(ISBLANK(P608),ISBLANK(R608)),"",IF(P608&lt;0.3*S608,"F",IF(ISBLANK(R608),"",IF(ISTEXT(R608),R608,IF(R608&gt;=0.9*U608,"O",IF(R608&gt;=0.85*U608,"A+",IF(R608&gt;=0.8*U608,"A",IF(R608&gt;=0.7*U608,"B+",IF(R608&gt;=0.6*U608,"B",IF(R608&gt;=0.5*U608,"C",IF(R608&gt;=0.4*U608,"P",IF(R608&lt;0.4*U608,"F",R608))))))))))))))</f>
        <v/>
      </c>
      <c r="N608" s="8" t="str">
        <f t="shared" ca="1" si="62"/>
        <v/>
      </c>
      <c r="O608">
        <f t="shared" si="63"/>
        <v>7</v>
      </c>
      <c r="P608" s="1" t="str">
        <f ca="1">IF(ISERROR(F597),"",IF(ISTEXT(VLOOKUP(B597,INDIRECT($F$8),6+(O608-1)*3)),(VLOOKUP(B597,INDIRECT($F$8),6+(O608-1)*3)),SUM(VLOOKUP(B597,INDIRECT($F$8),6+(O608-1)*3),IF(W612,W608,0))))</f>
        <v/>
      </c>
      <c r="Q608" s="1" t="str">
        <f ca="1">IF(ISERROR(F597),"",VLOOKUP(B597,INDIRECT($F$8),7+(O608-1)*3))</f>
        <v/>
      </c>
      <c r="R608" s="1" t="str">
        <f ca="1">IF(ISERROR(F597),"",SUM(P608:Q608))</f>
        <v/>
      </c>
      <c r="S608" s="1" t="str">
        <f ca="1">IF(ISERROR(F597),"",VLOOKUP(A597,INDIRECT($F$8),6+(O608-1)*3))</f>
        <v/>
      </c>
      <c r="T608" s="1" t="str">
        <f ca="1">IF(ISERROR(F597),"",VLOOKUP(A597,INDIRECT($F$8),7+(O608-1)*3))</f>
        <v/>
      </c>
      <c r="U608" s="1" t="str">
        <f ca="1">IF(ISERROR(F597),"",VLOOKUP(A597,INDIRECT($F$8),8+(O608-1)*3))</f>
        <v/>
      </c>
      <c r="V608" s="1" t="str">
        <f ca="1">IF(ISERROR(F597),"",IF(N608=0,A608,""))</f>
        <v/>
      </c>
      <c r="W608" s="1" t="str">
        <f ca="1">IF(ISERROR(F597),"",IF(ISTEXT(VLOOKUP(B597,INDIRECT($F$8),6+(O608-1)*3)),11,IF(VLOOKUP(B597,INDIRECT($F$8),6+(O608-1)*3)&lt;S608*0.3,IF(VLOOKUP(B597,INDIRECT($F$8),8+(O608-1)*3)&lt;U608*0.4,IF(AND(0.4*U608-VLOOKUP(B597,INDIRECT($F$8),8+(O608-1)*3)&lt;=5,0.3*S608-VLOOKUP(B597,INDIRECT($F$8),6+(O608-1)*3)&lt;=5),MAX(0.4*U608-VLOOKUP(B597,INDIRECT($F$8),8+(O608-1)*3),0.3*S608-VLOOKUP(B597,INDIRECT($F$8),6+(O608-1)*3)),11),IF(0.3*S608-VLOOKUP(B597,INDIRECT($F$8),6+(O608-1)*3)&lt;=5,0.3*S608-VLOOKUP(B597,INDIRECT($F$8),6+(O608-1)*3),11)),IF(VLOOKUP(B597,INDIRECT($F$8),8+(O608-1)*3)&lt;U608*0.4,IF(U608*0.4-VLOOKUP(B597,INDIRECT($F$8),8+(O608-1)*3)&lt;=5,U608*0.4-VLOOKUP(B597,INDIRECT($F$8),8+(O608-1)*3),11),0))))</f>
        <v/>
      </c>
      <c r="X608" s="1" t="str">
        <f ca="1">IF(ISERROR(F597),"",IF(W608=0,"",_xlfn.TEXTJOIN("",FALSE," G+",W608," in ",A608)))</f>
        <v/>
      </c>
    </row>
    <row r="609" spans="1:24" ht="13" customHeight="1" x14ac:dyDescent="0.2">
      <c r="A609" s="7" t="str">
        <f ca="1">IF(ISERROR(F597),"",VLOOKUP(C597,INDIRECT($F$8),6+(O609-1)*3,0))</f>
        <v/>
      </c>
      <c r="B609" s="41" t="str">
        <f ca="1">IF(ISERROR(F597),"",VLOOKUP(D597,INDIRECT($F$8),6+(O609-1)*3-Z609,0))</f>
        <v/>
      </c>
      <c r="C609" s="41"/>
      <c r="D609" s="41"/>
      <c r="E609" s="41"/>
      <c r="F609" s="7" t="str">
        <f ca="1">IF(ISERROR(F597),"",VLOOKUP(E597,INDIRECT($F$8),6+(O609-1)*3,0))</f>
        <v/>
      </c>
      <c r="G609" s="42" t="str">
        <f ca="1">IF(ISERROR(F597),"",_xlfn.TEXTJOIN("/",FALSE,P609,S609))</f>
        <v/>
      </c>
      <c r="H609" s="42"/>
      <c r="I609" s="42" t="str">
        <f ca="1">IF(ISERROR(F597),"",_xlfn.TEXTJOIN("/",FALSE,Q609,T609))</f>
        <v/>
      </c>
      <c r="J609" s="42"/>
      <c r="K609" s="42" t="str">
        <f ca="1">IF(ISERROR(F597),"",_xlfn.TEXTJOIN("/",FALSE,R609,U609))</f>
        <v/>
      </c>
      <c r="L609" s="42"/>
      <c r="M609" s="7" t="str">
        <f ca="1">IF(ISERROR(F597),"",IF(ISTEXT(P609),IF(P609="A","Ab",IF(P609="D","Dt",IF(P609="UFM","UFM",IF(P609="NA","")))),IF(AND(ISBLANK(P609),ISBLANK(R609)),"",IF(P609&lt;0.3*S609,"F",IF(ISBLANK(R609),"",IF(ISTEXT(R609),R609,IF(R609&gt;=0.9*U609,"O",IF(R609&gt;=0.85*U609,"A+",IF(R609&gt;=0.8*U609,"A",IF(R609&gt;=0.7*U609,"B+",IF(R609&gt;=0.6*U609,"B",IF(R609&gt;=0.5*U609,"C",IF(R609&gt;=0.4*U609,"P",IF(R609&lt;0.4*U609,"F",R609))))))))))))))</f>
        <v/>
      </c>
      <c r="N609" s="8" t="str">
        <f t="shared" ca="1" si="62"/>
        <v/>
      </c>
      <c r="O609">
        <f t="shared" si="63"/>
        <v>8</v>
      </c>
      <c r="P609" s="1" t="str">
        <f ca="1">IF(ISERROR(F597),"",IF(ISTEXT(VLOOKUP(B597,INDIRECT($F$8),6+(O609-1)*3)),(VLOOKUP(B597,INDIRECT($F$8),6+(O609-1)*3)),SUM(VLOOKUP(B597,INDIRECT($F$8),6+(O609-1)*3),IF(W612,W609,0))))</f>
        <v/>
      </c>
      <c r="Q609" s="1" t="str">
        <f ca="1">IF(ISERROR(F597),"",VLOOKUP(B597,INDIRECT($F$8),7+(O609-1)*3))</f>
        <v/>
      </c>
      <c r="R609" s="1" t="str">
        <f ca="1">IF(ISERROR(F597),"",SUM(P609:Q609))</f>
        <v/>
      </c>
      <c r="S609" s="1" t="str">
        <f ca="1">IF(ISERROR(F597),"",VLOOKUP(A597,INDIRECT($F$8),6+(O609-1)*3))</f>
        <v/>
      </c>
      <c r="T609" s="1" t="str">
        <f ca="1">IF(ISERROR(F597),"",VLOOKUP(A597,INDIRECT($F$8),7+(O609-1)*3))</f>
        <v/>
      </c>
      <c r="U609" s="1" t="str">
        <f ca="1">IF(ISERROR(F597),"",VLOOKUP(A597,INDIRECT($F$8),8+(O609-1)*3))</f>
        <v/>
      </c>
      <c r="V609" s="1" t="str">
        <f ca="1">IF(ISERROR(F597),"",IF(N609=0,A609,""))</f>
        <v/>
      </c>
      <c r="W609" s="1" t="str">
        <f ca="1">IF(ISERROR(F597),"",IF(ISTEXT(VLOOKUP(B597,INDIRECT($F$8),6+(O609-1)*3)),11,IF(VLOOKUP(B597,INDIRECT($F$8),6+(O609-1)*3)&lt;S609*0.3,IF(VLOOKUP(B597,INDIRECT($F$8),8+(O609-1)*3)&lt;U609*0.4,IF(AND(0.4*U609-VLOOKUP(B597,INDIRECT($F$8),8+(O609-1)*3)&lt;=5,0.3*S609-VLOOKUP(B597,INDIRECT($F$8),6+(O609-1)*3)&lt;=5),MAX(0.4*U609-VLOOKUP(B597,INDIRECT($F$8),8+(O609-1)*3),0.3*S609-VLOOKUP(B597,INDIRECT($F$8),6+(O609-1)*3)),11),IF(0.3*S609-VLOOKUP(B597,INDIRECT($F$8),6+(O609-1)*3)&lt;=5,0.3*S609-VLOOKUP(B597,INDIRECT($F$8),6+(O609-1)*3),11)),IF(VLOOKUP(B597,INDIRECT($F$8),8+(O609-1)*3)&lt;U609*0.4,IF(U609*0.4-VLOOKUP(B597,INDIRECT($F$8),8+(O609-1)*3)&lt;=5,U609*0.4-VLOOKUP(B597,INDIRECT($F$8),8+(O609-1)*3),11),0))))</f>
        <v/>
      </c>
      <c r="X609" s="1" t="str">
        <f ca="1">IF(ISERROR(F597),"",IF(W609=0,"",_xlfn.TEXTJOIN("",FALSE," G+",W609," in ",A609)))</f>
        <v/>
      </c>
    </row>
    <row r="610" spans="1:24" ht="13" customHeight="1" x14ac:dyDescent="0.2">
      <c r="A610" s="7" t="str">
        <f ca="1">IF(ISERROR(F597),"",VLOOKUP(C597,INDIRECT($F$8),6+(O610-1)*3,0))</f>
        <v/>
      </c>
      <c r="B610" s="41" t="str">
        <f ca="1">IF(ISERROR(F597),"",VLOOKUP(D597,INDIRECT($F$8),6+(O610-1)*3-Z610,0))</f>
        <v/>
      </c>
      <c r="C610" s="41"/>
      <c r="D610" s="41"/>
      <c r="E610" s="41"/>
      <c r="F610" s="7" t="str">
        <f ca="1">IF(ISERROR(F597),"",VLOOKUP(E597,INDIRECT($F$8),6+(O610-1)*3,0))</f>
        <v/>
      </c>
      <c r="G610" s="42" t="str">
        <f ca="1">IF(ISERROR(F597),"",_xlfn.TEXTJOIN("/",FALSE,P610,S610))</f>
        <v/>
      </c>
      <c r="H610" s="42"/>
      <c r="I610" s="42" t="str">
        <f ca="1">IF(ISERROR(F597),"",_xlfn.TEXTJOIN("/",FALSE,Q610,T610))</f>
        <v/>
      </c>
      <c r="J610" s="42"/>
      <c r="K610" s="42" t="str">
        <f ca="1">IF(ISERROR(F597),"",_xlfn.TEXTJOIN("/",FALSE,R610,U610))</f>
        <v/>
      </c>
      <c r="L610" s="42"/>
      <c r="M610" s="7" t="str">
        <f ca="1">IF(ISERROR(F597),"",IF(ISTEXT(P610),IF(P610="A","Ab",IF(P610="D","Dt",IF(P610="UFM","UFM",IF(P610="NA","")))),IF(AND(ISBLANK(P610),ISBLANK(R610)),"",IF(P610&lt;0.3*S610,"F",IF(ISBLANK(R610),"",IF(ISTEXT(R610),R610,IF(R610&gt;=0.9*U610,"O",IF(R610&gt;=0.85*U610,"A+",IF(R610&gt;=0.8*U610,"A",IF(R610&gt;=0.7*U610,"B+",IF(R610&gt;=0.6*U610,"B",IF(R610&gt;=0.5*U610,"C",IF(R610&gt;=0.4*U610,"P",IF(R610&lt;0.4*U610,"F",R610))))))))))))))</f>
        <v/>
      </c>
      <c r="N610" s="8" t="str">
        <f t="shared" ca="1" si="62"/>
        <v/>
      </c>
      <c r="O610">
        <f t="shared" si="63"/>
        <v>9</v>
      </c>
      <c r="P610" s="1" t="str">
        <f ca="1">IF(ISERROR(F597),"",IF(ISTEXT(VLOOKUP(B597,INDIRECT($F$8),6+(O610-1)*3)),(VLOOKUP(B597,INDIRECT($F$8),6+(O610-1)*3)),SUM(VLOOKUP(B597,INDIRECT($F$8),6+(O610-1)*3),IF(W612,W610,0))))</f>
        <v/>
      </c>
      <c r="Q610" s="1" t="str">
        <f ca="1">IF(ISERROR(F597),"",VLOOKUP(B597,INDIRECT($F$8),7+(O610-1)*3))</f>
        <v/>
      </c>
      <c r="R610" s="1" t="str">
        <f ca="1">IF(ISERROR(F597),"",SUM(P610:Q610))</f>
        <v/>
      </c>
      <c r="S610" s="1" t="str">
        <f ca="1">IF(ISERROR(F597),"",VLOOKUP(A597,INDIRECT($F$8),6+(O610-1)*3))</f>
        <v/>
      </c>
      <c r="T610" s="1" t="str">
        <f ca="1">IF(ISERROR(F597),"",VLOOKUP(A597,INDIRECT($F$8),7+(O610-1)*3))</f>
        <v/>
      </c>
      <c r="U610" s="1" t="str">
        <f ca="1">IF(ISERROR(F597),"",VLOOKUP(A597,INDIRECT($F$8),8+(O610-1)*3))</f>
        <v/>
      </c>
      <c r="V610" s="1" t="str">
        <f ca="1">IF(ISERROR(F597),"",IF(N610=0,A610,""))</f>
        <v/>
      </c>
      <c r="W610" s="1" t="str">
        <f ca="1">IF(ISERROR(F597),"",IF(ISTEXT(VLOOKUP(B597,INDIRECT($F$8),6+(O610-1)*3)),11,IF(VLOOKUP(B597,INDIRECT($F$8),6+(O610-1)*3)&lt;S610*0.3,IF(VLOOKUP(B597,INDIRECT($F$8),8+(O610-1)*3)&lt;U610*0.4,IF(AND(0.4*U610-VLOOKUP(B597,INDIRECT($F$8),8+(O610-1)*3)&lt;=5,0.3*S610-VLOOKUP(B597,INDIRECT($F$8),6+(O610-1)*3)&lt;=5),MAX(0.4*U610-VLOOKUP(B597,INDIRECT($F$8),8+(O610-1)*3),0.3*S610-VLOOKUP(B597,INDIRECT($F$8),6+(O610-1)*3)),11),IF(0.3*S610-VLOOKUP(B597,INDIRECT($F$8),6+(O610-1)*3)&lt;=5,0.3*S610-VLOOKUP(B597,INDIRECT($F$8),6+(O610-1)*3),11)),IF(VLOOKUP(B597,INDIRECT($F$8),8+(O610-1)*3)&lt;U610*0.4,IF(U610*0.4-VLOOKUP(B597,INDIRECT($F$8),8+(O610-1)*3)&lt;=5,U610*0.4-VLOOKUP(B597,INDIRECT($F$8),8+(O610-1)*3),11),0))))</f>
        <v/>
      </c>
      <c r="X610" s="1" t="str">
        <f ca="1">IF(ISERROR(F597),"",IF(W610=0,"",_xlfn.TEXTJOIN("",FALSE," G+",W610," in ",A610)))</f>
        <v/>
      </c>
    </row>
    <row r="611" spans="1:24" ht="13" customHeight="1" x14ac:dyDescent="0.2">
      <c r="A611" s="7" t="str">
        <f ca="1">IF(ISERROR(F597),"",VLOOKUP(C597,INDIRECT($F$8),6+(O611-1)*3,0))</f>
        <v/>
      </c>
      <c r="B611" s="41" t="str">
        <f ca="1">IF(ISERROR(F597),"",VLOOKUP(D597,INDIRECT($F$8),6+(O611-1)*3,0))</f>
        <v/>
      </c>
      <c r="C611" s="41"/>
      <c r="D611" s="41"/>
      <c r="E611" s="41"/>
      <c r="F611" s="7" t="str">
        <f ca="1">IF(ISERROR(F597),"",VLOOKUP(E597,INDIRECT($F$8),6+(O611-1)*3,0))</f>
        <v/>
      </c>
      <c r="G611" s="42" t="str">
        <f ca="1">IF(ISERROR(F597),"",_xlfn.TEXTJOIN("/",FALSE,P611,S611))</f>
        <v/>
      </c>
      <c r="H611" s="42"/>
      <c r="I611" s="42" t="str">
        <f ca="1">IF(ISERROR(F597),"",_xlfn.TEXTJOIN("/",FALSE,Q611,T611))</f>
        <v/>
      </c>
      <c r="J611" s="42"/>
      <c r="K611" s="42" t="str">
        <f ca="1">IF(ISERROR(F597),"",_xlfn.TEXTJOIN("/",FALSE,R611,U611))</f>
        <v/>
      </c>
      <c r="L611" s="42"/>
      <c r="M611" s="7" t="str">
        <f ca="1">IF(ISERROR(F597),"",IF(ISTEXT(P611),IF(P611="A","Ab",IF(P611="D","Dt",IF(P611="UFM","UFM",IF(P611="NA","")))),IF(AND(ISBLANK(P611),ISBLANK(R611)),"",IF(P611&lt;0.3*S611,"F",IF(ISBLANK(R611),"",IF(ISTEXT(R611),R611,IF(R611&gt;=0.9*U611,"O",IF(R611&gt;=0.85*U611,"A+",IF(R611&gt;=0.8*U611,"A",IF(R611&gt;=0.7*U611,"B+",IF(R611&gt;=0.6*U611,"B",IF(R611&gt;=0.5*U611,"C",IF(R611&gt;=0.4*U611,"P",IF(R611&lt;0.4*U611,"F",R611))))))))))))))</f>
        <v/>
      </c>
      <c r="N611" s="8" t="str">
        <f t="shared" ca="1" si="62"/>
        <v/>
      </c>
      <c r="O611">
        <f t="shared" si="63"/>
        <v>10</v>
      </c>
      <c r="P611" s="1" t="str">
        <f ca="1">IF(ISERROR(F597),"",IF(ISTEXT(VLOOKUP(B597,INDIRECT($F$8),6+(O611-1)*3)),(VLOOKUP(B597,INDIRECT($F$8),6+(O611-1)*3)),SUM(VLOOKUP(B597,INDIRECT($F$8),6+(O611-1)*3),IF(W612,W611,0))))</f>
        <v/>
      </c>
      <c r="Q611" s="1" t="str">
        <f ca="1">IF(ISERROR(F597),"",VLOOKUP(B597,INDIRECT($F$8),7+(O611-1)*3))</f>
        <v/>
      </c>
      <c r="R611" s="1" t="str">
        <f ca="1">IF(ISERROR(F597),"",SUM(P611:Q611))</f>
        <v/>
      </c>
      <c r="S611" s="1" t="str">
        <f ca="1">IF(ISERROR(F597),"",VLOOKUP(A597,INDIRECT($F$8),6+(O611-1)*3))</f>
        <v/>
      </c>
      <c r="T611" s="1" t="str">
        <f ca="1">IF(ISERROR(F597),"",VLOOKUP(A597,INDIRECT($F$8),7+(O611-1)*3))</f>
        <v/>
      </c>
      <c r="U611" s="1" t="str">
        <f ca="1">IF(ISERROR(F597),"",VLOOKUP(A597,INDIRECT($F$8),8+(O611-1)*3))</f>
        <v/>
      </c>
      <c r="V611" s="1" t="str">
        <f ca="1">IF(ISERROR(F597),"",IF(N611=0,A611,""))</f>
        <v/>
      </c>
      <c r="W611" s="1" t="str">
        <f ca="1">IF(ISERROR(F597),"",IF(ISTEXT(VLOOKUP(B597,INDIRECT($F$8),6+(O611-1)*3)),11,IF(VLOOKUP(B597,INDIRECT($F$8),6+(O611-1)*3)&lt;S611*0.3,IF(VLOOKUP(B597,INDIRECT($F$8),8+(O611-1)*3)&lt;U611*0.4,IF(AND(0.4*U611-VLOOKUP(B597,INDIRECT($F$8),8+(O611-1)*3)&lt;=5,0.3*S611-VLOOKUP(B597,INDIRECT($F$8),6+(O611-1)*3)&lt;=5),MAX(0.4*U611-VLOOKUP(B597,INDIRECT($F$8),8+(O611-1)*3),0.3*S611-VLOOKUP(B597,INDIRECT($F$8),6+(O611-1)*3)),11),IF(0.3*S611-VLOOKUP(B597,INDIRECT($F$8),6+(O611-1)*3)&lt;=5,0.3*S611-VLOOKUP(B597,INDIRECT($F$8),6+(O611-1)*3),11)),IF(VLOOKUP(B597,INDIRECT($F$8),8+(O611-1)*3)&lt;U611*0.4,IF(U611*0.4-VLOOKUP(B597,INDIRECT($F$8),8+(O611-1)*3)&lt;=5,U611*0.4-VLOOKUP(B597,INDIRECT($F$8),8+(O611-1)*3),11),0))))</f>
        <v/>
      </c>
      <c r="X611" s="1" t="str">
        <f ca="1">IF(ISERROR(F597),"",IF(W611=0,"",_xlfn.TEXTJOIN("",FALSE," G+",W611," in ",A611)))</f>
        <v/>
      </c>
    </row>
    <row r="612" spans="1:24" ht="13" customHeight="1" x14ac:dyDescent="0.2">
      <c r="A612" s="43" t="str">
        <f ca="1">IF(ISERROR(F597),"",A593)</f>
        <v/>
      </c>
      <c r="B612" s="43"/>
      <c r="C612" s="43"/>
      <c r="D612" s="43"/>
      <c r="E612" s="43"/>
      <c r="F612" s="10" t="str">
        <f ca="1">IF(ISERROR(F597),"",SUM(F602:F611))</f>
        <v/>
      </c>
      <c r="G612" s="44" t="str">
        <f ca="1">IF(ISERROR(F597),"",_xlfn.TEXTJOIN("/",TRUE,SUMIF(F602:F611,"&gt;0",P602:P611),SUMIF(F602:F611,"&gt;0",S602:S611)))</f>
        <v/>
      </c>
      <c r="H612" s="44"/>
      <c r="I612" s="44" t="str">
        <f ca="1">IF(ISERROR(F597),"",_xlfn.TEXTJOIN("/",TRUE,SUMIF(F602:F611,"&gt;0",Q602:Q611),SUMIF(F602:F611,"&gt;0",T602:T611)))</f>
        <v/>
      </c>
      <c r="J612" s="44"/>
      <c r="K612" s="44" t="str">
        <f ca="1">IF(ISERROR(F597),"",_xlfn.TEXTJOIN("/",TRUE,SUMIF(F602:F611,"&gt;0",R602:R611),SUMIF(F602:F611,"&gt;0",U602:U611)))</f>
        <v/>
      </c>
      <c r="L612" s="44"/>
      <c r="M612" s="43" t="str">
        <f ca="1">IF(ISERROR(F597),"",SUMPRODUCT(N602:N611,F602:F611))</f>
        <v/>
      </c>
      <c r="N612" s="43"/>
      <c r="V612" s="1" t="str">
        <f ca="1">IF(ISERROR(F597),"",_xlfn.TEXTJOIN(", ",TRUE,V602:V611))</f>
        <v/>
      </c>
      <c r="W612" t="str">
        <f ca="1">IF(ISERROR(F597),"",IF(SUM(W602:W611)&lt;=W601,TRUE,FALSE))</f>
        <v/>
      </c>
      <c r="X612" s="1" t="str">
        <f ca="1">IF(ISERROR(F597),"",_xlfn.TEXTJOIN(",",TRUE,X602:X611))</f>
        <v/>
      </c>
    </row>
    <row r="613" spans="1:24" ht="13" customHeight="1" x14ac:dyDescent="0.2">
      <c r="A613" s="43" t="str">
        <f ca="1">IF(ISERROR(F597),"",A594)</f>
        <v/>
      </c>
      <c r="B613" s="45" t="str">
        <f ca="1">IF(ISERROR(F597),"",IF(V612="","PASS","CARRY OVER"))</f>
        <v/>
      </c>
      <c r="C613" s="45"/>
      <c r="D613" s="43" t="str">
        <f ca="1">IF(ISERROR(F597),"",D594)</f>
        <v/>
      </c>
      <c r="E613" s="45" t="str">
        <f ca="1">IF(ISERROR(F597),"",IF(V612="",IF(X612="","",X612),_xlfn.TEXTJOIN(" ",TRUE,"BACK IN",V612)))</f>
        <v/>
      </c>
      <c r="F613" s="45"/>
      <c r="G613" s="43" t="str">
        <f ca="1">IF(ISERROR(F597),"",G594)</f>
        <v/>
      </c>
      <c r="H613" s="46" t="str">
        <f ca="1">IF(ISERROR(F597),"",M612/F612)</f>
        <v/>
      </c>
      <c r="I613" s="43" t="str">
        <f ca="1">IF(ISERROR(F597),"",I594)</f>
        <v/>
      </c>
      <c r="J613" s="46" t="str">
        <f ca="1">IF(ISERROR(F597),"",VLOOKUP(B597,INDIRECT($F$8),12+(O611-1)*3,0))</f>
        <v/>
      </c>
      <c r="K613" s="45" t="str">
        <f ca="1">IF(ISERROR(F597),"",K594)</f>
        <v/>
      </c>
      <c r="L613" s="43" t="str">
        <f ca="1">IF(ISERROR(F597),"",SUMIF(N602:N611,"&gt;0",F602:F611))</f>
        <v/>
      </c>
      <c r="M613" s="45" t="str">
        <f ca="1">IF(ISERROR(F597),"",M594)</f>
        <v/>
      </c>
      <c r="N613" s="43" t="str">
        <f ca="1">IF(ISERROR(F597),"",VLOOKUP(B597,INDIRECT($F$8),10+(O611-1)*3,0))</f>
        <v/>
      </c>
    </row>
    <row r="614" spans="1:24" ht="13" customHeight="1" x14ac:dyDescent="0.2">
      <c r="A614" s="43"/>
      <c r="B614" s="45"/>
      <c r="C614" s="45"/>
      <c r="D614" s="43"/>
      <c r="E614" s="45"/>
      <c r="F614" s="45"/>
      <c r="G614" s="43"/>
      <c r="H614" s="46"/>
      <c r="I614" s="43"/>
      <c r="J614" s="46"/>
      <c r="K614" s="45"/>
      <c r="L614" s="43"/>
      <c r="M614" s="45"/>
      <c r="N614" s="43"/>
    </row>
    <row r="615" spans="1:24" ht="13" customHeight="1" x14ac:dyDescent="0.2">
      <c r="A615" s="43"/>
      <c r="B615" s="45"/>
      <c r="C615" s="45"/>
      <c r="D615" s="43"/>
      <c r="E615" s="45"/>
      <c r="F615" s="45"/>
      <c r="G615" s="43"/>
      <c r="H615" s="46"/>
      <c r="I615" s="43"/>
      <c r="J615" s="46"/>
      <c r="K615" s="45"/>
      <c r="L615" s="43"/>
      <c r="M615" s="45"/>
      <c r="N615" s="43"/>
    </row>
    <row r="616" spans="1:24" ht="13" customHeight="1" x14ac:dyDescent="0.2">
      <c r="A616" s="11" t="str">
        <f>A597</f>
        <v>MM</v>
      </c>
      <c r="B616" s="11">
        <f>B597+1</f>
        <v>33</v>
      </c>
      <c r="C616" s="11" t="str">
        <f>C597</f>
        <v>SC</v>
      </c>
      <c r="D616" s="11" t="str">
        <f>D597</f>
        <v>SN</v>
      </c>
      <c r="E616" s="11" t="str">
        <f>E597</f>
        <v>C</v>
      </c>
      <c r="F616" s="11" t="e">
        <f ca="1">VLOOKUP(B616,INDIRECT($F$8),4,0)</f>
        <v>#N/A</v>
      </c>
    </row>
    <row r="617" spans="1:24" ht="13" customHeight="1" x14ac:dyDescent="0.2">
      <c r="A617" s="47" t="str">
        <f ca="1">IF(ISERROR(F616),"",A598)</f>
        <v/>
      </c>
      <c r="B617" s="47" t="str">
        <f ca="1">IFERROR(VLOOKUP(B616,INDIRECT($F$8),4,0),"")</f>
        <v/>
      </c>
      <c r="C617" s="47"/>
      <c r="D617" s="47" t="str">
        <f ca="1">IF(ISERROR(F616),"",D598)</f>
        <v/>
      </c>
      <c r="E617" s="47" t="str">
        <f ca="1">IFERROR(VLOOKUP(B616,INDIRECT($F$8),5,0),"")</f>
        <v/>
      </c>
      <c r="F617" s="47"/>
      <c r="G617" s="47" t="str">
        <f ca="1">IF(ISERROR(F616),"",G598)</f>
        <v/>
      </c>
      <c r="H617" s="47"/>
      <c r="I617" s="48" t="str">
        <f ca="1">IFERROR(VLOOKUP(B616,INDIRECT($F$8),2,0),"")</f>
        <v/>
      </c>
      <c r="J617" s="48"/>
      <c r="K617" s="47" t="str">
        <f ca="1">IF(ISERROR(F616),"",K598)</f>
        <v/>
      </c>
      <c r="L617" s="47"/>
      <c r="M617" s="48" t="str">
        <f ca="1">IFERROR(VLOOKUP(B616,INDIRECT($F$8),3,0),"")</f>
        <v/>
      </c>
      <c r="N617" s="48"/>
    </row>
    <row r="618" spans="1:24" ht="13" customHeight="1" x14ac:dyDescent="0.2">
      <c r="A618" s="47"/>
      <c r="B618" s="47"/>
      <c r="C618" s="47"/>
      <c r="D618" s="47"/>
      <c r="E618" s="47"/>
      <c r="F618" s="47"/>
      <c r="G618" s="47"/>
      <c r="H618" s="47"/>
      <c r="I618" s="48"/>
      <c r="J618" s="48"/>
      <c r="K618" s="47"/>
      <c r="L618" s="47"/>
      <c r="M618" s="48"/>
      <c r="N618" s="48"/>
    </row>
    <row r="619" spans="1:24" ht="13" customHeight="1" x14ac:dyDescent="0.2">
      <c r="A619" s="45" t="str">
        <f ca="1">IF(ISERROR(F616),"",A600)</f>
        <v/>
      </c>
      <c r="B619" s="45" t="str">
        <f ca="1">IF(ISERROR(F616),"",B600)</f>
        <v/>
      </c>
      <c r="C619" s="45"/>
      <c r="D619" s="45"/>
      <c r="E619" s="45"/>
      <c r="F619" s="45" t="str">
        <f ca="1">IF(ISERROR(F616),"",F600)</f>
        <v/>
      </c>
      <c r="G619" s="45" t="str">
        <f ca="1">IF(ISERROR(F616),"",G600)</f>
        <v/>
      </c>
      <c r="H619" s="45"/>
      <c r="I619" s="45" t="str">
        <f ca="1">IF(ISERROR(F616),"",I600)</f>
        <v/>
      </c>
      <c r="J619" s="45"/>
      <c r="K619" s="45" t="str">
        <f ca="1">IF(ISERROR(F616),"",K600)</f>
        <v/>
      </c>
      <c r="L619" s="45"/>
      <c r="M619" s="45" t="str">
        <f ca="1">IF(ISERROR(F616),"",M600)</f>
        <v/>
      </c>
      <c r="N619" s="45" t="str">
        <f ca="1">IF(ISERROR(F616),"",N600)</f>
        <v/>
      </c>
    </row>
    <row r="620" spans="1:24" ht="13" customHeight="1" x14ac:dyDescent="0.2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W620" t="e">
        <f ca="1">IF(ISNUMBER(MATCH($F$8,{"I","III","V","VII"},0)),10,10-INDEX(INDIRECT(_xlfn.TEXTJOIN("",TRUE,"SEM_",$G$8,"!",ADDRESS(6,4+$I$8*3+4),":",ADDRESS(5+$H$8,4+$I$8*3+4))),MATCH(INDIRECT(_xlfn.TEXTJOIN("",TRUE,"TC_",$F$8,"!",ADDRESS(ROW(I617),COLUMN(I617)))),INDIRECT(_xlfn.TEXTJOIN("",TRUE,"SEM_",$G$8,"!",ADDRESS(6,2),":",ADDRESS(5+$H$8,2))))))</f>
        <v>#N/A</v>
      </c>
    </row>
    <row r="621" spans="1:24" ht="13" customHeight="1" x14ac:dyDescent="0.2">
      <c r="A621" s="7" t="str">
        <f ca="1">IF(ISERROR(F616),"",VLOOKUP(C616,INDIRECT($F$8),6+(O621-1)*3,0))</f>
        <v/>
      </c>
      <c r="B621" s="41" t="str">
        <f ca="1">IF(ISERROR(F616),"",VLOOKUP(D616,INDIRECT($F$8),6+(O621-1)*3,0))</f>
        <v/>
      </c>
      <c r="C621" s="41"/>
      <c r="D621" s="41"/>
      <c r="E621" s="41"/>
      <c r="F621" s="7" t="str">
        <f ca="1">IF(ISERROR(F616),"",VLOOKUP(E616,INDIRECT($F$8),6+(O621-1)*3,0))</f>
        <v/>
      </c>
      <c r="G621" s="42" t="str">
        <f ca="1">IF(ISERROR(F616),"",_xlfn.TEXTJOIN("/",FALSE,P621,S621))</f>
        <v/>
      </c>
      <c r="H621" s="42"/>
      <c r="I621" s="42" t="str">
        <f ca="1">IF(ISERROR(F616),"",_xlfn.TEXTJOIN("/",FALSE,Q621,T621))</f>
        <v/>
      </c>
      <c r="J621" s="42"/>
      <c r="K621" s="42" t="str">
        <f ca="1">IF(ISERROR(F616),"",_xlfn.TEXTJOIN("/",FALSE,R621,U621))</f>
        <v/>
      </c>
      <c r="L621" s="42"/>
      <c r="M621" s="7" t="str">
        <f ca="1">IF(ISERROR(F616),"",IF(ISTEXT(P621),IF(P621="A","Ab",IF(P621="D","Dt",IF(P621="UFM","UFM",IF(P621="NA","")))),IF(AND(ISBLANK(P621),ISBLANK(R621)),"",IF(P621&lt;0.3*S621,"F",IF(ISBLANK(R621),"",IF(ISTEXT(R621),R621,IF(R621&gt;=0.9*U621,"O",IF(R621&gt;=0.85*U621,"A+",IF(R621&gt;=0.8*U621,"A",IF(R621&gt;=0.7*U621,"B+",IF(R621&gt;=0.6*U621,"B",IF(R621&gt;=0.5*U621,"C",IF(R621&gt;=0.4*U621,"P",IF(R621&lt;0.4*U621,"F",R621))))))))))))))</f>
        <v/>
      </c>
      <c r="N621" s="8" t="str">
        <f t="shared" ref="N621:N630" ca="1" si="64">INDEX($Z$2:$Z$13,MATCH(M621,$Y$2:$Y$13,0))</f>
        <v/>
      </c>
      <c r="O621">
        <v>1</v>
      </c>
      <c r="P621" s="1" t="str">
        <f ca="1">IF(ISERROR(F616),"",IF(ISTEXT(VLOOKUP(B616,INDIRECT($F$8),6+(O621-1)*3)),(VLOOKUP(B616,INDIRECT($F$8),6+(O621-1)*3)),SUM(VLOOKUP(B616,INDIRECT($F$8),6+(O621-1)*3),IF(W631,W621,0))))</f>
        <v/>
      </c>
      <c r="Q621" s="1" t="str">
        <f ca="1">IF(ISERROR(F616),"",VLOOKUP(B616,INDIRECT($F$8),7+(O621-1)*3))</f>
        <v/>
      </c>
      <c r="R621" s="1" t="str">
        <f ca="1">IF(ISERROR(F616),"",SUM(P621:Q621))</f>
        <v/>
      </c>
      <c r="S621" s="1" t="str">
        <f ca="1">IF(ISERROR(F616),"",VLOOKUP(A616,INDIRECT($F$8),6+(O621-1)*3))</f>
        <v/>
      </c>
      <c r="T621" s="1" t="str">
        <f ca="1">IF(ISERROR(F616),"",VLOOKUP(A616,INDIRECT($F$8),7+(O621-1)*3))</f>
        <v/>
      </c>
      <c r="U621" s="1" t="str">
        <f ca="1">IF(ISERROR(F616),"",VLOOKUP(A616,INDIRECT($F$8),8+(O621-1)*3))</f>
        <v/>
      </c>
      <c r="V621" s="1" t="str">
        <f ca="1">IF(ISERROR(F616),"",IF(N621=0,A621,""))</f>
        <v/>
      </c>
      <c r="W621" s="1" t="str">
        <f ca="1">IF(ISERROR(F616),"",IF(ISTEXT(VLOOKUP(B616,INDIRECT($F$8),6+(O621-1)*3)),11,IF(VLOOKUP(B616,INDIRECT($F$8),6+(O621-1)*3)&lt;S621*0.3,IF(VLOOKUP(B616,INDIRECT($F$8),8+(O621-1)*3)&lt;U621*0.4,IF(AND(0.4*U621-VLOOKUP(B616,INDIRECT($F$8),8+(O621-1)*3)&lt;=5,0.3*S621-VLOOKUP(B616,INDIRECT($F$8),6+(O621-1)*3)&lt;=5),MAX(0.4*U621-VLOOKUP(B616,INDIRECT($F$8),8+(O621-1)*3),0.3*S621-VLOOKUP(B616,INDIRECT($F$8),6+(O621-1)*3)),11),IF(0.3*S621-VLOOKUP(B616,INDIRECT($F$8),6+(O621-1)*3)&lt;=5,0.3*S621-VLOOKUP(B616,INDIRECT($F$8),6+(O621-1)*3),11)),IF(VLOOKUP(B616,INDIRECT($F$8),8+(O621-1)*3)&lt;U621*0.4,IF(U621*0.4-VLOOKUP(B616,INDIRECT($F$8),8+(O621-1)*3)&lt;=5,U621*0.4-VLOOKUP(B616,INDIRECT($F$8),8+(O621-1)*3),11),0))))</f>
        <v/>
      </c>
      <c r="X621" s="1" t="str">
        <f ca="1">IF(ISERROR(F616),"",IF(W621=0,"",_xlfn.TEXTJOIN("",FALSE," G+",W621," in ",A621)))</f>
        <v/>
      </c>
    </row>
    <row r="622" spans="1:24" ht="13" customHeight="1" x14ac:dyDescent="0.2">
      <c r="A622" s="7" t="str">
        <f ca="1">IF(ISERROR(F616),"",VLOOKUP(C616,INDIRECT($F$8),6+(O622-1)*3,0))</f>
        <v/>
      </c>
      <c r="B622" s="41" t="str">
        <f ca="1">IF(ISERROR(F616),"",VLOOKUP(D616,INDIRECT($F$8),6+(O622-1)*3,0))</f>
        <v/>
      </c>
      <c r="C622" s="41"/>
      <c r="D622" s="41"/>
      <c r="E622" s="41"/>
      <c r="F622" s="7" t="str">
        <f ca="1">IF(ISERROR(F616),"",VLOOKUP(E616,INDIRECT($F$8),6+(O622-1)*3,0))</f>
        <v/>
      </c>
      <c r="G622" s="42" t="str">
        <f ca="1">IF(ISERROR(F616),"",_xlfn.TEXTJOIN("/",FALSE,P622,S622))</f>
        <v/>
      </c>
      <c r="H622" s="42"/>
      <c r="I622" s="42" t="str">
        <f ca="1">IF(ISERROR(F616),"",_xlfn.TEXTJOIN("/",FALSE,Q622,T622))</f>
        <v/>
      </c>
      <c r="J622" s="42"/>
      <c r="K622" s="42" t="str">
        <f ca="1">IF(ISERROR(F616),"",_xlfn.TEXTJOIN("/",FALSE,R622,U622))</f>
        <v/>
      </c>
      <c r="L622" s="42"/>
      <c r="M622" s="7" t="str">
        <f ca="1">IF(ISERROR(F616),"",IF(ISTEXT(P622),IF(P622="A","Ab",IF(P622="D","Dt",IF(P622="UFM","UFM",IF(P622="NA","")))),IF(AND(ISBLANK(P622),ISBLANK(R622)),"",IF(P622&lt;0.3*S622,"F",IF(ISBLANK(R622),"",IF(ISTEXT(R622),R622,IF(R622&gt;=0.9*U622,"O",IF(R622&gt;=0.85*U622,"A+",IF(R622&gt;=0.8*U622,"A",IF(R622&gt;=0.7*U622,"B+",IF(R622&gt;=0.6*U622,"B",IF(R622&gt;=0.5*U622,"C",IF(R622&gt;=0.4*U622,"P",IF(R622&lt;0.4*U622,"F",R622))))))))))))))</f>
        <v/>
      </c>
      <c r="N622" s="8" t="str">
        <f t="shared" ca="1" si="64"/>
        <v/>
      </c>
      <c r="O622">
        <f>O621+1</f>
        <v>2</v>
      </c>
      <c r="P622" s="1" t="str">
        <f ca="1">IF(ISERROR(F616),"",IF(ISTEXT(VLOOKUP(B616,INDIRECT($F$8),6+(O622-1)*3)),(VLOOKUP(B616,INDIRECT($F$8),6+(O622-1)*3)),SUM(VLOOKUP(B616,INDIRECT($F$8),6+(O622-1)*3),IF(W631,W622,0))))</f>
        <v/>
      </c>
      <c r="Q622" s="1" t="str">
        <f ca="1">IF(ISERROR(F616),"",VLOOKUP(B616,INDIRECT($F$8),7+(O622-1)*3))</f>
        <v/>
      </c>
      <c r="R622" s="1" t="str">
        <f ca="1">IF(ISERROR(F616),"",SUM(P622:Q622))</f>
        <v/>
      </c>
      <c r="S622" s="1" t="str">
        <f ca="1">IF(ISERROR(F616),"",VLOOKUP(A616,INDIRECT($F$8),6+(O622-1)*3))</f>
        <v/>
      </c>
      <c r="T622" s="1" t="str">
        <f ca="1">IF(ISERROR(F616),"",VLOOKUP(A616,INDIRECT($F$8),7+(O622-1)*3))</f>
        <v/>
      </c>
      <c r="U622" s="1" t="str">
        <f ca="1">IF(ISERROR(F616),"",VLOOKUP(A616,INDIRECT($F$8),8+(O622-1)*3))</f>
        <v/>
      </c>
      <c r="V622" s="1" t="str">
        <f ca="1">IF(ISERROR(F616),"",IF(N622=0,A622,""))</f>
        <v/>
      </c>
      <c r="W622" s="1" t="str">
        <f ca="1">IF(ISERROR(F616),"",IF(ISTEXT(VLOOKUP(B616,INDIRECT($F$8),6+(O622-1)*3)),11,IF(VLOOKUP(B616,INDIRECT($F$8),6+(O622-1)*3)&lt;S622*0.3,IF(VLOOKUP(B616,INDIRECT($F$8),8+(O622-1)*3)&lt;U622*0.4,IF(AND(0.4*U622-VLOOKUP(B616,INDIRECT($F$8),8+(O622-1)*3)&lt;=5,0.3*S622-VLOOKUP(B616,INDIRECT($F$8),6+(O622-1)*3)&lt;=5),MAX(0.4*U622-VLOOKUP(B616,INDIRECT($F$8),8+(O622-1)*3),0.3*S622-VLOOKUP(B616,INDIRECT($F$8),6+(O622-1)*3)),11),IF(0.3*S622-VLOOKUP(B616,INDIRECT($F$8),6+(O622-1)*3)&lt;=5,0.3*S622-VLOOKUP(B616,INDIRECT($F$8),6+(O622-1)*3),11)),IF(VLOOKUP(B616,INDIRECT($F$8),8+(O622-1)*3)&lt;U622*0.4,IF(U622*0.4-VLOOKUP(B616,INDIRECT($F$8),8+(O622-1)*3)&lt;=5,U622*0.4-VLOOKUP(B616,INDIRECT($F$8),8+(O622-1)*3),11),0))))</f>
        <v/>
      </c>
      <c r="X622" s="1" t="str">
        <f ca="1">IF(ISERROR(F616),"",IF(W622=0,"",_xlfn.TEXTJOIN("",FALSE," G+",W622," in ",A622)))</f>
        <v/>
      </c>
    </row>
    <row r="623" spans="1:24" ht="13" customHeight="1" x14ac:dyDescent="0.2">
      <c r="A623" s="7" t="str">
        <f ca="1">IF(ISERROR(F616),"",VLOOKUP(C616,INDIRECT($F$8),6+(O623-1)*3,0))</f>
        <v/>
      </c>
      <c r="B623" s="41" t="str">
        <f ca="1">IF(ISERROR(F616),"",VLOOKUP(D616,INDIRECT($F$8),6+(O623-1)*3,0))</f>
        <v/>
      </c>
      <c r="C623" s="41"/>
      <c r="D623" s="41"/>
      <c r="E623" s="41"/>
      <c r="F623" s="7" t="str">
        <f ca="1">IF(ISERROR(F616),"",VLOOKUP(E616,INDIRECT($F$8),6+(O623-1)*3,0))</f>
        <v/>
      </c>
      <c r="G623" s="42" t="str">
        <f ca="1">IF(ISERROR(F616),"",_xlfn.TEXTJOIN("/",FALSE,P623,S623))</f>
        <v/>
      </c>
      <c r="H623" s="42"/>
      <c r="I623" s="42" t="str">
        <f ca="1">IF(ISERROR(F616),"",_xlfn.TEXTJOIN("/",FALSE,Q623,T623))</f>
        <v/>
      </c>
      <c r="J623" s="42"/>
      <c r="K623" s="42" t="str">
        <f ca="1">IF(ISERROR(F616),"",_xlfn.TEXTJOIN("/",FALSE,R623,U623))</f>
        <v/>
      </c>
      <c r="L623" s="42"/>
      <c r="M623" s="7" t="str">
        <f ca="1">IF(ISERROR(F616),"",IF(ISTEXT(P623),IF(P623="A","Ab",IF(P623="D","Dt",IF(P623="UFM","UFM",IF(P623="NA","")))),IF(AND(ISBLANK(P623),ISBLANK(R623)),"",IF(P623&lt;0.3*S623,"F",IF(ISBLANK(R623),"",IF(ISTEXT(R623),R623,IF(R623&gt;=0.9*U623,"O",IF(R623&gt;=0.85*U623,"A+",IF(R623&gt;=0.8*U623,"A",IF(R623&gt;=0.7*U623,"B+",IF(R623&gt;=0.6*U623,"B",IF(R623&gt;=0.5*U623,"C",IF(R623&gt;=0.4*U623,"P",IF(R623&lt;0.4*U623,"F",R623))))))))))))))</f>
        <v/>
      </c>
      <c r="N623" s="8" t="str">
        <f t="shared" ca="1" si="64"/>
        <v/>
      </c>
      <c r="O623">
        <f>O622+1</f>
        <v>3</v>
      </c>
      <c r="P623" s="1" t="str">
        <f ca="1">IF(ISERROR(F616),"",IF(ISTEXT(VLOOKUP(B616,INDIRECT($F$8),6+(O623-1)*3)),(VLOOKUP(B616,INDIRECT($F$8),6+(O623-1)*3)),SUM(VLOOKUP(B616,INDIRECT($F$8),6+(O623-1)*3),IF(W631,W623,0))))</f>
        <v/>
      </c>
      <c r="Q623" s="1" t="str">
        <f ca="1">IF(ISERROR(F616),"",VLOOKUP(B616,INDIRECT($F$8),7+(O623-1)*3))</f>
        <v/>
      </c>
      <c r="R623" s="1" t="str">
        <f ca="1">IF(ISERROR(F616),"",SUM(P623:Q623))</f>
        <v/>
      </c>
      <c r="S623" s="1" t="str">
        <f ca="1">IF(ISERROR(F616),"",VLOOKUP(A616,INDIRECT($F$8),6+(O623-1)*3))</f>
        <v/>
      </c>
      <c r="T623" s="1" t="str">
        <f ca="1">IF(ISERROR(F616),"",VLOOKUP(A616,INDIRECT($F$8),7+(O623-1)*3))</f>
        <v/>
      </c>
      <c r="U623" s="1" t="str">
        <f ca="1">IF(ISERROR(F616),"",VLOOKUP(A616,INDIRECT($F$8),8+(O623-1)*3))</f>
        <v/>
      </c>
      <c r="V623" s="1" t="str">
        <f ca="1">IF(ISERROR(F616),"",IF(N623=0,A623,""))</f>
        <v/>
      </c>
      <c r="W623" s="1" t="str">
        <f ca="1">IF(ISERROR(F616),"",IF(ISTEXT(VLOOKUP(B616,INDIRECT($F$8),6+(O623-1)*3)),11,IF(VLOOKUP(B616,INDIRECT($F$8),6+(O623-1)*3)&lt;S623*0.3,IF(VLOOKUP(B616,INDIRECT($F$8),8+(O623-1)*3)&lt;U623*0.4,IF(AND(0.4*U623-VLOOKUP(B616,INDIRECT($F$8),8+(O623-1)*3)&lt;=5,0.3*S623-VLOOKUP(B616,INDIRECT($F$8),6+(O623-1)*3)&lt;=5),MAX(0.4*U623-VLOOKUP(B616,INDIRECT($F$8),8+(O623-1)*3),0.3*S623-VLOOKUP(B616,INDIRECT($F$8),6+(O623-1)*3)),11),IF(0.3*S623-VLOOKUP(B616,INDIRECT($F$8),6+(O623-1)*3)&lt;=5,0.3*S623-VLOOKUP(B616,INDIRECT($F$8),6+(O623-1)*3),11)),IF(VLOOKUP(B616,INDIRECT($F$8),8+(O623-1)*3)&lt;U623*0.4,IF(U623*0.4-VLOOKUP(B616,INDIRECT($F$8),8+(O623-1)*3)&lt;=5,U623*0.4-VLOOKUP(B616,INDIRECT($F$8),8+(O623-1)*3),11),0))))</f>
        <v/>
      </c>
      <c r="X623" s="1" t="str">
        <f ca="1">IF(ISERROR(F616),"",IF(W623=0,"",_xlfn.TEXTJOIN("",FALSE," G+",W623," in ",A623)))</f>
        <v/>
      </c>
    </row>
    <row r="624" spans="1:24" ht="13" customHeight="1" x14ac:dyDescent="0.2">
      <c r="A624" s="7" t="str">
        <f ca="1">IF(ISERROR(F616),"",VLOOKUP(C616,INDIRECT($F$8),6+(O624-1)*3,0))</f>
        <v/>
      </c>
      <c r="B624" s="41" t="str">
        <f ca="1">IF(ISERROR(F616),"",VLOOKUP(D616,INDIRECT($F$8),6+(O624-1)*3,0))</f>
        <v/>
      </c>
      <c r="C624" s="41"/>
      <c r="D624" s="41"/>
      <c r="E624" s="41"/>
      <c r="F624" s="7" t="str">
        <f ca="1">IF(ISERROR(F616),"",VLOOKUP(E616,INDIRECT($F$8),6+(O624-1)*3,0))</f>
        <v/>
      </c>
      <c r="G624" s="42" t="str">
        <f ca="1">IF(ISERROR(F616),"",_xlfn.TEXTJOIN("/",FALSE,P624,S624))</f>
        <v/>
      </c>
      <c r="H624" s="42"/>
      <c r="I624" s="42" t="str">
        <f ca="1">IF(ISERROR(F616),"",_xlfn.TEXTJOIN("/",FALSE,Q624,T624))</f>
        <v/>
      </c>
      <c r="J624" s="42"/>
      <c r="K624" s="42" t="str">
        <f ca="1">IF(ISERROR(F616),"",_xlfn.TEXTJOIN("/",FALSE,R624,U624))</f>
        <v/>
      </c>
      <c r="L624" s="42"/>
      <c r="M624" s="7" t="str">
        <f ca="1">IF(ISERROR(F616),"",IF(ISTEXT(P624),IF(P624="A","Ab",IF(P624="D","Dt",IF(P624="UFM","UFM",IF(P624="NA","")))),IF(AND(ISBLANK(P624),ISBLANK(R624)),"",IF(P624&lt;0.3*S624,"F",IF(ISBLANK(R624),"",IF(ISTEXT(R624),R624,IF(R624&gt;=0.9*U624,"O",IF(R624&gt;=0.85*U624,"A+",IF(R624&gt;=0.8*U624,"A",IF(R624&gt;=0.7*U624,"B+",IF(R624&gt;=0.6*U624,"B",IF(R624&gt;=0.5*U624,"C",IF(R624&gt;=0.4*U624,"P",IF(R624&lt;0.4*U624,"F",R624))))))))))))))</f>
        <v/>
      </c>
      <c r="N624" s="8" t="str">
        <f t="shared" ca="1" si="64"/>
        <v/>
      </c>
      <c r="O624">
        <f t="shared" ref="O624:O630" si="65">O623+1</f>
        <v>4</v>
      </c>
      <c r="P624" s="1" t="str">
        <f ca="1">IF(ISERROR(F616),"",IF(ISTEXT(VLOOKUP(B616,INDIRECT($F$8),6+(O624-1)*3)),(VLOOKUP(B616,INDIRECT($F$8),6+(O624-1)*3)),SUM(VLOOKUP(B616,INDIRECT($F$8),6+(O624-1)*3),IF(W631,W624,0))))</f>
        <v/>
      </c>
      <c r="Q624" s="1" t="str">
        <f ca="1">IF(ISERROR(F616),"",VLOOKUP(B616,INDIRECT($F$8),7+(O624-1)*3))</f>
        <v/>
      </c>
      <c r="R624" s="1" t="str">
        <f ca="1">IF(ISERROR(F616),"",SUM(P624:Q624))</f>
        <v/>
      </c>
      <c r="S624" s="1" t="str">
        <f ca="1">IF(ISERROR(F616),"",VLOOKUP(A616,INDIRECT($F$8),6+(O624-1)*3))</f>
        <v/>
      </c>
      <c r="T624" s="1" t="str">
        <f ca="1">IF(ISERROR(F616),"",VLOOKUP(A616,INDIRECT($F$8),7+(O624-1)*3))</f>
        <v/>
      </c>
      <c r="U624" s="1" t="str">
        <f ca="1">IF(ISERROR(F616),"",VLOOKUP(A616,INDIRECT($F$8),8+(O624-1)*3))</f>
        <v/>
      </c>
      <c r="V624" s="1" t="str">
        <f ca="1">IF(ISERROR(F616),"",IF(N624=0,A624,""))</f>
        <v/>
      </c>
      <c r="W624" s="1" t="str">
        <f ca="1">IF(ISERROR(F616),"",IF(ISTEXT(VLOOKUP(B616,INDIRECT($F$8),6+(O624-1)*3)),11,IF(VLOOKUP(B616,INDIRECT($F$8),6+(O624-1)*3)&lt;S624*0.3,IF(VLOOKUP(B616,INDIRECT($F$8),8+(O624-1)*3)&lt;U624*0.4,IF(AND(0.4*U624-VLOOKUP(B616,INDIRECT($F$8),8+(O624-1)*3)&lt;=5,0.3*S624-VLOOKUP(B616,INDIRECT($F$8),6+(O624-1)*3)&lt;=5),MAX(0.4*U624-VLOOKUP(B616,INDIRECT($F$8),8+(O624-1)*3),0.3*S624-VLOOKUP(B616,INDIRECT($F$8),6+(O624-1)*3)),11),IF(0.3*S624-VLOOKUP(B616,INDIRECT($F$8),6+(O624-1)*3)&lt;=5,0.3*S624-VLOOKUP(B616,INDIRECT($F$8),6+(O624-1)*3),11)),IF(VLOOKUP(B616,INDIRECT($F$8),8+(O624-1)*3)&lt;U624*0.4,IF(U624*0.4-VLOOKUP(B616,INDIRECT($F$8),8+(O624-1)*3)&lt;=5,U624*0.4-VLOOKUP(B616,INDIRECT($F$8),8+(O624-1)*3),11),0))))</f>
        <v/>
      </c>
      <c r="X624" s="1" t="str">
        <f ca="1">IF(ISERROR(F616),"",IF(W624=0,"",_xlfn.TEXTJOIN("",FALSE," G+",W624," in ",A624)))</f>
        <v/>
      </c>
    </row>
    <row r="625" spans="1:24" ht="13" customHeight="1" x14ac:dyDescent="0.2">
      <c r="A625" s="7" t="str">
        <f ca="1">IF(ISERROR(F616),"",VLOOKUP(C616,INDIRECT($F$8),6+(O625-1)*3,0))</f>
        <v/>
      </c>
      <c r="B625" s="41" t="str">
        <f ca="1">IF(ISERROR(F616),"",VLOOKUP(D616,INDIRECT($F$8),6+(O625-1)*3,0))</f>
        <v/>
      </c>
      <c r="C625" s="41"/>
      <c r="D625" s="41"/>
      <c r="E625" s="41"/>
      <c r="F625" s="7" t="str">
        <f ca="1">IF(ISERROR(F616),"",VLOOKUP(E616,INDIRECT($F$8),6+(O625-1)*3,0))</f>
        <v/>
      </c>
      <c r="G625" s="42" t="str">
        <f ca="1">IF(ISERROR(F616),"",_xlfn.TEXTJOIN("/",FALSE,P625,S625))</f>
        <v/>
      </c>
      <c r="H625" s="42"/>
      <c r="I625" s="42" t="str">
        <f ca="1">IF(ISERROR(F616),"",_xlfn.TEXTJOIN("/",FALSE,Q625,T625))</f>
        <v/>
      </c>
      <c r="J625" s="42"/>
      <c r="K625" s="42" t="str">
        <f ca="1">IF(ISERROR(F616),"",_xlfn.TEXTJOIN("/",FALSE,R625,U625))</f>
        <v/>
      </c>
      <c r="L625" s="42"/>
      <c r="M625" s="7" t="str">
        <f ca="1">IF(ISERROR(F616),"",IF(ISTEXT(P625),IF(P625="A","Ab",IF(P625="D","Dt",IF(P625="UFM","UFM",IF(P625="NA","")))),IF(AND(ISBLANK(P625),ISBLANK(R625)),"",IF(P625&lt;0.3*S625,"F",IF(ISBLANK(R625),"",IF(ISTEXT(R625),R625,IF(R625&gt;=0.9*U625,"O",IF(R625&gt;=0.85*U625,"A+",IF(R625&gt;=0.8*U625,"A",IF(R625&gt;=0.7*U625,"B+",IF(R625&gt;=0.6*U625,"B",IF(R625&gt;=0.5*U625,"C",IF(R625&gt;=0.4*U625,"P",IF(R625&lt;0.4*U625,"F",R625))))))))))))))</f>
        <v/>
      </c>
      <c r="N625" s="8" t="str">
        <f t="shared" ca="1" si="64"/>
        <v/>
      </c>
      <c r="O625">
        <f t="shared" si="65"/>
        <v>5</v>
      </c>
      <c r="P625" s="1" t="str">
        <f ca="1">IF(ISERROR(F616),"",IF(ISTEXT(VLOOKUP(B616,INDIRECT($F$8),6+(O625-1)*3)),(VLOOKUP(B616,INDIRECT($F$8),6+(O625-1)*3)),SUM(VLOOKUP(B616,INDIRECT($F$8),6+(O625-1)*3),IF(W631,W625,0))))</f>
        <v/>
      </c>
      <c r="Q625" s="1" t="str">
        <f ca="1">IF(ISERROR(F616),"",VLOOKUP(B616,INDIRECT($F$8),7+(O625-1)*3))</f>
        <v/>
      </c>
      <c r="R625" s="1" t="str">
        <f ca="1">IF(ISERROR(F616),"",SUM(P625:Q625))</f>
        <v/>
      </c>
      <c r="S625" s="1" t="str">
        <f ca="1">IF(ISERROR(F616),"",VLOOKUP(A616,INDIRECT($F$8),6+(O625-1)*3))</f>
        <v/>
      </c>
      <c r="T625" s="1" t="str">
        <f ca="1">IF(ISERROR(F616),"",VLOOKUP(A616,INDIRECT($F$8),7+(O625-1)*3))</f>
        <v/>
      </c>
      <c r="U625" s="1" t="str">
        <f ca="1">IF(ISERROR(F616),"",VLOOKUP(A616,INDIRECT($F$8),8+(O625-1)*3))</f>
        <v/>
      </c>
      <c r="V625" s="1" t="str">
        <f ca="1">IF(ISERROR(F616),"",IF(N625=0,A625,""))</f>
        <v/>
      </c>
      <c r="W625" s="1" t="str">
        <f ca="1">IF(ISERROR(F616),"",IF(ISTEXT(VLOOKUP(B616,INDIRECT($F$8),6+(O625-1)*3)),11,IF(VLOOKUP(B616,INDIRECT($F$8),6+(O625-1)*3)&lt;S625*0.3,IF(VLOOKUP(B616,INDIRECT($F$8),8+(O625-1)*3)&lt;U625*0.4,IF(AND(0.4*U625-VLOOKUP(B616,INDIRECT($F$8),8+(O625-1)*3)&lt;=5,0.3*S625-VLOOKUP(B616,INDIRECT($F$8),6+(O625-1)*3)&lt;=5),MAX(0.4*U625-VLOOKUP(B616,INDIRECT($F$8),8+(O625-1)*3),0.3*S625-VLOOKUP(B616,INDIRECT($F$8),6+(O625-1)*3)),11),IF(0.3*S625-VLOOKUP(B616,INDIRECT($F$8),6+(O625-1)*3)&lt;=5,0.3*S625-VLOOKUP(B616,INDIRECT($F$8),6+(O625-1)*3),11)),IF(VLOOKUP(B616,INDIRECT($F$8),8+(O625-1)*3)&lt;U625*0.4,IF(U625*0.4-VLOOKUP(B616,INDIRECT($F$8),8+(O625-1)*3)&lt;=5,U625*0.4-VLOOKUP(B616,INDIRECT($F$8),8+(O625-1)*3),11),0))))</f>
        <v/>
      </c>
      <c r="X625" s="1" t="str">
        <f ca="1">IF(ISERROR(F616),"",IF(W625=0,"",_xlfn.TEXTJOIN("",FALSE," G+",W625," in ",A625)))</f>
        <v/>
      </c>
    </row>
    <row r="626" spans="1:24" ht="13" customHeight="1" x14ac:dyDescent="0.2">
      <c r="A626" s="7" t="str">
        <f ca="1">IF(ISERROR(F616),"",VLOOKUP(C616,INDIRECT($F$8),6+(O626-1)*3,0))</f>
        <v/>
      </c>
      <c r="B626" s="41" t="str">
        <f ca="1">IF(ISERROR(F616),"",VLOOKUP(D616,INDIRECT($F$8),6+(O626-1)*3,0))</f>
        <v/>
      </c>
      <c r="C626" s="41"/>
      <c r="D626" s="41"/>
      <c r="E626" s="41"/>
      <c r="F626" s="7" t="str">
        <f ca="1">IF(ISERROR(F616),"",VLOOKUP(E616,INDIRECT($F$8),6+(O626-1)*3,0))</f>
        <v/>
      </c>
      <c r="G626" s="42" t="str">
        <f ca="1">IF(ISERROR(F616),"",_xlfn.TEXTJOIN("/",FALSE,P626,S626))</f>
        <v/>
      </c>
      <c r="H626" s="42"/>
      <c r="I626" s="42" t="str">
        <f ca="1">IF(ISERROR(F616),"",_xlfn.TEXTJOIN("/",FALSE,Q626,T626))</f>
        <v/>
      </c>
      <c r="J626" s="42"/>
      <c r="K626" s="42" t="str">
        <f ca="1">IF(ISERROR(F616),"",_xlfn.TEXTJOIN("/",FALSE,R626,U626))</f>
        <v/>
      </c>
      <c r="L626" s="42"/>
      <c r="M626" s="7" t="str">
        <f ca="1">IF(ISERROR(F616),"",IF(ISTEXT(P626),IF(P626="A","Ab",IF(P626="D","Dt",IF(P626="UFM","UFM",IF(P626="NA","")))),IF(AND(ISBLANK(P626),ISBLANK(R626)),"",IF(P626&lt;0.3*S626,"F",IF(ISBLANK(R626),"",IF(ISTEXT(R626),R626,IF(R626&gt;=0.9*U626,"O",IF(R626&gt;=0.85*U626,"A+",IF(R626&gt;=0.8*U626,"A",IF(R626&gt;=0.7*U626,"B+",IF(R626&gt;=0.6*U626,"B",IF(R626&gt;=0.5*U626,"C",IF(R626&gt;=0.4*U626,"P",IF(R626&lt;0.4*U626,"F",R626))))))))))))))</f>
        <v/>
      </c>
      <c r="N626" s="8" t="str">
        <f t="shared" ca="1" si="64"/>
        <v/>
      </c>
      <c r="O626">
        <f t="shared" si="65"/>
        <v>6</v>
      </c>
      <c r="P626" s="1" t="str">
        <f ca="1">IF(ISERROR(F616),"",IF(ISTEXT(VLOOKUP(B616,INDIRECT($F$8),6+(O626-1)*3)),(VLOOKUP(B616,INDIRECT($F$8),6+(O626-1)*3)),SUM(VLOOKUP(B616,INDIRECT($F$8),6+(O626-1)*3),IF(W631,W626,0))))</f>
        <v/>
      </c>
      <c r="Q626" s="1" t="str">
        <f ca="1">IF(ISERROR(F616),"",VLOOKUP(B616,INDIRECT($F$8),7+(O626-1)*3))</f>
        <v/>
      </c>
      <c r="R626" s="1" t="str">
        <f ca="1">IF(ISERROR(F616),"",SUM(P626:Q626))</f>
        <v/>
      </c>
      <c r="S626" s="1" t="str">
        <f ca="1">IF(ISERROR(F616),"",VLOOKUP(A616,INDIRECT($F$8),6+(O626-1)*3))</f>
        <v/>
      </c>
      <c r="T626" s="1" t="str">
        <f ca="1">IF(ISERROR(F616),"",VLOOKUP(A616,INDIRECT($F$8),7+(O626-1)*3))</f>
        <v/>
      </c>
      <c r="U626" s="1" t="str">
        <f ca="1">IF(ISERROR(F616),"",VLOOKUP(A616,INDIRECT($F$8),8+(O626-1)*3))</f>
        <v/>
      </c>
      <c r="V626" s="1" t="str">
        <f ca="1">IF(ISERROR(F616),"",IF(N626=0,A626,""))</f>
        <v/>
      </c>
      <c r="W626" s="1" t="str">
        <f ca="1">IF(ISERROR(F616),"",IF(ISTEXT(VLOOKUP(B616,INDIRECT($F$8),6+(O626-1)*3)),11,IF(VLOOKUP(B616,INDIRECT($F$8),6+(O626-1)*3)&lt;S626*0.3,IF(VLOOKUP(B616,INDIRECT($F$8),8+(O626-1)*3)&lt;U626*0.4,IF(AND(0.4*U626-VLOOKUP(B616,INDIRECT($F$8),8+(O626-1)*3)&lt;=5,0.3*S626-VLOOKUP(B616,INDIRECT($F$8),6+(O626-1)*3)&lt;=5),MAX(0.4*U626-VLOOKUP(B616,INDIRECT($F$8),8+(O626-1)*3),0.3*S626-VLOOKUP(B616,INDIRECT($F$8),6+(O626-1)*3)),11),IF(0.3*S626-VLOOKUP(B616,INDIRECT($F$8),6+(O626-1)*3)&lt;=5,0.3*S626-VLOOKUP(B616,INDIRECT($F$8),6+(O626-1)*3),11)),IF(VLOOKUP(B616,INDIRECT($F$8),8+(O626-1)*3)&lt;U626*0.4,IF(U626*0.4-VLOOKUP(B616,INDIRECT($F$8),8+(O626-1)*3)&lt;=5,U626*0.4-VLOOKUP(B616,INDIRECT($F$8),8+(O626-1)*3),11),0))))</f>
        <v/>
      </c>
      <c r="X626" s="1" t="str">
        <f ca="1">IF(ISERROR(F616),"",IF(W626=0,"",_xlfn.TEXTJOIN("",FALSE," G+",W626," in ",A626)))</f>
        <v/>
      </c>
    </row>
    <row r="627" spans="1:24" ht="13" customHeight="1" x14ac:dyDescent="0.2">
      <c r="A627" s="7" t="str">
        <f ca="1">IF(ISERROR(F616),"",VLOOKUP(C616,INDIRECT($F$8),6+(O627-1)*3,0))</f>
        <v/>
      </c>
      <c r="B627" s="41" t="str">
        <f ca="1">IF(ISERROR(F616),"",VLOOKUP(D616,INDIRECT($F$8),6+(O627-1)*3,0))</f>
        <v/>
      </c>
      <c r="C627" s="41"/>
      <c r="D627" s="41"/>
      <c r="E627" s="41"/>
      <c r="F627" s="7" t="str">
        <f ca="1">IF(ISERROR(F616),"",VLOOKUP(E616,INDIRECT($F$8),6+(O627-1)*3,0))</f>
        <v/>
      </c>
      <c r="G627" s="42" t="str">
        <f ca="1">IF(ISERROR(F616),"",_xlfn.TEXTJOIN("/",FALSE,P627,S627))</f>
        <v/>
      </c>
      <c r="H627" s="42"/>
      <c r="I627" s="42" t="str">
        <f ca="1">IF(ISERROR(F616),"",_xlfn.TEXTJOIN("/",FALSE,Q627,T627))</f>
        <v/>
      </c>
      <c r="J627" s="42"/>
      <c r="K627" s="42" t="str">
        <f ca="1">IF(ISERROR(F616),"",_xlfn.TEXTJOIN("/",FALSE,R627,U627))</f>
        <v/>
      </c>
      <c r="L627" s="42"/>
      <c r="M627" s="7" t="str">
        <f ca="1">IF(ISERROR(F616),"",IF(ISTEXT(P627),IF(P627="A","Ab",IF(P627="D","Dt",IF(P627="UFM","UFM",IF(P627="NA","")))),IF(AND(ISBLANK(P627),ISBLANK(R627)),"",IF(P627&lt;0.3*S627,"F",IF(ISBLANK(R627),"",IF(ISTEXT(R627),R627,IF(R627&gt;=0.9*U627,"O",IF(R627&gt;=0.85*U627,"A+",IF(R627&gt;=0.8*U627,"A",IF(R627&gt;=0.7*U627,"B+",IF(R627&gt;=0.6*U627,"B",IF(R627&gt;=0.5*U627,"C",IF(R627&gt;=0.4*U627,"P",IF(R627&lt;0.4*U627,"F",R627))))))))))))))</f>
        <v/>
      </c>
      <c r="N627" s="8" t="str">
        <f t="shared" ca="1" si="64"/>
        <v/>
      </c>
      <c r="O627">
        <f t="shared" si="65"/>
        <v>7</v>
      </c>
      <c r="P627" s="1" t="str">
        <f ca="1">IF(ISERROR(F616),"",IF(ISTEXT(VLOOKUP(B616,INDIRECT($F$8),6+(O627-1)*3)),(VLOOKUP(B616,INDIRECT($F$8),6+(O627-1)*3)),SUM(VLOOKUP(B616,INDIRECT($F$8),6+(O627-1)*3),IF(W631,W627,0))))</f>
        <v/>
      </c>
      <c r="Q627" s="1" t="str">
        <f ca="1">IF(ISERROR(F616),"",VLOOKUP(B616,INDIRECT($F$8),7+(O627-1)*3))</f>
        <v/>
      </c>
      <c r="R627" s="1" t="str">
        <f ca="1">IF(ISERROR(F616),"",SUM(P627:Q627))</f>
        <v/>
      </c>
      <c r="S627" s="1" t="str">
        <f ca="1">IF(ISERROR(F616),"",VLOOKUP(A616,INDIRECT($F$8),6+(O627-1)*3))</f>
        <v/>
      </c>
      <c r="T627" s="1" t="str">
        <f ca="1">IF(ISERROR(F616),"",VLOOKUP(A616,INDIRECT($F$8),7+(O627-1)*3))</f>
        <v/>
      </c>
      <c r="U627" s="1" t="str">
        <f ca="1">IF(ISERROR(F616),"",VLOOKUP(A616,INDIRECT($F$8),8+(O627-1)*3))</f>
        <v/>
      </c>
      <c r="V627" s="1" t="str">
        <f ca="1">IF(ISERROR(F616),"",IF(N627=0,A627,""))</f>
        <v/>
      </c>
      <c r="W627" s="1" t="str">
        <f ca="1">IF(ISERROR(F616),"",IF(ISTEXT(VLOOKUP(B616,INDIRECT($F$8),6+(O627-1)*3)),11,IF(VLOOKUP(B616,INDIRECT($F$8),6+(O627-1)*3)&lt;S627*0.3,IF(VLOOKUP(B616,INDIRECT($F$8),8+(O627-1)*3)&lt;U627*0.4,IF(AND(0.4*U627-VLOOKUP(B616,INDIRECT($F$8),8+(O627-1)*3)&lt;=5,0.3*S627-VLOOKUP(B616,INDIRECT($F$8),6+(O627-1)*3)&lt;=5),MAX(0.4*U627-VLOOKUP(B616,INDIRECT($F$8),8+(O627-1)*3),0.3*S627-VLOOKUP(B616,INDIRECT($F$8),6+(O627-1)*3)),11),IF(0.3*S627-VLOOKUP(B616,INDIRECT($F$8),6+(O627-1)*3)&lt;=5,0.3*S627-VLOOKUP(B616,INDIRECT($F$8),6+(O627-1)*3),11)),IF(VLOOKUP(B616,INDIRECT($F$8),8+(O627-1)*3)&lt;U627*0.4,IF(U627*0.4-VLOOKUP(B616,INDIRECT($F$8),8+(O627-1)*3)&lt;=5,U627*0.4-VLOOKUP(B616,INDIRECT($F$8),8+(O627-1)*3),11),0))))</f>
        <v/>
      </c>
      <c r="X627" s="1" t="str">
        <f ca="1">IF(ISERROR(F616),"",IF(W627=0,"",_xlfn.TEXTJOIN("",FALSE," G+",W627," in ",A627)))</f>
        <v/>
      </c>
    </row>
    <row r="628" spans="1:24" ht="13" customHeight="1" x14ac:dyDescent="0.2">
      <c r="A628" s="7" t="str">
        <f ca="1">IF(ISERROR(F616),"",VLOOKUP(C616,INDIRECT($F$8),6+(O628-1)*3,0))</f>
        <v/>
      </c>
      <c r="B628" s="41" t="str">
        <f ca="1">IF(ISERROR(F616),"",VLOOKUP(D616,INDIRECT($F$8),6+(O628-1)*3-Z628,0))</f>
        <v/>
      </c>
      <c r="C628" s="41"/>
      <c r="D628" s="41"/>
      <c r="E628" s="41"/>
      <c r="F628" s="7" t="str">
        <f ca="1">IF(ISERROR(F616),"",VLOOKUP(E616,INDIRECT($F$8),6+(O628-1)*3,0))</f>
        <v/>
      </c>
      <c r="G628" s="42" t="str">
        <f ca="1">IF(ISERROR(F616),"",_xlfn.TEXTJOIN("/",FALSE,P628,S628))</f>
        <v/>
      </c>
      <c r="H628" s="42"/>
      <c r="I628" s="42" t="str">
        <f ca="1">IF(ISERROR(F616),"",_xlfn.TEXTJOIN("/",FALSE,Q628,T628))</f>
        <v/>
      </c>
      <c r="J628" s="42"/>
      <c r="K628" s="42" t="str">
        <f ca="1">IF(ISERROR(F616),"",_xlfn.TEXTJOIN("/",FALSE,R628,U628))</f>
        <v/>
      </c>
      <c r="L628" s="42"/>
      <c r="M628" s="7" t="str">
        <f ca="1">IF(ISERROR(F616),"",IF(ISTEXT(P628),IF(P628="A","Ab",IF(P628="D","Dt",IF(P628="UFM","UFM",IF(P628="NA","")))),IF(AND(ISBLANK(P628),ISBLANK(R628)),"",IF(P628&lt;0.3*S628,"F",IF(ISBLANK(R628),"",IF(ISTEXT(R628),R628,IF(R628&gt;=0.9*U628,"O",IF(R628&gt;=0.85*U628,"A+",IF(R628&gt;=0.8*U628,"A",IF(R628&gt;=0.7*U628,"B+",IF(R628&gt;=0.6*U628,"B",IF(R628&gt;=0.5*U628,"C",IF(R628&gt;=0.4*U628,"P",IF(R628&lt;0.4*U628,"F",R628))))))))))))))</f>
        <v/>
      </c>
      <c r="N628" s="8" t="str">
        <f t="shared" ca="1" si="64"/>
        <v/>
      </c>
      <c r="O628">
        <f t="shared" si="65"/>
        <v>8</v>
      </c>
      <c r="P628" s="1" t="str">
        <f ca="1">IF(ISERROR(F616),"",IF(ISTEXT(VLOOKUP(B616,INDIRECT($F$8),6+(O628-1)*3)),(VLOOKUP(B616,INDIRECT($F$8),6+(O628-1)*3)),SUM(VLOOKUP(B616,INDIRECT($F$8),6+(O628-1)*3),IF(W631,W628,0))))</f>
        <v/>
      </c>
      <c r="Q628" s="1" t="str">
        <f ca="1">IF(ISERROR(F616),"",VLOOKUP(B616,INDIRECT($F$8),7+(O628-1)*3))</f>
        <v/>
      </c>
      <c r="R628" s="1" t="str">
        <f ca="1">IF(ISERROR(F616),"",SUM(P628:Q628))</f>
        <v/>
      </c>
      <c r="S628" s="1" t="str">
        <f ca="1">IF(ISERROR(F616),"",VLOOKUP(A616,INDIRECT($F$8),6+(O628-1)*3))</f>
        <v/>
      </c>
      <c r="T628" s="1" t="str">
        <f ca="1">IF(ISERROR(F616),"",VLOOKUP(A616,INDIRECT($F$8),7+(O628-1)*3))</f>
        <v/>
      </c>
      <c r="U628" s="1" t="str">
        <f ca="1">IF(ISERROR(F616),"",VLOOKUP(A616,INDIRECT($F$8),8+(O628-1)*3))</f>
        <v/>
      </c>
      <c r="V628" s="1" t="str">
        <f ca="1">IF(ISERROR(F616),"",IF(N628=0,A628,""))</f>
        <v/>
      </c>
      <c r="W628" s="1" t="str">
        <f ca="1">IF(ISERROR(F616),"",IF(ISTEXT(VLOOKUP(B616,INDIRECT($F$8),6+(O628-1)*3)),11,IF(VLOOKUP(B616,INDIRECT($F$8),6+(O628-1)*3)&lt;S628*0.3,IF(VLOOKUP(B616,INDIRECT($F$8),8+(O628-1)*3)&lt;U628*0.4,IF(AND(0.4*U628-VLOOKUP(B616,INDIRECT($F$8),8+(O628-1)*3)&lt;=5,0.3*S628-VLOOKUP(B616,INDIRECT($F$8),6+(O628-1)*3)&lt;=5),MAX(0.4*U628-VLOOKUP(B616,INDIRECT($F$8),8+(O628-1)*3),0.3*S628-VLOOKUP(B616,INDIRECT($F$8),6+(O628-1)*3)),11),IF(0.3*S628-VLOOKUP(B616,INDIRECT($F$8),6+(O628-1)*3)&lt;=5,0.3*S628-VLOOKUP(B616,INDIRECT($F$8),6+(O628-1)*3),11)),IF(VLOOKUP(B616,INDIRECT($F$8),8+(O628-1)*3)&lt;U628*0.4,IF(U628*0.4-VLOOKUP(B616,INDIRECT($F$8),8+(O628-1)*3)&lt;=5,U628*0.4-VLOOKUP(B616,INDIRECT($F$8),8+(O628-1)*3),11),0))))</f>
        <v/>
      </c>
      <c r="X628" s="1" t="str">
        <f ca="1">IF(ISERROR(F616),"",IF(W628=0,"",_xlfn.TEXTJOIN("",FALSE," G+",W628," in ",A628)))</f>
        <v/>
      </c>
    </row>
    <row r="629" spans="1:24" ht="13" customHeight="1" x14ac:dyDescent="0.2">
      <c r="A629" s="7" t="str">
        <f ca="1">IF(ISERROR(F616),"",VLOOKUP(C616,INDIRECT($F$8),6+(O629-1)*3,0))</f>
        <v/>
      </c>
      <c r="B629" s="41" t="str">
        <f ca="1">IF(ISERROR(F616),"",VLOOKUP(D616,INDIRECT($F$8),6+(O629-1)*3-Z629,0))</f>
        <v/>
      </c>
      <c r="C629" s="41"/>
      <c r="D629" s="41"/>
      <c r="E629" s="41"/>
      <c r="F629" s="7" t="str">
        <f ca="1">IF(ISERROR(F616),"",VLOOKUP(E616,INDIRECT($F$8),6+(O629-1)*3,0))</f>
        <v/>
      </c>
      <c r="G629" s="42" t="str">
        <f ca="1">IF(ISERROR(F616),"",_xlfn.TEXTJOIN("/",FALSE,P629,S629))</f>
        <v/>
      </c>
      <c r="H629" s="42"/>
      <c r="I629" s="42" t="str">
        <f ca="1">IF(ISERROR(F616),"",_xlfn.TEXTJOIN("/",FALSE,Q629,T629))</f>
        <v/>
      </c>
      <c r="J629" s="42"/>
      <c r="K629" s="42" t="str">
        <f ca="1">IF(ISERROR(F616),"",_xlfn.TEXTJOIN("/",FALSE,R629,U629))</f>
        <v/>
      </c>
      <c r="L629" s="42"/>
      <c r="M629" s="7" t="str">
        <f ca="1">IF(ISERROR(F616),"",IF(ISTEXT(P629),IF(P629="A","Ab",IF(P629="D","Dt",IF(P629="UFM","UFM",IF(P629="NA","")))),IF(AND(ISBLANK(P629),ISBLANK(R629)),"",IF(P629&lt;0.3*S629,"F",IF(ISBLANK(R629),"",IF(ISTEXT(R629),R629,IF(R629&gt;=0.9*U629,"O",IF(R629&gt;=0.85*U629,"A+",IF(R629&gt;=0.8*U629,"A",IF(R629&gt;=0.7*U629,"B+",IF(R629&gt;=0.6*U629,"B",IF(R629&gt;=0.5*U629,"C",IF(R629&gt;=0.4*U629,"P",IF(R629&lt;0.4*U629,"F",R629))))))))))))))</f>
        <v/>
      </c>
      <c r="N629" s="8" t="str">
        <f t="shared" ca="1" si="64"/>
        <v/>
      </c>
      <c r="O629">
        <f t="shared" si="65"/>
        <v>9</v>
      </c>
      <c r="P629" s="1" t="str">
        <f ca="1">IF(ISERROR(F616),"",IF(ISTEXT(VLOOKUP(B616,INDIRECT($F$8),6+(O629-1)*3)),(VLOOKUP(B616,INDIRECT($F$8),6+(O629-1)*3)),SUM(VLOOKUP(B616,INDIRECT($F$8),6+(O629-1)*3),IF(W631,W629,0))))</f>
        <v/>
      </c>
      <c r="Q629" s="1" t="str">
        <f ca="1">IF(ISERROR(F616),"",VLOOKUP(B616,INDIRECT($F$8),7+(O629-1)*3))</f>
        <v/>
      </c>
      <c r="R629" s="1" t="str">
        <f ca="1">IF(ISERROR(F616),"",SUM(P629:Q629))</f>
        <v/>
      </c>
      <c r="S629" s="1" t="str">
        <f ca="1">IF(ISERROR(F616),"",VLOOKUP(A616,INDIRECT($F$8),6+(O629-1)*3))</f>
        <v/>
      </c>
      <c r="T629" s="1" t="str">
        <f ca="1">IF(ISERROR(F616),"",VLOOKUP(A616,INDIRECT($F$8),7+(O629-1)*3))</f>
        <v/>
      </c>
      <c r="U629" s="1" t="str">
        <f ca="1">IF(ISERROR(F616),"",VLOOKUP(A616,INDIRECT($F$8),8+(O629-1)*3))</f>
        <v/>
      </c>
      <c r="V629" s="1" t="str">
        <f ca="1">IF(ISERROR(F616),"",IF(N629=0,A629,""))</f>
        <v/>
      </c>
      <c r="W629" s="1" t="str">
        <f ca="1">IF(ISERROR(F616),"",IF(ISTEXT(VLOOKUP(B616,INDIRECT($F$8),6+(O629-1)*3)),11,IF(VLOOKUP(B616,INDIRECT($F$8),6+(O629-1)*3)&lt;S629*0.3,IF(VLOOKUP(B616,INDIRECT($F$8),8+(O629-1)*3)&lt;U629*0.4,IF(AND(0.4*U629-VLOOKUP(B616,INDIRECT($F$8),8+(O629-1)*3)&lt;=5,0.3*S629-VLOOKUP(B616,INDIRECT($F$8),6+(O629-1)*3)&lt;=5),MAX(0.4*U629-VLOOKUP(B616,INDIRECT($F$8),8+(O629-1)*3),0.3*S629-VLOOKUP(B616,INDIRECT($F$8),6+(O629-1)*3)),11),IF(0.3*S629-VLOOKUP(B616,INDIRECT($F$8),6+(O629-1)*3)&lt;=5,0.3*S629-VLOOKUP(B616,INDIRECT($F$8),6+(O629-1)*3),11)),IF(VLOOKUP(B616,INDIRECT($F$8),8+(O629-1)*3)&lt;U629*0.4,IF(U629*0.4-VLOOKUP(B616,INDIRECT($F$8),8+(O629-1)*3)&lt;=5,U629*0.4-VLOOKUP(B616,INDIRECT($F$8),8+(O629-1)*3),11),0))))</f>
        <v/>
      </c>
      <c r="X629" s="1" t="str">
        <f ca="1">IF(ISERROR(F616),"",IF(W629=0,"",_xlfn.TEXTJOIN("",FALSE," G+",W629," in ",A629)))</f>
        <v/>
      </c>
    </row>
    <row r="630" spans="1:24" ht="13" customHeight="1" x14ac:dyDescent="0.2">
      <c r="A630" s="7" t="str">
        <f ca="1">IF(ISERROR(F616),"",VLOOKUP(C616,INDIRECT($F$8),6+(O630-1)*3,0))</f>
        <v/>
      </c>
      <c r="B630" s="41" t="str">
        <f ca="1">IF(ISERROR(F616),"",VLOOKUP(D616,INDIRECT($F$8),6+(O630-1)*3,0))</f>
        <v/>
      </c>
      <c r="C630" s="41"/>
      <c r="D630" s="41"/>
      <c r="E630" s="41"/>
      <c r="F630" s="7" t="str">
        <f ca="1">IF(ISERROR(F616),"",VLOOKUP(E616,INDIRECT($F$8),6+(O630-1)*3,0))</f>
        <v/>
      </c>
      <c r="G630" s="42" t="str">
        <f ca="1">IF(ISERROR(F616),"",_xlfn.TEXTJOIN("/",FALSE,P630,S630))</f>
        <v/>
      </c>
      <c r="H630" s="42"/>
      <c r="I630" s="42" t="str">
        <f ca="1">IF(ISERROR(F616),"",_xlfn.TEXTJOIN("/",FALSE,Q630,T630))</f>
        <v/>
      </c>
      <c r="J630" s="42"/>
      <c r="K630" s="42" t="str">
        <f ca="1">IF(ISERROR(F616),"",_xlfn.TEXTJOIN("/",FALSE,R630,U630))</f>
        <v/>
      </c>
      <c r="L630" s="42"/>
      <c r="M630" s="7" t="str">
        <f ca="1">IF(ISERROR(F616),"",IF(ISTEXT(P630),IF(P630="A","Ab",IF(P630="D","Dt",IF(P630="UFM","UFM",IF(P630="NA","")))),IF(AND(ISBLANK(P630),ISBLANK(R630)),"",IF(P630&lt;0.3*S630,"F",IF(ISBLANK(R630),"",IF(ISTEXT(R630),R630,IF(R630&gt;=0.9*U630,"O",IF(R630&gt;=0.85*U630,"A+",IF(R630&gt;=0.8*U630,"A",IF(R630&gt;=0.7*U630,"B+",IF(R630&gt;=0.6*U630,"B",IF(R630&gt;=0.5*U630,"C",IF(R630&gt;=0.4*U630,"P",IF(R630&lt;0.4*U630,"F",R630))))))))))))))</f>
        <v/>
      </c>
      <c r="N630" s="8" t="str">
        <f t="shared" ca="1" si="64"/>
        <v/>
      </c>
      <c r="O630">
        <f t="shared" si="65"/>
        <v>10</v>
      </c>
      <c r="P630" s="1" t="str">
        <f ca="1">IF(ISERROR(F616),"",IF(ISTEXT(VLOOKUP(B616,INDIRECT($F$8),6+(O630-1)*3)),(VLOOKUP(B616,INDIRECT($F$8),6+(O630-1)*3)),SUM(VLOOKUP(B616,INDIRECT($F$8),6+(O630-1)*3),IF(W631,W630,0))))</f>
        <v/>
      </c>
      <c r="Q630" s="1" t="str">
        <f ca="1">IF(ISERROR(F616),"",VLOOKUP(B616,INDIRECT($F$8),7+(O630-1)*3))</f>
        <v/>
      </c>
      <c r="R630" s="1" t="str">
        <f ca="1">IF(ISERROR(F616),"",SUM(P630:Q630))</f>
        <v/>
      </c>
      <c r="S630" s="1" t="str">
        <f ca="1">IF(ISERROR(F616),"",VLOOKUP(A616,INDIRECT($F$8),6+(O630-1)*3))</f>
        <v/>
      </c>
      <c r="T630" s="1" t="str">
        <f ca="1">IF(ISERROR(F616),"",VLOOKUP(A616,INDIRECT($F$8),7+(O630-1)*3))</f>
        <v/>
      </c>
      <c r="U630" s="1" t="str">
        <f ca="1">IF(ISERROR(F616),"",VLOOKUP(A616,INDIRECT($F$8),8+(O630-1)*3))</f>
        <v/>
      </c>
      <c r="V630" s="1" t="str">
        <f ca="1">IF(ISERROR(F616),"",IF(N630=0,A630,""))</f>
        <v/>
      </c>
      <c r="W630" s="1" t="str">
        <f ca="1">IF(ISERROR(F616),"",IF(ISTEXT(VLOOKUP(B616,INDIRECT($F$8),6+(O630-1)*3)),11,IF(VLOOKUP(B616,INDIRECT($F$8),6+(O630-1)*3)&lt;S630*0.3,IF(VLOOKUP(B616,INDIRECT($F$8),8+(O630-1)*3)&lt;U630*0.4,IF(AND(0.4*U630-VLOOKUP(B616,INDIRECT($F$8),8+(O630-1)*3)&lt;=5,0.3*S630-VLOOKUP(B616,INDIRECT($F$8),6+(O630-1)*3)&lt;=5),MAX(0.4*U630-VLOOKUP(B616,INDIRECT($F$8),8+(O630-1)*3),0.3*S630-VLOOKUP(B616,INDIRECT($F$8),6+(O630-1)*3)),11),IF(0.3*S630-VLOOKUP(B616,INDIRECT($F$8),6+(O630-1)*3)&lt;=5,0.3*S630-VLOOKUP(B616,INDIRECT($F$8),6+(O630-1)*3),11)),IF(VLOOKUP(B616,INDIRECT($F$8),8+(O630-1)*3)&lt;U630*0.4,IF(U630*0.4-VLOOKUP(B616,INDIRECT($F$8),8+(O630-1)*3)&lt;=5,U630*0.4-VLOOKUP(B616,INDIRECT($F$8),8+(O630-1)*3),11),0))))</f>
        <v/>
      </c>
      <c r="X630" s="1" t="str">
        <f ca="1">IF(ISERROR(F616),"",IF(W630=0,"",_xlfn.TEXTJOIN("",FALSE," G+",W630," in ",A630)))</f>
        <v/>
      </c>
    </row>
    <row r="631" spans="1:24" ht="13" customHeight="1" x14ac:dyDescent="0.2">
      <c r="A631" s="43" t="str">
        <f ca="1">IF(ISERROR(F616),"",A612)</f>
        <v/>
      </c>
      <c r="B631" s="43"/>
      <c r="C631" s="43"/>
      <c r="D631" s="43"/>
      <c r="E631" s="43"/>
      <c r="F631" s="10" t="str">
        <f ca="1">IF(ISERROR(F616),"",SUM(F621:F630))</f>
        <v/>
      </c>
      <c r="G631" s="44" t="str">
        <f ca="1">IF(ISERROR(F616),"",_xlfn.TEXTJOIN("/",TRUE,SUMIF(F621:F630,"&gt;0",P621:P630),SUMIF(F621:F630,"&gt;0",S621:S630)))</f>
        <v/>
      </c>
      <c r="H631" s="44"/>
      <c r="I631" s="44" t="str">
        <f ca="1">IF(ISERROR(F616),"",_xlfn.TEXTJOIN("/",TRUE,SUMIF(F621:F630,"&gt;0",Q621:Q630),SUMIF(F621:F630,"&gt;0",T621:T630)))</f>
        <v/>
      </c>
      <c r="J631" s="44"/>
      <c r="K631" s="44" t="str">
        <f ca="1">IF(ISERROR(F616),"",_xlfn.TEXTJOIN("/",TRUE,SUMIF(F621:F630,"&gt;0",R621:R630),SUMIF(F621:F630,"&gt;0",U621:U630)))</f>
        <v/>
      </c>
      <c r="L631" s="44"/>
      <c r="M631" s="43" t="str">
        <f ca="1">IF(ISERROR(F616),"",SUMPRODUCT(N621:N630,F621:F630))</f>
        <v/>
      </c>
      <c r="N631" s="43"/>
      <c r="V631" s="1" t="str">
        <f ca="1">IF(ISERROR(F616),"",_xlfn.TEXTJOIN(", ",TRUE,V621:V630))</f>
        <v/>
      </c>
      <c r="W631" t="str">
        <f ca="1">IF(ISERROR(F616),"",IF(SUM(W621:W630)&lt;=W620,TRUE,FALSE))</f>
        <v/>
      </c>
      <c r="X631" s="1" t="str">
        <f ca="1">IF(ISERROR(F616),"",_xlfn.TEXTJOIN(",",TRUE,X621:X630))</f>
        <v/>
      </c>
    </row>
    <row r="632" spans="1:24" ht="13" customHeight="1" x14ac:dyDescent="0.2">
      <c r="A632" s="43" t="str">
        <f ca="1">IF(ISERROR(F616),"",A613)</f>
        <v/>
      </c>
      <c r="B632" s="45" t="str">
        <f ca="1">IF(ISERROR(F616),"",IF(V631="","PASS","CARRY OVER"))</f>
        <v/>
      </c>
      <c r="C632" s="45"/>
      <c r="D632" s="43" t="str">
        <f ca="1">IF(ISERROR(F616),"",D613)</f>
        <v/>
      </c>
      <c r="E632" s="45" t="str">
        <f ca="1">IF(ISERROR(F616),"",IF(V631="",IF(X631="","",X631),_xlfn.TEXTJOIN(" ",TRUE,"BACK IN",V631)))</f>
        <v/>
      </c>
      <c r="F632" s="45"/>
      <c r="G632" s="43" t="str">
        <f ca="1">IF(ISERROR(F616),"",G613)</f>
        <v/>
      </c>
      <c r="H632" s="46" t="str">
        <f ca="1">IF(ISERROR(F616),"",M631/F631)</f>
        <v/>
      </c>
      <c r="I632" s="43" t="str">
        <f ca="1">IF(ISERROR(F616),"",I613)</f>
        <v/>
      </c>
      <c r="J632" s="46" t="str">
        <f ca="1">IF(ISERROR(F616),"",VLOOKUP(B616,INDIRECT($F$8),12+(O630-1)*3,0))</f>
        <v/>
      </c>
      <c r="K632" s="45" t="str">
        <f ca="1">IF(ISERROR(F616),"",K613)</f>
        <v/>
      </c>
      <c r="L632" s="43" t="str">
        <f ca="1">IF(ISERROR(F616),"",SUMIF(N621:N630,"&gt;0",F621:F630))</f>
        <v/>
      </c>
      <c r="M632" s="45" t="str">
        <f ca="1">IF(ISERROR(F616),"",M613)</f>
        <v/>
      </c>
      <c r="N632" s="43" t="str">
        <f ca="1">IF(ISERROR(F616),"",VLOOKUP(B616,INDIRECT($F$8),10+(O630-1)*3,0))</f>
        <v/>
      </c>
    </row>
    <row r="633" spans="1:24" ht="13" customHeight="1" x14ac:dyDescent="0.2">
      <c r="A633" s="43"/>
      <c r="B633" s="45"/>
      <c r="C633" s="45"/>
      <c r="D633" s="43"/>
      <c r="E633" s="45"/>
      <c r="F633" s="45"/>
      <c r="G633" s="43"/>
      <c r="H633" s="46"/>
      <c r="I633" s="43"/>
      <c r="J633" s="46"/>
      <c r="K633" s="45"/>
      <c r="L633" s="43"/>
      <c r="M633" s="45"/>
      <c r="N633" s="43"/>
    </row>
    <row r="634" spans="1:24" ht="13" customHeight="1" x14ac:dyDescent="0.2">
      <c r="A634" s="43"/>
      <c r="B634" s="45"/>
      <c r="C634" s="45"/>
      <c r="D634" s="43"/>
      <c r="E634" s="45"/>
      <c r="F634" s="45"/>
      <c r="G634" s="43"/>
      <c r="H634" s="46"/>
      <c r="I634" s="43"/>
      <c r="J634" s="46"/>
      <c r="K634" s="45"/>
      <c r="L634" s="43"/>
      <c r="M634" s="45"/>
      <c r="N634" s="43"/>
    </row>
    <row r="635" spans="1:24" ht="13" customHeight="1" x14ac:dyDescent="0.2">
      <c r="A635" s="11" t="str">
        <f>A616</f>
        <v>MM</v>
      </c>
      <c r="B635" s="11">
        <f>B616+1</f>
        <v>34</v>
      </c>
      <c r="C635" s="11" t="str">
        <f>C616</f>
        <v>SC</v>
      </c>
      <c r="D635" s="11" t="str">
        <f>D616</f>
        <v>SN</v>
      </c>
      <c r="E635" s="11" t="str">
        <f>E616</f>
        <v>C</v>
      </c>
      <c r="F635" s="11" t="e">
        <f ca="1">VLOOKUP(B635,INDIRECT($F$8),4,0)</f>
        <v>#N/A</v>
      </c>
    </row>
    <row r="636" spans="1:24" ht="13" customHeight="1" x14ac:dyDescent="0.2">
      <c r="A636" s="47" t="str">
        <f ca="1">IF(ISERROR(F635),"",A617)</f>
        <v/>
      </c>
      <c r="B636" s="47" t="str">
        <f ca="1">IFERROR(VLOOKUP(B635,INDIRECT($F$8),4,0),"")</f>
        <v/>
      </c>
      <c r="C636" s="47"/>
      <c r="D636" s="47" t="str">
        <f ca="1">IF(ISERROR(F635),"",D617)</f>
        <v/>
      </c>
      <c r="E636" s="47" t="str">
        <f ca="1">IFERROR(VLOOKUP(B635,INDIRECT($F$8),5,0),"")</f>
        <v/>
      </c>
      <c r="F636" s="47"/>
      <c r="G636" s="47" t="str">
        <f ca="1">IF(ISERROR(F635),"",G617)</f>
        <v/>
      </c>
      <c r="H636" s="47"/>
      <c r="I636" s="48" t="str">
        <f ca="1">IFERROR(VLOOKUP(B635,INDIRECT($F$8),2,0),"")</f>
        <v/>
      </c>
      <c r="J636" s="48"/>
      <c r="K636" s="47" t="str">
        <f ca="1">IF(ISERROR(F635),"",K617)</f>
        <v/>
      </c>
      <c r="L636" s="47"/>
      <c r="M636" s="48" t="str">
        <f ca="1">IFERROR(VLOOKUP(B635,INDIRECT($F$8),3,0),"")</f>
        <v/>
      </c>
      <c r="N636" s="48"/>
    </row>
    <row r="637" spans="1:24" ht="13" customHeight="1" x14ac:dyDescent="0.2">
      <c r="A637" s="47"/>
      <c r="B637" s="47"/>
      <c r="C637" s="47"/>
      <c r="D637" s="47"/>
      <c r="E637" s="47"/>
      <c r="F637" s="47"/>
      <c r="G637" s="47"/>
      <c r="H637" s="47"/>
      <c r="I637" s="48"/>
      <c r="J637" s="48"/>
      <c r="K637" s="47"/>
      <c r="L637" s="47"/>
      <c r="M637" s="48"/>
      <c r="N637" s="48"/>
    </row>
    <row r="638" spans="1:24" ht="13" customHeight="1" x14ac:dyDescent="0.2">
      <c r="A638" s="45" t="str">
        <f ca="1">IF(ISERROR(F635),"",A619)</f>
        <v/>
      </c>
      <c r="B638" s="45" t="str">
        <f ca="1">IF(ISERROR(F635),"",B619)</f>
        <v/>
      </c>
      <c r="C638" s="45"/>
      <c r="D638" s="45"/>
      <c r="E638" s="45"/>
      <c r="F638" s="45" t="str">
        <f ca="1">IF(ISERROR(F635),"",F619)</f>
        <v/>
      </c>
      <c r="G638" s="45" t="str">
        <f ca="1">IF(ISERROR(F635),"",G619)</f>
        <v/>
      </c>
      <c r="H638" s="45"/>
      <c r="I638" s="45" t="str">
        <f ca="1">IF(ISERROR(F635),"",I619)</f>
        <v/>
      </c>
      <c r="J638" s="45"/>
      <c r="K638" s="45" t="str">
        <f ca="1">IF(ISERROR(F635),"",K619)</f>
        <v/>
      </c>
      <c r="L638" s="45"/>
      <c r="M638" s="45" t="str">
        <f ca="1">IF(ISERROR(F635),"",M619)</f>
        <v/>
      </c>
      <c r="N638" s="45" t="str">
        <f ca="1">IF(ISERROR(F635),"",N619)</f>
        <v/>
      </c>
    </row>
    <row r="639" spans="1:24" ht="13" customHeight="1" x14ac:dyDescent="0.2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W639" t="e">
        <f ca="1">IF(ISNUMBER(MATCH($F$8,{"I","III","V","VII"},0)),10,10-INDEX(INDIRECT(_xlfn.TEXTJOIN("",TRUE,"SEM_",$G$8,"!",ADDRESS(6,4+$I$8*3+4),":",ADDRESS(5+$H$8,4+$I$8*3+4))),MATCH(INDIRECT(_xlfn.TEXTJOIN("",TRUE,"TC_",$F$8,"!",ADDRESS(ROW(I636),COLUMN(I636)))),INDIRECT(_xlfn.TEXTJOIN("",TRUE,"SEM_",$G$8,"!",ADDRESS(6,2),":",ADDRESS(5+$H$8,2))))))</f>
        <v>#N/A</v>
      </c>
    </row>
    <row r="640" spans="1:24" ht="13" customHeight="1" x14ac:dyDescent="0.2">
      <c r="A640" s="7" t="str">
        <f ca="1">IF(ISERROR(F635),"",VLOOKUP(C635,INDIRECT($F$8),6+(O640-1)*3,0))</f>
        <v/>
      </c>
      <c r="B640" s="41" t="str">
        <f ca="1">IF(ISERROR(F635),"",VLOOKUP(D635,INDIRECT($F$8),6+(O640-1)*3,0))</f>
        <v/>
      </c>
      <c r="C640" s="41"/>
      <c r="D640" s="41"/>
      <c r="E640" s="41"/>
      <c r="F640" s="7" t="str">
        <f ca="1">IF(ISERROR(F635),"",VLOOKUP(E635,INDIRECT($F$8),6+(O640-1)*3,0))</f>
        <v/>
      </c>
      <c r="G640" s="42" t="str">
        <f ca="1">IF(ISERROR(F635),"",_xlfn.TEXTJOIN("/",FALSE,P640,S640))</f>
        <v/>
      </c>
      <c r="H640" s="42"/>
      <c r="I640" s="42" t="str">
        <f ca="1">IF(ISERROR(F635),"",_xlfn.TEXTJOIN("/",FALSE,Q640,T640))</f>
        <v/>
      </c>
      <c r="J640" s="42"/>
      <c r="K640" s="42" t="str">
        <f ca="1">IF(ISERROR(F635),"",_xlfn.TEXTJOIN("/",FALSE,R640,U640))</f>
        <v/>
      </c>
      <c r="L640" s="42"/>
      <c r="M640" s="7" t="str">
        <f ca="1">IF(ISERROR(F635),"",IF(ISTEXT(P640),IF(P640="A","Ab",IF(P640="D","Dt",IF(P640="UFM","UFM",IF(P640="NA","")))),IF(AND(ISBLANK(P640),ISBLANK(R640)),"",IF(P640&lt;0.3*S640,"F",IF(ISBLANK(R640),"",IF(ISTEXT(R640),R640,IF(R640&gt;=0.9*U640,"O",IF(R640&gt;=0.85*U640,"A+",IF(R640&gt;=0.8*U640,"A",IF(R640&gt;=0.7*U640,"B+",IF(R640&gt;=0.6*U640,"B",IF(R640&gt;=0.5*U640,"C",IF(R640&gt;=0.4*U640,"P",IF(R640&lt;0.4*U640,"F",R640))))))))))))))</f>
        <v/>
      </c>
      <c r="N640" s="8" t="str">
        <f t="shared" ref="N640:N649" ca="1" si="66">INDEX($Z$2:$Z$13,MATCH(M640,$Y$2:$Y$13,0))</f>
        <v/>
      </c>
      <c r="O640">
        <v>1</v>
      </c>
      <c r="P640" s="1" t="str">
        <f ca="1">IF(ISERROR(F635),"",IF(ISTEXT(VLOOKUP(B635,INDIRECT($F$8),6+(O640-1)*3)),(VLOOKUP(B635,INDIRECT($F$8),6+(O640-1)*3)),SUM(VLOOKUP(B635,INDIRECT($F$8),6+(O640-1)*3),IF(W650,W640,0))))</f>
        <v/>
      </c>
      <c r="Q640" s="1" t="str">
        <f ca="1">IF(ISERROR(F635),"",VLOOKUP(B635,INDIRECT($F$8),7+(O640-1)*3))</f>
        <v/>
      </c>
      <c r="R640" s="1" t="str">
        <f ca="1">IF(ISERROR(F635),"",SUM(P640:Q640))</f>
        <v/>
      </c>
      <c r="S640" s="1" t="str">
        <f ca="1">IF(ISERROR(F635),"",VLOOKUP(A635,INDIRECT($F$8),6+(O640-1)*3))</f>
        <v/>
      </c>
      <c r="T640" s="1" t="str">
        <f ca="1">IF(ISERROR(F635),"",VLOOKUP(A635,INDIRECT($F$8),7+(O640-1)*3))</f>
        <v/>
      </c>
      <c r="U640" s="1" t="str">
        <f ca="1">IF(ISERROR(F635),"",VLOOKUP(A635,INDIRECT($F$8),8+(O640-1)*3))</f>
        <v/>
      </c>
      <c r="V640" s="1" t="str">
        <f ca="1">IF(ISERROR(F635),"",IF(N640=0,A640,""))</f>
        <v/>
      </c>
      <c r="W640" s="1" t="str">
        <f ca="1">IF(ISERROR(F635),"",IF(ISTEXT(VLOOKUP(B635,INDIRECT($F$8),6+(O640-1)*3)),11,IF(VLOOKUP(B635,INDIRECT($F$8),6+(O640-1)*3)&lt;S640*0.3,IF(VLOOKUP(B635,INDIRECT($F$8),8+(O640-1)*3)&lt;U640*0.4,IF(AND(0.4*U640-VLOOKUP(B635,INDIRECT($F$8),8+(O640-1)*3)&lt;=5,0.3*S640-VLOOKUP(B635,INDIRECT($F$8),6+(O640-1)*3)&lt;=5),MAX(0.4*U640-VLOOKUP(B635,INDIRECT($F$8),8+(O640-1)*3),0.3*S640-VLOOKUP(B635,INDIRECT($F$8),6+(O640-1)*3)),11),IF(0.3*S640-VLOOKUP(B635,INDIRECT($F$8),6+(O640-1)*3)&lt;=5,0.3*S640-VLOOKUP(B635,INDIRECT($F$8),6+(O640-1)*3),11)),IF(VLOOKUP(B635,INDIRECT($F$8),8+(O640-1)*3)&lt;U640*0.4,IF(U640*0.4-VLOOKUP(B635,INDIRECT($F$8),8+(O640-1)*3)&lt;=5,U640*0.4-VLOOKUP(B635,INDIRECT($F$8),8+(O640-1)*3),11),0))))</f>
        <v/>
      </c>
      <c r="X640" s="1" t="str">
        <f ca="1">IF(ISERROR(F635),"",IF(W640=0,"",_xlfn.TEXTJOIN("",FALSE," G+",W640," in ",A640)))</f>
        <v/>
      </c>
    </row>
    <row r="641" spans="1:24" ht="13" customHeight="1" x14ac:dyDescent="0.2">
      <c r="A641" s="7" t="str">
        <f ca="1">IF(ISERROR(F635),"",VLOOKUP(C635,INDIRECT($F$8),6+(O641-1)*3,0))</f>
        <v/>
      </c>
      <c r="B641" s="41" t="str">
        <f ca="1">IF(ISERROR(F635),"",VLOOKUP(D635,INDIRECT($F$8),6+(O641-1)*3,0))</f>
        <v/>
      </c>
      <c r="C641" s="41"/>
      <c r="D641" s="41"/>
      <c r="E641" s="41"/>
      <c r="F641" s="7" t="str">
        <f ca="1">IF(ISERROR(F635),"",VLOOKUP(E635,INDIRECT($F$8),6+(O641-1)*3,0))</f>
        <v/>
      </c>
      <c r="G641" s="42" t="str">
        <f ca="1">IF(ISERROR(F635),"",_xlfn.TEXTJOIN("/",FALSE,P641,S641))</f>
        <v/>
      </c>
      <c r="H641" s="42"/>
      <c r="I641" s="42" t="str">
        <f ca="1">IF(ISERROR(F635),"",_xlfn.TEXTJOIN("/",FALSE,Q641,T641))</f>
        <v/>
      </c>
      <c r="J641" s="42"/>
      <c r="K641" s="42" t="str">
        <f ca="1">IF(ISERROR(F635),"",_xlfn.TEXTJOIN("/",FALSE,R641,U641))</f>
        <v/>
      </c>
      <c r="L641" s="42"/>
      <c r="M641" s="7" t="str">
        <f ca="1">IF(ISERROR(F635),"",IF(ISTEXT(P641),IF(P641="A","Ab",IF(P641="D","Dt",IF(P641="UFM","UFM",IF(P641="NA","")))),IF(AND(ISBLANK(P641),ISBLANK(R641)),"",IF(P641&lt;0.3*S641,"F",IF(ISBLANK(R641),"",IF(ISTEXT(R641),R641,IF(R641&gt;=0.9*U641,"O",IF(R641&gt;=0.85*U641,"A+",IF(R641&gt;=0.8*U641,"A",IF(R641&gt;=0.7*U641,"B+",IF(R641&gt;=0.6*U641,"B",IF(R641&gt;=0.5*U641,"C",IF(R641&gt;=0.4*U641,"P",IF(R641&lt;0.4*U641,"F",R641))))))))))))))</f>
        <v/>
      </c>
      <c r="N641" s="8" t="str">
        <f t="shared" ca="1" si="66"/>
        <v/>
      </c>
      <c r="O641">
        <f>O640+1</f>
        <v>2</v>
      </c>
      <c r="P641" s="1" t="str">
        <f ca="1">IF(ISERROR(F635),"",IF(ISTEXT(VLOOKUP(B635,INDIRECT($F$8),6+(O641-1)*3)),(VLOOKUP(B635,INDIRECT($F$8),6+(O641-1)*3)),SUM(VLOOKUP(B635,INDIRECT($F$8),6+(O641-1)*3),IF(W650,W641,0))))</f>
        <v/>
      </c>
      <c r="Q641" s="1" t="str">
        <f ca="1">IF(ISERROR(F635),"",VLOOKUP(B635,INDIRECT($F$8),7+(O641-1)*3))</f>
        <v/>
      </c>
      <c r="R641" s="1" t="str">
        <f ca="1">IF(ISERROR(F635),"",SUM(P641:Q641))</f>
        <v/>
      </c>
      <c r="S641" s="1" t="str">
        <f ca="1">IF(ISERROR(F635),"",VLOOKUP(A635,INDIRECT($F$8),6+(O641-1)*3))</f>
        <v/>
      </c>
      <c r="T641" s="1" t="str">
        <f ca="1">IF(ISERROR(F635),"",VLOOKUP(A635,INDIRECT($F$8),7+(O641-1)*3))</f>
        <v/>
      </c>
      <c r="U641" s="1" t="str">
        <f ca="1">IF(ISERROR(F635),"",VLOOKUP(A635,INDIRECT($F$8),8+(O641-1)*3))</f>
        <v/>
      </c>
      <c r="V641" s="1" t="str">
        <f ca="1">IF(ISERROR(F635),"",IF(N641=0,A641,""))</f>
        <v/>
      </c>
      <c r="W641" s="1" t="str">
        <f ca="1">IF(ISERROR(F635),"",IF(ISTEXT(VLOOKUP(B635,INDIRECT($F$8),6+(O641-1)*3)),11,IF(VLOOKUP(B635,INDIRECT($F$8),6+(O641-1)*3)&lt;S641*0.3,IF(VLOOKUP(B635,INDIRECT($F$8),8+(O641-1)*3)&lt;U641*0.4,IF(AND(0.4*U641-VLOOKUP(B635,INDIRECT($F$8),8+(O641-1)*3)&lt;=5,0.3*S641-VLOOKUP(B635,INDIRECT($F$8),6+(O641-1)*3)&lt;=5),MAX(0.4*U641-VLOOKUP(B635,INDIRECT($F$8),8+(O641-1)*3),0.3*S641-VLOOKUP(B635,INDIRECT($F$8),6+(O641-1)*3)),11),IF(0.3*S641-VLOOKUP(B635,INDIRECT($F$8),6+(O641-1)*3)&lt;=5,0.3*S641-VLOOKUP(B635,INDIRECT($F$8),6+(O641-1)*3),11)),IF(VLOOKUP(B635,INDIRECT($F$8),8+(O641-1)*3)&lt;U641*0.4,IF(U641*0.4-VLOOKUP(B635,INDIRECT($F$8),8+(O641-1)*3)&lt;=5,U641*0.4-VLOOKUP(B635,INDIRECT($F$8),8+(O641-1)*3),11),0))))</f>
        <v/>
      </c>
      <c r="X641" s="1" t="str">
        <f ca="1">IF(ISERROR(F635),"",IF(W641=0,"",_xlfn.TEXTJOIN("",FALSE," G+",W641," in ",A641)))</f>
        <v/>
      </c>
    </row>
    <row r="642" spans="1:24" ht="13" customHeight="1" x14ac:dyDescent="0.2">
      <c r="A642" s="7" t="str">
        <f ca="1">IF(ISERROR(F635),"",VLOOKUP(C635,INDIRECT($F$8),6+(O642-1)*3,0))</f>
        <v/>
      </c>
      <c r="B642" s="41" t="str">
        <f ca="1">IF(ISERROR(F635),"",VLOOKUP(D635,INDIRECT($F$8),6+(O642-1)*3,0))</f>
        <v/>
      </c>
      <c r="C642" s="41"/>
      <c r="D642" s="41"/>
      <c r="E642" s="41"/>
      <c r="F642" s="7" t="str">
        <f ca="1">IF(ISERROR(F635),"",VLOOKUP(E635,INDIRECT($F$8),6+(O642-1)*3,0))</f>
        <v/>
      </c>
      <c r="G642" s="42" t="str">
        <f ca="1">IF(ISERROR(F635),"",_xlfn.TEXTJOIN("/",FALSE,P642,S642))</f>
        <v/>
      </c>
      <c r="H642" s="42"/>
      <c r="I642" s="42" t="str">
        <f ca="1">IF(ISERROR(F635),"",_xlfn.TEXTJOIN("/",FALSE,Q642,T642))</f>
        <v/>
      </c>
      <c r="J642" s="42"/>
      <c r="K642" s="42" t="str">
        <f ca="1">IF(ISERROR(F635),"",_xlfn.TEXTJOIN("/",FALSE,R642,U642))</f>
        <v/>
      </c>
      <c r="L642" s="42"/>
      <c r="M642" s="7" t="str">
        <f ca="1">IF(ISERROR(F635),"",IF(ISTEXT(P642),IF(P642="A","Ab",IF(P642="D","Dt",IF(P642="UFM","UFM",IF(P642="NA","")))),IF(AND(ISBLANK(P642),ISBLANK(R642)),"",IF(P642&lt;0.3*S642,"F",IF(ISBLANK(R642),"",IF(ISTEXT(R642),R642,IF(R642&gt;=0.9*U642,"O",IF(R642&gt;=0.85*U642,"A+",IF(R642&gt;=0.8*U642,"A",IF(R642&gt;=0.7*U642,"B+",IF(R642&gt;=0.6*U642,"B",IF(R642&gt;=0.5*U642,"C",IF(R642&gt;=0.4*U642,"P",IF(R642&lt;0.4*U642,"F",R642))))))))))))))</f>
        <v/>
      </c>
      <c r="N642" s="8" t="str">
        <f t="shared" ca="1" si="66"/>
        <v/>
      </c>
      <c r="O642">
        <f>O641+1</f>
        <v>3</v>
      </c>
      <c r="P642" s="1" t="str">
        <f ca="1">IF(ISERROR(F635),"",IF(ISTEXT(VLOOKUP(B635,INDIRECT($F$8),6+(O642-1)*3)),(VLOOKUP(B635,INDIRECT($F$8),6+(O642-1)*3)),SUM(VLOOKUP(B635,INDIRECT($F$8),6+(O642-1)*3),IF(W650,W642,0))))</f>
        <v/>
      </c>
      <c r="Q642" s="1" t="str">
        <f ca="1">IF(ISERROR(F635),"",VLOOKUP(B635,INDIRECT($F$8),7+(O642-1)*3))</f>
        <v/>
      </c>
      <c r="R642" s="1" t="str">
        <f ca="1">IF(ISERROR(F635),"",SUM(P642:Q642))</f>
        <v/>
      </c>
      <c r="S642" s="1" t="str">
        <f ca="1">IF(ISERROR(F635),"",VLOOKUP(A635,INDIRECT($F$8),6+(O642-1)*3))</f>
        <v/>
      </c>
      <c r="T642" s="1" t="str">
        <f ca="1">IF(ISERROR(F635),"",VLOOKUP(A635,INDIRECT($F$8),7+(O642-1)*3))</f>
        <v/>
      </c>
      <c r="U642" s="1" t="str">
        <f ca="1">IF(ISERROR(F635),"",VLOOKUP(A635,INDIRECT($F$8),8+(O642-1)*3))</f>
        <v/>
      </c>
      <c r="V642" s="1" t="str">
        <f ca="1">IF(ISERROR(F635),"",IF(N642=0,A642,""))</f>
        <v/>
      </c>
      <c r="W642" s="1" t="str">
        <f ca="1">IF(ISERROR(F635),"",IF(ISTEXT(VLOOKUP(B635,INDIRECT($F$8),6+(O642-1)*3)),11,IF(VLOOKUP(B635,INDIRECT($F$8),6+(O642-1)*3)&lt;S642*0.3,IF(VLOOKUP(B635,INDIRECT($F$8),8+(O642-1)*3)&lt;U642*0.4,IF(AND(0.4*U642-VLOOKUP(B635,INDIRECT($F$8),8+(O642-1)*3)&lt;=5,0.3*S642-VLOOKUP(B635,INDIRECT($F$8),6+(O642-1)*3)&lt;=5),MAX(0.4*U642-VLOOKUP(B635,INDIRECT($F$8),8+(O642-1)*3),0.3*S642-VLOOKUP(B635,INDIRECT($F$8),6+(O642-1)*3)),11),IF(0.3*S642-VLOOKUP(B635,INDIRECT($F$8),6+(O642-1)*3)&lt;=5,0.3*S642-VLOOKUP(B635,INDIRECT($F$8),6+(O642-1)*3),11)),IF(VLOOKUP(B635,INDIRECT($F$8),8+(O642-1)*3)&lt;U642*0.4,IF(U642*0.4-VLOOKUP(B635,INDIRECT($F$8),8+(O642-1)*3)&lt;=5,U642*0.4-VLOOKUP(B635,INDIRECT($F$8),8+(O642-1)*3),11),0))))</f>
        <v/>
      </c>
      <c r="X642" s="1" t="str">
        <f ca="1">IF(ISERROR(F635),"",IF(W642=0,"",_xlfn.TEXTJOIN("",FALSE," G+",W642," in ",A642)))</f>
        <v/>
      </c>
    </row>
    <row r="643" spans="1:24" ht="13" customHeight="1" x14ac:dyDescent="0.2">
      <c r="A643" s="7" t="str">
        <f ca="1">IF(ISERROR(F635),"",VLOOKUP(C635,INDIRECT($F$8),6+(O643-1)*3,0))</f>
        <v/>
      </c>
      <c r="B643" s="41" t="str">
        <f ca="1">IF(ISERROR(F635),"",VLOOKUP(D635,INDIRECT($F$8),6+(O643-1)*3,0))</f>
        <v/>
      </c>
      <c r="C643" s="41"/>
      <c r="D643" s="41"/>
      <c r="E643" s="41"/>
      <c r="F643" s="7" t="str">
        <f ca="1">IF(ISERROR(F635),"",VLOOKUP(E635,INDIRECT($F$8),6+(O643-1)*3,0))</f>
        <v/>
      </c>
      <c r="G643" s="42" t="str">
        <f ca="1">IF(ISERROR(F635),"",_xlfn.TEXTJOIN("/",FALSE,P643,S643))</f>
        <v/>
      </c>
      <c r="H643" s="42"/>
      <c r="I643" s="42" t="str">
        <f ca="1">IF(ISERROR(F635),"",_xlfn.TEXTJOIN("/",FALSE,Q643,T643))</f>
        <v/>
      </c>
      <c r="J643" s="42"/>
      <c r="K643" s="42" t="str">
        <f ca="1">IF(ISERROR(F635),"",_xlfn.TEXTJOIN("/",FALSE,R643,U643))</f>
        <v/>
      </c>
      <c r="L643" s="42"/>
      <c r="M643" s="7" t="str">
        <f ca="1">IF(ISERROR(F635),"",IF(ISTEXT(P643),IF(P643="A","Ab",IF(P643="D","Dt",IF(P643="UFM","UFM",IF(P643="NA","")))),IF(AND(ISBLANK(P643),ISBLANK(R643)),"",IF(P643&lt;0.3*S643,"F",IF(ISBLANK(R643),"",IF(ISTEXT(R643),R643,IF(R643&gt;=0.9*U643,"O",IF(R643&gt;=0.85*U643,"A+",IF(R643&gt;=0.8*U643,"A",IF(R643&gt;=0.7*U643,"B+",IF(R643&gt;=0.6*U643,"B",IF(R643&gt;=0.5*U643,"C",IF(R643&gt;=0.4*U643,"P",IF(R643&lt;0.4*U643,"F",R643))))))))))))))</f>
        <v/>
      </c>
      <c r="N643" s="8" t="str">
        <f t="shared" ca="1" si="66"/>
        <v/>
      </c>
      <c r="O643">
        <f t="shared" ref="O643:O649" si="67">O642+1</f>
        <v>4</v>
      </c>
      <c r="P643" s="1" t="str">
        <f ca="1">IF(ISERROR(F635),"",IF(ISTEXT(VLOOKUP(B635,INDIRECT($F$8),6+(O643-1)*3)),(VLOOKUP(B635,INDIRECT($F$8),6+(O643-1)*3)),SUM(VLOOKUP(B635,INDIRECT($F$8),6+(O643-1)*3),IF(W650,W643,0))))</f>
        <v/>
      </c>
      <c r="Q643" s="1" t="str">
        <f ca="1">IF(ISERROR(F635),"",VLOOKUP(B635,INDIRECT($F$8),7+(O643-1)*3))</f>
        <v/>
      </c>
      <c r="R643" s="1" t="str">
        <f ca="1">IF(ISERROR(F635),"",SUM(P643:Q643))</f>
        <v/>
      </c>
      <c r="S643" s="1" t="str">
        <f ca="1">IF(ISERROR(F635),"",VLOOKUP(A635,INDIRECT($F$8),6+(O643-1)*3))</f>
        <v/>
      </c>
      <c r="T643" s="1" t="str">
        <f ca="1">IF(ISERROR(F635),"",VLOOKUP(A635,INDIRECT($F$8),7+(O643-1)*3))</f>
        <v/>
      </c>
      <c r="U643" s="1" t="str">
        <f ca="1">IF(ISERROR(F635),"",VLOOKUP(A635,INDIRECT($F$8),8+(O643-1)*3))</f>
        <v/>
      </c>
      <c r="V643" s="1" t="str">
        <f ca="1">IF(ISERROR(F635),"",IF(N643=0,A643,""))</f>
        <v/>
      </c>
      <c r="W643" s="1" t="str">
        <f ca="1">IF(ISERROR(F635),"",IF(ISTEXT(VLOOKUP(B635,INDIRECT($F$8),6+(O643-1)*3)),11,IF(VLOOKUP(B635,INDIRECT($F$8),6+(O643-1)*3)&lt;S643*0.3,IF(VLOOKUP(B635,INDIRECT($F$8),8+(O643-1)*3)&lt;U643*0.4,IF(AND(0.4*U643-VLOOKUP(B635,INDIRECT($F$8),8+(O643-1)*3)&lt;=5,0.3*S643-VLOOKUP(B635,INDIRECT($F$8),6+(O643-1)*3)&lt;=5),MAX(0.4*U643-VLOOKUP(B635,INDIRECT($F$8),8+(O643-1)*3),0.3*S643-VLOOKUP(B635,INDIRECT($F$8),6+(O643-1)*3)),11),IF(0.3*S643-VLOOKUP(B635,INDIRECT($F$8),6+(O643-1)*3)&lt;=5,0.3*S643-VLOOKUP(B635,INDIRECT($F$8),6+(O643-1)*3),11)),IF(VLOOKUP(B635,INDIRECT($F$8),8+(O643-1)*3)&lt;U643*0.4,IF(U643*0.4-VLOOKUP(B635,INDIRECT($F$8),8+(O643-1)*3)&lt;=5,U643*0.4-VLOOKUP(B635,INDIRECT($F$8),8+(O643-1)*3),11),0))))</f>
        <v/>
      </c>
      <c r="X643" s="1" t="str">
        <f ca="1">IF(ISERROR(F635),"",IF(W643=0,"",_xlfn.TEXTJOIN("",FALSE," G+",W643," in ",A643)))</f>
        <v/>
      </c>
    </row>
    <row r="644" spans="1:24" ht="13" customHeight="1" x14ac:dyDescent="0.2">
      <c r="A644" s="7" t="str">
        <f ca="1">IF(ISERROR(F635),"",VLOOKUP(C635,INDIRECT($F$8),6+(O644-1)*3,0))</f>
        <v/>
      </c>
      <c r="B644" s="41" t="str">
        <f ca="1">IF(ISERROR(F635),"",VLOOKUP(D635,INDIRECT($F$8),6+(O644-1)*3,0))</f>
        <v/>
      </c>
      <c r="C644" s="41"/>
      <c r="D644" s="41"/>
      <c r="E644" s="41"/>
      <c r="F644" s="7" t="str">
        <f ca="1">IF(ISERROR(F635),"",VLOOKUP(E635,INDIRECT($F$8),6+(O644-1)*3,0))</f>
        <v/>
      </c>
      <c r="G644" s="42" t="str">
        <f ca="1">IF(ISERROR(F635),"",_xlfn.TEXTJOIN("/",FALSE,P644,S644))</f>
        <v/>
      </c>
      <c r="H644" s="42"/>
      <c r="I644" s="42" t="str">
        <f ca="1">IF(ISERROR(F635),"",_xlfn.TEXTJOIN("/",FALSE,Q644,T644))</f>
        <v/>
      </c>
      <c r="J644" s="42"/>
      <c r="K644" s="42" t="str">
        <f ca="1">IF(ISERROR(F635),"",_xlfn.TEXTJOIN("/",FALSE,R644,U644))</f>
        <v/>
      </c>
      <c r="L644" s="42"/>
      <c r="M644" s="7" t="str">
        <f ca="1">IF(ISERROR(F635),"",IF(ISTEXT(P644),IF(P644="A","Ab",IF(P644="D","Dt",IF(P644="UFM","UFM",IF(P644="NA","")))),IF(AND(ISBLANK(P644),ISBLANK(R644)),"",IF(P644&lt;0.3*S644,"F",IF(ISBLANK(R644),"",IF(ISTEXT(R644),R644,IF(R644&gt;=0.9*U644,"O",IF(R644&gt;=0.85*U644,"A+",IF(R644&gt;=0.8*U644,"A",IF(R644&gt;=0.7*U644,"B+",IF(R644&gt;=0.6*U644,"B",IF(R644&gt;=0.5*U644,"C",IF(R644&gt;=0.4*U644,"P",IF(R644&lt;0.4*U644,"F",R644))))))))))))))</f>
        <v/>
      </c>
      <c r="N644" s="8" t="str">
        <f t="shared" ca="1" si="66"/>
        <v/>
      </c>
      <c r="O644">
        <f t="shared" si="67"/>
        <v>5</v>
      </c>
      <c r="P644" s="1" t="str">
        <f ca="1">IF(ISERROR(F635),"",IF(ISTEXT(VLOOKUP(B635,INDIRECT($F$8),6+(O644-1)*3)),(VLOOKUP(B635,INDIRECT($F$8),6+(O644-1)*3)),SUM(VLOOKUP(B635,INDIRECT($F$8),6+(O644-1)*3),IF(W650,W644,0))))</f>
        <v/>
      </c>
      <c r="Q644" s="1" t="str">
        <f ca="1">IF(ISERROR(F635),"",VLOOKUP(B635,INDIRECT($F$8),7+(O644-1)*3))</f>
        <v/>
      </c>
      <c r="R644" s="1" t="str">
        <f ca="1">IF(ISERROR(F635),"",SUM(P644:Q644))</f>
        <v/>
      </c>
      <c r="S644" s="1" t="str">
        <f ca="1">IF(ISERROR(F635),"",VLOOKUP(A635,INDIRECT($F$8),6+(O644-1)*3))</f>
        <v/>
      </c>
      <c r="T644" s="1" t="str">
        <f ca="1">IF(ISERROR(F635),"",VLOOKUP(A635,INDIRECT($F$8),7+(O644-1)*3))</f>
        <v/>
      </c>
      <c r="U644" s="1" t="str">
        <f ca="1">IF(ISERROR(F635),"",VLOOKUP(A635,INDIRECT($F$8),8+(O644-1)*3))</f>
        <v/>
      </c>
      <c r="V644" s="1" t="str">
        <f ca="1">IF(ISERROR(F635),"",IF(N644=0,A644,""))</f>
        <v/>
      </c>
      <c r="W644" s="1" t="str">
        <f ca="1">IF(ISERROR(F635),"",IF(ISTEXT(VLOOKUP(B635,INDIRECT($F$8),6+(O644-1)*3)),11,IF(VLOOKUP(B635,INDIRECT($F$8),6+(O644-1)*3)&lt;S644*0.3,IF(VLOOKUP(B635,INDIRECT($F$8),8+(O644-1)*3)&lt;U644*0.4,IF(AND(0.4*U644-VLOOKUP(B635,INDIRECT($F$8),8+(O644-1)*3)&lt;=5,0.3*S644-VLOOKUP(B635,INDIRECT($F$8),6+(O644-1)*3)&lt;=5),MAX(0.4*U644-VLOOKUP(B635,INDIRECT($F$8),8+(O644-1)*3),0.3*S644-VLOOKUP(B635,INDIRECT($F$8),6+(O644-1)*3)),11),IF(0.3*S644-VLOOKUP(B635,INDIRECT($F$8),6+(O644-1)*3)&lt;=5,0.3*S644-VLOOKUP(B635,INDIRECT($F$8),6+(O644-1)*3),11)),IF(VLOOKUP(B635,INDIRECT($F$8),8+(O644-1)*3)&lt;U644*0.4,IF(U644*0.4-VLOOKUP(B635,INDIRECT($F$8),8+(O644-1)*3)&lt;=5,U644*0.4-VLOOKUP(B635,INDIRECT($F$8),8+(O644-1)*3),11),0))))</f>
        <v/>
      </c>
      <c r="X644" s="1" t="str">
        <f ca="1">IF(ISERROR(F635),"",IF(W644=0,"",_xlfn.TEXTJOIN("",FALSE," G+",W644," in ",A644)))</f>
        <v/>
      </c>
    </row>
    <row r="645" spans="1:24" ht="13" customHeight="1" x14ac:dyDescent="0.2">
      <c r="A645" s="7" t="str">
        <f ca="1">IF(ISERROR(F635),"",VLOOKUP(C635,INDIRECT($F$8),6+(O645-1)*3,0))</f>
        <v/>
      </c>
      <c r="B645" s="41" t="str">
        <f ca="1">IF(ISERROR(F635),"",VLOOKUP(D635,INDIRECT($F$8),6+(O645-1)*3,0))</f>
        <v/>
      </c>
      <c r="C645" s="41"/>
      <c r="D645" s="41"/>
      <c r="E645" s="41"/>
      <c r="F645" s="7" t="str">
        <f ca="1">IF(ISERROR(F635),"",VLOOKUP(E635,INDIRECT($F$8),6+(O645-1)*3,0))</f>
        <v/>
      </c>
      <c r="G645" s="42" t="str">
        <f ca="1">IF(ISERROR(F635),"",_xlfn.TEXTJOIN("/",FALSE,P645,S645))</f>
        <v/>
      </c>
      <c r="H645" s="42"/>
      <c r="I645" s="42" t="str">
        <f ca="1">IF(ISERROR(F635),"",_xlfn.TEXTJOIN("/",FALSE,Q645,T645))</f>
        <v/>
      </c>
      <c r="J645" s="42"/>
      <c r="K645" s="42" t="str">
        <f ca="1">IF(ISERROR(F635),"",_xlfn.TEXTJOIN("/",FALSE,R645,U645))</f>
        <v/>
      </c>
      <c r="L645" s="42"/>
      <c r="M645" s="7" t="str">
        <f ca="1">IF(ISERROR(F635),"",IF(ISTEXT(P645),IF(P645="A","Ab",IF(P645="D","Dt",IF(P645="UFM","UFM",IF(P645="NA","")))),IF(AND(ISBLANK(P645),ISBLANK(R645)),"",IF(P645&lt;0.3*S645,"F",IF(ISBLANK(R645),"",IF(ISTEXT(R645),R645,IF(R645&gt;=0.9*U645,"O",IF(R645&gt;=0.85*U645,"A+",IF(R645&gt;=0.8*U645,"A",IF(R645&gt;=0.7*U645,"B+",IF(R645&gt;=0.6*U645,"B",IF(R645&gt;=0.5*U645,"C",IF(R645&gt;=0.4*U645,"P",IF(R645&lt;0.4*U645,"F",R645))))))))))))))</f>
        <v/>
      </c>
      <c r="N645" s="8" t="str">
        <f t="shared" ca="1" si="66"/>
        <v/>
      </c>
      <c r="O645">
        <f t="shared" si="67"/>
        <v>6</v>
      </c>
      <c r="P645" s="1" t="str">
        <f ca="1">IF(ISERROR(F635),"",IF(ISTEXT(VLOOKUP(B635,INDIRECT($F$8),6+(O645-1)*3)),(VLOOKUP(B635,INDIRECT($F$8),6+(O645-1)*3)),SUM(VLOOKUP(B635,INDIRECT($F$8),6+(O645-1)*3),IF(W650,W645,0))))</f>
        <v/>
      </c>
      <c r="Q645" s="1" t="str">
        <f ca="1">IF(ISERROR(F635),"",VLOOKUP(B635,INDIRECT($F$8),7+(O645-1)*3))</f>
        <v/>
      </c>
      <c r="R645" s="1" t="str">
        <f ca="1">IF(ISERROR(F635),"",SUM(P645:Q645))</f>
        <v/>
      </c>
      <c r="S645" s="1" t="str">
        <f ca="1">IF(ISERROR(F635),"",VLOOKUP(A635,INDIRECT($F$8),6+(O645-1)*3))</f>
        <v/>
      </c>
      <c r="T645" s="1" t="str">
        <f ca="1">IF(ISERROR(F635),"",VLOOKUP(A635,INDIRECT($F$8),7+(O645-1)*3))</f>
        <v/>
      </c>
      <c r="U645" s="1" t="str">
        <f ca="1">IF(ISERROR(F635),"",VLOOKUP(A635,INDIRECT($F$8),8+(O645-1)*3))</f>
        <v/>
      </c>
      <c r="V645" s="1" t="str">
        <f ca="1">IF(ISERROR(F635),"",IF(N645=0,A645,""))</f>
        <v/>
      </c>
      <c r="W645" s="1" t="str">
        <f ca="1">IF(ISERROR(F635),"",IF(ISTEXT(VLOOKUP(B635,INDIRECT($F$8),6+(O645-1)*3)),11,IF(VLOOKUP(B635,INDIRECT($F$8),6+(O645-1)*3)&lt;S645*0.3,IF(VLOOKUP(B635,INDIRECT($F$8),8+(O645-1)*3)&lt;U645*0.4,IF(AND(0.4*U645-VLOOKUP(B635,INDIRECT($F$8),8+(O645-1)*3)&lt;=5,0.3*S645-VLOOKUP(B635,INDIRECT($F$8),6+(O645-1)*3)&lt;=5),MAX(0.4*U645-VLOOKUP(B635,INDIRECT($F$8),8+(O645-1)*3),0.3*S645-VLOOKUP(B635,INDIRECT($F$8),6+(O645-1)*3)),11),IF(0.3*S645-VLOOKUP(B635,INDIRECT($F$8),6+(O645-1)*3)&lt;=5,0.3*S645-VLOOKUP(B635,INDIRECT($F$8),6+(O645-1)*3),11)),IF(VLOOKUP(B635,INDIRECT($F$8),8+(O645-1)*3)&lt;U645*0.4,IF(U645*0.4-VLOOKUP(B635,INDIRECT($F$8),8+(O645-1)*3)&lt;=5,U645*0.4-VLOOKUP(B635,INDIRECT($F$8),8+(O645-1)*3),11),0))))</f>
        <v/>
      </c>
      <c r="X645" s="1" t="str">
        <f ca="1">IF(ISERROR(F635),"",IF(W645=0,"",_xlfn.TEXTJOIN("",FALSE," G+",W645," in ",A645)))</f>
        <v/>
      </c>
    </row>
    <row r="646" spans="1:24" ht="13" customHeight="1" x14ac:dyDescent="0.2">
      <c r="A646" s="7" t="str">
        <f ca="1">IF(ISERROR(F635),"",VLOOKUP(C635,INDIRECT($F$8),6+(O646-1)*3,0))</f>
        <v/>
      </c>
      <c r="B646" s="41" t="str">
        <f ca="1">IF(ISERROR(F635),"",VLOOKUP(D635,INDIRECT($F$8),6+(O646-1)*3,0))</f>
        <v/>
      </c>
      <c r="C646" s="41"/>
      <c r="D646" s="41"/>
      <c r="E646" s="41"/>
      <c r="F646" s="7" t="str">
        <f ca="1">IF(ISERROR(F635),"",VLOOKUP(E635,INDIRECT($F$8),6+(O646-1)*3,0))</f>
        <v/>
      </c>
      <c r="G646" s="42" t="str">
        <f ca="1">IF(ISERROR(F635),"",_xlfn.TEXTJOIN("/",FALSE,P646,S646))</f>
        <v/>
      </c>
      <c r="H646" s="42"/>
      <c r="I646" s="42" t="str">
        <f ca="1">IF(ISERROR(F635),"",_xlfn.TEXTJOIN("/",FALSE,Q646,T646))</f>
        <v/>
      </c>
      <c r="J646" s="42"/>
      <c r="K646" s="42" t="str">
        <f ca="1">IF(ISERROR(F635),"",_xlfn.TEXTJOIN("/",FALSE,R646,U646))</f>
        <v/>
      </c>
      <c r="L646" s="42"/>
      <c r="M646" s="7" t="str">
        <f ca="1">IF(ISERROR(F635),"",IF(ISTEXT(P646),IF(P646="A","Ab",IF(P646="D","Dt",IF(P646="UFM","UFM",IF(P646="NA","")))),IF(AND(ISBLANK(P646),ISBLANK(R646)),"",IF(P646&lt;0.3*S646,"F",IF(ISBLANK(R646),"",IF(ISTEXT(R646),R646,IF(R646&gt;=0.9*U646,"O",IF(R646&gt;=0.85*U646,"A+",IF(R646&gt;=0.8*U646,"A",IF(R646&gt;=0.7*U646,"B+",IF(R646&gt;=0.6*U646,"B",IF(R646&gt;=0.5*U646,"C",IF(R646&gt;=0.4*U646,"P",IF(R646&lt;0.4*U646,"F",R646))))))))))))))</f>
        <v/>
      </c>
      <c r="N646" s="8" t="str">
        <f t="shared" ca="1" si="66"/>
        <v/>
      </c>
      <c r="O646">
        <f t="shared" si="67"/>
        <v>7</v>
      </c>
      <c r="P646" s="1" t="str">
        <f ca="1">IF(ISERROR(F635),"",IF(ISTEXT(VLOOKUP(B635,INDIRECT($F$8),6+(O646-1)*3)),(VLOOKUP(B635,INDIRECT($F$8),6+(O646-1)*3)),SUM(VLOOKUP(B635,INDIRECT($F$8),6+(O646-1)*3),IF(W650,W646,0))))</f>
        <v/>
      </c>
      <c r="Q646" s="1" t="str">
        <f ca="1">IF(ISERROR(F635),"",VLOOKUP(B635,INDIRECT($F$8),7+(O646-1)*3))</f>
        <v/>
      </c>
      <c r="R646" s="1" t="str">
        <f ca="1">IF(ISERROR(F635),"",SUM(P646:Q646))</f>
        <v/>
      </c>
      <c r="S646" s="1" t="str">
        <f ca="1">IF(ISERROR(F635),"",VLOOKUP(A635,INDIRECT($F$8),6+(O646-1)*3))</f>
        <v/>
      </c>
      <c r="T646" s="1" t="str">
        <f ca="1">IF(ISERROR(F635),"",VLOOKUP(A635,INDIRECT($F$8),7+(O646-1)*3))</f>
        <v/>
      </c>
      <c r="U646" s="1" t="str">
        <f ca="1">IF(ISERROR(F635),"",VLOOKUP(A635,INDIRECT($F$8),8+(O646-1)*3))</f>
        <v/>
      </c>
      <c r="V646" s="1" t="str">
        <f ca="1">IF(ISERROR(F635),"",IF(N646=0,A646,""))</f>
        <v/>
      </c>
      <c r="W646" s="1" t="str">
        <f ca="1">IF(ISERROR(F635),"",IF(ISTEXT(VLOOKUP(B635,INDIRECT($F$8),6+(O646-1)*3)),11,IF(VLOOKUP(B635,INDIRECT($F$8),6+(O646-1)*3)&lt;S646*0.3,IF(VLOOKUP(B635,INDIRECT($F$8),8+(O646-1)*3)&lt;U646*0.4,IF(AND(0.4*U646-VLOOKUP(B635,INDIRECT($F$8),8+(O646-1)*3)&lt;=5,0.3*S646-VLOOKUP(B635,INDIRECT($F$8),6+(O646-1)*3)&lt;=5),MAX(0.4*U646-VLOOKUP(B635,INDIRECT($F$8),8+(O646-1)*3),0.3*S646-VLOOKUP(B635,INDIRECT($F$8),6+(O646-1)*3)),11),IF(0.3*S646-VLOOKUP(B635,INDIRECT($F$8),6+(O646-1)*3)&lt;=5,0.3*S646-VLOOKUP(B635,INDIRECT($F$8),6+(O646-1)*3),11)),IF(VLOOKUP(B635,INDIRECT($F$8),8+(O646-1)*3)&lt;U646*0.4,IF(U646*0.4-VLOOKUP(B635,INDIRECT($F$8),8+(O646-1)*3)&lt;=5,U646*0.4-VLOOKUP(B635,INDIRECT($F$8),8+(O646-1)*3),11),0))))</f>
        <v/>
      </c>
      <c r="X646" s="1" t="str">
        <f ca="1">IF(ISERROR(F635),"",IF(W646=0,"",_xlfn.TEXTJOIN("",FALSE," G+",W646," in ",A646)))</f>
        <v/>
      </c>
    </row>
    <row r="647" spans="1:24" ht="13" customHeight="1" x14ac:dyDescent="0.2">
      <c r="A647" s="7" t="str">
        <f ca="1">IF(ISERROR(F635),"",VLOOKUP(C635,INDIRECT($F$8),6+(O647-1)*3,0))</f>
        <v/>
      </c>
      <c r="B647" s="41" t="str">
        <f ca="1">IF(ISERROR(F635),"",VLOOKUP(D635,INDIRECT($F$8),6+(O647-1)*3-Z647,0))</f>
        <v/>
      </c>
      <c r="C647" s="41"/>
      <c r="D647" s="41"/>
      <c r="E647" s="41"/>
      <c r="F647" s="7" t="str">
        <f ca="1">IF(ISERROR(F635),"",VLOOKUP(E635,INDIRECT($F$8),6+(O647-1)*3,0))</f>
        <v/>
      </c>
      <c r="G647" s="42" t="str">
        <f ca="1">IF(ISERROR(F635),"",_xlfn.TEXTJOIN("/",FALSE,P647,S647))</f>
        <v/>
      </c>
      <c r="H647" s="42"/>
      <c r="I647" s="42" t="str">
        <f ca="1">IF(ISERROR(F635),"",_xlfn.TEXTJOIN("/",FALSE,Q647,T647))</f>
        <v/>
      </c>
      <c r="J647" s="42"/>
      <c r="K647" s="42" t="str">
        <f ca="1">IF(ISERROR(F635),"",_xlfn.TEXTJOIN("/",FALSE,R647,U647))</f>
        <v/>
      </c>
      <c r="L647" s="42"/>
      <c r="M647" s="7" t="str">
        <f ca="1">IF(ISERROR(F635),"",IF(ISTEXT(P647),IF(P647="A","Ab",IF(P647="D","Dt",IF(P647="UFM","UFM",IF(P647="NA","")))),IF(AND(ISBLANK(P647),ISBLANK(R647)),"",IF(P647&lt;0.3*S647,"F",IF(ISBLANK(R647),"",IF(ISTEXT(R647),R647,IF(R647&gt;=0.9*U647,"O",IF(R647&gt;=0.85*U647,"A+",IF(R647&gt;=0.8*U647,"A",IF(R647&gt;=0.7*U647,"B+",IF(R647&gt;=0.6*U647,"B",IF(R647&gt;=0.5*U647,"C",IF(R647&gt;=0.4*U647,"P",IF(R647&lt;0.4*U647,"F",R647))))))))))))))</f>
        <v/>
      </c>
      <c r="N647" s="8" t="str">
        <f t="shared" ca="1" si="66"/>
        <v/>
      </c>
      <c r="O647">
        <f t="shared" si="67"/>
        <v>8</v>
      </c>
      <c r="P647" s="1" t="str">
        <f ca="1">IF(ISERROR(F635),"",IF(ISTEXT(VLOOKUP(B635,INDIRECT($F$8),6+(O647-1)*3)),(VLOOKUP(B635,INDIRECT($F$8),6+(O647-1)*3)),SUM(VLOOKUP(B635,INDIRECT($F$8),6+(O647-1)*3),IF(W650,W647,0))))</f>
        <v/>
      </c>
      <c r="Q647" s="1" t="str">
        <f ca="1">IF(ISERROR(F635),"",VLOOKUP(B635,INDIRECT($F$8),7+(O647-1)*3))</f>
        <v/>
      </c>
      <c r="R647" s="1" t="str">
        <f ca="1">IF(ISERROR(F635),"",SUM(P647:Q647))</f>
        <v/>
      </c>
      <c r="S647" s="1" t="str">
        <f ca="1">IF(ISERROR(F635),"",VLOOKUP(A635,INDIRECT($F$8),6+(O647-1)*3))</f>
        <v/>
      </c>
      <c r="T647" s="1" t="str">
        <f ca="1">IF(ISERROR(F635),"",VLOOKUP(A635,INDIRECT($F$8),7+(O647-1)*3))</f>
        <v/>
      </c>
      <c r="U647" s="1" t="str">
        <f ca="1">IF(ISERROR(F635),"",VLOOKUP(A635,INDIRECT($F$8),8+(O647-1)*3))</f>
        <v/>
      </c>
      <c r="V647" s="1" t="str">
        <f ca="1">IF(ISERROR(F635),"",IF(N647=0,A647,""))</f>
        <v/>
      </c>
      <c r="W647" s="1" t="str">
        <f ca="1">IF(ISERROR(F635),"",IF(ISTEXT(VLOOKUP(B635,INDIRECT($F$8),6+(O647-1)*3)),11,IF(VLOOKUP(B635,INDIRECT($F$8),6+(O647-1)*3)&lt;S647*0.3,IF(VLOOKUP(B635,INDIRECT($F$8),8+(O647-1)*3)&lt;U647*0.4,IF(AND(0.4*U647-VLOOKUP(B635,INDIRECT($F$8),8+(O647-1)*3)&lt;=5,0.3*S647-VLOOKUP(B635,INDIRECT($F$8),6+(O647-1)*3)&lt;=5),MAX(0.4*U647-VLOOKUP(B635,INDIRECT($F$8),8+(O647-1)*3),0.3*S647-VLOOKUP(B635,INDIRECT($F$8),6+(O647-1)*3)),11),IF(0.3*S647-VLOOKUP(B635,INDIRECT($F$8),6+(O647-1)*3)&lt;=5,0.3*S647-VLOOKUP(B635,INDIRECT($F$8),6+(O647-1)*3),11)),IF(VLOOKUP(B635,INDIRECT($F$8),8+(O647-1)*3)&lt;U647*0.4,IF(U647*0.4-VLOOKUP(B635,INDIRECT($F$8),8+(O647-1)*3)&lt;=5,U647*0.4-VLOOKUP(B635,INDIRECT($F$8),8+(O647-1)*3),11),0))))</f>
        <v/>
      </c>
      <c r="X647" s="1" t="str">
        <f ca="1">IF(ISERROR(F635),"",IF(W647=0,"",_xlfn.TEXTJOIN("",FALSE," G+",W647," in ",A647)))</f>
        <v/>
      </c>
    </row>
    <row r="648" spans="1:24" ht="13" customHeight="1" x14ac:dyDescent="0.2">
      <c r="A648" s="7" t="str">
        <f ca="1">IF(ISERROR(F635),"",VLOOKUP(C635,INDIRECT($F$8),6+(O648-1)*3,0))</f>
        <v/>
      </c>
      <c r="B648" s="41" t="str">
        <f ca="1">IF(ISERROR(F635),"",VLOOKUP(D635,INDIRECT($F$8),6+(O648-1)*3-Z648,0))</f>
        <v/>
      </c>
      <c r="C648" s="41"/>
      <c r="D648" s="41"/>
      <c r="E648" s="41"/>
      <c r="F648" s="7" t="str">
        <f ca="1">IF(ISERROR(F635),"",VLOOKUP(E635,INDIRECT($F$8),6+(O648-1)*3,0))</f>
        <v/>
      </c>
      <c r="G648" s="42" t="str">
        <f ca="1">IF(ISERROR(F635),"",_xlfn.TEXTJOIN("/",FALSE,P648,S648))</f>
        <v/>
      </c>
      <c r="H648" s="42"/>
      <c r="I648" s="42" t="str">
        <f ca="1">IF(ISERROR(F635),"",_xlfn.TEXTJOIN("/",FALSE,Q648,T648))</f>
        <v/>
      </c>
      <c r="J648" s="42"/>
      <c r="K648" s="42" t="str">
        <f ca="1">IF(ISERROR(F635),"",_xlfn.TEXTJOIN("/",FALSE,R648,U648))</f>
        <v/>
      </c>
      <c r="L648" s="42"/>
      <c r="M648" s="7" t="str">
        <f ca="1">IF(ISERROR(F635),"",IF(ISTEXT(P648),IF(P648="A","Ab",IF(P648="D","Dt",IF(P648="UFM","UFM",IF(P648="NA","")))),IF(AND(ISBLANK(P648),ISBLANK(R648)),"",IF(P648&lt;0.3*S648,"F",IF(ISBLANK(R648),"",IF(ISTEXT(R648),R648,IF(R648&gt;=0.9*U648,"O",IF(R648&gt;=0.85*U648,"A+",IF(R648&gt;=0.8*U648,"A",IF(R648&gt;=0.7*U648,"B+",IF(R648&gt;=0.6*U648,"B",IF(R648&gt;=0.5*U648,"C",IF(R648&gt;=0.4*U648,"P",IF(R648&lt;0.4*U648,"F",R648))))))))))))))</f>
        <v/>
      </c>
      <c r="N648" s="8" t="str">
        <f t="shared" ca="1" si="66"/>
        <v/>
      </c>
      <c r="O648">
        <f t="shared" si="67"/>
        <v>9</v>
      </c>
      <c r="P648" s="1" t="str">
        <f ca="1">IF(ISERROR(F635),"",IF(ISTEXT(VLOOKUP(B635,INDIRECT($F$8),6+(O648-1)*3)),(VLOOKUP(B635,INDIRECT($F$8),6+(O648-1)*3)),SUM(VLOOKUP(B635,INDIRECT($F$8),6+(O648-1)*3),IF(W650,W648,0))))</f>
        <v/>
      </c>
      <c r="Q648" s="1" t="str">
        <f ca="1">IF(ISERROR(F635),"",VLOOKUP(B635,INDIRECT($F$8),7+(O648-1)*3))</f>
        <v/>
      </c>
      <c r="R648" s="1" t="str">
        <f ca="1">IF(ISERROR(F635),"",SUM(P648:Q648))</f>
        <v/>
      </c>
      <c r="S648" s="1" t="str">
        <f ca="1">IF(ISERROR(F635),"",VLOOKUP(A635,INDIRECT($F$8),6+(O648-1)*3))</f>
        <v/>
      </c>
      <c r="T648" s="1" t="str">
        <f ca="1">IF(ISERROR(F635),"",VLOOKUP(A635,INDIRECT($F$8),7+(O648-1)*3))</f>
        <v/>
      </c>
      <c r="U648" s="1" t="str">
        <f ca="1">IF(ISERROR(F635),"",VLOOKUP(A635,INDIRECT($F$8),8+(O648-1)*3))</f>
        <v/>
      </c>
      <c r="V648" s="1" t="str">
        <f ca="1">IF(ISERROR(F635),"",IF(N648=0,A648,""))</f>
        <v/>
      </c>
      <c r="W648" s="1" t="str">
        <f ca="1">IF(ISERROR(F635),"",IF(ISTEXT(VLOOKUP(B635,INDIRECT($F$8),6+(O648-1)*3)),11,IF(VLOOKUP(B635,INDIRECT($F$8),6+(O648-1)*3)&lt;S648*0.3,IF(VLOOKUP(B635,INDIRECT($F$8),8+(O648-1)*3)&lt;U648*0.4,IF(AND(0.4*U648-VLOOKUP(B635,INDIRECT($F$8),8+(O648-1)*3)&lt;=5,0.3*S648-VLOOKUP(B635,INDIRECT($F$8),6+(O648-1)*3)&lt;=5),MAX(0.4*U648-VLOOKUP(B635,INDIRECT($F$8),8+(O648-1)*3),0.3*S648-VLOOKUP(B635,INDIRECT($F$8),6+(O648-1)*3)),11),IF(0.3*S648-VLOOKUP(B635,INDIRECT($F$8),6+(O648-1)*3)&lt;=5,0.3*S648-VLOOKUP(B635,INDIRECT($F$8),6+(O648-1)*3),11)),IF(VLOOKUP(B635,INDIRECT($F$8),8+(O648-1)*3)&lt;U648*0.4,IF(U648*0.4-VLOOKUP(B635,INDIRECT($F$8),8+(O648-1)*3)&lt;=5,U648*0.4-VLOOKUP(B635,INDIRECT($F$8),8+(O648-1)*3),11),0))))</f>
        <v/>
      </c>
      <c r="X648" s="1" t="str">
        <f ca="1">IF(ISERROR(F635),"",IF(W648=0,"",_xlfn.TEXTJOIN("",FALSE," G+",W648," in ",A648)))</f>
        <v/>
      </c>
    </row>
    <row r="649" spans="1:24" ht="13" customHeight="1" x14ac:dyDescent="0.2">
      <c r="A649" s="7" t="str">
        <f ca="1">IF(ISERROR(F635),"",VLOOKUP(C635,INDIRECT($F$8),6+(O649-1)*3,0))</f>
        <v/>
      </c>
      <c r="B649" s="41" t="str">
        <f ca="1">IF(ISERROR(F635),"",VLOOKUP(D635,INDIRECT($F$8),6+(O649-1)*3,0))</f>
        <v/>
      </c>
      <c r="C649" s="41"/>
      <c r="D649" s="41"/>
      <c r="E649" s="41"/>
      <c r="F649" s="7" t="str">
        <f ca="1">IF(ISERROR(F635),"",VLOOKUP(E635,INDIRECT($F$8),6+(O649-1)*3,0))</f>
        <v/>
      </c>
      <c r="G649" s="42" t="str">
        <f ca="1">IF(ISERROR(F635),"",_xlfn.TEXTJOIN("/",FALSE,P649,S649))</f>
        <v/>
      </c>
      <c r="H649" s="42"/>
      <c r="I649" s="42" t="str">
        <f ca="1">IF(ISERROR(F635),"",_xlfn.TEXTJOIN("/",FALSE,Q649,T649))</f>
        <v/>
      </c>
      <c r="J649" s="42"/>
      <c r="K649" s="42" t="str">
        <f ca="1">IF(ISERROR(F635),"",_xlfn.TEXTJOIN("/",FALSE,R649,U649))</f>
        <v/>
      </c>
      <c r="L649" s="42"/>
      <c r="M649" s="7" t="str">
        <f ca="1">IF(ISERROR(F635),"",IF(ISTEXT(P649),IF(P649="A","Ab",IF(P649="D","Dt",IF(P649="UFM","UFM",IF(P649="NA","")))),IF(AND(ISBLANK(P649),ISBLANK(R649)),"",IF(P649&lt;0.3*S649,"F",IF(ISBLANK(R649),"",IF(ISTEXT(R649),R649,IF(R649&gt;=0.9*U649,"O",IF(R649&gt;=0.85*U649,"A+",IF(R649&gt;=0.8*U649,"A",IF(R649&gt;=0.7*U649,"B+",IF(R649&gt;=0.6*U649,"B",IF(R649&gt;=0.5*U649,"C",IF(R649&gt;=0.4*U649,"P",IF(R649&lt;0.4*U649,"F",R649))))))))))))))</f>
        <v/>
      </c>
      <c r="N649" s="8" t="str">
        <f t="shared" ca="1" si="66"/>
        <v/>
      </c>
      <c r="O649">
        <f t="shared" si="67"/>
        <v>10</v>
      </c>
      <c r="P649" s="1" t="str">
        <f ca="1">IF(ISERROR(F635),"",IF(ISTEXT(VLOOKUP(B635,INDIRECT($F$8),6+(O649-1)*3)),(VLOOKUP(B635,INDIRECT($F$8),6+(O649-1)*3)),SUM(VLOOKUP(B635,INDIRECT($F$8),6+(O649-1)*3),IF(W650,W649,0))))</f>
        <v/>
      </c>
      <c r="Q649" s="1" t="str">
        <f ca="1">IF(ISERROR(F635),"",VLOOKUP(B635,INDIRECT($F$8),7+(O649-1)*3))</f>
        <v/>
      </c>
      <c r="R649" s="1" t="str">
        <f ca="1">IF(ISERROR(F635),"",SUM(P649:Q649))</f>
        <v/>
      </c>
      <c r="S649" s="1" t="str">
        <f ca="1">IF(ISERROR(F635),"",VLOOKUP(A635,INDIRECT($F$8),6+(O649-1)*3))</f>
        <v/>
      </c>
      <c r="T649" s="1" t="str">
        <f ca="1">IF(ISERROR(F635),"",VLOOKUP(A635,INDIRECT($F$8),7+(O649-1)*3))</f>
        <v/>
      </c>
      <c r="U649" s="1" t="str">
        <f ca="1">IF(ISERROR(F635),"",VLOOKUP(A635,INDIRECT($F$8),8+(O649-1)*3))</f>
        <v/>
      </c>
      <c r="V649" s="1" t="str">
        <f ca="1">IF(ISERROR(F635),"",IF(N649=0,A649,""))</f>
        <v/>
      </c>
      <c r="W649" s="1" t="str">
        <f ca="1">IF(ISERROR(F635),"",IF(ISTEXT(VLOOKUP(B635,INDIRECT($F$8),6+(O649-1)*3)),11,IF(VLOOKUP(B635,INDIRECT($F$8),6+(O649-1)*3)&lt;S649*0.3,IF(VLOOKUP(B635,INDIRECT($F$8),8+(O649-1)*3)&lt;U649*0.4,IF(AND(0.4*U649-VLOOKUP(B635,INDIRECT($F$8),8+(O649-1)*3)&lt;=5,0.3*S649-VLOOKUP(B635,INDIRECT($F$8),6+(O649-1)*3)&lt;=5),MAX(0.4*U649-VLOOKUP(B635,INDIRECT($F$8),8+(O649-1)*3),0.3*S649-VLOOKUP(B635,INDIRECT($F$8),6+(O649-1)*3)),11),IF(0.3*S649-VLOOKUP(B635,INDIRECT($F$8),6+(O649-1)*3)&lt;=5,0.3*S649-VLOOKUP(B635,INDIRECT($F$8),6+(O649-1)*3),11)),IF(VLOOKUP(B635,INDIRECT($F$8),8+(O649-1)*3)&lt;U649*0.4,IF(U649*0.4-VLOOKUP(B635,INDIRECT($F$8),8+(O649-1)*3)&lt;=5,U649*0.4-VLOOKUP(B635,INDIRECT($F$8),8+(O649-1)*3),11),0))))</f>
        <v/>
      </c>
      <c r="X649" s="1" t="str">
        <f ca="1">IF(ISERROR(F635),"",IF(W649=0,"",_xlfn.TEXTJOIN("",FALSE," G+",W649," in ",A649)))</f>
        <v/>
      </c>
    </row>
    <row r="650" spans="1:24" ht="13" customHeight="1" x14ac:dyDescent="0.2">
      <c r="A650" s="43" t="str">
        <f ca="1">IF(ISERROR(F635),"",A631)</f>
        <v/>
      </c>
      <c r="B650" s="43"/>
      <c r="C650" s="43"/>
      <c r="D650" s="43"/>
      <c r="E650" s="43"/>
      <c r="F650" s="10" t="str">
        <f ca="1">IF(ISERROR(F635),"",SUM(F640:F649))</f>
        <v/>
      </c>
      <c r="G650" s="44" t="str">
        <f ca="1">IF(ISERROR(F635),"",_xlfn.TEXTJOIN("/",TRUE,SUMIF(F640:F649,"&gt;0",P640:P649),SUMIF(F640:F649,"&gt;0",S640:S649)))</f>
        <v/>
      </c>
      <c r="H650" s="44"/>
      <c r="I650" s="44" t="str">
        <f ca="1">IF(ISERROR(F635),"",_xlfn.TEXTJOIN("/",TRUE,SUMIF(F640:F649,"&gt;0",Q640:Q649),SUMIF(F640:F649,"&gt;0",T640:T649)))</f>
        <v/>
      </c>
      <c r="J650" s="44"/>
      <c r="K650" s="44" t="str">
        <f ca="1">IF(ISERROR(F635),"",_xlfn.TEXTJOIN("/",TRUE,SUMIF(F640:F649,"&gt;0",R640:R649),SUMIF(F640:F649,"&gt;0",U640:U649)))</f>
        <v/>
      </c>
      <c r="L650" s="44"/>
      <c r="M650" s="43" t="str">
        <f ca="1">IF(ISERROR(F635),"",SUMPRODUCT(N640:N649,F640:F649))</f>
        <v/>
      </c>
      <c r="N650" s="43"/>
      <c r="V650" s="1" t="str">
        <f ca="1">IF(ISERROR(F635),"",_xlfn.TEXTJOIN(", ",TRUE,V640:V649))</f>
        <v/>
      </c>
      <c r="W650" t="str">
        <f ca="1">IF(ISERROR(F635),"",IF(SUM(W640:W649)&lt;=W639,TRUE,FALSE))</f>
        <v/>
      </c>
      <c r="X650" s="1" t="str">
        <f ca="1">IF(ISERROR(F635),"",_xlfn.TEXTJOIN(",",TRUE,X640:X649))</f>
        <v/>
      </c>
    </row>
    <row r="651" spans="1:24" ht="13" customHeight="1" x14ac:dyDescent="0.2">
      <c r="A651" s="43" t="str">
        <f ca="1">IF(ISERROR(F635),"",A632)</f>
        <v/>
      </c>
      <c r="B651" s="45" t="str">
        <f ca="1">IF(ISERROR(F635),"",IF(V650="","PASS","CARRY OVER"))</f>
        <v/>
      </c>
      <c r="C651" s="45"/>
      <c r="D651" s="43" t="str">
        <f ca="1">IF(ISERROR(F635),"",D632)</f>
        <v/>
      </c>
      <c r="E651" s="45" t="str">
        <f ca="1">IF(ISERROR(F635),"",IF(V650="",IF(X650="","",X650),_xlfn.TEXTJOIN(" ",TRUE,"BACK IN",V650)))</f>
        <v/>
      </c>
      <c r="F651" s="45"/>
      <c r="G651" s="43" t="str">
        <f ca="1">IF(ISERROR(F635),"",G632)</f>
        <v/>
      </c>
      <c r="H651" s="46" t="str">
        <f ca="1">IF(ISERROR(F635),"",M650/F650)</f>
        <v/>
      </c>
      <c r="I651" s="43" t="str">
        <f ca="1">IF(ISERROR(F635),"",I632)</f>
        <v/>
      </c>
      <c r="J651" s="46" t="str">
        <f ca="1">IF(ISERROR(F635),"",VLOOKUP(B635,INDIRECT($F$8),12+(O649-1)*3,0))</f>
        <v/>
      </c>
      <c r="K651" s="45" t="str">
        <f ca="1">IF(ISERROR(F635),"",K632)</f>
        <v/>
      </c>
      <c r="L651" s="43" t="str">
        <f ca="1">IF(ISERROR(F635),"",SUMIF(N640:N649,"&gt;0",F640:F649))</f>
        <v/>
      </c>
      <c r="M651" s="45" t="str">
        <f ca="1">IF(ISERROR(F635),"",M632)</f>
        <v/>
      </c>
      <c r="N651" s="43" t="str">
        <f ca="1">IF(ISERROR(F635),"",VLOOKUP(B635,INDIRECT($F$8),10+(O649-1)*3,0))</f>
        <v/>
      </c>
    </row>
    <row r="652" spans="1:24" ht="13" customHeight="1" x14ac:dyDescent="0.2">
      <c r="A652" s="43"/>
      <c r="B652" s="45"/>
      <c r="C652" s="45"/>
      <c r="D652" s="43"/>
      <c r="E652" s="45"/>
      <c r="F652" s="45"/>
      <c r="G652" s="43"/>
      <c r="H652" s="46"/>
      <c r="I652" s="43"/>
      <c r="J652" s="46"/>
      <c r="K652" s="45"/>
      <c r="L652" s="43"/>
      <c r="M652" s="45"/>
      <c r="N652" s="43"/>
    </row>
    <row r="653" spans="1:24" ht="13" customHeight="1" x14ac:dyDescent="0.2">
      <c r="A653" s="43"/>
      <c r="B653" s="45"/>
      <c r="C653" s="45"/>
      <c r="D653" s="43"/>
      <c r="E653" s="45"/>
      <c r="F653" s="45"/>
      <c r="G653" s="43"/>
      <c r="H653" s="46"/>
      <c r="I653" s="43"/>
      <c r="J653" s="46"/>
      <c r="K653" s="45"/>
      <c r="L653" s="43"/>
      <c r="M653" s="45"/>
      <c r="N653" s="43"/>
    </row>
    <row r="654" spans="1:24" ht="13" customHeight="1" x14ac:dyDescent="0.2">
      <c r="A654" s="11" t="str">
        <f>A635</f>
        <v>MM</v>
      </c>
      <c r="B654" s="11">
        <f>B635+1</f>
        <v>35</v>
      </c>
      <c r="C654" s="11" t="str">
        <f>C635</f>
        <v>SC</v>
      </c>
      <c r="D654" s="11" t="str">
        <f>D635</f>
        <v>SN</v>
      </c>
      <c r="E654" s="11" t="str">
        <f>E635</f>
        <v>C</v>
      </c>
      <c r="F654" s="11" t="e">
        <f ca="1">VLOOKUP(B654,INDIRECT($F$8),4,0)</f>
        <v>#N/A</v>
      </c>
    </row>
    <row r="655" spans="1:24" ht="13" customHeight="1" x14ac:dyDescent="0.2">
      <c r="A655" s="47" t="str">
        <f ca="1">IF(ISERROR(F654),"",A636)</f>
        <v/>
      </c>
      <c r="B655" s="47" t="str">
        <f ca="1">IFERROR(VLOOKUP(B654,INDIRECT($F$8),4,0),"")</f>
        <v/>
      </c>
      <c r="C655" s="47"/>
      <c r="D655" s="47" t="str">
        <f ca="1">IF(ISERROR(F654),"",D636)</f>
        <v/>
      </c>
      <c r="E655" s="47" t="str">
        <f ca="1">IFERROR(VLOOKUP(B654,INDIRECT($F$8),5,0),"")</f>
        <v/>
      </c>
      <c r="F655" s="47"/>
      <c r="G655" s="47" t="str">
        <f ca="1">IF(ISERROR(F654),"",G636)</f>
        <v/>
      </c>
      <c r="H655" s="47"/>
      <c r="I655" s="48" t="str">
        <f ca="1">IFERROR(VLOOKUP(B654,INDIRECT($F$8),2,0),"")</f>
        <v/>
      </c>
      <c r="J655" s="48"/>
      <c r="K655" s="47" t="str">
        <f ca="1">IF(ISERROR(F654),"",K636)</f>
        <v/>
      </c>
      <c r="L655" s="47"/>
      <c r="M655" s="48" t="str">
        <f ca="1">IFERROR(VLOOKUP(B654,INDIRECT($F$8),3,0),"")</f>
        <v/>
      </c>
      <c r="N655" s="48"/>
    </row>
    <row r="656" spans="1:24" ht="13" customHeight="1" x14ac:dyDescent="0.2">
      <c r="A656" s="47"/>
      <c r="B656" s="47"/>
      <c r="C656" s="47"/>
      <c r="D656" s="47"/>
      <c r="E656" s="47"/>
      <c r="F656" s="47"/>
      <c r="G656" s="47"/>
      <c r="H656" s="47"/>
      <c r="I656" s="48"/>
      <c r="J656" s="48"/>
      <c r="K656" s="47"/>
      <c r="L656" s="47"/>
      <c r="M656" s="48"/>
      <c r="N656" s="48"/>
    </row>
    <row r="657" spans="1:24" ht="13" customHeight="1" x14ac:dyDescent="0.2">
      <c r="A657" s="45" t="str">
        <f ca="1">IF(ISERROR(F654),"",A638)</f>
        <v/>
      </c>
      <c r="B657" s="45" t="str">
        <f ca="1">IF(ISERROR(F654),"",B638)</f>
        <v/>
      </c>
      <c r="C657" s="45"/>
      <c r="D657" s="45"/>
      <c r="E657" s="45"/>
      <c r="F657" s="45" t="str">
        <f ca="1">IF(ISERROR(F654),"",F638)</f>
        <v/>
      </c>
      <c r="G657" s="45" t="str">
        <f ca="1">IF(ISERROR(F654),"",G638)</f>
        <v/>
      </c>
      <c r="H657" s="45"/>
      <c r="I657" s="45" t="str">
        <f ca="1">IF(ISERROR(F654),"",I638)</f>
        <v/>
      </c>
      <c r="J657" s="45"/>
      <c r="K657" s="45" t="str">
        <f ca="1">IF(ISERROR(F654),"",K638)</f>
        <v/>
      </c>
      <c r="L657" s="45"/>
      <c r="M657" s="45" t="str">
        <f ca="1">IF(ISERROR(F654),"",M638)</f>
        <v/>
      </c>
      <c r="N657" s="45" t="str">
        <f ca="1">IF(ISERROR(F654),"",N638)</f>
        <v/>
      </c>
    </row>
    <row r="658" spans="1:24" ht="13" customHeight="1" x14ac:dyDescent="0.2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W658" t="e">
        <f ca="1">IF(ISNUMBER(MATCH($F$8,{"I","III","V","VII"},0)),10,10-INDEX(INDIRECT(_xlfn.TEXTJOIN("",TRUE,"SEM_",$G$8,"!",ADDRESS(6,4+$I$8*3+4),":",ADDRESS(5+$H$8,4+$I$8*3+4))),MATCH(INDIRECT(_xlfn.TEXTJOIN("",TRUE,"TC_",$F$8,"!",ADDRESS(ROW(I655),COLUMN(I655)))),INDIRECT(_xlfn.TEXTJOIN("",TRUE,"SEM_",$G$8,"!",ADDRESS(6,2),":",ADDRESS(5+$H$8,2))))))</f>
        <v>#N/A</v>
      </c>
    </row>
    <row r="659" spans="1:24" ht="13" customHeight="1" x14ac:dyDescent="0.2">
      <c r="A659" s="7" t="str">
        <f ca="1">IF(ISERROR(F654),"",VLOOKUP(C654,INDIRECT($F$8),6+(O659-1)*3,0))</f>
        <v/>
      </c>
      <c r="B659" s="41" t="str">
        <f ca="1">IF(ISERROR(F654),"",VLOOKUP(D654,INDIRECT($F$8),6+(O659-1)*3,0))</f>
        <v/>
      </c>
      <c r="C659" s="41"/>
      <c r="D659" s="41"/>
      <c r="E659" s="41"/>
      <c r="F659" s="7" t="str">
        <f ca="1">IF(ISERROR(F654),"",VLOOKUP(E654,INDIRECT($F$8),6+(O659-1)*3,0))</f>
        <v/>
      </c>
      <c r="G659" s="42" t="str">
        <f ca="1">IF(ISERROR(F654),"",_xlfn.TEXTJOIN("/",FALSE,P659,S659))</f>
        <v/>
      </c>
      <c r="H659" s="42"/>
      <c r="I659" s="42" t="str">
        <f ca="1">IF(ISERROR(F654),"",_xlfn.TEXTJOIN("/",FALSE,Q659,T659))</f>
        <v/>
      </c>
      <c r="J659" s="42"/>
      <c r="K659" s="42" t="str">
        <f ca="1">IF(ISERROR(F654),"",_xlfn.TEXTJOIN("/",FALSE,R659,U659))</f>
        <v/>
      </c>
      <c r="L659" s="42"/>
      <c r="M659" s="7" t="str">
        <f ca="1">IF(ISERROR(F654),"",IF(ISTEXT(P659),IF(P659="A","Ab",IF(P659="D","Dt",IF(P659="UFM","UFM",IF(P659="NA","")))),IF(AND(ISBLANK(P659),ISBLANK(R659)),"",IF(P659&lt;0.3*S659,"F",IF(ISBLANK(R659),"",IF(ISTEXT(R659),R659,IF(R659&gt;=0.9*U659,"O",IF(R659&gt;=0.85*U659,"A+",IF(R659&gt;=0.8*U659,"A",IF(R659&gt;=0.7*U659,"B+",IF(R659&gt;=0.6*U659,"B",IF(R659&gt;=0.5*U659,"C",IF(R659&gt;=0.4*U659,"P",IF(R659&lt;0.4*U659,"F",R659))))))))))))))</f>
        <v/>
      </c>
      <c r="N659" s="8" t="str">
        <f t="shared" ref="N659:N668" ca="1" si="68">INDEX($Z$2:$Z$13,MATCH(M659,$Y$2:$Y$13,0))</f>
        <v/>
      </c>
      <c r="O659">
        <v>1</v>
      </c>
      <c r="P659" s="1" t="str">
        <f ca="1">IF(ISERROR(F654),"",IF(ISTEXT(VLOOKUP(B654,INDIRECT($F$8),6+(O659-1)*3)),(VLOOKUP(B654,INDIRECT($F$8),6+(O659-1)*3)),SUM(VLOOKUP(B654,INDIRECT($F$8),6+(O659-1)*3),IF(W669,W659,0))))</f>
        <v/>
      </c>
      <c r="Q659" s="1" t="str">
        <f ca="1">IF(ISERROR(F654),"",VLOOKUP(B654,INDIRECT($F$8),7+(O659-1)*3))</f>
        <v/>
      </c>
      <c r="R659" s="1" t="str">
        <f ca="1">IF(ISERROR(F654),"",SUM(P659:Q659))</f>
        <v/>
      </c>
      <c r="S659" s="1" t="str">
        <f ca="1">IF(ISERROR(F654),"",VLOOKUP(A654,INDIRECT($F$8),6+(O659-1)*3))</f>
        <v/>
      </c>
      <c r="T659" s="1" t="str">
        <f ca="1">IF(ISERROR(F654),"",VLOOKUP(A654,INDIRECT($F$8),7+(O659-1)*3))</f>
        <v/>
      </c>
      <c r="U659" s="1" t="str">
        <f ca="1">IF(ISERROR(F654),"",VLOOKUP(A654,INDIRECT($F$8),8+(O659-1)*3))</f>
        <v/>
      </c>
      <c r="V659" s="1" t="str">
        <f ca="1">IF(ISERROR(F654),"",IF(N659=0,A659,""))</f>
        <v/>
      </c>
      <c r="W659" s="1" t="str">
        <f ca="1">IF(ISERROR(F654),"",IF(ISTEXT(VLOOKUP(B654,INDIRECT($F$8),6+(O659-1)*3)),11,IF(VLOOKUP(B654,INDIRECT($F$8),6+(O659-1)*3)&lt;S659*0.3,IF(VLOOKUP(B654,INDIRECT($F$8),8+(O659-1)*3)&lt;U659*0.4,IF(AND(0.4*U659-VLOOKUP(B654,INDIRECT($F$8),8+(O659-1)*3)&lt;=5,0.3*S659-VLOOKUP(B654,INDIRECT($F$8),6+(O659-1)*3)&lt;=5),MAX(0.4*U659-VLOOKUP(B654,INDIRECT($F$8),8+(O659-1)*3),0.3*S659-VLOOKUP(B654,INDIRECT($F$8),6+(O659-1)*3)),11),IF(0.3*S659-VLOOKUP(B654,INDIRECT($F$8),6+(O659-1)*3)&lt;=5,0.3*S659-VLOOKUP(B654,INDIRECT($F$8),6+(O659-1)*3),11)),IF(VLOOKUP(B654,INDIRECT($F$8),8+(O659-1)*3)&lt;U659*0.4,IF(U659*0.4-VLOOKUP(B654,INDIRECT($F$8),8+(O659-1)*3)&lt;=5,U659*0.4-VLOOKUP(B654,INDIRECT($F$8),8+(O659-1)*3),11),0))))</f>
        <v/>
      </c>
      <c r="X659" s="1" t="str">
        <f ca="1">IF(ISERROR(F654),"",IF(W659=0,"",_xlfn.TEXTJOIN("",FALSE," G+",W659," in ",A659)))</f>
        <v/>
      </c>
    </row>
    <row r="660" spans="1:24" ht="13" customHeight="1" x14ac:dyDescent="0.2">
      <c r="A660" s="7" t="str">
        <f ca="1">IF(ISERROR(F654),"",VLOOKUP(C654,INDIRECT($F$8),6+(O660-1)*3,0))</f>
        <v/>
      </c>
      <c r="B660" s="41" t="str">
        <f ca="1">IF(ISERROR(F654),"",VLOOKUP(D654,INDIRECT($F$8),6+(O660-1)*3,0))</f>
        <v/>
      </c>
      <c r="C660" s="41"/>
      <c r="D660" s="41"/>
      <c r="E660" s="41"/>
      <c r="F660" s="7" t="str">
        <f ca="1">IF(ISERROR(F654),"",VLOOKUP(E654,INDIRECT($F$8),6+(O660-1)*3,0))</f>
        <v/>
      </c>
      <c r="G660" s="42" t="str">
        <f ca="1">IF(ISERROR(F654),"",_xlfn.TEXTJOIN("/",FALSE,P660,S660))</f>
        <v/>
      </c>
      <c r="H660" s="42"/>
      <c r="I660" s="42" t="str">
        <f ca="1">IF(ISERROR(F654),"",_xlfn.TEXTJOIN("/",FALSE,Q660,T660))</f>
        <v/>
      </c>
      <c r="J660" s="42"/>
      <c r="K660" s="42" t="str">
        <f ca="1">IF(ISERROR(F654),"",_xlfn.TEXTJOIN("/",FALSE,R660,U660))</f>
        <v/>
      </c>
      <c r="L660" s="42"/>
      <c r="M660" s="7" t="str">
        <f ca="1">IF(ISERROR(F654),"",IF(ISTEXT(P660),IF(P660="A","Ab",IF(P660="D","Dt",IF(P660="UFM","UFM",IF(P660="NA","")))),IF(AND(ISBLANK(P660),ISBLANK(R660)),"",IF(P660&lt;0.3*S660,"F",IF(ISBLANK(R660),"",IF(ISTEXT(R660),R660,IF(R660&gt;=0.9*U660,"O",IF(R660&gt;=0.85*U660,"A+",IF(R660&gt;=0.8*U660,"A",IF(R660&gt;=0.7*U660,"B+",IF(R660&gt;=0.6*U660,"B",IF(R660&gt;=0.5*U660,"C",IF(R660&gt;=0.4*U660,"P",IF(R660&lt;0.4*U660,"F",R660))))))))))))))</f>
        <v/>
      </c>
      <c r="N660" s="8" t="str">
        <f t="shared" ca="1" si="68"/>
        <v/>
      </c>
      <c r="O660">
        <f>O659+1</f>
        <v>2</v>
      </c>
      <c r="P660" s="1" t="str">
        <f ca="1">IF(ISERROR(F654),"",IF(ISTEXT(VLOOKUP(B654,INDIRECT($F$8),6+(O660-1)*3)),(VLOOKUP(B654,INDIRECT($F$8),6+(O660-1)*3)),SUM(VLOOKUP(B654,INDIRECT($F$8),6+(O660-1)*3),IF(W669,W660,0))))</f>
        <v/>
      </c>
      <c r="Q660" s="1" t="str">
        <f ca="1">IF(ISERROR(F654),"",VLOOKUP(B654,INDIRECT($F$8),7+(O660-1)*3))</f>
        <v/>
      </c>
      <c r="R660" s="1" t="str">
        <f ca="1">IF(ISERROR(F654),"",SUM(P660:Q660))</f>
        <v/>
      </c>
      <c r="S660" s="1" t="str">
        <f ca="1">IF(ISERROR(F654),"",VLOOKUP(A654,INDIRECT($F$8),6+(O660-1)*3))</f>
        <v/>
      </c>
      <c r="T660" s="1" t="str">
        <f ca="1">IF(ISERROR(F654),"",VLOOKUP(A654,INDIRECT($F$8),7+(O660-1)*3))</f>
        <v/>
      </c>
      <c r="U660" s="1" t="str">
        <f ca="1">IF(ISERROR(F654),"",VLOOKUP(A654,INDIRECT($F$8),8+(O660-1)*3))</f>
        <v/>
      </c>
      <c r="V660" s="1" t="str">
        <f ca="1">IF(ISERROR(F654),"",IF(N660=0,A660,""))</f>
        <v/>
      </c>
      <c r="W660" s="1" t="str">
        <f ca="1">IF(ISERROR(F654),"",IF(ISTEXT(VLOOKUP(B654,INDIRECT($F$8),6+(O660-1)*3)),11,IF(VLOOKUP(B654,INDIRECT($F$8),6+(O660-1)*3)&lt;S660*0.3,IF(VLOOKUP(B654,INDIRECT($F$8),8+(O660-1)*3)&lt;U660*0.4,IF(AND(0.4*U660-VLOOKUP(B654,INDIRECT($F$8),8+(O660-1)*3)&lt;=5,0.3*S660-VLOOKUP(B654,INDIRECT($F$8),6+(O660-1)*3)&lt;=5),MAX(0.4*U660-VLOOKUP(B654,INDIRECT($F$8),8+(O660-1)*3),0.3*S660-VLOOKUP(B654,INDIRECT($F$8),6+(O660-1)*3)),11),IF(0.3*S660-VLOOKUP(B654,INDIRECT($F$8),6+(O660-1)*3)&lt;=5,0.3*S660-VLOOKUP(B654,INDIRECT($F$8),6+(O660-1)*3),11)),IF(VLOOKUP(B654,INDIRECT($F$8),8+(O660-1)*3)&lt;U660*0.4,IF(U660*0.4-VLOOKUP(B654,INDIRECT($F$8),8+(O660-1)*3)&lt;=5,U660*0.4-VLOOKUP(B654,INDIRECT($F$8),8+(O660-1)*3),11),0))))</f>
        <v/>
      </c>
      <c r="X660" s="1" t="str">
        <f ca="1">IF(ISERROR(F654),"",IF(W660=0,"",_xlfn.TEXTJOIN("",FALSE," G+",W660," in ",A660)))</f>
        <v/>
      </c>
    </row>
    <row r="661" spans="1:24" ht="13" customHeight="1" x14ac:dyDescent="0.2">
      <c r="A661" s="7" t="str">
        <f ca="1">IF(ISERROR(F654),"",VLOOKUP(C654,INDIRECT($F$8),6+(O661-1)*3,0))</f>
        <v/>
      </c>
      <c r="B661" s="41" t="str">
        <f ca="1">IF(ISERROR(F654),"",VLOOKUP(D654,INDIRECT($F$8),6+(O661-1)*3,0))</f>
        <v/>
      </c>
      <c r="C661" s="41"/>
      <c r="D661" s="41"/>
      <c r="E661" s="41"/>
      <c r="F661" s="7" t="str">
        <f ca="1">IF(ISERROR(F654),"",VLOOKUP(E654,INDIRECT($F$8),6+(O661-1)*3,0))</f>
        <v/>
      </c>
      <c r="G661" s="42" t="str">
        <f ca="1">IF(ISERROR(F654),"",_xlfn.TEXTJOIN("/",FALSE,P661,S661))</f>
        <v/>
      </c>
      <c r="H661" s="42"/>
      <c r="I661" s="42" t="str">
        <f ca="1">IF(ISERROR(F654),"",_xlfn.TEXTJOIN("/",FALSE,Q661,T661))</f>
        <v/>
      </c>
      <c r="J661" s="42"/>
      <c r="K661" s="42" t="str">
        <f ca="1">IF(ISERROR(F654),"",_xlfn.TEXTJOIN("/",FALSE,R661,U661))</f>
        <v/>
      </c>
      <c r="L661" s="42"/>
      <c r="M661" s="7" t="str">
        <f ca="1">IF(ISERROR(F654),"",IF(ISTEXT(P661),IF(P661="A","Ab",IF(P661="D","Dt",IF(P661="UFM","UFM",IF(P661="NA","")))),IF(AND(ISBLANK(P661),ISBLANK(R661)),"",IF(P661&lt;0.3*S661,"F",IF(ISBLANK(R661),"",IF(ISTEXT(R661),R661,IF(R661&gt;=0.9*U661,"O",IF(R661&gt;=0.85*U661,"A+",IF(R661&gt;=0.8*U661,"A",IF(R661&gt;=0.7*U661,"B+",IF(R661&gt;=0.6*U661,"B",IF(R661&gt;=0.5*U661,"C",IF(R661&gt;=0.4*U661,"P",IF(R661&lt;0.4*U661,"F",R661))))))))))))))</f>
        <v/>
      </c>
      <c r="N661" s="8" t="str">
        <f t="shared" ca="1" si="68"/>
        <v/>
      </c>
      <c r="O661">
        <f>O660+1</f>
        <v>3</v>
      </c>
      <c r="P661" s="1" t="str">
        <f ca="1">IF(ISERROR(F654),"",IF(ISTEXT(VLOOKUP(B654,INDIRECT($F$8),6+(O661-1)*3)),(VLOOKUP(B654,INDIRECT($F$8),6+(O661-1)*3)),SUM(VLOOKUP(B654,INDIRECT($F$8),6+(O661-1)*3),IF(W669,W661,0))))</f>
        <v/>
      </c>
      <c r="Q661" s="1" t="str">
        <f ca="1">IF(ISERROR(F654),"",VLOOKUP(B654,INDIRECT($F$8),7+(O661-1)*3))</f>
        <v/>
      </c>
      <c r="R661" s="1" t="str">
        <f ca="1">IF(ISERROR(F654),"",SUM(P661:Q661))</f>
        <v/>
      </c>
      <c r="S661" s="1" t="str">
        <f ca="1">IF(ISERROR(F654),"",VLOOKUP(A654,INDIRECT($F$8),6+(O661-1)*3))</f>
        <v/>
      </c>
      <c r="T661" s="1" t="str">
        <f ca="1">IF(ISERROR(F654),"",VLOOKUP(A654,INDIRECT($F$8),7+(O661-1)*3))</f>
        <v/>
      </c>
      <c r="U661" s="1" t="str">
        <f ca="1">IF(ISERROR(F654),"",VLOOKUP(A654,INDIRECT($F$8),8+(O661-1)*3))</f>
        <v/>
      </c>
      <c r="V661" s="1" t="str">
        <f ca="1">IF(ISERROR(F654),"",IF(N661=0,A661,""))</f>
        <v/>
      </c>
      <c r="W661" s="1" t="str">
        <f ca="1">IF(ISERROR(F654),"",IF(ISTEXT(VLOOKUP(B654,INDIRECT($F$8),6+(O661-1)*3)),11,IF(VLOOKUP(B654,INDIRECT($F$8),6+(O661-1)*3)&lt;S661*0.3,IF(VLOOKUP(B654,INDIRECT($F$8),8+(O661-1)*3)&lt;U661*0.4,IF(AND(0.4*U661-VLOOKUP(B654,INDIRECT($F$8),8+(O661-1)*3)&lt;=5,0.3*S661-VLOOKUP(B654,INDIRECT($F$8),6+(O661-1)*3)&lt;=5),MAX(0.4*U661-VLOOKUP(B654,INDIRECT($F$8),8+(O661-1)*3),0.3*S661-VLOOKUP(B654,INDIRECT($F$8),6+(O661-1)*3)),11),IF(0.3*S661-VLOOKUP(B654,INDIRECT($F$8),6+(O661-1)*3)&lt;=5,0.3*S661-VLOOKUP(B654,INDIRECT($F$8),6+(O661-1)*3),11)),IF(VLOOKUP(B654,INDIRECT($F$8),8+(O661-1)*3)&lt;U661*0.4,IF(U661*0.4-VLOOKUP(B654,INDIRECT($F$8),8+(O661-1)*3)&lt;=5,U661*0.4-VLOOKUP(B654,INDIRECT($F$8),8+(O661-1)*3),11),0))))</f>
        <v/>
      </c>
      <c r="X661" s="1" t="str">
        <f ca="1">IF(ISERROR(F654),"",IF(W661=0,"",_xlfn.TEXTJOIN("",FALSE," G+",W661," in ",A661)))</f>
        <v/>
      </c>
    </row>
    <row r="662" spans="1:24" ht="13" customHeight="1" x14ac:dyDescent="0.2">
      <c r="A662" s="7" t="str">
        <f ca="1">IF(ISERROR(F654),"",VLOOKUP(C654,INDIRECT($F$8),6+(O662-1)*3,0))</f>
        <v/>
      </c>
      <c r="B662" s="41" t="str">
        <f ca="1">IF(ISERROR(F654),"",VLOOKUP(D654,INDIRECT($F$8),6+(O662-1)*3,0))</f>
        <v/>
      </c>
      <c r="C662" s="41"/>
      <c r="D662" s="41"/>
      <c r="E662" s="41"/>
      <c r="F662" s="7" t="str">
        <f ca="1">IF(ISERROR(F654),"",VLOOKUP(E654,INDIRECT($F$8),6+(O662-1)*3,0))</f>
        <v/>
      </c>
      <c r="G662" s="42" t="str">
        <f ca="1">IF(ISERROR(F654),"",_xlfn.TEXTJOIN("/",FALSE,P662,S662))</f>
        <v/>
      </c>
      <c r="H662" s="42"/>
      <c r="I662" s="42" t="str">
        <f ca="1">IF(ISERROR(F654),"",_xlfn.TEXTJOIN("/",FALSE,Q662,T662))</f>
        <v/>
      </c>
      <c r="J662" s="42"/>
      <c r="K662" s="42" t="str">
        <f ca="1">IF(ISERROR(F654),"",_xlfn.TEXTJOIN("/",FALSE,R662,U662))</f>
        <v/>
      </c>
      <c r="L662" s="42"/>
      <c r="M662" s="7" t="str">
        <f ca="1">IF(ISERROR(F654),"",IF(ISTEXT(P662),IF(P662="A","Ab",IF(P662="D","Dt",IF(P662="UFM","UFM",IF(P662="NA","")))),IF(AND(ISBLANK(P662),ISBLANK(R662)),"",IF(P662&lt;0.3*S662,"F",IF(ISBLANK(R662),"",IF(ISTEXT(R662),R662,IF(R662&gt;=0.9*U662,"O",IF(R662&gt;=0.85*U662,"A+",IF(R662&gt;=0.8*U662,"A",IF(R662&gt;=0.7*U662,"B+",IF(R662&gt;=0.6*U662,"B",IF(R662&gt;=0.5*U662,"C",IF(R662&gt;=0.4*U662,"P",IF(R662&lt;0.4*U662,"F",R662))))))))))))))</f>
        <v/>
      </c>
      <c r="N662" s="8" t="str">
        <f t="shared" ca="1" si="68"/>
        <v/>
      </c>
      <c r="O662">
        <f t="shared" ref="O662:O668" si="69">O661+1</f>
        <v>4</v>
      </c>
      <c r="P662" s="1" t="str">
        <f ca="1">IF(ISERROR(F654),"",IF(ISTEXT(VLOOKUP(B654,INDIRECT($F$8),6+(O662-1)*3)),(VLOOKUP(B654,INDIRECT($F$8),6+(O662-1)*3)),SUM(VLOOKUP(B654,INDIRECT($F$8),6+(O662-1)*3),IF(W669,W662,0))))</f>
        <v/>
      </c>
      <c r="Q662" s="1" t="str">
        <f ca="1">IF(ISERROR(F654),"",VLOOKUP(B654,INDIRECT($F$8),7+(O662-1)*3))</f>
        <v/>
      </c>
      <c r="R662" s="1" t="str">
        <f ca="1">IF(ISERROR(F654),"",SUM(P662:Q662))</f>
        <v/>
      </c>
      <c r="S662" s="1" t="str">
        <f ca="1">IF(ISERROR(F654),"",VLOOKUP(A654,INDIRECT($F$8),6+(O662-1)*3))</f>
        <v/>
      </c>
      <c r="T662" s="1" t="str">
        <f ca="1">IF(ISERROR(F654),"",VLOOKUP(A654,INDIRECT($F$8),7+(O662-1)*3))</f>
        <v/>
      </c>
      <c r="U662" s="1" t="str">
        <f ca="1">IF(ISERROR(F654),"",VLOOKUP(A654,INDIRECT($F$8),8+(O662-1)*3))</f>
        <v/>
      </c>
      <c r="V662" s="1" t="str">
        <f ca="1">IF(ISERROR(F654),"",IF(N662=0,A662,""))</f>
        <v/>
      </c>
      <c r="W662" s="1" t="str">
        <f ca="1">IF(ISERROR(F654),"",IF(ISTEXT(VLOOKUP(B654,INDIRECT($F$8),6+(O662-1)*3)),11,IF(VLOOKUP(B654,INDIRECT($F$8),6+(O662-1)*3)&lt;S662*0.3,IF(VLOOKUP(B654,INDIRECT($F$8),8+(O662-1)*3)&lt;U662*0.4,IF(AND(0.4*U662-VLOOKUP(B654,INDIRECT($F$8),8+(O662-1)*3)&lt;=5,0.3*S662-VLOOKUP(B654,INDIRECT($F$8),6+(O662-1)*3)&lt;=5),MAX(0.4*U662-VLOOKUP(B654,INDIRECT($F$8),8+(O662-1)*3),0.3*S662-VLOOKUP(B654,INDIRECT($F$8),6+(O662-1)*3)),11),IF(0.3*S662-VLOOKUP(B654,INDIRECT($F$8),6+(O662-1)*3)&lt;=5,0.3*S662-VLOOKUP(B654,INDIRECT($F$8),6+(O662-1)*3),11)),IF(VLOOKUP(B654,INDIRECT($F$8),8+(O662-1)*3)&lt;U662*0.4,IF(U662*0.4-VLOOKUP(B654,INDIRECT($F$8),8+(O662-1)*3)&lt;=5,U662*0.4-VLOOKUP(B654,INDIRECT($F$8),8+(O662-1)*3),11),0))))</f>
        <v/>
      </c>
      <c r="X662" s="1" t="str">
        <f ca="1">IF(ISERROR(F654),"",IF(W662=0,"",_xlfn.TEXTJOIN("",FALSE," G+",W662," in ",A662)))</f>
        <v/>
      </c>
    </row>
    <row r="663" spans="1:24" ht="13" customHeight="1" x14ac:dyDescent="0.2">
      <c r="A663" s="7" t="str">
        <f ca="1">IF(ISERROR(F654),"",VLOOKUP(C654,INDIRECT($F$8),6+(O663-1)*3,0))</f>
        <v/>
      </c>
      <c r="B663" s="41" t="str">
        <f ca="1">IF(ISERROR(F654),"",VLOOKUP(D654,INDIRECT($F$8),6+(O663-1)*3,0))</f>
        <v/>
      </c>
      <c r="C663" s="41"/>
      <c r="D663" s="41"/>
      <c r="E663" s="41"/>
      <c r="F663" s="7" t="str">
        <f ca="1">IF(ISERROR(F654),"",VLOOKUP(E654,INDIRECT($F$8),6+(O663-1)*3,0))</f>
        <v/>
      </c>
      <c r="G663" s="42" t="str">
        <f ca="1">IF(ISERROR(F654),"",_xlfn.TEXTJOIN("/",FALSE,P663,S663))</f>
        <v/>
      </c>
      <c r="H663" s="42"/>
      <c r="I663" s="42" t="str">
        <f ca="1">IF(ISERROR(F654),"",_xlfn.TEXTJOIN("/",FALSE,Q663,T663))</f>
        <v/>
      </c>
      <c r="J663" s="42"/>
      <c r="K663" s="42" t="str">
        <f ca="1">IF(ISERROR(F654),"",_xlfn.TEXTJOIN("/",FALSE,R663,U663))</f>
        <v/>
      </c>
      <c r="L663" s="42"/>
      <c r="M663" s="7" t="str">
        <f ca="1">IF(ISERROR(F654),"",IF(ISTEXT(P663),IF(P663="A","Ab",IF(P663="D","Dt",IF(P663="UFM","UFM",IF(P663="NA","")))),IF(AND(ISBLANK(P663),ISBLANK(R663)),"",IF(P663&lt;0.3*S663,"F",IF(ISBLANK(R663),"",IF(ISTEXT(R663),R663,IF(R663&gt;=0.9*U663,"O",IF(R663&gt;=0.85*U663,"A+",IF(R663&gt;=0.8*U663,"A",IF(R663&gt;=0.7*U663,"B+",IF(R663&gt;=0.6*U663,"B",IF(R663&gt;=0.5*U663,"C",IF(R663&gt;=0.4*U663,"P",IF(R663&lt;0.4*U663,"F",R663))))))))))))))</f>
        <v/>
      </c>
      <c r="N663" s="8" t="str">
        <f t="shared" ca="1" si="68"/>
        <v/>
      </c>
      <c r="O663">
        <f t="shared" si="69"/>
        <v>5</v>
      </c>
      <c r="P663" s="1" t="str">
        <f ca="1">IF(ISERROR(F654),"",IF(ISTEXT(VLOOKUP(B654,INDIRECT($F$8),6+(O663-1)*3)),(VLOOKUP(B654,INDIRECT($F$8),6+(O663-1)*3)),SUM(VLOOKUP(B654,INDIRECT($F$8),6+(O663-1)*3),IF(W669,W663,0))))</f>
        <v/>
      </c>
      <c r="Q663" s="1" t="str">
        <f ca="1">IF(ISERROR(F654),"",VLOOKUP(B654,INDIRECT($F$8),7+(O663-1)*3))</f>
        <v/>
      </c>
      <c r="R663" s="1" t="str">
        <f ca="1">IF(ISERROR(F654),"",SUM(P663:Q663))</f>
        <v/>
      </c>
      <c r="S663" s="1" t="str">
        <f ca="1">IF(ISERROR(F654),"",VLOOKUP(A654,INDIRECT($F$8),6+(O663-1)*3))</f>
        <v/>
      </c>
      <c r="T663" s="1" t="str">
        <f ca="1">IF(ISERROR(F654),"",VLOOKUP(A654,INDIRECT($F$8),7+(O663-1)*3))</f>
        <v/>
      </c>
      <c r="U663" s="1" t="str">
        <f ca="1">IF(ISERROR(F654),"",VLOOKUP(A654,INDIRECT($F$8),8+(O663-1)*3))</f>
        <v/>
      </c>
      <c r="V663" s="1" t="str">
        <f ca="1">IF(ISERROR(F654),"",IF(N663=0,A663,""))</f>
        <v/>
      </c>
      <c r="W663" s="1" t="str">
        <f ca="1">IF(ISERROR(F654),"",IF(ISTEXT(VLOOKUP(B654,INDIRECT($F$8),6+(O663-1)*3)),11,IF(VLOOKUP(B654,INDIRECT($F$8),6+(O663-1)*3)&lt;S663*0.3,IF(VLOOKUP(B654,INDIRECT($F$8),8+(O663-1)*3)&lt;U663*0.4,IF(AND(0.4*U663-VLOOKUP(B654,INDIRECT($F$8),8+(O663-1)*3)&lt;=5,0.3*S663-VLOOKUP(B654,INDIRECT($F$8),6+(O663-1)*3)&lt;=5),MAX(0.4*U663-VLOOKUP(B654,INDIRECT($F$8),8+(O663-1)*3),0.3*S663-VLOOKUP(B654,INDIRECT($F$8),6+(O663-1)*3)),11),IF(0.3*S663-VLOOKUP(B654,INDIRECT($F$8),6+(O663-1)*3)&lt;=5,0.3*S663-VLOOKUP(B654,INDIRECT($F$8),6+(O663-1)*3),11)),IF(VLOOKUP(B654,INDIRECT($F$8),8+(O663-1)*3)&lt;U663*0.4,IF(U663*0.4-VLOOKUP(B654,INDIRECT($F$8),8+(O663-1)*3)&lt;=5,U663*0.4-VLOOKUP(B654,INDIRECT($F$8),8+(O663-1)*3),11),0))))</f>
        <v/>
      </c>
      <c r="X663" s="1" t="str">
        <f ca="1">IF(ISERROR(F654),"",IF(W663=0,"",_xlfn.TEXTJOIN("",FALSE," G+",W663," in ",A663)))</f>
        <v/>
      </c>
    </row>
    <row r="664" spans="1:24" ht="13" customHeight="1" x14ac:dyDescent="0.2">
      <c r="A664" s="7" t="str">
        <f ca="1">IF(ISERROR(F654),"",VLOOKUP(C654,INDIRECT($F$8),6+(O664-1)*3,0))</f>
        <v/>
      </c>
      <c r="B664" s="41" t="str">
        <f ca="1">IF(ISERROR(F654),"",VLOOKUP(D654,INDIRECT($F$8),6+(O664-1)*3,0))</f>
        <v/>
      </c>
      <c r="C664" s="41"/>
      <c r="D664" s="41"/>
      <c r="E664" s="41"/>
      <c r="F664" s="7" t="str">
        <f ca="1">IF(ISERROR(F654),"",VLOOKUP(E654,INDIRECT($F$8),6+(O664-1)*3,0))</f>
        <v/>
      </c>
      <c r="G664" s="42" t="str">
        <f ca="1">IF(ISERROR(F654),"",_xlfn.TEXTJOIN("/",FALSE,P664,S664))</f>
        <v/>
      </c>
      <c r="H664" s="42"/>
      <c r="I664" s="42" t="str">
        <f ca="1">IF(ISERROR(F654),"",_xlfn.TEXTJOIN("/",FALSE,Q664,T664))</f>
        <v/>
      </c>
      <c r="J664" s="42"/>
      <c r="K664" s="42" t="str">
        <f ca="1">IF(ISERROR(F654),"",_xlfn.TEXTJOIN("/",FALSE,R664,U664))</f>
        <v/>
      </c>
      <c r="L664" s="42"/>
      <c r="M664" s="7" t="str">
        <f ca="1">IF(ISERROR(F654),"",IF(ISTEXT(P664),IF(P664="A","Ab",IF(P664="D","Dt",IF(P664="UFM","UFM",IF(P664="NA","")))),IF(AND(ISBLANK(P664),ISBLANK(R664)),"",IF(P664&lt;0.3*S664,"F",IF(ISBLANK(R664),"",IF(ISTEXT(R664),R664,IF(R664&gt;=0.9*U664,"O",IF(R664&gt;=0.85*U664,"A+",IF(R664&gt;=0.8*U664,"A",IF(R664&gt;=0.7*U664,"B+",IF(R664&gt;=0.6*U664,"B",IF(R664&gt;=0.5*U664,"C",IF(R664&gt;=0.4*U664,"P",IF(R664&lt;0.4*U664,"F",R664))))))))))))))</f>
        <v/>
      </c>
      <c r="N664" s="8" t="str">
        <f t="shared" ca="1" si="68"/>
        <v/>
      </c>
      <c r="O664">
        <f t="shared" si="69"/>
        <v>6</v>
      </c>
      <c r="P664" s="1" t="str">
        <f ca="1">IF(ISERROR(F654),"",IF(ISTEXT(VLOOKUP(B654,INDIRECT($F$8),6+(O664-1)*3)),(VLOOKUP(B654,INDIRECT($F$8),6+(O664-1)*3)),SUM(VLOOKUP(B654,INDIRECT($F$8),6+(O664-1)*3),IF(W669,W664,0))))</f>
        <v/>
      </c>
      <c r="Q664" s="1" t="str">
        <f ca="1">IF(ISERROR(F654),"",VLOOKUP(B654,INDIRECT($F$8),7+(O664-1)*3))</f>
        <v/>
      </c>
      <c r="R664" s="1" t="str">
        <f ca="1">IF(ISERROR(F654),"",SUM(P664:Q664))</f>
        <v/>
      </c>
      <c r="S664" s="1" t="str">
        <f ca="1">IF(ISERROR(F654),"",VLOOKUP(A654,INDIRECT($F$8),6+(O664-1)*3))</f>
        <v/>
      </c>
      <c r="T664" s="1" t="str">
        <f ca="1">IF(ISERROR(F654),"",VLOOKUP(A654,INDIRECT($F$8),7+(O664-1)*3))</f>
        <v/>
      </c>
      <c r="U664" s="1" t="str">
        <f ca="1">IF(ISERROR(F654),"",VLOOKUP(A654,INDIRECT($F$8),8+(O664-1)*3))</f>
        <v/>
      </c>
      <c r="V664" s="1" t="str">
        <f ca="1">IF(ISERROR(F654),"",IF(N664=0,A664,""))</f>
        <v/>
      </c>
      <c r="W664" s="1" t="str">
        <f ca="1">IF(ISERROR(F654),"",IF(ISTEXT(VLOOKUP(B654,INDIRECT($F$8),6+(O664-1)*3)),11,IF(VLOOKUP(B654,INDIRECT($F$8),6+(O664-1)*3)&lt;S664*0.3,IF(VLOOKUP(B654,INDIRECT($F$8),8+(O664-1)*3)&lt;U664*0.4,IF(AND(0.4*U664-VLOOKUP(B654,INDIRECT($F$8),8+(O664-1)*3)&lt;=5,0.3*S664-VLOOKUP(B654,INDIRECT($F$8),6+(O664-1)*3)&lt;=5),MAX(0.4*U664-VLOOKUP(B654,INDIRECT($F$8),8+(O664-1)*3),0.3*S664-VLOOKUP(B654,INDIRECT($F$8),6+(O664-1)*3)),11),IF(0.3*S664-VLOOKUP(B654,INDIRECT($F$8),6+(O664-1)*3)&lt;=5,0.3*S664-VLOOKUP(B654,INDIRECT($F$8),6+(O664-1)*3),11)),IF(VLOOKUP(B654,INDIRECT($F$8),8+(O664-1)*3)&lt;U664*0.4,IF(U664*0.4-VLOOKUP(B654,INDIRECT($F$8),8+(O664-1)*3)&lt;=5,U664*0.4-VLOOKUP(B654,INDIRECT($F$8),8+(O664-1)*3),11),0))))</f>
        <v/>
      </c>
      <c r="X664" s="1" t="str">
        <f ca="1">IF(ISERROR(F654),"",IF(W664=0,"",_xlfn.TEXTJOIN("",FALSE," G+",W664," in ",A664)))</f>
        <v/>
      </c>
    </row>
    <row r="665" spans="1:24" ht="13" customHeight="1" x14ac:dyDescent="0.2">
      <c r="A665" s="7" t="str">
        <f ca="1">IF(ISERROR(F654),"",VLOOKUP(C654,INDIRECT($F$8),6+(O665-1)*3,0))</f>
        <v/>
      </c>
      <c r="B665" s="41" t="str">
        <f ca="1">IF(ISERROR(F654),"",VLOOKUP(D654,INDIRECT($F$8),6+(O665-1)*3,0))</f>
        <v/>
      </c>
      <c r="C665" s="41"/>
      <c r="D665" s="41"/>
      <c r="E665" s="41"/>
      <c r="F665" s="7" t="str">
        <f ca="1">IF(ISERROR(F654),"",VLOOKUP(E654,INDIRECT($F$8),6+(O665-1)*3,0))</f>
        <v/>
      </c>
      <c r="G665" s="42" t="str">
        <f ca="1">IF(ISERROR(F654),"",_xlfn.TEXTJOIN("/",FALSE,P665,S665))</f>
        <v/>
      </c>
      <c r="H665" s="42"/>
      <c r="I665" s="42" t="str">
        <f ca="1">IF(ISERROR(F654),"",_xlfn.TEXTJOIN("/",FALSE,Q665,T665))</f>
        <v/>
      </c>
      <c r="J665" s="42"/>
      <c r="K665" s="42" t="str">
        <f ca="1">IF(ISERROR(F654),"",_xlfn.TEXTJOIN("/",FALSE,R665,U665))</f>
        <v/>
      </c>
      <c r="L665" s="42"/>
      <c r="M665" s="7" t="str">
        <f ca="1">IF(ISERROR(F654),"",IF(ISTEXT(P665),IF(P665="A","Ab",IF(P665="D","Dt",IF(P665="UFM","UFM",IF(P665="NA","")))),IF(AND(ISBLANK(P665),ISBLANK(R665)),"",IF(P665&lt;0.3*S665,"F",IF(ISBLANK(R665),"",IF(ISTEXT(R665),R665,IF(R665&gt;=0.9*U665,"O",IF(R665&gt;=0.85*U665,"A+",IF(R665&gt;=0.8*U665,"A",IF(R665&gt;=0.7*U665,"B+",IF(R665&gt;=0.6*U665,"B",IF(R665&gt;=0.5*U665,"C",IF(R665&gt;=0.4*U665,"P",IF(R665&lt;0.4*U665,"F",R665))))))))))))))</f>
        <v/>
      </c>
      <c r="N665" s="8" t="str">
        <f t="shared" ca="1" si="68"/>
        <v/>
      </c>
      <c r="O665">
        <f t="shared" si="69"/>
        <v>7</v>
      </c>
      <c r="P665" s="1" t="str">
        <f ca="1">IF(ISERROR(F654),"",IF(ISTEXT(VLOOKUP(B654,INDIRECT($F$8),6+(O665-1)*3)),(VLOOKUP(B654,INDIRECT($F$8),6+(O665-1)*3)),SUM(VLOOKUP(B654,INDIRECT($F$8),6+(O665-1)*3),IF(W669,W665,0))))</f>
        <v/>
      </c>
      <c r="Q665" s="1" t="str">
        <f ca="1">IF(ISERROR(F654),"",VLOOKUP(B654,INDIRECT($F$8),7+(O665-1)*3))</f>
        <v/>
      </c>
      <c r="R665" s="1" t="str">
        <f ca="1">IF(ISERROR(F654),"",SUM(P665:Q665))</f>
        <v/>
      </c>
      <c r="S665" s="1" t="str">
        <f ca="1">IF(ISERROR(F654),"",VLOOKUP(A654,INDIRECT($F$8),6+(O665-1)*3))</f>
        <v/>
      </c>
      <c r="T665" s="1" t="str">
        <f ca="1">IF(ISERROR(F654),"",VLOOKUP(A654,INDIRECT($F$8),7+(O665-1)*3))</f>
        <v/>
      </c>
      <c r="U665" s="1" t="str">
        <f ca="1">IF(ISERROR(F654),"",VLOOKUP(A654,INDIRECT($F$8),8+(O665-1)*3))</f>
        <v/>
      </c>
      <c r="V665" s="1" t="str">
        <f ca="1">IF(ISERROR(F654),"",IF(N665=0,A665,""))</f>
        <v/>
      </c>
      <c r="W665" s="1" t="str">
        <f ca="1">IF(ISERROR(F654),"",IF(ISTEXT(VLOOKUP(B654,INDIRECT($F$8),6+(O665-1)*3)),11,IF(VLOOKUP(B654,INDIRECT($F$8),6+(O665-1)*3)&lt;S665*0.3,IF(VLOOKUP(B654,INDIRECT($F$8),8+(O665-1)*3)&lt;U665*0.4,IF(AND(0.4*U665-VLOOKUP(B654,INDIRECT($F$8),8+(O665-1)*3)&lt;=5,0.3*S665-VLOOKUP(B654,INDIRECT($F$8),6+(O665-1)*3)&lt;=5),MAX(0.4*U665-VLOOKUP(B654,INDIRECT($F$8),8+(O665-1)*3),0.3*S665-VLOOKUP(B654,INDIRECT($F$8),6+(O665-1)*3)),11),IF(0.3*S665-VLOOKUP(B654,INDIRECT($F$8),6+(O665-1)*3)&lt;=5,0.3*S665-VLOOKUP(B654,INDIRECT($F$8),6+(O665-1)*3),11)),IF(VLOOKUP(B654,INDIRECT($F$8),8+(O665-1)*3)&lt;U665*0.4,IF(U665*0.4-VLOOKUP(B654,INDIRECT($F$8),8+(O665-1)*3)&lt;=5,U665*0.4-VLOOKUP(B654,INDIRECT($F$8),8+(O665-1)*3),11),0))))</f>
        <v/>
      </c>
      <c r="X665" s="1" t="str">
        <f ca="1">IF(ISERROR(F654),"",IF(W665=0,"",_xlfn.TEXTJOIN("",FALSE," G+",W665," in ",A665)))</f>
        <v/>
      </c>
    </row>
    <row r="666" spans="1:24" ht="13" customHeight="1" x14ac:dyDescent="0.2">
      <c r="A666" s="7" t="str">
        <f ca="1">IF(ISERROR(F654),"",VLOOKUP(C654,INDIRECT($F$8),6+(O666-1)*3,0))</f>
        <v/>
      </c>
      <c r="B666" s="41" t="str">
        <f ca="1">IF(ISERROR(F654),"",VLOOKUP(D654,INDIRECT($F$8),6+(O666-1)*3-Z666,0))</f>
        <v/>
      </c>
      <c r="C666" s="41"/>
      <c r="D666" s="41"/>
      <c r="E666" s="41"/>
      <c r="F666" s="7" t="str">
        <f ca="1">IF(ISERROR(F654),"",VLOOKUP(E654,INDIRECT($F$8),6+(O666-1)*3,0))</f>
        <v/>
      </c>
      <c r="G666" s="42" t="str">
        <f ca="1">IF(ISERROR(F654),"",_xlfn.TEXTJOIN("/",FALSE,P666,S666))</f>
        <v/>
      </c>
      <c r="H666" s="42"/>
      <c r="I666" s="42" t="str">
        <f ca="1">IF(ISERROR(F654),"",_xlfn.TEXTJOIN("/",FALSE,Q666,T666))</f>
        <v/>
      </c>
      <c r="J666" s="42"/>
      <c r="K666" s="42" t="str">
        <f ca="1">IF(ISERROR(F654),"",_xlfn.TEXTJOIN("/",FALSE,R666,U666))</f>
        <v/>
      </c>
      <c r="L666" s="42"/>
      <c r="M666" s="7" t="str">
        <f ca="1">IF(ISERROR(F654),"",IF(ISTEXT(P666),IF(P666="A","Ab",IF(P666="D","Dt",IF(P666="UFM","UFM",IF(P666="NA","")))),IF(AND(ISBLANK(P666),ISBLANK(R666)),"",IF(P666&lt;0.3*S666,"F",IF(ISBLANK(R666),"",IF(ISTEXT(R666),R666,IF(R666&gt;=0.9*U666,"O",IF(R666&gt;=0.85*U666,"A+",IF(R666&gt;=0.8*U666,"A",IF(R666&gt;=0.7*U666,"B+",IF(R666&gt;=0.6*U666,"B",IF(R666&gt;=0.5*U666,"C",IF(R666&gt;=0.4*U666,"P",IF(R666&lt;0.4*U666,"F",R666))))))))))))))</f>
        <v/>
      </c>
      <c r="N666" s="8" t="str">
        <f t="shared" ca="1" si="68"/>
        <v/>
      </c>
      <c r="O666">
        <f t="shared" si="69"/>
        <v>8</v>
      </c>
      <c r="P666" s="1" t="str">
        <f ca="1">IF(ISERROR(F654),"",IF(ISTEXT(VLOOKUP(B654,INDIRECT($F$8),6+(O666-1)*3)),(VLOOKUP(B654,INDIRECT($F$8),6+(O666-1)*3)),SUM(VLOOKUP(B654,INDIRECT($F$8),6+(O666-1)*3),IF(W669,W666,0))))</f>
        <v/>
      </c>
      <c r="Q666" s="1" t="str">
        <f ca="1">IF(ISERROR(F654),"",VLOOKUP(B654,INDIRECT($F$8),7+(O666-1)*3))</f>
        <v/>
      </c>
      <c r="R666" s="1" t="str">
        <f ca="1">IF(ISERROR(F654),"",SUM(P666:Q666))</f>
        <v/>
      </c>
      <c r="S666" s="1" t="str">
        <f ca="1">IF(ISERROR(F654),"",VLOOKUP(A654,INDIRECT($F$8),6+(O666-1)*3))</f>
        <v/>
      </c>
      <c r="T666" s="1" t="str">
        <f ca="1">IF(ISERROR(F654),"",VLOOKUP(A654,INDIRECT($F$8),7+(O666-1)*3))</f>
        <v/>
      </c>
      <c r="U666" s="1" t="str">
        <f ca="1">IF(ISERROR(F654),"",VLOOKUP(A654,INDIRECT($F$8),8+(O666-1)*3))</f>
        <v/>
      </c>
      <c r="V666" s="1" t="str">
        <f ca="1">IF(ISERROR(F654),"",IF(N666=0,A666,""))</f>
        <v/>
      </c>
      <c r="W666" s="1" t="str">
        <f ca="1">IF(ISERROR(F654),"",IF(ISTEXT(VLOOKUP(B654,INDIRECT($F$8),6+(O666-1)*3)),11,IF(VLOOKUP(B654,INDIRECT($F$8),6+(O666-1)*3)&lt;S666*0.3,IF(VLOOKUP(B654,INDIRECT($F$8),8+(O666-1)*3)&lt;U666*0.4,IF(AND(0.4*U666-VLOOKUP(B654,INDIRECT($F$8),8+(O666-1)*3)&lt;=5,0.3*S666-VLOOKUP(B654,INDIRECT($F$8),6+(O666-1)*3)&lt;=5),MAX(0.4*U666-VLOOKUP(B654,INDIRECT($F$8),8+(O666-1)*3),0.3*S666-VLOOKUP(B654,INDIRECT($F$8),6+(O666-1)*3)),11),IF(0.3*S666-VLOOKUP(B654,INDIRECT($F$8),6+(O666-1)*3)&lt;=5,0.3*S666-VLOOKUP(B654,INDIRECT($F$8),6+(O666-1)*3),11)),IF(VLOOKUP(B654,INDIRECT($F$8),8+(O666-1)*3)&lt;U666*0.4,IF(U666*0.4-VLOOKUP(B654,INDIRECT($F$8),8+(O666-1)*3)&lt;=5,U666*0.4-VLOOKUP(B654,INDIRECT($F$8),8+(O666-1)*3),11),0))))</f>
        <v/>
      </c>
      <c r="X666" s="1" t="str">
        <f ca="1">IF(ISERROR(F654),"",IF(W666=0,"",_xlfn.TEXTJOIN("",FALSE," G+",W666," in ",A666)))</f>
        <v/>
      </c>
    </row>
    <row r="667" spans="1:24" ht="13" customHeight="1" x14ac:dyDescent="0.2">
      <c r="A667" s="7" t="str">
        <f ca="1">IF(ISERROR(F654),"",VLOOKUP(C654,INDIRECT($F$8),6+(O667-1)*3,0))</f>
        <v/>
      </c>
      <c r="B667" s="41" t="str">
        <f ca="1">IF(ISERROR(F654),"",VLOOKUP(D654,INDIRECT($F$8),6+(O667-1)*3-Z667,0))</f>
        <v/>
      </c>
      <c r="C667" s="41"/>
      <c r="D667" s="41"/>
      <c r="E667" s="41"/>
      <c r="F667" s="7" t="str">
        <f ca="1">IF(ISERROR(F654),"",VLOOKUP(E654,INDIRECT($F$8),6+(O667-1)*3,0))</f>
        <v/>
      </c>
      <c r="G667" s="42" t="str">
        <f ca="1">IF(ISERROR(F654),"",_xlfn.TEXTJOIN("/",FALSE,P667,S667))</f>
        <v/>
      </c>
      <c r="H667" s="42"/>
      <c r="I667" s="42" t="str">
        <f ca="1">IF(ISERROR(F654),"",_xlfn.TEXTJOIN("/",FALSE,Q667,T667))</f>
        <v/>
      </c>
      <c r="J667" s="42"/>
      <c r="K667" s="42" t="str">
        <f ca="1">IF(ISERROR(F654),"",_xlfn.TEXTJOIN("/",FALSE,R667,U667))</f>
        <v/>
      </c>
      <c r="L667" s="42"/>
      <c r="M667" s="7" t="str">
        <f ca="1">IF(ISERROR(F654),"",IF(ISTEXT(P667),IF(P667="A","Ab",IF(P667="D","Dt",IF(P667="UFM","UFM",IF(P667="NA","")))),IF(AND(ISBLANK(P667),ISBLANK(R667)),"",IF(P667&lt;0.3*S667,"F",IF(ISBLANK(R667),"",IF(ISTEXT(R667),R667,IF(R667&gt;=0.9*U667,"O",IF(R667&gt;=0.85*U667,"A+",IF(R667&gt;=0.8*U667,"A",IF(R667&gt;=0.7*U667,"B+",IF(R667&gt;=0.6*U667,"B",IF(R667&gt;=0.5*U667,"C",IF(R667&gt;=0.4*U667,"P",IF(R667&lt;0.4*U667,"F",R667))))))))))))))</f>
        <v/>
      </c>
      <c r="N667" s="8" t="str">
        <f t="shared" ca="1" si="68"/>
        <v/>
      </c>
      <c r="O667">
        <f t="shared" si="69"/>
        <v>9</v>
      </c>
      <c r="P667" s="1" t="str">
        <f ca="1">IF(ISERROR(F654),"",IF(ISTEXT(VLOOKUP(B654,INDIRECT($F$8),6+(O667-1)*3)),(VLOOKUP(B654,INDIRECT($F$8),6+(O667-1)*3)),SUM(VLOOKUP(B654,INDIRECT($F$8),6+(O667-1)*3),IF(W669,W667,0))))</f>
        <v/>
      </c>
      <c r="Q667" s="1" t="str">
        <f ca="1">IF(ISERROR(F654),"",VLOOKUP(B654,INDIRECT($F$8),7+(O667-1)*3))</f>
        <v/>
      </c>
      <c r="R667" s="1" t="str">
        <f ca="1">IF(ISERROR(F654),"",SUM(P667:Q667))</f>
        <v/>
      </c>
      <c r="S667" s="1" t="str">
        <f ca="1">IF(ISERROR(F654),"",VLOOKUP(A654,INDIRECT($F$8),6+(O667-1)*3))</f>
        <v/>
      </c>
      <c r="T667" s="1" t="str">
        <f ca="1">IF(ISERROR(F654),"",VLOOKUP(A654,INDIRECT($F$8),7+(O667-1)*3))</f>
        <v/>
      </c>
      <c r="U667" s="1" t="str">
        <f ca="1">IF(ISERROR(F654),"",VLOOKUP(A654,INDIRECT($F$8),8+(O667-1)*3))</f>
        <v/>
      </c>
      <c r="V667" s="1" t="str">
        <f ca="1">IF(ISERROR(F654),"",IF(N667=0,A667,""))</f>
        <v/>
      </c>
      <c r="W667" s="1" t="str">
        <f ca="1">IF(ISERROR(F654),"",IF(ISTEXT(VLOOKUP(B654,INDIRECT($F$8),6+(O667-1)*3)),11,IF(VLOOKUP(B654,INDIRECT($F$8),6+(O667-1)*3)&lt;S667*0.3,IF(VLOOKUP(B654,INDIRECT($F$8),8+(O667-1)*3)&lt;U667*0.4,IF(AND(0.4*U667-VLOOKUP(B654,INDIRECT($F$8),8+(O667-1)*3)&lt;=5,0.3*S667-VLOOKUP(B654,INDIRECT($F$8),6+(O667-1)*3)&lt;=5),MAX(0.4*U667-VLOOKUP(B654,INDIRECT($F$8),8+(O667-1)*3),0.3*S667-VLOOKUP(B654,INDIRECT($F$8),6+(O667-1)*3)),11),IF(0.3*S667-VLOOKUP(B654,INDIRECT($F$8),6+(O667-1)*3)&lt;=5,0.3*S667-VLOOKUP(B654,INDIRECT($F$8),6+(O667-1)*3),11)),IF(VLOOKUP(B654,INDIRECT($F$8),8+(O667-1)*3)&lt;U667*0.4,IF(U667*0.4-VLOOKUP(B654,INDIRECT($F$8),8+(O667-1)*3)&lt;=5,U667*0.4-VLOOKUP(B654,INDIRECT($F$8),8+(O667-1)*3),11),0))))</f>
        <v/>
      </c>
      <c r="X667" s="1" t="str">
        <f ca="1">IF(ISERROR(F654),"",IF(W667=0,"",_xlfn.TEXTJOIN("",FALSE," G+",W667," in ",A667)))</f>
        <v/>
      </c>
    </row>
    <row r="668" spans="1:24" ht="13" customHeight="1" x14ac:dyDescent="0.2">
      <c r="A668" s="7" t="str">
        <f ca="1">IF(ISERROR(F654),"",VLOOKUP(C654,INDIRECT($F$8),6+(O668-1)*3,0))</f>
        <v/>
      </c>
      <c r="B668" s="41" t="str">
        <f ca="1">IF(ISERROR(F654),"",VLOOKUP(D654,INDIRECT($F$8),6+(O668-1)*3,0))</f>
        <v/>
      </c>
      <c r="C668" s="41"/>
      <c r="D668" s="41"/>
      <c r="E668" s="41"/>
      <c r="F668" s="7" t="str">
        <f ca="1">IF(ISERROR(F654),"",VLOOKUP(E654,INDIRECT($F$8),6+(O668-1)*3,0))</f>
        <v/>
      </c>
      <c r="G668" s="42" t="str">
        <f ca="1">IF(ISERROR(F654),"",_xlfn.TEXTJOIN("/",FALSE,P668,S668))</f>
        <v/>
      </c>
      <c r="H668" s="42"/>
      <c r="I668" s="42" t="str">
        <f ca="1">IF(ISERROR(F654),"",_xlfn.TEXTJOIN("/",FALSE,Q668,T668))</f>
        <v/>
      </c>
      <c r="J668" s="42"/>
      <c r="K668" s="42" t="str">
        <f ca="1">IF(ISERROR(F654),"",_xlfn.TEXTJOIN("/",FALSE,R668,U668))</f>
        <v/>
      </c>
      <c r="L668" s="42"/>
      <c r="M668" s="7" t="str">
        <f ca="1">IF(ISERROR(F654),"",IF(ISTEXT(P668),IF(P668="A","Ab",IF(P668="D","Dt",IF(P668="UFM","UFM",IF(P668="NA","")))),IF(AND(ISBLANK(P668),ISBLANK(R668)),"",IF(P668&lt;0.3*S668,"F",IF(ISBLANK(R668),"",IF(ISTEXT(R668),R668,IF(R668&gt;=0.9*U668,"O",IF(R668&gt;=0.85*U668,"A+",IF(R668&gt;=0.8*U668,"A",IF(R668&gt;=0.7*U668,"B+",IF(R668&gt;=0.6*U668,"B",IF(R668&gt;=0.5*U668,"C",IF(R668&gt;=0.4*U668,"P",IF(R668&lt;0.4*U668,"F",R668))))))))))))))</f>
        <v/>
      </c>
      <c r="N668" s="8" t="str">
        <f t="shared" ca="1" si="68"/>
        <v/>
      </c>
      <c r="O668">
        <f t="shared" si="69"/>
        <v>10</v>
      </c>
      <c r="P668" s="1" t="str">
        <f ca="1">IF(ISERROR(F654),"",IF(ISTEXT(VLOOKUP(B654,INDIRECT($F$8),6+(O668-1)*3)),(VLOOKUP(B654,INDIRECT($F$8),6+(O668-1)*3)),SUM(VLOOKUP(B654,INDIRECT($F$8),6+(O668-1)*3),IF(W669,W668,0))))</f>
        <v/>
      </c>
      <c r="Q668" s="1" t="str">
        <f ca="1">IF(ISERROR(F654),"",VLOOKUP(B654,INDIRECT($F$8),7+(O668-1)*3))</f>
        <v/>
      </c>
      <c r="R668" s="1" t="str">
        <f ca="1">IF(ISERROR(F654),"",SUM(P668:Q668))</f>
        <v/>
      </c>
      <c r="S668" s="1" t="str">
        <f ca="1">IF(ISERROR(F654),"",VLOOKUP(A654,INDIRECT($F$8),6+(O668-1)*3))</f>
        <v/>
      </c>
      <c r="T668" s="1" t="str">
        <f ca="1">IF(ISERROR(F654),"",VLOOKUP(A654,INDIRECT($F$8),7+(O668-1)*3))</f>
        <v/>
      </c>
      <c r="U668" s="1" t="str">
        <f ca="1">IF(ISERROR(F654),"",VLOOKUP(A654,INDIRECT($F$8),8+(O668-1)*3))</f>
        <v/>
      </c>
      <c r="V668" s="1" t="str">
        <f ca="1">IF(ISERROR(F654),"",IF(N668=0,A668,""))</f>
        <v/>
      </c>
      <c r="W668" s="1" t="str">
        <f ca="1">IF(ISERROR(F654),"",IF(ISTEXT(VLOOKUP(B654,INDIRECT($F$8),6+(O668-1)*3)),11,IF(VLOOKUP(B654,INDIRECT($F$8),6+(O668-1)*3)&lt;S668*0.3,IF(VLOOKUP(B654,INDIRECT($F$8),8+(O668-1)*3)&lt;U668*0.4,IF(AND(0.4*U668-VLOOKUP(B654,INDIRECT($F$8),8+(O668-1)*3)&lt;=5,0.3*S668-VLOOKUP(B654,INDIRECT($F$8),6+(O668-1)*3)&lt;=5),MAX(0.4*U668-VLOOKUP(B654,INDIRECT($F$8),8+(O668-1)*3),0.3*S668-VLOOKUP(B654,INDIRECT($F$8),6+(O668-1)*3)),11),IF(0.3*S668-VLOOKUP(B654,INDIRECT($F$8),6+(O668-1)*3)&lt;=5,0.3*S668-VLOOKUP(B654,INDIRECT($F$8),6+(O668-1)*3),11)),IF(VLOOKUP(B654,INDIRECT($F$8),8+(O668-1)*3)&lt;U668*0.4,IF(U668*0.4-VLOOKUP(B654,INDIRECT($F$8),8+(O668-1)*3)&lt;=5,U668*0.4-VLOOKUP(B654,INDIRECT($F$8),8+(O668-1)*3),11),0))))</f>
        <v/>
      </c>
      <c r="X668" s="1" t="str">
        <f ca="1">IF(ISERROR(F654),"",IF(W668=0,"",_xlfn.TEXTJOIN("",FALSE," G+",W668," in ",A668)))</f>
        <v/>
      </c>
    </row>
    <row r="669" spans="1:24" ht="13" customHeight="1" x14ac:dyDescent="0.2">
      <c r="A669" s="43" t="str">
        <f ca="1">IF(ISERROR(F654),"",A650)</f>
        <v/>
      </c>
      <c r="B669" s="43"/>
      <c r="C669" s="43"/>
      <c r="D669" s="43"/>
      <c r="E669" s="43"/>
      <c r="F669" s="10" t="str">
        <f ca="1">IF(ISERROR(F654),"",SUM(F659:F668))</f>
        <v/>
      </c>
      <c r="G669" s="44" t="str">
        <f ca="1">IF(ISERROR(F654),"",_xlfn.TEXTJOIN("/",TRUE,SUMIF(F659:F668,"&gt;0",P659:P668),SUMIF(F659:F668,"&gt;0",S659:S668)))</f>
        <v/>
      </c>
      <c r="H669" s="44"/>
      <c r="I669" s="44" t="str">
        <f ca="1">IF(ISERROR(F654),"",_xlfn.TEXTJOIN("/",TRUE,SUMIF(F659:F668,"&gt;0",Q659:Q668),SUMIF(F659:F668,"&gt;0",T659:T668)))</f>
        <v/>
      </c>
      <c r="J669" s="44"/>
      <c r="K669" s="44" t="str">
        <f ca="1">IF(ISERROR(F654),"",_xlfn.TEXTJOIN("/",TRUE,SUMIF(F659:F668,"&gt;0",R659:R668),SUMIF(F659:F668,"&gt;0",U659:U668)))</f>
        <v/>
      </c>
      <c r="L669" s="44"/>
      <c r="M669" s="43" t="str">
        <f ca="1">IF(ISERROR(F654),"",SUMPRODUCT(N659:N668,F659:F668))</f>
        <v/>
      </c>
      <c r="N669" s="43"/>
      <c r="V669" s="1" t="str">
        <f ca="1">IF(ISERROR(F654),"",_xlfn.TEXTJOIN(", ",TRUE,V659:V668))</f>
        <v/>
      </c>
      <c r="W669" t="str">
        <f ca="1">IF(ISERROR(F654),"",IF(SUM(W659:W668)&lt;=W658,TRUE,FALSE))</f>
        <v/>
      </c>
      <c r="X669" s="1" t="str">
        <f ca="1">IF(ISERROR(F654),"",_xlfn.TEXTJOIN(",",TRUE,X659:X668))</f>
        <v/>
      </c>
    </row>
    <row r="670" spans="1:24" ht="13" customHeight="1" x14ac:dyDescent="0.2">
      <c r="A670" s="43" t="str">
        <f ca="1">IF(ISERROR(F654),"",A651)</f>
        <v/>
      </c>
      <c r="B670" s="45" t="str">
        <f ca="1">IF(ISERROR(F654),"",IF(V669="","PASS","CARRY OVER"))</f>
        <v/>
      </c>
      <c r="C670" s="45"/>
      <c r="D670" s="43" t="str">
        <f ca="1">IF(ISERROR(F654),"",D651)</f>
        <v/>
      </c>
      <c r="E670" s="45" t="str">
        <f ca="1">IF(ISERROR(F654),"",IF(V669="",IF(X669="","",X669),_xlfn.TEXTJOIN(" ",TRUE,"BACK IN",V669)))</f>
        <v/>
      </c>
      <c r="F670" s="45"/>
      <c r="G670" s="43" t="str">
        <f ca="1">IF(ISERROR(F654),"",G651)</f>
        <v/>
      </c>
      <c r="H670" s="46" t="str">
        <f ca="1">IF(ISERROR(F654),"",M669/F669)</f>
        <v/>
      </c>
      <c r="I670" s="43" t="str">
        <f ca="1">IF(ISERROR(F654),"",I651)</f>
        <v/>
      </c>
      <c r="J670" s="46" t="str">
        <f ca="1">IF(ISERROR(F654),"",VLOOKUP(B654,INDIRECT($F$8),12+(O668-1)*3,0))</f>
        <v/>
      </c>
      <c r="K670" s="45" t="str">
        <f ca="1">IF(ISERROR(F654),"",K651)</f>
        <v/>
      </c>
      <c r="L670" s="43" t="str">
        <f ca="1">IF(ISERROR(F654),"",SUMIF(N659:N668,"&gt;0",F659:F668))</f>
        <v/>
      </c>
      <c r="M670" s="45" t="str">
        <f ca="1">IF(ISERROR(F654),"",M651)</f>
        <v/>
      </c>
      <c r="N670" s="43" t="str">
        <f ca="1">IF(ISERROR(F654),"",VLOOKUP(B654,INDIRECT($F$8),10+(O668-1)*3,0))</f>
        <v/>
      </c>
    </row>
    <row r="671" spans="1:24" ht="13" customHeight="1" x14ac:dyDescent="0.2">
      <c r="A671" s="43"/>
      <c r="B671" s="45"/>
      <c r="C671" s="45"/>
      <c r="D671" s="43"/>
      <c r="E671" s="45"/>
      <c r="F671" s="45"/>
      <c r="G671" s="43"/>
      <c r="H671" s="46"/>
      <c r="I671" s="43"/>
      <c r="J671" s="46"/>
      <c r="K671" s="45"/>
      <c r="L671" s="43"/>
      <c r="M671" s="45"/>
      <c r="N671" s="43"/>
    </row>
    <row r="672" spans="1:24" ht="13" customHeight="1" x14ac:dyDescent="0.2">
      <c r="A672" s="43"/>
      <c r="B672" s="45"/>
      <c r="C672" s="45"/>
      <c r="D672" s="43"/>
      <c r="E672" s="45"/>
      <c r="F672" s="45"/>
      <c r="G672" s="43"/>
      <c r="H672" s="46"/>
      <c r="I672" s="43"/>
      <c r="J672" s="46"/>
      <c r="K672" s="45"/>
      <c r="L672" s="43"/>
      <c r="M672" s="45"/>
      <c r="N672" s="43"/>
    </row>
    <row r="673" spans="1:24" ht="13" customHeight="1" x14ac:dyDescent="0.2">
      <c r="A673" s="11" t="str">
        <f>A654</f>
        <v>MM</v>
      </c>
      <c r="B673" s="11">
        <f>B654+1</f>
        <v>36</v>
      </c>
      <c r="C673" s="11" t="str">
        <f>C654</f>
        <v>SC</v>
      </c>
      <c r="D673" s="11" t="str">
        <f>D654</f>
        <v>SN</v>
      </c>
      <c r="E673" s="11" t="str">
        <f>E654</f>
        <v>C</v>
      </c>
      <c r="F673" s="11" t="e">
        <f ca="1">VLOOKUP(B673,INDIRECT($F$8),4,0)</f>
        <v>#N/A</v>
      </c>
    </row>
    <row r="674" spans="1:24" ht="13" customHeight="1" x14ac:dyDescent="0.2">
      <c r="A674" s="47" t="str">
        <f ca="1">IF(ISERROR(F673),"",A655)</f>
        <v/>
      </c>
      <c r="B674" s="47" t="str">
        <f ca="1">IFERROR(VLOOKUP(B673,INDIRECT($F$8),4,0),"")</f>
        <v/>
      </c>
      <c r="C674" s="47"/>
      <c r="D674" s="47" t="str">
        <f ca="1">IF(ISERROR(F673),"",D655)</f>
        <v/>
      </c>
      <c r="E674" s="47" t="str">
        <f ca="1">IFERROR(VLOOKUP(B673,INDIRECT($F$8),5,0),"")</f>
        <v/>
      </c>
      <c r="F674" s="47"/>
      <c r="G674" s="47" t="str">
        <f ca="1">IF(ISERROR(F673),"",G655)</f>
        <v/>
      </c>
      <c r="H674" s="47"/>
      <c r="I674" s="48" t="str">
        <f ca="1">IFERROR(VLOOKUP(B673,INDIRECT($F$8),2,0),"")</f>
        <v/>
      </c>
      <c r="J674" s="48"/>
      <c r="K674" s="47" t="str">
        <f ca="1">IF(ISERROR(F673),"",K655)</f>
        <v/>
      </c>
      <c r="L674" s="47"/>
      <c r="M674" s="48" t="str">
        <f ca="1">IFERROR(VLOOKUP(B673,INDIRECT($F$8),3,0),"")</f>
        <v/>
      </c>
      <c r="N674" s="48"/>
    </row>
    <row r="675" spans="1:24" ht="13" customHeight="1" x14ac:dyDescent="0.2">
      <c r="A675" s="47"/>
      <c r="B675" s="47"/>
      <c r="C675" s="47"/>
      <c r="D675" s="47"/>
      <c r="E675" s="47"/>
      <c r="F675" s="47"/>
      <c r="G675" s="47"/>
      <c r="H675" s="47"/>
      <c r="I675" s="48"/>
      <c r="J675" s="48"/>
      <c r="K675" s="47"/>
      <c r="L675" s="47"/>
      <c r="M675" s="48"/>
      <c r="N675" s="48"/>
    </row>
    <row r="676" spans="1:24" ht="13" customHeight="1" x14ac:dyDescent="0.2">
      <c r="A676" s="45" t="str">
        <f ca="1">IF(ISERROR(F673),"",A657)</f>
        <v/>
      </c>
      <c r="B676" s="45" t="str">
        <f ca="1">IF(ISERROR(F673),"",B657)</f>
        <v/>
      </c>
      <c r="C676" s="45"/>
      <c r="D676" s="45"/>
      <c r="E676" s="45"/>
      <c r="F676" s="45" t="str">
        <f ca="1">IF(ISERROR(F673),"",F657)</f>
        <v/>
      </c>
      <c r="G676" s="45" t="str">
        <f ca="1">IF(ISERROR(F673),"",G657)</f>
        <v/>
      </c>
      <c r="H676" s="45"/>
      <c r="I676" s="45" t="str">
        <f ca="1">IF(ISERROR(F673),"",I657)</f>
        <v/>
      </c>
      <c r="J676" s="45"/>
      <c r="K676" s="45" t="str">
        <f ca="1">IF(ISERROR(F673),"",K657)</f>
        <v/>
      </c>
      <c r="L676" s="45"/>
      <c r="M676" s="45" t="str">
        <f ca="1">IF(ISERROR(F673),"",M657)</f>
        <v/>
      </c>
      <c r="N676" s="45" t="str">
        <f ca="1">IF(ISERROR(F673),"",N657)</f>
        <v/>
      </c>
    </row>
    <row r="677" spans="1:24" ht="13" customHeight="1" x14ac:dyDescent="0.2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W677" t="e">
        <f ca="1">IF(ISNUMBER(MATCH($F$8,{"I","III","V","VII"},0)),10,10-INDEX(INDIRECT(_xlfn.TEXTJOIN("",TRUE,"SEM_",$G$8,"!",ADDRESS(6,4+$I$8*3+4),":",ADDRESS(5+$H$8,4+$I$8*3+4))),MATCH(INDIRECT(_xlfn.TEXTJOIN("",TRUE,"TC_",$F$8,"!",ADDRESS(ROW(I674),COLUMN(I674)))),INDIRECT(_xlfn.TEXTJOIN("",TRUE,"SEM_",$G$8,"!",ADDRESS(6,2),":",ADDRESS(5+$H$8,2))))))</f>
        <v>#N/A</v>
      </c>
    </row>
    <row r="678" spans="1:24" ht="13" customHeight="1" x14ac:dyDescent="0.2">
      <c r="A678" s="7" t="str">
        <f ca="1">IF(ISERROR(F673),"",VLOOKUP(C673,INDIRECT($F$8),6+(O678-1)*3,0))</f>
        <v/>
      </c>
      <c r="B678" s="41" t="str">
        <f ca="1">IF(ISERROR(F673),"",VLOOKUP(D673,INDIRECT($F$8),6+(O678-1)*3,0))</f>
        <v/>
      </c>
      <c r="C678" s="41"/>
      <c r="D678" s="41"/>
      <c r="E678" s="41"/>
      <c r="F678" s="7" t="str">
        <f ca="1">IF(ISERROR(F673),"",VLOOKUP(E673,INDIRECT($F$8),6+(O678-1)*3,0))</f>
        <v/>
      </c>
      <c r="G678" s="42" t="str">
        <f ca="1">IF(ISERROR(F673),"",_xlfn.TEXTJOIN("/",FALSE,P678,S678))</f>
        <v/>
      </c>
      <c r="H678" s="42"/>
      <c r="I678" s="42" t="str">
        <f ca="1">IF(ISERROR(F673),"",_xlfn.TEXTJOIN("/",FALSE,Q678,T678))</f>
        <v/>
      </c>
      <c r="J678" s="42"/>
      <c r="K678" s="42" t="str">
        <f ca="1">IF(ISERROR(F673),"",_xlfn.TEXTJOIN("/",FALSE,R678,U678))</f>
        <v/>
      </c>
      <c r="L678" s="42"/>
      <c r="M678" s="7" t="str">
        <f ca="1">IF(ISERROR(F673),"",IF(ISTEXT(P678),IF(P678="A","Ab",IF(P678="D","Dt",IF(P678="UFM","UFM",IF(P678="NA","")))),IF(AND(ISBLANK(P678),ISBLANK(R678)),"",IF(P678&lt;0.3*S678,"F",IF(ISBLANK(R678),"",IF(ISTEXT(R678),R678,IF(R678&gt;=0.9*U678,"O",IF(R678&gt;=0.85*U678,"A+",IF(R678&gt;=0.8*U678,"A",IF(R678&gt;=0.7*U678,"B+",IF(R678&gt;=0.6*U678,"B",IF(R678&gt;=0.5*U678,"C",IF(R678&gt;=0.4*U678,"P",IF(R678&lt;0.4*U678,"F",R678))))))))))))))</f>
        <v/>
      </c>
      <c r="N678" s="8" t="str">
        <f t="shared" ref="N678:N687" ca="1" si="70">INDEX($Z$2:$Z$13,MATCH(M678,$Y$2:$Y$13,0))</f>
        <v/>
      </c>
      <c r="O678">
        <v>1</v>
      </c>
      <c r="P678" s="1" t="str">
        <f ca="1">IF(ISERROR(F673),"",IF(ISTEXT(VLOOKUP(B673,INDIRECT($F$8),6+(O678-1)*3)),(VLOOKUP(B673,INDIRECT($F$8),6+(O678-1)*3)),SUM(VLOOKUP(B673,INDIRECT($F$8),6+(O678-1)*3),IF(W688,W678,0))))</f>
        <v/>
      </c>
      <c r="Q678" s="1" t="str">
        <f ca="1">IF(ISERROR(F673),"",VLOOKUP(B673,INDIRECT($F$8),7+(O678-1)*3))</f>
        <v/>
      </c>
      <c r="R678" s="1" t="str">
        <f ca="1">IF(ISERROR(F673),"",SUM(P678:Q678))</f>
        <v/>
      </c>
      <c r="S678" s="1" t="str">
        <f ca="1">IF(ISERROR(F673),"",VLOOKUP(A673,INDIRECT($F$8),6+(O678-1)*3))</f>
        <v/>
      </c>
      <c r="T678" s="1" t="str">
        <f ca="1">IF(ISERROR(F673),"",VLOOKUP(A673,INDIRECT($F$8),7+(O678-1)*3))</f>
        <v/>
      </c>
      <c r="U678" s="1" t="str">
        <f ca="1">IF(ISERROR(F673),"",VLOOKUP(A673,INDIRECT($F$8),8+(O678-1)*3))</f>
        <v/>
      </c>
      <c r="V678" s="1" t="str">
        <f ca="1">IF(ISERROR(F673),"",IF(N678=0,A678,""))</f>
        <v/>
      </c>
      <c r="W678" s="1" t="str">
        <f ca="1">IF(ISERROR(F673),"",IF(ISTEXT(VLOOKUP(B673,INDIRECT($F$8),6+(O678-1)*3)),11,IF(VLOOKUP(B673,INDIRECT($F$8),6+(O678-1)*3)&lt;S678*0.3,IF(VLOOKUP(B673,INDIRECT($F$8),8+(O678-1)*3)&lt;U678*0.4,IF(AND(0.4*U678-VLOOKUP(B673,INDIRECT($F$8),8+(O678-1)*3)&lt;=5,0.3*S678-VLOOKUP(B673,INDIRECT($F$8),6+(O678-1)*3)&lt;=5),MAX(0.4*U678-VLOOKUP(B673,INDIRECT($F$8),8+(O678-1)*3),0.3*S678-VLOOKUP(B673,INDIRECT($F$8),6+(O678-1)*3)),11),IF(0.3*S678-VLOOKUP(B673,INDIRECT($F$8),6+(O678-1)*3)&lt;=5,0.3*S678-VLOOKUP(B673,INDIRECT($F$8),6+(O678-1)*3),11)),IF(VLOOKUP(B673,INDIRECT($F$8),8+(O678-1)*3)&lt;U678*0.4,IF(U678*0.4-VLOOKUP(B673,INDIRECT($F$8),8+(O678-1)*3)&lt;=5,U678*0.4-VLOOKUP(B673,INDIRECT($F$8),8+(O678-1)*3),11),0))))</f>
        <v/>
      </c>
      <c r="X678" s="1" t="str">
        <f ca="1">IF(ISERROR(F673),"",IF(W678=0,"",_xlfn.TEXTJOIN("",FALSE," G+",W678," in ",A678)))</f>
        <v/>
      </c>
    </row>
    <row r="679" spans="1:24" ht="13" customHeight="1" x14ac:dyDescent="0.2">
      <c r="A679" s="7" t="str">
        <f ca="1">IF(ISERROR(F673),"",VLOOKUP(C673,INDIRECT($F$8),6+(O679-1)*3,0))</f>
        <v/>
      </c>
      <c r="B679" s="41" t="str">
        <f ca="1">IF(ISERROR(F673),"",VLOOKUP(D673,INDIRECT($F$8),6+(O679-1)*3,0))</f>
        <v/>
      </c>
      <c r="C679" s="41"/>
      <c r="D679" s="41"/>
      <c r="E679" s="41"/>
      <c r="F679" s="7" t="str">
        <f ca="1">IF(ISERROR(F673),"",VLOOKUP(E673,INDIRECT($F$8),6+(O679-1)*3,0))</f>
        <v/>
      </c>
      <c r="G679" s="42" t="str">
        <f ca="1">IF(ISERROR(F673),"",_xlfn.TEXTJOIN("/",FALSE,P679,S679))</f>
        <v/>
      </c>
      <c r="H679" s="42"/>
      <c r="I679" s="42" t="str">
        <f ca="1">IF(ISERROR(F673),"",_xlfn.TEXTJOIN("/",FALSE,Q679,T679))</f>
        <v/>
      </c>
      <c r="J679" s="42"/>
      <c r="K679" s="42" t="str">
        <f ca="1">IF(ISERROR(F673),"",_xlfn.TEXTJOIN("/",FALSE,R679,U679))</f>
        <v/>
      </c>
      <c r="L679" s="42"/>
      <c r="M679" s="7" t="str">
        <f ca="1">IF(ISERROR(F673),"",IF(ISTEXT(P679),IF(P679="A","Ab",IF(P679="D","Dt",IF(P679="UFM","UFM",IF(P679="NA","")))),IF(AND(ISBLANK(P679),ISBLANK(R679)),"",IF(P679&lt;0.3*S679,"F",IF(ISBLANK(R679),"",IF(ISTEXT(R679),R679,IF(R679&gt;=0.9*U679,"O",IF(R679&gt;=0.85*U679,"A+",IF(R679&gt;=0.8*U679,"A",IF(R679&gt;=0.7*U679,"B+",IF(R679&gt;=0.6*U679,"B",IF(R679&gt;=0.5*U679,"C",IF(R679&gt;=0.4*U679,"P",IF(R679&lt;0.4*U679,"F",R679))))))))))))))</f>
        <v/>
      </c>
      <c r="N679" s="8" t="str">
        <f t="shared" ca="1" si="70"/>
        <v/>
      </c>
      <c r="O679">
        <f>O678+1</f>
        <v>2</v>
      </c>
      <c r="P679" s="1" t="str">
        <f ca="1">IF(ISERROR(F673),"",IF(ISTEXT(VLOOKUP(B673,INDIRECT($F$8),6+(O679-1)*3)),(VLOOKUP(B673,INDIRECT($F$8),6+(O679-1)*3)),SUM(VLOOKUP(B673,INDIRECT($F$8),6+(O679-1)*3),IF(W688,W679,0))))</f>
        <v/>
      </c>
      <c r="Q679" s="1" t="str">
        <f ca="1">IF(ISERROR(F673),"",VLOOKUP(B673,INDIRECT($F$8),7+(O679-1)*3))</f>
        <v/>
      </c>
      <c r="R679" s="1" t="str">
        <f ca="1">IF(ISERROR(F673),"",SUM(P679:Q679))</f>
        <v/>
      </c>
      <c r="S679" s="1" t="str">
        <f ca="1">IF(ISERROR(F673),"",VLOOKUP(A673,INDIRECT($F$8),6+(O679-1)*3))</f>
        <v/>
      </c>
      <c r="T679" s="1" t="str">
        <f ca="1">IF(ISERROR(F673),"",VLOOKUP(A673,INDIRECT($F$8),7+(O679-1)*3))</f>
        <v/>
      </c>
      <c r="U679" s="1" t="str">
        <f ca="1">IF(ISERROR(F673),"",VLOOKUP(A673,INDIRECT($F$8),8+(O679-1)*3))</f>
        <v/>
      </c>
      <c r="V679" s="1" t="str">
        <f ca="1">IF(ISERROR(F673),"",IF(N679=0,A679,""))</f>
        <v/>
      </c>
      <c r="W679" s="1" t="str">
        <f ca="1">IF(ISERROR(F673),"",IF(ISTEXT(VLOOKUP(B673,INDIRECT($F$8),6+(O679-1)*3)),11,IF(VLOOKUP(B673,INDIRECT($F$8),6+(O679-1)*3)&lt;S679*0.3,IF(VLOOKUP(B673,INDIRECT($F$8),8+(O679-1)*3)&lt;U679*0.4,IF(AND(0.4*U679-VLOOKUP(B673,INDIRECT($F$8),8+(O679-1)*3)&lt;=5,0.3*S679-VLOOKUP(B673,INDIRECT($F$8),6+(O679-1)*3)&lt;=5),MAX(0.4*U679-VLOOKUP(B673,INDIRECT($F$8),8+(O679-1)*3),0.3*S679-VLOOKUP(B673,INDIRECT($F$8),6+(O679-1)*3)),11),IF(0.3*S679-VLOOKUP(B673,INDIRECT($F$8),6+(O679-1)*3)&lt;=5,0.3*S679-VLOOKUP(B673,INDIRECT($F$8),6+(O679-1)*3),11)),IF(VLOOKUP(B673,INDIRECT($F$8),8+(O679-1)*3)&lt;U679*0.4,IF(U679*0.4-VLOOKUP(B673,INDIRECT($F$8),8+(O679-1)*3)&lt;=5,U679*0.4-VLOOKUP(B673,INDIRECT($F$8),8+(O679-1)*3),11),0))))</f>
        <v/>
      </c>
      <c r="X679" s="1" t="str">
        <f ca="1">IF(ISERROR(F673),"",IF(W679=0,"",_xlfn.TEXTJOIN("",FALSE," G+",W679," in ",A679)))</f>
        <v/>
      </c>
    </row>
    <row r="680" spans="1:24" ht="13" customHeight="1" x14ac:dyDescent="0.2">
      <c r="A680" s="7" t="str">
        <f ca="1">IF(ISERROR(F673),"",VLOOKUP(C673,INDIRECT($F$8),6+(O680-1)*3,0))</f>
        <v/>
      </c>
      <c r="B680" s="41" t="str">
        <f ca="1">IF(ISERROR(F673),"",VLOOKUP(D673,INDIRECT($F$8),6+(O680-1)*3,0))</f>
        <v/>
      </c>
      <c r="C680" s="41"/>
      <c r="D680" s="41"/>
      <c r="E680" s="41"/>
      <c r="F680" s="7" t="str">
        <f ca="1">IF(ISERROR(F673),"",VLOOKUP(E673,INDIRECT($F$8),6+(O680-1)*3,0))</f>
        <v/>
      </c>
      <c r="G680" s="42" t="str">
        <f ca="1">IF(ISERROR(F673),"",_xlfn.TEXTJOIN("/",FALSE,P680,S680))</f>
        <v/>
      </c>
      <c r="H680" s="42"/>
      <c r="I680" s="42" t="str">
        <f ca="1">IF(ISERROR(F673),"",_xlfn.TEXTJOIN("/",FALSE,Q680,T680))</f>
        <v/>
      </c>
      <c r="J680" s="42"/>
      <c r="K680" s="42" t="str">
        <f ca="1">IF(ISERROR(F673),"",_xlfn.TEXTJOIN("/",FALSE,R680,U680))</f>
        <v/>
      </c>
      <c r="L680" s="42"/>
      <c r="M680" s="7" t="str">
        <f ca="1">IF(ISERROR(F673),"",IF(ISTEXT(P680),IF(P680="A","Ab",IF(P680="D","Dt",IF(P680="UFM","UFM",IF(P680="NA","")))),IF(AND(ISBLANK(P680),ISBLANK(R680)),"",IF(P680&lt;0.3*S680,"F",IF(ISBLANK(R680),"",IF(ISTEXT(R680),R680,IF(R680&gt;=0.9*U680,"O",IF(R680&gt;=0.85*U680,"A+",IF(R680&gt;=0.8*U680,"A",IF(R680&gt;=0.7*U680,"B+",IF(R680&gt;=0.6*U680,"B",IF(R680&gt;=0.5*U680,"C",IF(R680&gt;=0.4*U680,"P",IF(R680&lt;0.4*U680,"F",R680))))))))))))))</f>
        <v/>
      </c>
      <c r="N680" s="8" t="str">
        <f t="shared" ca="1" si="70"/>
        <v/>
      </c>
      <c r="O680">
        <f>O679+1</f>
        <v>3</v>
      </c>
      <c r="P680" s="1" t="str">
        <f ca="1">IF(ISERROR(F673),"",IF(ISTEXT(VLOOKUP(B673,INDIRECT($F$8),6+(O680-1)*3)),(VLOOKUP(B673,INDIRECT($F$8),6+(O680-1)*3)),SUM(VLOOKUP(B673,INDIRECT($F$8),6+(O680-1)*3),IF(W688,W680,0))))</f>
        <v/>
      </c>
      <c r="Q680" s="1" t="str">
        <f ca="1">IF(ISERROR(F673),"",VLOOKUP(B673,INDIRECT($F$8),7+(O680-1)*3))</f>
        <v/>
      </c>
      <c r="R680" s="1" t="str">
        <f ca="1">IF(ISERROR(F673),"",SUM(P680:Q680))</f>
        <v/>
      </c>
      <c r="S680" s="1" t="str">
        <f ca="1">IF(ISERROR(F673),"",VLOOKUP(A673,INDIRECT($F$8),6+(O680-1)*3))</f>
        <v/>
      </c>
      <c r="T680" s="1" t="str">
        <f ca="1">IF(ISERROR(F673),"",VLOOKUP(A673,INDIRECT($F$8),7+(O680-1)*3))</f>
        <v/>
      </c>
      <c r="U680" s="1" t="str">
        <f ca="1">IF(ISERROR(F673),"",VLOOKUP(A673,INDIRECT($F$8),8+(O680-1)*3))</f>
        <v/>
      </c>
      <c r="V680" s="1" t="str">
        <f ca="1">IF(ISERROR(F673),"",IF(N680=0,A680,""))</f>
        <v/>
      </c>
      <c r="W680" s="1" t="str">
        <f ca="1">IF(ISERROR(F673),"",IF(ISTEXT(VLOOKUP(B673,INDIRECT($F$8),6+(O680-1)*3)),11,IF(VLOOKUP(B673,INDIRECT($F$8),6+(O680-1)*3)&lt;S680*0.3,IF(VLOOKUP(B673,INDIRECT($F$8),8+(O680-1)*3)&lt;U680*0.4,IF(AND(0.4*U680-VLOOKUP(B673,INDIRECT($F$8),8+(O680-1)*3)&lt;=5,0.3*S680-VLOOKUP(B673,INDIRECT($F$8),6+(O680-1)*3)&lt;=5),MAX(0.4*U680-VLOOKUP(B673,INDIRECT($F$8),8+(O680-1)*3),0.3*S680-VLOOKUP(B673,INDIRECT($F$8),6+(O680-1)*3)),11),IF(0.3*S680-VLOOKUP(B673,INDIRECT($F$8),6+(O680-1)*3)&lt;=5,0.3*S680-VLOOKUP(B673,INDIRECT($F$8),6+(O680-1)*3),11)),IF(VLOOKUP(B673,INDIRECT($F$8),8+(O680-1)*3)&lt;U680*0.4,IF(U680*0.4-VLOOKUP(B673,INDIRECT($F$8),8+(O680-1)*3)&lt;=5,U680*0.4-VLOOKUP(B673,INDIRECT($F$8),8+(O680-1)*3),11),0))))</f>
        <v/>
      </c>
      <c r="X680" s="1" t="str">
        <f ca="1">IF(ISERROR(F673),"",IF(W680=0,"",_xlfn.TEXTJOIN("",FALSE," G+",W680," in ",A680)))</f>
        <v/>
      </c>
    </row>
    <row r="681" spans="1:24" ht="13" customHeight="1" x14ac:dyDescent="0.2">
      <c r="A681" s="7" t="str">
        <f ca="1">IF(ISERROR(F673),"",VLOOKUP(C673,INDIRECT($F$8),6+(O681-1)*3,0))</f>
        <v/>
      </c>
      <c r="B681" s="41" t="str">
        <f ca="1">IF(ISERROR(F673),"",VLOOKUP(D673,INDIRECT($F$8),6+(O681-1)*3,0))</f>
        <v/>
      </c>
      <c r="C681" s="41"/>
      <c r="D681" s="41"/>
      <c r="E681" s="41"/>
      <c r="F681" s="7" t="str">
        <f ca="1">IF(ISERROR(F673),"",VLOOKUP(E673,INDIRECT($F$8),6+(O681-1)*3,0))</f>
        <v/>
      </c>
      <c r="G681" s="42" t="str">
        <f ca="1">IF(ISERROR(F673),"",_xlfn.TEXTJOIN("/",FALSE,P681,S681))</f>
        <v/>
      </c>
      <c r="H681" s="42"/>
      <c r="I681" s="42" t="str">
        <f ca="1">IF(ISERROR(F673),"",_xlfn.TEXTJOIN("/",FALSE,Q681,T681))</f>
        <v/>
      </c>
      <c r="J681" s="42"/>
      <c r="K681" s="42" t="str">
        <f ca="1">IF(ISERROR(F673),"",_xlfn.TEXTJOIN("/",FALSE,R681,U681))</f>
        <v/>
      </c>
      <c r="L681" s="42"/>
      <c r="M681" s="7" t="str">
        <f ca="1">IF(ISERROR(F673),"",IF(ISTEXT(P681),IF(P681="A","Ab",IF(P681="D","Dt",IF(P681="UFM","UFM",IF(P681="NA","")))),IF(AND(ISBLANK(P681),ISBLANK(R681)),"",IF(P681&lt;0.3*S681,"F",IF(ISBLANK(R681),"",IF(ISTEXT(R681),R681,IF(R681&gt;=0.9*U681,"O",IF(R681&gt;=0.85*U681,"A+",IF(R681&gt;=0.8*U681,"A",IF(R681&gt;=0.7*U681,"B+",IF(R681&gt;=0.6*U681,"B",IF(R681&gt;=0.5*U681,"C",IF(R681&gt;=0.4*U681,"P",IF(R681&lt;0.4*U681,"F",R681))))))))))))))</f>
        <v/>
      </c>
      <c r="N681" s="8" t="str">
        <f t="shared" ca="1" si="70"/>
        <v/>
      </c>
      <c r="O681">
        <f t="shared" ref="O681:O687" si="71">O680+1</f>
        <v>4</v>
      </c>
      <c r="P681" s="1" t="str">
        <f ca="1">IF(ISERROR(F673),"",IF(ISTEXT(VLOOKUP(B673,INDIRECT($F$8),6+(O681-1)*3)),(VLOOKUP(B673,INDIRECT($F$8),6+(O681-1)*3)),SUM(VLOOKUP(B673,INDIRECT($F$8),6+(O681-1)*3),IF(W688,W681,0))))</f>
        <v/>
      </c>
      <c r="Q681" s="1" t="str">
        <f ca="1">IF(ISERROR(F673),"",VLOOKUP(B673,INDIRECT($F$8),7+(O681-1)*3))</f>
        <v/>
      </c>
      <c r="R681" s="1" t="str">
        <f ca="1">IF(ISERROR(F673),"",SUM(P681:Q681))</f>
        <v/>
      </c>
      <c r="S681" s="1" t="str">
        <f ca="1">IF(ISERROR(F673),"",VLOOKUP(A673,INDIRECT($F$8),6+(O681-1)*3))</f>
        <v/>
      </c>
      <c r="T681" s="1" t="str">
        <f ca="1">IF(ISERROR(F673),"",VLOOKUP(A673,INDIRECT($F$8),7+(O681-1)*3))</f>
        <v/>
      </c>
      <c r="U681" s="1" t="str">
        <f ca="1">IF(ISERROR(F673),"",VLOOKUP(A673,INDIRECT($F$8),8+(O681-1)*3))</f>
        <v/>
      </c>
      <c r="V681" s="1" t="str">
        <f ca="1">IF(ISERROR(F673),"",IF(N681=0,A681,""))</f>
        <v/>
      </c>
      <c r="W681" s="1" t="str">
        <f ca="1">IF(ISERROR(F673),"",IF(ISTEXT(VLOOKUP(B673,INDIRECT($F$8),6+(O681-1)*3)),11,IF(VLOOKUP(B673,INDIRECT($F$8),6+(O681-1)*3)&lt;S681*0.3,IF(VLOOKUP(B673,INDIRECT($F$8),8+(O681-1)*3)&lt;U681*0.4,IF(AND(0.4*U681-VLOOKUP(B673,INDIRECT($F$8),8+(O681-1)*3)&lt;=5,0.3*S681-VLOOKUP(B673,INDIRECT($F$8),6+(O681-1)*3)&lt;=5),MAX(0.4*U681-VLOOKUP(B673,INDIRECT($F$8),8+(O681-1)*3),0.3*S681-VLOOKUP(B673,INDIRECT($F$8),6+(O681-1)*3)),11),IF(0.3*S681-VLOOKUP(B673,INDIRECT($F$8),6+(O681-1)*3)&lt;=5,0.3*S681-VLOOKUP(B673,INDIRECT($F$8),6+(O681-1)*3),11)),IF(VLOOKUP(B673,INDIRECT($F$8),8+(O681-1)*3)&lt;U681*0.4,IF(U681*0.4-VLOOKUP(B673,INDIRECT($F$8),8+(O681-1)*3)&lt;=5,U681*0.4-VLOOKUP(B673,INDIRECT($F$8),8+(O681-1)*3),11),0))))</f>
        <v/>
      </c>
      <c r="X681" s="1" t="str">
        <f ca="1">IF(ISERROR(F673),"",IF(W681=0,"",_xlfn.TEXTJOIN("",FALSE," G+",W681," in ",A681)))</f>
        <v/>
      </c>
    </row>
    <row r="682" spans="1:24" ht="13" customHeight="1" x14ac:dyDescent="0.2">
      <c r="A682" s="7" t="str">
        <f ca="1">IF(ISERROR(F673),"",VLOOKUP(C673,INDIRECT($F$8),6+(O682-1)*3,0))</f>
        <v/>
      </c>
      <c r="B682" s="41" t="str">
        <f ca="1">IF(ISERROR(F673),"",VLOOKUP(D673,INDIRECT($F$8),6+(O682-1)*3,0))</f>
        <v/>
      </c>
      <c r="C682" s="41"/>
      <c r="D682" s="41"/>
      <c r="E682" s="41"/>
      <c r="F682" s="7" t="str">
        <f ca="1">IF(ISERROR(F673),"",VLOOKUP(E673,INDIRECT($F$8),6+(O682-1)*3,0))</f>
        <v/>
      </c>
      <c r="G682" s="42" t="str">
        <f ca="1">IF(ISERROR(F673),"",_xlfn.TEXTJOIN("/",FALSE,P682,S682))</f>
        <v/>
      </c>
      <c r="H682" s="42"/>
      <c r="I682" s="42" t="str">
        <f ca="1">IF(ISERROR(F673),"",_xlfn.TEXTJOIN("/",FALSE,Q682,T682))</f>
        <v/>
      </c>
      <c r="J682" s="42"/>
      <c r="K682" s="42" t="str">
        <f ca="1">IF(ISERROR(F673),"",_xlfn.TEXTJOIN("/",FALSE,R682,U682))</f>
        <v/>
      </c>
      <c r="L682" s="42"/>
      <c r="M682" s="7" t="str">
        <f ca="1">IF(ISERROR(F673),"",IF(ISTEXT(P682),IF(P682="A","Ab",IF(P682="D","Dt",IF(P682="UFM","UFM",IF(P682="NA","")))),IF(AND(ISBLANK(P682),ISBLANK(R682)),"",IF(P682&lt;0.3*S682,"F",IF(ISBLANK(R682),"",IF(ISTEXT(R682),R682,IF(R682&gt;=0.9*U682,"O",IF(R682&gt;=0.85*U682,"A+",IF(R682&gt;=0.8*U682,"A",IF(R682&gt;=0.7*U682,"B+",IF(R682&gt;=0.6*U682,"B",IF(R682&gt;=0.5*U682,"C",IF(R682&gt;=0.4*U682,"P",IF(R682&lt;0.4*U682,"F",R682))))))))))))))</f>
        <v/>
      </c>
      <c r="N682" s="8" t="str">
        <f t="shared" ca="1" si="70"/>
        <v/>
      </c>
      <c r="O682">
        <f t="shared" si="71"/>
        <v>5</v>
      </c>
      <c r="P682" s="1" t="str">
        <f ca="1">IF(ISERROR(F673),"",IF(ISTEXT(VLOOKUP(B673,INDIRECT($F$8),6+(O682-1)*3)),(VLOOKUP(B673,INDIRECT($F$8),6+(O682-1)*3)),SUM(VLOOKUP(B673,INDIRECT($F$8),6+(O682-1)*3),IF(W688,W682,0))))</f>
        <v/>
      </c>
      <c r="Q682" s="1" t="str">
        <f ca="1">IF(ISERROR(F673),"",VLOOKUP(B673,INDIRECT($F$8),7+(O682-1)*3))</f>
        <v/>
      </c>
      <c r="R682" s="1" t="str">
        <f ca="1">IF(ISERROR(F673),"",SUM(P682:Q682))</f>
        <v/>
      </c>
      <c r="S682" s="1" t="str">
        <f ca="1">IF(ISERROR(F673),"",VLOOKUP(A673,INDIRECT($F$8),6+(O682-1)*3))</f>
        <v/>
      </c>
      <c r="T682" s="1" t="str">
        <f ca="1">IF(ISERROR(F673),"",VLOOKUP(A673,INDIRECT($F$8),7+(O682-1)*3))</f>
        <v/>
      </c>
      <c r="U682" s="1" t="str">
        <f ca="1">IF(ISERROR(F673),"",VLOOKUP(A673,INDIRECT($F$8),8+(O682-1)*3))</f>
        <v/>
      </c>
      <c r="V682" s="1" t="str">
        <f ca="1">IF(ISERROR(F673),"",IF(N682=0,A682,""))</f>
        <v/>
      </c>
      <c r="W682" s="1" t="str">
        <f ca="1">IF(ISERROR(F673),"",IF(ISTEXT(VLOOKUP(B673,INDIRECT($F$8),6+(O682-1)*3)),11,IF(VLOOKUP(B673,INDIRECT($F$8),6+(O682-1)*3)&lt;S682*0.3,IF(VLOOKUP(B673,INDIRECT($F$8),8+(O682-1)*3)&lt;U682*0.4,IF(AND(0.4*U682-VLOOKUP(B673,INDIRECT($F$8),8+(O682-1)*3)&lt;=5,0.3*S682-VLOOKUP(B673,INDIRECT($F$8),6+(O682-1)*3)&lt;=5),MAX(0.4*U682-VLOOKUP(B673,INDIRECT($F$8),8+(O682-1)*3),0.3*S682-VLOOKUP(B673,INDIRECT($F$8),6+(O682-1)*3)),11),IF(0.3*S682-VLOOKUP(B673,INDIRECT($F$8),6+(O682-1)*3)&lt;=5,0.3*S682-VLOOKUP(B673,INDIRECT($F$8),6+(O682-1)*3),11)),IF(VLOOKUP(B673,INDIRECT($F$8),8+(O682-1)*3)&lt;U682*0.4,IF(U682*0.4-VLOOKUP(B673,INDIRECT($F$8),8+(O682-1)*3)&lt;=5,U682*0.4-VLOOKUP(B673,INDIRECT($F$8),8+(O682-1)*3),11),0))))</f>
        <v/>
      </c>
      <c r="X682" s="1" t="str">
        <f ca="1">IF(ISERROR(F673),"",IF(W682=0,"",_xlfn.TEXTJOIN("",FALSE," G+",W682," in ",A682)))</f>
        <v/>
      </c>
    </row>
    <row r="683" spans="1:24" ht="13" customHeight="1" x14ac:dyDescent="0.2">
      <c r="A683" s="7" t="str">
        <f ca="1">IF(ISERROR(F673),"",VLOOKUP(C673,INDIRECT($F$8),6+(O683-1)*3,0))</f>
        <v/>
      </c>
      <c r="B683" s="41" t="str">
        <f ca="1">IF(ISERROR(F673),"",VLOOKUP(D673,INDIRECT($F$8),6+(O683-1)*3,0))</f>
        <v/>
      </c>
      <c r="C683" s="41"/>
      <c r="D683" s="41"/>
      <c r="E683" s="41"/>
      <c r="F683" s="7" t="str">
        <f ca="1">IF(ISERROR(F673),"",VLOOKUP(E673,INDIRECT($F$8),6+(O683-1)*3,0))</f>
        <v/>
      </c>
      <c r="G683" s="42" t="str">
        <f ca="1">IF(ISERROR(F673),"",_xlfn.TEXTJOIN("/",FALSE,P683,S683))</f>
        <v/>
      </c>
      <c r="H683" s="42"/>
      <c r="I683" s="42" t="str">
        <f ca="1">IF(ISERROR(F673),"",_xlfn.TEXTJOIN("/",FALSE,Q683,T683))</f>
        <v/>
      </c>
      <c r="J683" s="42"/>
      <c r="K683" s="42" t="str">
        <f ca="1">IF(ISERROR(F673),"",_xlfn.TEXTJOIN("/",FALSE,R683,U683))</f>
        <v/>
      </c>
      <c r="L683" s="42"/>
      <c r="M683" s="7" t="str">
        <f ca="1">IF(ISERROR(F673),"",IF(ISTEXT(P683),IF(P683="A","Ab",IF(P683="D","Dt",IF(P683="UFM","UFM",IF(P683="NA","")))),IF(AND(ISBLANK(P683),ISBLANK(R683)),"",IF(P683&lt;0.3*S683,"F",IF(ISBLANK(R683),"",IF(ISTEXT(R683),R683,IF(R683&gt;=0.9*U683,"O",IF(R683&gt;=0.85*U683,"A+",IF(R683&gt;=0.8*U683,"A",IF(R683&gt;=0.7*U683,"B+",IF(R683&gt;=0.6*U683,"B",IF(R683&gt;=0.5*U683,"C",IF(R683&gt;=0.4*U683,"P",IF(R683&lt;0.4*U683,"F",R683))))))))))))))</f>
        <v/>
      </c>
      <c r="N683" s="8" t="str">
        <f t="shared" ca="1" si="70"/>
        <v/>
      </c>
      <c r="O683">
        <f t="shared" si="71"/>
        <v>6</v>
      </c>
      <c r="P683" s="1" t="str">
        <f ca="1">IF(ISERROR(F673),"",IF(ISTEXT(VLOOKUP(B673,INDIRECT($F$8),6+(O683-1)*3)),(VLOOKUP(B673,INDIRECT($F$8),6+(O683-1)*3)),SUM(VLOOKUP(B673,INDIRECT($F$8),6+(O683-1)*3),IF(W688,W683,0))))</f>
        <v/>
      </c>
      <c r="Q683" s="1" t="str">
        <f ca="1">IF(ISERROR(F673),"",VLOOKUP(B673,INDIRECT($F$8),7+(O683-1)*3))</f>
        <v/>
      </c>
      <c r="R683" s="1" t="str">
        <f ca="1">IF(ISERROR(F673),"",SUM(P683:Q683))</f>
        <v/>
      </c>
      <c r="S683" s="1" t="str">
        <f ca="1">IF(ISERROR(F673),"",VLOOKUP(A673,INDIRECT($F$8),6+(O683-1)*3))</f>
        <v/>
      </c>
      <c r="T683" s="1" t="str">
        <f ca="1">IF(ISERROR(F673),"",VLOOKUP(A673,INDIRECT($F$8),7+(O683-1)*3))</f>
        <v/>
      </c>
      <c r="U683" s="1" t="str">
        <f ca="1">IF(ISERROR(F673),"",VLOOKUP(A673,INDIRECT($F$8),8+(O683-1)*3))</f>
        <v/>
      </c>
      <c r="V683" s="1" t="str">
        <f ca="1">IF(ISERROR(F673),"",IF(N683=0,A683,""))</f>
        <v/>
      </c>
      <c r="W683" s="1" t="str">
        <f ca="1">IF(ISERROR(F673),"",IF(ISTEXT(VLOOKUP(B673,INDIRECT($F$8),6+(O683-1)*3)),11,IF(VLOOKUP(B673,INDIRECT($F$8),6+(O683-1)*3)&lt;S683*0.3,IF(VLOOKUP(B673,INDIRECT($F$8),8+(O683-1)*3)&lt;U683*0.4,IF(AND(0.4*U683-VLOOKUP(B673,INDIRECT($F$8),8+(O683-1)*3)&lt;=5,0.3*S683-VLOOKUP(B673,INDIRECT($F$8),6+(O683-1)*3)&lt;=5),MAX(0.4*U683-VLOOKUP(B673,INDIRECT($F$8),8+(O683-1)*3),0.3*S683-VLOOKUP(B673,INDIRECT($F$8),6+(O683-1)*3)),11),IF(0.3*S683-VLOOKUP(B673,INDIRECT($F$8),6+(O683-1)*3)&lt;=5,0.3*S683-VLOOKUP(B673,INDIRECT($F$8),6+(O683-1)*3),11)),IF(VLOOKUP(B673,INDIRECT($F$8),8+(O683-1)*3)&lt;U683*0.4,IF(U683*0.4-VLOOKUP(B673,INDIRECT($F$8),8+(O683-1)*3)&lt;=5,U683*0.4-VLOOKUP(B673,INDIRECT($F$8),8+(O683-1)*3),11),0))))</f>
        <v/>
      </c>
      <c r="X683" s="1" t="str">
        <f ca="1">IF(ISERROR(F673),"",IF(W683=0,"",_xlfn.TEXTJOIN("",FALSE," G+",W683," in ",A683)))</f>
        <v/>
      </c>
    </row>
    <row r="684" spans="1:24" ht="13" customHeight="1" x14ac:dyDescent="0.2">
      <c r="A684" s="7" t="str">
        <f ca="1">IF(ISERROR(F673),"",VLOOKUP(C673,INDIRECT($F$8),6+(O684-1)*3,0))</f>
        <v/>
      </c>
      <c r="B684" s="41" t="str">
        <f ca="1">IF(ISERROR(F673),"",VLOOKUP(D673,INDIRECT($F$8),6+(O684-1)*3,0))</f>
        <v/>
      </c>
      <c r="C684" s="41"/>
      <c r="D684" s="41"/>
      <c r="E684" s="41"/>
      <c r="F684" s="7" t="str">
        <f ca="1">IF(ISERROR(F673),"",VLOOKUP(E673,INDIRECT($F$8),6+(O684-1)*3,0))</f>
        <v/>
      </c>
      <c r="G684" s="42" t="str">
        <f ca="1">IF(ISERROR(F673),"",_xlfn.TEXTJOIN("/",FALSE,P684,S684))</f>
        <v/>
      </c>
      <c r="H684" s="42"/>
      <c r="I684" s="42" t="str">
        <f ca="1">IF(ISERROR(F673),"",_xlfn.TEXTJOIN("/",FALSE,Q684,T684))</f>
        <v/>
      </c>
      <c r="J684" s="42"/>
      <c r="K684" s="42" t="str">
        <f ca="1">IF(ISERROR(F673),"",_xlfn.TEXTJOIN("/",FALSE,R684,U684))</f>
        <v/>
      </c>
      <c r="L684" s="42"/>
      <c r="M684" s="7" t="str">
        <f ca="1">IF(ISERROR(F673),"",IF(ISTEXT(P684),IF(P684="A","Ab",IF(P684="D","Dt",IF(P684="UFM","UFM",IF(P684="NA","")))),IF(AND(ISBLANK(P684),ISBLANK(R684)),"",IF(P684&lt;0.3*S684,"F",IF(ISBLANK(R684),"",IF(ISTEXT(R684),R684,IF(R684&gt;=0.9*U684,"O",IF(R684&gt;=0.85*U684,"A+",IF(R684&gt;=0.8*U684,"A",IF(R684&gt;=0.7*U684,"B+",IF(R684&gt;=0.6*U684,"B",IF(R684&gt;=0.5*U684,"C",IF(R684&gt;=0.4*U684,"P",IF(R684&lt;0.4*U684,"F",R684))))))))))))))</f>
        <v/>
      </c>
      <c r="N684" s="8" t="str">
        <f t="shared" ca="1" si="70"/>
        <v/>
      </c>
      <c r="O684">
        <f t="shared" si="71"/>
        <v>7</v>
      </c>
      <c r="P684" s="1" t="str">
        <f ca="1">IF(ISERROR(F673),"",IF(ISTEXT(VLOOKUP(B673,INDIRECT($F$8),6+(O684-1)*3)),(VLOOKUP(B673,INDIRECT($F$8),6+(O684-1)*3)),SUM(VLOOKUP(B673,INDIRECT($F$8),6+(O684-1)*3),IF(W688,W684,0))))</f>
        <v/>
      </c>
      <c r="Q684" s="1" t="str">
        <f ca="1">IF(ISERROR(F673),"",VLOOKUP(B673,INDIRECT($F$8),7+(O684-1)*3))</f>
        <v/>
      </c>
      <c r="R684" s="1" t="str">
        <f ca="1">IF(ISERROR(F673),"",SUM(P684:Q684))</f>
        <v/>
      </c>
      <c r="S684" s="1" t="str">
        <f ca="1">IF(ISERROR(F673),"",VLOOKUP(A673,INDIRECT($F$8),6+(O684-1)*3))</f>
        <v/>
      </c>
      <c r="T684" s="1" t="str">
        <f ca="1">IF(ISERROR(F673),"",VLOOKUP(A673,INDIRECT($F$8),7+(O684-1)*3))</f>
        <v/>
      </c>
      <c r="U684" s="1" t="str">
        <f ca="1">IF(ISERROR(F673),"",VLOOKUP(A673,INDIRECT($F$8),8+(O684-1)*3))</f>
        <v/>
      </c>
      <c r="V684" s="1" t="str">
        <f ca="1">IF(ISERROR(F673),"",IF(N684=0,A684,""))</f>
        <v/>
      </c>
      <c r="W684" s="1" t="str">
        <f ca="1">IF(ISERROR(F673),"",IF(ISTEXT(VLOOKUP(B673,INDIRECT($F$8),6+(O684-1)*3)),11,IF(VLOOKUP(B673,INDIRECT($F$8),6+(O684-1)*3)&lt;S684*0.3,IF(VLOOKUP(B673,INDIRECT($F$8),8+(O684-1)*3)&lt;U684*0.4,IF(AND(0.4*U684-VLOOKUP(B673,INDIRECT($F$8),8+(O684-1)*3)&lt;=5,0.3*S684-VLOOKUP(B673,INDIRECT($F$8),6+(O684-1)*3)&lt;=5),MAX(0.4*U684-VLOOKUP(B673,INDIRECT($F$8),8+(O684-1)*3),0.3*S684-VLOOKUP(B673,INDIRECT($F$8),6+(O684-1)*3)),11),IF(0.3*S684-VLOOKUP(B673,INDIRECT($F$8),6+(O684-1)*3)&lt;=5,0.3*S684-VLOOKUP(B673,INDIRECT($F$8),6+(O684-1)*3),11)),IF(VLOOKUP(B673,INDIRECT($F$8),8+(O684-1)*3)&lt;U684*0.4,IF(U684*0.4-VLOOKUP(B673,INDIRECT($F$8),8+(O684-1)*3)&lt;=5,U684*0.4-VLOOKUP(B673,INDIRECT($F$8),8+(O684-1)*3),11),0))))</f>
        <v/>
      </c>
      <c r="X684" s="1" t="str">
        <f ca="1">IF(ISERROR(F673),"",IF(W684=0,"",_xlfn.TEXTJOIN("",FALSE," G+",W684," in ",A684)))</f>
        <v/>
      </c>
    </row>
    <row r="685" spans="1:24" ht="13" customHeight="1" x14ac:dyDescent="0.2">
      <c r="A685" s="7" t="str">
        <f ca="1">IF(ISERROR(F673),"",VLOOKUP(C673,INDIRECT($F$8),6+(O685-1)*3,0))</f>
        <v/>
      </c>
      <c r="B685" s="41" t="str">
        <f ca="1">IF(ISERROR(F673),"",VLOOKUP(D673,INDIRECT($F$8),6+(O685-1)*3-Z685,0))</f>
        <v/>
      </c>
      <c r="C685" s="41"/>
      <c r="D685" s="41"/>
      <c r="E685" s="41"/>
      <c r="F685" s="7" t="str">
        <f ca="1">IF(ISERROR(F673),"",VLOOKUP(E673,INDIRECT($F$8),6+(O685-1)*3,0))</f>
        <v/>
      </c>
      <c r="G685" s="42" t="str">
        <f ca="1">IF(ISERROR(F673),"",_xlfn.TEXTJOIN("/",FALSE,P685,S685))</f>
        <v/>
      </c>
      <c r="H685" s="42"/>
      <c r="I685" s="42" t="str">
        <f ca="1">IF(ISERROR(F673),"",_xlfn.TEXTJOIN("/",FALSE,Q685,T685))</f>
        <v/>
      </c>
      <c r="J685" s="42"/>
      <c r="K685" s="42" t="str">
        <f ca="1">IF(ISERROR(F673),"",_xlfn.TEXTJOIN("/",FALSE,R685,U685))</f>
        <v/>
      </c>
      <c r="L685" s="42"/>
      <c r="M685" s="7" t="str">
        <f ca="1">IF(ISERROR(F673),"",IF(ISTEXT(P685),IF(P685="A","Ab",IF(P685="D","Dt",IF(P685="UFM","UFM",IF(P685="NA","")))),IF(AND(ISBLANK(P685),ISBLANK(R685)),"",IF(P685&lt;0.3*S685,"F",IF(ISBLANK(R685),"",IF(ISTEXT(R685),R685,IF(R685&gt;=0.9*U685,"O",IF(R685&gt;=0.85*U685,"A+",IF(R685&gt;=0.8*U685,"A",IF(R685&gt;=0.7*U685,"B+",IF(R685&gt;=0.6*U685,"B",IF(R685&gt;=0.5*U685,"C",IF(R685&gt;=0.4*U685,"P",IF(R685&lt;0.4*U685,"F",R685))))))))))))))</f>
        <v/>
      </c>
      <c r="N685" s="8" t="str">
        <f t="shared" ca="1" si="70"/>
        <v/>
      </c>
      <c r="O685">
        <f t="shared" si="71"/>
        <v>8</v>
      </c>
      <c r="P685" s="1" t="str">
        <f ca="1">IF(ISERROR(F673),"",IF(ISTEXT(VLOOKUP(B673,INDIRECT($F$8),6+(O685-1)*3)),(VLOOKUP(B673,INDIRECT($F$8),6+(O685-1)*3)),SUM(VLOOKUP(B673,INDIRECT($F$8),6+(O685-1)*3),IF(W688,W685,0))))</f>
        <v/>
      </c>
      <c r="Q685" s="1" t="str">
        <f ca="1">IF(ISERROR(F673),"",VLOOKUP(B673,INDIRECT($F$8),7+(O685-1)*3))</f>
        <v/>
      </c>
      <c r="R685" s="1" t="str">
        <f ca="1">IF(ISERROR(F673),"",SUM(P685:Q685))</f>
        <v/>
      </c>
      <c r="S685" s="1" t="str">
        <f ca="1">IF(ISERROR(F673),"",VLOOKUP(A673,INDIRECT($F$8),6+(O685-1)*3))</f>
        <v/>
      </c>
      <c r="T685" s="1" t="str">
        <f ca="1">IF(ISERROR(F673),"",VLOOKUP(A673,INDIRECT($F$8),7+(O685-1)*3))</f>
        <v/>
      </c>
      <c r="U685" s="1" t="str">
        <f ca="1">IF(ISERROR(F673),"",VLOOKUP(A673,INDIRECT($F$8),8+(O685-1)*3))</f>
        <v/>
      </c>
      <c r="V685" s="1" t="str">
        <f ca="1">IF(ISERROR(F673),"",IF(N685=0,A685,""))</f>
        <v/>
      </c>
      <c r="W685" s="1" t="str">
        <f ca="1">IF(ISERROR(F673),"",IF(ISTEXT(VLOOKUP(B673,INDIRECT($F$8),6+(O685-1)*3)),11,IF(VLOOKUP(B673,INDIRECT($F$8),6+(O685-1)*3)&lt;S685*0.3,IF(VLOOKUP(B673,INDIRECT($F$8),8+(O685-1)*3)&lt;U685*0.4,IF(AND(0.4*U685-VLOOKUP(B673,INDIRECT($F$8),8+(O685-1)*3)&lt;=5,0.3*S685-VLOOKUP(B673,INDIRECT($F$8),6+(O685-1)*3)&lt;=5),MAX(0.4*U685-VLOOKUP(B673,INDIRECT($F$8),8+(O685-1)*3),0.3*S685-VLOOKUP(B673,INDIRECT($F$8),6+(O685-1)*3)),11),IF(0.3*S685-VLOOKUP(B673,INDIRECT($F$8),6+(O685-1)*3)&lt;=5,0.3*S685-VLOOKUP(B673,INDIRECT($F$8),6+(O685-1)*3),11)),IF(VLOOKUP(B673,INDIRECT($F$8),8+(O685-1)*3)&lt;U685*0.4,IF(U685*0.4-VLOOKUP(B673,INDIRECT($F$8),8+(O685-1)*3)&lt;=5,U685*0.4-VLOOKUP(B673,INDIRECT($F$8),8+(O685-1)*3),11),0))))</f>
        <v/>
      </c>
      <c r="X685" s="1" t="str">
        <f ca="1">IF(ISERROR(F673),"",IF(W685=0,"",_xlfn.TEXTJOIN("",FALSE," G+",W685," in ",A685)))</f>
        <v/>
      </c>
    </row>
    <row r="686" spans="1:24" ht="13" customHeight="1" x14ac:dyDescent="0.2">
      <c r="A686" s="7" t="str">
        <f ca="1">IF(ISERROR(F673),"",VLOOKUP(C673,INDIRECT($F$8),6+(O686-1)*3,0))</f>
        <v/>
      </c>
      <c r="B686" s="41" t="str">
        <f ca="1">IF(ISERROR(F673),"",VLOOKUP(D673,INDIRECT($F$8),6+(O686-1)*3-Z686,0))</f>
        <v/>
      </c>
      <c r="C686" s="41"/>
      <c r="D686" s="41"/>
      <c r="E686" s="41"/>
      <c r="F686" s="7" t="str">
        <f ca="1">IF(ISERROR(F673),"",VLOOKUP(E673,INDIRECT($F$8),6+(O686-1)*3,0))</f>
        <v/>
      </c>
      <c r="G686" s="42" t="str">
        <f ca="1">IF(ISERROR(F673),"",_xlfn.TEXTJOIN("/",FALSE,P686,S686))</f>
        <v/>
      </c>
      <c r="H686" s="42"/>
      <c r="I686" s="42" t="str">
        <f ca="1">IF(ISERROR(F673),"",_xlfn.TEXTJOIN("/",FALSE,Q686,T686))</f>
        <v/>
      </c>
      <c r="J686" s="42"/>
      <c r="K686" s="42" t="str">
        <f ca="1">IF(ISERROR(F673),"",_xlfn.TEXTJOIN("/",FALSE,R686,U686))</f>
        <v/>
      </c>
      <c r="L686" s="42"/>
      <c r="M686" s="7" t="str">
        <f ca="1">IF(ISERROR(F673),"",IF(ISTEXT(P686),IF(P686="A","Ab",IF(P686="D","Dt",IF(P686="UFM","UFM",IF(P686="NA","")))),IF(AND(ISBLANK(P686),ISBLANK(R686)),"",IF(P686&lt;0.3*S686,"F",IF(ISBLANK(R686),"",IF(ISTEXT(R686),R686,IF(R686&gt;=0.9*U686,"O",IF(R686&gt;=0.85*U686,"A+",IF(R686&gt;=0.8*U686,"A",IF(R686&gt;=0.7*U686,"B+",IF(R686&gt;=0.6*U686,"B",IF(R686&gt;=0.5*U686,"C",IF(R686&gt;=0.4*U686,"P",IF(R686&lt;0.4*U686,"F",R686))))))))))))))</f>
        <v/>
      </c>
      <c r="N686" s="8" t="str">
        <f t="shared" ca="1" si="70"/>
        <v/>
      </c>
      <c r="O686">
        <f t="shared" si="71"/>
        <v>9</v>
      </c>
      <c r="P686" s="1" t="str">
        <f ca="1">IF(ISERROR(F673),"",IF(ISTEXT(VLOOKUP(B673,INDIRECT($F$8),6+(O686-1)*3)),(VLOOKUP(B673,INDIRECT($F$8),6+(O686-1)*3)),SUM(VLOOKUP(B673,INDIRECT($F$8),6+(O686-1)*3),IF(W688,W686,0))))</f>
        <v/>
      </c>
      <c r="Q686" s="1" t="str">
        <f ca="1">IF(ISERROR(F673),"",VLOOKUP(B673,INDIRECT($F$8),7+(O686-1)*3))</f>
        <v/>
      </c>
      <c r="R686" s="1" t="str">
        <f ca="1">IF(ISERROR(F673),"",SUM(P686:Q686))</f>
        <v/>
      </c>
      <c r="S686" s="1" t="str">
        <f ca="1">IF(ISERROR(F673),"",VLOOKUP(A673,INDIRECT($F$8),6+(O686-1)*3))</f>
        <v/>
      </c>
      <c r="T686" s="1" t="str">
        <f ca="1">IF(ISERROR(F673),"",VLOOKUP(A673,INDIRECT($F$8),7+(O686-1)*3))</f>
        <v/>
      </c>
      <c r="U686" s="1" t="str">
        <f ca="1">IF(ISERROR(F673),"",VLOOKUP(A673,INDIRECT($F$8),8+(O686-1)*3))</f>
        <v/>
      </c>
      <c r="V686" s="1" t="str">
        <f ca="1">IF(ISERROR(F673),"",IF(N686=0,A686,""))</f>
        <v/>
      </c>
      <c r="W686" s="1" t="str">
        <f ca="1">IF(ISERROR(F673),"",IF(ISTEXT(VLOOKUP(B673,INDIRECT($F$8),6+(O686-1)*3)),11,IF(VLOOKUP(B673,INDIRECT($F$8),6+(O686-1)*3)&lt;S686*0.3,IF(VLOOKUP(B673,INDIRECT($F$8),8+(O686-1)*3)&lt;U686*0.4,IF(AND(0.4*U686-VLOOKUP(B673,INDIRECT($F$8),8+(O686-1)*3)&lt;=5,0.3*S686-VLOOKUP(B673,INDIRECT($F$8),6+(O686-1)*3)&lt;=5),MAX(0.4*U686-VLOOKUP(B673,INDIRECT($F$8),8+(O686-1)*3),0.3*S686-VLOOKUP(B673,INDIRECT($F$8),6+(O686-1)*3)),11),IF(0.3*S686-VLOOKUP(B673,INDIRECT($F$8),6+(O686-1)*3)&lt;=5,0.3*S686-VLOOKUP(B673,INDIRECT($F$8),6+(O686-1)*3),11)),IF(VLOOKUP(B673,INDIRECT($F$8),8+(O686-1)*3)&lt;U686*0.4,IF(U686*0.4-VLOOKUP(B673,INDIRECT($F$8),8+(O686-1)*3)&lt;=5,U686*0.4-VLOOKUP(B673,INDIRECT($F$8),8+(O686-1)*3),11),0))))</f>
        <v/>
      </c>
      <c r="X686" s="1" t="str">
        <f ca="1">IF(ISERROR(F673),"",IF(W686=0,"",_xlfn.TEXTJOIN("",FALSE," G+",W686," in ",A686)))</f>
        <v/>
      </c>
    </row>
    <row r="687" spans="1:24" ht="13" customHeight="1" x14ac:dyDescent="0.2">
      <c r="A687" s="7" t="str">
        <f ca="1">IF(ISERROR(F673),"",VLOOKUP(C673,INDIRECT($F$8),6+(O687-1)*3,0))</f>
        <v/>
      </c>
      <c r="B687" s="41" t="str">
        <f ca="1">IF(ISERROR(F673),"",VLOOKUP(D673,INDIRECT($F$8),6+(O687-1)*3,0))</f>
        <v/>
      </c>
      <c r="C687" s="41"/>
      <c r="D687" s="41"/>
      <c r="E687" s="41"/>
      <c r="F687" s="7" t="str">
        <f ca="1">IF(ISERROR(F673),"",VLOOKUP(E673,INDIRECT($F$8),6+(O687-1)*3,0))</f>
        <v/>
      </c>
      <c r="G687" s="42" t="str">
        <f ca="1">IF(ISERROR(F673),"",_xlfn.TEXTJOIN("/",FALSE,P687,S687))</f>
        <v/>
      </c>
      <c r="H687" s="42"/>
      <c r="I687" s="42" t="str">
        <f ca="1">IF(ISERROR(F673),"",_xlfn.TEXTJOIN("/",FALSE,Q687,T687))</f>
        <v/>
      </c>
      <c r="J687" s="42"/>
      <c r="K687" s="42" t="str">
        <f ca="1">IF(ISERROR(F673),"",_xlfn.TEXTJOIN("/",FALSE,R687,U687))</f>
        <v/>
      </c>
      <c r="L687" s="42"/>
      <c r="M687" s="7" t="str">
        <f ca="1">IF(ISERROR(F673),"",IF(ISTEXT(P687),IF(P687="A","Ab",IF(P687="D","Dt",IF(P687="UFM","UFM",IF(P687="NA","")))),IF(AND(ISBLANK(P687),ISBLANK(R687)),"",IF(P687&lt;0.3*S687,"F",IF(ISBLANK(R687),"",IF(ISTEXT(R687),R687,IF(R687&gt;=0.9*U687,"O",IF(R687&gt;=0.85*U687,"A+",IF(R687&gt;=0.8*U687,"A",IF(R687&gt;=0.7*U687,"B+",IF(R687&gt;=0.6*U687,"B",IF(R687&gt;=0.5*U687,"C",IF(R687&gt;=0.4*U687,"P",IF(R687&lt;0.4*U687,"F",R687))))))))))))))</f>
        <v/>
      </c>
      <c r="N687" s="8" t="str">
        <f t="shared" ca="1" si="70"/>
        <v/>
      </c>
      <c r="O687">
        <f t="shared" si="71"/>
        <v>10</v>
      </c>
      <c r="P687" s="1" t="str">
        <f ca="1">IF(ISERROR(F673),"",IF(ISTEXT(VLOOKUP(B673,INDIRECT($F$8),6+(O687-1)*3)),(VLOOKUP(B673,INDIRECT($F$8),6+(O687-1)*3)),SUM(VLOOKUP(B673,INDIRECT($F$8),6+(O687-1)*3),IF(W688,W687,0))))</f>
        <v/>
      </c>
      <c r="Q687" s="1" t="str">
        <f ca="1">IF(ISERROR(F673),"",VLOOKUP(B673,INDIRECT($F$8),7+(O687-1)*3))</f>
        <v/>
      </c>
      <c r="R687" s="1" t="str">
        <f ca="1">IF(ISERROR(F673),"",SUM(P687:Q687))</f>
        <v/>
      </c>
      <c r="S687" s="1" t="str">
        <f ca="1">IF(ISERROR(F673),"",VLOOKUP(A673,INDIRECT($F$8),6+(O687-1)*3))</f>
        <v/>
      </c>
      <c r="T687" s="1" t="str">
        <f ca="1">IF(ISERROR(F673),"",VLOOKUP(A673,INDIRECT($F$8),7+(O687-1)*3))</f>
        <v/>
      </c>
      <c r="U687" s="1" t="str">
        <f ca="1">IF(ISERROR(F673),"",VLOOKUP(A673,INDIRECT($F$8),8+(O687-1)*3))</f>
        <v/>
      </c>
      <c r="V687" s="1" t="str">
        <f ca="1">IF(ISERROR(F673),"",IF(N687=0,A687,""))</f>
        <v/>
      </c>
      <c r="W687" s="1" t="str">
        <f ca="1">IF(ISERROR(F673),"",IF(ISTEXT(VLOOKUP(B673,INDIRECT($F$8),6+(O687-1)*3)),11,IF(VLOOKUP(B673,INDIRECT($F$8),6+(O687-1)*3)&lt;S687*0.3,IF(VLOOKUP(B673,INDIRECT($F$8),8+(O687-1)*3)&lt;U687*0.4,IF(AND(0.4*U687-VLOOKUP(B673,INDIRECT($F$8),8+(O687-1)*3)&lt;=5,0.3*S687-VLOOKUP(B673,INDIRECT($F$8),6+(O687-1)*3)&lt;=5),MAX(0.4*U687-VLOOKUP(B673,INDIRECT($F$8),8+(O687-1)*3),0.3*S687-VLOOKUP(B673,INDIRECT($F$8),6+(O687-1)*3)),11),IF(0.3*S687-VLOOKUP(B673,INDIRECT($F$8),6+(O687-1)*3)&lt;=5,0.3*S687-VLOOKUP(B673,INDIRECT($F$8),6+(O687-1)*3),11)),IF(VLOOKUP(B673,INDIRECT($F$8),8+(O687-1)*3)&lt;U687*0.4,IF(U687*0.4-VLOOKUP(B673,INDIRECT($F$8),8+(O687-1)*3)&lt;=5,U687*0.4-VLOOKUP(B673,INDIRECT($F$8),8+(O687-1)*3),11),0))))</f>
        <v/>
      </c>
      <c r="X687" s="1" t="str">
        <f ca="1">IF(ISERROR(F673),"",IF(W687=0,"",_xlfn.TEXTJOIN("",FALSE," G+",W687," in ",A687)))</f>
        <v/>
      </c>
    </row>
    <row r="688" spans="1:24" ht="13" customHeight="1" x14ac:dyDescent="0.2">
      <c r="A688" s="43" t="str">
        <f ca="1">IF(ISERROR(F673),"",A669)</f>
        <v/>
      </c>
      <c r="B688" s="43"/>
      <c r="C688" s="43"/>
      <c r="D688" s="43"/>
      <c r="E688" s="43"/>
      <c r="F688" s="10" t="str">
        <f ca="1">IF(ISERROR(F673),"",SUM(F678:F687))</f>
        <v/>
      </c>
      <c r="G688" s="44" t="str">
        <f ca="1">IF(ISERROR(F673),"",_xlfn.TEXTJOIN("/",TRUE,SUMIF(F678:F687,"&gt;0",P678:P687),SUMIF(F678:F687,"&gt;0",S678:S687)))</f>
        <v/>
      </c>
      <c r="H688" s="44"/>
      <c r="I688" s="44" t="str">
        <f ca="1">IF(ISERROR(F673),"",_xlfn.TEXTJOIN("/",TRUE,SUMIF(F678:F687,"&gt;0",Q678:Q687),SUMIF(F678:F687,"&gt;0",T678:T687)))</f>
        <v/>
      </c>
      <c r="J688" s="44"/>
      <c r="K688" s="44" t="str">
        <f ca="1">IF(ISERROR(F673),"",_xlfn.TEXTJOIN("/",TRUE,SUMIF(F678:F687,"&gt;0",R678:R687),SUMIF(F678:F687,"&gt;0",U678:U687)))</f>
        <v/>
      </c>
      <c r="L688" s="44"/>
      <c r="M688" s="43" t="str">
        <f ca="1">IF(ISERROR(F673),"",SUMPRODUCT(N678:N687,F678:F687))</f>
        <v/>
      </c>
      <c r="N688" s="43"/>
      <c r="V688" s="1" t="str">
        <f ca="1">IF(ISERROR(F673),"",_xlfn.TEXTJOIN(", ",TRUE,V678:V687))</f>
        <v/>
      </c>
      <c r="W688" t="str">
        <f ca="1">IF(ISERROR(F673),"",IF(SUM(W678:W687)&lt;=W677,TRUE,FALSE))</f>
        <v/>
      </c>
      <c r="X688" s="1" t="str">
        <f ca="1">IF(ISERROR(F673),"",_xlfn.TEXTJOIN(",",TRUE,X678:X687))</f>
        <v/>
      </c>
    </row>
    <row r="689" spans="1:24" ht="13" customHeight="1" x14ac:dyDescent="0.2">
      <c r="A689" s="43" t="str">
        <f ca="1">IF(ISERROR(F673),"",A670)</f>
        <v/>
      </c>
      <c r="B689" s="45" t="str">
        <f ca="1">IF(ISERROR(F673),"",IF(V688="","PASS","CARRY OVER"))</f>
        <v/>
      </c>
      <c r="C689" s="45"/>
      <c r="D689" s="43" t="str">
        <f ca="1">IF(ISERROR(F673),"",D670)</f>
        <v/>
      </c>
      <c r="E689" s="45" t="str">
        <f ca="1">IF(ISERROR(F673),"",IF(V688="",IF(X688="","",X688),_xlfn.TEXTJOIN(" ",TRUE,"BACK IN",V688)))</f>
        <v/>
      </c>
      <c r="F689" s="45"/>
      <c r="G689" s="43" t="str">
        <f ca="1">IF(ISERROR(F673),"",G670)</f>
        <v/>
      </c>
      <c r="H689" s="46" t="str">
        <f ca="1">IF(ISERROR(F673),"",M688/F688)</f>
        <v/>
      </c>
      <c r="I689" s="43" t="str">
        <f ca="1">IF(ISERROR(F673),"",I670)</f>
        <v/>
      </c>
      <c r="J689" s="46" t="str">
        <f ca="1">IF(ISERROR(F673),"",VLOOKUP(B673,INDIRECT($F$8),12+(O687-1)*3,0))</f>
        <v/>
      </c>
      <c r="K689" s="45" t="str">
        <f ca="1">IF(ISERROR(F673),"",K670)</f>
        <v/>
      </c>
      <c r="L689" s="43" t="str">
        <f ca="1">IF(ISERROR(F673),"",SUMIF(N678:N687,"&gt;0",F678:F687))</f>
        <v/>
      </c>
      <c r="M689" s="45" t="str">
        <f ca="1">IF(ISERROR(F673),"",M670)</f>
        <v/>
      </c>
      <c r="N689" s="43" t="str">
        <f ca="1">IF(ISERROR(F673),"",VLOOKUP(B673,INDIRECT($F$8),10+(O687-1)*3,0))</f>
        <v/>
      </c>
    </row>
    <row r="690" spans="1:24" ht="13" customHeight="1" x14ac:dyDescent="0.2">
      <c r="A690" s="43"/>
      <c r="B690" s="45"/>
      <c r="C690" s="45"/>
      <c r="D690" s="43"/>
      <c r="E690" s="45"/>
      <c r="F690" s="45"/>
      <c r="G690" s="43"/>
      <c r="H690" s="46"/>
      <c r="I690" s="43"/>
      <c r="J690" s="46"/>
      <c r="K690" s="45"/>
      <c r="L690" s="43"/>
      <c r="M690" s="45"/>
      <c r="N690" s="43"/>
    </row>
    <row r="691" spans="1:24" ht="13" customHeight="1" x14ac:dyDescent="0.2">
      <c r="A691" s="43"/>
      <c r="B691" s="45"/>
      <c r="C691" s="45"/>
      <c r="D691" s="43"/>
      <c r="E691" s="45"/>
      <c r="F691" s="45"/>
      <c r="G691" s="43"/>
      <c r="H691" s="46"/>
      <c r="I691" s="43"/>
      <c r="J691" s="46"/>
      <c r="K691" s="45"/>
      <c r="L691" s="43"/>
      <c r="M691" s="45"/>
      <c r="N691" s="43"/>
    </row>
    <row r="692" spans="1:24" ht="13" customHeight="1" x14ac:dyDescent="0.2">
      <c r="A692" s="11" t="str">
        <f>A673</f>
        <v>MM</v>
      </c>
      <c r="B692" s="11">
        <f>B673+1</f>
        <v>37</v>
      </c>
      <c r="C692" s="11" t="str">
        <f>C673</f>
        <v>SC</v>
      </c>
      <c r="D692" s="11" t="str">
        <f>D673</f>
        <v>SN</v>
      </c>
      <c r="E692" s="11" t="str">
        <f>E673</f>
        <v>C</v>
      </c>
      <c r="F692" s="11" t="e">
        <f ca="1">VLOOKUP(B692,INDIRECT($F$8),4,0)</f>
        <v>#N/A</v>
      </c>
    </row>
    <row r="693" spans="1:24" ht="13" customHeight="1" x14ac:dyDescent="0.2">
      <c r="A693" s="47" t="str">
        <f ca="1">IF(ISERROR(F692),"",A674)</f>
        <v/>
      </c>
      <c r="B693" s="47" t="str">
        <f ca="1">IFERROR(VLOOKUP(B692,INDIRECT($F$8),4,0),"")</f>
        <v/>
      </c>
      <c r="C693" s="47"/>
      <c r="D693" s="47" t="str">
        <f ca="1">IF(ISERROR(F692),"",D674)</f>
        <v/>
      </c>
      <c r="E693" s="47" t="str">
        <f ca="1">IFERROR(VLOOKUP(B692,INDIRECT($F$8),5,0),"")</f>
        <v/>
      </c>
      <c r="F693" s="47"/>
      <c r="G693" s="47" t="str">
        <f ca="1">IF(ISERROR(F692),"",G674)</f>
        <v/>
      </c>
      <c r="H693" s="47"/>
      <c r="I693" s="48" t="str">
        <f ca="1">IFERROR(VLOOKUP(B692,INDIRECT($F$8),2,0),"")</f>
        <v/>
      </c>
      <c r="J693" s="48"/>
      <c r="K693" s="47" t="str">
        <f ca="1">IF(ISERROR(F692),"",K674)</f>
        <v/>
      </c>
      <c r="L693" s="47"/>
      <c r="M693" s="48" t="str">
        <f ca="1">IFERROR(VLOOKUP(B692,INDIRECT($F$8),3,0),"")</f>
        <v/>
      </c>
      <c r="N693" s="48"/>
    </row>
    <row r="694" spans="1:24" ht="13" customHeight="1" x14ac:dyDescent="0.2">
      <c r="A694" s="47"/>
      <c r="B694" s="47"/>
      <c r="C694" s="47"/>
      <c r="D694" s="47"/>
      <c r="E694" s="47"/>
      <c r="F694" s="47"/>
      <c r="G694" s="47"/>
      <c r="H694" s="47"/>
      <c r="I694" s="48"/>
      <c r="J694" s="48"/>
      <c r="K694" s="47"/>
      <c r="L694" s="47"/>
      <c r="M694" s="48"/>
      <c r="N694" s="48"/>
    </row>
    <row r="695" spans="1:24" ht="13" customHeight="1" x14ac:dyDescent="0.2">
      <c r="A695" s="45" t="str">
        <f ca="1">IF(ISERROR(F692),"",A676)</f>
        <v/>
      </c>
      <c r="B695" s="45" t="str">
        <f ca="1">IF(ISERROR(F692),"",B676)</f>
        <v/>
      </c>
      <c r="C695" s="45"/>
      <c r="D695" s="45"/>
      <c r="E695" s="45"/>
      <c r="F695" s="45" t="str">
        <f ca="1">IF(ISERROR(F692),"",F676)</f>
        <v/>
      </c>
      <c r="G695" s="45" t="str">
        <f ca="1">IF(ISERROR(F692),"",G676)</f>
        <v/>
      </c>
      <c r="H695" s="45"/>
      <c r="I695" s="45" t="str">
        <f ca="1">IF(ISERROR(F692),"",I676)</f>
        <v/>
      </c>
      <c r="J695" s="45"/>
      <c r="K695" s="45" t="str">
        <f ca="1">IF(ISERROR(F692),"",K676)</f>
        <v/>
      </c>
      <c r="L695" s="45"/>
      <c r="M695" s="45" t="str">
        <f ca="1">IF(ISERROR(F692),"",M676)</f>
        <v/>
      </c>
      <c r="N695" s="45" t="str">
        <f ca="1">IF(ISERROR(F692),"",N676)</f>
        <v/>
      </c>
    </row>
    <row r="696" spans="1:24" ht="13" customHeight="1" x14ac:dyDescent="0.2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W696" t="e">
        <f ca="1">IF(ISNUMBER(MATCH($F$8,{"I","III","V","VII"},0)),10,10-INDEX(INDIRECT(_xlfn.TEXTJOIN("",TRUE,"SEM_",$G$8,"!",ADDRESS(6,4+$I$8*3+4),":",ADDRESS(5+$H$8,4+$I$8*3+4))),MATCH(INDIRECT(_xlfn.TEXTJOIN("",TRUE,"TC_",$F$8,"!",ADDRESS(ROW(I693),COLUMN(I693)))),INDIRECT(_xlfn.TEXTJOIN("",TRUE,"SEM_",$G$8,"!",ADDRESS(6,2),":",ADDRESS(5+$H$8,2))))))</f>
        <v>#N/A</v>
      </c>
    </row>
    <row r="697" spans="1:24" ht="13" customHeight="1" x14ac:dyDescent="0.2">
      <c r="A697" s="7" t="str">
        <f ca="1">IF(ISERROR(F692),"",VLOOKUP(C692,INDIRECT($F$8),6+(O697-1)*3,0))</f>
        <v/>
      </c>
      <c r="B697" s="41" t="str">
        <f ca="1">IF(ISERROR(F692),"",VLOOKUP(D692,INDIRECT($F$8),6+(O697-1)*3,0))</f>
        <v/>
      </c>
      <c r="C697" s="41"/>
      <c r="D697" s="41"/>
      <c r="E697" s="41"/>
      <c r="F697" s="7" t="str">
        <f ca="1">IF(ISERROR(F692),"",VLOOKUP(E692,INDIRECT($F$8),6+(O697-1)*3,0))</f>
        <v/>
      </c>
      <c r="G697" s="42" t="str">
        <f ca="1">IF(ISERROR(F692),"",_xlfn.TEXTJOIN("/",FALSE,P697,S697))</f>
        <v/>
      </c>
      <c r="H697" s="42"/>
      <c r="I697" s="42" t="str">
        <f ca="1">IF(ISERROR(F692),"",_xlfn.TEXTJOIN("/",FALSE,Q697,T697))</f>
        <v/>
      </c>
      <c r="J697" s="42"/>
      <c r="K697" s="42" t="str">
        <f ca="1">IF(ISERROR(F692),"",_xlfn.TEXTJOIN("/",FALSE,R697,U697))</f>
        <v/>
      </c>
      <c r="L697" s="42"/>
      <c r="M697" s="7" t="str">
        <f ca="1">IF(ISERROR(F692),"",IF(ISTEXT(P697),IF(P697="A","Ab",IF(P697="D","Dt",IF(P697="UFM","UFM",IF(P697="NA","")))),IF(AND(ISBLANK(P697),ISBLANK(R697)),"",IF(P697&lt;0.3*S697,"F",IF(ISBLANK(R697),"",IF(ISTEXT(R697),R697,IF(R697&gt;=0.9*U697,"O",IF(R697&gt;=0.85*U697,"A+",IF(R697&gt;=0.8*U697,"A",IF(R697&gt;=0.7*U697,"B+",IF(R697&gt;=0.6*U697,"B",IF(R697&gt;=0.5*U697,"C",IF(R697&gt;=0.4*U697,"P",IF(R697&lt;0.4*U697,"F",R697))))))))))))))</f>
        <v/>
      </c>
      <c r="N697" s="8" t="str">
        <f t="shared" ref="N697:N706" ca="1" si="72">INDEX($Z$2:$Z$13,MATCH(M697,$Y$2:$Y$13,0))</f>
        <v/>
      </c>
      <c r="O697">
        <v>1</v>
      </c>
      <c r="P697" s="1" t="str">
        <f ca="1">IF(ISERROR(F692),"",IF(ISTEXT(VLOOKUP(B692,INDIRECT($F$8),6+(O697-1)*3)),(VLOOKUP(B692,INDIRECT($F$8),6+(O697-1)*3)),SUM(VLOOKUP(B692,INDIRECT($F$8),6+(O697-1)*3),IF(W707,W697,0))))</f>
        <v/>
      </c>
      <c r="Q697" s="1" t="str">
        <f ca="1">IF(ISERROR(F692),"",VLOOKUP(B692,INDIRECT($F$8),7+(O697-1)*3))</f>
        <v/>
      </c>
      <c r="R697" s="1" t="str">
        <f ca="1">IF(ISERROR(F692),"",SUM(P697:Q697))</f>
        <v/>
      </c>
      <c r="S697" s="1" t="str">
        <f ca="1">IF(ISERROR(F692),"",VLOOKUP(A692,INDIRECT($F$8),6+(O697-1)*3))</f>
        <v/>
      </c>
      <c r="T697" s="1" t="str">
        <f ca="1">IF(ISERROR(F692),"",VLOOKUP(A692,INDIRECT($F$8),7+(O697-1)*3))</f>
        <v/>
      </c>
      <c r="U697" s="1" t="str">
        <f ca="1">IF(ISERROR(F692),"",VLOOKUP(A692,INDIRECT($F$8),8+(O697-1)*3))</f>
        <v/>
      </c>
      <c r="V697" s="1" t="str">
        <f ca="1">IF(ISERROR(F692),"",IF(N697=0,A697,""))</f>
        <v/>
      </c>
      <c r="W697" s="1" t="str">
        <f ca="1">IF(ISERROR(F692),"",IF(ISTEXT(VLOOKUP(B692,INDIRECT($F$8),6+(O697-1)*3)),11,IF(VLOOKUP(B692,INDIRECT($F$8),6+(O697-1)*3)&lt;S697*0.3,IF(VLOOKUP(B692,INDIRECT($F$8),8+(O697-1)*3)&lt;U697*0.4,IF(AND(0.4*U697-VLOOKUP(B692,INDIRECT($F$8),8+(O697-1)*3)&lt;=5,0.3*S697-VLOOKUP(B692,INDIRECT($F$8),6+(O697-1)*3)&lt;=5),MAX(0.4*U697-VLOOKUP(B692,INDIRECT($F$8),8+(O697-1)*3),0.3*S697-VLOOKUP(B692,INDIRECT($F$8),6+(O697-1)*3)),11),IF(0.3*S697-VLOOKUP(B692,INDIRECT($F$8),6+(O697-1)*3)&lt;=5,0.3*S697-VLOOKUP(B692,INDIRECT($F$8),6+(O697-1)*3),11)),IF(VLOOKUP(B692,INDIRECT($F$8),8+(O697-1)*3)&lt;U697*0.4,IF(U697*0.4-VLOOKUP(B692,INDIRECT($F$8),8+(O697-1)*3)&lt;=5,U697*0.4-VLOOKUP(B692,INDIRECT($F$8),8+(O697-1)*3),11),0))))</f>
        <v/>
      </c>
      <c r="X697" s="1" t="str">
        <f ca="1">IF(ISERROR(F692),"",IF(W697=0,"",_xlfn.TEXTJOIN("",FALSE," G+",W697," in ",A697)))</f>
        <v/>
      </c>
    </row>
    <row r="698" spans="1:24" ht="13" customHeight="1" x14ac:dyDescent="0.2">
      <c r="A698" s="7" t="str">
        <f ca="1">IF(ISERROR(F692),"",VLOOKUP(C692,INDIRECT($F$8),6+(O698-1)*3,0))</f>
        <v/>
      </c>
      <c r="B698" s="41" t="str">
        <f ca="1">IF(ISERROR(F692),"",VLOOKUP(D692,INDIRECT($F$8),6+(O698-1)*3,0))</f>
        <v/>
      </c>
      <c r="C698" s="41"/>
      <c r="D698" s="41"/>
      <c r="E698" s="41"/>
      <c r="F698" s="7" t="str">
        <f ca="1">IF(ISERROR(F692),"",VLOOKUP(E692,INDIRECT($F$8),6+(O698-1)*3,0))</f>
        <v/>
      </c>
      <c r="G698" s="42" t="str">
        <f ca="1">IF(ISERROR(F692),"",_xlfn.TEXTJOIN("/",FALSE,P698,S698))</f>
        <v/>
      </c>
      <c r="H698" s="42"/>
      <c r="I698" s="42" t="str">
        <f ca="1">IF(ISERROR(F692),"",_xlfn.TEXTJOIN("/",FALSE,Q698,T698))</f>
        <v/>
      </c>
      <c r="J698" s="42"/>
      <c r="K698" s="42" t="str">
        <f ca="1">IF(ISERROR(F692),"",_xlfn.TEXTJOIN("/",FALSE,R698,U698))</f>
        <v/>
      </c>
      <c r="L698" s="42"/>
      <c r="M698" s="7" t="str">
        <f ca="1">IF(ISERROR(F692),"",IF(ISTEXT(P698),IF(P698="A","Ab",IF(P698="D","Dt",IF(P698="UFM","UFM",IF(P698="NA","")))),IF(AND(ISBLANK(P698),ISBLANK(R698)),"",IF(P698&lt;0.3*S698,"F",IF(ISBLANK(R698),"",IF(ISTEXT(R698),R698,IF(R698&gt;=0.9*U698,"O",IF(R698&gt;=0.85*U698,"A+",IF(R698&gt;=0.8*U698,"A",IF(R698&gt;=0.7*U698,"B+",IF(R698&gt;=0.6*U698,"B",IF(R698&gt;=0.5*U698,"C",IF(R698&gt;=0.4*U698,"P",IF(R698&lt;0.4*U698,"F",R698))))))))))))))</f>
        <v/>
      </c>
      <c r="N698" s="8" t="str">
        <f t="shared" ca="1" si="72"/>
        <v/>
      </c>
      <c r="O698">
        <f>O697+1</f>
        <v>2</v>
      </c>
      <c r="P698" s="1" t="str">
        <f ca="1">IF(ISERROR(F692),"",IF(ISTEXT(VLOOKUP(B692,INDIRECT($F$8),6+(O698-1)*3)),(VLOOKUP(B692,INDIRECT($F$8),6+(O698-1)*3)),SUM(VLOOKUP(B692,INDIRECT($F$8),6+(O698-1)*3),IF(W707,W698,0))))</f>
        <v/>
      </c>
      <c r="Q698" s="1" t="str">
        <f ca="1">IF(ISERROR(F692),"",VLOOKUP(B692,INDIRECT($F$8),7+(O698-1)*3))</f>
        <v/>
      </c>
      <c r="R698" s="1" t="str">
        <f ca="1">IF(ISERROR(F692),"",SUM(P698:Q698))</f>
        <v/>
      </c>
      <c r="S698" s="1" t="str">
        <f ca="1">IF(ISERROR(F692),"",VLOOKUP(A692,INDIRECT($F$8),6+(O698-1)*3))</f>
        <v/>
      </c>
      <c r="T698" s="1" t="str">
        <f ca="1">IF(ISERROR(F692),"",VLOOKUP(A692,INDIRECT($F$8),7+(O698-1)*3))</f>
        <v/>
      </c>
      <c r="U698" s="1" t="str">
        <f ca="1">IF(ISERROR(F692),"",VLOOKUP(A692,INDIRECT($F$8),8+(O698-1)*3))</f>
        <v/>
      </c>
      <c r="V698" s="1" t="str">
        <f ca="1">IF(ISERROR(F692),"",IF(N698=0,A698,""))</f>
        <v/>
      </c>
      <c r="W698" s="1" t="str">
        <f ca="1">IF(ISERROR(F692),"",IF(ISTEXT(VLOOKUP(B692,INDIRECT($F$8),6+(O698-1)*3)),11,IF(VLOOKUP(B692,INDIRECT($F$8),6+(O698-1)*3)&lt;S698*0.3,IF(VLOOKUP(B692,INDIRECT($F$8),8+(O698-1)*3)&lt;U698*0.4,IF(AND(0.4*U698-VLOOKUP(B692,INDIRECT($F$8),8+(O698-1)*3)&lt;=5,0.3*S698-VLOOKUP(B692,INDIRECT($F$8),6+(O698-1)*3)&lt;=5),MAX(0.4*U698-VLOOKUP(B692,INDIRECT($F$8),8+(O698-1)*3),0.3*S698-VLOOKUP(B692,INDIRECT($F$8),6+(O698-1)*3)),11),IF(0.3*S698-VLOOKUP(B692,INDIRECT($F$8),6+(O698-1)*3)&lt;=5,0.3*S698-VLOOKUP(B692,INDIRECT($F$8),6+(O698-1)*3),11)),IF(VLOOKUP(B692,INDIRECT($F$8),8+(O698-1)*3)&lt;U698*0.4,IF(U698*0.4-VLOOKUP(B692,INDIRECT($F$8),8+(O698-1)*3)&lt;=5,U698*0.4-VLOOKUP(B692,INDIRECT($F$8),8+(O698-1)*3),11),0))))</f>
        <v/>
      </c>
      <c r="X698" s="1" t="str">
        <f ca="1">IF(ISERROR(F692),"",IF(W698=0,"",_xlfn.TEXTJOIN("",FALSE," G+",W698," in ",A698)))</f>
        <v/>
      </c>
    </row>
    <row r="699" spans="1:24" ht="13" customHeight="1" x14ac:dyDescent="0.2">
      <c r="A699" s="7" t="str">
        <f ca="1">IF(ISERROR(F692),"",VLOOKUP(C692,INDIRECT($F$8),6+(O699-1)*3,0))</f>
        <v/>
      </c>
      <c r="B699" s="41" t="str">
        <f ca="1">IF(ISERROR(F692),"",VLOOKUP(D692,INDIRECT($F$8),6+(O699-1)*3,0))</f>
        <v/>
      </c>
      <c r="C699" s="41"/>
      <c r="D699" s="41"/>
      <c r="E699" s="41"/>
      <c r="F699" s="7" t="str">
        <f ca="1">IF(ISERROR(F692),"",VLOOKUP(E692,INDIRECT($F$8),6+(O699-1)*3,0))</f>
        <v/>
      </c>
      <c r="G699" s="42" t="str">
        <f ca="1">IF(ISERROR(F692),"",_xlfn.TEXTJOIN("/",FALSE,P699,S699))</f>
        <v/>
      </c>
      <c r="H699" s="42"/>
      <c r="I699" s="42" t="str">
        <f ca="1">IF(ISERROR(F692),"",_xlfn.TEXTJOIN("/",FALSE,Q699,T699))</f>
        <v/>
      </c>
      <c r="J699" s="42"/>
      <c r="K699" s="42" t="str">
        <f ca="1">IF(ISERROR(F692),"",_xlfn.TEXTJOIN("/",FALSE,R699,U699))</f>
        <v/>
      </c>
      <c r="L699" s="42"/>
      <c r="M699" s="7" t="str">
        <f ca="1">IF(ISERROR(F692),"",IF(ISTEXT(P699),IF(P699="A","Ab",IF(P699="D","Dt",IF(P699="UFM","UFM",IF(P699="NA","")))),IF(AND(ISBLANK(P699),ISBLANK(R699)),"",IF(P699&lt;0.3*S699,"F",IF(ISBLANK(R699),"",IF(ISTEXT(R699),R699,IF(R699&gt;=0.9*U699,"O",IF(R699&gt;=0.85*U699,"A+",IF(R699&gt;=0.8*U699,"A",IF(R699&gt;=0.7*U699,"B+",IF(R699&gt;=0.6*U699,"B",IF(R699&gt;=0.5*U699,"C",IF(R699&gt;=0.4*U699,"P",IF(R699&lt;0.4*U699,"F",R699))))))))))))))</f>
        <v/>
      </c>
      <c r="N699" s="8" t="str">
        <f t="shared" ca="1" si="72"/>
        <v/>
      </c>
      <c r="O699">
        <f>O698+1</f>
        <v>3</v>
      </c>
      <c r="P699" s="1" t="str">
        <f ca="1">IF(ISERROR(F692),"",IF(ISTEXT(VLOOKUP(B692,INDIRECT($F$8),6+(O699-1)*3)),(VLOOKUP(B692,INDIRECT($F$8),6+(O699-1)*3)),SUM(VLOOKUP(B692,INDIRECT($F$8),6+(O699-1)*3),IF(W707,W699,0))))</f>
        <v/>
      </c>
      <c r="Q699" s="1" t="str">
        <f ca="1">IF(ISERROR(F692),"",VLOOKUP(B692,INDIRECT($F$8),7+(O699-1)*3))</f>
        <v/>
      </c>
      <c r="R699" s="1" t="str">
        <f ca="1">IF(ISERROR(F692),"",SUM(P699:Q699))</f>
        <v/>
      </c>
      <c r="S699" s="1" t="str">
        <f ca="1">IF(ISERROR(F692),"",VLOOKUP(A692,INDIRECT($F$8),6+(O699-1)*3))</f>
        <v/>
      </c>
      <c r="T699" s="1" t="str">
        <f ca="1">IF(ISERROR(F692),"",VLOOKUP(A692,INDIRECT($F$8),7+(O699-1)*3))</f>
        <v/>
      </c>
      <c r="U699" s="1" t="str">
        <f ca="1">IF(ISERROR(F692),"",VLOOKUP(A692,INDIRECT($F$8),8+(O699-1)*3))</f>
        <v/>
      </c>
      <c r="V699" s="1" t="str">
        <f ca="1">IF(ISERROR(F692),"",IF(N699=0,A699,""))</f>
        <v/>
      </c>
      <c r="W699" s="1" t="str">
        <f ca="1">IF(ISERROR(F692),"",IF(ISTEXT(VLOOKUP(B692,INDIRECT($F$8),6+(O699-1)*3)),11,IF(VLOOKUP(B692,INDIRECT($F$8),6+(O699-1)*3)&lt;S699*0.3,IF(VLOOKUP(B692,INDIRECT($F$8),8+(O699-1)*3)&lt;U699*0.4,IF(AND(0.4*U699-VLOOKUP(B692,INDIRECT($F$8),8+(O699-1)*3)&lt;=5,0.3*S699-VLOOKUP(B692,INDIRECT($F$8),6+(O699-1)*3)&lt;=5),MAX(0.4*U699-VLOOKUP(B692,INDIRECT($F$8),8+(O699-1)*3),0.3*S699-VLOOKUP(B692,INDIRECT($F$8),6+(O699-1)*3)),11),IF(0.3*S699-VLOOKUP(B692,INDIRECT($F$8),6+(O699-1)*3)&lt;=5,0.3*S699-VLOOKUP(B692,INDIRECT($F$8),6+(O699-1)*3),11)),IF(VLOOKUP(B692,INDIRECT($F$8),8+(O699-1)*3)&lt;U699*0.4,IF(U699*0.4-VLOOKUP(B692,INDIRECT($F$8),8+(O699-1)*3)&lt;=5,U699*0.4-VLOOKUP(B692,INDIRECT($F$8),8+(O699-1)*3),11),0))))</f>
        <v/>
      </c>
      <c r="X699" s="1" t="str">
        <f ca="1">IF(ISERROR(F692),"",IF(W699=0,"",_xlfn.TEXTJOIN("",FALSE," G+",W699," in ",A699)))</f>
        <v/>
      </c>
    </row>
    <row r="700" spans="1:24" ht="13" customHeight="1" x14ac:dyDescent="0.2">
      <c r="A700" s="7" t="str">
        <f ca="1">IF(ISERROR(F692),"",VLOOKUP(C692,INDIRECT($F$8),6+(O700-1)*3,0))</f>
        <v/>
      </c>
      <c r="B700" s="41" t="str">
        <f ca="1">IF(ISERROR(F692),"",VLOOKUP(D692,INDIRECT($F$8),6+(O700-1)*3,0))</f>
        <v/>
      </c>
      <c r="C700" s="41"/>
      <c r="D700" s="41"/>
      <c r="E700" s="41"/>
      <c r="F700" s="7" t="str">
        <f ca="1">IF(ISERROR(F692),"",VLOOKUP(E692,INDIRECT($F$8),6+(O700-1)*3,0))</f>
        <v/>
      </c>
      <c r="G700" s="42" t="str">
        <f ca="1">IF(ISERROR(F692),"",_xlfn.TEXTJOIN("/",FALSE,P700,S700))</f>
        <v/>
      </c>
      <c r="H700" s="42"/>
      <c r="I700" s="42" t="str">
        <f ca="1">IF(ISERROR(F692),"",_xlfn.TEXTJOIN("/",FALSE,Q700,T700))</f>
        <v/>
      </c>
      <c r="J700" s="42"/>
      <c r="K700" s="42" t="str">
        <f ca="1">IF(ISERROR(F692),"",_xlfn.TEXTJOIN("/",FALSE,R700,U700))</f>
        <v/>
      </c>
      <c r="L700" s="42"/>
      <c r="M700" s="7" t="str">
        <f ca="1">IF(ISERROR(F692),"",IF(ISTEXT(P700),IF(P700="A","Ab",IF(P700="D","Dt",IF(P700="UFM","UFM",IF(P700="NA","")))),IF(AND(ISBLANK(P700),ISBLANK(R700)),"",IF(P700&lt;0.3*S700,"F",IF(ISBLANK(R700),"",IF(ISTEXT(R700),R700,IF(R700&gt;=0.9*U700,"O",IF(R700&gt;=0.85*U700,"A+",IF(R700&gt;=0.8*U700,"A",IF(R700&gt;=0.7*U700,"B+",IF(R700&gt;=0.6*U700,"B",IF(R700&gt;=0.5*U700,"C",IF(R700&gt;=0.4*U700,"P",IF(R700&lt;0.4*U700,"F",R700))))))))))))))</f>
        <v/>
      </c>
      <c r="N700" s="8" t="str">
        <f t="shared" ca="1" si="72"/>
        <v/>
      </c>
      <c r="O700">
        <f t="shared" ref="O700:O706" si="73">O699+1</f>
        <v>4</v>
      </c>
      <c r="P700" s="1" t="str">
        <f ca="1">IF(ISERROR(F692),"",IF(ISTEXT(VLOOKUP(B692,INDIRECT($F$8),6+(O700-1)*3)),(VLOOKUP(B692,INDIRECT($F$8),6+(O700-1)*3)),SUM(VLOOKUP(B692,INDIRECT($F$8),6+(O700-1)*3),IF(W707,W700,0))))</f>
        <v/>
      </c>
      <c r="Q700" s="1" t="str">
        <f ca="1">IF(ISERROR(F692),"",VLOOKUP(B692,INDIRECT($F$8),7+(O700-1)*3))</f>
        <v/>
      </c>
      <c r="R700" s="1" t="str">
        <f ca="1">IF(ISERROR(F692),"",SUM(P700:Q700))</f>
        <v/>
      </c>
      <c r="S700" s="1" t="str">
        <f ca="1">IF(ISERROR(F692),"",VLOOKUP(A692,INDIRECT($F$8),6+(O700-1)*3))</f>
        <v/>
      </c>
      <c r="T700" s="1" t="str">
        <f ca="1">IF(ISERROR(F692),"",VLOOKUP(A692,INDIRECT($F$8),7+(O700-1)*3))</f>
        <v/>
      </c>
      <c r="U700" s="1" t="str">
        <f ca="1">IF(ISERROR(F692),"",VLOOKUP(A692,INDIRECT($F$8),8+(O700-1)*3))</f>
        <v/>
      </c>
      <c r="V700" s="1" t="str">
        <f ca="1">IF(ISERROR(F692),"",IF(N700=0,A700,""))</f>
        <v/>
      </c>
      <c r="W700" s="1" t="str">
        <f ca="1">IF(ISERROR(F692),"",IF(ISTEXT(VLOOKUP(B692,INDIRECT($F$8),6+(O700-1)*3)),11,IF(VLOOKUP(B692,INDIRECT($F$8),6+(O700-1)*3)&lt;S700*0.3,IF(VLOOKUP(B692,INDIRECT($F$8),8+(O700-1)*3)&lt;U700*0.4,IF(AND(0.4*U700-VLOOKUP(B692,INDIRECT($F$8),8+(O700-1)*3)&lt;=5,0.3*S700-VLOOKUP(B692,INDIRECT($F$8),6+(O700-1)*3)&lt;=5),MAX(0.4*U700-VLOOKUP(B692,INDIRECT($F$8),8+(O700-1)*3),0.3*S700-VLOOKUP(B692,INDIRECT($F$8),6+(O700-1)*3)),11),IF(0.3*S700-VLOOKUP(B692,INDIRECT($F$8),6+(O700-1)*3)&lt;=5,0.3*S700-VLOOKUP(B692,INDIRECT($F$8),6+(O700-1)*3),11)),IF(VLOOKUP(B692,INDIRECT($F$8),8+(O700-1)*3)&lt;U700*0.4,IF(U700*0.4-VLOOKUP(B692,INDIRECT($F$8),8+(O700-1)*3)&lt;=5,U700*0.4-VLOOKUP(B692,INDIRECT($F$8),8+(O700-1)*3),11),0))))</f>
        <v/>
      </c>
      <c r="X700" s="1" t="str">
        <f ca="1">IF(ISERROR(F692),"",IF(W700=0,"",_xlfn.TEXTJOIN("",FALSE," G+",W700," in ",A700)))</f>
        <v/>
      </c>
    </row>
    <row r="701" spans="1:24" ht="13" customHeight="1" x14ac:dyDescent="0.2">
      <c r="A701" s="7" t="str">
        <f ca="1">IF(ISERROR(F692),"",VLOOKUP(C692,INDIRECT($F$8),6+(O701-1)*3,0))</f>
        <v/>
      </c>
      <c r="B701" s="41" t="str">
        <f ca="1">IF(ISERROR(F692),"",VLOOKUP(D692,INDIRECT($F$8),6+(O701-1)*3,0))</f>
        <v/>
      </c>
      <c r="C701" s="41"/>
      <c r="D701" s="41"/>
      <c r="E701" s="41"/>
      <c r="F701" s="7" t="str">
        <f ca="1">IF(ISERROR(F692),"",VLOOKUP(E692,INDIRECT($F$8),6+(O701-1)*3,0))</f>
        <v/>
      </c>
      <c r="G701" s="42" t="str">
        <f ca="1">IF(ISERROR(F692),"",_xlfn.TEXTJOIN("/",FALSE,P701,S701))</f>
        <v/>
      </c>
      <c r="H701" s="42"/>
      <c r="I701" s="42" t="str">
        <f ca="1">IF(ISERROR(F692),"",_xlfn.TEXTJOIN("/",FALSE,Q701,T701))</f>
        <v/>
      </c>
      <c r="J701" s="42"/>
      <c r="K701" s="42" t="str">
        <f ca="1">IF(ISERROR(F692),"",_xlfn.TEXTJOIN("/",FALSE,R701,U701))</f>
        <v/>
      </c>
      <c r="L701" s="42"/>
      <c r="M701" s="7" t="str">
        <f ca="1">IF(ISERROR(F692),"",IF(ISTEXT(P701),IF(P701="A","Ab",IF(P701="D","Dt",IF(P701="UFM","UFM",IF(P701="NA","")))),IF(AND(ISBLANK(P701),ISBLANK(R701)),"",IF(P701&lt;0.3*S701,"F",IF(ISBLANK(R701),"",IF(ISTEXT(R701),R701,IF(R701&gt;=0.9*U701,"O",IF(R701&gt;=0.85*U701,"A+",IF(R701&gt;=0.8*U701,"A",IF(R701&gt;=0.7*U701,"B+",IF(R701&gt;=0.6*U701,"B",IF(R701&gt;=0.5*U701,"C",IF(R701&gt;=0.4*U701,"P",IF(R701&lt;0.4*U701,"F",R701))))))))))))))</f>
        <v/>
      </c>
      <c r="N701" s="8" t="str">
        <f t="shared" ca="1" si="72"/>
        <v/>
      </c>
      <c r="O701">
        <f t="shared" si="73"/>
        <v>5</v>
      </c>
      <c r="P701" s="1" t="str">
        <f ca="1">IF(ISERROR(F692),"",IF(ISTEXT(VLOOKUP(B692,INDIRECT($F$8),6+(O701-1)*3)),(VLOOKUP(B692,INDIRECT($F$8),6+(O701-1)*3)),SUM(VLOOKUP(B692,INDIRECT($F$8),6+(O701-1)*3),IF(W707,W701,0))))</f>
        <v/>
      </c>
      <c r="Q701" s="1" t="str">
        <f ca="1">IF(ISERROR(F692),"",VLOOKUP(B692,INDIRECT($F$8),7+(O701-1)*3))</f>
        <v/>
      </c>
      <c r="R701" s="1" t="str">
        <f ca="1">IF(ISERROR(F692),"",SUM(P701:Q701))</f>
        <v/>
      </c>
      <c r="S701" s="1" t="str">
        <f ca="1">IF(ISERROR(F692),"",VLOOKUP(A692,INDIRECT($F$8),6+(O701-1)*3))</f>
        <v/>
      </c>
      <c r="T701" s="1" t="str">
        <f ca="1">IF(ISERROR(F692),"",VLOOKUP(A692,INDIRECT($F$8),7+(O701-1)*3))</f>
        <v/>
      </c>
      <c r="U701" s="1" t="str">
        <f ca="1">IF(ISERROR(F692),"",VLOOKUP(A692,INDIRECT($F$8),8+(O701-1)*3))</f>
        <v/>
      </c>
      <c r="V701" s="1" t="str">
        <f ca="1">IF(ISERROR(F692),"",IF(N701=0,A701,""))</f>
        <v/>
      </c>
      <c r="W701" s="1" t="str">
        <f ca="1">IF(ISERROR(F692),"",IF(ISTEXT(VLOOKUP(B692,INDIRECT($F$8),6+(O701-1)*3)),11,IF(VLOOKUP(B692,INDIRECT($F$8),6+(O701-1)*3)&lt;S701*0.3,IF(VLOOKUP(B692,INDIRECT($F$8),8+(O701-1)*3)&lt;U701*0.4,IF(AND(0.4*U701-VLOOKUP(B692,INDIRECT($F$8),8+(O701-1)*3)&lt;=5,0.3*S701-VLOOKUP(B692,INDIRECT($F$8),6+(O701-1)*3)&lt;=5),MAX(0.4*U701-VLOOKUP(B692,INDIRECT($F$8),8+(O701-1)*3),0.3*S701-VLOOKUP(B692,INDIRECT($F$8),6+(O701-1)*3)),11),IF(0.3*S701-VLOOKUP(B692,INDIRECT($F$8),6+(O701-1)*3)&lt;=5,0.3*S701-VLOOKUP(B692,INDIRECT($F$8),6+(O701-1)*3),11)),IF(VLOOKUP(B692,INDIRECT($F$8),8+(O701-1)*3)&lt;U701*0.4,IF(U701*0.4-VLOOKUP(B692,INDIRECT($F$8),8+(O701-1)*3)&lt;=5,U701*0.4-VLOOKUP(B692,INDIRECT($F$8),8+(O701-1)*3),11),0))))</f>
        <v/>
      </c>
      <c r="X701" s="1" t="str">
        <f ca="1">IF(ISERROR(F692),"",IF(W701=0,"",_xlfn.TEXTJOIN("",FALSE," G+",W701," in ",A701)))</f>
        <v/>
      </c>
    </row>
    <row r="702" spans="1:24" ht="13" customHeight="1" x14ac:dyDescent="0.2">
      <c r="A702" s="7" t="str">
        <f ca="1">IF(ISERROR(F692),"",VLOOKUP(C692,INDIRECT($F$8),6+(O702-1)*3,0))</f>
        <v/>
      </c>
      <c r="B702" s="41" t="str">
        <f ca="1">IF(ISERROR(F692),"",VLOOKUP(D692,INDIRECT($F$8),6+(O702-1)*3,0))</f>
        <v/>
      </c>
      <c r="C702" s="41"/>
      <c r="D702" s="41"/>
      <c r="E702" s="41"/>
      <c r="F702" s="7" t="str">
        <f ca="1">IF(ISERROR(F692),"",VLOOKUP(E692,INDIRECT($F$8),6+(O702-1)*3,0))</f>
        <v/>
      </c>
      <c r="G702" s="42" t="str">
        <f ca="1">IF(ISERROR(F692),"",_xlfn.TEXTJOIN("/",FALSE,P702,S702))</f>
        <v/>
      </c>
      <c r="H702" s="42"/>
      <c r="I702" s="42" t="str">
        <f ca="1">IF(ISERROR(F692),"",_xlfn.TEXTJOIN("/",FALSE,Q702,T702))</f>
        <v/>
      </c>
      <c r="J702" s="42"/>
      <c r="K702" s="42" t="str">
        <f ca="1">IF(ISERROR(F692),"",_xlfn.TEXTJOIN("/",FALSE,R702,U702))</f>
        <v/>
      </c>
      <c r="L702" s="42"/>
      <c r="M702" s="7" t="str">
        <f ca="1">IF(ISERROR(F692),"",IF(ISTEXT(P702),IF(P702="A","Ab",IF(P702="D","Dt",IF(P702="UFM","UFM",IF(P702="NA","")))),IF(AND(ISBLANK(P702),ISBLANK(R702)),"",IF(P702&lt;0.3*S702,"F",IF(ISBLANK(R702),"",IF(ISTEXT(R702),R702,IF(R702&gt;=0.9*U702,"O",IF(R702&gt;=0.85*U702,"A+",IF(R702&gt;=0.8*U702,"A",IF(R702&gt;=0.7*U702,"B+",IF(R702&gt;=0.6*U702,"B",IF(R702&gt;=0.5*U702,"C",IF(R702&gt;=0.4*U702,"P",IF(R702&lt;0.4*U702,"F",R702))))))))))))))</f>
        <v/>
      </c>
      <c r="N702" s="8" t="str">
        <f t="shared" ca="1" si="72"/>
        <v/>
      </c>
      <c r="O702">
        <f t="shared" si="73"/>
        <v>6</v>
      </c>
      <c r="P702" s="1" t="str">
        <f ca="1">IF(ISERROR(F692),"",IF(ISTEXT(VLOOKUP(B692,INDIRECT($F$8),6+(O702-1)*3)),(VLOOKUP(B692,INDIRECT($F$8),6+(O702-1)*3)),SUM(VLOOKUP(B692,INDIRECT($F$8),6+(O702-1)*3),IF(W707,W702,0))))</f>
        <v/>
      </c>
      <c r="Q702" s="1" t="str">
        <f ca="1">IF(ISERROR(F692),"",VLOOKUP(B692,INDIRECT($F$8),7+(O702-1)*3))</f>
        <v/>
      </c>
      <c r="R702" s="1" t="str">
        <f ca="1">IF(ISERROR(F692),"",SUM(P702:Q702))</f>
        <v/>
      </c>
      <c r="S702" s="1" t="str">
        <f ca="1">IF(ISERROR(F692),"",VLOOKUP(A692,INDIRECT($F$8),6+(O702-1)*3))</f>
        <v/>
      </c>
      <c r="T702" s="1" t="str">
        <f ca="1">IF(ISERROR(F692),"",VLOOKUP(A692,INDIRECT($F$8),7+(O702-1)*3))</f>
        <v/>
      </c>
      <c r="U702" s="1" t="str">
        <f ca="1">IF(ISERROR(F692),"",VLOOKUP(A692,INDIRECT($F$8),8+(O702-1)*3))</f>
        <v/>
      </c>
      <c r="V702" s="1" t="str">
        <f ca="1">IF(ISERROR(F692),"",IF(N702=0,A702,""))</f>
        <v/>
      </c>
      <c r="W702" s="1" t="str">
        <f ca="1">IF(ISERROR(F692),"",IF(ISTEXT(VLOOKUP(B692,INDIRECT($F$8),6+(O702-1)*3)),11,IF(VLOOKUP(B692,INDIRECT($F$8),6+(O702-1)*3)&lt;S702*0.3,IF(VLOOKUP(B692,INDIRECT($F$8),8+(O702-1)*3)&lt;U702*0.4,IF(AND(0.4*U702-VLOOKUP(B692,INDIRECT($F$8),8+(O702-1)*3)&lt;=5,0.3*S702-VLOOKUP(B692,INDIRECT($F$8),6+(O702-1)*3)&lt;=5),MAX(0.4*U702-VLOOKUP(B692,INDIRECT($F$8),8+(O702-1)*3),0.3*S702-VLOOKUP(B692,INDIRECT($F$8),6+(O702-1)*3)),11),IF(0.3*S702-VLOOKUP(B692,INDIRECT($F$8),6+(O702-1)*3)&lt;=5,0.3*S702-VLOOKUP(B692,INDIRECT($F$8),6+(O702-1)*3),11)),IF(VLOOKUP(B692,INDIRECT($F$8),8+(O702-1)*3)&lt;U702*0.4,IF(U702*0.4-VLOOKUP(B692,INDIRECT($F$8),8+(O702-1)*3)&lt;=5,U702*0.4-VLOOKUP(B692,INDIRECT($F$8),8+(O702-1)*3),11),0))))</f>
        <v/>
      </c>
      <c r="X702" s="1" t="str">
        <f ca="1">IF(ISERROR(F692),"",IF(W702=0,"",_xlfn.TEXTJOIN("",FALSE," G+",W702," in ",A702)))</f>
        <v/>
      </c>
    </row>
    <row r="703" spans="1:24" ht="13" customHeight="1" x14ac:dyDescent="0.2">
      <c r="A703" s="7" t="str">
        <f ca="1">IF(ISERROR(F692),"",VLOOKUP(C692,INDIRECT($F$8),6+(O703-1)*3,0))</f>
        <v/>
      </c>
      <c r="B703" s="41" t="str">
        <f ca="1">IF(ISERROR(F692),"",VLOOKUP(D692,INDIRECT($F$8),6+(O703-1)*3,0))</f>
        <v/>
      </c>
      <c r="C703" s="41"/>
      <c r="D703" s="41"/>
      <c r="E703" s="41"/>
      <c r="F703" s="7" t="str">
        <f ca="1">IF(ISERROR(F692),"",VLOOKUP(E692,INDIRECT($F$8),6+(O703-1)*3,0))</f>
        <v/>
      </c>
      <c r="G703" s="42" t="str">
        <f ca="1">IF(ISERROR(F692),"",_xlfn.TEXTJOIN("/",FALSE,P703,S703))</f>
        <v/>
      </c>
      <c r="H703" s="42"/>
      <c r="I703" s="42" t="str">
        <f ca="1">IF(ISERROR(F692),"",_xlfn.TEXTJOIN("/",FALSE,Q703,T703))</f>
        <v/>
      </c>
      <c r="J703" s="42"/>
      <c r="K703" s="42" t="str">
        <f ca="1">IF(ISERROR(F692),"",_xlfn.TEXTJOIN("/",FALSE,R703,U703))</f>
        <v/>
      </c>
      <c r="L703" s="42"/>
      <c r="M703" s="7" t="str">
        <f ca="1">IF(ISERROR(F692),"",IF(ISTEXT(P703),IF(P703="A","Ab",IF(P703="D","Dt",IF(P703="UFM","UFM",IF(P703="NA","")))),IF(AND(ISBLANK(P703),ISBLANK(R703)),"",IF(P703&lt;0.3*S703,"F",IF(ISBLANK(R703),"",IF(ISTEXT(R703),R703,IF(R703&gt;=0.9*U703,"O",IF(R703&gt;=0.85*U703,"A+",IF(R703&gt;=0.8*U703,"A",IF(R703&gt;=0.7*U703,"B+",IF(R703&gt;=0.6*U703,"B",IF(R703&gt;=0.5*U703,"C",IF(R703&gt;=0.4*U703,"P",IF(R703&lt;0.4*U703,"F",R703))))))))))))))</f>
        <v/>
      </c>
      <c r="N703" s="8" t="str">
        <f t="shared" ca="1" si="72"/>
        <v/>
      </c>
      <c r="O703">
        <f t="shared" si="73"/>
        <v>7</v>
      </c>
      <c r="P703" s="1" t="str">
        <f ca="1">IF(ISERROR(F692),"",IF(ISTEXT(VLOOKUP(B692,INDIRECT($F$8),6+(O703-1)*3)),(VLOOKUP(B692,INDIRECT($F$8),6+(O703-1)*3)),SUM(VLOOKUP(B692,INDIRECT($F$8),6+(O703-1)*3),IF(W707,W703,0))))</f>
        <v/>
      </c>
      <c r="Q703" s="1" t="str">
        <f ca="1">IF(ISERROR(F692),"",VLOOKUP(B692,INDIRECT($F$8),7+(O703-1)*3))</f>
        <v/>
      </c>
      <c r="R703" s="1" t="str">
        <f ca="1">IF(ISERROR(F692),"",SUM(P703:Q703))</f>
        <v/>
      </c>
      <c r="S703" s="1" t="str">
        <f ca="1">IF(ISERROR(F692),"",VLOOKUP(A692,INDIRECT($F$8),6+(O703-1)*3))</f>
        <v/>
      </c>
      <c r="T703" s="1" t="str">
        <f ca="1">IF(ISERROR(F692),"",VLOOKUP(A692,INDIRECT($F$8),7+(O703-1)*3))</f>
        <v/>
      </c>
      <c r="U703" s="1" t="str">
        <f ca="1">IF(ISERROR(F692),"",VLOOKUP(A692,INDIRECT($F$8),8+(O703-1)*3))</f>
        <v/>
      </c>
      <c r="V703" s="1" t="str">
        <f ca="1">IF(ISERROR(F692),"",IF(N703=0,A703,""))</f>
        <v/>
      </c>
      <c r="W703" s="1" t="str">
        <f ca="1">IF(ISERROR(F692),"",IF(ISTEXT(VLOOKUP(B692,INDIRECT($F$8),6+(O703-1)*3)),11,IF(VLOOKUP(B692,INDIRECT($F$8),6+(O703-1)*3)&lt;S703*0.3,IF(VLOOKUP(B692,INDIRECT($F$8),8+(O703-1)*3)&lt;U703*0.4,IF(AND(0.4*U703-VLOOKUP(B692,INDIRECT($F$8),8+(O703-1)*3)&lt;=5,0.3*S703-VLOOKUP(B692,INDIRECT($F$8),6+(O703-1)*3)&lt;=5),MAX(0.4*U703-VLOOKUP(B692,INDIRECT($F$8),8+(O703-1)*3),0.3*S703-VLOOKUP(B692,INDIRECT($F$8),6+(O703-1)*3)),11),IF(0.3*S703-VLOOKUP(B692,INDIRECT($F$8),6+(O703-1)*3)&lt;=5,0.3*S703-VLOOKUP(B692,INDIRECT($F$8),6+(O703-1)*3),11)),IF(VLOOKUP(B692,INDIRECT($F$8),8+(O703-1)*3)&lt;U703*0.4,IF(U703*0.4-VLOOKUP(B692,INDIRECT($F$8),8+(O703-1)*3)&lt;=5,U703*0.4-VLOOKUP(B692,INDIRECT($F$8),8+(O703-1)*3),11),0))))</f>
        <v/>
      </c>
      <c r="X703" s="1" t="str">
        <f ca="1">IF(ISERROR(F692),"",IF(W703=0,"",_xlfn.TEXTJOIN("",FALSE," G+",W703," in ",A703)))</f>
        <v/>
      </c>
    </row>
    <row r="704" spans="1:24" ht="13" customHeight="1" x14ac:dyDescent="0.2">
      <c r="A704" s="7" t="str">
        <f ca="1">IF(ISERROR(F692),"",VLOOKUP(C692,INDIRECT($F$8),6+(O704-1)*3,0))</f>
        <v/>
      </c>
      <c r="B704" s="41" t="str">
        <f ca="1">IF(ISERROR(F692),"",VLOOKUP(D692,INDIRECT($F$8),6+(O704-1)*3-Z704,0))</f>
        <v/>
      </c>
      <c r="C704" s="41"/>
      <c r="D704" s="41"/>
      <c r="E704" s="41"/>
      <c r="F704" s="7" t="str">
        <f ca="1">IF(ISERROR(F692),"",VLOOKUP(E692,INDIRECT($F$8),6+(O704-1)*3,0))</f>
        <v/>
      </c>
      <c r="G704" s="42" t="str">
        <f ca="1">IF(ISERROR(F692),"",_xlfn.TEXTJOIN("/",FALSE,P704,S704))</f>
        <v/>
      </c>
      <c r="H704" s="42"/>
      <c r="I704" s="42" t="str">
        <f ca="1">IF(ISERROR(F692),"",_xlfn.TEXTJOIN("/",FALSE,Q704,T704))</f>
        <v/>
      </c>
      <c r="J704" s="42"/>
      <c r="K704" s="42" t="str">
        <f ca="1">IF(ISERROR(F692),"",_xlfn.TEXTJOIN("/",FALSE,R704,U704))</f>
        <v/>
      </c>
      <c r="L704" s="42"/>
      <c r="M704" s="7" t="str">
        <f ca="1">IF(ISERROR(F692),"",IF(ISTEXT(P704),IF(P704="A","Ab",IF(P704="D","Dt",IF(P704="UFM","UFM",IF(P704="NA","")))),IF(AND(ISBLANK(P704),ISBLANK(R704)),"",IF(P704&lt;0.3*S704,"F",IF(ISBLANK(R704),"",IF(ISTEXT(R704),R704,IF(R704&gt;=0.9*U704,"O",IF(R704&gt;=0.85*U704,"A+",IF(R704&gt;=0.8*U704,"A",IF(R704&gt;=0.7*U704,"B+",IF(R704&gt;=0.6*U704,"B",IF(R704&gt;=0.5*U704,"C",IF(R704&gt;=0.4*U704,"P",IF(R704&lt;0.4*U704,"F",R704))))))))))))))</f>
        <v/>
      </c>
      <c r="N704" s="8" t="str">
        <f t="shared" ca="1" si="72"/>
        <v/>
      </c>
      <c r="O704">
        <f t="shared" si="73"/>
        <v>8</v>
      </c>
      <c r="P704" s="1" t="str">
        <f ca="1">IF(ISERROR(F692),"",IF(ISTEXT(VLOOKUP(B692,INDIRECT($F$8),6+(O704-1)*3)),(VLOOKUP(B692,INDIRECT($F$8),6+(O704-1)*3)),SUM(VLOOKUP(B692,INDIRECT($F$8),6+(O704-1)*3),IF(W707,W704,0))))</f>
        <v/>
      </c>
      <c r="Q704" s="1" t="str">
        <f ca="1">IF(ISERROR(F692),"",VLOOKUP(B692,INDIRECT($F$8),7+(O704-1)*3))</f>
        <v/>
      </c>
      <c r="R704" s="1" t="str">
        <f ca="1">IF(ISERROR(F692),"",SUM(P704:Q704))</f>
        <v/>
      </c>
      <c r="S704" s="1" t="str">
        <f ca="1">IF(ISERROR(F692),"",VLOOKUP(A692,INDIRECT($F$8),6+(O704-1)*3))</f>
        <v/>
      </c>
      <c r="T704" s="1" t="str">
        <f ca="1">IF(ISERROR(F692),"",VLOOKUP(A692,INDIRECT($F$8),7+(O704-1)*3))</f>
        <v/>
      </c>
      <c r="U704" s="1" t="str">
        <f ca="1">IF(ISERROR(F692),"",VLOOKUP(A692,INDIRECT($F$8),8+(O704-1)*3))</f>
        <v/>
      </c>
      <c r="V704" s="1" t="str">
        <f ca="1">IF(ISERROR(F692),"",IF(N704=0,A704,""))</f>
        <v/>
      </c>
      <c r="W704" s="1" t="str">
        <f ca="1">IF(ISERROR(F692),"",IF(ISTEXT(VLOOKUP(B692,INDIRECT($F$8),6+(O704-1)*3)),11,IF(VLOOKUP(B692,INDIRECT($F$8),6+(O704-1)*3)&lt;S704*0.3,IF(VLOOKUP(B692,INDIRECT($F$8),8+(O704-1)*3)&lt;U704*0.4,IF(AND(0.4*U704-VLOOKUP(B692,INDIRECT($F$8),8+(O704-1)*3)&lt;=5,0.3*S704-VLOOKUP(B692,INDIRECT($F$8),6+(O704-1)*3)&lt;=5),MAX(0.4*U704-VLOOKUP(B692,INDIRECT($F$8),8+(O704-1)*3),0.3*S704-VLOOKUP(B692,INDIRECT($F$8),6+(O704-1)*3)),11),IF(0.3*S704-VLOOKUP(B692,INDIRECT($F$8),6+(O704-1)*3)&lt;=5,0.3*S704-VLOOKUP(B692,INDIRECT($F$8),6+(O704-1)*3),11)),IF(VLOOKUP(B692,INDIRECT($F$8),8+(O704-1)*3)&lt;U704*0.4,IF(U704*0.4-VLOOKUP(B692,INDIRECT($F$8),8+(O704-1)*3)&lt;=5,U704*0.4-VLOOKUP(B692,INDIRECT($F$8),8+(O704-1)*3),11),0))))</f>
        <v/>
      </c>
      <c r="X704" s="1" t="str">
        <f ca="1">IF(ISERROR(F692),"",IF(W704=0,"",_xlfn.TEXTJOIN("",FALSE," G+",W704," in ",A704)))</f>
        <v/>
      </c>
    </row>
    <row r="705" spans="1:24" ht="13" customHeight="1" x14ac:dyDescent="0.2">
      <c r="A705" s="7" t="str">
        <f ca="1">IF(ISERROR(F692),"",VLOOKUP(C692,INDIRECT($F$8),6+(O705-1)*3,0))</f>
        <v/>
      </c>
      <c r="B705" s="41" t="str">
        <f ca="1">IF(ISERROR(F692),"",VLOOKUP(D692,INDIRECT($F$8),6+(O705-1)*3-Z705,0))</f>
        <v/>
      </c>
      <c r="C705" s="41"/>
      <c r="D705" s="41"/>
      <c r="E705" s="41"/>
      <c r="F705" s="7" t="str">
        <f ca="1">IF(ISERROR(F692),"",VLOOKUP(E692,INDIRECT($F$8),6+(O705-1)*3,0))</f>
        <v/>
      </c>
      <c r="G705" s="42" t="str">
        <f ca="1">IF(ISERROR(F692),"",_xlfn.TEXTJOIN("/",FALSE,P705,S705))</f>
        <v/>
      </c>
      <c r="H705" s="42"/>
      <c r="I705" s="42" t="str">
        <f ca="1">IF(ISERROR(F692),"",_xlfn.TEXTJOIN("/",FALSE,Q705,T705))</f>
        <v/>
      </c>
      <c r="J705" s="42"/>
      <c r="K705" s="42" t="str">
        <f ca="1">IF(ISERROR(F692),"",_xlfn.TEXTJOIN("/",FALSE,R705,U705))</f>
        <v/>
      </c>
      <c r="L705" s="42"/>
      <c r="M705" s="7" t="str">
        <f ca="1">IF(ISERROR(F692),"",IF(ISTEXT(P705),IF(P705="A","Ab",IF(P705="D","Dt",IF(P705="UFM","UFM",IF(P705="NA","")))),IF(AND(ISBLANK(P705),ISBLANK(R705)),"",IF(P705&lt;0.3*S705,"F",IF(ISBLANK(R705),"",IF(ISTEXT(R705),R705,IF(R705&gt;=0.9*U705,"O",IF(R705&gt;=0.85*U705,"A+",IF(R705&gt;=0.8*U705,"A",IF(R705&gt;=0.7*U705,"B+",IF(R705&gt;=0.6*U705,"B",IF(R705&gt;=0.5*U705,"C",IF(R705&gt;=0.4*U705,"P",IF(R705&lt;0.4*U705,"F",R705))))))))))))))</f>
        <v/>
      </c>
      <c r="N705" s="8" t="str">
        <f t="shared" ca="1" si="72"/>
        <v/>
      </c>
      <c r="O705">
        <f t="shared" si="73"/>
        <v>9</v>
      </c>
      <c r="P705" s="1" t="str">
        <f ca="1">IF(ISERROR(F692),"",IF(ISTEXT(VLOOKUP(B692,INDIRECT($F$8),6+(O705-1)*3)),(VLOOKUP(B692,INDIRECT($F$8),6+(O705-1)*3)),SUM(VLOOKUP(B692,INDIRECT($F$8),6+(O705-1)*3),IF(W707,W705,0))))</f>
        <v/>
      </c>
      <c r="Q705" s="1" t="str">
        <f ca="1">IF(ISERROR(F692),"",VLOOKUP(B692,INDIRECT($F$8),7+(O705-1)*3))</f>
        <v/>
      </c>
      <c r="R705" s="1" t="str">
        <f ca="1">IF(ISERROR(F692),"",SUM(P705:Q705))</f>
        <v/>
      </c>
      <c r="S705" s="1" t="str">
        <f ca="1">IF(ISERROR(F692),"",VLOOKUP(A692,INDIRECT($F$8),6+(O705-1)*3))</f>
        <v/>
      </c>
      <c r="T705" s="1" t="str">
        <f ca="1">IF(ISERROR(F692),"",VLOOKUP(A692,INDIRECT($F$8),7+(O705-1)*3))</f>
        <v/>
      </c>
      <c r="U705" s="1" t="str">
        <f ca="1">IF(ISERROR(F692),"",VLOOKUP(A692,INDIRECT($F$8),8+(O705-1)*3))</f>
        <v/>
      </c>
      <c r="V705" s="1" t="str">
        <f ca="1">IF(ISERROR(F692),"",IF(N705=0,A705,""))</f>
        <v/>
      </c>
      <c r="W705" s="1" t="str">
        <f ca="1">IF(ISERROR(F692),"",IF(ISTEXT(VLOOKUP(B692,INDIRECT($F$8),6+(O705-1)*3)),11,IF(VLOOKUP(B692,INDIRECT($F$8),6+(O705-1)*3)&lt;S705*0.3,IF(VLOOKUP(B692,INDIRECT($F$8),8+(O705-1)*3)&lt;U705*0.4,IF(AND(0.4*U705-VLOOKUP(B692,INDIRECT($F$8),8+(O705-1)*3)&lt;=5,0.3*S705-VLOOKUP(B692,INDIRECT($F$8),6+(O705-1)*3)&lt;=5),MAX(0.4*U705-VLOOKUP(B692,INDIRECT($F$8),8+(O705-1)*3),0.3*S705-VLOOKUP(B692,INDIRECT($F$8),6+(O705-1)*3)),11),IF(0.3*S705-VLOOKUP(B692,INDIRECT($F$8),6+(O705-1)*3)&lt;=5,0.3*S705-VLOOKUP(B692,INDIRECT($F$8),6+(O705-1)*3),11)),IF(VLOOKUP(B692,INDIRECT($F$8),8+(O705-1)*3)&lt;U705*0.4,IF(U705*0.4-VLOOKUP(B692,INDIRECT($F$8),8+(O705-1)*3)&lt;=5,U705*0.4-VLOOKUP(B692,INDIRECT($F$8),8+(O705-1)*3),11),0))))</f>
        <v/>
      </c>
      <c r="X705" s="1" t="str">
        <f ca="1">IF(ISERROR(F692),"",IF(W705=0,"",_xlfn.TEXTJOIN("",FALSE," G+",W705," in ",A705)))</f>
        <v/>
      </c>
    </row>
    <row r="706" spans="1:24" ht="13" customHeight="1" x14ac:dyDescent="0.2">
      <c r="A706" s="7" t="str">
        <f ca="1">IF(ISERROR(F692),"",VLOOKUP(C692,INDIRECT($F$8),6+(O706-1)*3,0))</f>
        <v/>
      </c>
      <c r="B706" s="41" t="str">
        <f ca="1">IF(ISERROR(F692),"",VLOOKUP(D692,INDIRECT($F$8),6+(O706-1)*3,0))</f>
        <v/>
      </c>
      <c r="C706" s="41"/>
      <c r="D706" s="41"/>
      <c r="E706" s="41"/>
      <c r="F706" s="7" t="str">
        <f ca="1">IF(ISERROR(F692),"",VLOOKUP(E692,INDIRECT($F$8),6+(O706-1)*3,0))</f>
        <v/>
      </c>
      <c r="G706" s="42" t="str">
        <f ca="1">IF(ISERROR(F692),"",_xlfn.TEXTJOIN("/",FALSE,P706,S706))</f>
        <v/>
      </c>
      <c r="H706" s="42"/>
      <c r="I706" s="42" t="str">
        <f ca="1">IF(ISERROR(F692),"",_xlfn.TEXTJOIN("/",FALSE,Q706,T706))</f>
        <v/>
      </c>
      <c r="J706" s="42"/>
      <c r="K706" s="42" t="str">
        <f ca="1">IF(ISERROR(F692),"",_xlfn.TEXTJOIN("/",FALSE,R706,U706))</f>
        <v/>
      </c>
      <c r="L706" s="42"/>
      <c r="M706" s="7" t="str">
        <f ca="1">IF(ISERROR(F692),"",IF(ISTEXT(P706),IF(P706="A","Ab",IF(P706="D","Dt",IF(P706="UFM","UFM",IF(P706="NA","")))),IF(AND(ISBLANK(P706),ISBLANK(R706)),"",IF(P706&lt;0.3*S706,"F",IF(ISBLANK(R706),"",IF(ISTEXT(R706),R706,IF(R706&gt;=0.9*U706,"O",IF(R706&gt;=0.85*U706,"A+",IF(R706&gt;=0.8*U706,"A",IF(R706&gt;=0.7*U706,"B+",IF(R706&gt;=0.6*U706,"B",IF(R706&gt;=0.5*U706,"C",IF(R706&gt;=0.4*U706,"P",IF(R706&lt;0.4*U706,"F",R706))))))))))))))</f>
        <v/>
      </c>
      <c r="N706" s="8" t="str">
        <f t="shared" ca="1" si="72"/>
        <v/>
      </c>
      <c r="O706">
        <f t="shared" si="73"/>
        <v>10</v>
      </c>
      <c r="P706" s="1" t="str">
        <f ca="1">IF(ISERROR(F692),"",IF(ISTEXT(VLOOKUP(B692,INDIRECT($F$8),6+(O706-1)*3)),(VLOOKUP(B692,INDIRECT($F$8),6+(O706-1)*3)),SUM(VLOOKUP(B692,INDIRECT($F$8),6+(O706-1)*3),IF(W707,W706,0))))</f>
        <v/>
      </c>
      <c r="Q706" s="1" t="str">
        <f ca="1">IF(ISERROR(F692),"",VLOOKUP(B692,INDIRECT($F$8),7+(O706-1)*3))</f>
        <v/>
      </c>
      <c r="R706" s="1" t="str">
        <f ca="1">IF(ISERROR(F692),"",SUM(P706:Q706))</f>
        <v/>
      </c>
      <c r="S706" s="1" t="str">
        <f ca="1">IF(ISERROR(F692),"",VLOOKUP(A692,INDIRECT($F$8),6+(O706-1)*3))</f>
        <v/>
      </c>
      <c r="T706" s="1" t="str">
        <f ca="1">IF(ISERROR(F692),"",VLOOKUP(A692,INDIRECT($F$8),7+(O706-1)*3))</f>
        <v/>
      </c>
      <c r="U706" s="1" t="str">
        <f ca="1">IF(ISERROR(F692),"",VLOOKUP(A692,INDIRECT($F$8),8+(O706-1)*3))</f>
        <v/>
      </c>
      <c r="V706" s="1" t="str">
        <f ca="1">IF(ISERROR(F692),"",IF(N706=0,A706,""))</f>
        <v/>
      </c>
      <c r="W706" s="1" t="str">
        <f ca="1">IF(ISERROR(F692),"",IF(ISTEXT(VLOOKUP(B692,INDIRECT($F$8),6+(O706-1)*3)),11,IF(VLOOKUP(B692,INDIRECT($F$8),6+(O706-1)*3)&lt;S706*0.3,IF(VLOOKUP(B692,INDIRECT($F$8),8+(O706-1)*3)&lt;U706*0.4,IF(AND(0.4*U706-VLOOKUP(B692,INDIRECT($F$8),8+(O706-1)*3)&lt;=5,0.3*S706-VLOOKUP(B692,INDIRECT($F$8),6+(O706-1)*3)&lt;=5),MAX(0.4*U706-VLOOKUP(B692,INDIRECT($F$8),8+(O706-1)*3),0.3*S706-VLOOKUP(B692,INDIRECT($F$8),6+(O706-1)*3)),11),IF(0.3*S706-VLOOKUP(B692,INDIRECT($F$8),6+(O706-1)*3)&lt;=5,0.3*S706-VLOOKUP(B692,INDIRECT($F$8),6+(O706-1)*3),11)),IF(VLOOKUP(B692,INDIRECT($F$8),8+(O706-1)*3)&lt;U706*0.4,IF(U706*0.4-VLOOKUP(B692,INDIRECT($F$8),8+(O706-1)*3)&lt;=5,U706*0.4-VLOOKUP(B692,INDIRECT($F$8),8+(O706-1)*3),11),0))))</f>
        <v/>
      </c>
      <c r="X706" s="1" t="str">
        <f ca="1">IF(ISERROR(F692),"",IF(W706=0,"",_xlfn.TEXTJOIN("",FALSE," G+",W706," in ",A706)))</f>
        <v/>
      </c>
    </row>
    <row r="707" spans="1:24" ht="13" customHeight="1" x14ac:dyDescent="0.2">
      <c r="A707" s="43" t="str">
        <f ca="1">IF(ISERROR(F692),"",A688)</f>
        <v/>
      </c>
      <c r="B707" s="43"/>
      <c r="C707" s="43"/>
      <c r="D707" s="43"/>
      <c r="E707" s="43"/>
      <c r="F707" s="10" t="str">
        <f ca="1">IF(ISERROR(F692),"",SUM(F697:F706))</f>
        <v/>
      </c>
      <c r="G707" s="44" t="str">
        <f ca="1">IF(ISERROR(F692),"",_xlfn.TEXTJOIN("/",TRUE,SUMIF(F697:F706,"&gt;0",P697:P706),SUMIF(F697:F706,"&gt;0",S697:S706)))</f>
        <v/>
      </c>
      <c r="H707" s="44"/>
      <c r="I707" s="44" t="str">
        <f ca="1">IF(ISERROR(F692),"",_xlfn.TEXTJOIN("/",TRUE,SUMIF(F697:F706,"&gt;0",Q697:Q706),SUMIF(F697:F706,"&gt;0",T697:T706)))</f>
        <v/>
      </c>
      <c r="J707" s="44"/>
      <c r="K707" s="44" t="str">
        <f ca="1">IF(ISERROR(F692),"",_xlfn.TEXTJOIN("/",TRUE,SUMIF(F697:F706,"&gt;0",R697:R706),SUMIF(F697:F706,"&gt;0",U697:U706)))</f>
        <v/>
      </c>
      <c r="L707" s="44"/>
      <c r="M707" s="43" t="str">
        <f ca="1">IF(ISERROR(F692),"",SUMPRODUCT(N697:N706,F697:F706))</f>
        <v/>
      </c>
      <c r="N707" s="43"/>
      <c r="V707" s="1" t="str">
        <f ca="1">IF(ISERROR(F692),"",_xlfn.TEXTJOIN(", ",TRUE,V697:V706))</f>
        <v/>
      </c>
      <c r="W707" t="str">
        <f ca="1">IF(ISERROR(F692),"",IF(SUM(W697:W706)&lt;=W696,TRUE,FALSE))</f>
        <v/>
      </c>
      <c r="X707" s="1" t="str">
        <f ca="1">IF(ISERROR(F692),"",_xlfn.TEXTJOIN(",",TRUE,X697:X706))</f>
        <v/>
      </c>
    </row>
    <row r="708" spans="1:24" ht="13" customHeight="1" x14ac:dyDescent="0.2">
      <c r="A708" s="43" t="str">
        <f ca="1">IF(ISERROR(F692),"",A689)</f>
        <v/>
      </c>
      <c r="B708" s="45" t="str">
        <f ca="1">IF(ISERROR(F692),"",IF(V707="","PASS","CARRY OVER"))</f>
        <v/>
      </c>
      <c r="C708" s="45"/>
      <c r="D708" s="43" t="str">
        <f ca="1">IF(ISERROR(F692),"",D689)</f>
        <v/>
      </c>
      <c r="E708" s="45" t="str">
        <f ca="1">IF(ISERROR(F692),"",IF(V707="",IF(X707="","",X707),_xlfn.TEXTJOIN(" ",TRUE,"BACK IN",V707)))</f>
        <v/>
      </c>
      <c r="F708" s="45"/>
      <c r="G708" s="43" t="str">
        <f ca="1">IF(ISERROR(F692),"",G689)</f>
        <v/>
      </c>
      <c r="H708" s="46" t="str">
        <f ca="1">IF(ISERROR(F692),"",M707/F707)</f>
        <v/>
      </c>
      <c r="I708" s="43" t="str">
        <f ca="1">IF(ISERROR(F692),"",I689)</f>
        <v/>
      </c>
      <c r="J708" s="46" t="str">
        <f ca="1">IF(ISERROR(F692),"",VLOOKUP(B692,INDIRECT($F$8),12+(O706-1)*3,0))</f>
        <v/>
      </c>
      <c r="K708" s="45" t="str">
        <f ca="1">IF(ISERROR(F692),"",K689)</f>
        <v/>
      </c>
      <c r="L708" s="43" t="str">
        <f ca="1">IF(ISERROR(F692),"",SUMIF(N697:N706,"&gt;0",F697:F706))</f>
        <v/>
      </c>
      <c r="M708" s="45" t="str">
        <f ca="1">IF(ISERROR(F692),"",M689)</f>
        <v/>
      </c>
      <c r="N708" s="43" t="str">
        <f ca="1">IF(ISERROR(F692),"",VLOOKUP(B692,INDIRECT($F$8),10+(O706-1)*3,0))</f>
        <v/>
      </c>
    </row>
    <row r="709" spans="1:24" ht="13" customHeight="1" x14ac:dyDescent="0.2">
      <c r="A709" s="43"/>
      <c r="B709" s="45"/>
      <c r="C709" s="45"/>
      <c r="D709" s="43"/>
      <c r="E709" s="45"/>
      <c r="F709" s="45"/>
      <c r="G709" s="43"/>
      <c r="H709" s="46"/>
      <c r="I709" s="43"/>
      <c r="J709" s="46"/>
      <c r="K709" s="45"/>
      <c r="L709" s="43"/>
      <c r="M709" s="45"/>
      <c r="N709" s="43"/>
    </row>
    <row r="710" spans="1:24" ht="13" customHeight="1" x14ac:dyDescent="0.2">
      <c r="A710" s="43"/>
      <c r="B710" s="45"/>
      <c r="C710" s="45"/>
      <c r="D710" s="43"/>
      <c r="E710" s="45"/>
      <c r="F710" s="45"/>
      <c r="G710" s="43"/>
      <c r="H710" s="46"/>
      <c r="I710" s="43"/>
      <c r="J710" s="46"/>
      <c r="K710" s="45"/>
      <c r="L710" s="43"/>
      <c r="M710" s="45"/>
      <c r="N710" s="43"/>
    </row>
    <row r="711" spans="1:24" ht="13" customHeight="1" x14ac:dyDescent="0.2">
      <c r="A711" s="11" t="str">
        <f>A692</f>
        <v>MM</v>
      </c>
      <c r="B711" s="11">
        <f>B692+1</f>
        <v>38</v>
      </c>
      <c r="C711" s="11" t="str">
        <f>C692</f>
        <v>SC</v>
      </c>
      <c r="D711" s="11" t="str">
        <f>D692</f>
        <v>SN</v>
      </c>
      <c r="E711" s="11" t="str">
        <f>E692</f>
        <v>C</v>
      </c>
      <c r="F711" s="11" t="e">
        <f ca="1">VLOOKUP(B711,INDIRECT($F$8),4,0)</f>
        <v>#N/A</v>
      </c>
    </row>
    <row r="712" spans="1:24" ht="13" customHeight="1" x14ac:dyDescent="0.2">
      <c r="A712" s="47" t="str">
        <f ca="1">IF(ISERROR(F711),"",A693)</f>
        <v/>
      </c>
      <c r="B712" s="47" t="str">
        <f ca="1">IFERROR(VLOOKUP(B711,INDIRECT($F$8),4,0),"")</f>
        <v/>
      </c>
      <c r="C712" s="47"/>
      <c r="D712" s="47" t="str">
        <f ca="1">IF(ISERROR(F711),"",D693)</f>
        <v/>
      </c>
      <c r="E712" s="47" t="str">
        <f ca="1">IFERROR(VLOOKUP(B711,INDIRECT($F$8),5,0),"")</f>
        <v/>
      </c>
      <c r="F712" s="47"/>
      <c r="G712" s="47" t="str">
        <f ca="1">IF(ISERROR(F711),"",G693)</f>
        <v/>
      </c>
      <c r="H712" s="47"/>
      <c r="I712" s="48" t="str">
        <f ca="1">IFERROR(VLOOKUP(B711,INDIRECT($F$8),2,0),"")</f>
        <v/>
      </c>
      <c r="J712" s="48"/>
      <c r="K712" s="47" t="str">
        <f ca="1">IF(ISERROR(F711),"",K693)</f>
        <v/>
      </c>
      <c r="L712" s="47"/>
      <c r="M712" s="48" t="str">
        <f ca="1">IFERROR(VLOOKUP(B711,INDIRECT($F$8),3,0),"")</f>
        <v/>
      </c>
      <c r="N712" s="48"/>
    </row>
    <row r="713" spans="1:24" ht="13" customHeight="1" x14ac:dyDescent="0.2">
      <c r="A713" s="47"/>
      <c r="B713" s="47"/>
      <c r="C713" s="47"/>
      <c r="D713" s="47"/>
      <c r="E713" s="47"/>
      <c r="F713" s="47"/>
      <c r="G713" s="47"/>
      <c r="H713" s="47"/>
      <c r="I713" s="48"/>
      <c r="J713" s="48"/>
      <c r="K713" s="47"/>
      <c r="L713" s="47"/>
      <c r="M713" s="48"/>
      <c r="N713" s="48"/>
    </row>
    <row r="714" spans="1:24" ht="13" customHeight="1" x14ac:dyDescent="0.2">
      <c r="A714" s="45" t="str">
        <f ca="1">IF(ISERROR(F711),"",A695)</f>
        <v/>
      </c>
      <c r="B714" s="45" t="str">
        <f ca="1">IF(ISERROR(F711),"",B695)</f>
        <v/>
      </c>
      <c r="C714" s="45"/>
      <c r="D714" s="45"/>
      <c r="E714" s="45"/>
      <c r="F714" s="45" t="str">
        <f ca="1">IF(ISERROR(F711),"",F695)</f>
        <v/>
      </c>
      <c r="G714" s="45" t="str">
        <f ca="1">IF(ISERROR(F711),"",G695)</f>
        <v/>
      </c>
      <c r="H714" s="45"/>
      <c r="I714" s="45" t="str">
        <f ca="1">IF(ISERROR(F711),"",I695)</f>
        <v/>
      </c>
      <c r="J714" s="45"/>
      <c r="K714" s="45" t="str">
        <f ca="1">IF(ISERROR(F711),"",K695)</f>
        <v/>
      </c>
      <c r="L714" s="45"/>
      <c r="M714" s="45" t="str">
        <f ca="1">IF(ISERROR(F711),"",M695)</f>
        <v/>
      </c>
      <c r="N714" s="45" t="str">
        <f ca="1">IF(ISERROR(F711),"",N695)</f>
        <v/>
      </c>
    </row>
    <row r="715" spans="1:24" ht="13" customHeight="1" x14ac:dyDescent="0.2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W715" t="e">
        <f ca="1">IF(ISNUMBER(MATCH($F$8,{"I","III","V","VII"},0)),10,10-INDEX(INDIRECT(_xlfn.TEXTJOIN("",TRUE,"SEM_",$G$8,"!",ADDRESS(6,4+$I$8*3+4),":",ADDRESS(5+$H$8,4+$I$8*3+4))),MATCH(INDIRECT(_xlfn.TEXTJOIN("",TRUE,"TC_",$F$8,"!",ADDRESS(ROW(I712),COLUMN(I712)))),INDIRECT(_xlfn.TEXTJOIN("",TRUE,"SEM_",$G$8,"!",ADDRESS(6,2),":",ADDRESS(5+$H$8,2))))))</f>
        <v>#N/A</v>
      </c>
    </row>
    <row r="716" spans="1:24" ht="13" customHeight="1" x14ac:dyDescent="0.2">
      <c r="A716" s="7" t="str">
        <f ca="1">IF(ISERROR(F711),"",VLOOKUP(C711,INDIRECT($F$8),6+(O716-1)*3,0))</f>
        <v/>
      </c>
      <c r="B716" s="41" t="str">
        <f ca="1">IF(ISERROR(F711),"",VLOOKUP(D711,INDIRECT($F$8),6+(O716-1)*3,0))</f>
        <v/>
      </c>
      <c r="C716" s="41"/>
      <c r="D716" s="41"/>
      <c r="E716" s="41"/>
      <c r="F716" s="7" t="str">
        <f ca="1">IF(ISERROR(F711),"",VLOOKUP(E711,INDIRECT($F$8),6+(O716-1)*3,0))</f>
        <v/>
      </c>
      <c r="G716" s="42" t="str">
        <f ca="1">IF(ISERROR(F711),"",_xlfn.TEXTJOIN("/",FALSE,P716,S716))</f>
        <v/>
      </c>
      <c r="H716" s="42"/>
      <c r="I716" s="42" t="str">
        <f ca="1">IF(ISERROR(F711),"",_xlfn.TEXTJOIN("/",FALSE,Q716,T716))</f>
        <v/>
      </c>
      <c r="J716" s="42"/>
      <c r="K716" s="42" t="str">
        <f ca="1">IF(ISERROR(F711),"",_xlfn.TEXTJOIN("/",FALSE,R716,U716))</f>
        <v/>
      </c>
      <c r="L716" s="42"/>
      <c r="M716" s="7" t="str">
        <f ca="1">IF(ISERROR(F711),"",IF(ISTEXT(P716),IF(P716="A","Ab",IF(P716="D","Dt",IF(P716="UFM","UFM",IF(P716="NA","")))),IF(AND(ISBLANK(P716),ISBLANK(R716)),"",IF(P716&lt;0.3*S716,"F",IF(ISBLANK(R716),"",IF(ISTEXT(R716),R716,IF(R716&gt;=0.9*U716,"O",IF(R716&gt;=0.85*U716,"A+",IF(R716&gt;=0.8*U716,"A",IF(R716&gt;=0.7*U716,"B+",IF(R716&gt;=0.6*U716,"B",IF(R716&gt;=0.5*U716,"C",IF(R716&gt;=0.4*U716,"P",IF(R716&lt;0.4*U716,"F",R716))))))))))))))</f>
        <v/>
      </c>
      <c r="N716" s="8" t="str">
        <f t="shared" ref="N716:N725" ca="1" si="74">INDEX($Z$2:$Z$13,MATCH(M716,$Y$2:$Y$13,0))</f>
        <v/>
      </c>
      <c r="O716">
        <v>1</v>
      </c>
      <c r="P716" s="1" t="str">
        <f ca="1">IF(ISERROR(F711),"",IF(ISTEXT(VLOOKUP(B711,INDIRECT($F$8),6+(O716-1)*3)),(VLOOKUP(B711,INDIRECT($F$8),6+(O716-1)*3)),SUM(VLOOKUP(B711,INDIRECT($F$8),6+(O716-1)*3),IF(W726,W716,0))))</f>
        <v/>
      </c>
      <c r="Q716" s="1" t="str">
        <f ca="1">IF(ISERROR(F711),"",VLOOKUP(B711,INDIRECT($F$8),7+(O716-1)*3))</f>
        <v/>
      </c>
      <c r="R716" s="1" t="str">
        <f ca="1">IF(ISERROR(F711),"",SUM(P716:Q716))</f>
        <v/>
      </c>
      <c r="S716" s="1" t="str">
        <f ca="1">IF(ISERROR(F711),"",VLOOKUP(A711,INDIRECT($F$8),6+(O716-1)*3))</f>
        <v/>
      </c>
      <c r="T716" s="1" t="str">
        <f ca="1">IF(ISERROR(F711),"",VLOOKUP(A711,INDIRECT($F$8),7+(O716-1)*3))</f>
        <v/>
      </c>
      <c r="U716" s="1" t="str">
        <f ca="1">IF(ISERROR(F711),"",VLOOKUP(A711,INDIRECT($F$8),8+(O716-1)*3))</f>
        <v/>
      </c>
      <c r="V716" s="1" t="str">
        <f ca="1">IF(ISERROR(F711),"",IF(N716=0,A716,""))</f>
        <v/>
      </c>
      <c r="W716" s="1" t="str">
        <f ca="1">IF(ISERROR(F711),"",IF(ISTEXT(VLOOKUP(B711,INDIRECT($F$8),6+(O716-1)*3)),11,IF(VLOOKUP(B711,INDIRECT($F$8),6+(O716-1)*3)&lt;S716*0.3,IF(VLOOKUP(B711,INDIRECT($F$8),8+(O716-1)*3)&lt;U716*0.4,IF(AND(0.4*U716-VLOOKUP(B711,INDIRECT($F$8),8+(O716-1)*3)&lt;=5,0.3*S716-VLOOKUP(B711,INDIRECT($F$8),6+(O716-1)*3)&lt;=5),MAX(0.4*U716-VLOOKUP(B711,INDIRECT($F$8),8+(O716-1)*3),0.3*S716-VLOOKUP(B711,INDIRECT($F$8),6+(O716-1)*3)),11),IF(0.3*S716-VLOOKUP(B711,INDIRECT($F$8),6+(O716-1)*3)&lt;=5,0.3*S716-VLOOKUP(B711,INDIRECT($F$8),6+(O716-1)*3),11)),IF(VLOOKUP(B711,INDIRECT($F$8),8+(O716-1)*3)&lt;U716*0.4,IF(U716*0.4-VLOOKUP(B711,INDIRECT($F$8),8+(O716-1)*3)&lt;=5,U716*0.4-VLOOKUP(B711,INDIRECT($F$8),8+(O716-1)*3),11),0))))</f>
        <v/>
      </c>
      <c r="X716" s="1" t="str">
        <f ca="1">IF(ISERROR(F711),"",IF(W716=0,"",_xlfn.TEXTJOIN("",FALSE," G+",W716," in ",A716)))</f>
        <v/>
      </c>
    </row>
    <row r="717" spans="1:24" ht="13" customHeight="1" x14ac:dyDescent="0.2">
      <c r="A717" s="7" t="str">
        <f ca="1">IF(ISERROR(F711),"",VLOOKUP(C711,INDIRECT($F$8),6+(O717-1)*3,0))</f>
        <v/>
      </c>
      <c r="B717" s="41" t="str">
        <f ca="1">IF(ISERROR(F711),"",VLOOKUP(D711,INDIRECT($F$8),6+(O717-1)*3,0))</f>
        <v/>
      </c>
      <c r="C717" s="41"/>
      <c r="D717" s="41"/>
      <c r="E717" s="41"/>
      <c r="F717" s="7" t="str">
        <f ca="1">IF(ISERROR(F711),"",VLOOKUP(E711,INDIRECT($F$8),6+(O717-1)*3,0))</f>
        <v/>
      </c>
      <c r="G717" s="42" t="str">
        <f ca="1">IF(ISERROR(F711),"",_xlfn.TEXTJOIN("/",FALSE,P717,S717))</f>
        <v/>
      </c>
      <c r="H717" s="42"/>
      <c r="I717" s="42" t="str">
        <f ca="1">IF(ISERROR(F711),"",_xlfn.TEXTJOIN("/",FALSE,Q717,T717))</f>
        <v/>
      </c>
      <c r="J717" s="42"/>
      <c r="K717" s="42" t="str">
        <f ca="1">IF(ISERROR(F711),"",_xlfn.TEXTJOIN("/",FALSE,R717,U717))</f>
        <v/>
      </c>
      <c r="L717" s="42"/>
      <c r="M717" s="7" t="str">
        <f ca="1">IF(ISERROR(F711),"",IF(ISTEXT(P717),IF(P717="A","Ab",IF(P717="D","Dt",IF(P717="UFM","UFM",IF(P717="NA","")))),IF(AND(ISBLANK(P717),ISBLANK(R717)),"",IF(P717&lt;0.3*S717,"F",IF(ISBLANK(R717),"",IF(ISTEXT(R717),R717,IF(R717&gt;=0.9*U717,"O",IF(R717&gt;=0.85*U717,"A+",IF(R717&gt;=0.8*U717,"A",IF(R717&gt;=0.7*U717,"B+",IF(R717&gt;=0.6*U717,"B",IF(R717&gt;=0.5*U717,"C",IF(R717&gt;=0.4*U717,"P",IF(R717&lt;0.4*U717,"F",R717))))))))))))))</f>
        <v/>
      </c>
      <c r="N717" s="8" t="str">
        <f t="shared" ca="1" si="74"/>
        <v/>
      </c>
      <c r="O717">
        <f>O716+1</f>
        <v>2</v>
      </c>
      <c r="P717" s="1" t="str">
        <f ca="1">IF(ISERROR(F711),"",IF(ISTEXT(VLOOKUP(B711,INDIRECT($F$8),6+(O717-1)*3)),(VLOOKUP(B711,INDIRECT($F$8),6+(O717-1)*3)),SUM(VLOOKUP(B711,INDIRECT($F$8),6+(O717-1)*3),IF(W726,W717,0))))</f>
        <v/>
      </c>
      <c r="Q717" s="1" t="str">
        <f ca="1">IF(ISERROR(F711),"",VLOOKUP(B711,INDIRECT($F$8),7+(O717-1)*3))</f>
        <v/>
      </c>
      <c r="R717" s="1" t="str">
        <f ca="1">IF(ISERROR(F711),"",SUM(P717:Q717))</f>
        <v/>
      </c>
      <c r="S717" s="1" t="str">
        <f ca="1">IF(ISERROR(F711),"",VLOOKUP(A711,INDIRECT($F$8),6+(O717-1)*3))</f>
        <v/>
      </c>
      <c r="T717" s="1" t="str">
        <f ca="1">IF(ISERROR(F711),"",VLOOKUP(A711,INDIRECT($F$8),7+(O717-1)*3))</f>
        <v/>
      </c>
      <c r="U717" s="1" t="str">
        <f ca="1">IF(ISERROR(F711),"",VLOOKUP(A711,INDIRECT($F$8),8+(O717-1)*3))</f>
        <v/>
      </c>
      <c r="V717" s="1" t="str">
        <f ca="1">IF(ISERROR(F711),"",IF(N717=0,A717,""))</f>
        <v/>
      </c>
      <c r="W717" s="1" t="str">
        <f ca="1">IF(ISERROR(F711),"",IF(ISTEXT(VLOOKUP(B711,INDIRECT($F$8),6+(O717-1)*3)),11,IF(VLOOKUP(B711,INDIRECT($F$8),6+(O717-1)*3)&lt;S717*0.3,IF(VLOOKUP(B711,INDIRECT($F$8),8+(O717-1)*3)&lt;U717*0.4,IF(AND(0.4*U717-VLOOKUP(B711,INDIRECT($F$8),8+(O717-1)*3)&lt;=5,0.3*S717-VLOOKUP(B711,INDIRECT($F$8),6+(O717-1)*3)&lt;=5),MAX(0.4*U717-VLOOKUP(B711,INDIRECT($F$8),8+(O717-1)*3),0.3*S717-VLOOKUP(B711,INDIRECT($F$8),6+(O717-1)*3)),11),IF(0.3*S717-VLOOKUP(B711,INDIRECT($F$8),6+(O717-1)*3)&lt;=5,0.3*S717-VLOOKUP(B711,INDIRECT($F$8),6+(O717-1)*3),11)),IF(VLOOKUP(B711,INDIRECT($F$8),8+(O717-1)*3)&lt;U717*0.4,IF(U717*0.4-VLOOKUP(B711,INDIRECT($F$8),8+(O717-1)*3)&lt;=5,U717*0.4-VLOOKUP(B711,INDIRECT($F$8),8+(O717-1)*3),11),0))))</f>
        <v/>
      </c>
      <c r="X717" s="1" t="str">
        <f ca="1">IF(ISERROR(F711),"",IF(W717=0,"",_xlfn.TEXTJOIN("",FALSE," G+",W717," in ",A717)))</f>
        <v/>
      </c>
    </row>
    <row r="718" spans="1:24" ht="13" customHeight="1" x14ac:dyDescent="0.2">
      <c r="A718" s="7" t="str">
        <f ca="1">IF(ISERROR(F711),"",VLOOKUP(C711,INDIRECT($F$8),6+(O718-1)*3,0))</f>
        <v/>
      </c>
      <c r="B718" s="41" t="str">
        <f ca="1">IF(ISERROR(F711),"",VLOOKUP(D711,INDIRECT($F$8),6+(O718-1)*3,0))</f>
        <v/>
      </c>
      <c r="C718" s="41"/>
      <c r="D718" s="41"/>
      <c r="E718" s="41"/>
      <c r="F718" s="7" t="str">
        <f ca="1">IF(ISERROR(F711),"",VLOOKUP(E711,INDIRECT($F$8),6+(O718-1)*3,0))</f>
        <v/>
      </c>
      <c r="G718" s="42" t="str">
        <f ca="1">IF(ISERROR(F711),"",_xlfn.TEXTJOIN("/",FALSE,P718,S718))</f>
        <v/>
      </c>
      <c r="H718" s="42"/>
      <c r="I718" s="42" t="str">
        <f ca="1">IF(ISERROR(F711),"",_xlfn.TEXTJOIN("/",FALSE,Q718,T718))</f>
        <v/>
      </c>
      <c r="J718" s="42"/>
      <c r="K718" s="42" t="str">
        <f ca="1">IF(ISERROR(F711),"",_xlfn.TEXTJOIN("/",FALSE,R718,U718))</f>
        <v/>
      </c>
      <c r="L718" s="42"/>
      <c r="M718" s="7" t="str">
        <f ca="1">IF(ISERROR(F711),"",IF(ISTEXT(P718),IF(P718="A","Ab",IF(P718="D","Dt",IF(P718="UFM","UFM",IF(P718="NA","")))),IF(AND(ISBLANK(P718),ISBLANK(R718)),"",IF(P718&lt;0.3*S718,"F",IF(ISBLANK(R718),"",IF(ISTEXT(R718),R718,IF(R718&gt;=0.9*U718,"O",IF(R718&gt;=0.85*U718,"A+",IF(R718&gt;=0.8*U718,"A",IF(R718&gt;=0.7*U718,"B+",IF(R718&gt;=0.6*U718,"B",IF(R718&gt;=0.5*U718,"C",IF(R718&gt;=0.4*U718,"P",IF(R718&lt;0.4*U718,"F",R718))))))))))))))</f>
        <v/>
      </c>
      <c r="N718" s="8" t="str">
        <f t="shared" ca="1" si="74"/>
        <v/>
      </c>
      <c r="O718">
        <f>O717+1</f>
        <v>3</v>
      </c>
      <c r="P718" s="1" t="str">
        <f ca="1">IF(ISERROR(F711),"",IF(ISTEXT(VLOOKUP(B711,INDIRECT($F$8),6+(O718-1)*3)),(VLOOKUP(B711,INDIRECT($F$8),6+(O718-1)*3)),SUM(VLOOKUP(B711,INDIRECT($F$8),6+(O718-1)*3),IF(W726,W718,0))))</f>
        <v/>
      </c>
      <c r="Q718" s="1" t="str">
        <f ca="1">IF(ISERROR(F711),"",VLOOKUP(B711,INDIRECT($F$8),7+(O718-1)*3))</f>
        <v/>
      </c>
      <c r="R718" s="1" t="str">
        <f ca="1">IF(ISERROR(F711),"",SUM(P718:Q718))</f>
        <v/>
      </c>
      <c r="S718" s="1" t="str">
        <f ca="1">IF(ISERROR(F711),"",VLOOKUP(A711,INDIRECT($F$8),6+(O718-1)*3))</f>
        <v/>
      </c>
      <c r="T718" s="1" t="str">
        <f ca="1">IF(ISERROR(F711),"",VLOOKUP(A711,INDIRECT($F$8),7+(O718-1)*3))</f>
        <v/>
      </c>
      <c r="U718" s="1" t="str">
        <f ca="1">IF(ISERROR(F711),"",VLOOKUP(A711,INDIRECT($F$8),8+(O718-1)*3))</f>
        <v/>
      </c>
      <c r="V718" s="1" t="str">
        <f ca="1">IF(ISERROR(F711),"",IF(N718=0,A718,""))</f>
        <v/>
      </c>
      <c r="W718" s="1" t="str">
        <f ca="1">IF(ISERROR(F711),"",IF(ISTEXT(VLOOKUP(B711,INDIRECT($F$8),6+(O718-1)*3)),11,IF(VLOOKUP(B711,INDIRECT($F$8),6+(O718-1)*3)&lt;S718*0.3,IF(VLOOKUP(B711,INDIRECT($F$8),8+(O718-1)*3)&lt;U718*0.4,IF(AND(0.4*U718-VLOOKUP(B711,INDIRECT($F$8),8+(O718-1)*3)&lt;=5,0.3*S718-VLOOKUP(B711,INDIRECT($F$8),6+(O718-1)*3)&lt;=5),MAX(0.4*U718-VLOOKUP(B711,INDIRECT($F$8),8+(O718-1)*3),0.3*S718-VLOOKUP(B711,INDIRECT($F$8),6+(O718-1)*3)),11),IF(0.3*S718-VLOOKUP(B711,INDIRECT($F$8),6+(O718-1)*3)&lt;=5,0.3*S718-VLOOKUP(B711,INDIRECT($F$8),6+(O718-1)*3),11)),IF(VLOOKUP(B711,INDIRECT($F$8),8+(O718-1)*3)&lt;U718*0.4,IF(U718*0.4-VLOOKUP(B711,INDIRECT($F$8),8+(O718-1)*3)&lt;=5,U718*0.4-VLOOKUP(B711,INDIRECT($F$8),8+(O718-1)*3),11),0))))</f>
        <v/>
      </c>
      <c r="X718" s="1" t="str">
        <f ca="1">IF(ISERROR(F711),"",IF(W718=0,"",_xlfn.TEXTJOIN("",FALSE," G+",W718," in ",A718)))</f>
        <v/>
      </c>
    </row>
    <row r="719" spans="1:24" ht="13" customHeight="1" x14ac:dyDescent="0.2">
      <c r="A719" s="7" t="str">
        <f ca="1">IF(ISERROR(F711),"",VLOOKUP(C711,INDIRECT($F$8),6+(O719-1)*3,0))</f>
        <v/>
      </c>
      <c r="B719" s="41" t="str">
        <f ca="1">IF(ISERROR(F711),"",VLOOKUP(D711,INDIRECT($F$8),6+(O719-1)*3,0))</f>
        <v/>
      </c>
      <c r="C719" s="41"/>
      <c r="D719" s="41"/>
      <c r="E719" s="41"/>
      <c r="F719" s="7" t="str">
        <f ca="1">IF(ISERROR(F711),"",VLOOKUP(E711,INDIRECT($F$8),6+(O719-1)*3,0))</f>
        <v/>
      </c>
      <c r="G719" s="42" t="str">
        <f ca="1">IF(ISERROR(F711),"",_xlfn.TEXTJOIN("/",FALSE,P719,S719))</f>
        <v/>
      </c>
      <c r="H719" s="42"/>
      <c r="I719" s="42" t="str">
        <f ca="1">IF(ISERROR(F711),"",_xlfn.TEXTJOIN("/",FALSE,Q719,T719))</f>
        <v/>
      </c>
      <c r="J719" s="42"/>
      <c r="K719" s="42" t="str">
        <f ca="1">IF(ISERROR(F711),"",_xlfn.TEXTJOIN("/",FALSE,R719,U719))</f>
        <v/>
      </c>
      <c r="L719" s="42"/>
      <c r="M719" s="7" t="str">
        <f ca="1">IF(ISERROR(F711),"",IF(ISTEXT(P719),IF(P719="A","Ab",IF(P719="D","Dt",IF(P719="UFM","UFM",IF(P719="NA","")))),IF(AND(ISBLANK(P719),ISBLANK(R719)),"",IF(P719&lt;0.3*S719,"F",IF(ISBLANK(R719),"",IF(ISTEXT(R719),R719,IF(R719&gt;=0.9*U719,"O",IF(R719&gt;=0.85*U719,"A+",IF(R719&gt;=0.8*U719,"A",IF(R719&gt;=0.7*U719,"B+",IF(R719&gt;=0.6*U719,"B",IF(R719&gt;=0.5*U719,"C",IF(R719&gt;=0.4*U719,"P",IF(R719&lt;0.4*U719,"F",R719))))))))))))))</f>
        <v/>
      </c>
      <c r="N719" s="8" t="str">
        <f t="shared" ca="1" si="74"/>
        <v/>
      </c>
      <c r="O719">
        <f t="shared" ref="O719:O725" si="75">O718+1</f>
        <v>4</v>
      </c>
      <c r="P719" s="1" t="str">
        <f ca="1">IF(ISERROR(F711),"",IF(ISTEXT(VLOOKUP(B711,INDIRECT($F$8),6+(O719-1)*3)),(VLOOKUP(B711,INDIRECT($F$8),6+(O719-1)*3)),SUM(VLOOKUP(B711,INDIRECT($F$8),6+(O719-1)*3),IF(W726,W719,0))))</f>
        <v/>
      </c>
      <c r="Q719" s="1" t="str">
        <f ca="1">IF(ISERROR(F711),"",VLOOKUP(B711,INDIRECT($F$8),7+(O719-1)*3))</f>
        <v/>
      </c>
      <c r="R719" s="1" t="str">
        <f ca="1">IF(ISERROR(F711),"",SUM(P719:Q719))</f>
        <v/>
      </c>
      <c r="S719" s="1" t="str">
        <f ca="1">IF(ISERROR(F711),"",VLOOKUP(A711,INDIRECT($F$8),6+(O719-1)*3))</f>
        <v/>
      </c>
      <c r="T719" s="1" t="str">
        <f ca="1">IF(ISERROR(F711),"",VLOOKUP(A711,INDIRECT($F$8),7+(O719-1)*3))</f>
        <v/>
      </c>
      <c r="U719" s="1" t="str">
        <f ca="1">IF(ISERROR(F711),"",VLOOKUP(A711,INDIRECT($F$8),8+(O719-1)*3))</f>
        <v/>
      </c>
      <c r="V719" s="1" t="str">
        <f ca="1">IF(ISERROR(F711),"",IF(N719=0,A719,""))</f>
        <v/>
      </c>
      <c r="W719" s="1" t="str">
        <f ca="1">IF(ISERROR(F711),"",IF(ISTEXT(VLOOKUP(B711,INDIRECT($F$8),6+(O719-1)*3)),11,IF(VLOOKUP(B711,INDIRECT($F$8),6+(O719-1)*3)&lt;S719*0.3,IF(VLOOKUP(B711,INDIRECT($F$8),8+(O719-1)*3)&lt;U719*0.4,IF(AND(0.4*U719-VLOOKUP(B711,INDIRECT($F$8),8+(O719-1)*3)&lt;=5,0.3*S719-VLOOKUP(B711,INDIRECT($F$8),6+(O719-1)*3)&lt;=5),MAX(0.4*U719-VLOOKUP(B711,INDIRECT($F$8),8+(O719-1)*3),0.3*S719-VLOOKUP(B711,INDIRECT($F$8),6+(O719-1)*3)),11),IF(0.3*S719-VLOOKUP(B711,INDIRECT($F$8),6+(O719-1)*3)&lt;=5,0.3*S719-VLOOKUP(B711,INDIRECT($F$8),6+(O719-1)*3),11)),IF(VLOOKUP(B711,INDIRECT($F$8),8+(O719-1)*3)&lt;U719*0.4,IF(U719*0.4-VLOOKUP(B711,INDIRECT($F$8),8+(O719-1)*3)&lt;=5,U719*0.4-VLOOKUP(B711,INDIRECT($F$8),8+(O719-1)*3),11),0))))</f>
        <v/>
      </c>
      <c r="X719" s="1" t="str">
        <f ca="1">IF(ISERROR(F711),"",IF(W719=0,"",_xlfn.TEXTJOIN("",FALSE," G+",W719," in ",A719)))</f>
        <v/>
      </c>
    </row>
    <row r="720" spans="1:24" ht="13" customHeight="1" x14ac:dyDescent="0.2">
      <c r="A720" s="7" t="str">
        <f ca="1">IF(ISERROR(F711),"",VLOOKUP(C711,INDIRECT($F$8),6+(O720-1)*3,0))</f>
        <v/>
      </c>
      <c r="B720" s="41" t="str">
        <f ca="1">IF(ISERROR(F711),"",VLOOKUP(D711,INDIRECT($F$8),6+(O720-1)*3,0))</f>
        <v/>
      </c>
      <c r="C720" s="41"/>
      <c r="D720" s="41"/>
      <c r="E720" s="41"/>
      <c r="F720" s="7" t="str">
        <f ca="1">IF(ISERROR(F711),"",VLOOKUP(E711,INDIRECT($F$8),6+(O720-1)*3,0))</f>
        <v/>
      </c>
      <c r="G720" s="42" t="str">
        <f ca="1">IF(ISERROR(F711),"",_xlfn.TEXTJOIN("/",FALSE,P720,S720))</f>
        <v/>
      </c>
      <c r="H720" s="42"/>
      <c r="I720" s="42" t="str">
        <f ca="1">IF(ISERROR(F711),"",_xlfn.TEXTJOIN("/",FALSE,Q720,T720))</f>
        <v/>
      </c>
      <c r="J720" s="42"/>
      <c r="K720" s="42" t="str">
        <f ca="1">IF(ISERROR(F711),"",_xlfn.TEXTJOIN("/",FALSE,R720,U720))</f>
        <v/>
      </c>
      <c r="L720" s="42"/>
      <c r="M720" s="7" t="str">
        <f ca="1">IF(ISERROR(F711),"",IF(ISTEXT(P720),IF(P720="A","Ab",IF(P720="D","Dt",IF(P720="UFM","UFM",IF(P720="NA","")))),IF(AND(ISBLANK(P720),ISBLANK(R720)),"",IF(P720&lt;0.3*S720,"F",IF(ISBLANK(R720),"",IF(ISTEXT(R720),R720,IF(R720&gt;=0.9*U720,"O",IF(R720&gt;=0.85*U720,"A+",IF(R720&gt;=0.8*U720,"A",IF(R720&gt;=0.7*U720,"B+",IF(R720&gt;=0.6*U720,"B",IF(R720&gt;=0.5*U720,"C",IF(R720&gt;=0.4*U720,"P",IF(R720&lt;0.4*U720,"F",R720))))))))))))))</f>
        <v/>
      </c>
      <c r="N720" s="8" t="str">
        <f t="shared" ca="1" si="74"/>
        <v/>
      </c>
      <c r="O720">
        <f t="shared" si="75"/>
        <v>5</v>
      </c>
      <c r="P720" s="1" t="str">
        <f ca="1">IF(ISERROR(F711),"",IF(ISTEXT(VLOOKUP(B711,INDIRECT($F$8),6+(O720-1)*3)),(VLOOKUP(B711,INDIRECT($F$8),6+(O720-1)*3)),SUM(VLOOKUP(B711,INDIRECT($F$8),6+(O720-1)*3),IF(W726,W720,0))))</f>
        <v/>
      </c>
      <c r="Q720" s="1" t="str">
        <f ca="1">IF(ISERROR(F711),"",VLOOKUP(B711,INDIRECT($F$8),7+(O720-1)*3))</f>
        <v/>
      </c>
      <c r="R720" s="1" t="str">
        <f ca="1">IF(ISERROR(F711),"",SUM(P720:Q720))</f>
        <v/>
      </c>
      <c r="S720" s="1" t="str">
        <f ca="1">IF(ISERROR(F711),"",VLOOKUP(A711,INDIRECT($F$8),6+(O720-1)*3))</f>
        <v/>
      </c>
      <c r="T720" s="1" t="str">
        <f ca="1">IF(ISERROR(F711),"",VLOOKUP(A711,INDIRECT($F$8),7+(O720-1)*3))</f>
        <v/>
      </c>
      <c r="U720" s="1" t="str">
        <f ca="1">IF(ISERROR(F711),"",VLOOKUP(A711,INDIRECT($F$8),8+(O720-1)*3))</f>
        <v/>
      </c>
      <c r="V720" s="1" t="str">
        <f ca="1">IF(ISERROR(F711),"",IF(N720=0,A720,""))</f>
        <v/>
      </c>
      <c r="W720" s="1" t="str">
        <f ca="1">IF(ISERROR(F711),"",IF(ISTEXT(VLOOKUP(B711,INDIRECT($F$8),6+(O720-1)*3)),11,IF(VLOOKUP(B711,INDIRECT($F$8),6+(O720-1)*3)&lt;S720*0.3,IF(VLOOKUP(B711,INDIRECT($F$8),8+(O720-1)*3)&lt;U720*0.4,IF(AND(0.4*U720-VLOOKUP(B711,INDIRECT($F$8),8+(O720-1)*3)&lt;=5,0.3*S720-VLOOKUP(B711,INDIRECT($F$8),6+(O720-1)*3)&lt;=5),MAX(0.4*U720-VLOOKUP(B711,INDIRECT($F$8),8+(O720-1)*3),0.3*S720-VLOOKUP(B711,INDIRECT($F$8),6+(O720-1)*3)),11),IF(0.3*S720-VLOOKUP(B711,INDIRECT($F$8),6+(O720-1)*3)&lt;=5,0.3*S720-VLOOKUP(B711,INDIRECT($F$8),6+(O720-1)*3),11)),IF(VLOOKUP(B711,INDIRECT($F$8),8+(O720-1)*3)&lt;U720*0.4,IF(U720*0.4-VLOOKUP(B711,INDIRECT($F$8),8+(O720-1)*3)&lt;=5,U720*0.4-VLOOKUP(B711,INDIRECT($F$8),8+(O720-1)*3),11),0))))</f>
        <v/>
      </c>
      <c r="X720" s="1" t="str">
        <f ca="1">IF(ISERROR(F711),"",IF(W720=0,"",_xlfn.TEXTJOIN("",FALSE," G+",W720," in ",A720)))</f>
        <v/>
      </c>
    </row>
    <row r="721" spans="1:24" ht="13" customHeight="1" x14ac:dyDescent="0.2">
      <c r="A721" s="7" t="str">
        <f ca="1">IF(ISERROR(F711),"",VLOOKUP(C711,INDIRECT($F$8),6+(O721-1)*3,0))</f>
        <v/>
      </c>
      <c r="B721" s="41" t="str">
        <f ca="1">IF(ISERROR(F711),"",VLOOKUP(D711,INDIRECT($F$8),6+(O721-1)*3,0))</f>
        <v/>
      </c>
      <c r="C721" s="41"/>
      <c r="D721" s="41"/>
      <c r="E721" s="41"/>
      <c r="F721" s="7" t="str">
        <f ca="1">IF(ISERROR(F711),"",VLOOKUP(E711,INDIRECT($F$8),6+(O721-1)*3,0))</f>
        <v/>
      </c>
      <c r="G721" s="42" t="str">
        <f ca="1">IF(ISERROR(F711),"",_xlfn.TEXTJOIN("/",FALSE,P721,S721))</f>
        <v/>
      </c>
      <c r="H721" s="42"/>
      <c r="I721" s="42" t="str">
        <f ca="1">IF(ISERROR(F711),"",_xlfn.TEXTJOIN("/",FALSE,Q721,T721))</f>
        <v/>
      </c>
      <c r="J721" s="42"/>
      <c r="K721" s="42" t="str">
        <f ca="1">IF(ISERROR(F711),"",_xlfn.TEXTJOIN("/",FALSE,R721,U721))</f>
        <v/>
      </c>
      <c r="L721" s="42"/>
      <c r="M721" s="7" t="str">
        <f ca="1">IF(ISERROR(F711),"",IF(ISTEXT(P721),IF(P721="A","Ab",IF(P721="D","Dt",IF(P721="UFM","UFM",IF(P721="NA","")))),IF(AND(ISBLANK(P721),ISBLANK(R721)),"",IF(P721&lt;0.3*S721,"F",IF(ISBLANK(R721),"",IF(ISTEXT(R721),R721,IF(R721&gt;=0.9*U721,"O",IF(R721&gt;=0.85*U721,"A+",IF(R721&gt;=0.8*U721,"A",IF(R721&gt;=0.7*U721,"B+",IF(R721&gt;=0.6*U721,"B",IF(R721&gt;=0.5*U721,"C",IF(R721&gt;=0.4*U721,"P",IF(R721&lt;0.4*U721,"F",R721))))))))))))))</f>
        <v/>
      </c>
      <c r="N721" s="8" t="str">
        <f t="shared" ca="1" si="74"/>
        <v/>
      </c>
      <c r="O721">
        <f t="shared" si="75"/>
        <v>6</v>
      </c>
      <c r="P721" s="1" t="str">
        <f ca="1">IF(ISERROR(F711),"",IF(ISTEXT(VLOOKUP(B711,INDIRECT($F$8),6+(O721-1)*3)),(VLOOKUP(B711,INDIRECT($F$8),6+(O721-1)*3)),SUM(VLOOKUP(B711,INDIRECT($F$8),6+(O721-1)*3),IF(W726,W721,0))))</f>
        <v/>
      </c>
      <c r="Q721" s="1" t="str">
        <f ca="1">IF(ISERROR(F711),"",VLOOKUP(B711,INDIRECT($F$8),7+(O721-1)*3))</f>
        <v/>
      </c>
      <c r="R721" s="1" t="str">
        <f ca="1">IF(ISERROR(F711),"",SUM(P721:Q721))</f>
        <v/>
      </c>
      <c r="S721" s="1" t="str">
        <f ca="1">IF(ISERROR(F711),"",VLOOKUP(A711,INDIRECT($F$8),6+(O721-1)*3))</f>
        <v/>
      </c>
      <c r="T721" s="1" t="str">
        <f ca="1">IF(ISERROR(F711),"",VLOOKUP(A711,INDIRECT($F$8),7+(O721-1)*3))</f>
        <v/>
      </c>
      <c r="U721" s="1" t="str">
        <f ca="1">IF(ISERROR(F711),"",VLOOKUP(A711,INDIRECT($F$8),8+(O721-1)*3))</f>
        <v/>
      </c>
      <c r="V721" s="1" t="str">
        <f ca="1">IF(ISERROR(F711),"",IF(N721=0,A721,""))</f>
        <v/>
      </c>
      <c r="W721" s="1" t="str">
        <f ca="1">IF(ISERROR(F711),"",IF(ISTEXT(VLOOKUP(B711,INDIRECT($F$8),6+(O721-1)*3)),11,IF(VLOOKUP(B711,INDIRECT($F$8),6+(O721-1)*3)&lt;S721*0.3,IF(VLOOKUP(B711,INDIRECT($F$8),8+(O721-1)*3)&lt;U721*0.4,IF(AND(0.4*U721-VLOOKUP(B711,INDIRECT($F$8),8+(O721-1)*3)&lt;=5,0.3*S721-VLOOKUP(B711,INDIRECT($F$8),6+(O721-1)*3)&lt;=5),MAX(0.4*U721-VLOOKUP(B711,INDIRECT($F$8),8+(O721-1)*3),0.3*S721-VLOOKUP(B711,INDIRECT($F$8),6+(O721-1)*3)),11),IF(0.3*S721-VLOOKUP(B711,INDIRECT($F$8),6+(O721-1)*3)&lt;=5,0.3*S721-VLOOKUP(B711,INDIRECT($F$8),6+(O721-1)*3),11)),IF(VLOOKUP(B711,INDIRECT($F$8),8+(O721-1)*3)&lt;U721*0.4,IF(U721*0.4-VLOOKUP(B711,INDIRECT($F$8),8+(O721-1)*3)&lt;=5,U721*0.4-VLOOKUP(B711,INDIRECT($F$8),8+(O721-1)*3),11),0))))</f>
        <v/>
      </c>
      <c r="X721" s="1" t="str">
        <f ca="1">IF(ISERROR(F711),"",IF(W721=0,"",_xlfn.TEXTJOIN("",FALSE," G+",W721," in ",A721)))</f>
        <v/>
      </c>
    </row>
    <row r="722" spans="1:24" ht="13" customHeight="1" x14ac:dyDescent="0.2">
      <c r="A722" s="7" t="str">
        <f ca="1">IF(ISERROR(F711),"",VLOOKUP(C711,INDIRECT($F$8),6+(O722-1)*3,0))</f>
        <v/>
      </c>
      <c r="B722" s="41" t="str">
        <f ca="1">IF(ISERROR(F711),"",VLOOKUP(D711,INDIRECT($F$8),6+(O722-1)*3,0))</f>
        <v/>
      </c>
      <c r="C722" s="41"/>
      <c r="D722" s="41"/>
      <c r="E722" s="41"/>
      <c r="F722" s="7" t="str">
        <f ca="1">IF(ISERROR(F711),"",VLOOKUP(E711,INDIRECT($F$8),6+(O722-1)*3,0))</f>
        <v/>
      </c>
      <c r="G722" s="42" t="str">
        <f ca="1">IF(ISERROR(F711),"",_xlfn.TEXTJOIN("/",FALSE,P722,S722))</f>
        <v/>
      </c>
      <c r="H722" s="42"/>
      <c r="I722" s="42" t="str">
        <f ca="1">IF(ISERROR(F711),"",_xlfn.TEXTJOIN("/",FALSE,Q722,T722))</f>
        <v/>
      </c>
      <c r="J722" s="42"/>
      <c r="K722" s="42" t="str">
        <f ca="1">IF(ISERROR(F711),"",_xlfn.TEXTJOIN("/",FALSE,R722,U722))</f>
        <v/>
      </c>
      <c r="L722" s="42"/>
      <c r="M722" s="7" t="str">
        <f ca="1">IF(ISERROR(F711),"",IF(ISTEXT(P722),IF(P722="A","Ab",IF(P722="D","Dt",IF(P722="UFM","UFM",IF(P722="NA","")))),IF(AND(ISBLANK(P722),ISBLANK(R722)),"",IF(P722&lt;0.3*S722,"F",IF(ISBLANK(R722),"",IF(ISTEXT(R722),R722,IF(R722&gt;=0.9*U722,"O",IF(R722&gt;=0.85*U722,"A+",IF(R722&gt;=0.8*U722,"A",IF(R722&gt;=0.7*U722,"B+",IF(R722&gt;=0.6*U722,"B",IF(R722&gt;=0.5*U722,"C",IF(R722&gt;=0.4*U722,"P",IF(R722&lt;0.4*U722,"F",R722))))))))))))))</f>
        <v/>
      </c>
      <c r="N722" s="8" t="str">
        <f t="shared" ca="1" si="74"/>
        <v/>
      </c>
      <c r="O722">
        <f t="shared" si="75"/>
        <v>7</v>
      </c>
      <c r="P722" s="1" t="str">
        <f ca="1">IF(ISERROR(F711),"",IF(ISTEXT(VLOOKUP(B711,INDIRECT($F$8),6+(O722-1)*3)),(VLOOKUP(B711,INDIRECT($F$8),6+(O722-1)*3)),SUM(VLOOKUP(B711,INDIRECT($F$8),6+(O722-1)*3),IF(W726,W722,0))))</f>
        <v/>
      </c>
      <c r="Q722" s="1" t="str">
        <f ca="1">IF(ISERROR(F711),"",VLOOKUP(B711,INDIRECT($F$8),7+(O722-1)*3))</f>
        <v/>
      </c>
      <c r="R722" s="1" t="str">
        <f ca="1">IF(ISERROR(F711),"",SUM(P722:Q722))</f>
        <v/>
      </c>
      <c r="S722" s="1" t="str">
        <f ca="1">IF(ISERROR(F711),"",VLOOKUP(A711,INDIRECT($F$8),6+(O722-1)*3))</f>
        <v/>
      </c>
      <c r="T722" s="1" t="str">
        <f ca="1">IF(ISERROR(F711),"",VLOOKUP(A711,INDIRECT($F$8),7+(O722-1)*3))</f>
        <v/>
      </c>
      <c r="U722" s="1" t="str">
        <f ca="1">IF(ISERROR(F711),"",VLOOKUP(A711,INDIRECT($F$8),8+(O722-1)*3))</f>
        <v/>
      </c>
      <c r="V722" s="1" t="str">
        <f ca="1">IF(ISERROR(F711),"",IF(N722=0,A722,""))</f>
        <v/>
      </c>
      <c r="W722" s="1" t="str">
        <f ca="1">IF(ISERROR(F711),"",IF(ISTEXT(VLOOKUP(B711,INDIRECT($F$8),6+(O722-1)*3)),11,IF(VLOOKUP(B711,INDIRECT($F$8),6+(O722-1)*3)&lt;S722*0.3,IF(VLOOKUP(B711,INDIRECT($F$8),8+(O722-1)*3)&lt;U722*0.4,IF(AND(0.4*U722-VLOOKUP(B711,INDIRECT($F$8),8+(O722-1)*3)&lt;=5,0.3*S722-VLOOKUP(B711,INDIRECT($F$8),6+(O722-1)*3)&lt;=5),MAX(0.4*U722-VLOOKUP(B711,INDIRECT($F$8),8+(O722-1)*3),0.3*S722-VLOOKUP(B711,INDIRECT($F$8),6+(O722-1)*3)),11),IF(0.3*S722-VLOOKUP(B711,INDIRECT($F$8),6+(O722-1)*3)&lt;=5,0.3*S722-VLOOKUP(B711,INDIRECT($F$8),6+(O722-1)*3),11)),IF(VLOOKUP(B711,INDIRECT($F$8),8+(O722-1)*3)&lt;U722*0.4,IF(U722*0.4-VLOOKUP(B711,INDIRECT($F$8),8+(O722-1)*3)&lt;=5,U722*0.4-VLOOKUP(B711,INDIRECT($F$8),8+(O722-1)*3),11),0))))</f>
        <v/>
      </c>
      <c r="X722" s="1" t="str">
        <f ca="1">IF(ISERROR(F711),"",IF(W722=0,"",_xlfn.TEXTJOIN("",FALSE," G+",W722," in ",A722)))</f>
        <v/>
      </c>
    </row>
    <row r="723" spans="1:24" ht="13" customHeight="1" x14ac:dyDescent="0.2">
      <c r="A723" s="7" t="str">
        <f ca="1">IF(ISERROR(F711),"",VLOOKUP(C711,INDIRECT($F$8),6+(O723-1)*3,0))</f>
        <v/>
      </c>
      <c r="B723" s="41" t="str">
        <f ca="1">IF(ISERROR(F711),"",VLOOKUP(D711,INDIRECT($F$8),6+(O723-1)*3-Z723,0))</f>
        <v/>
      </c>
      <c r="C723" s="41"/>
      <c r="D723" s="41"/>
      <c r="E723" s="41"/>
      <c r="F723" s="7" t="str">
        <f ca="1">IF(ISERROR(F711),"",VLOOKUP(E711,INDIRECT($F$8),6+(O723-1)*3,0))</f>
        <v/>
      </c>
      <c r="G723" s="42" t="str">
        <f ca="1">IF(ISERROR(F711),"",_xlfn.TEXTJOIN("/",FALSE,P723,S723))</f>
        <v/>
      </c>
      <c r="H723" s="42"/>
      <c r="I723" s="42" t="str">
        <f ca="1">IF(ISERROR(F711),"",_xlfn.TEXTJOIN("/",FALSE,Q723,T723))</f>
        <v/>
      </c>
      <c r="J723" s="42"/>
      <c r="K723" s="42" t="str">
        <f ca="1">IF(ISERROR(F711),"",_xlfn.TEXTJOIN("/",FALSE,R723,U723))</f>
        <v/>
      </c>
      <c r="L723" s="42"/>
      <c r="M723" s="7" t="str">
        <f ca="1">IF(ISERROR(F711),"",IF(ISTEXT(P723),IF(P723="A","Ab",IF(P723="D","Dt",IF(P723="UFM","UFM",IF(P723="NA","")))),IF(AND(ISBLANK(P723),ISBLANK(R723)),"",IF(P723&lt;0.3*S723,"F",IF(ISBLANK(R723),"",IF(ISTEXT(R723),R723,IF(R723&gt;=0.9*U723,"O",IF(R723&gt;=0.85*U723,"A+",IF(R723&gt;=0.8*U723,"A",IF(R723&gt;=0.7*U723,"B+",IF(R723&gt;=0.6*U723,"B",IF(R723&gt;=0.5*U723,"C",IF(R723&gt;=0.4*U723,"P",IF(R723&lt;0.4*U723,"F",R723))))))))))))))</f>
        <v/>
      </c>
      <c r="N723" s="8" t="str">
        <f t="shared" ca="1" si="74"/>
        <v/>
      </c>
      <c r="O723">
        <f t="shared" si="75"/>
        <v>8</v>
      </c>
      <c r="P723" s="1" t="str">
        <f ca="1">IF(ISERROR(F711),"",IF(ISTEXT(VLOOKUP(B711,INDIRECT($F$8),6+(O723-1)*3)),(VLOOKUP(B711,INDIRECT($F$8),6+(O723-1)*3)),SUM(VLOOKUP(B711,INDIRECT($F$8),6+(O723-1)*3),IF(W726,W723,0))))</f>
        <v/>
      </c>
      <c r="Q723" s="1" t="str">
        <f ca="1">IF(ISERROR(F711),"",VLOOKUP(B711,INDIRECT($F$8),7+(O723-1)*3))</f>
        <v/>
      </c>
      <c r="R723" s="1" t="str">
        <f ca="1">IF(ISERROR(F711),"",SUM(P723:Q723))</f>
        <v/>
      </c>
      <c r="S723" s="1" t="str">
        <f ca="1">IF(ISERROR(F711),"",VLOOKUP(A711,INDIRECT($F$8),6+(O723-1)*3))</f>
        <v/>
      </c>
      <c r="T723" s="1" t="str">
        <f ca="1">IF(ISERROR(F711),"",VLOOKUP(A711,INDIRECT($F$8),7+(O723-1)*3))</f>
        <v/>
      </c>
      <c r="U723" s="1" t="str">
        <f ca="1">IF(ISERROR(F711),"",VLOOKUP(A711,INDIRECT($F$8),8+(O723-1)*3))</f>
        <v/>
      </c>
      <c r="V723" s="1" t="str">
        <f ca="1">IF(ISERROR(F711),"",IF(N723=0,A723,""))</f>
        <v/>
      </c>
      <c r="W723" s="1" t="str">
        <f ca="1">IF(ISERROR(F711),"",IF(ISTEXT(VLOOKUP(B711,INDIRECT($F$8),6+(O723-1)*3)),11,IF(VLOOKUP(B711,INDIRECT($F$8),6+(O723-1)*3)&lt;S723*0.3,IF(VLOOKUP(B711,INDIRECT($F$8),8+(O723-1)*3)&lt;U723*0.4,IF(AND(0.4*U723-VLOOKUP(B711,INDIRECT($F$8),8+(O723-1)*3)&lt;=5,0.3*S723-VLOOKUP(B711,INDIRECT($F$8),6+(O723-1)*3)&lt;=5),MAX(0.4*U723-VLOOKUP(B711,INDIRECT($F$8),8+(O723-1)*3),0.3*S723-VLOOKUP(B711,INDIRECT($F$8),6+(O723-1)*3)),11),IF(0.3*S723-VLOOKUP(B711,INDIRECT($F$8),6+(O723-1)*3)&lt;=5,0.3*S723-VLOOKUP(B711,INDIRECT($F$8),6+(O723-1)*3),11)),IF(VLOOKUP(B711,INDIRECT($F$8),8+(O723-1)*3)&lt;U723*0.4,IF(U723*0.4-VLOOKUP(B711,INDIRECT($F$8),8+(O723-1)*3)&lt;=5,U723*0.4-VLOOKUP(B711,INDIRECT($F$8),8+(O723-1)*3),11),0))))</f>
        <v/>
      </c>
      <c r="X723" s="1" t="str">
        <f ca="1">IF(ISERROR(F711),"",IF(W723=0,"",_xlfn.TEXTJOIN("",FALSE," G+",W723," in ",A723)))</f>
        <v/>
      </c>
    </row>
    <row r="724" spans="1:24" ht="13" customHeight="1" x14ac:dyDescent="0.2">
      <c r="A724" s="7" t="str">
        <f ca="1">IF(ISERROR(F711),"",VLOOKUP(C711,INDIRECT($F$8),6+(O724-1)*3,0))</f>
        <v/>
      </c>
      <c r="B724" s="41" t="str">
        <f ca="1">IF(ISERROR(F711),"",VLOOKUP(D711,INDIRECT($F$8),6+(O724-1)*3-Z724,0))</f>
        <v/>
      </c>
      <c r="C724" s="41"/>
      <c r="D724" s="41"/>
      <c r="E724" s="41"/>
      <c r="F724" s="7" t="str">
        <f ca="1">IF(ISERROR(F711),"",VLOOKUP(E711,INDIRECT($F$8),6+(O724-1)*3,0))</f>
        <v/>
      </c>
      <c r="G724" s="42" t="str">
        <f ca="1">IF(ISERROR(F711),"",_xlfn.TEXTJOIN("/",FALSE,P724,S724))</f>
        <v/>
      </c>
      <c r="H724" s="42"/>
      <c r="I724" s="42" t="str">
        <f ca="1">IF(ISERROR(F711),"",_xlfn.TEXTJOIN("/",FALSE,Q724,T724))</f>
        <v/>
      </c>
      <c r="J724" s="42"/>
      <c r="K724" s="42" t="str">
        <f ca="1">IF(ISERROR(F711),"",_xlfn.TEXTJOIN("/",FALSE,R724,U724))</f>
        <v/>
      </c>
      <c r="L724" s="42"/>
      <c r="M724" s="7" t="str">
        <f ca="1">IF(ISERROR(F711),"",IF(ISTEXT(P724),IF(P724="A","Ab",IF(P724="D","Dt",IF(P724="UFM","UFM",IF(P724="NA","")))),IF(AND(ISBLANK(P724),ISBLANK(R724)),"",IF(P724&lt;0.3*S724,"F",IF(ISBLANK(R724),"",IF(ISTEXT(R724),R724,IF(R724&gt;=0.9*U724,"O",IF(R724&gt;=0.85*U724,"A+",IF(R724&gt;=0.8*U724,"A",IF(R724&gt;=0.7*U724,"B+",IF(R724&gt;=0.6*U724,"B",IF(R724&gt;=0.5*U724,"C",IF(R724&gt;=0.4*U724,"P",IF(R724&lt;0.4*U724,"F",R724))))))))))))))</f>
        <v/>
      </c>
      <c r="N724" s="8" t="str">
        <f t="shared" ca="1" si="74"/>
        <v/>
      </c>
      <c r="O724">
        <f t="shared" si="75"/>
        <v>9</v>
      </c>
      <c r="P724" s="1" t="str">
        <f ca="1">IF(ISERROR(F711),"",IF(ISTEXT(VLOOKUP(B711,INDIRECT($F$8),6+(O724-1)*3)),(VLOOKUP(B711,INDIRECT($F$8),6+(O724-1)*3)),SUM(VLOOKUP(B711,INDIRECT($F$8),6+(O724-1)*3),IF(W726,W724,0))))</f>
        <v/>
      </c>
      <c r="Q724" s="1" t="str">
        <f ca="1">IF(ISERROR(F711),"",VLOOKUP(B711,INDIRECT($F$8),7+(O724-1)*3))</f>
        <v/>
      </c>
      <c r="R724" s="1" t="str">
        <f ca="1">IF(ISERROR(F711),"",SUM(P724:Q724))</f>
        <v/>
      </c>
      <c r="S724" s="1" t="str">
        <f ca="1">IF(ISERROR(F711),"",VLOOKUP(A711,INDIRECT($F$8),6+(O724-1)*3))</f>
        <v/>
      </c>
      <c r="T724" s="1" t="str">
        <f ca="1">IF(ISERROR(F711),"",VLOOKUP(A711,INDIRECT($F$8),7+(O724-1)*3))</f>
        <v/>
      </c>
      <c r="U724" s="1" t="str">
        <f ca="1">IF(ISERROR(F711),"",VLOOKUP(A711,INDIRECT($F$8),8+(O724-1)*3))</f>
        <v/>
      </c>
      <c r="V724" s="1" t="str">
        <f ca="1">IF(ISERROR(F711),"",IF(N724=0,A724,""))</f>
        <v/>
      </c>
      <c r="W724" s="1" t="str">
        <f ca="1">IF(ISERROR(F711),"",IF(ISTEXT(VLOOKUP(B711,INDIRECT($F$8),6+(O724-1)*3)),11,IF(VLOOKUP(B711,INDIRECT($F$8),6+(O724-1)*3)&lt;S724*0.3,IF(VLOOKUP(B711,INDIRECT($F$8),8+(O724-1)*3)&lt;U724*0.4,IF(AND(0.4*U724-VLOOKUP(B711,INDIRECT($F$8),8+(O724-1)*3)&lt;=5,0.3*S724-VLOOKUP(B711,INDIRECT($F$8),6+(O724-1)*3)&lt;=5),MAX(0.4*U724-VLOOKUP(B711,INDIRECT($F$8),8+(O724-1)*3),0.3*S724-VLOOKUP(B711,INDIRECT($F$8),6+(O724-1)*3)),11),IF(0.3*S724-VLOOKUP(B711,INDIRECT($F$8),6+(O724-1)*3)&lt;=5,0.3*S724-VLOOKUP(B711,INDIRECT($F$8),6+(O724-1)*3),11)),IF(VLOOKUP(B711,INDIRECT($F$8),8+(O724-1)*3)&lt;U724*0.4,IF(U724*0.4-VLOOKUP(B711,INDIRECT($F$8),8+(O724-1)*3)&lt;=5,U724*0.4-VLOOKUP(B711,INDIRECT($F$8),8+(O724-1)*3),11),0))))</f>
        <v/>
      </c>
      <c r="X724" s="1" t="str">
        <f ca="1">IF(ISERROR(F711),"",IF(W724=0,"",_xlfn.TEXTJOIN("",FALSE," G+",W724," in ",A724)))</f>
        <v/>
      </c>
    </row>
    <row r="725" spans="1:24" ht="13" customHeight="1" x14ac:dyDescent="0.2">
      <c r="A725" s="7" t="str">
        <f ca="1">IF(ISERROR(F711),"",VLOOKUP(C711,INDIRECT($F$8),6+(O725-1)*3,0))</f>
        <v/>
      </c>
      <c r="B725" s="41" t="str">
        <f ca="1">IF(ISERROR(F711),"",VLOOKUP(D711,INDIRECT($F$8),6+(O725-1)*3,0))</f>
        <v/>
      </c>
      <c r="C725" s="41"/>
      <c r="D725" s="41"/>
      <c r="E725" s="41"/>
      <c r="F725" s="7" t="str">
        <f ca="1">IF(ISERROR(F711),"",VLOOKUP(E711,INDIRECT($F$8),6+(O725-1)*3,0))</f>
        <v/>
      </c>
      <c r="G725" s="42" t="str">
        <f ca="1">IF(ISERROR(F711),"",_xlfn.TEXTJOIN("/",FALSE,P725,S725))</f>
        <v/>
      </c>
      <c r="H725" s="42"/>
      <c r="I725" s="42" t="str">
        <f ca="1">IF(ISERROR(F711),"",_xlfn.TEXTJOIN("/",FALSE,Q725,T725))</f>
        <v/>
      </c>
      <c r="J725" s="42"/>
      <c r="K725" s="42" t="str">
        <f ca="1">IF(ISERROR(F711),"",_xlfn.TEXTJOIN("/",FALSE,R725,U725))</f>
        <v/>
      </c>
      <c r="L725" s="42"/>
      <c r="M725" s="7" t="str">
        <f ca="1">IF(ISERROR(F711),"",IF(ISTEXT(P725),IF(P725="A","Ab",IF(P725="D","Dt",IF(P725="UFM","UFM",IF(P725="NA","")))),IF(AND(ISBLANK(P725),ISBLANK(R725)),"",IF(P725&lt;0.3*S725,"F",IF(ISBLANK(R725),"",IF(ISTEXT(R725),R725,IF(R725&gt;=0.9*U725,"O",IF(R725&gt;=0.85*U725,"A+",IF(R725&gt;=0.8*U725,"A",IF(R725&gt;=0.7*U725,"B+",IF(R725&gt;=0.6*U725,"B",IF(R725&gt;=0.5*U725,"C",IF(R725&gt;=0.4*U725,"P",IF(R725&lt;0.4*U725,"F",R725))))))))))))))</f>
        <v/>
      </c>
      <c r="N725" s="8" t="str">
        <f t="shared" ca="1" si="74"/>
        <v/>
      </c>
      <c r="O725">
        <f t="shared" si="75"/>
        <v>10</v>
      </c>
      <c r="P725" s="1" t="str">
        <f ca="1">IF(ISERROR(F711),"",IF(ISTEXT(VLOOKUP(B711,INDIRECT($F$8),6+(O725-1)*3)),(VLOOKUP(B711,INDIRECT($F$8),6+(O725-1)*3)),SUM(VLOOKUP(B711,INDIRECT($F$8),6+(O725-1)*3),IF(W726,W725,0))))</f>
        <v/>
      </c>
      <c r="Q725" s="1" t="str">
        <f ca="1">IF(ISERROR(F711),"",VLOOKUP(B711,INDIRECT($F$8),7+(O725-1)*3))</f>
        <v/>
      </c>
      <c r="R725" s="1" t="str">
        <f ca="1">IF(ISERROR(F711),"",SUM(P725:Q725))</f>
        <v/>
      </c>
      <c r="S725" s="1" t="str">
        <f ca="1">IF(ISERROR(F711),"",VLOOKUP(A711,INDIRECT($F$8),6+(O725-1)*3))</f>
        <v/>
      </c>
      <c r="T725" s="1" t="str">
        <f ca="1">IF(ISERROR(F711),"",VLOOKUP(A711,INDIRECT($F$8),7+(O725-1)*3))</f>
        <v/>
      </c>
      <c r="U725" s="1" t="str">
        <f ca="1">IF(ISERROR(F711),"",VLOOKUP(A711,INDIRECT($F$8),8+(O725-1)*3))</f>
        <v/>
      </c>
      <c r="V725" s="1" t="str">
        <f ca="1">IF(ISERROR(F711),"",IF(N725=0,A725,""))</f>
        <v/>
      </c>
      <c r="W725" s="1" t="str">
        <f ca="1">IF(ISERROR(F711),"",IF(ISTEXT(VLOOKUP(B711,INDIRECT($F$8),6+(O725-1)*3)),11,IF(VLOOKUP(B711,INDIRECT($F$8),6+(O725-1)*3)&lt;S725*0.3,IF(VLOOKUP(B711,INDIRECT($F$8),8+(O725-1)*3)&lt;U725*0.4,IF(AND(0.4*U725-VLOOKUP(B711,INDIRECT($F$8),8+(O725-1)*3)&lt;=5,0.3*S725-VLOOKUP(B711,INDIRECT($F$8),6+(O725-1)*3)&lt;=5),MAX(0.4*U725-VLOOKUP(B711,INDIRECT($F$8),8+(O725-1)*3),0.3*S725-VLOOKUP(B711,INDIRECT($F$8),6+(O725-1)*3)),11),IF(0.3*S725-VLOOKUP(B711,INDIRECT($F$8),6+(O725-1)*3)&lt;=5,0.3*S725-VLOOKUP(B711,INDIRECT($F$8),6+(O725-1)*3),11)),IF(VLOOKUP(B711,INDIRECT($F$8),8+(O725-1)*3)&lt;U725*0.4,IF(U725*0.4-VLOOKUP(B711,INDIRECT($F$8),8+(O725-1)*3)&lt;=5,U725*0.4-VLOOKUP(B711,INDIRECT($F$8),8+(O725-1)*3),11),0))))</f>
        <v/>
      </c>
      <c r="X725" s="1" t="str">
        <f ca="1">IF(ISERROR(F711),"",IF(W725=0,"",_xlfn.TEXTJOIN("",FALSE," G+",W725," in ",A725)))</f>
        <v/>
      </c>
    </row>
    <row r="726" spans="1:24" ht="13" customHeight="1" x14ac:dyDescent="0.2">
      <c r="A726" s="43" t="str">
        <f ca="1">IF(ISERROR(F711),"",A707)</f>
        <v/>
      </c>
      <c r="B726" s="43"/>
      <c r="C726" s="43"/>
      <c r="D726" s="43"/>
      <c r="E726" s="43"/>
      <c r="F726" s="10" t="str">
        <f ca="1">IF(ISERROR(F711),"",SUM(F716:F725))</f>
        <v/>
      </c>
      <c r="G726" s="44" t="str">
        <f ca="1">IF(ISERROR(F711),"",_xlfn.TEXTJOIN("/",TRUE,SUMIF(F716:F725,"&gt;0",P716:P725),SUMIF(F716:F725,"&gt;0",S716:S725)))</f>
        <v/>
      </c>
      <c r="H726" s="44"/>
      <c r="I726" s="44" t="str">
        <f ca="1">IF(ISERROR(F711),"",_xlfn.TEXTJOIN("/",TRUE,SUMIF(F716:F725,"&gt;0",Q716:Q725),SUMIF(F716:F725,"&gt;0",T716:T725)))</f>
        <v/>
      </c>
      <c r="J726" s="44"/>
      <c r="K726" s="44" t="str">
        <f ca="1">IF(ISERROR(F711),"",_xlfn.TEXTJOIN("/",TRUE,SUMIF(F716:F725,"&gt;0",R716:R725),SUMIF(F716:F725,"&gt;0",U716:U725)))</f>
        <v/>
      </c>
      <c r="L726" s="44"/>
      <c r="M726" s="43" t="str">
        <f ca="1">IF(ISERROR(F711),"",SUMPRODUCT(N716:N725,F716:F725))</f>
        <v/>
      </c>
      <c r="N726" s="43"/>
      <c r="V726" s="1" t="str">
        <f ca="1">IF(ISERROR(F711),"",_xlfn.TEXTJOIN(", ",TRUE,V716:V725))</f>
        <v/>
      </c>
      <c r="W726" t="str">
        <f ca="1">IF(ISERROR(F711),"",IF(SUM(W716:W725)&lt;=W715,TRUE,FALSE))</f>
        <v/>
      </c>
      <c r="X726" s="1" t="str">
        <f ca="1">IF(ISERROR(F711),"",_xlfn.TEXTJOIN(",",TRUE,X716:X725))</f>
        <v/>
      </c>
    </row>
    <row r="727" spans="1:24" ht="13" customHeight="1" x14ac:dyDescent="0.2">
      <c r="A727" s="43" t="str">
        <f ca="1">IF(ISERROR(F711),"",A708)</f>
        <v/>
      </c>
      <c r="B727" s="45" t="str">
        <f ca="1">IF(ISERROR(F711),"",IF(V726="","PASS","CARRY OVER"))</f>
        <v/>
      </c>
      <c r="C727" s="45"/>
      <c r="D727" s="43" t="str">
        <f ca="1">IF(ISERROR(F711),"",D708)</f>
        <v/>
      </c>
      <c r="E727" s="45" t="str">
        <f ca="1">IF(ISERROR(F711),"",IF(V726="",IF(X726="","",X726),_xlfn.TEXTJOIN(" ",TRUE,"BACK IN",V726)))</f>
        <v/>
      </c>
      <c r="F727" s="45"/>
      <c r="G727" s="43" t="str">
        <f ca="1">IF(ISERROR(F711),"",G708)</f>
        <v/>
      </c>
      <c r="H727" s="46" t="str">
        <f ca="1">IF(ISERROR(F711),"",M726/F726)</f>
        <v/>
      </c>
      <c r="I727" s="43" t="str">
        <f ca="1">IF(ISERROR(F711),"",I708)</f>
        <v/>
      </c>
      <c r="J727" s="46" t="str">
        <f ca="1">IF(ISERROR(F711),"",VLOOKUP(B711,INDIRECT($F$8),12+(O725-1)*3,0))</f>
        <v/>
      </c>
      <c r="K727" s="45" t="str">
        <f ca="1">IF(ISERROR(F711),"",K708)</f>
        <v/>
      </c>
      <c r="L727" s="43" t="str">
        <f ca="1">IF(ISERROR(F711),"",SUMIF(N716:N725,"&gt;0",F716:F725))</f>
        <v/>
      </c>
      <c r="M727" s="45" t="str">
        <f ca="1">IF(ISERROR(F711),"",M708)</f>
        <v/>
      </c>
      <c r="N727" s="43" t="str">
        <f ca="1">IF(ISERROR(F711),"",VLOOKUP(B711,INDIRECT($F$8),10+(O725-1)*3,0))</f>
        <v/>
      </c>
    </row>
    <row r="728" spans="1:24" ht="13" customHeight="1" x14ac:dyDescent="0.2">
      <c r="A728" s="43"/>
      <c r="B728" s="45"/>
      <c r="C728" s="45"/>
      <c r="D728" s="43"/>
      <c r="E728" s="45"/>
      <c r="F728" s="45"/>
      <c r="G728" s="43"/>
      <c r="H728" s="46"/>
      <c r="I728" s="43"/>
      <c r="J728" s="46"/>
      <c r="K728" s="45"/>
      <c r="L728" s="43"/>
      <c r="M728" s="45"/>
      <c r="N728" s="43"/>
    </row>
    <row r="729" spans="1:24" ht="13" customHeight="1" x14ac:dyDescent="0.2">
      <c r="A729" s="43"/>
      <c r="B729" s="45"/>
      <c r="C729" s="45"/>
      <c r="D729" s="43"/>
      <c r="E729" s="45"/>
      <c r="F729" s="45"/>
      <c r="G729" s="43"/>
      <c r="H729" s="46"/>
      <c r="I729" s="43"/>
      <c r="J729" s="46"/>
      <c r="K729" s="45"/>
      <c r="L729" s="43"/>
      <c r="M729" s="45"/>
      <c r="N729" s="43"/>
    </row>
    <row r="730" spans="1:24" ht="13" customHeight="1" x14ac:dyDescent="0.2">
      <c r="A730" s="11" t="str">
        <f>A711</f>
        <v>MM</v>
      </c>
      <c r="B730" s="11">
        <f>B711+1</f>
        <v>39</v>
      </c>
      <c r="C730" s="11" t="str">
        <f>C711</f>
        <v>SC</v>
      </c>
      <c r="D730" s="11" t="str">
        <f>D711</f>
        <v>SN</v>
      </c>
      <c r="E730" s="11" t="str">
        <f>E711</f>
        <v>C</v>
      </c>
      <c r="F730" s="11" t="e">
        <f ca="1">VLOOKUP(B730,INDIRECT($F$8),4,0)</f>
        <v>#N/A</v>
      </c>
    </row>
    <row r="731" spans="1:24" ht="13" customHeight="1" x14ac:dyDescent="0.2">
      <c r="A731" s="47" t="str">
        <f ca="1">IF(ISERROR(F730),"",A712)</f>
        <v/>
      </c>
      <c r="B731" s="47" t="str">
        <f ca="1">IFERROR(VLOOKUP(B730,INDIRECT($F$8),4,0),"")</f>
        <v/>
      </c>
      <c r="C731" s="47"/>
      <c r="D731" s="47" t="str">
        <f ca="1">IF(ISERROR(F730),"",D712)</f>
        <v/>
      </c>
      <c r="E731" s="47" t="str">
        <f ca="1">IFERROR(VLOOKUP(B730,INDIRECT($F$8),5,0),"")</f>
        <v/>
      </c>
      <c r="F731" s="47"/>
      <c r="G731" s="47" t="str">
        <f ca="1">IF(ISERROR(F730),"",G712)</f>
        <v/>
      </c>
      <c r="H731" s="47"/>
      <c r="I731" s="48" t="str">
        <f ca="1">IFERROR(VLOOKUP(B730,INDIRECT($F$8),2,0),"")</f>
        <v/>
      </c>
      <c r="J731" s="48"/>
      <c r="K731" s="47" t="str">
        <f ca="1">IF(ISERROR(F730),"",K712)</f>
        <v/>
      </c>
      <c r="L731" s="47"/>
      <c r="M731" s="48" t="str">
        <f ca="1">IFERROR(VLOOKUP(B730,INDIRECT($F$8),3,0),"")</f>
        <v/>
      </c>
      <c r="N731" s="48"/>
    </row>
    <row r="732" spans="1:24" ht="13" customHeight="1" x14ac:dyDescent="0.2">
      <c r="A732" s="47"/>
      <c r="B732" s="47"/>
      <c r="C732" s="47"/>
      <c r="D732" s="47"/>
      <c r="E732" s="47"/>
      <c r="F732" s="47"/>
      <c r="G732" s="47"/>
      <c r="H732" s="47"/>
      <c r="I732" s="48"/>
      <c r="J732" s="48"/>
      <c r="K732" s="47"/>
      <c r="L732" s="47"/>
      <c r="M732" s="48"/>
      <c r="N732" s="48"/>
    </row>
    <row r="733" spans="1:24" ht="13" customHeight="1" x14ac:dyDescent="0.2">
      <c r="A733" s="45" t="str">
        <f ca="1">IF(ISERROR(F730),"",A714)</f>
        <v/>
      </c>
      <c r="B733" s="45" t="str">
        <f ca="1">IF(ISERROR(F730),"",B714)</f>
        <v/>
      </c>
      <c r="C733" s="45"/>
      <c r="D733" s="45"/>
      <c r="E733" s="45"/>
      <c r="F733" s="45" t="str">
        <f ca="1">IF(ISERROR(F730),"",F714)</f>
        <v/>
      </c>
      <c r="G733" s="45" t="str">
        <f ca="1">IF(ISERROR(F730),"",G714)</f>
        <v/>
      </c>
      <c r="H733" s="45"/>
      <c r="I733" s="45" t="str">
        <f ca="1">IF(ISERROR(F730),"",I714)</f>
        <v/>
      </c>
      <c r="J733" s="45"/>
      <c r="K733" s="45" t="str">
        <f ca="1">IF(ISERROR(F730),"",K714)</f>
        <v/>
      </c>
      <c r="L733" s="45"/>
      <c r="M733" s="45" t="str">
        <f ca="1">IF(ISERROR(F730),"",M714)</f>
        <v/>
      </c>
      <c r="N733" s="45" t="str">
        <f ca="1">IF(ISERROR(F730),"",N714)</f>
        <v/>
      </c>
    </row>
    <row r="734" spans="1:24" ht="13" customHeight="1" x14ac:dyDescent="0.2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W734" t="e">
        <f ca="1">IF(ISNUMBER(MATCH($F$8,{"I","III","V","VII"},0)),10,10-INDEX(INDIRECT(_xlfn.TEXTJOIN("",TRUE,"SEM_",$G$8,"!",ADDRESS(6,4+$I$8*3+4),":",ADDRESS(5+$H$8,4+$I$8*3+4))),MATCH(INDIRECT(_xlfn.TEXTJOIN("",TRUE,"TC_",$F$8,"!",ADDRESS(ROW(I731),COLUMN(I731)))),INDIRECT(_xlfn.TEXTJOIN("",TRUE,"SEM_",$G$8,"!",ADDRESS(6,2),":",ADDRESS(5+$H$8,2))))))</f>
        <v>#N/A</v>
      </c>
    </row>
    <row r="735" spans="1:24" ht="13" customHeight="1" x14ac:dyDescent="0.2">
      <c r="A735" s="7" t="str">
        <f ca="1">IF(ISERROR(F730),"",VLOOKUP(C730,INDIRECT($F$8),6+(O735-1)*3,0))</f>
        <v/>
      </c>
      <c r="B735" s="41" t="str">
        <f ca="1">IF(ISERROR(F730),"",VLOOKUP(D730,INDIRECT($F$8),6+(O735-1)*3,0))</f>
        <v/>
      </c>
      <c r="C735" s="41"/>
      <c r="D735" s="41"/>
      <c r="E735" s="41"/>
      <c r="F735" s="7" t="str">
        <f ca="1">IF(ISERROR(F730),"",VLOOKUP(E730,INDIRECT($F$8),6+(O735-1)*3,0))</f>
        <v/>
      </c>
      <c r="G735" s="42" t="str">
        <f ca="1">IF(ISERROR(F730),"",_xlfn.TEXTJOIN("/",FALSE,P735,S735))</f>
        <v/>
      </c>
      <c r="H735" s="42"/>
      <c r="I735" s="42" t="str">
        <f ca="1">IF(ISERROR(F730),"",_xlfn.TEXTJOIN("/",FALSE,Q735,T735))</f>
        <v/>
      </c>
      <c r="J735" s="42"/>
      <c r="K735" s="42" t="str">
        <f ca="1">IF(ISERROR(F730),"",_xlfn.TEXTJOIN("/",FALSE,R735,U735))</f>
        <v/>
      </c>
      <c r="L735" s="42"/>
      <c r="M735" s="7" t="str">
        <f ca="1">IF(ISERROR(F730),"",IF(ISTEXT(P735),IF(P735="A","Ab",IF(P735="D","Dt",IF(P735="UFM","UFM",IF(P735="NA","")))),IF(AND(ISBLANK(P735),ISBLANK(R735)),"",IF(P735&lt;0.3*S735,"F",IF(ISBLANK(R735),"",IF(ISTEXT(R735),R735,IF(R735&gt;=0.9*U735,"O",IF(R735&gt;=0.85*U735,"A+",IF(R735&gt;=0.8*U735,"A",IF(R735&gt;=0.7*U735,"B+",IF(R735&gt;=0.6*U735,"B",IF(R735&gt;=0.5*U735,"C",IF(R735&gt;=0.4*U735,"P",IF(R735&lt;0.4*U735,"F",R735))))))))))))))</f>
        <v/>
      </c>
      <c r="N735" s="8" t="str">
        <f t="shared" ref="N735:N744" ca="1" si="76">INDEX($Z$2:$Z$13,MATCH(M735,$Y$2:$Y$13,0))</f>
        <v/>
      </c>
      <c r="O735">
        <v>1</v>
      </c>
      <c r="P735" s="1" t="str">
        <f ca="1">IF(ISERROR(F730),"",IF(ISTEXT(VLOOKUP(B730,INDIRECT($F$8),6+(O735-1)*3)),(VLOOKUP(B730,INDIRECT($F$8),6+(O735-1)*3)),SUM(VLOOKUP(B730,INDIRECT($F$8),6+(O735-1)*3),IF(W745,W735,0))))</f>
        <v/>
      </c>
      <c r="Q735" s="1" t="str">
        <f ca="1">IF(ISERROR(F730),"",VLOOKUP(B730,INDIRECT($F$8),7+(O735-1)*3))</f>
        <v/>
      </c>
      <c r="R735" s="1" t="str">
        <f ca="1">IF(ISERROR(F730),"",SUM(P735:Q735))</f>
        <v/>
      </c>
      <c r="S735" s="1" t="str">
        <f ca="1">IF(ISERROR(F730),"",VLOOKUP(A730,INDIRECT($F$8),6+(O735-1)*3))</f>
        <v/>
      </c>
      <c r="T735" s="1" t="str">
        <f ca="1">IF(ISERROR(F730),"",VLOOKUP(A730,INDIRECT($F$8),7+(O735-1)*3))</f>
        <v/>
      </c>
      <c r="U735" s="1" t="str">
        <f ca="1">IF(ISERROR(F730),"",VLOOKUP(A730,INDIRECT($F$8),8+(O735-1)*3))</f>
        <v/>
      </c>
      <c r="V735" s="1" t="str">
        <f ca="1">IF(ISERROR(F730),"",IF(N735=0,A735,""))</f>
        <v/>
      </c>
      <c r="W735" s="1" t="str">
        <f ca="1">IF(ISERROR(F730),"",IF(ISTEXT(VLOOKUP(B730,INDIRECT($F$8),6+(O735-1)*3)),11,IF(VLOOKUP(B730,INDIRECT($F$8),6+(O735-1)*3)&lt;S735*0.3,IF(VLOOKUP(B730,INDIRECT($F$8),8+(O735-1)*3)&lt;U735*0.4,IF(AND(0.4*U735-VLOOKUP(B730,INDIRECT($F$8),8+(O735-1)*3)&lt;=5,0.3*S735-VLOOKUP(B730,INDIRECT($F$8),6+(O735-1)*3)&lt;=5),MAX(0.4*U735-VLOOKUP(B730,INDIRECT($F$8),8+(O735-1)*3),0.3*S735-VLOOKUP(B730,INDIRECT($F$8),6+(O735-1)*3)),11),IF(0.3*S735-VLOOKUP(B730,INDIRECT($F$8),6+(O735-1)*3)&lt;=5,0.3*S735-VLOOKUP(B730,INDIRECT($F$8),6+(O735-1)*3),11)),IF(VLOOKUP(B730,INDIRECT($F$8),8+(O735-1)*3)&lt;U735*0.4,IF(U735*0.4-VLOOKUP(B730,INDIRECT($F$8),8+(O735-1)*3)&lt;=5,U735*0.4-VLOOKUP(B730,INDIRECT($F$8),8+(O735-1)*3),11),0))))</f>
        <v/>
      </c>
      <c r="X735" s="1" t="str">
        <f ca="1">IF(ISERROR(F730),"",IF(W735=0,"",_xlfn.TEXTJOIN("",FALSE," G+",W735," in ",A735)))</f>
        <v/>
      </c>
    </row>
    <row r="736" spans="1:24" ht="13" customHeight="1" x14ac:dyDescent="0.2">
      <c r="A736" s="7" t="str">
        <f ca="1">IF(ISERROR(F730),"",VLOOKUP(C730,INDIRECT($F$8),6+(O736-1)*3,0))</f>
        <v/>
      </c>
      <c r="B736" s="41" t="str">
        <f ca="1">IF(ISERROR(F730),"",VLOOKUP(D730,INDIRECT($F$8),6+(O736-1)*3,0))</f>
        <v/>
      </c>
      <c r="C736" s="41"/>
      <c r="D736" s="41"/>
      <c r="E736" s="41"/>
      <c r="F736" s="7" t="str">
        <f ca="1">IF(ISERROR(F730),"",VLOOKUP(E730,INDIRECT($F$8),6+(O736-1)*3,0))</f>
        <v/>
      </c>
      <c r="G736" s="42" t="str">
        <f ca="1">IF(ISERROR(F730),"",_xlfn.TEXTJOIN("/",FALSE,P736,S736))</f>
        <v/>
      </c>
      <c r="H736" s="42"/>
      <c r="I736" s="42" t="str">
        <f ca="1">IF(ISERROR(F730),"",_xlfn.TEXTJOIN("/",FALSE,Q736,T736))</f>
        <v/>
      </c>
      <c r="J736" s="42"/>
      <c r="K736" s="42" t="str">
        <f ca="1">IF(ISERROR(F730),"",_xlfn.TEXTJOIN("/",FALSE,R736,U736))</f>
        <v/>
      </c>
      <c r="L736" s="42"/>
      <c r="M736" s="7" t="str">
        <f ca="1">IF(ISERROR(F730),"",IF(ISTEXT(P736),IF(P736="A","Ab",IF(P736="D","Dt",IF(P736="UFM","UFM",IF(P736="NA","")))),IF(AND(ISBLANK(P736),ISBLANK(R736)),"",IF(P736&lt;0.3*S736,"F",IF(ISBLANK(R736),"",IF(ISTEXT(R736),R736,IF(R736&gt;=0.9*U736,"O",IF(R736&gt;=0.85*U736,"A+",IF(R736&gt;=0.8*U736,"A",IF(R736&gt;=0.7*U736,"B+",IF(R736&gt;=0.6*U736,"B",IF(R736&gt;=0.5*U736,"C",IF(R736&gt;=0.4*U736,"P",IF(R736&lt;0.4*U736,"F",R736))))))))))))))</f>
        <v/>
      </c>
      <c r="N736" s="8" t="str">
        <f t="shared" ca="1" si="76"/>
        <v/>
      </c>
      <c r="O736">
        <f>O735+1</f>
        <v>2</v>
      </c>
      <c r="P736" s="1" t="str">
        <f ca="1">IF(ISERROR(F730),"",IF(ISTEXT(VLOOKUP(B730,INDIRECT($F$8),6+(O736-1)*3)),(VLOOKUP(B730,INDIRECT($F$8),6+(O736-1)*3)),SUM(VLOOKUP(B730,INDIRECT($F$8),6+(O736-1)*3),IF(W745,W736,0))))</f>
        <v/>
      </c>
      <c r="Q736" s="1" t="str">
        <f ca="1">IF(ISERROR(F730),"",VLOOKUP(B730,INDIRECT($F$8),7+(O736-1)*3))</f>
        <v/>
      </c>
      <c r="R736" s="1" t="str">
        <f ca="1">IF(ISERROR(F730),"",SUM(P736:Q736))</f>
        <v/>
      </c>
      <c r="S736" s="1" t="str">
        <f ca="1">IF(ISERROR(F730),"",VLOOKUP(A730,INDIRECT($F$8),6+(O736-1)*3))</f>
        <v/>
      </c>
      <c r="T736" s="1" t="str">
        <f ca="1">IF(ISERROR(F730),"",VLOOKUP(A730,INDIRECT($F$8),7+(O736-1)*3))</f>
        <v/>
      </c>
      <c r="U736" s="1" t="str">
        <f ca="1">IF(ISERROR(F730),"",VLOOKUP(A730,INDIRECT($F$8),8+(O736-1)*3))</f>
        <v/>
      </c>
      <c r="V736" s="1" t="str">
        <f ca="1">IF(ISERROR(F730),"",IF(N736=0,A736,""))</f>
        <v/>
      </c>
      <c r="W736" s="1" t="str">
        <f ca="1">IF(ISERROR(F730),"",IF(ISTEXT(VLOOKUP(B730,INDIRECT($F$8),6+(O736-1)*3)),11,IF(VLOOKUP(B730,INDIRECT($F$8),6+(O736-1)*3)&lt;S736*0.3,IF(VLOOKUP(B730,INDIRECT($F$8),8+(O736-1)*3)&lt;U736*0.4,IF(AND(0.4*U736-VLOOKUP(B730,INDIRECT($F$8),8+(O736-1)*3)&lt;=5,0.3*S736-VLOOKUP(B730,INDIRECT($F$8),6+(O736-1)*3)&lt;=5),MAX(0.4*U736-VLOOKUP(B730,INDIRECT($F$8),8+(O736-1)*3),0.3*S736-VLOOKUP(B730,INDIRECT($F$8),6+(O736-1)*3)),11),IF(0.3*S736-VLOOKUP(B730,INDIRECT($F$8),6+(O736-1)*3)&lt;=5,0.3*S736-VLOOKUP(B730,INDIRECT($F$8),6+(O736-1)*3),11)),IF(VLOOKUP(B730,INDIRECT($F$8),8+(O736-1)*3)&lt;U736*0.4,IF(U736*0.4-VLOOKUP(B730,INDIRECT($F$8),8+(O736-1)*3)&lt;=5,U736*0.4-VLOOKUP(B730,INDIRECT($F$8),8+(O736-1)*3),11),0))))</f>
        <v/>
      </c>
      <c r="X736" s="1" t="str">
        <f ca="1">IF(ISERROR(F730),"",IF(W736=0,"",_xlfn.TEXTJOIN("",FALSE," G+",W736," in ",A736)))</f>
        <v/>
      </c>
    </row>
    <row r="737" spans="1:24" ht="13" customHeight="1" x14ac:dyDescent="0.2">
      <c r="A737" s="7" t="str">
        <f ca="1">IF(ISERROR(F730),"",VLOOKUP(C730,INDIRECT($F$8),6+(O737-1)*3,0))</f>
        <v/>
      </c>
      <c r="B737" s="41" t="str">
        <f ca="1">IF(ISERROR(F730),"",VLOOKUP(D730,INDIRECT($F$8),6+(O737-1)*3,0))</f>
        <v/>
      </c>
      <c r="C737" s="41"/>
      <c r="D737" s="41"/>
      <c r="E737" s="41"/>
      <c r="F737" s="7" t="str">
        <f ca="1">IF(ISERROR(F730),"",VLOOKUP(E730,INDIRECT($F$8),6+(O737-1)*3,0))</f>
        <v/>
      </c>
      <c r="G737" s="42" t="str">
        <f ca="1">IF(ISERROR(F730),"",_xlfn.TEXTJOIN("/",FALSE,P737,S737))</f>
        <v/>
      </c>
      <c r="H737" s="42"/>
      <c r="I737" s="42" t="str">
        <f ca="1">IF(ISERROR(F730),"",_xlfn.TEXTJOIN("/",FALSE,Q737,T737))</f>
        <v/>
      </c>
      <c r="J737" s="42"/>
      <c r="K737" s="42" t="str">
        <f ca="1">IF(ISERROR(F730),"",_xlfn.TEXTJOIN("/",FALSE,R737,U737))</f>
        <v/>
      </c>
      <c r="L737" s="42"/>
      <c r="M737" s="7" t="str">
        <f ca="1">IF(ISERROR(F730),"",IF(ISTEXT(P737),IF(P737="A","Ab",IF(P737="D","Dt",IF(P737="UFM","UFM",IF(P737="NA","")))),IF(AND(ISBLANK(P737),ISBLANK(R737)),"",IF(P737&lt;0.3*S737,"F",IF(ISBLANK(R737),"",IF(ISTEXT(R737),R737,IF(R737&gt;=0.9*U737,"O",IF(R737&gt;=0.85*U737,"A+",IF(R737&gt;=0.8*U737,"A",IF(R737&gt;=0.7*U737,"B+",IF(R737&gt;=0.6*U737,"B",IF(R737&gt;=0.5*U737,"C",IF(R737&gt;=0.4*U737,"P",IF(R737&lt;0.4*U737,"F",R737))))))))))))))</f>
        <v/>
      </c>
      <c r="N737" s="8" t="str">
        <f t="shared" ca="1" si="76"/>
        <v/>
      </c>
      <c r="O737">
        <f>O736+1</f>
        <v>3</v>
      </c>
      <c r="P737" s="1" t="str">
        <f ca="1">IF(ISERROR(F730),"",IF(ISTEXT(VLOOKUP(B730,INDIRECT($F$8),6+(O737-1)*3)),(VLOOKUP(B730,INDIRECT($F$8),6+(O737-1)*3)),SUM(VLOOKUP(B730,INDIRECT($F$8),6+(O737-1)*3),IF(W745,W737,0))))</f>
        <v/>
      </c>
      <c r="Q737" s="1" t="str">
        <f ca="1">IF(ISERROR(F730),"",VLOOKUP(B730,INDIRECT($F$8),7+(O737-1)*3))</f>
        <v/>
      </c>
      <c r="R737" s="1" t="str">
        <f ca="1">IF(ISERROR(F730),"",SUM(P737:Q737))</f>
        <v/>
      </c>
      <c r="S737" s="1" t="str">
        <f ca="1">IF(ISERROR(F730),"",VLOOKUP(A730,INDIRECT($F$8),6+(O737-1)*3))</f>
        <v/>
      </c>
      <c r="T737" s="1" t="str">
        <f ca="1">IF(ISERROR(F730),"",VLOOKUP(A730,INDIRECT($F$8),7+(O737-1)*3))</f>
        <v/>
      </c>
      <c r="U737" s="1" t="str">
        <f ca="1">IF(ISERROR(F730),"",VLOOKUP(A730,INDIRECT($F$8),8+(O737-1)*3))</f>
        <v/>
      </c>
      <c r="V737" s="1" t="str">
        <f ca="1">IF(ISERROR(F730),"",IF(N737=0,A737,""))</f>
        <v/>
      </c>
      <c r="W737" s="1" t="str">
        <f ca="1">IF(ISERROR(F730),"",IF(ISTEXT(VLOOKUP(B730,INDIRECT($F$8),6+(O737-1)*3)),11,IF(VLOOKUP(B730,INDIRECT($F$8),6+(O737-1)*3)&lt;S737*0.3,IF(VLOOKUP(B730,INDIRECT($F$8),8+(O737-1)*3)&lt;U737*0.4,IF(AND(0.4*U737-VLOOKUP(B730,INDIRECT($F$8),8+(O737-1)*3)&lt;=5,0.3*S737-VLOOKUP(B730,INDIRECT($F$8),6+(O737-1)*3)&lt;=5),MAX(0.4*U737-VLOOKUP(B730,INDIRECT($F$8),8+(O737-1)*3),0.3*S737-VLOOKUP(B730,INDIRECT($F$8),6+(O737-1)*3)),11),IF(0.3*S737-VLOOKUP(B730,INDIRECT($F$8),6+(O737-1)*3)&lt;=5,0.3*S737-VLOOKUP(B730,INDIRECT($F$8),6+(O737-1)*3),11)),IF(VLOOKUP(B730,INDIRECT($F$8),8+(O737-1)*3)&lt;U737*0.4,IF(U737*0.4-VLOOKUP(B730,INDIRECT($F$8),8+(O737-1)*3)&lt;=5,U737*0.4-VLOOKUP(B730,INDIRECT($F$8),8+(O737-1)*3),11),0))))</f>
        <v/>
      </c>
      <c r="X737" s="1" t="str">
        <f ca="1">IF(ISERROR(F730),"",IF(W737=0,"",_xlfn.TEXTJOIN("",FALSE," G+",W737," in ",A737)))</f>
        <v/>
      </c>
    </row>
    <row r="738" spans="1:24" ht="13" customHeight="1" x14ac:dyDescent="0.2">
      <c r="A738" s="7" t="str">
        <f ca="1">IF(ISERROR(F730),"",VLOOKUP(C730,INDIRECT($F$8),6+(O738-1)*3,0))</f>
        <v/>
      </c>
      <c r="B738" s="41" t="str">
        <f ca="1">IF(ISERROR(F730),"",VLOOKUP(D730,INDIRECT($F$8),6+(O738-1)*3,0))</f>
        <v/>
      </c>
      <c r="C738" s="41"/>
      <c r="D738" s="41"/>
      <c r="E738" s="41"/>
      <c r="F738" s="7" t="str">
        <f ca="1">IF(ISERROR(F730),"",VLOOKUP(E730,INDIRECT($F$8),6+(O738-1)*3,0))</f>
        <v/>
      </c>
      <c r="G738" s="42" t="str">
        <f ca="1">IF(ISERROR(F730),"",_xlfn.TEXTJOIN("/",FALSE,P738,S738))</f>
        <v/>
      </c>
      <c r="H738" s="42"/>
      <c r="I738" s="42" t="str">
        <f ca="1">IF(ISERROR(F730),"",_xlfn.TEXTJOIN("/",FALSE,Q738,T738))</f>
        <v/>
      </c>
      <c r="J738" s="42"/>
      <c r="K738" s="42" t="str">
        <f ca="1">IF(ISERROR(F730),"",_xlfn.TEXTJOIN("/",FALSE,R738,U738))</f>
        <v/>
      </c>
      <c r="L738" s="42"/>
      <c r="M738" s="7" t="str">
        <f ca="1">IF(ISERROR(F730),"",IF(ISTEXT(P738),IF(P738="A","Ab",IF(P738="D","Dt",IF(P738="UFM","UFM",IF(P738="NA","")))),IF(AND(ISBLANK(P738),ISBLANK(R738)),"",IF(P738&lt;0.3*S738,"F",IF(ISBLANK(R738),"",IF(ISTEXT(R738),R738,IF(R738&gt;=0.9*U738,"O",IF(R738&gt;=0.85*U738,"A+",IF(R738&gt;=0.8*U738,"A",IF(R738&gt;=0.7*U738,"B+",IF(R738&gt;=0.6*U738,"B",IF(R738&gt;=0.5*U738,"C",IF(R738&gt;=0.4*U738,"P",IF(R738&lt;0.4*U738,"F",R738))))))))))))))</f>
        <v/>
      </c>
      <c r="N738" s="8" t="str">
        <f t="shared" ca="1" si="76"/>
        <v/>
      </c>
      <c r="O738">
        <f t="shared" ref="O738:O744" si="77">O737+1</f>
        <v>4</v>
      </c>
      <c r="P738" s="1" t="str">
        <f ca="1">IF(ISERROR(F730),"",IF(ISTEXT(VLOOKUP(B730,INDIRECT($F$8),6+(O738-1)*3)),(VLOOKUP(B730,INDIRECT($F$8),6+(O738-1)*3)),SUM(VLOOKUP(B730,INDIRECT($F$8),6+(O738-1)*3),IF(W745,W738,0))))</f>
        <v/>
      </c>
      <c r="Q738" s="1" t="str">
        <f ca="1">IF(ISERROR(F730),"",VLOOKUP(B730,INDIRECT($F$8),7+(O738-1)*3))</f>
        <v/>
      </c>
      <c r="R738" s="1" t="str">
        <f ca="1">IF(ISERROR(F730),"",SUM(P738:Q738))</f>
        <v/>
      </c>
      <c r="S738" s="1" t="str">
        <f ca="1">IF(ISERROR(F730),"",VLOOKUP(A730,INDIRECT($F$8),6+(O738-1)*3))</f>
        <v/>
      </c>
      <c r="T738" s="1" t="str">
        <f ca="1">IF(ISERROR(F730),"",VLOOKUP(A730,INDIRECT($F$8),7+(O738-1)*3))</f>
        <v/>
      </c>
      <c r="U738" s="1" t="str">
        <f ca="1">IF(ISERROR(F730),"",VLOOKUP(A730,INDIRECT($F$8),8+(O738-1)*3))</f>
        <v/>
      </c>
      <c r="V738" s="1" t="str">
        <f ca="1">IF(ISERROR(F730),"",IF(N738=0,A738,""))</f>
        <v/>
      </c>
      <c r="W738" s="1" t="str">
        <f ca="1">IF(ISERROR(F730),"",IF(ISTEXT(VLOOKUP(B730,INDIRECT($F$8),6+(O738-1)*3)),11,IF(VLOOKUP(B730,INDIRECT($F$8),6+(O738-1)*3)&lt;S738*0.3,IF(VLOOKUP(B730,INDIRECT($F$8),8+(O738-1)*3)&lt;U738*0.4,IF(AND(0.4*U738-VLOOKUP(B730,INDIRECT($F$8),8+(O738-1)*3)&lt;=5,0.3*S738-VLOOKUP(B730,INDIRECT($F$8),6+(O738-1)*3)&lt;=5),MAX(0.4*U738-VLOOKUP(B730,INDIRECT($F$8),8+(O738-1)*3),0.3*S738-VLOOKUP(B730,INDIRECT($F$8),6+(O738-1)*3)),11),IF(0.3*S738-VLOOKUP(B730,INDIRECT($F$8),6+(O738-1)*3)&lt;=5,0.3*S738-VLOOKUP(B730,INDIRECT($F$8),6+(O738-1)*3),11)),IF(VLOOKUP(B730,INDIRECT($F$8),8+(O738-1)*3)&lt;U738*0.4,IF(U738*0.4-VLOOKUP(B730,INDIRECT($F$8),8+(O738-1)*3)&lt;=5,U738*0.4-VLOOKUP(B730,INDIRECT($F$8),8+(O738-1)*3),11),0))))</f>
        <v/>
      </c>
      <c r="X738" s="1" t="str">
        <f ca="1">IF(ISERROR(F730),"",IF(W738=0,"",_xlfn.TEXTJOIN("",FALSE," G+",W738," in ",A738)))</f>
        <v/>
      </c>
    </row>
    <row r="739" spans="1:24" ht="13" customHeight="1" x14ac:dyDescent="0.2">
      <c r="A739" s="7" t="str">
        <f ca="1">IF(ISERROR(F730),"",VLOOKUP(C730,INDIRECT($F$8),6+(O739-1)*3,0))</f>
        <v/>
      </c>
      <c r="B739" s="41" t="str">
        <f ca="1">IF(ISERROR(F730),"",VLOOKUP(D730,INDIRECT($F$8),6+(O739-1)*3,0))</f>
        <v/>
      </c>
      <c r="C739" s="41"/>
      <c r="D739" s="41"/>
      <c r="E739" s="41"/>
      <c r="F739" s="7" t="str">
        <f ca="1">IF(ISERROR(F730),"",VLOOKUP(E730,INDIRECT($F$8),6+(O739-1)*3,0))</f>
        <v/>
      </c>
      <c r="G739" s="42" t="str">
        <f ca="1">IF(ISERROR(F730),"",_xlfn.TEXTJOIN("/",FALSE,P739,S739))</f>
        <v/>
      </c>
      <c r="H739" s="42"/>
      <c r="I739" s="42" t="str">
        <f ca="1">IF(ISERROR(F730),"",_xlfn.TEXTJOIN("/",FALSE,Q739,T739))</f>
        <v/>
      </c>
      <c r="J739" s="42"/>
      <c r="K739" s="42" t="str">
        <f ca="1">IF(ISERROR(F730),"",_xlfn.TEXTJOIN("/",FALSE,R739,U739))</f>
        <v/>
      </c>
      <c r="L739" s="42"/>
      <c r="M739" s="7" t="str">
        <f ca="1">IF(ISERROR(F730),"",IF(ISTEXT(P739),IF(P739="A","Ab",IF(P739="D","Dt",IF(P739="UFM","UFM",IF(P739="NA","")))),IF(AND(ISBLANK(P739),ISBLANK(R739)),"",IF(P739&lt;0.3*S739,"F",IF(ISBLANK(R739),"",IF(ISTEXT(R739),R739,IF(R739&gt;=0.9*U739,"O",IF(R739&gt;=0.85*U739,"A+",IF(R739&gt;=0.8*U739,"A",IF(R739&gt;=0.7*U739,"B+",IF(R739&gt;=0.6*U739,"B",IF(R739&gt;=0.5*U739,"C",IF(R739&gt;=0.4*U739,"P",IF(R739&lt;0.4*U739,"F",R739))))))))))))))</f>
        <v/>
      </c>
      <c r="N739" s="8" t="str">
        <f t="shared" ca="1" si="76"/>
        <v/>
      </c>
      <c r="O739">
        <f t="shared" si="77"/>
        <v>5</v>
      </c>
      <c r="P739" s="1" t="str">
        <f ca="1">IF(ISERROR(F730),"",IF(ISTEXT(VLOOKUP(B730,INDIRECT($F$8),6+(O739-1)*3)),(VLOOKUP(B730,INDIRECT($F$8),6+(O739-1)*3)),SUM(VLOOKUP(B730,INDIRECT($F$8),6+(O739-1)*3),IF(W745,W739,0))))</f>
        <v/>
      </c>
      <c r="Q739" s="1" t="str">
        <f ca="1">IF(ISERROR(F730),"",VLOOKUP(B730,INDIRECT($F$8),7+(O739-1)*3))</f>
        <v/>
      </c>
      <c r="R739" s="1" t="str">
        <f ca="1">IF(ISERROR(F730),"",SUM(P739:Q739))</f>
        <v/>
      </c>
      <c r="S739" s="1" t="str">
        <f ca="1">IF(ISERROR(F730),"",VLOOKUP(A730,INDIRECT($F$8),6+(O739-1)*3))</f>
        <v/>
      </c>
      <c r="T739" s="1" t="str">
        <f ca="1">IF(ISERROR(F730),"",VLOOKUP(A730,INDIRECT($F$8),7+(O739-1)*3))</f>
        <v/>
      </c>
      <c r="U739" s="1" t="str">
        <f ca="1">IF(ISERROR(F730),"",VLOOKUP(A730,INDIRECT($F$8),8+(O739-1)*3))</f>
        <v/>
      </c>
      <c r="V739" s="1" t="str">
        <f ca="1">IF(ISERROR(F730),"",IF(N739=0,A739,""))</f>
        <v/>
      </c>
      <c r="W739" s="1" t="str">
        <f ca="1">IF(ISERROR(F730),"",IF(ISTEXT(VLOOKUP(B730,INDIRECT($F$8),6+(O739-1)*3)),11,IF(VLOOKUP(B730,INDIRECT($F$8),6+(O739-1)*3)&lt;S739*0.3,IF(VLOOKUP(B730,INDIRECT($F$8),8+(O739-1)*3)&lt;U739*0.4,IF(AND(0.4*U739-VLOOKUP(B730,INDIRECT($F$8),8+(O739-1)*3)&lt;=5,0.3*S739-VLOOKUP(B730,INDIRECT($F$8),6+(O739-1)*3)&lt;=5),MAX(0.4*U739-VLOOKUP(B730,INDIRECT($F$8),8+(O739-1)*3),0.3*S739-VLOOKUP(B730,INDIRECT($F$8),6+(O739-1)*3)),11),IF(0.3*S739-VLOOKUP(B730,INDIRECT($F$8),6+(O739-1)*3)&lt;=5,0.3*S739-VLOOKUP(B730,INDIRECT($F$8),6+(O739-1)*3),11)),IF(VLOOKUP(B730,INDIRECT($F$8),8+(O739-1)*3)&lt;U739*0.4,IF(U739*0.4-VLOOKUP(B730,INDIRECT($F$8),8+(O739-1)*3)&lt;=5,U739*0.4-VLOOKUP(B730,INDIRECT($F$8),8+(O739-1)*3),11),0))))</f>
        <v/>
      </c>
      <c r="X739" s="1" t="str">
        <f ca="1">IF(ISERROR(F730),"",IF(W739=0,"",_xlfn.TEXTJOIN("",FALSE," G+",W739," in ",A739)))</f>
        <v/>
      </c>
    </row>
    <row r="740" spans="1:24" ht="13" customHeight="1" x14ac:dyDescent="0.2">
      <c r="A740" s="7" t="str">
        <f ca="1">IF(ISERROR(F730),"",VLOOKUP(C730,INDIRECT($F$8),6+(O740-1)*3,0))</f>
        <v/>
      </c>
      <c r="B740" s="41" t="str">
        <f ca="1">IF(ISERROR(F730),"",VLOOKUP(D730,INDIRECT($F$8),6+(O740-1)*3,0))</f>
        <v/>
      </c>
      <c r="C740" s="41"/>
      <c r="D740" s="41"/>
      <c r="E740" s="41"/>
      <c r="F740" s="7" t="str">
        <f ca="1">IF(ISERROR(F730),"",VLOOKUP(E730,INDIRECT($F$8),6+(O740-1)*3,0))</f>
        <v/>
      </c>
      <c r="G740" s="42" t="str">
        <f ca="1">IF(ISERROR(F730),"",_xlfn.TEXTJOIN("/",FALSE,P740,S740))</f>
        <v/>
      </c>
      <c r="H740" s="42"/>
      <c r="I740" s="42" t="str">
        <f ca="1">IF(ISERROR(F730),"",_xlfn.TEXTJOIN("/",FALSE,Q740,T740))</f>
        <v/>
      </c>
      <c r="J740" s="42"/>
      <c r="K740" s="42" t="str">
        <f ca="1">IF(ISERROR(F730),"",_xlfn.TEXTJOIN("/",FALSE,R740,U740))</f>
        <v/>
      </c>
      <c r="L740" s="42"/>
      <c r="M740" s="7" t="str">
        <f ca="1">IF(ISERROR(F730),"",IF(ISTEXT(P740),IF(P740="A","Ab",IF(P740="D","Dt",IF(P740="UFM","UFM",IF(P740="NA","")))),IF(AND(ISBLANK(P740),ISBLANK(R740)),"",IF(P740&lt;0.3*S740,"F",IF(ISBLANK(R740),"",IF(ISTEXT(R740),R740,IF(R740&gt;=0.9*U740,"O",IF(R740&gt;=0.85*U740,"A+",IF(R740&gt;=0.8*U740,"A",IF(R740&gt;=0.7*U740,"B+",IF(R740&gt;=0.6*U740,"B",IF(R740&gt;=0.5*U740,"C",IF(R740&gt;=0.4*U740,"P",IF(R740&lt;0.4*U740,"F",R740))))))))))))))</f>
        <v/>
      </c>
      <c r="N740" s="8" t="str">
        <f t="shared" ca="1" si="76"/>
        <v/>
      </c>
      <c r="O740">
        <f t="shared" si="77"/>
        <v>6</v>
      </c>
      <c r="P740" s="1" t="str">
        <f ca="1">IF(ISERROR(F730),"",IF(ISTEXT(VLOOKUP(B730,INDIRECT($F$8),6+(O740-1)*3)),(VLOOKUP(B730,INDIRECT($F$8),6+(O740-1)*3)),SUM(VLOOKUP(B730,INDIRECT($F$8),6+(O740-1)*3),IF(W745,W740,0))))</f>
        <v/>
      </c>
      <c r="Q740" s="1" t="str">
        <f ca="1">IF(ISERROR(F730),"",VLOOKUP(B730,INDIRECT($F$8),7+(O740-1)*3))</f>
        <v/>
      </c>
      <c r="R740" s="1" t="str">
        <f ca="1">IF(ISERROR(F730),"",SUM(P740:Q740))</f>
        <v/>
      </c>
      <c r="S740" s="1" t="str">
        <f ca="1">IF(ISERROR(F730),"",VLOOKUP(A730,INDIRECT($F$8),6+(O740-1)*3))</f>
        <v/>
      </c>
      <c r="T740" s="1" t="str">
        <f ca="1">IF(ISERROR(F730),"",VLOOKUP(A730,INDIRECT($F$8),7+(O740-1)*3))</f>
        <v/>
      </c>
      <c r="U740" s="1" t="str">
        <f ca="1">IF(ISERROR(F730),"",VLOOKUP(A730,INDIRECT($F$8),8+(O740-1)*3))</f>
        <v/>
      </c>
      <c r="V740" s="1" t="str">
        <f ca="1">IF(ISERROR(F730),"",IF(N740=0,A740,""))</f>
        <v/>
      </c>
      <c r="W740" s="1" t="str">
        <f ca="1">IF(ISERROR(F730),"",IF(ISTEXT(VLOOKUP(B730,INDIRECT($F$8),6+(O740-1)*3)),11,IF(VLOOKUP(B730,INDIRECT($F$8),6+(O740-1)*3)&lt;S740*0.3,IF(VLOOKUP(B730,INDIRECT($F$8),8+(O740-1)*3)&lt;U740*0.4,IF(AND(0.4*U740-VLOOKUP(B730,INDIRECT($F$8),8+(O740-1)*3)&lt;=5,0.3*S740-VLOOKUP(B730,INDIRECT($F$8),6+(O740-1)*3)&lt;=5),MAX(0.4*U740-VLOOKUP(B730,INDIRECT($F$8),8+(O740-1)*3),0.3*S740-VLOOKUP(B730,INDIRECT($F$8),6+(O740-1)*3)),11),IF(0.3*S740-VLOOKUP(B730,INDIRECT($F$8),6+(O740-1)*3)&lt;=5,0.3*S740-VLOOKUP(B730,INDIRECT($F$8),6+(O740-1)*3),11)),IF(VLOOKUP(B730,INDIRECT($F$8),8+(O740-1)*3)&lt;U740*0.4,IF(U740*0.4-VLOOKUP(B730,INDIRECT($F$8),8+(O740-1)*3)&lt;=5,U740*0.4-VLOOKUP(B730,INDIRECT($F$8),8+(O740-1)*3),11),0))))</f>
        <v/>
      </c>
      <c r="X740" s="1" t="str">
        <f ca="1">IF(ISERROR(F730),"",IF(W740=0,"",_xlfn.TEXTJOIN("",FALSE," G+",W740," in ",A740)))</f>
        <v/>
      </c>
    </row>
    <row r="741" spans="1:24" ht="13" customHeight="1" x14ac:dyDescent="0.2">
      <c r="A741" s="7" t="str">
        <f ca="1">IF(ISERROR(F730),"",VLOOKUP(C730,INDIRECT($F$8),6+(O741-1)*3,0))</f>
        <v/>
      </c>
      <c r="B741" s="41" t="str">
        <f ca="1">IF(ISERROR(F730),"",VLOOKUP(D730,INDIRECT($F$8),6+(O741-1)*3,0))</f>
        <v/>
      </c>
      <c r="C741" s="41"/>
      <c r="D741" s="41"/>
      <c r="E741" s="41"/>
      <c r="F741" s="7" t="str">
        <f ca="1">IF(ISERROR(F730),"",VLOOKUP(E730,INDIRECT($F$8),6+(O741-1)*3,0))</f>
        <v/>
      </c>
      <c r="G741" s="42" t="str">
        <f ca="1">IF(ISERROR(F730),"",_xlfn.TEXTJOIN("/",FALSE,P741,S741))</f>
        <v/>
      </c>
      <c r="H741" s="42"/>
      <c r="I741" s="42" t="str">
        <f ca="1">IF(ISERROR(F730),"",_xlfn.TEXTJOIN("/",FALSE,Q741,T741))</f>
        <v/>
      </c>
      <c r="J741" s="42"/>
      <c r="K741" s="42" t="str">
        <f ca="1">IF(ISERROR(F730),"",_xlfn.TEXTJOIN("/",FALSE,R741,U741))</f>
        <v/>
      </c>
      <c r="L741" s="42"/>
      <c r="M741" s="7" t="str">
        <f ca="1">IF(ISERROR(F730),"",IF(ISTEXT(P741),IF(P741="A","Ab",IF(P741="D","Dt",IF(P741="UFM","UFM",IF(P741="NA","")))),IF(AND(ISBLANK(P741),ISBLANK(R741)),"",IF(P741&lt;0.3*S741,"F",IF(ISBLANK(R741),"",IF(ISTEXT(R741),R741,IF(R741&gt;=0.9*U741,"O",IF(R741&gt;=0.85*U741,"A+",IF(R741&gt;=0.8*U741,"A",IF(R741&gt;=0.7*U741,"B+",IF(R741&gt;=0.6*U741,"B",IF(R741&gt;=0.5*U741,"C",IF(R741&gt;=0.4*U741,"P",IF(R741&lt;0.4*U741,"F",R741))))))))))))))</f>
        <v/>
      </c>
      <c r="N741" s="8" t="str">
        <f t="shared" ca="1" si="76"/>
        <v/>
      </c>
      <c r="O741">
        <f t="shared" si="77"/>
        <v>7</v>
      </c>
      <c r="P741" s="1" t="str">
        <f ca="1">IF(ISERROR(F730),"",IF(ISTEXT(VLOOKUP(B730,INDIRECT($F$8),6+(O741-1)*3)),(VLOOKUP(B730,INDIRECT($F$8),6+(O741-1)*3)),SUM(VLOOKUP(B730,INDIRECT($F$8),6+(O741-1)*3),IF(W745,W741,0))))</f>
        <v/>
      </c>
      <c r="Q741" s="1" t="str">
        <f ca="1">IF(ISERROR(F730),"",VLOOKUP(B730,INDIRECT($F$8),7+(O741-1)*3))</f>
        <v/>
      </c>
      <c r="R741" s="1" t="str">
        <f ca="1">IF(ISERROR(F730),"",SUM(P741:Q741))</f>
        <v/>
      </c>
      <c r="S741" s="1" t="str">
        <f ca="1">IF(ISERROR(F730),"",VLOOKUP(A730,INDIRECT($F$8),6+(O741-1)*3))</f>
        <v/>
      </c>
      <c r="T741" s="1" t="str">
        <f ca="1">IF(ISERROR(F730),"",VLOOKUP(A730,INDIRECT($F$8),7+(O741-1)*3))</f>
        <v/>
      </c>
      <c r="U741" s="1" t="str">
        <f ca="1">IF(ISERROR(F730),"",VLOOKUP(A730,INDIRECT($F$8),8+(O741-1)*3))</f>
        <v/>
      </c>
      <c r="V741" s="1" t="str">
        <f ca="1">IF(ISERROR(F730),"",IF(N741=0,A741,""))</f>
        <v/>
      </c>
      <c r="W741" s="1" t="str">
        <f ca="1">IF(ISERROR(F730),"",IF(ISTEXT(VLOOKUP(B730,INDIRECT($F$8),6+(O741-1)*3)),11,IF(VLOOKUP(B730,INDIRECT($F$8),6+(O741-1)*3)&lt;S741*0.3,IF(VLOOKUP(B730,INDIRECT($F$8),8+(O741-1)*3)&lt;U741*0.4,IF(AND(0.4*U741-VLOOKUP(B730,INDIRECT($F$8),8+(O741-1)*3)&lt;=5,0.3*S741-VLOOKUP(B730,INDIRECT($F$8),6+(O741-1)*3)&lt;=5),MAX(0.4*U741-VLOOKUP(B730,INDIRECT($F$8),8+(O741-1)*3),0.3*S741-VLOOKUP(B730,INDIRECT($F$8),6+(O741-1)*3)),11),IF(0.3*S741-VLOOKUP(B730,INDIRECT($F$8),6+(O741-1)*3)&lt;=5,0.3*S741-VLOOKUP(B730,INDIRECT($F$8),6+(O741-1)*3),11)),IF(VLOOKUP(B730,INDIRECT($F$8),8+(O741-1)*3)&lt;U741*0.4,IF(U741*0.4-VLOOKUP(B730,INDIRECT($F$8),8+(O741-1)*3)&lt;=5,U741*0.4-VLOOKUP(B730,INDIRECT($F$8),8+(O741-1)*3),11),0))))</f>
        <v/>
      </c>
      <c r="X741" s="1" t="str">
        <f ca="1">IF(ISERROR(F730),"",IF(W741=0,"",_xlfn.TEXTJOIN("",FALSE," G+",W741," in ",A741)))</f>
        <v/>
      </c>
    </row>
    <row r="742" spans="1:24" ht="13" customHeight="1" x14ac:dyDescent="0.2">
      <c r="A742" s="7" t="str">
        <f ca="1">IF(ISERROR(F730),"",VLOOKUP(C730,INDIRECT($F$8),6+(O742-1)*3,0))</f>
        <v/>
      </c>
      <c r="B742" s="41" t="str">
        <f ca="1">IF(ISERROR(F730),"",VLOOKUP(D730,INDIRECT($F$8),6+(O742-1)*3-Z742,0))</f>
        <v/>
      </c>
      <c r="C742" s="41"/>
      <c r="D742" s="41"/>
      <c r="E742" s="41"/>
      <c r="F742" s="7" t="str">
        <f ca="1">IF(ISERROR(F730),"",VLOOKUP(E730,INDIRECT($F$8),6+(O742-1)*3,0))</f>
        <v/>
      </c>
      <c r="G742" s="42" t="str">
        <f ca="1">IF(ISERROR(F730),"",_xlfn.TEXTJOIN("/",FALSE,P742,S742))</f>
        <v/>
      </c>
      <c r="H742" s="42"/>
      <c r="I742" s="42" t="str">
        <f ca="1">IF(ISERROR(F730),"",_xlfn.TEXTJOIN("/",FALSE,Q742,T742))</f>
        <v/>
      </c>
      <c r="J742" s="42"/>
      <c r="K742" s="42" t="str">
        <f ca="1">IF(ISERROR(F730),"",_xlfn.TEXTJOIN("/",FALSE,R742,U742))</f>
        <v/>
      </c>
      <c r="L742" s="42"/>
      <c r="M742" s="7" t="str">
        <f ca="1">IF(ISERROR(F730),"",IF(ISTEXT(P742),IF(P742="A","Ab",IF(P742="D","Dt",IF(P742="UFM","UFM",IF(P742="NA","")))),IF(AND(ISBLANK(P742),ISBLANK(R742)),"",IF(P742&lt;0.3*S742,"F",IF(ISBLANK(R742),"",IF(ISTEXT(R742),R742,IF(R742&gt;=0.9*U742,"O",IF(R742&gt;=0.85*U742,"A+",IF(R742&gt;=0.8*U742,"A",IF(R742&gt;=0.7*U742,"B+",IF(R742&gt;=0.6*U742,"B",IF(R742&gt;=0.5*U742,"C",IF(R742&gt;=0.4*U742,"P",IF(R742&lt;0.4*U742,"F",R742))))))))))))))</f>
        <v/>
      </c>
      <c r="N742" s="8" t="str">
        <f t="shared" ca="1" si="76"/>
        <v/>
      </c>
      <c r="O742">
        <f t="shared" si="77"/>
        <v>8</v>
      </c>
      <c r="P742" s="1" t="str">
        <f ca="1">IF(ISERROR(F730),"",IF(ISTEXT(VLOOKUP(B730,INDIRECT($F$8),6+(O742-1)*3)),(VLOOKUP(B730,INDIRECT($F$8),6+(O742-1)*3)),SUM(VLOOKUP(B730,INDIRECT($F$8),6+(O742-1)*3),IF(W745,W742,0))))</f>
        <v/>
      </c>
      <c r="Q742" s="1" t="str">
        <f ca="1">IF(ISERROR(F730),"",VLOOKUP(B730,INDIRECT($F$8),7+(O742-1)*3))</f>
        <v/>
      </c>
      <c r="R742" s="1" t="str">
        <f ca="1">IF(ISERROR(F730),"",SUM(P742:Q742))</f>
        <v/>
      </c>
      <c r="S742" s="1" t="str">
        <f ca="1">IF(ISERROR(F730),"",VLOOKUP(A730,INDIRECT($F$8),6+(O742-1)*3))</f>
        <v/>
      </c>
      <c r="T742" s="1" t="str">
        <f ca="1">IF(ISERROR(F730),"",VLOOKUP(A730,INDIRECT($F$8),7+(O742-1)*3))</f>
        <v/>
      </c>
      <c r="U742" s="1" t="str">
        <f ca="1">IF(ISERROR(F730),"",VLOOKUP(A730,INDIRECT($F$8),8+(O742-1)*3))</f>
        <v/>
      </c>
      <c r="V742" s="1" t="str">
        <f ca="1">IF(ISERROR(F730),"",IF(N742=0,A742,""))</f>
        <v/>
      </c>
      <c r="W742" s="1" t="str">
        <f ca="1">IF(ISERROR(F730),"",IF(ISTEXT(VLOOKUP(B730,INDIRECT($F$8),6+(O742-1)*3)),11,IF(VLOOKUP(B730,INDIRECT($F$8),6+(O742-1)*3)&lt;S742*0.3,IF(VLOOKUP(B730,INDIRECT($F$8),8+(O742-1)*3)&lt;U742*0.4,IF(AND(0.4*U742-VLOOKUP(B730,INDIRECT($F$8),8+(O742-1)*3)&lt;=5,0.3*S742-VLOOKUP(B730,INDIRECT($F$8),6+(O742-1)*3)&lt;=5),MAX(0.4*U742-VLOOKUP(B730,INDIRECT($F$8),8+(O742-1)*3),0.3*S742-VLOOKUP(B730,INDIRECT($F$8),6+(O742-1)*3)),11),IF(0.3*S742-VLOOKUP(B730,INDIRECT($F$8),6+(O742-1)*3)&lt;=5,0.3*S742-VLOOKUP(B730,INDIRECT($F$8),6+(O742-1)*3),11)),IF(VLOOKUP(B730,INDIRECT($F$8),8+(O742-1)*3)&lt;U742*0.4,IF(U742*0.4-VLOOKUP(B730,INDIRECT($F$8),8+(O742-1)*3)&lt;=5,U742*0.4-VLOOKUP(B730,INDIRECT($F$8),8+(O742-1)*3),11),0))))</f>
        <v/>
      </c>
      <c r="X742" s="1" t="str">
        <f ca="1">IF(ISERROR(F730),"",IF(W742=0,"",_xlfn.TEXTJOIN("",FALSE," G+",W742," in ",A742)))</f>
        <v/>
      </c>
    </row>
    <row r="743" spans="1:24" ht="13" customHeight="1" x14ac:dyDescent="0.2">
      <c r="A743" s="7" t="str">
        <f ca="1">IF(ISERROR(F730),"",VLOOKUP(C730,INDIRECT($F$8),6+(O743-1)*3,0))</f>
        <v/>
      </c>
      <c r="B743" s="41" t="str">
        <f ca="1">IF(ISERROR(F730),"",VLOOKUP(D730,INDIRECT($F$8),6+(O743-1)*3-Z743,0))</f>
        <v/>
      </c>
      <c r="C743" s="41"/>
      <c r="D743" s="41"/>
      <c r="E743" s="41"/>
      <c r="F743" s="7" t="str">
        <f ca="1">IF(ISERROR(F730),"",VLOOKUP(E730,INDIRECT($F$8),6+(O743-1)*3,0))</f>
        <v/>
      </c>
      <c r="G743" s="42" t="str">
        <f ca="1">IF(ISERROR(F730),"",_xlfn.TEXTJOIN("/",FALSE,P743,S743))</f>
        <v/>
      </c>
      <c r="H743" s="42"/>
      <c r="I743" s="42" t="str">
        <f ca="1">IF(ISERROR(F730),"",_xlfn.TEXTJOIN("/",FALSE,Q743,T743))</f>
        <v/>
      </c>
      <c r="J743" s="42"/>
      <c r="K743" s="42" t="str">
        <f ca="1">IF(ISERROR(F730),"",_xlfn.TEXTJOIN("/",FALSE,R743,U743))</f>
        <v/>
      </c>
      <c r="L743" s="42"/>
      <c r="M743" s="7" t="str">
        <f ca="1">IF(ISERROR(F730),"",IF(ISTEXT(P743),IF(P743="A","Ab",IF(P743="D","Dt",IF(P743="UFM","UFM",IF(P743="NA","")))),IF(AND(ISBLANK(P743),ISBLANK(R743)),"",IF(P743&lt;0.3*S743,"F",IF(ISBLANK(R743),"",IF(ISTEXT(R743),R743,IF(R743&gt;=0.9*U743,"O",IF(R743&gt;=0.85*U743,"A+",IF(R743&gt;=0.8*U743,"A",IF(R743&gt;=0.7*U743,"B+",IF(R743&gt;=0.6*U743,"B",IF(R743&gt;=0.5*U743,"C",IF(R743&gt;=0.4*U743,"P",IF(R743&lt;0.4*U743,"F",R743))))))))))))))</f>
        <v/>
      </c>
      <c r="N743" s="8" t="str">
        <f t="shared" ca="1" si="76"/>
        <v/>
      </c>
      <c r="O743">
        <f t="shared" si="77"/>
        <v>9</v>
      </c>
      <c r="P743" s="1" t="str">
        <f ca="1">IF(ISERROR(F730),"",IF(ISTEXT(VLOOKUP(B730,INDIRECT($F$8),6+(O743-1)*3)),(VLOOKUP(B730,INDIRECT($F$8),6+(O743-1)*3)),SUM(VLOOKUP(B730,INDIRECT($F$8),6+(O743-1)*3),IF(W745,W743,0))))</f>
        <v/>
      </c>
      <c r="Q743" s="1" t="str">
        <f ca="1">IF(ISERROR(F730),"",VLOOKUP(B730,INDIRECT($F$8),7+(O743-1)*3))</f>
        <v/>
      </c>
      <c r="R743" s="1" t="str">
        <f ca="1">IF(ISERROR(F730),"",SUM(P743:Q743))</f>
        <v/>
      </c>
      <c r="S743" s="1" t="str">
        <f ca="1">IF(ISERROR(F730),"",VLOOKUP(A730,INDIRECT($F$8),6+(O743-1)*3))</f>
        <v/>
      </c>
      <c r="T743" s="1" t="str">
        <f ca="1">IF(ISERROR(F730),"",VLOOKUP(A730,INDIRECT($F$8),7+(O743-1)*3))</f>
        <v/>
      </c>
      <c r="U743" s="1" t="str">
        <f ca="1">IF(ISERROR(F730),"",VLOOKUP(A730,INDIRECT($F$8),8+(O743-1)*3))</f>
        <v/>
      </c>
      <c r="V743" s="1" t="str">
        <f ca="1">IF(ISERROR(F730),"",IF(N743=0,A743,""))</f>
        <v/>
      </c>
      <c r="W743" s="1" t="str">
        <f ca="1">IF(ISERROR(F730),"",IF(ISTEXT(VLOOKUP(B730,INDIRECT($F$8),6+(O743-1)*3)),11,IF(VLOOKUP(B730,INDIRECT($F$8),6+(O743-1)*3)&lt;S743*0.3,IF(VLOOKUP(B730,INDIRECT($F$8),8+(O743-1)*3)&lt;U743*0.4,IF(AND(0.4*U743-VLOOKUP(B730,INDIRECT($F$8),8+(O743-1)*3)&lt;=5,0.3*S743-VLOOKUP(B730,INDIRECT($F$8),6+(O743-1)*3)&lt;=5),MAX(0.4*U743-VLOOKUP(B730,INDIRECT($F$8),8+(O743-1)*3),0.3*S743-VLOOKUP(B730,INDIRECT($F$8),6+(O743-1)*3)),11),IF(0.3*S743-VLOOKUP(B730,INDIRECT($F$8),6+(O743-1)*3)&lt;=5,0.3*S743-VLOOKUP(B730,INDIRECT($F$8),6+(O743-1)*3),11)),IF(VLOOKUP(B730,INDIRECT($F$8),8+(O743-1)*3)&lt;U743*0.4,IF(U743*0.4-VLOOKUP(B730,INDIRECT($F$8),8+(O743-1)*3)&lt;=5,U743*0.4-VLOOKUP(B730,INDIRECT($F$8),8+(O743-1)*3),11),0))))</f>
        <v/>
      </c>
      <c r="X743" s="1" t="str">
        <f ca="1">IF(ISERROR(F730),"",IF(W743=0,"",_xlfn.TEXTJOIN("",FALSE," G+",W743," in ",A743)))</f>
        <v/>
      </c>
    </row>
    <row r="744" spans="1:24" ht="13" customHeight="1" x14ac:dyDescent="0.2">
      <c r="A744" s="7" t="str">
        <f ca="1">IF(ISERROR(F730),"",VLOOKUP(C730,INDIRECT($F$8),6+(O744-1)*3,0))</f>
        <v/>
      </c>
      <c r="B744" s="41" t="str">
        <f ca="1">IF(ISERROR(F730),"",VLOOKUP(D730,INDIRECT($F$8),6+(O744-1)*3,0))</f>
        <v/>
      </c>
      <c r="C744" s="41"/>
      <c r="D744" s="41"/>
      <c r="E744" s="41"/>
      <c r="F744" s="7" t="str">
        <f ca="1">IF(ISERROR(F730),"",VLOOKUP(E730,INDIRECT($F$8),6+(O744-1)*3,0))</f>
        <v/>
      </c>
      <c r="G744" s="42" t="str">
        <f ca="1">IF(ISERROR(F730),"",_xlfn.TEXTJOIN("/",FALSE,P744,S744))</f>
        <v/>
      </c>
      <c r="H744" s="42"/>
      <c r="I744" s="42" t="str">
        <f ca="1">IF(ISERROR(F730),"",_xlfn.TEXTJOIN("/",FALSE,Q744,T744))</f>
        <v/>
      </c>
      <c r="J744" s="42"/>
      <c r="K744" s="42" t="str">
        <f ca="1">IF(ISERROR(F730),"",_xlfn.TEXTJOIN("/",FALSE,R744,U744))</f>
        <v/>
      </c>
      <c r="L744" s="42"/>
      <c r="M744" s="7" t="str">
        <f ca="1">IF(ISERROR(F730),"",IF(ISTEXT(P744),IF(P744="A","Ab",IF(P744="D","Dt",IF(P744="UFM","UFM",IF(P744="NA","")))),IF(AND(ISBLANK(P744),ISBLANK(R744)),"",IF(P744&lt;0.3*S744,"F",IF(ISBLANK(R744),"",IF(ISTEXT(R744),R744,IF(R744&gt;=0.9*U744,"O",IF(R744&gt;=0.85*U744,"A+",IF(R744&gt;=0.8*U744,"A",IF(R744&gt;=0.7*U744,"B+",IF(R744&gt;=0.6*U744,"B",IF(R744&gt;=0.5*U744,"C",IF(R744&gt;=0.4*U744,"P",IF(R744&lt;0.4*U744,"F",R744))))))))))))))</f>
        <v/>
      </c>
      <c r="N744" s="8" t="str">
        <f t="shared" ca="1" si="76"/>
        <v/>
      </c>
      <c r="O744">
        <f t="shared" si="77"/>
        <v>10</v>
      </c>
      <c r="P744" s="1" t="str">
        <f ca="1">IF(ISERROR(F730),"",IF(ISTEXT(VLOOKUP(B730,INDIRECT($F$8),6+(O744-1)*3)),(VLOOKUP(B730,INDIRECT($F$8),6+(O744-1)*3)),SUM(VLOOKUP(B730,INDIRECT($F$8),6+(O744-1)*3),IF(W745,W744,0))))</f>
        <v/>
      </c>
      <c r="Q744" s="1" t="str">
        <f ca="1">IF(ISERROR(F730),"",VLOOKUP(B730,INDIRECT($F$8),7+(O744-1)*3))</f>
        <v/>
      </c>
      <c r="R744" s="1" t="str">
        <f ca="1">IF(ISERROR(F730),"",SUM(P744:Q744))</f>
        <v/>
      </c>
      <c r="S744" s="1" t="str">
        <f ca="1">IF(ISERROR(F730),"",VLOOKUP(A730,INDIRECT($F$8),6+(O744-1)*3))</f>
        <v/>
      </c>
      <c r="T744" s="1" t="str">
        <f ca="1">IF(ISERROR(F730),"",VLOOKUP(A730,INDIRECT($F$8),7+(O744-1)*3))</f>
        <v/>
      </c>
      <c r="U744" s="1" t="str">
        <f ca="1">IF(ISERROR(F730),"",VLOOKUP(A730,INDIRECT($F$8),8+(O744-1)*3))</f>
        <v/>
      </c>
      <c r="V744" s="1" t="str">
        <f ca="1">IF(ISERROR(F730),"",IF(N744=0,A744,""))</f>
        <v/>
      </c>
      <c r="W744" s="1" t="str">
        <f ca="1">IF(ISERROR(F730),"",IF(ISTEXT(VLOOKUP(B730,INDIRECT($F$8),6+(O744-1)*3)),11,IF(VLOOKUP(B730,INDIRECT($F$8),6+(O744-1)*3)&lt;S744*0.3,IF(VLOOKUP(B730,INDIRECT($F$8),8+(O744-1)*3)&lt;U744*0.4,IF(AND(0.4*U744-VLOOKUP(B730,INDIRECT($F$8),8+(O744-1)*3)&lt;=5,0.3*S744-VLOOKUP(B730,INDIRECT($F$8),6+(O744-1)*3)&lt;=5),MAX(0.4*U744-VLOOKUP(B730,INDIRECT($F$8),8+(O744-1)*3),0.3*S744-VLOOKUP(B730,INDIRECT($F$8),6+(O744-1)*3)),11),IF(0.3*S744-VLOOKUP(B730,INDIRECT($F$8),6+(O744-1)*3)&lt;=5,0.3*S744-VLOOKUP(B730,INDIRECT($F$8),6+(O744-1)*3),11)),IF(VLOOKUP(B730,INDIRECT($F$8),8+(O744-1)*3)&lt;U744*0.4,IF(U744*0.4-VLOOKUP(B730,INDIRECT($F$8),8+(O744-1)*3)&lt;=5,U744*0.4-VLOOKUP(B730,INDIRECT($F$8),8+(O744-1)*3),11),0))))</f>
        <v/>
      </c>
      <c r="X744" s="1" t="str">
        <f ca="1">IF(ISERROR(F730),"",IF(W744=0,"",_xlfn.TEXTJOIN("",FALSE," G+",W744," in ",A744)))</f>
        <v/>
      </c>
    </row>
    <row r="745" spans="1:24" ht="13" customHeight="1" x14ac:dyDescent="0.2">
      <c r="A745" s="43" t="str">
        <f ca="1">IF(ISERROR(F730),"",A726)</f>
        <v/>
      </c>
      <c r="B745" s="43"/>
      <c r="C745" s="43"/>
      <c r="D745" s="43"/>
      <c r="E745" s="43"/>
      <c r="F745" s="10" t="str">
        <f ca="1">IF(ISERROR(F730),"",SUM(F735:F744))</f>
        <v/>
      </c>
      <c r="G745" s="44" t="str">
        <f ca="1">IF(ISERROR(F730),"",_xlfn.TEXTJOIN("/",TRUE,SUMIF(F735:F744,"&gt;0",P735:P744),SUMIF(F735:F744,"&gt;0",S735:S744)))</f>
        <v/>
      </c>
      <c r="H745" s="44"/>
      <c r="I745" s="44" t="str">
        <f ca="1">IF(ISERROR(F730),"",_xlfn.TEXTJOIN("/",TRUE,SUMIF(F735:F744,"&gt;0",Q735:Q744),SUMIF(F735:F744,"&gt;0",T735:T744)))</f>
        <v/>
      </c>
      <c r="J745" s="44"/>
      <c r="K745" s="44" t="str">
        <f ca="1">IF(ISERROR(F730),"",_xlfn.TEXTJOIN("/",TRUE,SUMIF(F735:F744,"&gt;0",R735:R744),SUMIF(F735:F744,"&gt;0",U735:U744)))</f>
        <v/>
      </c>
      <c r="L745" s="44"/>
      <c r="M745" s="43" t="str">
        <f ca="1">IF(ISERROR(F730),"",SUMPRODUCT(N735:N744,F735:F744))</f>
        <v/>
      </c>
      <c r="N745" s="43"/>
      <c r="V745" s="1" t="str">
        <f ca="1">IF(ISERROR(F730),"",_xlfn.TEXTJOIN(", ",TRUE,V735:V744))</f>
        <v/>
      </c>
      <c r="W745" t="str">
        <f ca="1">IF(ISERROR(F730),"",IF(SUM(W735:W744)&lt;=W734,TRUE,FALSE))</f>
        <v/>
      </c>
      <c r="X745" s="1" t="str">
        <f ca="1">IF(ISERROR(F730),"",_xlfn.TEXTJOIN(",",TRUE,X735:X744))</f>
        <v/>
      </c>
    </row>
    <row r="746" spans="1:24" ht="13" customHeight="1" x14ac:dyDescent="0.2">
      <c r="A746" s="43" t="str">
        <f ca="1">IF(ISERROR(F730),"",A727)</f>
        <v/>
      </c>
      <c r="B746" s="45" t="str">
        <f ca="1">IF(ISERROR(F730),"",IF(V745="","PASS","CARRY OVER"))</f>
        <v/>
      </c>
      <c r="C746" s="45"/>
      <c r="D746" s="43" t="str">
        <f ca="1">IF(ISERROR(F730),"",D727)</f>
        <v/>
      </c>
      <c r="E746" s="45" t="str">
        <f ca="1">IF(ISERROR(F730),"",IF(V745="",IF(X745="","",X745),_xlfn.TEXTJOIN(" ",TRUE,"BACK IN",V745)))</f>
        <v/>
      </c>
      <c r="F746" s="45"/>
      <c r="G746" s="43" t="str">
        <f ca="1">IF(ISERROR(F730),"",G727)</f>
        <v/>
      </c>
      <c r="H746" s="46" t="str">
        <f ca="1">IF(ISERROR(F730),"",M745/F745)</f>
        <v/>
      </c>
      <c r="I746" s="43" t="str">
        <f ca="1">IF(ISERROR(F730),"",I727)</f>
        <v/>
      </c>
      <c r="J746" s="46" t="str">
        <f ca="1">IF(ISERROR(F730),"",VLOOKUP(B730,INDIRECT($F$8),12+(O744-1)*3,0))</f>
        <v/>
      </c>
      <c r="K746" s="45" t="str">
        <f ca="1">IF(ISERROR(F730),"",K727)</f>
        <v/>
      </c>
      <c r="L746" s="43" t="str">
        <f ca="1">IF(ISERROR(F730),"",SUMIF(N735:N744,"&gt;0",F735:F744))</f>
        <v/>
      </c>
      <c r="M746" s="45" t="str">
        <f ca="1">IF(ISERROR(F730),"",M727)</f>
        <v/>
      </c>
      <c r="N746" s="43" t="str">
        <f ca="1">IF(ISERROR(F730),"",VLOOKUP(B730,INDIRECT($F$8),10+(O744-1)*3,0))</f>
        <v/>
      </c>
    </row>
    <row r="747" spans="1:24" ht="13" customHeight="1" x14ac:dyDescent="0.2">
      <c r="A747" s="43"/>
      <c r="B747" s="45"/>
      <c r="C747" s="45"/>
      <c r="D747" s="43"/>
      <c r="E747" s="45"/>
      <c r="F747" s="45"/>
      <c r="G747" s="43"/>
      <c r="H747" s="46"/>
      <c r="I747" s="43"/>
      <c r="J747" s="46"/>
      <c r="K747" s="45"/>
      <c r="L747" s="43"/>
      <c r="M747" s="45"/>
      <c r="N747" s="43"/>
    </row>
    <row r="748" spans="1:24" ht="13" customHeight="1" x14ac:dyDescent="0.2">
      <c r="A748" s="43"/>
      <c r="B748" s="45"/>
      <c r="C748" s="45"/>
      <c r="D748" s="43"/>
      <c r="E748" s="45"/>
      <c r="F748" s="45"/>
      <c r="G748" s="43"/>
      <c r="H748" s="46"/>
      <c r="I748" s="43"/>
      <c r="J748" s="46"/>
      <c r="K748" s="45"/>
      <c r="L748" s="43"/>
      <c r="M748" s="45"/>
      <c r="N748" s="43"/>
    </row>
    <row r="749" spans="1:24" ht="13" customHeight="1" x14ac:dyDescent="0.2">
      <c r="A749" s="11" t="str">
        <f>A730</f>
        <v>MM</v>
      </c>
      <c r="B749" s="11">
        <f>B730+1</f>
        <v>40</v>
      </c>
      <c r="C749" s="11" t="str">
        <f>C730</f>
        <v>SC</v>
      </c>
      <c r="D749" s="11" t="str">
        <f>D730</f>
        <v>SN</v>
      </c>
      <c r="E749" s="11" t="str">
        <f>E730</f>
        <v>C</v>
      </c>
      <c r="F749" s="11" t="e">
        <f ca="1">VLOOKUP(B749,INDIRECT($F$8),4,0)</f>
        <v>#N/A</v>
      </c>
    </row>
    <row r="750" spans="1:24" ht="13" customHeight="1" x14ac:dyDescent="0.2">
      <c r="A750" s="47" t="str">
        <f ca="1">IF(ISERROR(F749),"",A731)</f>
        <v/>
      </c>
      <c r="B750" s="47" t="str">
        <f ca="1">IFERROR(VLOOKUP(B749,INDIRECT($F$8),4,0),"")</f>
        <v/>
      </c>
      <c r="C750" s="47"/>
      <c r="D750" s="47" t="str">
        <f ca="1">IF(ISERROR(F749),"",D731)</f>
        <v/>
      </c>
      <c r="E750" s="47" t="str">
        <f ca="1">IFERROR(VLOOKUP(B749,INDIRECT($F$8),5,0),"")</f>
        <v/>
      </c>
      <c r="F750" s="47"/>
      <c r="G750" s="47" t="str">
        <f ca="1">IF(ISERROR(F749),"",G731)</f>
        <v/>
      </c>
      <c r="H750" s="47"/>
      <c r="I750" s="48" t="str">
        <f ca="1">IFERROR(VLOOKUP(B749,INDIRECT($F$8),2,0),"")</f>
        <v/>
      </c>
      <c r="J750" s="48"/>
      <c r="K750" s="47" t="str">
        <f ca="1">IF(ISERROR(F749),"",K731)</f>
        <v/>
      </c>
      <c r="L750" s="47"/>
      <c r="M750" s="48" t="str">
        <f ca="1">IFERROR(VLOOKUP(B749,INDIRECT($F$8),3,0),"")</f>
        <v/>
      </c>
      <c r="N750" s="48"/>
    </row>
    <row r="751" spans="1:24" ht="13" customHeight="1" x14ac:dyDescent="0.2">
      <c r="A751" s="47"/>
      <c r="B751" s="47"/>
      <c r="C751" s="47"/>
      <c r="D751" s="47"/>
      <c r="E751" s="47"/>
      <c r="F751" s="47"/>
      <c r="G751" s="47"/>
      <c r="H751" s="47"/>
      <c r="I751" s="48"/>
      <c r="J751" s="48"/>
      <c r="K751" s="47"/>
      <c r="L751" s="47"/>
      <c r="M751" s="48"/>
      <c r="N751" s="48"/>
    </row>
    <row r="752" spans="1:24" ht="13" customHeight="1" x14ac:dyDescent="0.2">
      <c r="A752" s="45" t="str">
        <f ca="1">IF(ISERROR(F749),"",A733)</f>
        <v/>
      </c>
      <c r="B752" s="45" t="str">
        <f ca="1">IF(ISERROR(F749),"",B733)</f>
        <v/>
      </c>
      <c r="C752" s="45"/>
      <c r="D752" s="45"/>
      <c r="E752" s="45"/>
      <c r="F752" s="45" t="str">
        <f ca="1">IF(ISERROR(F749),"",F733)</f>
        <v/>
      </c>
      <c r="G752" s="45" t="str">
        <f ca="1">IF(ISERROR(F749),"",G733)</f>
        <v/>
      </c>
      <c r="H752" s="45"/>
      <c r="I752" s="45" t="str">
        <f ca="1">IF(ISERROR(F749),"",I733)</f>
        <v/>
      </c>
      <c r="J752" s="45"/>
      <c r="K752" s="45" t="str">
        <f ca="1">IF(ISERROR(F749),"",K733)</f>
        <v/>
      </c>
      <c r="L752" s="45"/>
      <c r="M752" s="45" t="str">
        <f ca="1">IF(ISERROR(F749),"",M733)</f>
        <v/>
      </c>
      <c r="N752" s="45" t="str">
        <f ca="1">IF(ISERROR(F749),"",N733)</f>
        <v/>
      </c>
    </row>
    <row r="753" spans="1:24" ht="13" customHeight="1" x14ac:dyDescent="0.2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W753" t="e">
        <f ca="1">IF(ISNUMBER(MATCH($F$8,{"I","III","V","VII"},0)),10,10-INDEX(INDIRECT(_xlfn.TEXTJOIN("",TRUE,"SEM_",$G$8,"!",ADDRESS(6,4+$I$8*3+4),":",ADDRESS(5+$H$8,4+$I$8*3+4))),MATCH(INDIRECT(_xlfn.TEXTJOIN("",TRUE,"TC_",$F$8,"!",ADDRESS(ROW(I750),COLUMN(I750)))),INDIRECT(_xlfn.TEXTJOIN("",TRUE,"SEM_",$G$8,"!",ADDRESS(6,2),":",ADDRESS(5+$H$8,2))))))</f>
        <v>#N/A</v>
      </c>
    </row>
    <row r="754" spans="1:24" ht="13" customHeight="1" x14ac:dyDescent="0.2">
      <c r="A754" s="7" t="str">
        <f ca="1">IF(ISERROR(F749),"",VLOOKUP(C749,INDIRECT($F$8),6+(O754-1)*3,0))</f>
        <v/>
      </c>
      <c r="B754" s="41" t="str">
        <f ca="1">IF(ISERROR(F749),"",VLOOKUP(D749,INDIRECT($F$8),6+(O754-1)*3,0))</f>
        <v/>
      </c>
      <c r="C754" s="41"/>
      <c r="D754" s="41"/>
      <c r="E754" s="41"/>
      <c r="F754" s="7" t="str">
        <f ca="1">IF(ISERROR(F749),"",VLOOKUP(E749,INDIRECT($F$8),6+(O754-1)*3,0))</f>
        <v/>
      </c>
      <c r="G754" s="42" t="str">
        <f ca="1">IF(ISERROR(F749),"",_xlfn.TEXTJOIN("/",FALSE,P754,S754))</f>
        <v/>
      </c>
      <c r="H754" s="42"/>
      <c r="I754" s="42" t="str">
        <f ca="1">IF(ISERROR(F749),"",_xlfn.TEXTJOIN("/",FALSE,Q754,T754))</f>
        <v/>
      </c>
      <c r="J754" s="42"/>
      <c r="K754" s="42" t="str">
        <f ca="1">IF(ISERROR(F749),"",_xlfn.TEXTJOIN("/",FALSE,R754,U754))</f>
        <v/>
      </c>
      <c r="L754" s="42"/>
      <c r="M754" s="7" t="str">
        <f ca="1">IF(ISERROR(F749),"",IF(ISTEXT(P754),IF(P754="A","Ab",IF(P754="D","Dt",IF(P754="UFM","UFM",IF(P754="NA","")))),IF(AND(ISBLANK(P754),ISBLANK(R754)),"",IF(P754&lt;0.3*S754,"F",IF(ISBLANK(R754),"",IF(ISTEXT(R754),R754,IF(R754&gt;=0.9*U754,"O",IF(R754&gt;=0.85*U754,"A+",IF(R754&gt;=0.8*U754,"A",IF(R754&gt;=0.7*U754,"B+",IF(R754&gt;=0.6*U754,"B",IF(R754&gt;=0.5*U754,"C",IF(R754&gt;=0.4*U754,"P",IF(R754&lt;0.4*U754,"F",R754))))))))))))))</f>
        <v/>
      </c>
      <c r="N754" s="8" t="str">
        <f t="shared" ref="N754:N763" ca="1" si="78">INDEX($Z$2:$Z$13,MATCH(M754,$Y$2:$Y$13,0))</f>
        <v/>
      </c>
      <c r="O754">
        <v>1</v>
      </c>
      <c r="P754" s="1" t="str">
        <f ca="1">IF(ISERROR(F749),"",IF(ISTEXT(VLOOKUP(B749,INDIRECT($F$8),6+(O754-1)*3)),(VLOOKUP(B749,INDIRECT($F$8),6+(O754-1)*3)),SUM(VLOOKUP(B749,INDIRECT($F$8),6+(O754-1)*3),IF(W764,W754,0))))</f>
        <v/>
      </c>
      <c r="Q754" s="1" t="str">
        <f ca="1">IF(ISERROR(F749),"",VLOOKUP(B749,INDIRECT($F$8),7+(O754-1)*3))</f>
        <v/>
      </c>
      <c r="R754" s="1" t="str">
        <f ca="1">IF(ISERROR(F749),"",SUM(P754:Q754))</f>
        <v/>
      </c>
      <c r="S754" s="1" t="str">
        <f ca="1">IF(ISERROR(F749),"",VLOOKUP(A749,INDIRECT($F$8),6+(O754-1)*3))</f>
        <v/>
      </c>
      <c r="T754" s="1" t="str">
        <f ca="1">IF(ISERROR(F749),"",VLOOKUP(A749,INDIRECT($F$8),7+(O754-1)*3))</f>
        <v/>
      </c>
      <c r="U754" s="1" t="str">
        <f ca="1">IF(ISERROR(F749),"",VLOOKUP(A749,INDIRECT($F$8),8+(O754-1)*3))</f>
        <v/>
      </c>
      <c r="V754" s="1" t="str">
        <f ca="1">IF(ISERROR(F749),"",IF(N754=0,A754,""))</f>
        <v/>
      </c>
      <c r="W754" s="1" t="str">
        <f ca="1">IF(ISERROR(F749),"",IF(ISTEXT(VLOOKUP(B749,INDIRECT($F$8),6+(O754-1)*3)),11,IF(VLOOKUP(B749,INDIRECT($F$8),6+(O754-1)*3)&lt;S754*0.3,IF(VLOOKUP(B749,INDIRECT($F$8),8+(O754-1)*3)&lt;U754*0.4,IF(AND(0.4*U754-VLOOKUP(B749,INDIRECT($F$8),8+(O754-1)*3)&lt;=5,0.3*S754-VLOOKUP(B749,INDIRECT($F$8),6+(O754-1)*3)&lt;=5),MAX(0.4*U754-VLOOKUP(B749,INDIRECT($F$8),8+(O754-1)*3),0.3*S754-VLOOKUP(B749,INDIRECT($F$8),6+(O754-1)*3)),11),IF(0.3*S754-VLOOKUP(B749,INDIRECT($F$8),6+(O754-1)*3)&lt;=5,0.3*S754-VLOOKUP(B749,INDIRECT($F$8),6+(O754-1)*3),11)),IF(VLOOKUP(B749,INDIRECT($F$8),8+(O754-1)*3)&lt;U754*0.4,IF(U754*0.4-VLOOKUP(B749,INDIRECT($F$8),8+(O754-1)*3)&lt;=5,U754*0.4-VLOOKUP(B749,INDIRECT($F$8),8+(O754-1)*3),11),0))))</f>
        <v/>
      </c>
      <c r="X754" s="1" t="str">
        <f ca="1">IF(ISERROR(F749),"",IF(W754=0,"",_xlfn.TEXTJOIN("",FALSE," G+",W754," in ",A754)))</f>
        <v/>
      </c>
    </row>
    <row r="755" spans="1:24" ht="13" customHeight="1" x14ac:dyDescent="0.2">
      <c r="A755" s="7" t="str">
        <f ca="1">IF(ISERROR(F749),"",VLOOKUP(C749,INDIRECT($F$8),6+(O755-1)*3,0))</f>
        <v/>
      </c>
      <c r="B755" s="41" t="str">
        <f ca="1">IF(ISERROR(F749),"",VLOOKUP(D749,INDIRECT($F$8),6+(O755-1)*3,0))</f>
        <v/>
      </c>
      <c r="C755" s="41"/>
      <c r="D755" s="41"/>
      <c r="E755" s="41"/>
      <c r="F755" s="7" t="str">
        <f ca="1">IF(ISERROR(F749),"",VLOOKUP(E749,INDIRECT($F$8),6+(O755-1)*3,0))</f>
        <v/>
      </c>
      <c r="G755" s="42" t="str">
        <f ca="1">IF(ISERROR(F749),"",_xlfn.TEXTJOIN("/",FALSE,P755,S755))</f>
        <v/>
      </c>
      <c r="H755" s="42"/>
      <c r="I755" s="42" t="str">
        <f ca="1">IF(ISERROR(F749),"",_xlfn.TEXTJOIN("/",FALSE,Q755,T755))</f>
        <v/>
      </c>
      <c r="J755" s="42"/>
      <c r="K755" s="42" t="str">
        <f ca="1">IF(ISERROR(F749),"",_xlfn.TEXTJOIN("/",FALSE,R755,U755))</f>
        <v/>
      </c>
      <c r="L755" s="42"/>
      <c r="M755" s="7" t="str">
        <f ca="1">IF(ISERROR(F749),"",IF(ISTEXT(P755),IF(P755="A","Ab",IF(P755="D","Dt",IF(P755="UFM","UFM",IF(P755="NA","")))),IF(AND(ISBLANK(P755),ISBLANK(R755)),"",IF(P755&lt;0.3*S755,"F",IF(ISBLANK(R755),"",IF(ISTEXT(R755),R755,IF(R755&gt;=0.9*U755,"O",IF(R755&gt;=0.85*U755,"A+",IF(R755&gt;=0.8*U755,"A",IF(R755&gt;=0.7*U755,"B+",IF(R755&gt;=0.6*U755,"B",IF(R755&gt;=0.5*U755,"C",IF(R755&gt;=0.4*U755,"P",IF(R755&lt;0.4*U755,"F",R755))))))))))))))</f>
        <v/>
      </c>
      <c r="N755" s="8" t="str">
        <f t="shared" ca="1" si="78"/>
        <v/>
      </c>
      <c r="O755">
        <f>O754+1</f>
        <v>2</v>
      </c>
      <c r="P755" s="1" t="str">
        <f ca="1">IF(ISERROR(F749),"",IF(ISTEXT(VLOOKUP(B749,INDIRECT($F$8),6+(O755-1)*3)),(VLOOKUP(B749,INDIRECT($F$8),6+(O755-1)*3)),SUM(VLOOKUP(B749,INDIRECT($F$8),6+(O755-1)*3),IF(W764,W755,0))))</f>
        <v/>
      </c>
      <c r="Q755" s="1" t="str">
        <f ca="1">IF(ISERROR(F749),"",VLOOKUP(B749,INDIRECT($F$8),7+(O755-1)*3))</f>
        <v/>
      </c>
      <c r="R755" s="1" t="str">
        <f ca="1">IF(ISERROR(F749),"",SUM(P755:Q755))</f>
        <v/>
      </c>
      <c r="S755" s="1" t="str">
        <f ca="1">IF(ISERROR(F749),"",VLOOKUP(A749,INDIRECT($F$8),6+(O755-1)*3))</f>
        <v/>
      </c>
      <c r="T755" s="1" t="str">
        <f ca="1">IF(ISERROR(F749),"",VLOOKUP(A749,INDIRECT($F$8),7+(O755-1)*3))</f>
        <v/>
      </c>
      <c r="U755" s="1" t="str">
        <f ca="1">IF(ISERROR(F749),"",VLOOKUP(A749,INDIRECT($F$8),8+(O755-1)*3))</f>
        <v/>
      </c>
      <c r="V755" s="1" t="str">
        <f ca="1">IF(ISERROR(F749),"",IF(N755=0,A755,""))</f>
        <v/>
      </c>
      <c r="W755" s="1" t="str">
        <f ca="1">IF(ISERROR(F749),"",IF(ISTEXT(VLOOKUP(B749,INDIRECT($F$8),6+(O755-1)*3)),11,IF(VLOOKUP(B749,INDIRECT($F$8),6+(O755-1)*3)&lt;S755*0.3,IF(VLOOKUP(B749,INDIRECT($F$8),8+(O755-1)*3)&lt;U755*0.4,IF(AND(0.4*U755-VLOOKUP(B749,INDIRECT($F$8),8+(O755-1)*3)&lt;=5,0.3*S755-VLOOKUP(B749,INDIRECT($F$8),6+(O755-1)*3)&lt;=5),MAX(0.4*U755-VLOOKUP(B749,INDIRECT($F$8),8+(O755-1)*3),0.3*S755-VLOOKUP(B749,INDIRECT($F$8),6+(O755-1)*3)),11),IF(0.3*S755-VLOOKUP(B749,INDIRECT($F$8),6+(O755-1)*3)&lt;=5,0.3*S755-VLOOKUP(B749,INDIRECT($F$8),6+(O755-1)*3),11)),IF(VLOOKUP(B749,INDIRECT($F$8),8+(O755-1)*3)&lt;U755*0.4,IF(U755*0.4-VLOOKUP(B749,INDIRECT($F$8),8+(O755-1)*3)&lt;=5,U755*0.4-VLOOKUP(B749,INDIRECT($F$8),8+(O755-1)*3),11),0))))</f>
        <v/>
      </c>
      <c r="X755" s="1" t="str">
        <f ca="1">IF(ISERROR(F749),"",IF(W755=0,"",_xlfn.TEXTJOIN("",FALSE," G+",W755," in ",A755)))</f>
        <v/>
      </c>
    </row>
    <row r="756" spans="1:24" ht="13" customHeight="1" x14ac:dyDescent="0.2">
      <c r="A756" s="7" t="str">
        <f ca="1">IF(ISERROR(F749),"",VLOOKUP(C749,INDIRECT($F$8),6+(O756-1)*3,0))</f>
        <v/>
      </c>
      <c r="B756" s="41" t="str">
        <f ca="1">IF(ISERROR(F749),"",VLOOKUP(D749,INDIRECT($F$8),6+(O756-1)*3,0))</f>
        <v/>
      </c>
      <c r="C756" s="41"/>
      <c r="D756" s="41"/>
      <c r="E756" s="41"/>
      <c r="F756" s="7" t="str">
        <f ca="1">IF(ISERROR(F749),"",VLOOKUP(E749,INDIRECT($F$8),6+(O756-1)*3,0))</f>
        <v/>
      </c>
      <c r="G756" s="42" t="str">
        <f ca="1">IF(ISERROR(F749),"",_xlfn.TEXTJOIN("/",FALSE,P756,S756))</f>
        <v/>
      </c>
      <c r="H756" s="42"/>
      <c r="I756" s="42" t="str">
        <f ca="1">IF(ISERROR(F749),"",_xlfn.TEXTJOIN("/",FALSE,Q756,T756))</f>
        <v/>
      </c>
      <c r="J756" s="42"/>
      <c r="K756" s="42" t="str">
        <f ca="1">IF(ISERROR(F749),"",_xlfn.TEXTJOIN("/",FALSE,R756,U756))</f>
        <v/>
      </c>
      <c r="L756" s="42"/>
      <c r="M756" s="7" t="str">
        <f ca="1">IF(ISERROR(F749),"",IF(ISTEXT(P756),IF(P756="A","Ab",IF(P756="D","Dt",IF(P756="UFM","UFM",IF(P756="NA","")))),IF(AND(ISBLANK(P756),ISBLANK(R756)),"",IF(P756&lt;0.3*S756,"F",IF(ISBLANK(R756),"",IF(ISTEXT(R756),R756,IF(R756&gt;=0.9*U756,"O",IF(R756&gt;=0.85*U756,"A+",IF(R756&gt;=0.8*U756,"A",IF(R756&gt;=0.7*U756,"B+",IF(R756&gt;=0.6*U756,"B",IF(R756&gt;=0.5*U756,"C",IF(R756&gt;=0.4*U756,"P",IF(R756&lt;0.4*U756,"F",R756))))))))))))))</f>
        <v/>
      </c>
      <c r="N756" s="8" t="str">
        <f t="shared" ca="1" si="78"/>
        <v/>
      </c>
      <c r="O756">
        <f>O755+1</f>
        <v>3</v>
      </c>
      <c r="P756" s="1" t="str">
        <f ca="1">IF(ISERROR(F749),"",IF(ISTEXT(VLOOKUP(B749,INDIRECT($F$8),6+(O756-1)*3)),(VLOOKUP(B749,INDIRECT($F$8),6+(O756-1)*3)),SUM(VLOOKUP(B749,INDIRECT($F$8),6+(O756-1)*3),IF(W764,W756,0))))</f>
        <v/>
      </c>
      <c r="Q756" s="1" t="str">
        <f ca="1">IF(ISERROR(F749),"",VLOOKUP(B749,INDIRECT($F$8),7+(O756-1)*3))</f>
        <v/>
      </c>
      <c r="R756" s="1" t="str">
        <f ca="1">IF(ISERROR(F749),"",SUM(P756:Q756))</f>
        <v/>
      </c>
      <c r="S756" s="1" t="str">
        <f ca="1">IF(ISERROR(F749),"",VLOOKUP(A749,INDIRECT($F$8),6+(O756-1)*3))</f>
        <v/>
      </c>
      <c r="T756" s="1" t="str">
        <f ca="1">IF(ISERROR(F749),"",VLOOKUP(A749,INDIRECT($F$8),7+(O756-1)*3))</f>
        <v/>
      </c>
      <c r="U756" s="1" t="str">
        <f ca="1">IF(ISERROR(F749),"",VLOOKUP(A749,INDIRECT($F$8),8+(O756-1)*3))</f>
        <v/>
      </c>
      <c r="V756" s="1" t="str">
        <f ca="1">IF(ISERROR(F749),"",IF(N756=0,A756,""))</f>
        <v/>
      </c>
      <c r="W756" s="1" t="str">
        <f ca="1">IF(ISERROR(F749),"",IF(ISTEXT(VLOOKUP(B749,INDIRECT($F$8),6+(O756-1)*3)),11,IF(VLOOKUP(B749,INDIRECT($F$8),6+(O756-1)*3)&lt;S756*0.3,IF(VLOOKUP(B749,INDIRECT($F$8),8+(O756-1)*3)&lt;U756*0.4,IF(AND(0.4*U756-VLOOKUP(B749,INDIRECT($F$8),8+(O756-1)*3)&lt;=5,0.3*S756-VLOOKUP(B749,INDIRECT($F$8),6+(O756-1)*3)&lt;=5),MAX(0.4*U756-VLOOKUP(B749,INDIRECT($F$8),8+(O756-1)*3),0.3*S756-VLOOKUP(B749,INDIRECT($F$8),6+(O756-1)*3)),11),IF(0.3*S756-VLOOKUP(B749,INDIRECT($F$8),6+(O756-1)*3)&lt;=5,0.3*S756-VLOOKUP(B749,INDIRECT($F$8),6+(O756-1)*3),11)),IF(VLOOKUP(B749,INDIRECT($F$8),8+(O756-1)*3)&lt;U756*0.4,IF(U756*0.4-VLOOKUP(B749,INDIRECT($F$8),8+(O756-1)*3)&lt;=5,U756*0.4-VLOOKUP(B749,INDIRECT($F$8),8+(O756-1)*3),11),0))))</f>
        <v/>
      </c>
      <c r="X756" s="1" t="str">
        <f ca="1">IF(ISERROR(F749),"",IF(W756=0,"",_xlfn.TEXTJOIN("",FALSE," G+",W756," in ",A756)))</f>
        <v/>
      </c>
    </row>
    <row r="757" spans="1:24" ht="13" customHeight="1" x14ac:dyDescent="0.2">
      <c r="A757" s="7" t="str">
        <f ca="1">IF(ISERROR(F749),"",VLOOKUP(C749,INDIRECT($F$8),6+(O757-1)*3,0))</f>
        <v/>
      </c>
      <c r="B757" s="41" t="str">
        <f ca="1">IF(ISERROR(F749),"",VLOOKUP(D749,INDIRECT($F$8),6+(O757-1)*3,0))</f>
        <v/>
      </c>
      <c r="C757" s="41"/>
      <c r="D757" s="41"/>
      <c r="E757" s="41"/>
      <c r="F757" s="7" t="str">
        <f ca="1">IF(ISERROR(F749),"",VLOOKUP(E749,INDIRECT($F$8),6+(O757-1)*3,0))</f>
        <v/>
      </c>
      <c r="G757" s="42" t="str">
        <f ca="1">IF(ISERROR(F749),"",_xlfn.TEXTJOIN("/",FALSE,P757,S757))</f>
        <v/>
      </c>
      <c r="H757" s="42"/>
      <c r="I757" s="42" t="str">
        <f ca="1">IF(ISERROR(F749),"",_xlfn.TEXTJOIN("/",FALSE,Q757,T757))</f>
        <v/>
      </c>
      <c r="J757" s="42"/>
      <c r="K757" s="42" t="str">
        <f ca="1">IF(ISERROR(F749),"",_xlfn.TEXTJOIN("/",FALSE,R757,U757))</f>
        <v/>
      </c>
      <c r="L757" s="42"/>
      <c r="M757" s="7" t="str">
        <f ca="1">IF(ISERROR(F749),"",IF(ISTEXT(P757),IF(P757="A","Ab",IF(P757="D","Dt",IF(P757="UFM","UFM",IF(P757="NA","")))),IF(AND(ISBLANK(P757),ISBLANK(R757)),"",IF(P757&lt;0.3*S757,"F",IF(ISBLANK(R757),"",IF(ISTEXT(R757),R757,IF(R757&gt;=0.9*U757,"O",IF(R757&gt;=0.85*U757,"A+",IF(R757&gt;=0.8*U757,"A",IF(R757&gt;=0.7*U757,"B+",IF(R757&gt;=0.6*U757,"B",IF(R757&gt;=0.5*U757,"C",IF(R757&gt;=0.4*U757,"P",IF(R757&lt;0.4*U757,"F",R757))))))))))))))</f>
        <v/>
      </c>
      <c r="N757" s="8" t="str">
        <f t="shared" ca="1" si="78"/>
        <v/>
      </c>
      <c r="O757">
        <f t="shared" ref="O757:O763" si="79">O756+1</f>
        <v>4</v>
      </c>
      <c r="P757" s="1" t="str">
        <f ca="1">IF(ISERROR(F749),"",IF(ISTEXT(VLOOKUP(B749,INDIRECT($F$8),6+(O757-1)*3)),(VLOOKUP(B749,INDIRECT($F$8),6+(O757-1)*3)),SUM(VLOOKUP(B749,INDIRECT($F$8),6+(O757-1)*3),IF(W764,W757,0))))</f>
        <v/>
      </c>
      <c r="Q757" s="1" t="str">
        <f ca="1">IF(ISERROR(F749),"",VLOOKUP(B749,INDIRECT($F$8),7+(O757-1)*3))</f>
        <v/>
      </c>
      <c r="R757" s="1" t="str">
        <f ca="1">IF(ISERROR(F749),"",SUM(P757:Q757))</f>
        <v/>
      </c>
      <c r="S757" s="1" t="str">
        <f ca="1">IF(ISERROR(F749),"",VLOOKUP(A749,INDIRECT($F$8),6+(O757-1)*3))</f>
        <v/>
      </c>
      <c r="T757" s="1" t="str">
        <f ca="1">IF(ISERROR(F749),"",VLOOKUP(A749,INDIRECT($F$8),7+(O757-1)*3))</f>
        <v/>
      </c>
      <c r="U757" s="1" t="str">
        <f ca="1">IF(ISERROR(F749),"",VLOOKUP(A749,INDIRECT($F$8),8+(O757-1)*3))</f>
        <v/>
      </c>
      <c r="V757" s="1" t="str">
        <f ca="1">IF(ISERROR(F749),"",IF(N757=0,A757,""))</f>
        <v/>
      </c>
      <c r="W757" s="1" t="str">
        <f ca="1">IF(ISERROR(F749),"",IF(ISTEXT(VLOOKUP(B749,INDIRECT($F$8),6+(O757-1)*3)),11,IF(VLOOKUP(B749,INDIRECT($F$8),6+(O757-1)*3)&lt;S757*0.3,IF(VLOOKUP(B749,INDIRECT($F$8),8+(O757-1)*3)&lt;U757*0.4,IF(AND(0.4*U757-VLOOKUP(B749,INDIRECT($F$8),8+(O757-1)*3)&lt;=5,0.3*S757-VLOOKUP(B749,INDIRECT($F$8),6+(O757-1)*3)&lt;=5),MAX(0.4*U757-VLOOKUP(B749,INDIRECT($F$8),8+(O757-1)*3),0.3*S757-VLOOKUP(B749,INDIRECT($F$8),6+(O757-1)*3)),11),IF(0.3*S757-VLOOKUP(B749,INDIRECT($F$8),6+(O757-1)*3)&lt;=5,0.3*S757-VLOOKUP(B749,INDIRECT($F$8),6+(O757-1)*3),11)),IF(VLOOKUP(B749,INDIRECT($F$8),8+(O757-1)*3)&lt;U757*0.4,IF(U757*0.4-VLOOKUP(B749,INDIRECT($F$8),8+(O757-1)*3)&lt;=5,U757*0.4-VLOOKUP(B749,INDIRECT($F$8),8+(O757-1)*3),11),0))))</f>
        <v/>
      </c>
      <c r="X757" s="1" t="str">
        <f ca="1">IF(ISERROR(F749),"",IF(W757=0,"",_xlfn.TEXTJOIN("",FALSE," G+",W757," in ",A757)))</f>
        <v/>
      </c>
    </row>
    <row r="758" spans="1:24" ht="13" customHeight="1" x14ac:dyDescent="0.2">
      <c r="A758" s="7" t="str">
        <f ca="1">IF(ISERROR(F749),"",VLOOKUP(C749,INDIRECT($F$8),6+(O758-1)*3,0))</f>
        <v/>
      </c>
      <c r="B758" s="41" t="str">
        <f ca="1">IF(ISERROR(F749),"",VLOOKUP(D749,INDIRECT($F$8),6+(O758-1)*3,0))</f>
        <v/>
      </c>
      <c r="C758" s="41"/>
      <c r="D758" s="41"/>
      <c r="E758" s="41"/>
      <c r="F758" s="7" t="str">
        <f ca="1">IF(ISERROR(F749),"",VLOOKUP(E749,INDIRECT($F$8),6+(O758-1)*3,0))</f>
        <v/>
      </c>
      <c r="G758" s="42" t="str">
        <f ca="1">IF(ISERROR(F749),"",_xlfn.TEXTJOIN("/",FALSE,P758,S758))</f>
        <v/>
      </c>
      <c r="H758" s="42"/>
      <c r="I758" s="42" t="str">
        <f ca="1">IF(ISERROR(F749),"",_xlfn.TEXTJOIN("/",FALSE,Q758,T758))</f>
        <v/>
      </c>
      <c r="J758" s="42"/>
      <c r="K758" s="42" t="str">
        <f ca="1">IF(ISERROR(F749),"",_xlfn.TEXTJOIN("/",FALSE,R758,U758))</f>
        <v/>
      </c>
      <c r="L758" s="42"/>
      <c r="M758" s="7" t="str">
        <f ca="1">IF(ISERROR(F749),"",IF(ISTEXT(P758),IF(P758="A","Ab",IF(P758="D","Dt",IF(P758="UFM","UFM",IF(P758="NA","")))),IF(AND(ISBLANK(P758),ISBLANK(R758)),"",IF(P758&lt;0.3*S758,"F",IF(ISBLANK(R758),"",IF(ISTEXT(R758),R758,IF(R758&gt;=0.9*U758,"O",IF(R758&gt;=0.85*U758,"A+",IF(R758&gt;=0.8*U758,"A",IF(R758&gt;=0.7*U758,"B+",IF(R758&gt;=0.6*U758,"B",IF(R758&gt;=0.5*U758,"C",IF(R758&gt;=0.4*U758,"P",IF(R758&lt;0.4*U758,"F",R758))))))))))))))</f>
        <v/>
      </c>
      <c r="N758" s="8" t="str">
        <f t="shared" ca="1" si="78"/>
        <v/>
      </c>
      <c r="O758">
        <f t="shared" si="79"/>
        <v>5</v>
      </c>
      <c r="P758" s="1" t="str">
        <f ca="1">IF(ISERROR(F749),"",IF(ISTEXT(VLOOKUP(B749,INDIRECT($F$8),6+(O758-1)*3)),(VLOOKUP(B749,INDIRECT($F$8),6+(O758-1)*3)),SUM(VLOOKUP(B749,INDIRECT($F$8),6+(O758-1)*3),IF(W764,W758,0))))</f>
        <v/>
      </c>
      <c r="Q758" s="1" t="str">
        <f ca="1">IF(ISERROR(F749),"",VLOOKUP(B749,INDIRECT($F$8),7+(O758-1)*3))</f>
        <v/>
      </c>
      <c r="R758" s="1" t="str">
        <f ca="1">IF(ISERROR(F749),"",SUM(P758:Q758))</f>
        <v/>
      </c>
      <c r="S758" s="1" t="str">
        <f ca="1">IF(ISERROR(F749),"",VLOOKUP(A749,INDIRECT($F$8),6+(O758-1)*3))</f>
        <v/>
      </c>
      <c r="T758" s="1" t="str">
        <f ca="1">IF(ISERROR(F749),"",VLOOKUP(A749,INDIRECT($F$8),7+(O758-1)*3))</f>
        <v/>
      </c>
      <c r="U758" s="1" t="str">
        <f ca="1">IF(ISERROR(F749),"",VLOOKUP(A749,INDIRECT($F$8),8+(O758-1)*3))</f>
        <v/>
      </c>
      <c r="V758" s="1" t="str">
        <f ca="1">IF(ISERROR(F749),"",IF(N758=0,A758,""))</f>
        <v/>
      </c>
      <c r="W758" s="1" t="str">
        <f ca="1">IF(ISERROR(F749),"",IF(ISTEXT(VLOOKUP(B749,INDIRECT($F$8),6+(O758-1)*3)),11,IF(VLOOKUP(B749,INDIRECT($F$8),6+(O758-1)*3)&lt;S758*0.3,IF(VLOOKUP(B749,INDIRECT($F$8),8+(O758-1)*3)&lt;U758*0.4,IF(AND(0.4*U758-VLOOKUP(B749,INDIRECT($F$8),8+(O758-1)*3)&lt;=5,0.3*S758-VLOOKUP(B749,INDIRECT($F$8),6+(O758-1)*3)&lt;=5),MAX(0.4*U758-VLOOKUP(B749,INDIRECT($F$8),8+(O758-1)*3),0.3*S758-VLOOKUP(B749,INDIRECT($F$8),6+(O758-1)*3)),11),IF(0.3*S758-VLOOKUP(B749,INDIRECT($F$8),6+(O758-1)*3)&lt;=5,0.3*S758-VLOOKUP(B749,INDIRECT($F$8),6+(O758-1)*3),11)),IF(VLOOKUP(B749,INDIRECT($F$8),8+(O758-1)*3)&lt;U758*0.4,IF(U758*0.4-VLOOKUP(B749,INDIRECT($F$8),8+(O758-1)*3)&lt;=5,U758*0.4-VLOOKUP(B749,INDIRECT($F$8),8+(O758-1)*3),11),0))))</f>
        <v/>
      </c>
      <c r="X758" s="1" t="str">
        <f ca="1">IF(ISERROR(F749),"",IF(W758=0,"",_xlfn.TEXTJOIN("",FALSE," G+",W758," in ",A758)))</f>
        <v/>
      </c>
    </row>
    <row r="759" spans="1:24" ht="13" customHeight="1" x14ac:dyDescent="0.2">
      <c r="A759" s="7" t="str">
        <f ca="1">IF(ISERROR(F749),"",VLOOKUP(C749,INDIRECT($F$8),6+(O759-1)*3,0))</f>
        <v/>
      </c>
      <c r="B759" s="41" t="str">
        <f ca="1">IF(ISERROR(F749),"",VLOOKUP(D749,INDIRECT($F$8),6+(O759-1)*3,0))</f>
        <v/>
      </c>
      <c r="C759" s="41"/>
      <c r="D759" s="41"/>
      <c r="E759" s="41"/>
      <c r="F759" s="7" t="str">
        <f ca="1">IF(ISERROR(F749),"",VLOOKUP(E749,INDIRECT($F$8),6+(O759-1)*3,0))</f>
        <v/>
      </c>
      <c r="G759" s="42" t="str">
        <f ca="1">IF(ISERROR(F749),"",_xlfn.TEXTJOIN("/",FALSE,P759,S759))</f>
        <v/>
      </c>
      <c r="H759" s="42"/>
      <c r="I759" s="42" t="str">
        <f ca="1">IF(ISERROR(F749),"",_xlfn.TEXTJOIN("/",FALSE,Q759,T759))</f>
        <v/>
      </c>
      <c r="J759" s="42"/>
      <c r="K759" s="42" t="str">
        <f ca="1">IF(ISERROR(F749),"",_xlfn.TEXTJOIN("/",FALSE,R759,U759))</f>
        <v/>
      </c>
      <c r="L759" s="42"/>
      <c r="M759" s="7" t="str">
        <f ca="1">IF(ISERROR(F749),"",IF(ISTEXT(P759),IF(P759="A","Ab",IF(P759="D","Dt",IF(P759="UFM","UFM",IF(P759="NA","")))),IF(AND(ISBLANK(P759),ISBLANK(R759)),"",IF(P759&lt;0.3*S759,"F",IF(ISBLANK(R759),"",IF(ISTEXT(R759),R759,IF(R759&gt;=0.9*U759,"O",IF(R759&gt;=0.85*U759,"A+",IF(R759&gt;=0.8*U759,"A",IF(R759&gt;=0.7*U759,"B+",IF(R759&gt;=0.6*U759,"B",IF(R759&gt;=0.5*U759,"C",IF(R759&gt;=0.4*U759,"P",IF(R759&lt;0.4*U759,"F",R759))))))))))))))</f>
        <v/>
      </c>
      <c r="N759" s="8" t="str">
        <f t="shared" ca="1" si="78"/>
        <v/>
      </c>
      <c r="O759">
        <f t="shared" si="79"/>
        <v>6</v>
      </c>
      <c r="P759" s="1" t="str">
        <f ca="1">IF(ISERROR(F749),"",IF(ISTEXT(VLOOKUP(B749,INDIRECT($F$8),6+(O759-1)*3)),(VLOOKUP(B749,INDIRECT($F$8),6+(O759-1)*3)),SUM(VLOOKUP(B749,INDIRECT($F$8),6+(O759-1)*3),IF(W764,W759,0))))</f>
        <v/>
      </c>
      <c r="Q759" s="1" t="str">
        <f ca="1">IF(ISERROR(F749),"",VLOOKUP(B749,INDIRECT($F$8),7+(O759-1)*3))</f>
        <v/>
      </c>
      <c r="R759" s="1" t="str">
        <f ca="1">IF(ISERROR(F749),"",SUM(P759:Q759))</f>
        <v/>
      </c>
      <c r="S759" s="1" t="str">
        <f ca="1">IF(ISERROR(F749),"",VLOOKUP(A749,INDIRECT($F$8),6+(O759-1)*3))</f>
        <v/>
      </c>
      <c r="T759" s="1" t="str">
        <f ca="1">IF(ISERROR(F749),"",VLOOKUP(A749,INDIRECT($F$8),7+(O759-1)*3))</f>
        <v/>
      </c>
      <c r="U759" s="1" t="str">
        <f ca="1">IF(ISERROR(F749),"",VLOOKUP(A749,INDIRECT($F$8),8+(O759-1)*3))</f>
        <v/>
      </c>
      <c r="V759" s="1" t="str">
        <f ca="1">IF(ISERROR(F749),"",IF(N759=0,A759,""))</f>
        <v/>
      </c>
      <c r="W759" s="1" t="str">
        <f ca="1">IF(ISERROR(F749),"",IF(ISTEXT(VLOOKUP(B749,INDIRECT($F$8),6+(O759-1)*3)),11,IF(VLOOKUP(B749,INDIRECT($F$8),6+(O759-1)*3)&lt;S759*0.3,IF(VLOOKUP(B749,INDIRECT($F$8),8+(O759-1)*3)&lt;U759*0.4,IF(AND(0.4*U759-VLOOKUP(B749,INDIRECT($F$8),8+(O759-1)*3)&lt;=5,0.3*S759-VLOOKUP(B749,INDIRECT($F$8),6+(O759-1)*3)&lt;=5),MAX(0.4*U759-VLOOKUP(B749,INDIRECT($F$8),8+(O759-1)*3),0.3*S759-VLOOKUP(B749,INDIRECT($F$8),6+(O759-1)*3)),11),IF(0.3*S759-VLOOKUP(B749,INDIRECT($F$8),6+(O759-1)*3)&lt;=5,0.3*S759-VLOOKUP(B749,INDIRECT($F$8),6+(O759-1)*3),11)),IF(VLOOKUP(B749,INDIRECT($F$8),8+(O759-1)*3)&lt;U759*0.4,IF(U759*0.4-VLOOKUP(B749,INDIRECT($F$8),8+(O759-1)*3)&lt;=5,U759*0.4-VLOOKUP(B749,INDIRECT($F$8),8+(O759-1)*3),11),0))))</f>
        <v/>
      </c>
      <c r="X759" s="1" t="str">
        <f ca="1">IF(ISERROR(F749),"",IF(W759=0,"",_xlfn.TEXTJOIN("",FALSE," G+",W759," in ",A759)))</f>
        <v/>
      </c>
    </row>
    <row r="760" spans="1:24" ht="13" customHeight="1" x14ac:dyDescent="0.2">
      <c r="A760" s="7" t="str">
        <f ca="1">IF(ISERROR(F749),"",VLOOKUP(C749,INDIRECT($F$8),6+(O760-1)*3,0))</f>
        <v/>
      </c>
      <c r="B760" s="41" t="str">
        <f ca="1">IF(ISERROR(F749),"",VLOOKUP(D749,INDIRECT($F$8),6+(O760-1)*3,0))</f>
        <v/>
      </c>
      <c r="C760" s="41"/>
      <c r="D760" s="41"/>
      <c r="E760" s="41"/>
      <c r="F760" s="7" t="str">
        <f ca="1">IF(ISERROR(F749),"",VLOOKUP(E749,INDIRECT($F$8),6+(O760-1)*3,0))</f>
        <v/>
      </c>
      <c r="G760" s="42" t="str">
        <f ca="1">IF(ISERROR(F749),"",_xlfn.TEXTJOIN("/",FALSE,P760,S760))</f>
        <v/>
      </c>
      <c r="H760" s="42"/>
      <c r="I760" s="42" t="str">
        <f ca="1">IF(ISERROR(F749),"",_xlfn.TEXTJOIN("/",FALSE,Q760,T760))</f>
        <v/>
      </c>
      <c r="J760" s="42"/>
      <c r="K760" s="42" t="str">
        <f ca="1">IF(ISERROR(F749),"",_xlfn.TEXTJOIN("/",FALSE,R760,U760))</f>
        <v/>
      </c>
      <c r="L760" s="42"/>
      <c r="M760" s="7" t="str">
        <f ca="1">IF(ISERROR(F749),"",IF(ISTEXT(P760),IF(P760="A","Ab",IF(P760="D","Dt",IF(P760="UFM","UFM",IF(P760="NA","")))),IF(AND(ISBLANK(P760),ISBLANK(R760)),"",IF(P760&lt;0.3*S760,"F",IF(ISBLANK(R760),"",IF(ISTEXT(R760),R760,IF(R760&gt;=0.9*U760,"O",IF(R760&gt;=0.85*U760,"A+",IF(R760&gt;=0.8*U760,"A",IF(R760&gt;=0.7*U760,"B+",IF(R760&gt;=0.6*U760,"B",IF(R760&gt;=0.5*U760,"C",IF(R760&gt;=0.4*U760,"P",IF(R760&lt;0.4*U760,"F",R760))))))))))))))</f>
        <v/>
      </c>
      <c r="N760" s="8" t="str">
        <f t="shared" ca="1" si="78"/>
        <v/>
      </c>
      <c r="O760">
        <f t="shared" si="79"/>
        <v>7</v>
      </c>
      <c r="P760" s="1" t="str">
        <f ca="1">IF(ISERROR(F749),"",IF(ISTEXT(VLOOKUP(B749,INDIRECT($F$8),6+(O760-1)*3)),(VLOOKUP(B749,INDIRECT($F$8),6+(O760-1)*3)),SUM(VLOOKUP(B749,INDIRECT($F$8),6+(O760-1)*3),IF(W764,W760,0))))</f>
        <v/>
      </c>
      <c r="Q760" s="1" t="str">
        <f ca="1">IF(ISERROR(F749),"",VLOOKUP(B749,INDIRECT($F$8),7+(O760-1)*3))</f>
        <v/>
      </c>
      <c r="R760" s="1" t="str">
        <f ca="1">IF(ISERROR(F749),"",SUM(P760:Q760))</f>
        <v/>
      </c>
      <c r="S760" s="1" t="str">
        <f ca="1">IF(ISERROR(F749),"",VLOOKUP(A749,INDIRECT($F$8),6+(O760-1)*3))</f>
        <v/>
      </c>
      <c r="T760" s="1" t="str">
        <f ca="1">IF(ISERROR(F749),"",VLOOKUP(A749,INDIRECT($F$8),7+(O760-1)*3))</f>
        <v/>
      </c>
      <c r="U760" s="1" t="str">
        <f ca="1">IF(ISERROR(F749),"",VLOOKUP(A749,INDIRECT($F$8),8+(O760-1)*3))</f>
        <v/>
      </c>
      <c r="V760" s="1" t="str">
        <f ca="1">IF(ISERROR(F749),"",IF(N760=0,A760,""))</f>
        <v/>
      </c>
      <c r="W760" s="1" t="str">
        <f ca="1">IF(ISERROR(F749),"",IF(ISTEXT(VLOOKUP(B749,INDIRECT($F$8),6+(O760-1)*3)),11,IF(VLOOKUP(B749,INDIRECT($F$8),6+(O760-1)*3)&lt;S760*0.3,IF(VLOOKUP(B749,INDIRECT($F$8),8+(O760-1)*3)&lt;U760*0.4,IF(AND(0.4*U760-VLOOKUP(B749,INDIRECT($F$8),8+(O760-1)*3)&lt;=5,0.3*S760-VLOOKUP(B749,INDIRECT($F$8),6+(O760-1)*3)&lt;=5),MAX(0.4*U760-VLOOKUP(B749,INDIRECT($F$8),8+(O760-1)*3),0.3*S760-VLOOKUP(B749,INDIRECT($F$8),6+(O760-1)*3)),11),IF(0.3*S760-VLOOKUP(B749,INDIRECT($F$8),6+(O760-1)*3)&lt;=5,0.3*S760-VLOOKUP(B749,INDIRECT($F$8),6+(O760-1)*3),11)),IF(VLOOKUP(B749,INDIRECT($F$8),8+(O760-1)*3)&lt;U760*0.4,IF(U760*0.4-VLOOKUP(B749,INDIRECT($F$8),8+(O760-1)*3)&lt;=5,U760*0.4-VLOOKUP(B749,INDIRECT($F$8),8+(O760-1)*3),11),0))))</f>
        <v/>
      </c>
      <c r="X760" s="1" t="str">
        <f ca="1">IF(ISERROR(F749),"",IF(W760=0,"",_xlfn.TEXTJOIN("",FALSE," G+",W760," in ",A760)))</f>
        <v/>
      </c>
    </row>
    <row r="761" spans="1:24" ht="13" customHeight="1" x14ac:dyDescent="0.2">
      <c r="A761" s="7" t="str">
        <f ca="1">IF(ISERROR(F749),"",VLOOKUP(C749,INDIRECT($F$8),6+(O761-1)*3,0))</f>
        <v/>
      </c>
      <c r="B761" s="41" t="str">
        <f ca="1">IF(ISERROR(F749),"",VLOOKUP(D749,INDIRECT($F$8),6+(O761-1)*3-Z761,0))</f>
        <v/>
      </c>
      <c r="C761" s="41"/>
      <c r="D761" s="41"/>
      <c r="E761" s="41"/>
      <c r="F761" s="7" t="str">
        <f ca="1">IF(ISERROR(F749),"",VLOOKUP(E749,INDIRECT($F$8),6+(O761-1)*3,0))</f>
        <v/>
      </c>
      <c r="G761" s="42" t="str">
        <f ca="1">IF(ISERROR(F749),"",_xlfn.TEXTJOIN("/",FALSE,P761,S761))</f>
        <v/>
      </c>
      <c r="H761" s="42"/>
      <c r="I761" s="42" t="str">
        <f ca="1">IF(ISERROR(F749),"",_xlfn.TEXTJOIN("/",FALSE,Q761,T761))</f>
        <v/>
      </c>
      <c r="J761" s="42"/>
      <c r="K761" s="42" t="str">
        <f ca="1">IF(ISERROR(F749),"",_xlfn.TEXTJOIN("/",FALSE,R761,U761))</f>
        <v/>
      </c>
      <c r="L761" s="42"/>
      <c r="M761" s="7" t="str">
        <f ca="1">IF(ISERROR(F749),"",IF(ISTEXT(P761),IF(P761="A","Ab",IF(P761="D","Dt",IF(P761="UFM","UFM",IF(P761="NA","")))),IF(AND(ISBLANK(P761),ISBLANK(R761)),"",IF(P761&lt;0.3*S761,"F",IF(ISBLANK(R761),"",IF(ISTEXT(R761),R761,IF(R761&gt;=0.9*U761,"O",IF(R761&gt;=0.85*U761,"A+",IF(R761&gt;=0.8*U761,"A",IF(R761&gt;=0.7*U761,"B+",IF(R761&gt;=0.6*U761,"B",IF(R761&gt;=0.5*U761,"C",IF(R761&gt;=0.4*U761,"P",IF(R761&lt;0.4*U761,"F",R761))))))))))))))</f>
        <v/>
      </c>
      <c r="N761" s="8" t="str">
        <f t="shared" ca="1" si="78"/>
        <v/>
      </c>
      <c r="O761">
        <f t="shared" si="79"/>
        <v>8</v>
      </c>
      <c r="P761" s="1" t="str">
        <f ca="1">IF(ISERROR(F749),"",IF(ISTEXT(VLOOKUP(B749,INDIRECT($F$8),6+(O761-1)*3)),(VLOOKUP(B749,INDIRECT($F$8),6+(O761-1)*3)),SUM(VLOOKUP(B749,INDIRECT($F$8),6+(O761-1)*3),IF(W764,W761,0))))</f>
        <v/>
      </c>
      <c r="Q761" s="1" t="str">
        <f ca="1">IF(ISERROR(F749),"",VLOOKUP(B749,INDIRECT($F$8),7+(O761-1)*3))</f>
        <v/>
      </c>
      <c r="R761" s="1" t="str">
        <f ca="1">IF(ISERROR(F749),"",SUM(P761:Q761))</f>
        <v/>
      </c>
      <c r="S761" s="1" t="str">
        <f ca="1">IF(ISERROR(F749),"",VLOOKUP(A749,INDIRECT($F$8),6+(O761-1)*3))</f>
        <v/>
      </c>
      <c r="T761" s="1" t="str">
        <f ca="1">IF(ISERROR(F749),"",VLOOKUP(A749,INDIRECT($F$8),7+(O761-1)*3))</f>
        <v/>
      </c>
      <c r="U761" s="1" t="str">
        <f ca="1">IF(ISERROR(F749),"",VLOOKUP(A749,INDIRECT($F$8),8+(O761-1)*3))</f>
        <v/>
      </c>
      <c r="V761" s="1" t="str">
        <f ca="1">IF(ISERROR(F749),"",IF(N761=0,A761,""))</f>
        <v/>
      </c>
      <c r="W761" s="1" t="str">
        <f ca="1">IF(ISERROR(F749),"",IF(ISTEXT(VLOOKUP(B749,INDIRECT($F$8),6+(O761-1)*3)),11,IF(VLOOKUP(B749,INDIRECT($F$8),6+(O761-1)*3)&lt;S761*0.3,IF(VLOOKUP(B749,INDIRECT($F$8),8+(O761-1)*3)&lt;U761*0.4,IF(AND(0.4*U761-VLOOKUP(B749,INDIRECT($F$8),8+(O761-1)*3)&lt;=5,0.3*S761-VLOOKUP(B749,INDIRECT($F$8),6+(O761-1)*3)&lt;=5),MAX(0.4*U761-VLOOKUP(B749,INDIRECT($F$8),8+(O761-1)*3),0.3*S761-VLOOKUP(B749,INDIRECT($F$8),6+(O761-1)*3)),11),IF(0.3*S761-VLOOKUP(B749,INDIRECT($F$8),6+(O761-1)*3)&lt;=5,0.3*S761-VLOOKUP(B749,INDIRECT($F$8),6+(O761-1)*3),11)),IF(VLOOKUP(B749,INDIRECT($F$8),8+(O761-1)*3)&lt;U761*0.4,IF(U761*0.4-VLOOKUP(B749,INDIRECT($F$8),8+(O761-1)*3)&lt;=5,U761*0.4-VLOOKUP(B749,INDIRECT($F$8),8+(O761-1)*3),11),0))))</f>
        <v/>
      </c>
      <c r="X761" s="1" t="str">
        <f ca="1">IF(ISERROR(F749),"",IF(W761=0,"",_xlfn.TEXTJOIN("",FALSE," G+",W761," in ",A761)))</f>
        <v/>
      </c>
    </row>
    <row r="762" spans="1:24" ht="13" customHeight="1" x14ac:dyDescent="0.2">
      <c r="A762" s="7" t="str">
        <f ca="1">IF(ISERROR(F749),"",VLOOKUP(C749,INDIRECT($F$8),6+(O762-1)*3,0))</f>
        <v/>
      </c>
      <c r="B762" s="41" t="str">
        <f ca="1">IF(ISERROR(F749),"",VLOOKUP(D749,INDIRECT($F$8),6+(O762-1)*3-Z762,0))</f>
        <v/>
      </c>
      <c r="C762" s="41"/>
      <c r="D762" s="41"/>
      <c r="E762" s="41"/>
      <c r="F762" s="7" t="str">
        <f ca="1">IF(ISERROR(F749),"",VLOOKUP(E749,INDIRECT($F$8),6+(O762-1)*3,0))</f>
        <v/>
      </c>
      <c r="G762" s="42" t="str">
        <f ca="1">IF(ISERROR(F749),"",_xlfn.TEXTJOIN("/",FALSE,P762,S762))</f>
        <v/>
      </c>
      <c r="H762" s="42"/>
      <c r="I762" s="42" t="str">
        <f ca="1">IF(ISERROR(F749),"",_xlfn.TEXTJOIN("/",FALSE,Q762,T762))</f>
        <v/>
      </c>
      <c r="J762" s="42"/>
      <c r="K762" s="42" t="str">
        <f ca="1">IF(ISERROR(F749),"",_xlfn.TEXTJOIN("/",FALSE,R762,U762))</f>
        <v/>
      </c>
      <c r="L762" s="42"/>
      <c r="M762" s="7" t="str">
        <f ca="1">IF(ISERROR(F749),"",IF(ISTEXT(P762),IF(P762="A","Ab",IF(P762="D","Dt",IF(P762="UFM","UFM",IF(P762="NA","")))),IF(AND(ISBLANK(P762),ISBLANK(R762)),"",IF(P762&lt;0.3*S762,"F",IF(ISBLANK(R762),"",IF(ISTEXT(R762),R762,IF(R762&gt;=0.9*U762,"O",IF(R762&gt;=0.85*U762,"A+",IF(R762&gt;=0.8*U762,"A",IF(R762&gt;=0.7*U762,"B+",IF(R762&gt;=0.6*U762,"B",IF(R762&gt;=0.5*U762,"C",IF(R762&gt;=0.4*U762,"P",IF(R762&lt;0.4*U762,"F",R762))))))))))))))</f>
        <v/>
      </c>
      <c r="N762" s="8" t="str">
        <f t="shared" ca="1" si="78"/>
        <v/>
      </c>
      <c r="O762">
        <f t="shared" si="79"/>
        <v>9</v>
      </c>
      <c r="P762" s="1" t="str">
        <f ca="1">IF(ISERROR(F749),"",IF(ISTEXT(VLOOKUP(B749,INDIRECT($F$8),6+(O762-1)*3)),(VLOOKUP(B749,INDIRECT($F$8),6+(O762-1)*3)),SUM(VLOOKUP(B749,INDIRECT($F$8),6+(O762-1)*3),IF(W764,W762,0))))</f>
        <v/>
      </c>
      <c r="Q762" s="1" t="str">
        <f ca="1">IF(ISERROR(F749),"",VLOOKUP(B749,INDIRECT($F$8),7+(O762-1)*3))</f>
        <v/>
      </c>
      <c r="R762" s="1" t="str">
        <f ca="1">IF(ISERROR(F749),"",SUM(P762:Q762))</f>
        <v/>
      </c>
      <c r="S762" s="1" t="str">
        <f ca="1">IF(ISERROR(F749),"",VLOOKUP(A749,INDIRECT($F$8),6+(O762-1)*3))</f>
        <v/>
      </c>
      <c r="T762" s="1" t="str">
        <f ca="1">IF(ISERROR(F749),"",VLOOKUP(A749,INDIRECT($F$8),7+(O762-1)*3))</f>
        <v/>
      </c>
      <c r="U762" s="1" t="str">
        <f ca="1">IF(ISERROR(F749),"",VLOOKUP(A749,INDIRECT($F$8),8+(O762-1)*3))</f>
        <v/>
      </c>
      <c r="V762" s="1" t="str">
        <f ca="1">IF(ISERROR(F749),"",IF(N762=0,A762,""))</f>
        <v/>
      </c>
      <c r="W762" s="1" t="str">
        <f ca="1">IF(ISERROR(F749),"",IF(ISTEXT(VLOOKUP(B749,INDIRECT($F$8),6+(O762-1)*3)),11,IF(VLOOKUP(B749,INDIRECT($F$8),6+(O762-1)*3)&lt;S762*0.3,IF(VLOOKUP(B749,INDIRECT($F$8),8+(O762-1)*3)&lt;U762*0.4,IF(AND(0.4*U762-VLOOKUP(B749,INDIRECT($F$8),8+(O762-1)*3)&lt;=5,0.3*S762-VLOOKUP(B749,INDIRECT($F$8),6+(O762-1)*3)&lt;=5),MAX(0.4*U762-VLOOKUP(B749,INDIRECT($F$8),8+(O762-1)*3),0.3*S762-VLOOKUP(B749,INDIRECT($F$8),6+(O762-1)*3)),11),IF(0.3*S762-VLOOKUP(B749,INDIRECT($F$8),6+(O762-1)*3)&lt;=5,0.3*S762-VLOOKUP(B749,INDIRECT($F$8),6+(O762-1)*3),11)),IF(VLOOKUP(B749,INDIRECT($F$8),8+(O762-1)*3)&lt;U762*0.4,IF(U762*0.4-VLOOKUP(B749,INDIRECT($F$8),8+(O762-1)*3)&lt;=5,U762*0.4-VLOOKUP(B749,INDIRECT($F$8),8+(O762-1)*3),11),0))))</f>
        <v/>
      </c>
      <c r="X762" s="1" t="str">
        <f ca="1">IF(ISERROR(F749),"",IF(W762=0,"",_xlfn.TEXTJOIN("",FALSE," G+",W762," in ",A762)))</f>
        <v/>
      </c>
    </row>
    <row r="763" spans="1:24" ht="13" customHeight="1" x14ac:dyDescent="0.2">
      <c r="A763" s="7" t="str">
        <f ca="1">IF(ISERROR(F749),"",VLOOKUP(C749,INDIRECT($F$8),6+(O763-1)*3,0))</f>
        <v/>
      </c>
      <c r="B763" s="41" t="str">
        <f ca="1">IF(ISERROR(F749),"",VLOOKUP(D749,INDIRECT($F$8),6+(O763-1)*3,0))</f>
        <v/>
      </c>
      <c r="C763" s="41"/>
      <c r="D763" s="41"/>
      <c r="E763" s="41"/>
      <c r="F763" s="7" t="str">
        <f ca="1">IF(ISERROR(F749),"",VLOOKUP(E749,INDIRECT($F$8),6+(O763-1)*3,0))</f>
        <v/>
      </c>
      <c r="G763" s="42" t="str">
        <f ca="1">IF(ISERROR(F749),"",_xlfn.TEXTJOIN("/",FALSE,P763,S763))</f>
        <v/>
      </c>
      <c r="H763" s="42"/>
      <c r="I763" s="42" t="str">
        <f ca="1">IF(ISERROR(F749),"",_xlfn.TEXTJOIN("/",FALSE,Q763,T763))</f>
        <v/>
      </c>
      <c r="J763" s="42"/>
      <c r="K763" s="42" t="str">
        <f ca="1">IF(ISERROR(F749),"",_xlfn.TEXTJOIN("/",FALSE,R763,U763))</f>
        <v/>
      </c>
      <c r="L763" s="42"/>
      <c r="M763" s="7" t="str">
        <f ca="1">IF(ISERROR(F749),"",IF(ISTEXT(P763),IF(P763="A","Ab",IF(P763="D","Dt",IF(P763="UFM","UFM",IF(P763="NA","")))),IF(AND(ISBLANK(P763),ISBLANK(R763)),"",IF(P763&lt;0.3*S763,"F",IF(ISBLANK(R763),"",IF(ISTEXT(R763),R763,IF(R763&gt;=0.9*U763,"O",IF(R763&gt;=0.85*U763,"A+",IF(R763&gt;=0.8*U763,"A",IF(R763&gt;=0.7*U763,"B+",IF(R763&gt;=0.6*U763,"B",IF(R763&gt;=0.5*U763,"C",IF(R763&gt;=0.4*U763,"P",IF(R763&lt;0.4*U763,"F",R763))))))))))))))</f>
        <v/>
      </c>
      <c r="N763" s="8" t="str">
        <f t="shared" ca="1" si="78"/>
        <v/>
      </c>
      <c r="O763">
        <f t="shared" si="79"/>
        <v>10</v>
      </c>
      <c r="P763" s="1" t="str">
        <f ca="1">IF(ISERROR(F749),"",IF(ISTEXT(VLOOKUP(B749,INDIRECT($F$8),6+(O763-1)*3)),(VLOOKUP(B749,INDIRECT($F$8),6+(O763-1)*3)),SUM(VLOOKUP(B749,INDIRECT($F$8),6+(O763-1)*3),IF(W764,W763,0))))</f>
        <v/>
      </c>
      <c r="Q763" s="1" t="str">
        <f ca="1">IF(ISERROR(F749),"",VLOOKUP(B749,INDIRECT($F$8),7+(O763-1)*3))</f>
        <v/>
      </c>
      <c r="R763" s="1" t="str">
        <f ca="1">IF(ISERROR(F749),"",SUM(P763:Q763))</f>
        <v/>
      </c>
      <c r="S763" s="1" t="str">
        <f ca="1">IF(ISERROR(F749),"",VLOOKUP(A749,INDIRECT($F$8),6+(O763-1)*3))</f>
        <v/>
      </c>
      <c r="T763" s="1" t="str">
        <f ca="1">IF(ISERROR(F749),"",VLOOKUP(A749,INDIRECT($F$8),7+(O763-1)*3))</f>
        <v/>
      </c>
      <c r="U763" s="1" t="str">
        <f ca="1">IF(ISERROR(F749),"",VLOOKUP(A749,INDIRECT($F$8),8+(O763-1)*3))</f>
        <v/>
      </c>
      <c r="V763" s="1" t="str">
        <f ca="1">IF(ISERROR(F749),"",IF(N763=0,A763,""))</f>
        <v/>
      </c>
      <c r="W763" s="1" t="str">
        <f ca="1">IF(ISERROR(F749),"",IF(ISTEXT(VLOOKUP(B749,INDIRECT($F$8),6+(O763-1)*3)),11,IF(VLOOKUP(B749,INDIRECT($F$8),6+(O763-1)*3)&lt;S763*0.3,IF(VLOOKUP(B749,INDIRECT($F$8),8+(O763-1)*3)&lt;U763*0.4,IF(AND(0.4*U763-VLOOKUP(B749,INDIRECT($F$8),8+(O763-1)*3)&lt;=5,0.3*S763-VLOOKUP(B749,INDIRECT($F$8),6+(O763-1)*3)&lt;=5),MAX(0.4*U763-VLOOKUP(B749,INDIRECT($F$8),8+(O763-1)*3),0.3*S763-VLOOKUP(B749,INDIRECT($F$8),6+(O763-1)*3)),11),IF(0.3*S763-VLOOKUP(B749,INDIRECT($F$8),6+(O763-1)*3)&lt;=5,0.3*S763-VLOOKUP(B749,INDIRECT($F$8),6+(O763-1)*3),11)),IF(VLOOKUP(B749,INDIRECT($F$8),8+(O763-1)*3)&lt;U763*0.4,IF(U763*0.4-VLOOKUP(B749,INDIRECT($F$8),8+(O763-1)*3)&lt;=5,U763*0.4-VLOOKUP(B749,INDIRECT($F$8),8+(O763-1)*3),11),0))))</f>
        <v/>
      </c>
      <c r="X763" s="1" t="str">
        <f ca="1">IF(ISERROR(F749),"",IF(W763=0,"",_xlfn.TEXTJOIN("",FALSE," G+",W763," in ",A763)))</f>
        <v/>
      </c>
    </row>
    <row r="764" spans="1:24" ht="13" customHeight="1" x14ac:dyDescent="0.2">
      <c r="A764" s="43" t="str">
        <f ca="1">IF(ISERROR(F749),"",A745)</f>
        <v/>
      </c>
      <c r="B764" s="43"/>
      <c r="C764" s="43"/>
      <c r="D764" s="43"/>
      <c r="E764" s="43"/>
      <c r="F764" s="10" t="str">
        <f ca="1">IF(ISERROR(F749),"",SUM(F754:F763))</f>
        <v/>
      </c>
      <c r="G764" s="44" t="str">
        <f ca="1">IF(ISERROR(F749),"",_xlfn.TEXTJOIN("/",TRUE,SUMIF(F754:F763,"&gt;0",P754:P763),SUMIF(F754:F763,"&gt;0",S754:S763)))</f>
        <v/>
      </c>
      <c r="H764" s="44"/>
      <c r="I764" s="44" t="str">
        <f ca="1">IF(ISERROR(F749),"",_xlfn.TEXTJOIN("/",TRUE,SUMIF(F754:F763,"&gt;0",Q754:Q763),SUMIF(F754:F763,"&gt;0",T754:T763)))</f>
        <v/>
      </c>
      <c r="J764" s="44"/>
      <c r="K764" s="44" t="str">
        <f ca="1">IF(ISERROR(F749),"",_xlfn.TEXTJOIN("/",TRUE,SUMIF(F754:F763,"&gt;0",R754:R763),SUMIF(F754:F763,"&gt;0",U754:U763)))</f>
        <v/>
      </c>
      <c r="L764" s="44"/>
      <c r="M764" s="43" t="str">
        <f ca="1">IF(ISERROR(F749),"",SUMPRODUCT(N754:N763,F754:F763))</f>
        <v/>
      </c>
      <c r="N764" s="43"/>
      <c r="V764" s="1" t="str">
        <f ca="1">IF(ISERROR(F749),"",_xlfn.TEXTJOIN(", ",TRUE,V754:V763))</f>
        <v/>
      </c>
      <c r="W764" t="str">
        <f ca="1">IF(ISERROR(F749),"",IF(SUM(W754:W763)&lt;=W753,TRUE,FALSE))</f>
        <v/>
      </c>
      <c r="X764" s="1" t="str">
        <f ca="1">IF(ISERROR(F749),"",_xlfn.TEXTJOIN(",",TRUE,X754:X763))</f>
        <v/>
      </c>
    </row>
    <row r="765" spans="1:24" ht="13" customHeight="1" x14ac:dyDescent="0.2">
      <c r="A765" s="43" t="str">
        <f ca="1">IF(ISERROR(F749),"",A746)</f>
        <v/>
      </c>
      <c r="B765" s="45" t="str">
        <f ca="1">IF(ISERROR(F749),"",IF(V764="","PASS","CARRY OVER"))</f>
        <v/>
      </c>
      <c r="C765" s="45"/>
      <c r="D765" s="43" t="str">
        <f ca="1">IF(ISERROR(F749),"",D746)</f>
        <v/>
      </c>
      <c r="E765" s="45" t="str">
        <f ca="1">IF(ISERROR(F749),"",IF(V764="",IF(X764="","",X764),_xlfn.TEXTJOIN(" ",TRUE,"BACK IN",V764)))</f>
        <v/>
      </c>
      <c r="F765" s="45"/>
      <c r="G765" s="43" t="str">
        <f ca="1">IF(ISERROR(F749),"",G746)</f>
        <v/>
      </c>
      <c r="H765" s="46" t="str">
        <f ca="1">IF(ISERROR(F749),"",M764/F764)</f>
        <v/>
      </c>
      <c r="I765" s="43" t="str">
        <f ca="1">IF(ISERROR(F749),"",I746)</f>
        <v/>
      </c>
      <c r="J765" s="46" t="str">
        <f ca="1">IF(ISERROR(F749),"",VLOOKUP(B749,INDIRECT($F$8),12+(O763-1)*3,0))</f>
        <v/>
      </c>
      <c r="K765" s="45" t="str">
        <f ca="1">IF(ISERROR(F749),"",K746)</f>
        <v/>
      </c>
      <c r="L765" s="43" t="str">
        <f ca="1">IF(ISERROR(F749),"",SUMIF(N754:N763,"&gt;0",F754:F763))</f>
        <v/>
      </c>
      <c r="M765" s="45" t="str">
        <f ca="1">IF(ISERROR(F749),"",M746)</f>
        <v/>
      </c>
      <c r="N765" s="43" t="str">
        <f ca="1">IF(ISERROR(F749),"",VLOOKUP(B749,INDIRECT($F$8),10+(O763-1)*3,0))</f>
        <v/>
      </c>
    </row>
    <row r="766" spans="1:24" ht="13" customHeight="1" x14ac:dyDescent="0.2">
      <c r="A766" s="43"/>
      <c r="B766" s="45"/>
      <c r="C766" s="45"/>
      <c r="D766" s="43"/>
      <c r="E766" s="45"/>
      <c r="F766" s="45"/>
      <c r="G766" s="43"/>
      <c r="H766" s="46"/>
      <c r="I766" s="43"/>
      <c r="J766" s="46"/>
      <c r="K766" s="45"/>
      <c r="L766" s="43"/>
      <c r="M766" s="45"/>
      <c r="N766" s="43"/>
    </row>
    <row r="767" spans="1:24" ht="48" customHeight="1" x14ac:dyDescent="0.2">
      <c r="A767" s="43"/>
      <c r="B767" s="45"/>
      <c r="C767" s="45"/>
      <c r="D767" s="43"/>
      <c r="E767" s="45"/>
      <c r="F767" s="45"/>
      <c r="G767" s="43"/>
      <c r="H767" s="46"/>
      <c r="I767" s="43"/>
      <c r="J767" s="46"/>
      <c r="K767" s="45"/>
      <c r="L767" s="43"/>
      <c r="M767" s="45"/>
      <c r="N767" s="43"/>
    </row>
  </sheetData>
  <mergeCells count="2924">
    <mergeCell ref="I19:J19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B17:E17"/>
    <mergeCell ref="G17:H17"/>
    <mergeCell ref="I17:J17"/>
    <mergeCell ref="K17:L17"/>
    <mergeCell ref="B18:E18"/>
    <mergeCell ref="G18:H18"/>
    <mergeCell ref="I18:J18"/>
    <mergeCell ref="K18:L18"/>
    <mergeCell ref="B15:E15"/>
    <mergeCell ref="G15:H15"/>
    <mergeCell ref="I15:J15"/>
    <mergeCell ref="K15:L15"/>
    <mergeCell ref="B16:E16"/>
    <mergeCell ref="G16:H16"/>
    <mergeCell ref="I16:J16"/>
    <mergeCell ref="K16:L16"/>
    <mergeCell ref="G24:G26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3:E13"/>
    <mergeCell ref="G13:H13"/>
    <mergeCell ref="I13:J13"/>
    <mergeCell ref="K13:L13"/>
    <mergeCell ref="B14:E14"/>
    <mergeCell ref="G14:H14"/>
    <mergeCell ref="A23:E23"/>
    <mergeCell ref="G23:H23"/>
    <mergeCell ref="I23:J23"/>
    <mergeCell ref="K23:L23"/>
    <mergeCell ref="M23:N23"/>
    <mergeCell ref="B21:E21"/>
    <mergeCell ref="G21:H21"/>
    <mergeCell ref="I21:J21"/>
    <mergeCell ref="K21:L21"/>
    <mergeCell ref="B22:E22"/>
    <mergeCell ref="G22:H22"/>
    <mergeCell ref="I22:J22"/>
    <mergeCell ref="K22:L22"/>
    <mergeCell ref="B19:E19"/>
    <mergeCell ref="G19:H19"/>
    <mergeCell ref="K33:L33"/>
    <mergeCell ref="K19:L19"/>
    <mergeCell ref="B20:E20"/>
    <mergeCell ref="G20:H20"/>
    <mergeCell ref="I20:J20"/>
    <mergeCell ref="K20:L20"/>
    <mergeCell ref="K28:L29"/>
    <mergeCell ref="M28:N29"/>
    <mergeCell ref="A30:A31"/>
    <mergeCell ref="B30:E31"/>
    <mergeCell ref="F30:F31"/>
    <mergeCell ref="G30:H31"/>
    <mergeCell ref="I30:J31"/>
    <mergeCell ref="K30:L31"/>
    <mergeCell ref="M30:M31"/>
    <mergeCell ref="N30:N31"/>
    <mergeCell ref="A28:A29"/>
    <mergeCell ref="B28:C29"/>
    <mergeCell ref="D28:D29"/>
    <mergeCell ref="E28:F29"/>
    <mergeCell ref="G28:H29"/>
    <mergeCell ref="I28:J29"/>
    <mergeCell ref="I24:I26"/>
    <mergeCell ref="J24:J26"/>
    <mergeCell ref="K24:K26"/>
    <mergeCell ref="L24:L26"/>
    <mergeCell ref="M24:M26"/>
    <mergeCell ref="N24:N26"/>
    <mergeCell ref="A24:A26"/>
    <mergeCell ref="B24:C26"/>
    <mergeCell ref="D24:D26"/>
    <mergeCell ref="E24:F26"/>
    <mergeCell ref="B38:E38"/>
    <mergeCell ref="G38:H38"/>
    <mergeCell ref="I38:J38"/>
    <mergeCell ref="K38:L38"/>
    <mergeCell ref="B39:E39"/>
    <mergeCell ref="G39:H39"/>
    <mergeCell ref="I39:J39"/>
    <mergeCell ref="K39:L39"/>
    <mergeCell ref="H24:H26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G35:H35"/>
    <mergeCell ref="I35:J35"/>
    <mergeCell ref="K35:L35"/>
    <mergeCell ref="B32:E32"/>
    <mergeCell ref="G32:H32"/>
    <mergeCell ref="I32:J32"/>
    <mergeCell ref="K32:L32"/>
    <mergeCell ref="B33:E33"/>
    <mergeCell ref="G33:H33"/>
    <mergeCell ref="I33:J33"/>
    <mergeCell ref="A49:A50"/>
    <mergeCell ref="B49:E50"/>
    <mergeCell ref="F49:F50"/>
    <mergeCell ref="G49:H50"/>
    <mergeCell ref="A42:E42"/>
    <mergeCell ref="G42:H42"/>
    <mergeCell ref="I42:J42"/>
    <mergeCell ref="K42:L42"/>
    <mergeCell ref="M42:N42"/>
    <mergeCell ref="B40:E40"/>
    <mergeCell ref="G40:H40"/>
    <mergeCell ref="I40:J40"/>
    <mergeCell ref="K40:L40"/>
    <mergeCell ref="B41:E41"/>
    <mergeCell ref="G41:H41"/>
    <mergeCell ref="I41:J41"/>
    <mergeCell ref="K41:L41"/>
    <mergeCell ref="I43:I45"/>
    <mergeCell ref="J43:J45"/>
    <mergeCell ref="K43:K45"/>
    <mergeCell ref="L43:L45"/>
    <mergeCell ref="M43:M45"/>
    <mergeCell ref="N43:N45"/>
    <mergeCell ref="A43:A45"/>
    <mergeCell ref="B43:C45"/>
    <mergeCell ref="D43:D45"/>
    <mergeCell ref="E43:F45"/>
    <mergeCell ref="G43:G45"/>
    <mergeCell ref="H43:H45"/>
    <mergeCell ref="A47:A48"/>
    <mergeCell ref="B47:C48"/>
    <mergeCell ref="D47:D48"/>
    <mergeCell ref="E47:F48"/>
    <mergeCell ref="G47:H48"/>
    <mergeCell ref="I47:J48"/>
    <mergeCell ref="K47:L48"/>
    <mergeCell ref="M47:N48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K58:L58"/>
    <mergeCell ref="B52:E52"/>
    <mergeCell ref="G52:H52"/>
    <mergeCell ref="I52:J52"/>
    <mergeCell ref="K52:L52"/>
    <mergeCell ref="B53:E53"/>
    <mergeCell ref="G53:H53"/>
    <mergeCell ref="I53:J53"/>
    <mergeCell ref="K53:L53"/>
    <mergeCell ref="I49:J50"/>
    <mergeCell ref="K49:L50"/>
    <mergeCell ref="M49:M50"/>
    <mergeCell ref="N49:N50"/>
    <mergeCell ref="B51:E51"/>
    <mergeCell ref="G51:H51"/>
    <mergeCell ref="M100:M102"/>
    <mergeCell ref="N100:N102"/>
    <mergeCell ref="A104:A105"/>
    <mergeCell ref="B104:C105"/>
    <mergeCell ref="D104:D105"/>
    <mergeCell ref="E104:F105"/>
    <mergeCell ref="B96:E96"/>
    <mergeCell ref="G96:H96"/>
    <mergeCell ref="I96:J96"/>
    <mergeCell ref="K96:L96"/>
    <mergeCell ref="M99:N99"/>
    <mergeCell ref="A100:A102"/>
    <mergeCell ref="B100:C102"/>
    <mergeCell ref="D100:D102"/>
    <mergeCell ref="E100:F102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J81:J83"/>
    <mergeCell ref="K81:K83"/>
    <mergeCell ref="L81:L83"/>
    <mergeCell ref="M81:M83"/>
    <mergeCell ref="N81:N83"/>
    <mergeCell ref="G80:H80"/>
    <mergeCell ref="I80:J80"/>
    <mergeCell ref="K80:L80"/>
    <mergeCell ref="G99:H99"/>
    <mergeCell ref="I99:J99"/>
    <mergeCell ref="K99:L99"/>
    <mergeCell ref="A99:E99"/>
    <mergeCell ref="B97:E97"/>
    <mergeCell ref="G97:H97"/>
    <mergeCell ref="I97:J97"/>
    <mergeCell ref="K97:L97"/>
    <mergeCell ref="B98:E98"/>
    <mergeCell ref="G98:H98"/>
    <mergeCell ref="I98:J98"/>
    <mergeCell ref="K98:L98"/>
    <mergeCell ref="G100:G102"/>
    <mergeCell ref="H100:H102"/>
    <mergeCell ref="I100:I102"/>
    <mergeCell ref="J100:J102"/>
    <mergeCell ref="K100:K102"/>
    <mergeCell ref="L100:L102"/>
    <mergeCell ref="B131:E131"/>
    <mergeCell ref="G131:H131"/>
    <mergeCell ref="I131:J131"/>
    <mergeCell ref="K131:L131"/>
    <mergeCell ref="B132:E132"/>
    <mergeCell ref="G132:H132"/>
    <mergeCell ref="I132:J132"/>
    <mergeCell ref="K132:L132"/>
    <mergeCell ref="B133:E133"/>
    <mergeCell ref="G133:H133"/>
    <mergeCell ref="I133:J133"/>
    <mergeCell ref="K133:L133"/>
    <mergeCell ref="B134:E134"/>
    <mergeCell ref="G134:H134"/>
    <mergeCell ref="I134:J134"/>
    <mergeCell ref="K134:L134"/>
    <mergeCell ref="B135:E135"/>
    <mergeCell ref="G135:H135"/>
    <mergeCell ref="I135:J135"/>
    <mergeCell ref="K135:L135"/>
    <mergeCell ref="K147:L147"/>
    <mergeCell ref="B148:E148"/>
    <mergeCell ref="G148:H148"/>
    <mergeCell ref="I148:J148"/>
    <mergeCell ref="K148:L148"/>
    <mergeCell ref="B151:E151"/>
    <mergeCell ref="B146:E146"/>
    <mergeCell ref="G146:H146"/>
    <mergeCell ref="I146:J146"/>
    <mergeCell ref="K146:L146"/>
    <mergeCell ref="A138:A140"/>
    <mergeCell ref="B138:C140"/>
    <mergeCell ref="D138:D140"/>
    <mergeCell ref="E138:F140"/>
    <mergeCell ref="G138:G140"/>
    <mergeCell ref="H138:H140"/>
    <mergeCell ref="I138:I140"/>
    <mergeCell ref="J138:J140"/>
    <mergeCell ref="A144:A145"/>
    <mergeCell ref="B144:E145"/>
    <mergeCell ref="F144:F145"/>
    <mergeCell ref="G144:H145"/>
    <mergeCell ref="I144:J145"/>
    <mergeCell ref="K144:L145"/>
    <mergeCell ref="A175:E175"/>
    <mergeCell ref="G175:H175"/>
    <mergeCell ref="I175:J175"/>
    <mergeCell ref="K175:L175"/>
    <mergeCell ref="M175:N175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B173:E173"/>
    <mergeCell ref="G173:H173"/>
    <mergeCell ref="I173:J173"/>
    <mergeCell ref="K173:L173"/>
    <mergeCell ref="B174:E174"/>
    <mergeCell ref="G174:H174"/>
    <mergeCell ref="I174:J174"/>
    <mergeCell ref="K174:L174"/>
    <mergeCell ref="B187:E187"/>
    <mergeCell ref="G187:H187"/>
    <mergeCell ref="I187:J187"/>
    <mergeCell ref="K187:L187"/>
    <mergeCell ref="B188:E188"/>
    <mergeCell ref="G188:H188"/>
    <mergeCell ref="I188:J188"/>
    <mergeCell ref="K188:L18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B184:E184"/>
    <mergeCell ref="G184:H184"/>
    <mergeCell ref="I184:J184"/>
    <mergeCell ref="K184:L184"/>
    <mergeCell ref="G193:H193"/>
    <mergeCell ref="I193:J193"/>
    <mergeCell ref="K193:L193"/>
    <mergeCell ref="B191:E191"/>
    <mergeCell ref="G191:H191"/>
    <mergeCell ref="I191:J191"/>
    <mergeCell ref="K191:L191"/>
    <mergeCell ref="B192:E192"/>
    <mergeCell ref="G192:H192"/>
    <mergeCell ref="I192:J192"/>
    <mergeCell ref="K192:L192"/>
    <mergeCell ref="B189:E189"/>
    <mergeCell ref="G189:H189"/>
    <mergeCell ref="I189:J189"/>
    <mergeCell ref="K189:L189"/>
    <mergeCell ref="B190:E190"/>
    <mergeCell ref="G190:H190"/>
    <mergeCell ref="I190:J190"/>
    <mergeCell ref="K190:L190"/>
    <mergeCell ref="B193:E193"/>
    <mergeCell ref="K206:L206"/>
    <mergeCell ref="B207:E207"/>
    <mergeCell ref="G207:H207"/>
    <mergeCell ref="I207:J207"/>
    <mergeCell ref="K207:L207"/>
    <mergeCell ref="B204:E204"/>
    <mergeCell ref="G204:H204"/>
    <mergeCell ref="I204:J204"/>
    <mergeCell ref="K204:L204"/>
    <mergeCell ref="B205:E205"/>
    <mergeCell ref="G205:H205"/>
    <mergeCell ref="I205:J205"/>
    <mergeCell ref="K205:L205"/>
    <mergeCell ref="B203:E203"/>
    <mergeCell ref="G203:H203"/>
    <mergeCell ref="I203:J203"/>
    <mergeCell ref="K203:L203"/>
    <mergeCell ref="M218:N219"/>
    <mergeCell ref="M213:N213"/>
    <mergeCell ref="B212:E212"/>
    <mergeCell ref="G212:H212"/>
    <mergeCell ref="I212:J212"/>
    <mergeCell ref="K212:L212"/>
    <mergeCell ref="G213:H213"/>
    <mergeCell ref="I213:J213"/>
    <mergeCell ref="K213:L213"/>
    <mergeCell ref="B210:E210"/>
    <mergeCell ref="G210:H210"/>
    <mergeCell ref="I210:J210"/>
    <mergeCell ref="K210:L210"/>
    <mergeCell ref="B211:E211"/>
    <mergeCell ref="G211:H211"/>
    <mergeCell ref="I211:J211"/>
    <mergeCell ref="K211:L211"/>
    <mergeCell ref="B223:E223"/>
    <mergeCell ref="G223:H223"/>
    <mergeCell ref="I223:J223"/>
    <mergeCell ref="K223:L223"/>
    <mergeCell ref="B224:E224"/>
    <mergeCell ref="G224:H224"/>
    <mergeCell ref="I224:J224"/>
    <mergeCell ref="K224:L224"/>
    <mergeCell ref="A218:A219"/>
    <mergeCell ref="B218:C219"/>
    <mergeCell ref="D218:D219"/>
    <mergeCell ref="E218:F219"/>
    <mergeCell ref="G218:H219"/>
    <mergeCell ref="I218:J219"/>
    <mergeCell ref="K218:L219"/>
    <mergeCell ref="A220:A221"/>
    <mergeCell ref="B220:E221"/>
    <mergeCell ref="F220:F221"/>
    <mergeCell ref="G220:H221"/>
    <mergeCell ref="I220:J221"/>
    <mergeCell ref="K220:L221"/>
    <mergeCell ref="G230:H230"/>
    <mergeCell ref="I230:J230"/>
    <mergeCell ref="K230:L230"/>
    <mergeCell ref="B227:E227"/>
    <mergeCell ref="G227:H227"/>
    <mergeCell ref="I227:J227"/>
    <mergeCell ref="K227:L227"/>
    <mergeCell ref="B228:E228"/>
    <mergeCell ref="G228:H228"/>
    <mergeCell ref="I228:J228"/>
    <mergeCell ref="K228:L228"/>
    <mergeCell ref="B225:E225"/>
    <mergeCell ref="G225:H225"/>
    <mergeCell ref="I225:J225"/>
    <mergeCell ref="K225:L225"/>
    <mergeCell ref="B226:E226"/>
    <mergeCell ref="G226:H226"/>
    <mergeCell ref="I226:J226"/>
    <mergeCell ref="K226:L226"/>
    <mergeCell ref="K262:L262"/>
    <mergeCell ref="K249:L249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4:E244"/>
    <mergeCell ref="G244:H244"/>
    <mergeCell ref="I244:J244"/>
    <mergeCell ref="K244:L244"/>
    <mergeCell ref="B245:E245"/>
    <mergeCell ref="G245:H245"/>
    <mergeCell ref="I245:J245"/>
    <mergeCell ref="K245:L245"/>
    <mergeCell ref="K266:L266"/>
    <mergeCell ref="B264:E264"/>
    <mergeCell ref="G264:H264"/>
    <mergeCell ref="I264:J264"/>
    <mergeCell ref="K264:L264"/>
    <mergeCell ref="A256:A257"/>
    <mergeCell ref="B256:C257"/>
    <mergeCell ref="D256:D257"/>
    <mergeCell ref="E256:F257"/>
    <mergeCell ref="G256:H257"/>
    <mergeCell ref="I256:J257"/>
    <mergeCell ref="K256:L257"/>
    <mergeCell ref="M256:N257"/>
    <mergeCell ref="A258:A259"/>
    <mergeCell ref="B258:E259"/>
    <mergeCell ref="F258:F259"/>
    <mergeCell ref="G258:H259"/>
    <mergeCell ref="I258:J259"/>
    <mergeCell ref="K258:L259"/>
    <mergeCell ref="M258:M259"/>
    <mergeCell ref="N258:N259"/>
    <mergeCell ref="B260:E260"/>
    <mergeCell ref="G260:H260"/>
    <mergeCell ref="I260:J260"/>
    <mergeCell ref="K260:L260"/>
    <mergeCell ref="B261:E261"/>
    <mergeCell ref="G261:H261"/>
    <mergeCell ref="I261:J261"/>
    <mergeCell ref="K261:L261"/>
    <mergeCell ref="B262:E262"/>
    <mergeCell ref="G262:H262"/>
    <mergeCell ref="I262:J262"/>
    <mergeCell ref="K287:L287"/>
    <mergeCell ref="A277:A278"/>
    <mergeCell ref="B277:E278"/>
    <mergeCell ref="F277:F278"/>
    <mergeCell ref="G277:H278"/>
    <mergeCell ref="I277:J278"/>
    <mergeCell ref="K277:L278"/>
    <mergeCell ref="M277:M278"/>
    <mergeCell ref="N277:N278"/>
    <mergeCell ref="B269:E269"/>
    <mergeCell ref="G269:H269"/>
    <mergeCell ref="I269:J269"/>
    <mergeCell ref="K269:L269"/>
    <mergeCell ref="G270:H270"/>
    <mergeCell ref="I270:J270"/>
    <mergeCell ref="K270:L270"/>
    <mergeCell ref="A275:A276"/>
    <mergeCell ref="B275:C276"/>
    <mergeCell ref="D275:D276"/>
    <mergeCell ref="E275:F276"/>
    <mergeCell ref="G275:H276"/>
    <mergeCell ref="I275:J276"/>
    <mergeCell ref="K275:L276"/>
    <mergeCell ref="M275:N276"/>
    <mergeCell ref="B279:E279"/>
    <mergeCell ref="G279:H279"/>
    <mergeCell ref="I279:J279"/>
    <mergeCell ref="K279:L279"/>
    <mergeCell ref="A270:E270"/>
    <mergeCell ref="B280:E280"/>
    <mergeCell ref="G280:H280"/>
    <mergeCell ref="I280:J280"/>
    <mergeCell ref="B299:E299"/>
    <mergeCell ref="G299:H299"/>
    <mergeCell ref="I299:J299"/>
    <mergeCell ref="K299:L299"/>
    <mergeCell ref="B300:E300"/>
    <mergeCell ref="G300:H300"/>
    <mergeCell ref="I300:J300"/>
    <mergeCell ref="K300:L300"/>
    <mergeCell ref="B301:E301"/>
    <mergeCell ref="G301:H301"/>
    <mergeCell ref="I301:J301"/>
    <mergeCell ref="K301:L301"/>
    <mergeCell ref="B302:E302"/>
    <mergeCell ref="G302:H302"/>
    <mergeCell ref="I302:J302"/>
    <mergeCell ref="K302:L302"/>
    <mergeCell ref="B303:E303"/>
    <mergeCell ref="G303:H303"/>
    <mergeCell ref="I303:J303"/>
    <mergeCell ref="K303:L303"/>
    <mergeCell ref="A315:A316"/>
    <mergeCell ref="B315:E316"/>
    <mergeCell ref="F315:F316"/>
    <mergeCell ref="G315:H316"/>
    <mergeCell ref="I315:J316"/>
    <mergeCell ref="K315:L316"/>
    <mergeCell ref="M315:M316"/>
    <mergeCell ref="N315:N316"/>
    <mergeCell ref="B319:E319"/>
    <mergeCell ref="B307:E307"/>
    <mergeCell ref="G307:H307"/>
    <mergeCell ref="I307:J307"/>
    <mergeCell ref="K307:L307"/>
    <mergeCell ref="G308:H308"/>
    <mergeCell ref="I308:J308"/>
    <mergeCell ref="K308:L308"/>
    <mergeCell ref="A308:E308"/>
    <mergeCell ref="M308:N308"/>
    <mergeCell ref="M309:M311"/>
    <mergeCell ref="N309:N311"/>
    <mergeCell ref="A313:A314"/>
    <mergeCell ref="B313:C314"/>
    <mergeCell ref="D313:D314"/>
    <mergeCell ref="E313:F314"/>
    <mergeCell ref="G313:H314"/>
    <mergeCell ref="I313:J314"/>
    <mergeCell ref="K313:L314"/>
    <mergeCell ref="M313:N314"/>
    <mergeCell ref="B341:E341"/>
    <mergeCell ref="G341:H341"/>
    <mergeCell ref="I341:J341"/>
    <mergeCell ref="K341:L341"/>
    <mergeCell ref="B342:E342"/>
    <mergeCell ref="G342:H342"/>
    <mergeCell ref="I342:J342"/>
    <mergeCell ref="K342:L342"/>
    <mergeCell ref="B343:E343"/>
    <mergeCell ref="G343:H343"/>
    <mergeCell ref="I343:J343"/>
    <mergeCell ref="K343:L343"/>
    <mergeCell ref="B338:E338"/>
    <mergeCell ref="G338:H338"/>
    <mergeCell ref="I338:J338"/>
    <mergeCell ref="K338:L338"/>
    <mergeCell ref="B339:E339"/>
    <mergeCell ref="G339:H339"/>
    <mergeCell ref="I339:J339"/>
    <mergeCell ref="K339:L339"/>
    <mergeCell ref="K375:L375"/>
    <mergeCell ref="B362:E362"/>
    <mergeCell ref="G362:H362"/>
    <mergeCell ref="I362:J362"/>
    <mergeCell ref="K362:L362"/>
    <mergeCell ref="G361:H361"/>
    <mergeCell ref="I361:J361"/>
    <mergeCell ref="K361:L361"/>
    <mergeCell ref="B359:E359"/>
    <mergeCell ref="G359:H359"/>
    <mergeCell ref="I359:J359"/>
    <mergeCell ref="K359:L359"/>
    <mergeCell ref="B360:E360"/>
    <mergeCell ref="G360:H360"/>
    <mergeCell ref="I360:J360"/>
    <mergeCell ref="K360:L360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B363:E363"/>
    <mergeCell ref="G363:H363"/>
    <mergeCell ref="I363:J363"/>
    <mergeCell ref="K363:L363"/>
    <mergeCell ref="B364:E364"/>
    <mergeCell ref="G364:H364"/>
    <mergeCell ref="I364:J364"/>
    <mergeCell ref="K364:L364"/>
    <mergeCell ref="M384:N384"/>
    <mergeCell ref="K385:K387"/>
    <mergeCell ref="L385:L387"/>
    <mergeCell ref="M385:M387"/>
    <mergeCell ref="N385:N387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A389:A390"/>
    <mergeCell ref="G389:H390"/>
    <mergeCell ref="I389:J390"/>
    <mergeCell ref="K389:L390"/>
    <mergeCell ref="B389:C390"/>
    <mergeCell ref="D389:D390"/>
    <mergeCell ref="E389:F390"/>
    <mergeCell ref="A385:A387"/>
    <mergeCell ref="B385:C387"/>
    <mergeCell ref="D385:D387"/>
    <mergeCell ref="E385:F387"/>
    <mergeCell ref="G385:G387"/>
    <mergeCell ref="H385:H387"/>
    <mergeCell ref="I385:I387"/>
    <mergeCell ref="J385:J387"/>
    <mergeCell ref="G382:H382"/>
    <mergeCell ref="I382:J382"/>
    <mergeCell ref="K382:L382"/>
    <mergeCell ref="B383:E383"/>
    <mergeCell ref="G383:H383"/>
    <mergeCell ref="I383:J383"/>
    <mergeCell ref="K383:L383"/>
    <mergeCell ref="A384:E384"/>
    <mergeCell ref="G384:H384"/>
    <mergeCell ref="I384:J384"/>
    <mergeCell ref="K384:L384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5:E395"/>
    <mergeCell ref="G395:H395"/>
    <mergeCell ref="I395:J395"/>
    <mergeCell ref="K395:L395"/>
    <mergeCell ref="B396:E396"/>
    <mergeCell ref="G396:H396"/>
    <mergeCell ref="I396:J396"/>
    <mergeCell ref="K396:L396"/>
    <mergeCell ref="B393:E393"/>
    <mergeCell ref="G393:H393"/>
    <mergeCell ref="I393:J393"/>
    <mergeCell ref="K393:L393"/>
    <mergeCell ref="B394:E394"/>
    <mergeCell ref="G394:H394"/>
    <mergeCell ref="I394:J394"/>
    <mergeCell ref="K394:L394"/>
    <mergeCell ref="A403:E403"/>
    <mergeCell ref="G403:H403"/>
    <mergeCell ref="I403:J403"/>
    <mergeCell ref="K403:L403"/>
    <mergeCell ref="M403:N403"/>
    <mergeCell ref="B401:E401"/>
    <mergeCell ref="G401:H401"/>
    <mergeCell ref="I401:J401"/>
    <mergeCell ref="K401:L401"/>
    <mergeCell ref="B402:E402"/>
    <mergeCell ref="G402:H402"/>
    <mergeCell ref="I402:J402"/>
    <mergeCell ref="K402:L402"/>
    <mergeCell ref="B399:E399"/>
    <mergeCell ref="G399:H399"/>
    <mergeCell ref="I399:J399"/>
    <mergeCell ref="K399:L399"/>
    <mergeCell ref="B400:E400"/>
    <mergeCell ref="G400:H400"/>
    <mergeCell ref="I400:J400"/>
    <mergeCell ref="K400:L400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A408:A409"/>
    <mergeCell ref="B408:C409"/>
    <mergeCell ref="D408:D409"/>
    <mergeCell ref="E408:F409"/>
    <mergeCell ref="G408:H409"/>
    <mergeCell ref="I408:J409"/>
    <mergeCell ref="I404:I406"/>
    <mergeCell ref="J404:J406"/>
    <mergeCell ref="K404:K406"/>
    <mergeCell ref="L404:L406"/>
    <mergeCell ref="M404:M406"/>
    <mergeCell ref="N404:N406"/>
    <mergeCell ref="A404:A406"/>
    <mergeCell ref="B404:C406"/>
    <mergeCell ref="D404:D406"/>
    <mergeCell ref="E404:F406"/>
    <mergeCell ref="G404:G406"/>
    <mergeCell ref="H404:H406"/>
    <mergeCell ref="G416:H416"/>
    <mergeCell ref="I416:J416"/>
    <mergeCell ref="K416:L416"/>
    <mergeCell ref="B417:E417"/>
    <mergeCell ref="G417:H417"/>
    <mergeCell ref="I417:J417"/>
    <mergeCell ref="K417:L417"/>
    <mergeCell ref="B414:E414"/>
    <mergeCell ref="G414:H414"/>
    <mergeCell ref="I414:J414"/>
    <mergeCell ref="K414:L414"/>
    <mergeCell ref="B415:E415"/>
    <mergeCell ref="G415:H415"/>
    <mergeCell ref="I415:J415"/>
    <mergeCell ref="K415:L415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N429:N430"/>
    <mergeCell ref="B431:E431"/>
    <mergeCell ref="G431:H431"/>
    <mergeCell ref="I431:J431"/>
    <mergeCell ref="K431:L431"/>
    <mergeCell ref="A427:A428"/>
    <mergeCell ref="B427:C428"/>
    <mergeCell ref="D427:D428"/>
    <mergeCell ref="E427:F428"/>
    <mergeCell ref="G427:H428"/>
    <mergeCell ref="I427:J428"/>
    <mergeCell ref="K427:L428"/>
    <mergeCell ref="M427:N428"/>
    <mergeCell ref="G422:H422"/>
    <mergeCell ref="I422:J422"/>
    <mergeCell ref="K422:L422"/>
    <mergeCell ref="B420:E420"/>
    <mergeCell ref="G420:H420"/>
    <mergeCell ref="I420:J420"/>
    <mergeCell ref="K420:L420"/>
    <mergeCell ref="B421:E421"/>
    <mergeCell ref="G421:H421"/>
    <mergeCell ref="I421:J421"/>
    <mergeCell ref="K421:L421"/>
    <mergeCell ref="K429:L430"/>
    <mergeCell ref="A429:A430"/>
    <mergeCell ref="G429:H430"/>
    <mergeCell ref="I429:J430"/>
    <mergeCell ref="B429:E430"/>
    <mergeCell ref="F429:F430"/>
    <mergeCell ref="M429:M430"/>
    <mergeCell ref="B432:E432"/>
    <mergeCell ref="G432:H432"/>
    <mergeCell ref="I432:J432"/>
    <mergeCell ref="K432:L432"/>
    <mergeCell ref="B435:E435"/>
    <mergeCell ref="G435:H435"/>
    <mergeCell ref="I435:J435"/>
    <mergeCell ref="K435:L435"/>
    <mergeCell ref="B436:E436"/>
    <mergeCell ref="G436:H436"/>
    <mergeCell ref="A441:E441"/>
    <mergeCell ref="G446:H447"/>
    <mergeCell ref="I446:J447"/>
    <mergeCell ref="K446:L447"/>
    <mergeCell ref="B452:E452"/>
    <mergeCell ref="G452:H452"/>
    <mergeCell ref="I452:J452"/>
    <mergeCell ref="K452:L452"/>
    <mergeCell ref="G453:H453"/>
    <mergeCell ref="I453:J453"/>
    <mergeCell ref="I436:J436"/>
    <mergeCell ref="K436:L436"/>
    <mergeCell ref="B433:E433"/>
    <mergeCell ref="G433:H433"/>
    <mergeCell ref="I433:J433"/>
    <mergeCell ref="K433:L433"/>
    <mergeCell ref="B434:E434"/>
    <mergeCell ref="G434:H434"/>
    <mergeCell ref="I434:J434"/>
    <mergeCell ref="K434:L434"/>
    <mergeCell ref="M465:N466"/>
    <mergeCell ref="A467:A468"/>
    <mergeCell ref="B467:E468"/>
    <mergeCell ref="F467:F468"/>
    <mergeCell ref="G467:H468"/>
    <mergeCell ref="I467:J468"/>
    <mergeCell ref="K467:L468"/>
    <mergeCell ref="G460:H460"/>
    <mergeCell ref="I460:J460"/>
    <mergeCell ref="K460:L460"/>
    <mergeCell ref="B458:E458"/>
    <mergeCell ref="G458:H458"/>
    <mergeCell ref="I458:J458"/>
    <mergeCell ref="K458:L458"/>
    <mergeCell ref="B459:E459"/>
    <mergeCell ref="G459:H459"/>
    <mergeCell ref="I459:J459"/>
    <mergeCell ref="K459:L459"/>
    <mergeCell ref="M467:M468"/>
    <mergeCell ref="N467:N468"/>
    <mergeCell ref="B474:E474"/>
    <mergeCell ref="G474:H474"/>
    <mergeCell ref="I474:J474"/>
    <mergeCell ref="K474:L474"/>
    <mergeCell ref="A465:A466"/>
    <mergeCell ref="B465:C466"/>
    <mergeCell ref="D465:D466"/>
    <mergeCell ref="E465:F466"/>
    <mergeCell ref="G465:H466"/>
    <mergeCell ref="I465:J466"/>
    <mergeCell ref="K465:L466"/>
    <mergeCell ref="B469:E469"/>
    <mergeCell ref="G469:H469"/>
    <mergeCell ref="I469:J469"/>
    <mergeCell ref="K469:L469"/>
    <mergeCell ref="B470:E470"/>
    <mergeCell ref="G470:H470"/>
    <mergeCell ref="I470:J470"/>
    <mergeCell ref="K470:L470"/>
    <mergeCell ref="B471:E471"/>
    <mergeCell ref="G471:H471"/>
    <mergeCell ref="I471:J471"/>
    <mergeCell ref="K471:L471"/>
    <mergeCell ref="B472:E472"/>
    <mergeCell ref="G472:H472"/>
    <mergeCell ref="I472:J472"/>
    <mergeCell ref="K472:L472"/>
    <mergeCell ref="B473:E473"/>
    <mergeCell ref="G473:H473"/>
    <mergeCell ref="I473:J473"/>
    <mergeCell ref="K473:L473"/>
    <mergeCell ref="B488:E488"/>
    <mergeCell ref="G488:H488"/>
    <mergeCell ref="I488:J488"/>
    <mergeCell ref="K488:L488"/>
    <mergeCell ref="A486:A487"/>
    <mergeCell ref="B486:E487"/>
    <mergeCell ref="F486:F487"/>
    <mergeCell ref="G486:H487"/>
    <mergeCell ref="I486:J487"/>
    <mergeCell ref="K486:L487"/>
    <mergeCell ref="M486:M487"/>
    <mergeCell ref="N486:N487"/>
    <mergeCell ref="G479:H479"/>
    <mergeCell ref="I479:J479"/>
    <mergeCell ref="K479:L479"/>
    <mergeCell ref="B477:E477"/>
    <mergeCell ref="G477:H477"/>
    <mergeCell ref="I477:J477"/>
    <mergeCell ref="K477:L477"/>
    <mergeCell ref="B478:E478"/>
    <mergeCell ref="G478:H478"/>
    <mergeCell ref="I478:J478"/>
    <mergeCell ref="K478:L478"/>
    <mergeCell ref="A479:E479"/>
    <mergeCell ref="A484:A485"/>
    <mergeCell ref="B484:C485"/>
    <mergeCell ref="D484:D485"/>
    <mergeCell ref="E484:F485"/>
    <mergeCell ref="G484:H485"/>
    <mergeCell ref="I484:J485"/>
    <mergeCell ref="K484:L485"/>
    <mergeCell ref="M484:N485"/>
    <mergeCell ref="B509:E509"/>
    <mergeCell ref="G509:H509"/>
    <mergeCell ref="I509:J509"/>
    <mergeCell ref="K509:L509"/>
    <mergeCell ref="B510:E510"/>
    <mergeCell ref="G510:H510"/>
    <mergeCell ref="I510:J510"/>
    <mergeCell ref="K510:L510"/>
    <mergeCell ref="B511:E511"/>
    <mergeCell ref="G511:H511"/>
    <mergeCell ref="I511:J511"/>
    <mergeCell ref="K511:L511"/>
    <mergeCell ref="B507:E507"/>
    <mergeCell ref="G507:H507"/>
    <mergeCell ref="I507:J507"/>
    <mergeCell ref="K507:L507"/>
    <mergeCell ref="G498:H498"/>
    <mergeCell ref="I498:J498"/>
    <mergeCell ref="K498:L498"/>
    <mergeCell ref="I51:J51"/>
    <mergeCell ref="K51:L51"/>
    <mergeCell ref="B54:E54"/>
    <mergeCell ref="G54:H54"/>
    <mergeCell ref="I54:J54"/>
    <mergeCell ref="K54:L54"/>
    <mergeCell ref="A61:E61"/>
    <mergeCell ref="M61:N61"/>
    <mergeCell ref="A62:A64"/>
    <mergeCell ref="B62:C64"/>
    <mergeCell ref="D62:D64"/>
    <mergeCell ref="E62:F64"/>
    <mergeCell ref="G62:G64"/>
    <mergeCell ref="H62:H64"/>
    <mergeCell ref="I62:I64"/>
    <mergeCell ref="J62:J64"/>
    <mergeCell ref="K62:K64"/>
    <mergeCell ref="L62:L64"/>
    <mergeCell ref="M62:M64"/>
    <mergeCell ref="N62:N64"/>
    <mergeCell ref="B55:E55"/>
    <mergeCell ref="G55:H55"/>
    <mergeCell ref="I55:J55"/>
    <mergeCell ref="K55:L55"/>
    <mergeCell ref="B56:E56"/>
    <mergeCell ref="G56:H56"/>
    <mergeCell ref="I56:J56"/>
    <mergeCell ref="K56:L56"/>
    <mergeCell ref="I61:J61"/>
    <mergeCell ref="K61:L61"/>
    <mergeCell ref="B59:E59"/>
    <mergeCell ref="G59:H59"/>
    <mergeCell ref="I59:J59"/>
    <mergeCell ref="B75:E75"/>
    <mergeCell ref="G75:H75"/>
    <mergeCell ref="I75:J75"/>
    <mergeCell ref="K75:L75"/>
    <mergeCell ref="M66:N67"/>
    <mergeCell ref="G61:H61"/>
    <mergeCell ref="I68:J69"/>
    <mergeCell ref="K68:L69"/>
    <mergeCell ref="M68:M69"/>
    <mergeCell ref="N68:N69"/>
    <mergeCell ref="B70:E70"/>
    <mergeCell ref="G70:H70"/>
    <mergeCell ref="I70:J70"/>
    <mergeCell ref="K70:L70"/>
    <mergeCell ref="B71:E71"/>
    <mergeCell ref="G71:H71"/>
    <mergeCell ref="I71:J71"/>
    <mergeCell ref="K71:L71"/>
    <mergeCell ref="B72:E72"/>
    <mergeCell ref="G72:H72"/>
    <mergeCell ref="I72:J72"/>
    <mergeCell ref="K72:L72"/>
    <mergeCell ref="B68:E69"/>
    <mergeCell ref="F68:F69"/>
    <mergeCell ref="G68:H69"/>
    <mergeCell ref="B78:E78"/>
    <mergeCell ref="G78:H78"/>
    <mergeCell ref="I78:J78"/>
    <mergeCell ref="K78:L78"/>
    <mergeCell ref="B79:E79"/>
    <mergeCell ref="G79:H79"/>
    <mergeCell ref="I79:J79"/>
    <mergeCell ref="A85:A86"/>
    <mergeCell ref="B85:C86"/>
    <mergeCell ref="D85:D86"/>
    <mergeCell ref="E85:F86"/>
    <mergeCell ref="G85:H86"/>
    <mergeCell ref="I85:J86"/>
    <mergeCell ref="K85:L86"/>
    <mergeCell ref="M85:N86"/>
    <mergeCell ref="A68:A69"/>
    <mergeCell ref="A66:A67"/>
    <mergeCell ref="B73:E73"/>
    <mergeCell ref="G73:H73"/>
    <mergeCell ref="I73:J73"/>
    <mergeCell ref="K73:L73"/>
    <mergeCell ref="B74:E74"/>
    <mergeCell ref="G74:H74"/>
    <mergeCell ref="I74:J74"/>
    <mergeCell ref="K74:L74"/>
    <mergeCell ref="B66:C67"/>
    <mergeCell ref="D66:D67"/>
    <mergeCell ref="E66:F67"/>
    <mergeCell ref="G66:H67"/>
    <mergeCell ref="I66:J67"/>
    <mergeCell ref="K66:L67"/>
    <mergeCell ref="M87:M88"/>
    <mergeCell ref="N87:N88"/>
    <mergeCell ref="A80:E80"/>
    <mergeCell ref="M80:N80"/>
    <mergeCell ref="A81:A83"/>
    <mergeCell ref="B81:C83"/>
    <mergeCell ref="D81:D83"/>
    <mergeCell ref="E81:F83"/>
    <mergeCell ref="G81:G83"/>
    <mergeCell ref="H81:H83"/>
    <mergeCell ref="I81:I83"/>
    <mergeCell ref="B89:E89"/>
    <mergeCell ref="G89:H89"/>
    <mergeCell ref="I89:J89"/>
    <mergeCell ref="K89:L89"/>
    <mergeCell ref="B92:E92"/>
    <mergeCell ref="G92:H92"/>
    <mergeCell ref="I92:J92"/>
    <mergeCell ref="K92:L92"/>
    <mergeCell ref="A87:A88"/>
    <mergeCell ref="B87:E88"/>
    <mergeCell ref="F87:F88"/>
    <mergeCell ref="G87:H88"/>
    <mergeCell ref="I87:J88"/>
    <mergeCell ref="K87:L88"/>
    <mergeCell ref="B93:E93"/>
    <mergeCell ref="G93:H93"/>
    <mergeCell ref="I93:J93"/>
    <mergeCell ref="K93:L93"/>
    <mergeCell ref="B94:E94"/>
    <mergeCell ref="G94:H94"/>
    <mergeCell ref="I94:J94"/>
    <mergeCell ref="K94:L94"/>
    <mergeCell ref="B95:E95"/>
    <mergeCell ref="G95:H95"/>
    <mergeCell ref="I95:J95"/>
    <mergeCell ref="K95:L95"/>
    <mergeCell ref="B90:E90"/>
    <mergeCell ref="G90:H90"/>
    <mergeCell ref="I90:J90"/>
    <mergeCell ref="K90:L90"/>
    <mergeCell ref="B91:E91"/>
    <mergeCell ref="G91:H91"/>
    <mergeCell ref="I91:J91"/>
    <mergeCell ref="K91:L91"/>
    <mergeCell ref="G104:H105"/>
    <mergeCell ref="I104:J105"/>
    <mergeCell ref="K104:L105"/>
    <mergeCell ref="M104:N105"/>
    <mergeCell ref="B111:E111"/>
    <mergeCell ref="G111:H111"/>
    <mergeCell ref="I111:J111"/>
    <mergeCell ref="K111:L111"/>
    <mergeCell ref="B110:E110"/>
    <mergeCell ref="G110:H110"/>
    <mergeCell ref="I110:J110"/>
    <mergeCell ref="K110:L110"/>
    <mergeCell ref="G109:H109"/>
    <mergeCell ref="I109:J109"/>
    <mergeCell ref="K109:L109"/>
    <mergeCell ref="B108:E108"/>
    <mergeCell ref="G108:H108"/>
    <mergeCell ref="I108:J108"/>
    <mergeCell ref="K108:L108"/>
    <mergeCell ref="B106:E107"/>
    <mergeCell ref="F106:F107"/>
    <mergeCell ref="G106:H107"/>
    <mergeCell ref="I106:J107"/>
    <mergeCell ref="K106:L107"/>
    <mergeCell ref="M106:M107"/>
    <mergeCell ref="N106:N107"/>
    <mergeCell ref="B109:E109"/>
    <mergeCell ref="A106:A107"/>
    <mergeCell ref="B112:E112"/>
    <mergeCell ref="G112:H112"/>
    <mergeCell ref="I112:J112"/>
    <mergeCell ref="K112:L112"/>
    <mergeCell ref="B113:E113"/>
    <mergeCell ref="G113:H113"/>
    <mergeCell ref="I113:J113"/>
    <mergeCell ref="K113:L113"/>
    <mergeCell ref="B114:E114"/>
    <mergeCell ref="G114:H114"/>
    <mergeCell ref="I114:J114"/>
    <mergeCell ref="K114:L114"/>
    <mergeCell ref="B115:E115"/>
    <mergeCell ref="G115:H115"/>
    <mergeCell ref="I115:J115"/>
    <mergeCell ref="K115:L115"/>
    <mergeCell ref="B116:E116"/>
    <mergeCell ref="G116:H116"/>
    <mergeCell ref="I116:J116"/>
    <mergeCell ref="K116:L116"/>
    <mergeCell ref="B117:E117"/>
    <mergeCell ref="G117:H117"/>
    <mergeCell ref="I117:J117"/>
    <mergeCell ref="K117:L117"/>
    <mergeCell ref="A118:E118"/>
    <mergeCell ref="M118:N118"/>
    <mergeCell ref="A119:A121"/>
    <mergeCell ref="B119:C121"/>
    <mergeCell ref="D119:D121"/>
    <mergeCell ref="E119:F121"/>
    <mergeCell ref="G119:G121"/>
    <mergeCell ref="H119:H121"/>
    <mergeCell ref="I119:I121"/>
    <mergeCell ref="J119:J121"/>
    <mergeCell ref="K119:K121"/>
    <mergeCell ref="L119:L121"/>
    <mergeCell ref="M119:M121"/>
    <mergeCell ref="N119:N121"/>
    <mergeCell ref="G118:H118"/>
    <mergeCell ref="I118:J118"/>
    <mergeCell ref="K118:L118"/>
    <mergeCell ref="A123:A124"/>
    <mergeCell ref="B123:C124"/>
    <mergeCell ref="D123:D124"/>
    <mergeCell ref="E123:F124"/>
    <mergeCell ref="G123:H124"/>
    <mergeCell ref="I123:J124"/>
    <mergeCell ref="K123:L124"/>
    <mergeCell ref="M123:N124"/>
    <mergeCell ref="A125:A126"/>
    <mergeCell ref="B125:E126"/>
    <mergeCell ref="F125:F126"/>
    <mergeCell ref="G125:H126"/>
    <mergeCell ref="I125:J126"/>
    <mergeCell ref="K125:L126"/>
    <mergeCell ref="M125:M126"/>
    <mergeCell ref="N125:N126"/>
    <mergeCell ref="B130:E130"/>
    <mergeCell ref="B128:E128"/>
    <mergeCell ref="G128:H128"/>
    <mergeCell ref="I128:J128"/>
    <mergeCell ref="K128:L128"/>
    <mergeCell ref="B129:E129"/>
    <mergeCell ref="G129:H129"/>
    <mergeCell ref="I129:J129"/>
    <mergeCell ref="K129:L129"/>
    <mergeCell ref="B127:E127"/>
    <mergeCell ref="G127:H127"/>
    <mergeCell ref="I127:J127"/>
    <mergeCell ref="K127:L127"/>
    <mergeCell ref="G130:H130"/>
    <mergeCell ref="I130:J130"/>
    <mergeCell ref="K130:L130"/>
    <mergeCell ref="B136:E136"/>
    <mergeCell ref="G136:H136"/>
    <mergeCell ref="I136:J136"/>
    <mergeCell ref="K136:L136"/>
    <mergeCell ref="A137:E137"/>
    <mergeCell ref="G137:H137"/>
    <mergeCell ref="I137:J137"/>
    <mergeCell ref="K137:L137"/>
    <mergeCell ref="M137:N137"/>
    <mergeCell ref="K138:K140"/>
    <mergeCell ref="L138:L140"/>
    <mergeCell ref="M138:M140"/>
    <mergeCell ref="N138:N140"/>
    <mergeCell ref="A142:A143"/>
    <mergeCell ref="B142:C143"/>
    <mergeCell ref="D142:D143"/>
    <mergeCell ref="E142:F143"/>
    <mergeCell ref="G142:H143"/>
    <mergeCell ref="I142:J143"/>
    <mergeCell ref="K142:L143"/>
    <mergeCell ref="M142:N143"/>
    <mergeCell ref="M144:M145"/>
    <mergeCell ref="N144:N145"/>
    <mergeCell ref="B153:E153"/>
    <mergeCell ref="G153:H153"/>
    <mergeCell ref="I153:J153"/>
    <mergeCell ref="K153:L153"/>
    <mergeCell ref="B154:E154"/>
    <mergeCell ref="G154:H154"/>
    <mergeCell ref="I154:J154"/>
    <mergeCell ref="K154:L154"/>
    <mergeCell ref="B155:E155"/>
    <mergeCell ref="G155:H155"/>
    <mergeCell ref="I155:J155"/>
    <mergeCell ref="K155:L155"/>
    <mergeCell ref="B152:E152"/>
    <mergeCell ref="G152:H152"/>
    <mergeCell ref="I152:J152"/>
    <mergeCell ref="K152:L152"/>
    <mergeCell ref="G151:H151"/>
    <mergeCell ref="I151:J151"/>
    <mergeCell ref="K151:L151"/>
    <mergeCell ref="B149:E149"/>
    <mergeCell ref="G149:H149"/>
    <mergeCell ref="I149:J149"/>
    <mergeCell ref="K149:L149"/>
    <mergeCell ref="B150:E150"/>
    <mergeCell ref="G150:H150"/>
    <mergeCell ref="I150:J150"/>
    <mergeCell ref="K150:L150"/>
    <mergeCell ref="B147:E147"/>
    <mergeCell ref="G147:H147"/>
    <mergeCell ref="I147:J147"/>
    <mergeCell ref="A156:E156"/>
    <mergeCell ref="G156:H156"/>
    <mergeCell ref="I156:J156"/>
    <mergeCell ref="K156:L156"/>
    <mergeCell ref="M156:N156"/>
    <mergeCell ref="A157:A159"/>
    <mergeCell ref="B157:C159"/>
    <mergeCell ref="D157:D159"/>
    <mergeCell ref="E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A161:A162"/>
    <mergeCell ref="B161:C162"/>
    <mergeCell ref="D161:D162"/>
    <mergeCell ref="E161:F162"/>
    <mergeCell ref="G161:H162"/>
    <mergeCell ref="I161:J162"/>
    <mergeCell ref="K161:L162"/>
    <mergeCell ref="M161:N162"/>
    <mergeCell ref="A163:A164"/>
    <mergeCell ref="B163:E164"/>
    <mergeCell ref="F163:F164"/>
    <mergeCell ref="G163:H164"/>
    <mergeCell ref="I163:J164"/>
    <mergeCell ref="K163:L164"/>
    <mergeCell ref="M163:M164"/>
    <mergeCell ref="N163:N164"/>
    <mergeCell ref="B172:E172"/>
    <mergeCell ref="G172:H172"/>
    <mergeCell ref="I172:J172"/>
    <mergeCell ref="K172:L172"/>
    <mergeCell ref="B166:E166"/>
    <mergeCell ref="G166:H166"/>
    <mergeCell ref="I166:J166"/>
    <mergeCell ref="K166:L166"/>
    <mergeCell ref="B167:E167"/>
    <mergeCell ref="G167:H167"/>
    <mergeCell ref="I167:J167"/>
    <mergeCell ref="K167:L167"/>
    <mergeCell ref="B165:E165"/>
    <mergeCell ref="G165:H165"/>
    <mergeCell ref="I165:J165"/>
    <mergeCell ref="K165:L165"/>
    <mergeCell ref="K176:K178"/>
    <mergeCell ref="L176:L178"/>
    <mergeCell ref="M176:M178"/>
    <mergeCell ref="N176:N178"/>
    <mergeCell ref="A180:A181"/>
    <mergeCell ref="B180:C181"/>
    <mergeCell ref="D180:D181"/>
    <mergeCell ref="E180:F181"/>
    <mergeCell ref="G180:H181"/>
    <mergeCell ref="I180:J181"/>
    <mergeCell ref="K180:L181"/>
    <mergeCell ref="M180:N181"/>
    <mergeCell ref="A182:A183"/>
    <mergeCell ref="B182:E183"/>
    <mergeCell ref="F182:F183"/>
    <mergeCell ref="G182:H183"/>
    <mergeCell ref="I182:J183"/>
    <mergeCell ref="K182:L183"/>
    <mergeCell ref="M182:M183"/>
    <mergeCell ref="N182:N183"/>
    <mergeCell ref="A176:A178"/>
    <mergeCell ref="B176:C178"/>
    <mergeCell ref="D176:D178"/>
    <mergeCell ref="E176:F178"/>
    <mergeCell ref="G176:G178"/>
    <mergeCell ref="H176:H178"/>
    <mergeCell ref="I176:I178"/>
    <mergeCell ref="J176:J178"/>
    <mergeCell ref="M194:N194"/>
    <mergeCell ref="A195:A197"/>
    <mergeCell ref="B195:C197"/>
    <mergeCell ref="D195:D197"/>
    <mergeCell ref="E195:F197"/>
    <mergeCell ref="G195:G197"/>
    <mergeCell ref="H195:H197"/>
    <mergeCell ref="I195:I197"/>
    <mergeCell ref="J195:J197"/>
    <mergeCell ref="K195:K197"/>
    <mergeCell ref="L195:L197"/>
    <mergeCell ref="M195:M197"/>
    <mergeCell ref="N195:N197"/>
    <mergeCell ref="A199:A200"/>
    <mergeCell ref="B199:C200"/>
    <mergeCell ref="D199:D200"/>
    <mergeCell ref="E199:F200"/>
    <mergeCell ref="G199:H200"/>
    <mergeCell ref="I199:J200"/>
    <mergeCell ref="K199:L200"/>
    <mergeCell ref="M199:N200"/>
    <mergeCell ref="A194:E194"/>
    <mergeCell ref="G194:H194"/>
    <mergeCell ref="I194:J194"/>
    <mergeCell ref="K194:L194"/>
    <mergeCell ref="A201:A202"/>
    <mergeCell ref="B201:E202"/>
    <mergeCell ref="F201:F202"/>
    <mergeCell ref="G201:H202"/>
    <mergeCell ref="I201:J202"/>
    <mergeCell ref="K201:L202"/>
    <mergeCell ref="M201:M202"/>
    <mergeCell ref="N201:N202"/>
    <mergeCell ref="A213:E213"/>
    <mergeCell ref="A214:A216"/>
    <mergeCell ref="B214:C216"/>
    <mergeCell ref="D214:D216"/>
    <mergeCell ref="E214:F216"/>
    <mergeCell ref="G214:G216"/>
    <mergeCell ref="H214:H216"/>
    <mergeCell ref="I214:I216"/>
    <mergeCell ref="J214:J216"/>
    <mergeCell ref="K214:K216"/>
    <mergeCell ref="L214:L216"/>
    <mergeCell ref="M214:M216"/>
    <mergeCell ref="N214:N216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B206:E206"/>
    <mergeCell ref="G206:H206"/>
    <mergeCell ref="I206:J206"/>
    <mergeCell ref="M220:M221"/>
    <mergeCell ref="N220:N221"/>
    <mergeCell ref="B222:E222"/>
    <mergeCell ref="G222:H222"/>
    <mergeCell ref="I222:J222"/>
    <mergeCell ref="K222:L222"/>
    <mergeCell ref="A232:E232"/>
    <mergeCell ref="M232:N232"/>
    <mergeCell ref="A233:A235"/>
    <mergeCell ref="B233:C235"/>
    <mergeCell ref="D233:D235"/>
    <mergeCell ref="E233:F235"/>
    <mergeCell ref="G233:G235"/>
    <mergeCell ref="H233:H235"/>
    <mergeCell ref="I233:I235"/>
    <mergeCell ref="J233:J235"/>
    <mergeCell ref="K233:K235"/>
    <mergeCell ref="L233:L235"/>
    <mergeCell ref="M233:M235"/>
    <mergeCell ref="N233:N235"/>
    <mergeCell ref="B231:E231"/>
    <mergeCell ref="G231:H231"/>
    <mergeCell ref="I231:J231"/>
    <mergeCell ref="K231:L231"/>
    <mergeCell ref="G232:H232"/>
    <mergeCell ref="I232:J232"/>
    <mergeCell ref="K232:L232"/>
    <mergeCell ref="B229:E229"/>
    <mergeCell ref="G229:H229"/>
    <mergeCell ref="I229:J229"/>
    <mergeCell ref="K229:L229"/>
    <mergeCell ref="B230:E230"/>
    <mergeCell ref="G237:H238"/>
    <mergeCell ref="I237:J238"/>
    <mergeCell ref="K237:L238"/>
    <mergeCell ref="M237:N238"/>
    <mergeCell ref="A239:A240"/>
    <mergeCell ref="B239:E240"/>
    <mergeCell ref="F239:F240"/>
    <mergeCell ref="G239:H240"/>
    <mergeCell ref="I239:J240"/>
    <mergeCell ref="K239:L240"/>
    <mergeCell ref="M239:M240"/>
    <mergeCell ref="N239:N240"/>
    <mergeCell ref="B241:E241"/>
    <mergeCell ref="G241:H241"/>
    <mergeCell ref="I241:J241"/>
    <mergeCell ref="K241:L241"/>
    <mergeCell ref="B242:E242"/>
    <mergeCell ref="G242:H242"/>
    <mergeCell ref="I242:J242"/>
    <mergeCell ref="K242:L242"/>
    <mergeCell ref="A237:A238"/>
    <mergeCell ref="B237:C238"/>
    <mergeCell ref="D237:D238"/>
    <mergeCell ref="E237:F238"/>
    <mergeCell ref="B243:E243"/>
    <mergeCell ref="G243:H243"/>
    <mergeCell ref="I243:J243"/>
    <mergeCell ref="K243:L243"/>
    <mergeCell ref="A251:E251"/>
    <mergeCell ref="M251:N251"/>
    <mergeCell ref="A252:A254"/>
    <mergeCell ref="B252:C254"/>
    <mergeCell ref="D252:D254"/>
    <mergeCell ref="E252:F254"/>
    <mergeCell ref="G252:G254"/>
    <mergeCell ref="H252:H254"/>
    <mergeCell ref="I252:I254"/>
    <mergeCell ref="J252:J254"/>
    <mergeCell ref="K252:K254"/>
    <mergeCell ref="L252:L254"/>
    <mergeCell ref="M252:M254"/>
    <mergeCell ref="N252:N254"/>
    <mergeCell ref="B250:E250"/>
    <mergeCell ref="G250:H250"/>
    <mergeCell ref="I250:J250"/>
    <mergeCell ref="K250:L250"/>
    <mergeCell ref="G251:H251"/>
    <mergeCell ref="I251:J251"/>
    <mergeCell ref="K251:L251"/>
    <mergeCell ref="B248:E248"/>
    <mergeCell ref="G248:H248"/>
    <mergeCell ref="I248:J248"/>
    <mergeCell ref="K248:L248"/>
    <mergeCell ref="B249:E249"/>
    <mergeCell ref="G249:H249"/>
    <mergeCell ref="I249:J249"/>
    <mergeCell ref="B263:E263"/>
    <mergeCell ref="G263:H263"/>
    <mergeCell ref="I263:J263"/>
    <mergeCell ref="K263:L263"/>
    <mergeCell ref="M270:N270"/>
    <mergeCell ref="A271:A273"/>
    <mergeCell ref="B271:C273"/>
    <mergeCell ref="D271:D273"/>
    <mergeCell ref="E271:F273"/>
    <mergeCell ref="G271:G273"/>
    <mergeCell ref="H271:H273"/>
    <mergeCell ref="I271:I273"/>
    <mergeCell ref="J271:J273"/>
    <mergeCell ref="K271:K273"/>
    <mergeCell ref="L271:L273"/>
    <mergeCell ref="M271:M273"/>
    <mergeCell ref="N271:N273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B265:E265"/>
    <mergeCell ref="G265:H265"/>
    <mergeCell ref="I265:J265"/>
    <mergeCell ref="K265:L265"/>
    <mergeCell ref="B266:E266"/>
    <mergeCell ref="G266:H266"/>
    <mergeCell ref="I266:J266"/>
    <mergeCell ref="K280:L280"/>
    <mergeCell ref="B281:E281"/>
    <mergeCell ref="G281:H281"/>
    <mergeCell ref="I281:J281"/>
    <mergeCell ref="K281:L281"/>
    <mergeCell ref="B282:E282"/>
    <mergeCell ref="G282:H282"/>
    <mergeCell ref="I282:J282"/>
    <mergeCell ref="K282:L282"/>
    <mergeCell ref="B283:E283"/>
    <mergeCell ref="G283:H283"/>
    <mergeCell ref="I283:J283"/>
    <mergeCell ref="K283:L283"/>
    <mergeCell ref="B284:E284"/>
    <mergeCell ref="G284:H284"/>
    <mergeCell ref="I284:J284"/>
    <mergeCell ref="K284:L284"/>
    <mergeCell ref="B285:E285"/>
    <mergeCell ref="G285:H285"/>
    <mergeCell ref="I285:J285"/>
    <mergeCell ref="K285:L285"/>
    <mergeCell ref="A289:E289"/>
    <mergeCell ref="M289:N289"/>
    <mergeCell ref="A290:A292"/>
    <mergeCell ref="B290:C292"/>
    <mergeCell ref="D290:D292"/>
    <mergeCell ref="E290:F292"/>
    <mergeCell ref="G290:G292"/>
    <mergeCell ref="H290:H292"/>
    <mergeCell ref="I290:I292"/>
    <mergeCell ref="J290:J292"/>
    <mergeCell ref="K290:K292"/>
    <mergeCell ref="L290:L292"/>
    <mergeCell ref="M290:M292"/>
    <mergeCell ref="N290:N292"/>
    <mergeCell ref="B288:E288"/>
    <mergeCell ref="G288:H288"/>
    <mergeCell ref="I288:J288"/>
    <mergeCell ref="K288:L288"/>
    <mergeCell ref="G289:H289"/>
    <mergeCell ref="I289:J289"/>
    <mergeCell ref="K289:L289"/>
    <mergeCell ref="B286:E286"/>
    <mergeCell ref="G286:H286"/>
    <mergeCell ref="I286:J286"/>
    <mergeCell ref="K286:L286"/>
    <mergeCell ref="B287:E287"/>
    <mergeCell ref="G287:H287"/>
    <mergeCell ref="I287:J287"/>
    <mergeCell ref="A294:A295"/>
    <mergeCell ref="B294:C295"/>
    <mergeCell ref="D294:D295"/>
    <mergeCell ref="E294:F295"/>
    <mergeCell ref="G294:H295"/>
    <mergeCell ref="I294:J295"/>
    <mergeCell ref="K294:L295"/>
    <mergeCell ref="M294:N295"/>
    <mergeCell ref="A296:A297"/>
    <mergeCell ref="B296:E297"/>
    <mergeCell ref="F296:F297"/>
    <mergeCell ref="G296:H297"/>
    <mergeCell ref="I296:J297"/>
    <mergeCell ref="K296:L297"/>
    <mergeCell ref="M296:M297"/>
    <mergeCell ref="N296:N297"/>
    <mergeCell ref="B298:E298"/>
    <mergeCell ref="G298:H298"/>
    <mergeCell ref="I298:J298"/>
    <mergeCell ref="K298:L298"/>
    <mergeCell ref="B304:E304"/>
    <mergeCell ref="G304:H304"/>
    <mergeCell ref="I304:J304"/>
    <mergeCell ref="K304:L304"/>
    <mergeCell ref="B305:E305"/>
    <mergeCell ref="G305:H305"/>
    <mergeCell ref="I305:J305"/>
    <mergeCell ref="K305:L305"/>
    <mergeCell ref="B306:E306"/>
    <mergeCell ref="G306:H306"/>
    <mergeCell ref="I306:J306"/>
    <mergeCell ref="K306:L306"/>
    <mergeCell ref="A309:A311"/>
    <mergeCell ref="B309:C311"/>
    <mergeCell ref="D309:D311"/>
    <mergeCell ref="E309:F311"/>
    <mergeCell ref="G309:G311"/>
    <mergeCell ref="H309:H311"/>
    <mergeCell ref="I309:I311"/>
    <mergeCell ref="J309:J311"/>
    <mergeCell ref="K309:K311"/>
    <mergeCell ref="L309:L311"/>
    <mergeCell ref="B321:E321"/>
    <mergeCell ref="G321:H321"/>
    <mergeCell ref="I321:J321"/>
    <mergeCell ref="K321:L321"/>
    <mergeCell ref="B322:E322"/>
    <mergeCell ref="G322:H322"/>
    <mergeCell ref="I322:J322"/>
    <mergeCell ref="K322:L322"/>
    <mergeCell ref="B320:E320"/>
    <mergeCell ref="G320:H320"/>
    <mergeCell ref="I320:J320"/>
    <mergeCell ref="K320:L320"/>
    <mergeCell ref="G319:H319"/>
    <mergeCell ref="I319:J319"/>
    <mergeCell ref="K319:L319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B323:E323"/>
    <mergeCell ref="G323:H323"/>
    <mergeCell ref="I323:J323"/>
    <mergeCell ref="K323:L323"/>
    <mergeCell ref="B324:E324"/>
    <mergeCell ref="G324:H324"/>
    <mergeCell ref="I324:J324"/>
    <mergeCell ref="K324:L324"/>
    <mergeCell ref="B325:E325"/>
    <mergeCell ref="G325:H325"/>
    <mergeCell ref="I325:J325"/>
    <mergeCell ref="K325:L325"/>
    <mergeCell ref="B326:E326"/>
    <mergeCell ref="G326:H326"/>
    <mergeCell ref="I326:J326"/>
    <mergeCell ref="K326:L326"/>
    <mergeCell ref="A327:E327"/>
    <mergeCell ref="G327:H327"/>
    <mergeCell ref="I327:J327"/>
    <mergeCell ref="K327:L327"/>
    <mergeCell ref="M327:N327"/>
    <mergeCell ref="A328:A330"/>
    <mergeCell ref="B328:C330"/>
    <mergeCell ref="D328:D330"/>
    <mergeCell ref="E328:F330"/>
    <mergeCell ref="G328:G330"/>
    <mergeCell ref="H328:H330"/>
    <mergeCell ref="I328:I330"/>
    <mergeCell ref="J328:J330"/>
    <mergeCell ref="K328:K330"/>
    <mergeCell ref="L328:L330"/>
    <mergeCell ref="M328:M330"/>
    <mergeCell ref="N328:N330"/>
    <mergeCell ref="A332:A333"/>
    <mergeCell ref="B332:C333"/>
    <mergeCell ref="D332:D333"/>
    <mergeCell ref="E332:F333"/>
    <mergeCell ref="G332:H333"/>
    <mergeCell ref="I332:J333"/>
    <mergeCell ref="K332:L333"/>
    <mergeCell ref="M332:N333"/>
    <mergeCell ref="A334:A335"/>
    <mergeCell ref="B334:E335"/>
    <mergeCell ref="F334:F335"/>
    <mergeCell ref="G334:H335"/>
    <mergeCell ref="I334:J335"/>
    <mergeCell ref="K334:L335"/>
    <mergeCell ref="M334:M335"/>
    <mergeCell ref="N334:N335"/>
    <mergeCell ref="B340:E340"/>
    <mergeCell ref="G340:H340"/>
    <mergeCell ref="I340:J340"/>
    <mergeCell ref="K340:L340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B344:E344"/>
    <mergeCell ref="G344:H344"/>
    <mergeCell ref="I344:J344"/>
    <mergeCell ref="K344:L344"/>
    <mergeCell ref="B345:E345"/>
    <mergeCell ref="G345:H345"/>
    <mergeCell ref="I345:J345"/>
    <mergeCell ref="K345:L345"/>
    <mergeCell ref="A346:E346"/>
    <mergeCell ref="G346:H346"/>
    <mergeCell ref="I346:J346"/>
    <mergeCell ref="K346:L346"/>
    <mergeCell ref="M346:N346"/>
    <mergeCell ref="A347:A349"/>
    <mergeCell ref="B347:C349"/>
    <mergeCell ref="D347:D349"/>
    <mergeCell ref="E347:F349"/>
    <mergeCell ref="G347:G349"/>
    <mergeCell ref="H347:H349"/>
    <mergeCell ref="I347:I349"/>
    <mergeCell ref="J347:J349"/>
    <mergeCell ref="K347:K349"/>
    <mergeCell ref="L347:L349"/>
    <mergeCell ref="M347:M349"/>
    <mergeCell ref="N347:N349"/>
    <mergeCell ref="A351:A352"/>
    <mergeCell ref="B351:C352"/>
    <mergeCell ref="D351:D352"/>
    <mergeCell ref="E351:F352"/>
    <mergeCell ref="G351:H352"/>
    <mergeCell ref="I351:J352"/>
    <mergeCell ref="K351:L352"/>
    <mergeCell ref="M351:N352"/>
    <mergeCell ref="A353:A354"/>
    <mergeCell ref="B353:E354"/>
    <mergeCell ref="F353:F354"/>
    <mergeCell ref="G353:H354"/>
    <mergeCell ref="I353:J354"/>
    <mergeCell ref="K353:L354"/>
    <mergeCell ref="M353:M354"/>
    <mergeCell ref="N353:N354"/>
    <mergeCell ref="B361:E361"/>
    <mergeCell ref="B355:E355"/>
    <mergeCell ref="G355:H355"/>
    <mergeCell ref="I355:J355"/>
    <mergeCell ref="K355:L355"/>
    <mergeCell ref="B356:E356"/>
    <mergeCell ref="G356:H356"/>
    <mergeCell ref="I356:J356"/>
    <mergeCell ref="K356:L356"/>
    <mergeCell ref="A365:E365"/>
    <mergeCell ref="G365:H365"/>
    <mergeCell ref="I365:J365"/>
    <mergeCell ref="K365:L365"/>
    <mergeCell ref="M365:N365"/>
    <mergeCell ref="A366:A368"/>
    <mergeCell ref="B366:C368"/>
    <mergeCell ref="D366:D368"/>
    <mergeCell ref="E366:F368"/>
    <mergeCell ref="G366:G368"/>
    <mergeCell ref="H366:H368"/>
    <mergeCell ref="I366:I368"/>
    <mergeCell ref="J366:J368"/>
    <mergeCell ref="K366:K368"/>
    <mergeCell ref="L366:L368"/>
    <mergeCell ref="M366:M368"/>
    <mergeCell ref="N366:N368"/>
    <mergeCell ref="A370:A371"/>
    <mergeCell ref="B370:C371"/>
    <mergeCell ref="D370:D371"/>
    <mergeCell ref="E370:F371"/>
    <mergeCell ref="G370:H371"/>
    <mergeCell ref="I370:J371"/>
    <mergeCell ref="K370:L371"/>
    <mergeCell ref="M370:N371"/>
    <mergeCell ref="A372:A373"/>
    <mergeCell ref="B372:E373"/>
    <mergeCell ref="F372:F373"/>
    <mergeCell ref="G372:H373"/>
    <mergeCell ref="I372:J373"/>
    <mergeCell ref="K372:L373"/>
    <mergeCell ref="M372:M373"/>
    <mergeCell ref="N372:N373"/>
    <mergeCell ref="B382:E382"/>
    <mergeCell ref="B376:E376"/>
    <mergeCell ref="G376:H376"/>
    <mergeCell ref="I376:J376"/>
    <mergeCell ref="K376:L376"/>
    <mergeCell ref="B377:E377"/>
    <mergeCell ref="G377:H377"/>
    <mergeCell ref="I377:J377"/>
    <mergeCell ref="K377:L377"/>
    <mergeCell ref="B374:E374"/>
    <mergeCell ref="G374:H374"/>
    <mergeCell ref="I374:J374"/>
    <mergeCell ref="K374:L374"/>
    <mergeCell ref="B375:E375"/>
    <mergeCell ref="G375:H375"/>
    <mergeCell ref="I375:J375"/>
    <mergeCell ref="M389:N390"/>
    <mergeCell ref="A391:A392"/>
    <mergeCell ref="B391:E392"/>
    <mergeCell ref="F391:F392"/>
    <mergeCell ref="G391:H392"/>
    <mergeCell ref="I391:J392"/>
    <mergeCell ref="K391:L392"/>
    <mergeCell ref="M391:M392"/>
    <mergeCell ref="N391:N392"/>
    <mergeCell ref="A422:E422"/>
    <mergeCell ref="M422:N422"/>
    <mergeCell ref="A423:A425"/>
    <mergeCell ref="B423:C425"/>
    <mergeCell ref="D423:D425"/>
    <mergeCell ref="E423:F425"/>
    <mergeCell ref="G423:G425"/>
    <mergeCell ref="H423:H425"/>
    <mergeCell ref="I423:I425"/>
    <mergeCell ref="J423:J425"/>
    <mergeCell ref="K423:K425"/>
    <mergeCell ref="L423:L425"/>
    <mergeCell ref="M423:M425"/>
    <mergeCell ref="N423:N425"/>
    <mergeCell ref="B418:E418"/>
    <mergeCell ref="G418:H418"/>
    <mergeCell ref="I418:J418"/>
    <mergeCell ref="K418:L418"/>
    <mergeCell ref="B419:E419"/>
    <mergeCell ref="G419:H419"/>
    <mergeCell ref="I419:J419"/>
    <mergeCell ref="K419:L419"/>
    <mergeCell ref="B416:E416"/>
    <mergeCell ref="M441:N441"/>
    <mergeCell ref="A442:A444"/>
    <mergeCell ref="B442:C444"/>
    <mergeCell ref="D442:D444"/>
    <mergeCell ref="E442:F444"/>
    <mergeCell ref="G442:G444"/>
    <mergeCell ref="H442:H444"/>
    <mergeCell ref="I442:I444"/>
    <mergeCell ref="J442:J444"/>
    <mergeCell ref="K442:K444"/>
    <mergeCell ref="L442:L444"/>
    <mergeCell ref="M442:M444"/>
    <mergeCell ref="N442:N444"/>
    <mergeCell ref="B437:E437"/>
    <mergeCell ref="G437:H437"/>
    <mergeCell ref="I437:J437"/>
    <mergeCell ref="K437:L437"/>
    <mergeCell ref="B438:E438"/>
    <mergeCell ref="G438:H438"/>
    <mergeCell ref="I438:J438"/>
    <mergeCell ref="K438:L438"/>
    <mergeCell ref="G441:H441"/>
    <mergeCell ref="I441:J441"/>
    <mergeCell ref="K441:L441"/>
    <mergeCell ref="B439:E439"/>
    <mergeCell ref="G439:H439"/>
    <mergeCell ref="I439:J439"/>
    <mergeCell ref="K439:L439"/>
    <mergeCell ref="B440:E440"/>
    <mergeCell ref="G440:H440"/>
    <mergeCell ref="I440:J440"/>
    <mergeCell ref="K440:L440"/>
    <mergeCell ref="M446:N447"/>
    <mergeCell ref="A448:A449"/>
    <mergeCell ref="B448:E449"/>
    <mergeCell ref="F448:F449"/>
    <mergeCell ref="G448:H449"/>
    <mergeCell ref="I448:J449"/>
    <mergeCell ref="K448:L449"/>
    <mergeCell ref="M448:M449"/>
    <mergeCell ref="N448:N449"/>
    <mergeCell ref="B450:E450"/>
    <mergeCell ref="G450:H450"/>
    <mergeCell ref="I450:J450"/>
    <mergeCell ref="K450:L450"/>
    <mergeCell ref="B451:E451"/>
    <mergeCell ref="G451:H451"/>
    <mergeCell ref="I451:J451"/>
    <mergeCell ref="K451:L451"/>
    <mergeCell ref="A446:A447"/>
    <mergeCell ref="B446:C447"/>
    <mergeCell ref="D446:D447"/>
    <mergeCell ref="E446:F447"/>
    <mergeCell ref="K453:L453"/>
    <mergeCell ref="A460:E460"/>
    <mergeCell ref="M460:N460"/>
    <mergeCell ref="A461:A463"/>
    <mergeCell ref="B461:C463"/>
    <mergeCell ref="D461:D463"/>
    <mergeCell ref="E461:F463"/>
    <mergeCell ref="G461:G463"/>
    <mergeCell ref="H461:H463"/>
    <mergeCell ref="I461:I463"/>
    <mergeCell ref="J461:J463"/>
    <mergeCell ref="K461:K463"/>
    <mergeCell ref="L461:L463"/>
    <mergeCell ref="M461:M463"/>
    <mergeCell ref="N461:N463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B453:E453"/>
    <mergeCell ref="M479:N479"/>
    <mergeCell ref="A480:A482"/>
    <mergeCell ref="B480:C482"/>
    <mergeCell ref="D480:D482"/>
    <mergeCell ref="E480:F482"/>
    <mergeCell ref="G480:G482"/>
    <mergeCell ref="H480:H482"/>
    <mergeCell ref="I480:I482"/>
    <mergeCell ref="J480:J482"/>
    <mergeCell ref="K480:K482"/>
    <mergeCell ref="L480:L482"/>
    <mergeCell ref="M480:M482"/>
    <mergeCell ref="N480:N482"/>
    <mergeCell ref="B475:E475"/>
    <mergeCell ref="G475:H475"/>
    <mergeCell ref="I475:J475"/>
    <mergeCell ref="K475:L475"/>
    <mergeCell ref="B476:E476"/>
    <mergeCell ref="G476:H476"/>
    <mergeCell ref="I476:J476"/>
    <mergeCell ref="K476:L476"/>
    <mergeCell ref="B489:E489"/>
    <mergeCell ref="G489:H489"/>
    <mergeCell ref="I489:J489"/>
    <mergeCell ref="K489:L489"/>
    <mergeCell ref="B490:E490"/>
    <mergeCell ref="G490:H490"/>
    <mergeCell ref="I490:J490"/>
    <mergeCell ref="K490:L490"/>
    <mergeCell ref="B491:E491"/>
    <mergeCell ref="G491:H491"/>
    <mergeCell ref="I491:J491"/>
    <mergeCell ref="K491:L491"/>
    <mergeCell ref="B492:E492"/>
    <mergeCell ref="G492:H492"/>
    <mergeCell ref="I492:J492"/>
    <mergeCell ref="K492:L492"/>
    <mergeCell ref="B493:E493"/>
    <mergeCell ref="G493:H493"/>
    <mergeCell ref="I493:J493"/>
    <mergeCell ref="K493:L493"/>
    <mergeCell ref="B494:E494"/>
    <mergeCell ref="G494:H494"/>
    <mergeCell ref="I494:J494"/>
    <mergeCell ref="K494:L494"/>
    <mergeCell ref="B495:E495"/>
    <mergeCell ref="G495:H495"/>
    <mergeCell ref="I495:J495"/>
    <mergeCell ref="K495:L495"/>
    <mergeCell ref="A498:E498"/>
    <mergeCell ref="M498:N498"/>
    <mergeCell ref="A499:A501"/>
    <mergeCell ref="B499:C501"/>
    <mergeCell ref="D499:D501"/>
    <mergeCell ref="E499:F501"/>
    <mergeCell ref="G499:G501"/>
    <mergeCell ref="H499:H501"/>
    <mergeCell ref="I499:I501"/>
    <mergeCell ref="J499:J501"/>
    <mergeCell ref="K499:K501"/>
    <mergeCell ref="L499:L501"/>
    <mergeCell ref="M499:M501"/>
    <mergeCell ref="N499:N501"/>
    <mergeCell ref="B496:E496"/>
    <mergeCell ref="G496:H496"/>
    <mergeCell ref="I496:J496"/>
    <mergeCell ref="K496:L496"/>
    <mergeCell ref="B497:E497"/>
    <mergeCell ref="G497:H497"/>
    <mergeCell ref="I497:J497"/>
    <mergeCell ref="K497:L497"/>
    <mergeCell ref="A503:A504"/>
    <mergeCell ref="B503:C504"/>
    <mergeCell ref="D503:D504"/>
    <mergeCell ref="E503:F504"/>
    <mergeCell ref="G503:H504"/>
    <mergeCell ref="I503:J504"/>
    <mergeCell ref="K503:L504"/>
    <mergeCell ref="M503:N504"/>
    <mergeCell ref="A505:A506"/>
    <mergeCell ref="B505:E506"/>
    <mergeCell ref="F505:F506"/>
    <mergeCell ref="G505:H506"/>
    <mergeCell ref="I505:J506"/>
    <mergeCell ref="K505:L506"/>
    <mergeCell ref="M505:M506"/>
    <mergeCell ref="N505:N506"/>
    <mergeCell ref="B508:E508"/>
    <mergeCell ref="G508:H508"/>
    <mergeCell ref="I508:J508"/>
    <mergeCell ref="K508:L508"/>
    <mergeCell ref="B512:E512"/>
    <mergeCell ref="G512:H512"/>
    <mergeCell ref="I512:J512"/>
    <mergeCell ref="K512:L512"/>
    <mergeCell ref="B513:E513"/>
    <mergeCell ref="G513:H513"/>
    <mergeCell ref="I513:J513"/>
    <mergeCell ref="K513:L513"/>
    <mergeCell ref="B514:E514"/>
    <mergeCell ref="G514:H514"/>
    <mergeCell ref="I514:J514"/>
    <mergeCell ref="K514:L514"/>
    <mergeCell ref="B515:E515"/>
    <mergeCell ref="G515:H515"/>
    <mergeCell ref="I515:J515"/>
    <mergeCell ref="K515:L515"/>
    <mergeCell ref="B516:E516"/>
    <mergeCell ref="G516:H516"/>
    <mergeCell ref="I516:J516"/>
    <mergeCell ref="K516:L516"/>
    <mergeCell ref="A517:E517"/>
    <mergeCell ref="G517:H517"/>
    <mergeCell ref="I517:J517"/>
    <mergeCell ref="K517:L517"/>
    <mergeCell ref="M517:N517"/>
    <mergeCell ref="A518:A520"/>
    <mergeCell ref="B518:C520"/>
    <mergeCell ref="D518:D520"/>
    <mergeCell ref="E518:F520"/>
    <mergeCell ref="G518:G520"/>
    <mergeCell ref="H518:H520"/>
    <mergeCell ref="I518:I520"/>
    <mergeCell ref="J518:J520"/>
    <mergeCell ref="K518:K520"/>
    <mergeCell ref="L518:L520"/>
    <mergeCell ref="M518:M520"/>
    <mergeCell ref="N518:N520"/>
    <mergeCell ref="A522:A523"/>
    <mergeCell ref="B522:C523"/>
    <mergeCell ref="D522:D523"/>
    <mergeCell ref="E522:F523"/>
    <mergeCell ref="G522:H523"/>
    <mergeCell ref="I522:J523"/>
    <mergeCell ref="K522:L523"/>
    <mergeCell ref="M522:N523"/>
    <mergeCell ref="A524:A525"/>
    <mergeCell ref="B524:E525"/>
    <mergeCell ref="F524:F525"/>
    <mergeCell ref="G524:H525"/>
    <mergeCell ref="I524:J525"/>
    <mergeCell ref="K524:L525"/>
    <mergeCell ref="M524:M525"/>
    <mergeCell ref="N524:N525"/>
    <mergeCell ref="B526:E526"/>
    <mergeCell ref="G526:H526"/>
    <mergeCell ref="I526:J526"/>
    <mergeCell ref="K526:L526"/>
    <mergeCell ref="B527:E527"/>
    <mergeCell ref="G527:H527"/>
    <mergeCell ref="I527:J527"/>
    <mergeCell ref="K527:L527"/>
    <mergeCell ref="B528:E528"/>
    <mergeCell ref="G528:H528"/>
    <mergeCell ref="I528:J528"/>
    <mergeCell ref="K528:L528"/>
    <mergeCell ref="B529:E529"/>
    <mergeCell ref="G529:H529"/>
    <mergeCell ref="I529:J529"/>
    <mergeCell ref="K529:L529"/>
    <mergeCell ref="B530:E530"/>
    <mergeCell ref="G530:H530"/>
    <mergeCell ref="I530:J530"/>
    <mergeCell ref="K530:L530"/>
    <mergeCell ref="B531:E531"/>
    <mergeCell ref="G531:H531"/>
    <mergeCell ref="I531:J531"/>
    <mergeCell ref="K531:L531"/>
    <mergeCell ref="B532:E532"/>
    <mergeCell ref="G532:H532"/>
    <mergeCell ref="I532:J532"/>
    <mergeCell ref="K532:L532"/>
    <mergeCell ref="B533:E533"/>
    <mergeCell ref="G533:H533"/>
    <mergeCell ref="I533:J533"/>
    <mergeCell ref="K533:L533"/>
    <mergeCell ref="B534:E534"/>
    <mergeCell ref="G534:H534"/>
    <mergeCell ref="I534:J534"/>
    <mergeCell ref="K534:L534"/>
    <mergeCell ref="B535:E535"/>
    <mergeCell ref="G535:H535"/>
    <mergeCell ref="I535:J535"/>
    <mergeCell ref="K535:L535"/>
    <mergeCell ref="A536:E536"/>
    <mergeCell ref="G536:H536"/>
    <mergeCell ref="I536:J536"/>
    <mergeCell ref="K536:L536"/>
    <mergeCell ref="M536:N536"/>
    <mergeCell ref="A537:A539"/>
    <mergeCell ref="B537:C539"/>
    <mergeCell ref="D537:D539"/>
    <mergeCell ref="E537:F539"/>
    <mergeCell ref="G537:G539"/>
    <mergeCell ref="H537:H539"/>
    <mergeCell ref="I537:I539"/>
    <mergeCell ref="J537:J539"/>
    <mergeCell ref="K537:K539"/>
    <mergeCell ref="L537:L539"/>
    <mergeCell ref="M537:M539"/>
    <mergeCell ref="N537:N539"/>
    <mergeCell ref="A541:A542"/>
    <mergeCell ref="B541:C542"/>
    <mergeCell ref="D541:D542"/>
    <mergeCell ref="E541:F542"/>
    <mergeCell ref="G541:H542"/>
    <mergeCell ref="I541:J542"/>
    <mergeCell ref="K541:L542"/>
    <mergeCell ref="M541:N542"/>
    <mergeCell ref="A543:A544"/>
    <mergeCell ref="B543:E544"/>
    <mergeCell ref="F543:F544"/>
    <mergeCell ref="G543:H544"/>
    <mergeCell ref="I543:J544"/>
    <mergeCell ref="K543:L544"/>
    <mergeCell ref="M543:M544"/>
    <mergeCell ref="N543:N544"/>
    <mergeCell ref="B545:E545"/>
    <mergeCell ref="G545:H545"/>
    <mergeCell ref="I545:J545"/>
    <mergeCell ref="K545:L545"/>
    <mergeCell ref="B546:E546"/>
    <mergeCell ref="G546:H546"/>
    <mergeCell ref="I546:J546"/>
    <mergeCell ref="K546:L546"/>
    <mergeCell ref="B547:E547"/>
    <mergeCell ref="G547:H547"/>
    <mergeCell ref="I547:J547"/>
    <mergeCell ref="K547:L547"/>
    <mergeCell ref="B548:E548"/>
    <mergeCell ref="G548:H548"/>
    <mergeCell ref="I548:J548"/>
    <mergeCell ref="K548:L548"/>
    <mergeCell ref="B549:E549"/>
    <mergeCell ref="G549:H549"/>
    <mergeCell ref="I549:J549"/>
    <mergeCell ref="K549:L549"/>
    <mergeCell ref="B550:E550"/>
    <mergeCell ref="G550:H550"/>
    <mergeCell ref="I550:J550"/>
    <mergeCell ref="K550:L550"/>
    <mergeCell ref="B551:E551"/>
    <mergeCell ref="G551:H551"/>
    <mergeCell ref="I551:J551"/>
    <mergeCell ref="K551:L551"/>
    <mergeCell ref="B552:E552"/>
    <mergeCell ref="G552:H552"/>
    <mergeCell ref="I552:J552"/>
    <mergeCell ref="K552:L552"/>
    <mergeCell ref="B553:E553"/>
    <mergeCell ref="G553:H553"/>
    <mergeCell ref="I553:J553"/>
    <mergeCell ref="K553:L553"/>
    <mergeCell ref="B554:E554"/>
    <mergeCell ref="G554:H554"/>
    <mergeCell ref="I554:J554"/>
    <mergeCell ref="K554:L554"/>
    <mergeCell ref="A555:E555"/>
    <mergeCell ref="G555:H555"/>
    <mergeCell ref="I555:J555"/>
    <mergeCell ref="K555:L555"/>
    <mergeCell ref="M555:N555"/>
    <mergeCell ref="A556:A558"/>
    <mergeCell ref="B556:C558"/>
    <mergeCell ref="D556:D558"/>
    <mergeCell ref="E556:F558"/>
    <mergeCell ref="G556:G558"/>
    <mergeCell ref="H556:H558"/>
    <mergeCell ref="I556:I558"/>
    <mergeCell ref="J556:J558"/>
    <mergeCell ref="K556:K558"/>
    <mergeCell ref="L556:L558"/>
    <mergeCell ref="M556:M558"/>
    <mergeCell ref="N556:N558"/>
    <mergeCell ref="A560:A561"/>
    <mergeCell ref="B560:C561"/>
    <mergeCell ref="D560:D561"/>
    <mergeCell ref="E560:F561"/>
    <mergeCell ref="G560:H561"/>
    <mergeCell ref="I560:J561"/>
    <mergeCell ref="K560:L561"/>
    <mergeCell ref="M560:N561"/>
    <mergeCell ref="A562:A563"/>
    <mergeCell ref="B562:E563"/>
    <mergeCell ref="F562:F563"/>
    <mergeCell ref="G562:H563"/>
    <mergeCell ref="I562:J563"/>
    <mergeCell ref="K562:L563"/>
    <mergeCell ref="M562:M563"/>
    <mergeCell ref="N562:N563"/>
    <mergeCell ref="B564:E564"/>
    <mergeCell ref="G564:H564"/>
    <mergeCell ref="I564:J564"/>
    <mergeCell ref="K564:L564"/>
    <mergeCell ref="B565:E565"/>
    <mergeCell ref="G565:H565"/>
    <mergeCell ref="I565:J565"/>
    <mergeCell ref="K565:L565"/>
    <mergeCell ref="B566:E566"/>
    <mergeCell ref="G566:H566"/>
    <mergeCell ref="I566:J566"/>
    <mergeCell ref="K566:L566"/>
    <mergeCell ref="B567:E567"/>
    <mergeCell ref="G567:H567"/>
    <mergeCell ref="I567:J567"/>
    <mergeCell ref="K567:L567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B570:E570"/>
    <mergeCell ref="G570:H570"/>
    <mergeCell ref="I570:J570"/>
    <mergeCell ref="K570:L570"/>
    <mergeCell ref="B571:E571"/>
    <mergeCell ref="G571:H571"/>
    <mergeCell ref="I571:J571"/>
    <mergeCell ref="K571:L571"/>
    <mergeCell ref="B572:E572"/>
    <mergeCell ref="G572:H572"/>
    <mergeCell ref="I572:J572"/>
    <mergeCell ref="K572:L572"/>
    <mergeCell ref="B573:E573"/>
    <mergeCell ref="G573:H573"/>
    <mergeCell ref="I573:J573"/>
    <mergeCell ref="K573:L573"/>
    <mergeCell ref="A574:E574"/>
    <mergeCell ref="G574:H574"/>
    <mergeCell ref="I574:J574"/>
    <mergeCell ref="K574:L574"/>
    <mergeCell ref="M574:N574"/>
    <mergeCell ref="A575:A577"/>
    <mergeCell ref="B575:C577"/>
    <mergeCell ref="D575:D577"/>
    <mergeCell ref="E575:F577"/>
    <mergeCell ref="G575:G577"/>
    <mergeCell ref="H575:H577"/>
    <mergeCell ref="I575:I577"/>
    <mergeCell ref="J575:J577"/>
    <mergeCell ref="K575:K577"/>
    <mergeCell ref="L575:L577"/>
    <mergeCell ref="M575:M577"/>
    <mergeCell ref="N575:N577"/>
    <mergeCell ref="A579:A580"/>
    <mergeCell ref="B579:C580"/>
    <mergeCell ref="D579:D580"/>
    <mergeCell ref="E579:F580"/>
    <mergeCell ref="G579:H580"/>
    <mergeCell ref="I579:J580"/>
    <mergeCell ref="K579:L580"/>
    <mergeCell ref="M579:N580"/>
    <mergeCell ref="A581:A582"/>
    <mergeCell ref="B581:E582"/>
    <mergeCell ref="F581:F582"/>
    <mergeCell ref="G581:H582"/>
    <mergeCell ref="I581:J582"/>
    <mergeCell ref="K581:L582"/>
    <mergeCell ref="M581:M582"/>
    <mergeCell ref="N581:N582"/>
    <mergeCell ref="B583:E583"/>
    <mergeCell ref="G583:H583"/>
    <mergeCell ref="I583:J583"/>
    <mergeCell ref="K583:L583"/>
    <mergeCell ref="B584:E584"/>
    <mergeCell ref="G584:H584"/>
    <mergeCell ref="I584:J584"/>
    <mergeCell ref="K584:L584"/>
    <mergeCell ref="B585:E585"/>
    <mergeCell ref="G585:H585"/>
    <mergeCell ref="I585:J585"/>
    <mergeCell ref="K585:L585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92:E592"/>
    <mergeCell ref="G592:H592"/>
    <mergeCell ref="I592:J592"/>
    <mergeCell ref="K592:L592"/>
    <mergeCell ref="A593:E593"/>
    <mergeCell ref="G593:H593"/>
    <mergeCell ref="I593:J593"/>
    <mergeCell ref="K593:L593"/>
    <mergeCell ref="M593:N593"/>
    <mergeCell ref="A594:A596"/>
    <mergeCell ref="B594:C596"/>
    <mergeCell ref="D594:D596"/>
    <mergeCell ref="E594:F596"/>
    <mergeCell ref="G594:G596"/>
    <mergeCell ref="H594:H596"/>
    <mergeCell ref="I594:I596"/>
    <mergeCell ref="J594:J596"/>
    <mergeCell ref="K594:K596"/>
    <mergeCell ref="L594:L596"/>
    <mergeCell ref="M594:M596"/>
    <mergeCell ref="N594:N596"/>
    <mergeCell ref="A598:A599"/>
    <mergeCell ref="B598:C599"/>
    <mergeCell ref="D598:D599"/>
    <mergeCell ref="E598:F599"/>
    <mergeCell ref="G598:H599"/>
    <mergeCell ref="I598:J599"/>
    <mergeCell ref="K598:L599"/>
    <mergeCell ref="M598:N599"/>
    <mergeCell ref="A600:A601"/>
    <mergeCell ref="B600:E601"/>
    <mergeCell ref="F600:F601"/>
    <mergeCell ref="G600:H601"/>
    <mergeCell ref="I600:J601"/>
    <mergeCell ref="K600:L601"/>
    <mergeCell ref="M600:M601"/>
    <mergeCell ref="N600:N601"/>
    <mergeCell ref="B602:E602"/>
    <mergeCell ref="G602:H602"/>
    <mergeCell ref="I602:J602"/>
    <mergeCell ref="K602:L602"/>
    <mergeCell ref="B603:E603"/>
    <mergeCell ref="G603:H603"/>
    <mergeCell ref="I603:J603"/>
    <mergeCell ref="K603:L603"/>
    <mergeCell ref="B604:E604"/>
    <mergeCell ref="G604:H604"/>
    <mergeCell ref="I604:J604"/>
    <mergeCell ref="K604:L604"/>
    <mergeCell ref="B605:E605"/>
    <mergeCell ref="G605:H605"/>
    <mergeCell ref="I605:J605"/>
    <mergeCell ref="K605:L605"/>
    <mergeCell ref="B606:E606"/>
    <mergeCell ref="G606:H606"/>
    <mergeCell ref="I606:J606"/>
    <mergeCell ref="K606:L606"/>
    <mergeCell ref="B607:E607"/>
    <mergeCell ref="G607:H607"/>
    <mergeCell ref="I607:J607"/>
    <mergeCell ref="K607:L607"/>
    <mergeCell ref="B608:E608"/>
    <mergeCell ref="G608:H608"/>
    <mergeCell ref="I608:J608"/>
    <mergeCell ref="K608:L608"/>
    <mergeCell ref="B609:E609"/>
    <mergeCell ref="G609:H609"/>
    <mergeCell ref="I609:J609"/>
    <mergeCell ref="K609:L609"/>
    <mergeCell ref="B610:E610"/>
    <mergeCell ref="G610:H610"/>
    <mergeCell ref="I610:J610"/>
    <mergeCell ref="K610:L610"/>
    <mergeCell ref="B611:E611"/>
    <mergeCell ref="G611:H611"/>
    <mergeCell ref="I611:J611"/>
    <mergeCell ref="K611:L611"/>
    <mergeCell ref="A612:E612"/>
    <mergeCell ref="G612:H612"/>
    <mergeCell ref="I612:J612"/>
    <mergeCell ref="K612:L612"/>
    <mergeCell ref="M612:N612"/>
    <mergeCell ref="A613:A615"/>
    <mergeCell ref="B613:C615"/>
    <mergeCell ref="D613:D615"/>
    <mergeCell ref="E613:F615"/>
    <mergeCell ref="G613:G615"/>
    <mergeCell ref="H613:H615"/>
    <mergeCell ref="I613:I615"/>
    <mergeCell ref="J613:J615"/>
    <mergeCell ref="K613:K615"/>
    <mergeCell ref="L613:L615"/>
    <mergeCell ref="M613:M615"/>
    <mergeCell ref="N613:N615"/>
    <mergeCell ref="A617:A618"/>
    <mergeCell ref="B617:C618"/>
    <mergeCell ref="D617:D618"/>
    <mergeCell ref="E617:F618"/>
    <mergeCell ref="G617:H618"/>
    <mergeCell ref="I617:J618"/>
    <mergeCell ref="K617:L618"/>
    <mergeCell ref="M617:N618"/>
    <mergeCell ref="A619:A620"/>
    <mergeCell ref="B619:E620"/>
    <mergeCell ref="F619:F620"/>
    <mergeCell ref="G619:H620"/>
    <mergeCell ref="I619:J620"/>
    <mergeCell ref="K619:L620"/>
    <mergeCell ref="M619:M620"/>
    <mergeCell ref="N619:N620"/>
    <mergeCell ref="B621:E621"/>
    <mergeCell ref="G621:H621"/>
    <mergeCell ref="I621:J621"/>
    <mergeCell ref="K621:L621"/>
    <mergeCell ref="B622:E622"/>
    <mergeCell ref="G622:H622"/>
    <mergeCell ref="I622:J622"/>
    <mergeCell ref="K622:L622"/>
    <mergeCell ref="B623:E623"/>
    <mergeCell ref="G623:H623"/>
    <mergeCell ref="I623:J623"/>
    <mergeCell ref="K623:L623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B630:E630"/>
    <mergeCell ref="G630:H630"/>
    <mergeCell ref="I630:J630"/>
    <mergeCell ref="K630:L630"/>
    <mergeCell ref="A631:E631"/>
    <mergeCell ref="G631:H631"/>
    <mergeCell ref="I631:J631"/>
    <mergeCell ref="K631:L631"/>
    <mergeCell ref="M631:N631"/>
    <mergeCell ref="A632:A634"/>
    <mergeCell ref="B632:C634"/>
    <mergeCell ref="D632:D634"/>
    <mergeCell ref="E632:F634"/>
    <mergeCell ref="G632:G634"/>
    <mergeCell ref="H632:H634"/>
    <mergeCell ref="I632:I634"/>
    <mergeCell ref="J632:J634"/>
    <mergeCell ref="K632:K634"/>
    <mergeCell ref="L632:L634"/>
    <mergeCell ref="M632:M634"/>
    <mergeCell ref="N632:N634"/>
    <mergeCell ref="A636:A637"/>
    <mergeCell ref="B636:C637"/>
    <mergeCell ref="D636:D637"/>
    <mergeCell ref="E636:F637"/>
    <mergeCell ref="G636:H637"/>
    <mergeCell ref="I636:J637"/>
    <mergeCell ref="K636:L637"/>
    <mergeCell ref="M636:N637"/>
    <mergeCell ref="A638:A639"/>
    <mergeCell ref="B638:E639"/>
    <mergeCell ref="F638:F639"/>
    <mergeCell ref="G638:H639"/>
    <mergeCell ref="I638:J639"/>
    <mergeCell ref="K638:L639"/>
    <mergeCell ref="M638:M639"/>
    <mergeCell ref="N638:N639"/>
    <mergeCell ref="B640:E640"/>
    <mergeCell ref="G640:H640"/>
    <mergeCell ref="I640:J640"/>
    <mergeCell ref="K640:L640"/>
    <mergeCell ref="B641:E641"/>
    <mergeCell ref="G641:H641"/>
    <mergeCell ref="I641:J641"/>
    <mergeCell ref="K641:L641"/>
    <mergeCell ref="B642:E642"/>
    <mergeCell ref="G642:H642"/>
    <mergeCell ref="I642:J642"/>
    <mergeCell ref="K642:L642"/>
    <mergeCell ref="B643:E643"/>
    <mergeCell ref="G643:H643"/>
    <mergeCell ref="I643:J643"/>
    <mergeCell ref="K643:L643"/>
    <mergeCell ref="B644:E644"/>
    <mergeCell ref="G644:H644"/>
    <mergeCell ref="I644:J644"/>
    <mergeCell ref="K644:L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B649:E649"/>
    <mergeCell ref="G649:H649"/>
    <mergeCell ref="I649:J649"/>
    <mergeCell ref="K649:L649"/>
    <mergeCell ref="A650:E650"/>
    <mergeCell ref="G650:H650"/>
    <mergeCell ref="I650:J650"/>
    <mergeCell ref="K650:L650"/>
    <mergeCell ref="M650:N650"/>
    <mergeCell ref="A651:A653"/>
    <mergeCell ref="B651:C653"/>
    <mergeCell ref="D651:D653"/>
    <mergeCell ref="E651:F653"/>
    <mergeCell ref="G651:G653"/>
    <mergeCell ref="H651:H653"/>
    <mergeCell ref="I651:I653"/>
    <mergeCell ref="J651:J653"/>
    <mergeCell ref="K651:K653"/>
    <mergeCell ref="L651:L653"/>
    <mergeCell ref="M651:M653"/>
    <mergeCell ref="N651:N653"/>
    <mergeCell ref="A655:A656"/>
    <mergeCell ref="B655:C656"/>
    <mergeCell ref="D655:D656"/>
    <mergeCell ref="E655:F656"/>
    <mergeCell ref="G655:H656"/>
    <mergeCell ref="I655:J656"/>
    <mergeCell ref="K655:L656"/>
    <mergeCell ref="M655:N656"/>
    <mergeCell ref="A657:A658"/>
    <mergeCell ref="B657:E658"/>
    <mergeCell ref="F657:F658"/>
    <mergeCell ref="G657:H658"/>
    <mergeCell ref="I657:J658"/>
    <mergeCell ref="K657:L658"/>
    <mergeCell ref="M657:M658"/>
    <mergeCell ref="N657:N658"/>
    <mergeCell ref="B659:E659"/>
    <mergeCell ref="G659:H659"/>
    <mergeCell ref="I659:J659"/>
    <mergeCell ref="K659:L659"/>
    <mergeCell ref="B660:E660"/>
    <mergeCell ref="G660:H660"/>
    <mergeCell ref="I660:J660"/>
    <mergeCell ref="K660:L660"/>
    <mergeCell ref="B661:E661"/>
    <mergeCell ref="G661:H661"/>
    <mergeCell ref="I661:J661"/>
    <mergeCell ref="K661:L661"/>
    <mergeCell ref="B662:E662"/>
    <mergeCell ref="G662:H662"/>
    <mergeCell ref="I662:J662"/>
    <mergeCell ref="K662:L662"/>
    <mergeCell ref="B663:E663"/>
    <mergeCell ref="G663:H663"/>
    <mergeCell ref="I663:J663"/>
    <mergeCell ref="K663:L663"/>
    <mergeCell ref="B664:E664"/>
    <mergeCell ref="G664:H664"/>
    <mergeCell ref="I664:J664"/>
    <mergeCell ref="K664:L664"/>
    <mergeCell ref="B665:E665"/>
    <mergeCell ref="G665:H665"/>
    <mergeCell ref="I665:J665"/>
    <mergeCell ref="K665:L665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8:E668"/>
    <mergeCell ref="G668:H668"/>
    <mergeCell ref="I668:J668"/>
    <mergeCell ref="K668:L668"/>
    <mergeCell ref="A669:E669"/>
    <mergeCell ref="G669:H669"/>
    <mergeCell ref="I669:J669"/>
    <mergeCell ref="K669:L669"/>
    <mergeCell ref="M669:N669"/>
    <mergeCell ref="A670:A672"/>
    <mergeCell ref="B670:C672"/>
    <mergeCell ref="D670:D672"/>
    <mergeCell ref="E670:F672"/>
    <mergeCell ref="G670:G672"/>
    <mergeCell ref="H670:H672"/>
    <mergeCell ref="I670:I672"/>
    <mergeCell ref="J670:J672"/>
    <mergeCell ref="K670:K672"/>
    <mergeCell ref="L670:L672"/>
    <mergeCell ref="M670:M672"/>
    <mergeCell ref="N670:N672"/>
    <mergeCell ref="A674:A675"/>
    <mergeCell ref="B674:C675"/>
    <mergeCell ref="D674:D675"/>
    <mergeCell ref="E674:F675"/>
    <mergeCell ref="G674:H675"/>
    <mergeCell ref="I674:J675"/>
    <mergeCell ref="K674:L675"/>
    <mergeCell ref="M674:N675"/>
    <mergeCell ref="A676:A677"/>
    <mergeCell ref="B676:E677"/>
    <mergeCell ref="F676:F677"/>
    <mergeCell ref="G676:H677"/>
    <mergeCell ref="I676:J677"/>
    <mergeCell ref="K676:L677"/>
    <mergeCell ref="M676:M677"/>
    <mergeCell ref="N676:N677"/>
    <mergeCell ref="B678:E678"/>
    <mergeCell ref="G678:H678"/>
    <mergeCell ref="I678:J678"/>
    <mergeCell ref="K678:L678"/>
    <mergeCell ref="B679:E679"/>
    <mergeCell ref="G679:H679"/>
    <mergeCell ref="I679:J679"/>
    <mergeCell ref="K679:L679"/>
    <mergeCell ref="B680:E680"/>
    <mergeCell ref="G680:H680"/>
    <mergeCell ref="I680:J680"/>
    <mergeCell ref="K680:L680"/>
    <mergeCell ref="B681:E681"/>
    <mergeCell ref="G681:H681"/>
    <mergeCell ref="I681:J681"/>
    <mergeCell ref="K681:L681"/>
    <mergeCell ref="B682:E682"/>
    <mergeCell ref="G682:H682"/>
    <mergeCell ref="I682:J682"/>
    <mergeCell ref="K682:L682"/>
    <mergeCell ref="B683:E683"/>
    <mergeCell ref="G683:H683"/>
    <mergeCell ref="I683:J683"/>
    <mergeCell ref="K683:L683"/>
    <mergeCell ref="B684:E684"/>
    <mergeCell ref="G684:H684"/>
    <mergeCell ref="I684:J684"/>
    <mergeCell ref="K684:L684"/>
    <mergeCell ref="B685:E685"/>
    <mergeCell ref="G685:H685"/>
    <mergeCell ref="I685:J685"/>
    <mergeCell ref="K685:L685"/>
    <mergeCell ref="B686:E686"/>
    <mergeCell ref="G686:H686"/>
    <mergeCell ref="I686:J686"/>
    <mergeCell ref="K686:L686"/>
    <mergeCell ref="B687:E687"/>
    <mergeCell ref="G687:H687"/>
    <mergeCell ref="I687:J687"/>
    <mergeCell ref="K687:L687"/>
    <mergeCell ref="A688:E688"/>
    <mergeCell ref="G688:H688"/>
    <mergeCell ref="I688:J688"/>
    <mergeCell ref="K688:L688"/>
    <mergeCell ref="M688:N688"/>
    <mergeCell ref="A689:A691"/>
    <mergeCell ref="B689:C691"/>
    <mergeCell ref="D689:D691"/>
    <mergeCell ref="E689:F691"/>
    <mergeCell ref="G689:G691"/>
    <mergeCell ref="H689:H691"/>
    <mergeCell ref="I689:I691"/>
    <mergeCell ref="J689:J691"/>
    <mergeCell ref="K689:K691"/>
    <mergeCell ref="L689:L691"/>
    <mergeCell ref="M689:M691"/>
    <mergeCell ref="N689:N691"/>
    <mergeCell ref="A693:A694"/>
    <mergeCell ref="B693:C694"/>
    <mergeCell ref="D693:D694"/>
    <mergeCell ref="E693:F694"/>
    <mergeCell ref="G693:H694"/>
    <mergeCell ref="I693:J694"/>
    <mergeCell ref="K693:L694"/>
    <mergeCell ref="M693:N694"/>
    <mergeCell ref="A695:A696"/>
    <mergeCell ref="B695:E696"/>
    <mergeCell ref="F695:F696"/>
    <mergeCell ref="G695:H696"/>
    <mergeCell ref="I695:J696"/>
    <mergeCell ref="K695:L696"/>
    <mergeCell ref="M695:M696"/>
    <mergeCell ref="N695:N696"/>
    <mergeCell ref="B697:E697"/>
    <mergeCell ref="G697:H697"/>
    <mergeCell ref="I697:J697"/>
    <mergeCell ref="K697:L697"/>
    <mergeCell ref="B698:E698"/>
    <mergeCell ref="G698:H698"/>
    <mergeCell ref="I698:J698"/>
    <mergeCell ref="K698:L698"/>
    <mergeCell ref="B699:E699"/>
    <mergeCell ref="G699:H699"/>
    <mergeCell ref="I699:J699"/>
    <mergeCell ref="K699:L699"/>
    <mergeCell ref="B700:E700"/>
    <mergeCell ref="G700:H700"/>
    <mergeCell ref="I700:J700"/>
    <mergeCell ref="K700:L700"/>
    <mergeCell ref="B701:E701"/>
    <mergeCell ref="G701:H701"/>
    <mergeCell ref="I701:J701"/>
    <mergeCell ref="K701:L701"/>
    <mergeCell ref="B702:E702"/>
    <mergeCell ref="G702:H702"/>
    <mergeCell ref="I702:J702"/>
    <mergeCell ref="K702:L702"/>
    <mergeCell ref="B703:E703"/>
    <mergeCell ref="G703:H703"/>
    <mergeCell ref="I703:J703"/>
    <mergeCell ref="K703:L703"/>
    <mergeCell ref="B704:E704"/>
    <mergeCell ref="G704:H704"/>
    <mergeCell ref="I704:J704"/>
    <mergeCell ref="K704:L704"/>
    <mergeCell ref="B705:E705"/>
    <mergeCell ref="G705:H705"/>
    <mergeCell ref="I705:J705"/>
    <mergeCell ref="K705:L705"/>
    <mergeCell ref="B706:E706"/>
    <mergeCell ref="G706:H706"/>
    <mergeCell ref="I706:J706"/>
    <mergeCell ref="K706:L706"/>
    <mergeCell ref="A707:E707"/>
    <mergeCell ref="G707:H707"/>
    <mergeCell ref="I707:J707"/>
    <mergeCell ref="K707:L707"/>
    <mergeCell ref="M707:N707"/>
    <mergeCell ref="A708:A710"/>
    <mergeCell ref="B708:C710"/>
    <mergeCell ref="D708:D710"/>
    <mergeCell ref="E708:F710"/>
    <mergeCell ref="G708:G710"/>
    <mergeCell ref="H708:H710"/>
    <mergeCell ref="I708:I710"/>
    <mergeCell ref="J708:J710"/>
    <mergeCell ref="K708:K710"/>
    <mergeCell ref="L708:L710"/>
    <mergeCell ref="M708:M710"/>
    <mergeCell ref="N708:N710"/>
    <mergeCell ref="A712:A713"/>
    <mergeCell ref="B712:C713"/>
    <mergeCell ref="D712:D713"/>
    <mergeCell ref="E712:F713"/>
    <mergeCell ref="G712:H713"/>
    <mergeCell ref="I712:J713"/>
    <mergeCell ref="K712:L713"/>
    <mergeCell ref="M712:N713"/>
    <mergeCell ref="A714:A715"/>
    <mergeCell ref="B714:E715"/>
    <mergeCell ref="F714:F715"/>
    <mergeCell ref="G714:H715"/>
    <mergeCell ref="I714:J715"/>
    <mergeCell ref="K714:L715"/>
    <mergeCell ref="M714:M715"/>
    <mergeCell ref="N714:N715"/>
    <mergeCell ref="B716:E716"/>
    <mergeCell ref="G716:H716"/>
    <mergeCell ref="I716:J716"/>
    <mergeCell ref="K716:L716"/>
    <mergeCell ref="B717:E717"/>
    <mergeCell ref="G717:H717"/>
    <mergeCell ref="I717:J717"/>
    <mergeCell ref="K717:L717"/>
    <mergeCell ref="B718:E718"/>
    <mergeCell ref="G718:H718"/>
    <mergeCell ref="I718:J718"/>
    <mergeCell ref="K718:L718"/>
    <mergeCell ref="B719:E719"/>
    <mergeCell ref="G719:H719"/>
    <mergeCell ref="I719:J719"/>
    <mergeCell ref="K719:L719"/>
    <mergeCell ref="B720:E720"/>
    <mergeCell ref="G720:H720"/>
    <mergeCell ref="I720:J720"/>
    <mergeCell ref="K720:L720"/>
    <mergeCell ref="B721:E721"/>
    <mergeCell ref="G721:H721"/>
    <mergeCell ref="I721:J721"/>
    <mergeCell ref="K721:L721"/>
    <mergeCell ref="B722:E722"/>
    <mergeCell ref="G722:H722"/>
    <mergeCell ref="I722:J722"/>
    <mergeCell ref="K722:L722"/>
    <mergeCell ref="B723:E723"/>
    <mergeCell ref="G723:H723"/>
    <mergeCell ref="I723:J723"/>
    <mergeCell ref="K723:L723"/>
    <mergeCell ref="B724:E724"/>
    <mergeCell ref="G724:H724"/>
    <mergeCell ref="I724:J724"/>
    <mergeCell ref="K724:L724"/>
    <mergeCell ref="B725:E725"/>
    <mergeCell ref="G725:H725"/>
    <mergeCell ref="I725:J725"/>
    <mergeCell ref="K725:L725"/>
    <mergeCell ref="A726:E726"/>
    <mergeCell ref="G726:H726"/>
    <mergeCell ref="I726:J726"/>
    <mergeCell ref="K726:L726"/>
    <mergeCell ref="M726:N726"/>
    <mergeCell ref="A727:A729"/>
    <mergeCell ref="B727:C729"/>
    <mergeCell ref="D727:D729"/>
    <mergeCell ref="E727:F729"/>
    <mergeCell ref="G727:G729"/>
    <mergeCell ref="H727:H729"/>
    <mergeCell ref="I727:I729"/>
    <mergeCell ref="J727:J729"/>
    <mergeCell ref="K727:K729"/>
    <mergeCell ref="L727:L729"/>
    <mergeCell ref="M727:M729"/>
    <mergeCell ref="N727:N729"/>
    <mergeCell ref="A731:A732"/>
    <mergeCell ref="B731:C732"/>
    <mergeCell ref="D731:D732"/>
    <mergeCell ref="E731:F732"/>
    <mergeCell ref="G731:H732"/>
    <mergeCell ref="I731:J732"/>
    <mergeCell ref="K731:L732"/>
    <mergeCell ref="M731:N732"/>
    <mergeCell ref="A733:A734"/>
    <mergeCell ref="B733:E734"/>
    <mergeCell ref="F733:F734"/>
    <mergeCell ref="G733:H734"/>
    <mergeCell ref="I733:J734"/>
    <mergeCell ref="K733:L734"/>
    <mergeCell ref="M733:M734"/>
    <mergeCell ref="N733:N734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B737:E737"/>
    <mergeCell ref="G737:H737"/>
    <mergeCell ref="I737:J737"/>
    <mergeCell ref="K737:L737"/>
    <mergeCell ref="B738:E738"/>
    <mergeCell ref="G738:H738"/>
    <mergeCell ref="I738:J738"/>
    <mergeCell ref="K738:L738"/>
    <mergeCell ref="B739:E739"/>
    <mergeCell ref="G739:H739"/>
    <mergeCell ref="I739:J739"/>
    <mergeCell ref="K739:L739"/>
    <mergeCell ref="B740:E740"/>
    <mergeCell ref="G740:H740"/>
    <mergeCell ref="I740:J740"/>
    <mergeCell ref="K740:L740"/>
    <mergeCell ref="B741:E741"/>
    <mergeCell ref="G741:H741"/>
    <mergeCell ref="I741:J741"/>
    <mergeCell ref="K741:L741"/>
    <mergeCell ref="B742:E742"/>
    <mergeCell ref="G742:H742"/>
    <mergeCell ref="I742:J742"/>
    <mergeCell ref="K742:L742"/>
    <mergeCell ref="B743:E743"/>
    <mergeCell ref="G743:H743"/>
    <mergeCell ref="I743:J743"/>
    <mergeCell ref="K743:L743"/>
    <mergeCell ref="B744:E744"/>
    <mergeCell ref="G744:H744"/>
    <mergeCell ref="I744:J744"/>
    <mergeCell ref="K744:L744"/>
    <mergeCell ref="A745:E745"/>
    <mergeCell ref="G745:H745"/>
    <mergeCell ref="I745:J745"/>
    <mergeCell ref="K745:L745"/>
    <mergeCell ref="M745:N745"/>
    <mergeCell ref="A746:A748"/>
    <mergeCell ref="B746:C748"/>
    <mergeCell ref="D746:D748"/>
    <mergeCell ref="E746:F748"/>
    <mergeCell ref="G746:G748"/>
    <mergeCell ref="H746:H748"/>
    <mergeCell ref="I746:I748"/>
    <mergeCell ref="J746:J748"/>
    <mergeCell ref="K746:K748"/>
    <mergeCell ref="L746:L748"/>
    <mergeCell ref="M746:M748"/>
    <mergeCell ref="N746:N748"/>
    <mergeCell ref="A750:A751"/>
    <mergeCell ref="B750:C751"/>
    <mergeCell ref="D750:D751"/>
    <mergeCell ref="E750:F751"/>
    <mergeCell ref="G750:H751"/>
    <mergeCell ref="I750:J751"/>
    <mergeCell ref="K750:L751"/>
    <mergeCell ref="M750:N751"/>
    <mergeCell ref="A752:A753"/>
    <mergeCell ref="B752:E753"/>
    <mergeCell ref="F752:F753"/>
    <mergeCell ref="G752:H753"/>
    <mergeCell ref="I752:J753"/>
    <mergeCell ref="K752:L753"/>
    <mergeCell ref="M752:M753"/>
    <mergeCell ref="N752:N753"/>
    <mergeCell ref="B754:E754"/>
    <mergeCell ref="G754:H754"/>
    <mergeCell ref="I754:J754"/>
    <mergeCell ref="K754:L754"/>
    <mergeCell ref="K764:L764"/>
    <mergeCell ref="B755:E755"/>
    <mergeCell ref="G755:H755"/>
    <mergeCell ref="I755:J755"/>
    <mergeCell ref="K755:L755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8:E758"/>
    <mergeCell ref="G758:H758"/>
    <mergeCell ref="I758:J758"/>
    <mergeCell ref="K758:L758"/>
    <mergeCell ref="B759:E759"/>
    <mergeCell ref="G759:H759"/>
    <mergeCell ref="I759:J759"/>
    <mergeCell ref="K759:L759"/>
    <mergeCell ref="M764:N764"/>
    <mergeCell ref="A765:A767"/>
    <mergeCell ref="B765:C767"/>
    <mergeCell ref="D765:D767"/>
    <mergeCell ref="E765:F767"/>
    <mergeCell ref="G765:G767"/>
    <mergeCell ref="H765:H767"/>
    <mergeCell ref="I765:I767"/>
    <mergeCell ref="J765:J767"/>
    <mergeCell ref="K765:K767"/>
    <mergeCell ref="L765:L767"/>
    <mergeCell ref="M765:M767"/>
    <mergeCell ref="N765:N767"/>
    <mergeCell ref="B760:E760"/>
    <mergeCell ref="G760:H760"/>
    <mergeCell ref="I760:J760"/>
    <mergeCell ref="K760:L760"/>
    <mergeCell ref="B761:E761"/>
    <mergeCell ref="G761:H761"/>
    <mergeCell ref="I761:J761"/>
    <mergeCell ref="K761:L761"/>
    <mergeCell ref="B762:E762"/>
    <mergeCell ref="G762:H762"/>
    <mergeCell ref="I762:J762"/>
    <mergeCell ref="K762:L762"/>
    <mergeCell ref="B763:E763"/>
    <mergeCell ref="G763:H763"/>
    <mergeCell ref="I763:J763"/>
    <mergeCell ref="K763:L763"/>
    <mergeCell ref="A764:E764"/>
    <mergeCell ref="G764:H764"/>
    <mergeCell ref="I764:J764"/>
  </mergeCells>
  <pageMargins left="0.70866141732283472" right="0.70866141732283472" top="0.35433070866141736" bottom="0.35433070866141736" header="0.11811023622047245" footer="0.31496062992125984"/>
  <pageSetup paperSize="8" scale="95" orientation="portrait" horizontalDpi="4294967293" verticalDpi="300" r:id="rId1"/>
  <headerFooter>
    <oddFooter xml:space="preserve">&amp;L&amp;"Times New Roman,Bold"&amp;10Prepared by                        Checked by
Date: 23.08.2025&amp;C&amp;"Times New Roman,Bold"&amp;10Controller(GBPIET)
&amp;R&amp;"Times New Roman,Bold"&amp;10
Director (GBPIET)                        Contoller(UTU)               
</oddFooter>
  </headerFooter>
  <rowBreaks count="10" manualBreakCount="10">
    <brk id="83" max="16383" man="1"/>
    <brk id="159" max="16383" man="1"/>
    <brk id="235" max="16383" man="1"/>
    <brk id="311" max="16383" man="1"/>
    <brk id="387" max="16383" man="1"/>
    <brk id="463" max="16383" man="1"/>
    <brk id="539" max="16383" man="1"/>
    <brk id="615" max="16383" man="1"/>
    <brk id="691" max="16383" man="1"/>
    <brk id="767" max="16383" man="1"/>
  </rowBreaks>
  <colBreaks count="1" manualBreakCount="1">
    <brk id="14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6EF2-C090-4D61-85E6-25575ED12C9B}">
  <dimension ref="A1:Z670"/>
  <sheetViews>
    <sheetView view="pageLayout" topLeftCell="A52" zoomScaleNormal="100" workbookViewId="0">
      <selection activeCell="N8" sqref="N8"/>
    </sheetView>
  </sheetViews>
  <sheetFormatPr baseColWidth="10" defaultColWidth="8.83203125" defaultRowHeight="12.75" customHeight="1" x14ac:dyDescent="0.2"/>
  <sheetData>
    <row r="1" spans="1:26" ht="14.25" customHeight="1" x14ac:dyDescent="0.2">
      <c r="A1" s="51" t="s">
        <v>19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Y1" s="2" t="s">
        <v>9</v>
      </c>
      <c r="Z1" s="3" t="s">
        <v>10</v>
      </c>
    </row>
    <row r="2" spans="1:26" ht="14.25" customHeight="1" x14ac:dyDescent="0.2">
      <c r="A2" s="52" t="s">
        <v>20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Y2" s="4" t="s">
        <v>11</v>
      </c>
      <c r="Z2" s="4">
        <v>10</v>
      </c>
    </row>
    <row r="3" spans="1:26" ht="14.25" customHeight="1" x14ac:dyDescent="0.2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Y3" s="4" t="s">
        <v>54</v>
      </c>
      <c r="Z3" s="4">
        <v>9</v>
      </c>
    </row>
    <row r="4" spans="1:26" ht="14.25" customHeight="1" x14ac:dyDescent="0.2">
      <c r="A4" s="52" t="s">
        <v>21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Y4" s="4" t="s">
        <v>8</v>
      </c>
      <c r="Z4" s="4">
        <v>8</v>
      </c>
    </row>
    <row r="5" spans="1:26" ht="14.25" customHeight="1" x14ac:dyDescent="0.2">
      <c r="A5" s="54" t="s">
        <v>244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Y5" s="4" t="s">
        <v>55</v>
      </c>
      <c r="Z5" s="4">
        <v>7</v>
      </c>
    </row>
    <row r="6" spans="1:26" ht="14.25" customHeight="1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Y6" s="4" t="s">
        <v>12</v>
      </c>
      <c r="Z6" s="4">
        <v>6</v>
      </c>
    </row>
    <row r="7" spans="1:26" ht="14.25" customHeight="1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Y7" s="4" t="s">
        <v>13</v>
      </c>
      <c r="Z7" s="4">
        <v>5</v>
      </c>
    </row>
    <row r="8" spans="1:26" ht="14.25" customHeight="1" x14ac:dyDescent="0.2">
      <c r="A8" s="5" t="s">
        <v>43</v>
      </c>
      <c r="B8" s="5">
        <v>1</v>
      </c>
      <c r="C8" s="5" t="s">
        <v>22</v>
      </c>
      <c r="D8" s="5" t="s">
        <v>23</v>
      </c>
      <c r="E8" s="5" t="s">
        <v>13</v>
      </c>
      <c r="F8" s="5" t="s">
        <v>59</v>
      </c>
      <c r="G8" s="5" t="s">
        <v>56</v>
      </c>
      <c r="H8" s="5">
        <v>40</v>
      </c>
      <c r="I8" s="5">
        <v>10</v>
      </c>
      <c r="J8" s="6"/>
      <c r="K8" s="6"/>
      <c r="L8" s="6"/>
      <c r="M8" s="6"/>
      <c r="N8" s="6"/>
      <c r="Y8" s="4" t="s">
        <v>14</v>
      </c>
      <c r="Z8" s="4">
        <v>4</v>
      </c>
    </row>
    <row r="9" spans="1:26" ht="14.25" customHeight="1" x14ac:dyDescent="0.2">
      <c r="A9" s="47" t="s">
        <v>24</v>
      </c>
      <c r="B9" s="47" t="str">
        <f ca="1">VLOOKUP(B8,INDIRECT($F$8),4,0)</f>
        <v>ALOK NEGI</v>
      </c>
      <c r="C9" s="47"/>
      <c r="D9" s="47" t="s">
        <v>25</v>
      </c>
      <c r="E9" s="47" t="str">
        <f ca="1">VLOOKUP(B8,INDIRECT($F$8),5,0)</f>
        <v>PRATAP SINGH NEGI</v>
      </c>
      <c r="F9" s="47"/>
      <c r="G9" s="47" t="s">
        <v>26</v>
      </c>
      <c r="H9" s="47"/>
      <c r="I9" s="48">
        <f ca="1">VLOOKUP(B8,INDIRECT($F$8),2,0)</f>
        <v>240090600001</v>
      </c>
      <c r="J9" s="48"/>
      <c r="K9" s="47" t="s">
        <v>27</v>
      </c>
      <c r="L9" s="47"/>
      <c r="M9" s="48" t="str">
        <f ca="1">VLOOKUP(B8,INDIRECT($F$8),3,0)</f>
        <v>UTU/2406100187</v>
      </c>
      <c r="N9" s="48"/>
      <c r="Y9" s="4" t="s">
        <v>15</v>
      </c>
      <c r="Z9" s="4">
        <v>0</v>
      </c>
    </row>
    <row r="10" spans="1:26" ht="14.25" customHeight="1" x14ac:dyDescent="0.2">
      <c r="A10" s="47"/>
      <c r="B10" s="47"/>
      <c r="C10" s="47"/>
      <c r="D10" s="47"/>
      <c r="E10" s="47"/>
      <c r="F10" s="47"/>
      <c r="G10" s="47"/>
      <c r="H10" s="47"/>
      <c r="I10" s="48"/>
      <c r="J10" s="48"/>
      <c r="K10" s="47"/>
      <c r="L10" s="47"/>
      <c r="M10" s="48"/>
      <c r="N10" s="48"/>
      <c r="Y10" s="4" t="s">
        <v>16</v>
      </c>
      <c r="Z10" s="4">
        <v>0</v>
      </c>
    </row>
    <row r="11" spans="1:26" ht="14.25" customHeight="1" x14ac:dyDescent="0.2">
      <c r="A11" s="45" t="s">
        <v>28</v>
      </c>
      <c r="B11" s="45" t="s">
        <v>29</v>
      </c>
      <c r="C11" s="45"/>
      <c r="D11" s="45"/>
      <c r="E11" s="45"/>
      <c r="F11" s="45" t="s">
        <v>30</v>
      </c>
      <c r="G11" s="45" t="s">
        <v>31</v>
      </c>
      <c r="H11" s="45"/>
      <c r="I11" s="45" t="s">
        <v>32</v>
      </c>
      <c r="J11" s="45"/>
      <c r="K11" s="45" t="s">
        <v>33</v>
      </c>
      <c r="L11" s="45"/>
      <c r="M11" s="45" t="s">
        <v>9</v>
      </c>
      <c r="N11" s="45" t="s">
        <v>34</v>
      </c>
      <c r="Y11" s="4" t="s">
        <v>17</v>
      </c>
      <c r="Z11" s="4">
        <v>0</v>
      </c>
    </row>
    <row r="12" spans="1:26" ht="14.25" customHeight="1" x14ac:dyDescent="0.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18</v>
      </c>
      <c r="Z12" s="4">
        <v>0</v>
      </c>
    </row>
    <row r="13" spans="1:26" ht="14.25" customHeight="1" x14ac:dyDescent="0.2">
      <c r="A13" s="7" t="str">
        <f ca="1">IF(ISERROR(F8),"",VLOOKUP(C8,INDIRECT($F$8),6+(O13-1)*3,0))</f>
        <v>CAT  014</v>
      </c>
      <c r="B13" s="41" t="str">
        <f ca="1">IF(ISERROR(F8),"",VLOOKUP(D8,INDIRECT($F$8),6+(O13-1)*3,0))</f>
        <v>Graph Theory</v>
      </c>
      <c r="C13" s="41"/>
      <c r="D13" s="41"/>
      <c r="E13" s="41"/>
      <c r="F13" s="7">
        <f ca="1">IF(ISERROR(F8),"",VLOOKUP(E8,INDIRECT($F$8),6+(O13-1)*3,0))</f>
        <v>4</v>
      </c>
      <c r="G13" s="42" t="str">
        <f ca="1">IF(ISERROR(F8),"",_xlfn.TEXTJOIN("/",FALSE,P13,S13))</f>
        <v>0/100</v>
      </c>
      <c r="H13" s="42"/>
      <c r="I13" s="42" t="str">
        <f ca="1">IF(ISERROR(F8),"",_xlfn.TEXTJOIN("/",FALSE,Q13,T13))</f>
        <v>0/50</v>
      </c>
      <c r="J13" s="42"/>
      <c r="K13" s="42" t="str">
        <f ca="1">IF(ISERROR(F8),"",_xlfn.TEXTJOIN("/",FALSE,R13,U13))</f>
        <v>0/150</v>
      </c>
      <c r="L13" s="42"/>
      <c r="M13" s="7" t="str">
        <f ca="1">IF(ISERROR(F8),"",IF(ISTEXT(P13),IF(P13="A","Ab",IF(P13="D","Dt",IF(P13="UFM","UFM",IF(P13="NA","")))),IF(AND(ISBLANK(P13),ISBLANK(R13)),"",IF(P13&lt;0.3*S13,"F",IF(ISBLANK(R13),"",IF(ISTEXT(R13),R13,IF(R13&gt;=0.9*U13,"O",IF(R13&gt;=0.85*U13,"A+",IF(R13&gt;=0.8*U13,"A",IF(R13&gt;=0.7*U13,"B+",IF(R13&gt;=0.6*U13,"B",IF(R13&gt;=0.5*U13,"C",IF(R13&gt;=0.4*U13,"P",IF(R13&lt;0.4*U13,"F",R13))))))))))))))</f>
        <v>F</v>
      </c>
      <c r="N13" s="8">
        <f t="shared" ref="N13:N20" ca="1" si="0">INDEX($Z$2:$Z$13,MATCH(M13,$Y$2:$Y$13,0))</f>
        <v>0</v>
      </c>
      <c r="O13">
        <v>1</v>
      </c>
      <c r="P13" s="1">
        <f ca="1">IF(ISERROR(F8),"",IF(ISTEXT(VLOOKUP(B8,INDIRECT($F$8),6+(O13-1)*3)),(VLOOKUP(B8,INDIRECT($F$8),6+(O13-1)*3)),SUM(VLOOKUP(B8,INDIRECT($F$8),6+(O13-1)*3),IF(W21,W13,0))))</f>
        <v>0</v>
      </c>
      <c r="Q13" s="1">
        <f ca="1">IF(ISERROR(F8),"",VLOOKUP(B8,INDIRECT($F$8),7+(O13-1)*3))</f>
        <v>0</v>
      </c>
      <c r="R13" s="1">
        <f ca="1">IF(ISERROR(F8),"",SUM(P13:Q13))</f>
        <v>0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>CAT  014</v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11</v>
      </c>
      <c r="X13" s="1" t="str">
        <f ca="1">IF(ISERROR(F8),"",IF(W13=0,"",_xlfn.TEXTJOIN("",FALSE," G+",W13," in ",A13)))</f>
        <v xml:space="preserve"> G+11 in CAT  014</v>
      </c>
      <c r="Y13" s="4" t="str">
        <f>""</f>
        <v/>
      </c>
      <c r="Z13" s="4" t="str">
        <f>""</f>
        <v/>
      </c>
    </row>
    <row r="14" spans="1:26" ht="14.25" customHeight="1" x14ac:dyDescent="0.2">
      <c r="A14" s="7" t="str">
        <f ca="1">IF(ISERROR(F8),"",VLOOKUP(C8,INDIRECT($F$8),6+(O14-1)*3,0))</f>
        <v>CAT 015</v>
      </c>
      <c r="B14" s="41" t="str">
        <f ca="1">IF(ISERROR(F8),"",VLOOKUP(D8,INDIRECT($F$8),6+(O14-1)*3,0))</f>
        <v>Software Engineering</v>
      </c>
      <c r="C14" s="41"/>
      <c r="D14" s="41"/>
      <c r="E14" s="41"/>
      <c r="F14" s="7">
        <f ca="1">IF(ISERROR(F8),"",VLOOKUP(E8,INDIRECT($F$8),6+(O14-1)*3,0))</f>
        <v>4</v>
      </c>
      <c r="G14" s="42" t="str">
        <f ca="1">IF(ISERROR(F8),"",_xlfn.TEXTJOIN("/",FALSE,P14,S14))</f>
        <v>0/100</v>
      </c>
      <c r="H14" s="42"/>
      <c r="I14" s="42" t="str">
        <f ca="1">IF(ISERROR(F8),"",_xlfn.TEXTJOIN("/",FALSE,Q14,T14))</f>
        <v>0/50</v>
      </c>
      <c r="J14" s="42"/>
      <c r="K14" s="42" t="str">
        <f ca="1">IF(ISERROR(F8),"",_xlfn.TEXTJOIN("/",FALSE,R14,U14))</f>
        <v>0/150</v>
      </c>
      <c r="L14" s="42"/>
      <c r="M14" s="7" t="str">
        <f ca="1">IF(ISERROR(F8),"",IF(ISTEXT(P14),IF(P14="A","Ab",IF(P14="D","Dt",IF(P14="UFM","UFM",IF(P14="NA","")))),IF(AND(ISBLANK(P14),ISBLANK(R14)),"",IF(P14&lt;0.3*S14,"F",IF(ISBLANK(R14),"",IF(ISTEXT(R14),R14,IF(R14&gt;=0.9*U14,"O",IF(R14&gt;=0.85*U14,"A+",IF(R14&gt;=0.8*U14,"A",IF(R14&gt;=0.7*U14,"B+",IF(R14&gt;=0.6*U14,"B",IF(R14&gt;=0.5*U14,"C",IF(R14&gt;=0.4*U14,"P",IF(R14&lt;0.4*U14,"F",R14))))))))))))))</f>
        <v>F</v>
      </c>
      <c r="N14" s="8">
        <f t="shared" ca="1" si="0"/>
        <v>0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IF(ISERROR(F8),"",IF(ISTEXT(VLOOKUP(B8,INDIRECT($F$8),6+(O14-1)*3)),(VLOOKUP(B8,INDIRECT($F$8),6+(O14-1)*3)),SUM(VLOOKUP(B8,INDIRECT($F$8),6+(O14-1)*3),IF(W21,W14,0))))</f>
        <v>0</v>
      </c>
      <c r="Q14" s="1">
        <f ca="1">IF(ISERROR(F8),"",VLOOKUP(B8,INDIRECT($F$8),7+(O14-1)*3))</f>
        <v>0</v>
      </c>
      <c r="R14" s="1">
        <f ca="1">IF(ISERROR(F8),"",SUM(P14:Q14))</f>
        <v>0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>CAT 015</v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11</v>
      </c>
      <c r="X14" s="1" t="str">
        <f ca="1">IF(ISERROR(F8),"",IF(W14=0,"",_xlfn.TEXTJOIN("",FALSE," G+",W14," in ",A14)))</f>
        <v xml:space="preserve"> G+11 in CAT 015</v>
      </c>
    </row>
    <row r="15" spans="1:26" ht="14.25" customHeight="1" x14ac:dyDescent="0.2">
      <c r="A15" s="7" t="str">
        <f ca="1">IF(ISERROR(F8),"",VLOOKUP(C8,INDIRECT($F$8),6+(O15-1)*3,0))</f>
        <v>Enroll No.</v>
      </c>
      <c r="B15" s="41">
        <f ca="1">IF(ISERROR(F8),"",VLOOKUP(D8,INDIRECT($F$8),6+(O15-1)*3,0))</f>
        <v>0</v>
      </c>
      <c r="C15" s="41"/>
      <c r="D15" s="41"/>
      <c r="E15" s="41"/>
      <c r="F15" s="7">
        <f ca="1">IF(ISERROR(F8),"",VLOOKUP(E8,INDIRECT($F$8),6+(O15-1)*3,0))</f>
        <v>0</v>
      </c>
      <c r="G15" s="42" t="str">
        <f ca="1">IF(ISERROR(F8),"",_xlfn.TEXTJOIN("/",FALSE,P15,S15))</f>
        <v>UTU/2406100187/0</v>
      </c>
      <c r="H15" s="42"/>
      <c r="I15" s="42" t="str">
        <f ca="1">IF(ISERROR(F8),"",_xlfn.TEXTJOIN("/",FALSE,Q15,T15))</f>
        <v>ALOK NEGI/0</v>
      </c>
      <c r="J15" s="42"/>
      <c r="K15" s="42" t="str">
        <f ca="1">IF(ISERROR(F8),"",_xlfn.TEXTJOIN("/",FALSE,R15,U15))</f>
        <v>0/0</v>
      </c>
      <c r="L15" s="42"/>
      <c r="M15" s="7" t="b">
        <f ca="1">IF(ISERROR(F8),"",IF(ISTEXT(P15),IF(P15="A","Ab",IF(P15="D","Dt",IF(P15="UFM","UFM",IF(P15="NA","")))),IF(AND(ISBLANK(P15),ISBLANK(R15)),"",IF(P15&lt;0.3*S15,"F",IF(ISBLANK(R15),"",IF(ISTEXT(R15),R15,IF(R15&gt;=0.9*U15,"O",IF(R15&gt;=0.85*U15,"A+",IF(R15&gt;=0.8*U15,"A",IF(R15&gt;=0.7*U15,"B+",IF(R15&gt;=0.6*U15,"B",IF(R15&gt;=0.5*U15,"C",IF(R15&gt;=0.4*U15,"P",IF(R15&lt;0.4*U15,"F",R15))))))))))))))</f>
        <v>0</v>
      </c>
      <c r="N15" s="8" t="e">
        <f t="shared" ca="1" si="0"/>
        <v>#N/A</v>
      </c>
      <c r="O15" t="b" cm="1">
        <f t="array" aca="1" ref="O15" ca="1">IF(NOT(ISBLANK(INDIRECT("SEM_III!L"&amp;INT((ROW(O15)-15)/17)+6))),3,IF(NOT(ISBLANK(INDIRECT("SEM_III!O"&amp;INT((ROW(O15)-15)/17)+6))),4))</f>
        <v>0</v>
      </c>
      <c r="P15" s="1" t="str">
        <f ca="1">IF(ISERROR(F8),"",IF(ISTEXT(VLOOKUP(B8,INDIRECT($F$8),6+(O15-1)*3)),(VLOOKUP(B8,INDIRECT($F$8),6+(O15-1)*3)),SUM(VLOOKUP(B8,INDIRECT($F$8),6+(O15-1)*3),IF(W21,W15,0))))</f>
        <v>UTU/2406100187</v>
      </c>
      <c r="Q15" s="1" t="str">
        <f ca="1">IF(ISERROR(F8),"",VLOOKUP(B8,INDIRECT($F$8),7+(O15-1)*3))</f>
        <v>ALOK NEGI</v>
      </c>
      <c r="R15" s="1">
        <f ca="1">IF(ISERROR(F8),"",SUM(P15:Q15))</f>
        <v>0</v>
      </c>
      <c r="S15" s="1">
        <f ca="1">IF(ISERROR(F8),"",VLOOKUP(A8,INDIRECT($F$8),6+(O15-1)*3))</f>
        <v>0</v>
      </c>
      <c r="T15" s="1">
        <f ca="1">IF(ISERROR(F8),"",VLOOKUP(A8,INDIRECT($F$8),7+(O15-1)*3))</f>
        <v>0</v>
      </c>
      <c r="U15" s="1">
        <f ca="1">IF(ISERROR(F8),"",VLOOKUP(A8,INDIRECT($F$8),8+(O15-1)*3))</f>
        <v>0</v>
      </c>
      <c r="V15" s="1" t="e">
        <f ca="1">IF(ISERROR(F8),"",IF(N15=0,A15,""))</f>
        <v>#N/A</v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11</v>
      </c>
      <c r="X15" s="1" t="str">
        <f ca="1">IF(ISERROR(F8),"",IF(W15=0,"",_xlfn.TEXTJOIN("",FALSE," G+",W15," in ",A15)))</f>
        <v xml:space="preserve"> G+11 in Enroll No.</v>
      </c>
    </row>
    <row r="16" spans="1:26" ht="14.25" customHeight="1" x14ac:dyDescent="0.2">
      <c r="A16" s="7" t="str">
        <f ca="1">IF(ISERROR(F8),"",VLOOKUP(C8,INDIRECT($F$8),6+(O16-1)*3,0))</f>
        <v>Enroll No.</v>
      </c>
      <c r="B16" s="41">
        <f ca="1">IF(ISERROR(F8),"",VLOOKUP(D8,INDIRECT($F$8),6+(O16-1)*3,0))</f>
        <v>0</v>
      </c>
      <c r="C16" s="41"/>
      <c r="D16" s="41"/>
      <c r="E16" s="41"/>
      <c r="F16" s="7">
        <f ca="1">IF(ISERROR(F8),"",VLOOKUP(E8,INDIRECT($F$8),6+(O16-1)*3,0))</f>
        <v>0</v>
      </c>
      <c r="G16" s="42" t="str">
        <f ca="1">IF(ISERROR(F8),"",_xlfn.TEXTJOIN("/",FALSE,P16,S16))</f>
        <v>UTU/2406100187/0</v>
      </c>
      <c r="H16" s="42"/>
      <c r="I16" s="42" t="str">
        <f ca="1">IF(ISERROR(F8),"",_xlfn.TEXTJOIN("/",FALSE,Q16,T16))</f>
        <v>ALOK NEGI/0</v>
      </c>
      <c r="J16" s="42"/>
      <c r="K16" s="42" t="str">
        <f ca="1">IF(ISERROR(F8),"",_xlfn.TEXTJOIN("/",FALSE,R16,U16))</f>
        <v>0/0</v>
      </c>
      <c r="L16" s="42"/>
      <c r="M16" s="7" t="b">
        <f ca="1">IF(ISERROR(F8),"",IF(ISTEXT(P16),IF(P16="A","Ab",IF(P16="D","Dt",IF(P16="UFM","UFM",IF(P16="NA","")))),IF(AND(ISBLANK(P16),ISBLANK(R16)),"",IF(P16&lt;0.3*S16,"F",IF(ISBLANK(R16),"",IF(ISTEXT(R16),R16,IF(R16&gt;=0.9*U16,"O",IF(R16&gt;=0.85*U16,"A+",IF(R16&gt;=0.8*U16,"A",IF(R16&gt;=0.7*U16,"B+",IF(R16&gt;=0.6*U16,"B",IF(R16&gt;=0.5*U16,"C",IF(R16&gt;=0.4*U16,"P",IF(R16&lt;0.4*U16,"F",R16))))))))))))))</f>
        <v>0</v>
      </c>
      <c r="N16" s="8" t="e">
        <f t="shared" ca="1" si="0"/>
        <v>#N/A</v>
      </c>
      <c r="O16" t="b" cm="1">
        <f t="array" aca="1" ref="O16" ca="1">IF(NOT(ISBLANK(INDIRECT("SEM_III!R"&amp;INT((ROW(O16)-16)/17)+6))),5,IF(NOT(ISBLANK(INDIRECT("SEM_III!U"&amp;INT((ROW(O16)-16)/17)+6))),6))</f>
        <v>0</v>
      </c>
      <c r="P16" s="1" t="str">
        <f ca="1">IF(ISERROR(F8),"",IF(ISTEXT(VLOOKUP(B8,INDIRECT($F$8),6+(O16-1)*3)),(VLOOKUP(B8,INDIRECT($F$8),6+(O16-1)*3)),SUM(VLOOKUP(B8,INDIRECT($F$8),6+(O16-1)*3),IF(W21,W16,0))))</f>
        <v>UTU/2406100187</v>
      </c>
      <c r="Q16" s="1" t="str">
        <f ca="1">IF(ISERROR(F8),"",VLOOKUP(B8,INDIRECT($F$8),7+(O16-1)*3))</f>
        <v>ALOK NEGI</v>
      </c>
      <c r="R16" s="1">
        <f ca="1">IF(ISERROR(F8),"",SUM(P16:Q16))</f>
        <v>0</v>
      </c>
      <c r="S16" s="1">
        <f ca="1">IF(ISERROR(F8),"",VLOOKUP(A8,INDIRECT($F$8),6+(O16-1)*3))</f>
        <v>0</v>
      </c>
      <c r="T16" s="1">
        <f ca="1">IF(ISERROR(F8),"",VLOOKUP(A8,INDIRECT($F$8),7+(O16-1)*3))</f>
        <v>0</v>
      </c>
      <c r="U16" s="1">
        <f ca="1">IF(ISERROR(F8),"",VLOOKUP(A8,INDIRECT($F$8),8+(O16-1)*3))</f>
        <v>0</v>
      </c>
      <c r="V16" s="1" t="e">
        <f ca="1">IF(ISERROR(F8),"",IF(N16=0,A16,""))</f>
        <v>#N/A</v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11</v>
      </c>
      <c r="X16" s="1" t="str">
        <f ca="1">IF(ISERROR(F8),"",IF(W16=0,"",_xlfn.TEXTJOIN("",FALSE," G+",W16," in ",A16)))</f>
        <v xml:space="preserve"> G+11 in Enroll No.</v>
      </c>
    </row>
    <row r="17" spans="1:24" ht="14.25" customHeight="1" x14ac:dyDescent="0.2">
      <c r="A17" s="7" t="str">
        <f ca="1">IF(ISERROR(F8),"",VLOOKUP(C8,INDIRECT($F$8),6+(O17-1)*3,0))</f>
        <v>AHT 310</v>
      </c>
      <c r="B17" s="41" t="str">
        <f ca="1">IF(ISERROR(F8),"",VLOOKUP(D8,INDIRECT($F$8),6+(O17-1)*3,0))</f>
        <v>Universal Human Value</v>
      </c>
      <c r="C17" s="41"/>
      <c r="D17" s="41"/>
      <c r="E17" s="41"/>
      <c r="F17" s="7">
        <f ca="1">IF(ISERROR(F8),"",VLOOKUP(E8,INDIRECT($F$8),6+(O17-1)*3,0))</f>
        <v>3</v>
      </c>
      <c r="G17" s="42" t="str">
        <f ca="1">IF(ISERROR(F8),"",_xlfn.TEXTJOIN("/",FALSE,P17,S17))</f>
        <v>0/100</v>
      </c>
      <c r="H17" s="42"/>
      <c r="I17" s="42" t="str">
        <f ca="1">IF(ISERROR(F8),"",_xlfn.TEXTJOIN("/",FALSE,Q17,T17))</f>
        <v>0/50</v>
      </c>
      <c r="J17" s="42"/>
      <c r="K17" s="42" t="str">
        <f ca="1">IF(ISERROR(F8),"",_xlfn.TEXTJOIN("/",FALSE,R17,U17))</f>
        <v>0/150</v>
      </c>
      <c r="L17" s="42"/>
      <c r="M17" s="7" t="str">
        <f ca="1">IF(ISERROR(F8),"",IF(ISTEXT(P17),IF(P17="A","Ab",IF(P17="D","Dt",IF(P17="UFM","UFM",IF(P17="NA","")))),IF(AND(ISBLANK(P17),ISBLANK(R17)),"",IF(P17&lt;0.3*S17,"F",IF(ISBLANK(R17),"",IF(ISTEXT(R17),R17,IF(R17&gt;=0.9*U17,"O",IF(R17&gt;=0.85*U17,"A+",IF(R17&gt;=0.8*U17,"A",IF(R17&gt;=0.7*U17,"B+",IF(R17&gt;=0.6*U17,"B",IF(R17&gt;=0.5*U17,"C",IF(R17&gt;=0.4*U17,"P",IF(R17&lt;0.4*U17,"F",R17))))))))))))))</f>
        <v>F</v>
      </c>
      <c r="N17" s="8">
        <f t="shared" ca="1" si="0"/>
        <v>0</v>
      </c>
      <c r="O17">
        <f ca="1">IF(O16&gt;0,7,"")</f>
        <v>7</v>
      </c>
      <c r="P17" s="1">
        <f ca="1">IF(ISERROR(F8),"",IF(ISTEXT(VLOOKUP(B8,INDIRECT($F$8),6+(O17-1)*3)),(VLOOKUP(B8,INDIRECT($F$8),6+(O17-1)*3)),SUM(VLOOKUP(B8,INDIRECT($F$8),6+(O17-1)*3),IF(W21,W17,0))))</f>
        <v>0</v>
      </c>
      <c r="Q17" s="1">
        <f ca="1">IF(ISERROR(F8),"",VLOOKUP(B8,INDIRECT($F$8),7+(O17-1)*3))</f>
        <v>0</v>
      </c>
      <c r="R17" s="1">
        <f ca="1">IF(ISERROR(F8),"",SUM(P17:Q17))</f>
        <v>0</v>
      </c>
      <c r="S17" s="1">
        <f ca="1">IF(ISERROR(F8),"",VLOOKUP(A8,INDIRECT($F$8),6+(O17-1)*3))</f>
        <v>100</v>
      </c>
      <c r="T17" s="1">
        <f ca="1">IF(ISERROR(F8),"",VLOOKUP(A8,INDIRECT($F$8),7+(O17-1)*3))</f>
        <v>50</v>
      </c>
      <c r="U17" s="1">
        <f ca="1">IF(ISERROR(F8),"",VLOOKUP(A8,INDIRECT($F$8),8+(O17-1)*3))</f>
        <v>150</v>
      </c>
      <c r="V17" s="1" t="str">
        <f ca="1">IF(ISERROR(F8),"",IF(N17=0,A17,""))</f>
        <v>AHT 310</v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11</v>
      </c>
      <c r="X17" s="1" t="str">
        <f ca="1">IF(ISERROR(F8),"",IF(W17=0,"",_xlfn.TEXTJOIN("",FALSE," G+",W17," in ",A17)))</f>
        <v xml:space="preserve"> G+11 in AHT 310</v>
      </c>
    </row>
    <row r="18" spans="1:24" ht="14.25" customHeight="1" x14ac:dyDescent="0.2">
      <c r="A18" s="7" t="str">
        <f ca="1">IF(ISERROR(F8),"",VLOOKUP(C8,INDIRECT($F$8),6+(O18-1)*3,0))</f>
        <v>CAP 008</v>
      </c>
      <c r="B18" s="41" t="str">
        <f ca="1">IF(ISERROR(F8),"",VLOOKUP(D8,INDIRECT($F$8),6+(O18-1)*3,0))</f>
        <v>Software Engineering Lab</v>
      </c>
      <c r="C18" s="41"/>
      <c r="D18" s="41"/>
      <c r="E18" s="41"/>
      <c r="F18" s="7">
        <f ca="1">IF(ISERROR(F8),"",VLOOKUP(E8,INDIRECT($F$8),6+(O18-1)*3,0))</f>
        <v>1</v>
      </c>
      <c r="G18" s="42" t="str">
        <f ca="1">IF(ISERROR(F8),"",_xlfn.TEXTJOIN("/",FALSE,P18,S18))</f>
        <v>0/30</v>
      </c>
      <c r="H18" s="42"/>
      <c r="I18" s="42" t="str">
        <f ca="1">IF(ISERROR(F8),"",_xlfn.TEXTJOIN("/",FALSE,Q18,T18))</f>
        <v>0/20</v>
      </c>
      <c r="J18" s="42"/>
      <c r="K18" s="42" t="str">
        <f ca="1">IF(ISERROR(F8),"",_xlfn.TEXTJOIN("/",FALSE,R18,U18))</f>
        <v>0/50</v>
      </c>
      <c r="L18" s="42"/>
      <c r="M18" s="7" t="str">
        <f ca="1">IF(ISERROR(F8),"",IF(ISTEXT(P18),IF(P18="A","Ab",IF(P18="D","Dt",IF(P18="UFM","UFM",IF(P18="NA","")))),IF(AND(ISBLANK(P18),ISBLANK(R18)),"",IF(P18&lt;0.3*S18,"F",IF(ISBLANK(R18),"",IF(ISTEXT(R18),R18,IF(R18&gt;=0.9*U18,"O",IF(R18&gt;=0.85*U18,"A+",IF(R18&gt;=0.8*U18,"A",IF(R18&gt;=0.7*U18,"B+",IF(R18&gt;=0.6*U18,"B",IF(R18&gt;=0.5*U18,"C",IF(R18&gt;=0.4*U18,"P",IF(R18&lt;0.4*U18,"F",R18))))))))))))))</f>
        <v>F</v>
      </c>
      <c r="N18" s="8">
        <f t="shared" ca="1" si="0"/>
        <v>0</v>
      </c>
      <c r="O18">
        <f t="shared" ref="O18:O20" ca="1" si="1">O17+1</f>
        <v>8</v>
      </c>
      <c r="P18" s="1">
        <f ca="1">IF(ISERROR(F8),"",IF(ISTEXT(VLOOKUP(B8,INDIRECT($F$8),6+(O18-1)*3)),(VLOOKUP(B8,INDIRECT($F$8),6+(O18-1)*3)),SUM(VLOOKUP(B8,INDIRECT($F$8),6+(O18-1)*3),IF(W21,W18,0))))</f>
        <v>0</v>
      </c>
      <c r="Q18" s="1">
        <f ca="1">IF(ISERROR(F8),"",VLOOKUP(B8,INDIRECT($F$8),7+(O18-1)*3))</f>
        <v>0</v>
      </c>
      <c r="R18" s="1">
        <f ca="1">IF(ISERROR(F8),"",SUM(P18:Q18))</f>
        <v>0</v>
      </c>
      <c r="S18" s="1">
        <f ca="1">IF(ISERROR(F8),"",VLOOKUP(A8,INDIRECT($F$8),6+(O18-1)*3))</f>
        <v>30</v>
      </c>
      <c r="T18" s="1">
        <f ca="1">IF(ISERROR(F8),"",VLOOKUP(A8,INDIRECT($F$8),7+(O18-1)*3))</f>
        <v>20</v>
      </c>
      <c r="U18" s="1">
        <f ca="1">IF(ISERROR(F8),"",VLOOKUP(A8,INDIRECT($F$8),8+(O18-1)*3))</f>
        <v>50</v>
      </c>
      <c r="V18" s="1" t="str">
        <f ca="1">IF(ISERROR(F8),"",IF(N18=0,A18,""))</f>
        <v>CAP 008</v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11</v>
      </c>
      <c r="X18" s="1" t="str">
        <f ca="1">IF(ISERROR(F8),"",IF(W18=0,"",_xlfn.TEXTJOIN("",FALSE," G+",W18," in ",A18)))</f>
        <v xml:space="preserve"> G+11 in CAP 008</v>
      </c>
    </row>
    <row r="19" spans="1:24" ht="14.25" customHeight="1" x14ac:dyDescent="0.2">
      <c r="A19" s="7" t="str">
        <f ca="1">IF(ISERROR(F8),"",VLOOKUP(C8,INDIRECT($F$8),6+(O19-1)*3,0))</f>
        <v>CAP 009</v>
      </c>
      <c r="B19" s="41" t="str">
        <f ca="1">IF(ISERROR(F8),"",VLOOKUP(D8,INDIRECT($F$8),6+(O19-1)*3,0))</f>
        <v>Seminar</v>
      </c>
      <c r="C19" s="41"/>
      <c r="D19" s="41"/>
      <c r="E19" s="41"/>
      <c r="F19" s="7">
        <f ca="1">IF(ISERROR(F8),"",VLOOKUP(E8,INDIRECT($F$8),6+(O19-1)*3,0))</f>
        <v>2</v>
      </c>
      <c r="G19" s="42" t="str">
        <f ca="1">IF(ISERROR(F8),"",_xlfn.TEXTJOIN("/",FALSE,P19,S19))</f>
        <v>0/0</v>
      </c>
      <c r="H19" s="42"/>
      <c r="I19" s="42" t="str">
        <f ca="1">IF(ISERROR(F8),"",_xlfn.TEXTJOIN("/",FALSE,Q19,T19))</f>
        <v>0/100</v>
      </c>
      <c r="J19" s="42"/>
      <c r="K19" s="42" t="str">
        <f ca="1">IF(ISERROR(F8),"",_xlfn.TEXTJOIN("/",FALSE,R19,U19))</f>
        <v>0/100</v>
      </c>
      <c r="L19" s="42"/>
      <c r="M19" s="7" t="str">
        <f ca="1">IF(ISERROR(F8),"",IF(ISTEXT(P19),IF(P19="A","Ab",IF(P19="D","Dt",IF(P19="UFM","UFM",IF(P19="NA","")))),IF(AND(ISBLANK(P19),ISBLANK(R19)),"",IF(P19&lt;0.3*S19,"F",IF(ISBLANK(R19),"",IF(ISTEXT(R19),R19,IF(R19&gt;=0.9*U19,"O",IF(R19&gt;=0.85*U19,"A+",IF(R19&gt;=0.8*U19,"A",IF(R19&gt;=0.7*U19,"B+",IF(R19&gt;=0.6*U19,"B",IF(R19&gt;=0.5*U19,"C",IF(R19&gt;=0.4*U19,"P",IF(R19&lt;0.4*U19,"F",R19))))))))))))))</f>
        <v>F</v>
      </c>
      <c r="N19" s="8">
        <f t="shared" ca="1" si="0"/>
        <v>0</v>
      </c>
      <c r="O19">
        <f t="shared" ca="1" si="1"/>
        <v>9</v>
      </c>
      <c r="P19" s="1">
        <f ca="1">IF(ISERROR(F8),"",IF(ISTEXT(VLOOKUP(B8,INDIRECT($F$8),6+(O19-1)*3)),(VLOOKUP(B8,INDIRECT($F$8),6+(O19-1)*3)),SUM(VLOOKUP(B8,INDIRECT($F$8),6+(O19-1)*3),IF(W21,W19,0))))</f>
        <v>0</v>
      </c>
      <c r="Q19" s="1">
        <f ca="1">IF(ISERROR(F8),"",VLOOKUP(B8,INDIRECT($F$8),7+(O19-1)*3))</f>
        <v>0</v>
      </c>
      <c r="R19" s="1">
        <f ca="1">IF(ISERROR(F8),"",SUM(P19:Q19))</f>
        <v>0</v>
      </c>
      <c r="S19" s="1">
        <f ca="1">IF(ISERROR(F8),"",VLOOKUP(A8,INDIRECT($F$8),6+(O19-1)*3))</f>
        <v>0</v>
      </c>
      <c r="T19" s="1">
        <f ca="1">IF(ISERROR(F8),"",VLOOKUP(A8,INDIRECT($F$8),7+(O19-1)*3))</f>
        <v>100</v>
      </c>
      <c r="U19" s="1">
        <f ca="1">IF(ISERROR(F8),"",VLOOKUP(A8,INDIRECT($F$8),8+(O19-1)*3))</f>
        <v>100</v>
      </c>
      <c r="V19" s="1" t="str">
        <f ca="1">IF(ISERROR(F8),"",IF(N19=0,A19,""))</f>
        <v>CAP 009</v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11</v>
      </c>
      <c r="X19" s="1" t="str">
        <f ca="1">IF(ISERROR(F8),"",IF(W19=0,"",_xlfn.TEXTJOIN("",FALSE," G+",W19," in ",A19)))</f>
        <v xml:space="preserve"> G+11 in CAP 009</v>
      </c>
    </row>
    <row r="20" spans="1:24" ht="14.25" customHeight="1" x14ac:dyDescent="0.2">
      <c r="A20" s="7" t="str">
        <f ca="1">IF(ISERROR(F8),"",VLOOKUP(C8,INDIRECT($F$8),6+(O20-1)*3,0))</f>
        <v>CAP 010</v>
      </c>
      <c r="B20" s="41" t="str">
        <f ca="1">IF(ISERROR(F8),"",VLOOKUP(D8,INDIRECT($F$8),6+(O20-1)*3-Z20,0))</f>
        <v>Minor Project</v>
      </c>
      <c r="C20" s="41"/>
      <c r="D20" s="41"/>
      <c r="E20" s="41"/>
      <c r="F20" s="7">
        <f ca="1">IF(ISERROR(F8),"",VLOOKUP(E8,INDIRECT($F$8),6+(O20-1)*3,0))</f>
        <v>2</v>
      </c>
      <c r="G20" s="42" t="str">
        <f ca="1">IF(ISERROR(F8),"",_xlfn.TEXTJOIN("/",FALSE,P20,S20))</f>
        <v>0/50</v>
      </c>
      <c r="H20" s="42"/>
      <c r="I20" s="42" t="str">
        <f ca="1">IF(ISERROR(F8),"",_xlfn.TEXTJOIN("/",FALSE,Q20,T20))</f>
        <v>0/50</v>
      </c>
      <c r="J20" s="42"/>
      <c r="K20" s="42" t="str">
        <f ca="1">IF(ISERROR(F8),"",_xlfn.TEXTJOIN("/",FALSE,R20,U20))</f>
        <v>0/100</v>
      </c>
      <c r="L20" s="42"/>
      <c r="M20" s="7" t="str">
        <f ca="1">IF(ISERROR(F8),"",IF(ISTEXT(P20),IF(P20="A","Ab",IF(P20="D","Dt",IF(P20="UFM","UFM",IF(P20="NA","")))),IF(AND(ISBLANK(P20),ISBLANK(R20)),"",IF(P20&lt;0.3*S20,"F",IF(ISBLANK(R20),"",IF(ISTEXT(R20),R20,IF(R20&gt;=0.9*U20,"O",IF(R20&gt;=0.85*U20,"A+",IF(R20&gt;=0.8*U20,"A",IF(R20&gt;=0.7*U20,"B+",IF(R20&gt;=0.6*U20,"B",IF(R20&gt;=0.5*U20,"C",IF(R20&gt;=0.4*U20,"P",IF(R20&lt;0.4*U20,"F",R20))))))))))))))</f>
        <v>F</v>
      </c>
      <c r="N20" s="8">
        <f t="shared" ca="1" si="0"/>
        <v>0</v>
      </c>
      <c r="O20">
        <f t="shared" ca="1" si="1"/>
        <v>10</v>
      </c>
      <c r="P20" s="1">
        <f ca="1">IF(ISERROR(F8),"",IF(ISTEXT(VLOOKUP(B8,INDIRECT($F$8),6+(O20-1)*3)),(VLOOKUP(B8,INDIRECT($F$8),6+(O20-1)*3)),SUM(VLOOKUP(B8,INDIRECT($F$8),6+(O20-1)*3),IF(W21,W20,0))))</f>
        <v>0</v>
      </c>
      <c r="Q20" s="1">
        <f ca="1">IF(ISERROR(F8),"",VLOOKUP(B8,INDIRECT($F$8),7+(O20-1)*3))</f>
        <v>0</v>
      </c>
      <c r="R20" s="1">
        <f ca="1">IF(ISERROR(F8),"",SUM(P20:Q20))</f>
        <v>0</v>
      </c>
      <c r="S20" s="1">
        <f ca="1">IF(ISERROR(F8),"",VLOOKUP(A8,INDIRECT($F$8),6+(O20-1)*3))</f>
        <v>50</v>
      </c>
      <c r="T20" s="1">
        <f ca="1">IF(ISERROR(F8),"",VLOOKUP(A8,INDIRECT($F$8),7+(O20-1)*3))</f>
        <v>50</v>
      </c>
      <c r="U20" s="1">
        <f ca="1">IF(ISERROR(F8),"",VLOOKUP(A8,INDIRECT($F$8),8+(O20-1)*3))</f>
        <v>100</v>
      </c>
      <c r="V20" s="1" t="str">
        <f ca="1">IF(ISERROR(F8),"",IF(N20=0,A20,""))</f>
        <v>CAP 010</v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11</v>
      </c>
      <c r="X20" s="1" t="str">
        <f ca="1">IF(ISERROR(F8),"",IF(W20=0,"",_xlfn.TEXTJOIN("",FALSE," G+",W20," in ",A20)))</f>
        <v xml:space="preserve"> G+11 in CAP 010</v>
      </c>
    </row>
    <row r="21" spans="1:24" ht="14.25" customHeight="1" x14ac:dyDescent="0.2">
      <c r="A21" s="44" t="s">
        <v>35</v>
      </c>
      <c r="B21" s="44"/>
      <c r="C21" s="44"/>
      <c r="D21" s="44"/>
      <c r="E21" s="44"/>
      <c r="F21" s="9">
        <f ca="1">SUM(F13:F20)</f>
        <v>16</v>
      </c>
      <c r="G21" s="44" t="str">
        <f ca="1">_xlfn.TEXTJOIN("/",TRUE,SUMIF(F13:F20,"&gt;0",P13:P20),SUMIF(F13:F20,"&gt;0",S13:S20))</f>
        <v>0/380</v>
      </c>
      <c r="H21" s="44"/>
      <c r="I21" s="44" t="str">
        <f ca="1">_xlfn.TEXTJOIN("/",TRUE,SUMIF(F13:F20,"&gt;0",Q13:Q20),SUMIF(F13:F20,"&gt;0",T13:T20))</f>
        <v>0/320</v>
      </c>
      <c r="J21" s="44"/>
      <c r="K21" s="44" t="str">
        <f ca="1">_xlfn.TEXTJOIN("/",TRUE,SUMIF(F13:F20,"&gt;0",R13:R20),SUMIF(F13:F20,"&gt;0",U13:U20))</f>
        <v>0/700</v>
      </c>
      <c r="L21" s="44"/>
      <c r="M21" s="43" t="e">
        <f ca="1">SUMPRODUCT(N13:N20,F13:F20)</f>
        <v>#N/A</v>
      </c>
      <c r="N21" s="43"/>
      <c r="V21" s="1" t="e">
        <f ca="1">_xlfn.TEXTJOIN(", ",TRUE,V13:V20)</f>
        <v>#N/A</v>
      </c>
      <c r="W21" t="b">
        <f ca="1">IF(SUM(W13:W20)&lt;=W12,TRUE,FALSE)</f>
        <v>0</v>
      </c>
      <c r="X21" s="1" t="str">
        <f ca="1">_xlfn.TEXTJOIN(",",TRUE,X13:X20)</f>
        <v xml:space="preserve"> G+11 in CAT  014, G+11 in CAT 015, G+11 in Enroll No., G+11 in Enroll No., G+11 in AHT 310, G+11 in CAP 008, G+11 in CAP 009, G+11 in CAP 010</v>
      </c>
    </row>
    <row r="22" spans="1:24" ht="14.25" customHeight="1" x14ac:dyDescent="0.2">
      <c r="A22" s="43" t="s">
        <v>36</v>
      </c>
      <c r="B22" s="45" t="e">
        <f ca="1">IF(V21="","PASS","CARRY OVER")</f>
        <v>#N/A</v>
      </c>
      <c r="C22" s="45"/>
      <c r="D22" s="43" t="s">
        <v>37</v>
      </c>
      <c r="E22" s="45" t="e">
        <f ca="1">IF(V21="",IF(X21="","",X21),_xlfn.TEXTJOIN(" ",TRUE,"BACK IN",V21))</f>
        <v>#N/A</v>
      </c>
      <c r="F22" s="45"/>
      <c r="G22" s="43" t="s">
        <v>38</v>
      </c>
      <c r="H22" s="46" t="e">
        <f ca="1">M21/F21</f>
        <v>#N/A</v>
      </c>
      <c r="I22" s="43" t="s">
        <v>39</v>
      </c>
      <c r="J22" s="46" t="e">
        <f ca="1">IF(ISERROR(F8),"",VLOOKUP(B8,INDIRECT($F$8),12+(O20-1)*3,0))</f>
        <v>#N/A</v>
      </c>
      <c r="K22" s="45" t="s">
        <v>40</v>
      </c>
      <c r="L22" s="43">
        <f ca="1">SUMIF(N13:N20,"&gt;0",F13:F20)</f>
        <v>0</v>
      </c>
      <c r="M22" s="45" t="s">
        <v>41</v>
      </c>
      <c r="N22" s="43" t="e">
        <f ca="1">IF(ISERROR(F8),"",VLOOKUP(B8,INDIRECT($F$8),10+(O20-1)*3,0))</f>
        <v>#N/A</v>
      </c>
    </row>
    <row r="23" spans="1:24" ht="14.25" customHeight="1" x14ac:dyDescent="0.2">
      <c r="A23" s="43"/>
      <c r="B23" s="45"/>
      <c r="C23" s="45"/>
      <c r="D23" s="43"/>
      <c r="E23" s="45"/>
      <c r="F23" s="45"/>
      <c r="G23" s="43"/>
      <c r="H23" s="46"/>
      <c r="I23" s="43"/>
      <c r="J23" s="46"/>
      <c r="K23" s="45"/>
      <c r="L23" s="43"/>
      <c r="M23" s="45"/>
      <c r="N23" s="43"/>
    </row>
    <row r="24" spans="1:24" ht="14.25" customHeight="1" x14ac:dyDescent="0.2">
      <c r="A24" s="43"/>
      <c r="B24" s="45"/>
      <c r="C24" s="45"/>
      <c r="D24" s="43"/>
      <c r="E24" s="45"/>
      <c r="F24" s="45"/>
      <c r="G24" s="43"/>
      <c r="H24" s="46"/>
      <c r="I24" s="43"/>
      <c r="J24" s="46"/>
      <c r="K24" s="45"/>
      <c r="L24" s="43"/>
      <c r="M24" s="45"/>
      <c r="N24" s="43"/>
    </row>
    <row r="25" spans="1:24" ht="14.25" customHeight="1" x14ac:dyDescent="0.2">
      <c r="A25" s="11" t="str">
        <f>A8</f>
        <v>MM</v>
      </c>
      <c r="B25" s="11">
        <f>B8+1</f>
        <v>2</v>
      </c>
      <c r="C25" s="11" t="str">
        <f>C8</f>
        <v>SC</v>
      </c>
      <c r="D25" s="11" t="str">
        <f>D8</f>
        <v>SN</v>
      </c>
      <c r="E25" s="11" t="str">
        <f>E8</f>
        <v>C</v>
      </c>
      <c r="F25" s="11" t="str">
        <f ca="1">VLOOKUP(B25,INDIRECT($F$8),4,0)</f>
        <v>AMAN POKHRIYAL</v>
      </c>
    </row>
    <row r="26" spans="1:24" ht="14.25" customHeight="1" x14ac:dyDescent="0.2">
      <c r="A26" s="47" t="str">
        <f ca="1">IF(ISERROR(F25),"",A9)</f>
        <v>Name:</v>
      </c>
      <c r="B26" s="47" t="str">
        <f ca="1">IFERROR(VLOOKUP(B25,INDIRECT($F$8),4,0),"")</f>
        <v>AMAN POKHRIYAL</v>
      </c>
      <c r="C26" s="47"/>
      <c r="D26" s="47" t="str">
        <f ca="1">IF(ISERROR(F25),"",D9)</f>
        <v>Father's Name:</v>
      </c>
      <c r="E26" s="47" t="str">
        <f ca="1">IFERROR(VLOOKUP(B25,INDIRECT($F$8),5,0),"")</f>
        <v>VINOD PRASSAD POKHRIYAL</v>
      </c>
      <c r="F26" s="47"/>
      <c r="G26" s="47" t="str">
        <f ca="1">IF(ISERROR(F25),"",G9)</f>
        <v>University Roll No:</v>
      </c>
      <c r="H26" s="47"/>
      <c r="I26" s="48">
        <f ca="1">IFERROR(VLOOKUP(B25,INDIRECT($F$8),2,0),"")</f>
        <v>240090600002</v>
      </c>
      <c r="J26" s="48"/>
      <c r="K26" s="47" t="str">
        <f ca="1">IF(ISERROR(F25),"",K9)</f>
        <v>University Enrol. No:</v>
      </c>
      <c r="L26" s="47"/>
      <c r="M26" s="48" t="str">
        <f ca="1">IFERROR(VLOOKUP(B25,INDIRECT($F$8),3,0),"")</f>
        <v>UTU/2406100171</v>
      </c>
      <c r="N26" s="48"/>
    </row>
    <row r="27" spans="1:24" ht="14.25" customHeight="1" x14ac:dyDescent="0.2">
      <c r="A27" s="47"/>
      <c r="B27" s="47"/>
      <c r="C27" s="47"/>
      <c r="D27" s="47"/>
      <c r="E27" s="47"/>
      <c r="F27" s="47"/>
      <c r="G27" s="47"/>
      <c r="H27" s="47"/>
      <c r="I27" s="48"/>
      <c r="J27" s="48"/>
      <c r="K27" s="47"/>
      <c r="L27" s="47"/>
      <c r="M27" s="48"/>
      <c r="N27" s="48"/>
    </row>
    <row r="28" spans="1:24" ht="14.25" customHeight="1" x14ac:dyDescent="0.2">
      <c r="A28" s="45" t="str">
        <f ca="1">IF(ISERROR(F25),"",A11)</f>
        <v>Subject Code</v>
      </c>
      <c r="B28" s="45" t="str">
        <f ca="1">IF(ISERROR(F25),"",B11)</f>
        <v>Subject Name</v>
      </c>
      <c r="C28" s="45"/>
      <c r="D28" s="45"/>
      <c r="E28" s="45"/>
      <c r="F28" s="45" t="str">
        <f ca="1">IF(ISERROR(F25),"",F11)</f>
        <v>Credits</v>
      </c>
      <c r="G28" s="45" t="str">
        <f ca="1">IF(ISERROR(F25),"",G11)</f>
        <v>External Marks</v>
      </c>
      <c r="H28" s="45"/>
      <c r="I28" s="45" t="str">
        <f ca="1">IF(ISERROR(F25),"",I11)</f>
        <v>Sessional Marks</v>
      </c>
      <c r="J28" s="45"/>
      <c r="K28" s="45" t="str">
        <f ca="1">IF(ISERROR(F25),"",K11)</f>
        <v>Total Marks</v>
      </c>
      <c r="L28" s="45"/>
      <c r="M28" s="45" t="str">
        <f ca="1">IF(ISERROR(F25),"",M11)</f>
        <v>Grade</v>
      </c>
      <c r="N28" s="45" t="str">
        <f ca="1">IF(ISERROR(F25),"",N11)</f>
        <v>Grade Points</v>
      </c>
    </row>
    <row r="29" spans="1:24" ht="14.25" customHeight="1" x14ac:dyDescent="0.2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W29">
        <f ca="1">IF(ISNUMBER(MATCH($F$8,{"I","III","V","VII"},0)),10,10-INDEX(INDIRECT(_xlfn.TEXTJOIN("",TRUE,"SEM_",$G$8,"!",ADDRESS(6,4+$I$8*3+4),":",ADDRESS(5+$H$8,4+$I$8*3+4))),MATCH(INDIRECT(_xlfn.TEXTJOIN("",TRUE,"TC_",$F$8,"!",ADDRESS(ROW(I26),COLUMN(I26)))),INDIRECT(_xlfn.TEXTJOIN("",TRUE,"SEM_",$G$8,"!",ADDRESS(6,2),":",ADDRESS(5+$H$8,2))))))</f>
        <v>10</v>
      </c>
    </row>
    <row r="30" spans="1:24" ht="14.25" customHeight="1" x14ac:dyDescent="0.2">
      <c r="A30" s="7" t="str">
        <f ca="1">IF(ISERROR(F25),"",VLOOKUP(C25,INDIRECT($F$8),6+(O30-1)*3,0))</f>
        <v>CAT  014</v>
      </c>
      <c r="B30" s="41" t="str">
        <f ca="1">IF(ISERROR(F25),"",VLOOKUP(D25,INDIRECT($F$8),6+(O30-1)*3,0))</f>
        <v>Graph Theory</v>
      </c>
      <c r="C30" s="41"/>
      <c r="D30" s="41"/>
      <c r="E30" s="41"/>
      <c r="F30" s="7">
        <f ca="1">IF(ISERROR(F25),"",VLOOKUP(E25,INDIRECT($F$8),6+(O30-1)*3,0))</f>
        <v>4</v>
      </c>
      <c r="G30" s="42" t="str">
        <f ca="1">IF(ISERROR(F25),"",_xlfn.TEXTJOIN("/",FALSE,P30,S30))</f>
        <v>0/100</v>
      </c>
      <c r="H30" s="42"/>
      <c r="I30" s="42" t="str">
        <f ca="1">IF(ISERROR(F25),"",_xlfn.TEXTJOIN("/",FALSE,Q30,T30))</f>
        <v>0/50</v>
      </c>
      <c r="J30" s="42"/>
      <c r="K30" s="42" t="str">
        <f ca="1">IF(ISERROR(F25),"",_xlfn.TEXTJOIN("/",FALSE,R30,U30))</f>
        <v>0/150</v>
      </c>
      <c r="L30" s="42"/>
      <c r="M30" s="7" t="str">
        <f ca="1">IF(ISERROR(F25),"",IF(ISTEXT(P30),IF(P30="A","Ab",IF(P30="D","Dt",IF(P30="UFM","UFM",IF(P30="NA","")))),IF(AND(ISBLANK(P30),ISBLANK(R30)),"",IF(P30&lt;0.3*S30,"F",IF(ISBLANK(R30),"",IF(ISTEXT(R30),R30,IF(R30&gt;=0.9*U30,"O",IF(R30&gt;=0.85*U30,"A+",IF(R30&gt;=0.8*U30,"A",IF(R30&gt;=0.7*U30,"B+",IF(R30&gt;=0.6*U30,"B",IF(R30&gt;=0.5*U30,"C",IF(R30&gt;=0.4*U30,"P",IF(R30&lt;0.4*U30,"F",R30))))))))))))))</f>
        <v>F</v>
      </c>
      <c r="N30" s="8">
        <f t="shared" ref="N30:N37" ca="1" si="2">INDEX($Z$2:$Z$13,MATCH(M30,$Y$2:$Y$13,0))</f>
        <v>0</v>
      </c>
      <c r="O30">
        <v>1</v>
      </c>
      <c r="P30" s="1">
        <f ca="1">IF(ISERROR(F25),"",IF(ISTEXT(VLOOKUP(B25,INDIRECT($F$8),6+(O30-1)*3)),(VLOOKUP(B25,INDIRECT($F$8),6+(O30-1)*3)),SUM(VLOOKUP(B25,INDIRECT($F$8),6+(O30-1)*3),IF(W38,W30,0))))</f>
        <v>0</v>
      </c>
      <c r="Q30" s="1">
        <f ca="1">IF(ISERROR(F25),"",VLOOKUP(B25,INDIRECT($F$8),7+(O30-1)*3))</f>
        <v>0</v>
      </c>
      <c r="R30" s="1">
        <f ca="1">IF(ISERROR(F25),"",SUM(P30:Q30))</f>
        <v>0</v>
      </c>
      <c r="S30" s="1">
        <f ca="1">IF(ISERROR(F25),"",VLOOKUP(A25,INDIRECT($F$8),6+(O30-1)*3))</f>
        <v>100</v>
      </c>
      <c r="T30" s="1">
        <f ca="1">IF(ISERROR(F25),"",VLOOKUP(A25,INDIRECT($F$8),7+(O30-1)*3))</f>
        <v>50</v>
      </c>
      <c r="U30" s="1">
        <f ca="1">IF(ISERROR(F25),"",VLOOKUP(A25,INDIRECT($F$8),8+(O30-1)*3))</f>
        <v>150</v>
      </c>
      <c r="V30" s="1" t="str">
        <f ca="1">IF(ISERROR(F25),"",IF(N30=0,A30,""))</f>
        <v>CAT  014</v>
      </c>
      <c r="W30" s="1">
        <f ca="1">IF(ISERROR(F25),"",IF(ISTEXT(VLOOKUP(B25,INDIRECT($F$8),6+(O30-1)*3)),11,IF(VLOOKUP(B25,INDIRECT($F$8),6+(O30-1)*3)&lt;S30*0.3,IF(VLOOKUP(B25,INDIRECT($F$8),8+(O30-1)*3)&lt;U30*0.4,IF(AND(0.4*U30-VLOOKUP(B25,INDIRECT($F$8),8+(O30-1)*3)&lt;=5,0.3*S30-VLOOKUP(B25,INDIRECT($F$8),6+(O30-1)*3)&lt;=5),MAX(0.4*U30-VLOOKUP(B25,INDIRECT($F$8),8+(O30-1)*3),0.3*S30-VLOOKUP(B25,INDIRECT($F$8),6+(O30-1)*3)),11),IF(0.3*S30-VLOOKUP(B25,INDIRECT($F$8),6+(O30-1)*3)&lt;=5,0.3*S30-VLOOKUP(B25,INDIRECT($F$8),6+(O30-1)*3),11)),IF(VLOOKUP(B25,INDIRECT($F$8),8+(O30-1)*3)&lt;U30*0.4,IF(U30*0.4-VLOOKUP(B25,INDIRECT($F$8),8+(O30-1)*3)&lt;=5,U30*0.4-VLOOKUP(B25,INDIRECT($F$8),8+(O30-1)*3),11),0))))</f>
        <v>11</v>
      </c>
      <c r="X30" s="1" t="str">
        <f ca="1">IF(ISERROR(F25),"",IF(W30=0,"",_xlfn.TEXTJOIN("",FALSE," G+",W30," in ",A30)))</f>
        <v xml:space="preserve"> G+11 in CAT  014</v>
      </c>
    </row>
    <row r="31" spans="1:24" ht="14.25" customHeight="1" x14ac:dyDescent="0.2">
      <c r="A31" s="7" t="str">
        <f ca="1">IF(ISERROR(F25),"",VLOOKUP(C25,INDIRECT($F$8),6+(O31-1)*3,0))</f>
        <v>CAT 015</v>
      </c>
      <c r="B31" s="41" t="str">
        <f ca="1">IF(ISERROR(F25),"",VLOOKUP(D25,INDIRECT($F$8),6+(O31-1)*3,0))</f>
        <v>Software Engineering</v>
      </c>
      <c r="C31" s="41"/>
      <c r="D31" s="41"/>
      <c r="E31" s="41"/>
      <c r="F31" s="7">
        <f ca="1">IF(ISERROR(F25),"",VLOOKUP(E25,INDIRECT($F$8),6+(O31-1)*3,0))</f>
        <v>4</v>
      </c>
      <c r="G31" s="42" t="str">
        <f ca="1">IF(ISERROR(F25),"",_xlfn.TEXTJOIN("/",FALSE,P31,S31))</f>
        <v>0/100</v>
      </c>
      <c r="H31" s="42"/>
      <c r="I31" s="42" t="str">
        <f ca="1">IF(ISERROR(F25),"",_xlfn.TEXTJOIN("/",FALSE,Q31,T31))</f>
        <v>0/50</v>
      </c>
      <c r="J31" s="42"/>
      <c r="K31" s="42" t="str">
        <f ca="1">IF(ISERROR(F25),"",_xlfn.TEXTJOIN("/",FALSE,R31,U31))</f>
        <v>0/150</v>
      </c>
      <c r="L31" s="42"/>
      <c r="M31" s="7" t="str">
        <f ca="1">IF(ISERROR(F25),"",IF(ISTEXT(P31),IF(P31="A","Ab",IF(P31="D","Dt",IF(P31="UFM","UFM",IF(P31="NA","")))),IF(AND(ISBLANK(P31),ISBLANK(R31)),"",IF(P31&lt;0.3*S31,"F",IF(ISBLANK(R31),"",IF(ISTEXT(R31),R31,IF(R31&gt;=0.9*U31,"O",IF(R31&gt;=0.85*U31,"A+",IF(R31&gt;=0.8*U31,"A",IF(R31&gt;=0.7*U31,"B+",IF(R31&gt;=0.6*U31,"B",IF(R31&gt;=0.5*U31,"C",IF(R31&gt;=0.4*U31,"P",IF(R31&lt;0.4*U31,"F",R31))))))))))))))</f>
        <v>F</v>
      </c>
      <c r="N31" s="8">
        <f t="shared" ca="1" si="2"/>
        <v>0</v>
      </c>
      <c r="O31">
        <f>O30+1</f>
        <v>2</v>
      </c>
      <c r="P31" s="1">
        <f ca="1">IF(ISERROR(F25),"",IF(ISTEXT(VLOOKUP(B25,INDIRECT($F$8),6+(O31-1)*3)),(VLOOKUP(B25,INDIRECT($F$8),6+(O31-1)*3)),SUM(VLOOKUP(B25,INDIRECT($F$8),6+(O31-1)*3),IF(W38,W31,0))))</f>
        <v>0</v>
      </c>
      <c r="Q31" s="1">
        <f ca="1">IF(ISERROR(F25),"",VLOOKUP(B25,INDIRECT($F$8),7+(O31-1)*3))</f>
        <v>0</v>
      </c>
      <c r="R31" s="1">
        <f ca="1">IF(ISERROR(F25),"",SUM(P31:Q31))</f>
        <v>0</v>
      </c>
      <c r="S31" s="1">
        <f ca="1">IF(ISERROR(F25),"",VLOOKUP(A25,INDIRECT($F$8),6+(O31-1)*3))</f>
        <v>100</v>
      </c>
      <c r="T31" s="1">
        <f ca="1">IF(ISERROR(F25),"",VLOOKUP(A25,INDIRECT($F$8),7+(O31-1)*3))</f>
        <v>50</v>
      </c>
      <c r="U31" s="1">
        <f ca="1">IF(ISERROR(F25),"",VLOOKUP(A25,INDIRECT($F$8),8+(O31-1)*3))</f>
        <v>150</v>
      </c>
      <c r="V31" s="1" t="str">
        <f ca="1">IF(ISERROR(F25),"",IF(N31=0,A31,""))</f>
        <v>CAT 015</v>
      </c>
      <c r="W31" s="1">
        <f ca="1">IF(ISERROR(F25),"",IF(ISTEXT(VLOOKUP(B25,INDIRECT($F$8),6+(O31-1)*3)),11,IF(VLOOKUP(B25,INDIRECT($F$8),6+(O31-1)*3)&lt;S31*0.3,IF(VLOOKUP(B25,INDIRECT($F$8),8+(O31-1)*3)&lt;U31*0.4,IF(AND(0.4*U31-VLOOKUP(B25,INDIRECT($F$8),8+(O31-1)*3)&lt;=5,0.3*S31-VLOOKUP(B25,INDIRECT($F$8),6+(O31-1)*3)&lt;=5),MAX(0.4*U31-VLOOKUP(B25,INDIRECT($F$8),8+(O31-1)*3),0.3*S31-VLOOKUP(B25,INDIRECT($F$8),6+(O31-1)*3)),11),IF(0.3*S31-VLOOKUP(B25,INDIRECT($F$8),6+(O31-1)*3)&lt;=5,0.3*S31-VLOOKUP(B25,INDIRECT($F$8),6+(O31-1)*3),11)),IF(VLOOKUP(B25,INDIRECT($F$8),8+(O31-1)*3)&lt;U31*0.4,IF(U31*0.4-VLOOKUP(B25,INDIRECT($F$8),8+(O31-1)*3)&lt;=5,U31*0.4-VLOOKUP(B25,INDIRECT($F$8),8+(O31-1)*3),11),0))))</f>
        <v>11</v>
      </c>
      <c r="X31" s="1" t="str">
        <f ca="1">IF(ISERROR(F25),"",IF(W31=0,"",_xlfn.TEXTJOIN("",FALSE," G+",W31," in ",A31)))</f>
        <v xml:space="preserve"> G+11 in CAT 015</v>
      </c>
    </row>
    <row r="32" spans="1:24" ht="14.25" customHeight="1" x14ac:dyDescent="0.2">
      <c r="A32" s="7" t="str">
        <f ca="1">IF(ISERROR(F25),"",VLOOKUP(C25,INDIRECT($F$8),6+(O32-1)*3,0))</f>
        <v>Enroll No.</v>
      </c>
      <c r="B32" s="41">
        <f ca="1">IF(ISERROR(F25),"",VLOOKUP(D25,INDIRECT($F$8),6+(O32-1)*3,0))</f>
        <v>0</v>
      </c>
      <c r="C32" s="41"/>
      <c r="D32" s="41"/>
      <c r="E32" s="41"/>
      <c r="F32" s="7">
        <f ca="1">IF(ISERROR(F25),"",VLOOKUP(E25,INDIRECT($F$8),6+(O32-1)*3,0))</f>
        <v>0</v>
      </c>
      <c r="G32" s="42" t="str">
        <f ca="1">IF(ISERROR(F25),"",_xlfn.TEXTJOIN("/",FALSE,P32,S32))</f>
        <v>UTU/2406100171/0</v>
      </c>
      <c r="H32" s="42"/>
      <c r="I32" s="42" t="str">
        <f ca="1">IF(ISERROR(F25),"",_xlfn.TEXTJOIN("/",FALSE,Q32,T32))</f>
        <v>AMAN POKHRIYAL/0</v>
      </c>
      <c r="J32" s="42"/>
      <c r="K32" s="42" t="str">
        <f ca="1">IF(ISERROR(F25),"",_xlfn.TEXTJOIN("/",FALSE,R32,U32))</f>
        <v>0/0</v>
      </c>
      <c r="L32" s="42"/>
      <c r="M32" s="7" t="b">
        <f ca="1">IF(ISERROR(F25),"",IF(ISTEXT(P32),IF(P32="A","Ab",IF(P32="D","Dt",IF(P32="UFM","UFM",IF(P32="NA","")))),IF(AND(ISBLANK(P32),ISBLANK(R32)),"",IF(P32&lt;0.3*S32,"F",IF(ISBLANK(R32),"",IF(ISTEXT(R32),R32,IF(R32&gt;=0.9*U32,"O",IF(R32&gt;=0.85*U32,"A+",IF(R32&gt;=0.8*U32,"A",IF(R32&gt;=0.7*U32,"B+",IF(R32&gt;=0.6*U32,"B",IF(R32&gt;=0.5*U32,"C",IF(R32&gt;=0.4*U32,"P",IF(R32&lt;0.4*U32,"F",R32))))))))))))))</f>
        <v>0</v>
      </c>
      <c r="N32" s="8" t="e">
        <f t="shared" ca="1" si="2"/>
        <v>#N/A</v>
      </c>
      <c r="O32" t="b" cm="1">
        <f t="array" aca="1" ref="O32" ca="1">IF(NOT(ISBLANK(INDIRECT("SEM_III!L"&amp;INT((ROW(O32)-15)/17)+6))),3,IF(NOT(ISBLANK(INDIRECT("SEM_III!O"&amp;INT((ROW(O32)-15)/17)+6))),4))</f>
        <v>0</v>
      </c>
      <c r="P32" s="1" t="str">
        <f ca="1">IF(ISERROR(F25),"",IF(ISTEXT(VLOOKUP(B25,INDIRECT($F$8),6+(O32-1)*3)),(VLOOKUP(B25,INDIRECT($F$8),6+(O32-1)*3)),SUM(VLOOKUP(B25,INDIRECT($F$8),6+(O32-1)*3),IF(W38,W32,0))))</f>
        <v>UTU/2406100171</v>
      </c>
      <c r="Q32" s="1" t="str">
        <f ca="1">IF(ISERROR(F25),"",VLOOKUP(B25,INDIRECT($F$8),7+(O32-1)*3))</f>
        <v>AMAN POKHRIYAL</v>
      </c>
      <c r="R32" s="1">
        <f ca="1">IF(ISERROR(F25),"",SUM(P32:Q32))</f>
        <v>0</v>
      </c>
      <c r="S32" s="1">
        <f ca="1">IF(ISERROR(F25),"",VLOOKUP(A25,INDIRECT($F$8),6+(O32-1)*3))</f>
        <v>0</v>
      </c>
      <c r="T32" s="1">
        <f ca="1">IF(ISERROR(F25),"",VLOOKUP(A25,INDIRECT($F$8),7+(O32-1)*3))</f>
        <v>0</v>
      </c>
      <c r="U32" s="1">
        <f ca="1">IF(ISERROR(F25),"",VLOOKUP(A25,INDIRECT($F$8),8+(O32-1)*3))</f>
        <v>0</v>
      </c>
      <c r="V32" s="1" t="e">
        <f ca="1">IF(ISERROR(F25),"",IF(N32=0,A32,""))</f>
        <v>#N/A</v>
      </c>
      <c r="W32" s="1">
        <f ca="1">IF(ISERROR(F25),"",IF(ISTEXT(VLOOKUP(B25,INDIRECT($F$8),6+(O32-1)*3)),11,IF(VLOOKUP(B25,INDIRECT($F$8),6+(O32-1)*3)&lt;S32*0.3,IF(VLOOKUP(B25,INDIRECT($F$8),8+(O32-1)*3)&lt;U32*0.4,IF(AND(0.4*U32-VLOOKUP(B25,INDIRECT($F$8),8+(O32-1)*3)&lt;=5,0.3*S32-VLOOKUP(B25,INDIRECT($F$8),6+(O32-1)*3)&lt;=5),MAX(0.4*U32-VLOOKUP(B25,INDIRECT($F$8),8+(O32-1)*3),0.3*S32-VLOOKUP(B25,INDIRECT($F$8),6+(O32-1)*3)),11),IF(0.3*S32-VLOOKUP(B25,INDIRECT($F$8),6+(O32-1)*3)&lt;=5,0.3*S32-VLOOKUP(B25,INDIRECT($F$8),6+(O32-1)*3),11)),IF(VLOOKUP(B25,INDIRECT($F$8),8+(O32-1)*3)&lt;U32*0.4,IF(U32*0.4-VLOOKUP(B25,INDIRECT($F$8),8+(O32-1)*3)&lt;=5,U32*0.4-VLOOKUP(B25,INDIRECT($F$8),8+(O32-1)*3),11),0))))</f>
        <v>11</v>
      </c>
      <c r="X32" s="1" t="str">
        <f ca="1">IF(ISERROR(F25),"",IF(W32=0,"",_xlfn.TEXTJOIN("",FALSE," G+",W32," in ",A32)))</f>
        <v xml:space="preserve"> G+11 in Enroll No.</v>
      </c>
    </row>
    <row r="33" spans="1:24" ht="14.25" customHeight="1" x14ac:dyDescent="0.2">
      <c r="A33" s="7" t="str">
        <f ca="1">IF(ISERROR(F25),"",VLOOKUP(C25,INDIRECT($F$8),6+(O33-1)*3,0))</f>
        <v>Enroll No.</v>
      </c>
      <c r="B33" s="41">
        <f ca="1">IF(ISERROR(F25),"",VLOOKUP(D25,INDIRECT($F$8),6+(O33-1)*3,0))</f>
        <v>0</v>
      </c>
      <c r="C33" s="41"/>
      <c r="D33" s="41"/>
      <c r="E33" s="41"/>
      <c r="F33" s="7">
        <f ca="1">IF(ISERROR(F25),"",VLOOKUP(E25,INDIRECT($F$8),6+(O33-1)*3,0))</f>
        <v>0</v>
      </c>
      <c r="G33" s="42" t="str">
        <f ca="1">IF(ISERROR(F25),"",_xlfn.TEXTJOIN("/",FALSE,P33,S33))</f>
        <v>UTU/2406100171/0</v>
      </c>
      <c r="H33" s="42"/>
      <c r="I33" s="42" t="str">
        <f ca="1">IF(ISERROR(F25),"",_xlfn.TEXTJOIN("/",FALSE,Q33,T33))</f>
        <v>AMAN POKHRIYAL/0</v>
      </c>
      <c r="J33" s="42"/>
      <c r="K33" s="42" t="str">
        <f ca="1">IF(ISERROR(F25),"",_xlfn.TEXTJOIN("/",FALSE,R33,U33))</f>
        <v>0/0</v>
      </c>
      <c r="L33" s="42"/>
      <c r="M33" s="7" t="b">
        <f ca="1">IF(ISERROR(F25),"",IF(ISTEXT(P33),IF(P33="A","Ab",IF(P33="D","Dt",IF(P33="UFM","UFM",IF(P33="NA","")))),IF(AND(ISBLANK(P33),ISBLANK(R33)),"",IF(P33&lt;0.3*S33,"F",IF(ISBLANK(R33),"",IF(ISTEXT(R33),R33,IF(R33&gt;=0.9*U33,"O",IF(R33&gt;=0.85*U33,"A+",IF(R33&gt;=0.8*U33,"A",IF(R33&gt;=0.7*U33,"B+",IF(R33&gt;=0.6*U33,"B",IF(R33&gt;=0.5*U33,"C",IF(R33&gt;=0.4*U33,"P",IF(R33&lt;0.4*U33,"F",R33))))))))))))))</f>
        <v>0</v>
      </c>
      <c r="N33" s="8" t="e">
        <f t="shared" ca="1" si="2"/>
        <v>#N/A</v>
      </c>
      <c r="O33" t="b" cm="1">
        <f t="array" aca="1" ref="O33" ca="1">IF(NOT(ISBLANK(INDIRECT("SEM_III!R"&amp;INT((ROW(O33)-16)/17)+6))),5,IF(NOT(ISBLANK(INDIRECT("SEM_III!U"&amp;INT((ROW(O33)-16)/17)+6))),6))</f>
        <v>0</v>
      </c>
      <c r="P33" s="1" t="str">
        <f ca="1">IF(ISERROR(F25),"",IF(ISTEXT(VLOOKUP(B25,INDIRECT($F$8),6+(O33-1)*3)),(VLOOKUP(B25,INDIRECT($F$8),6+(O33-1)*3)),SUM(VLOOKUP(B25,INDIRECT($F$8),6+(O33-1)*3),IF(W38,W33,0))))</f>
        <v>UTU/2406100171</v>
      </c>
      <c r="Q33" s="1" t="str">
        <f ca="1">IF(ISERROR(F25),"",VLOOKUP(B25,INDIRECT($F$8),7+(O33-1)*3))</f>
        <v>AMAN POKHRIYAL</v>
      </c>
      <c r="R33" s="1">
        <f ca="1">IF(ISERROR(F25),"",SUM(P33:Q33))</f>
        <v>0</v>
      </c>
      <c r="S33" s="1">
        <f ca="1">IF(ISERROR(F25),"",VLOOKUP(A25,INDIRECT($F$8),6+(O33-1)*3))</f>
        <v>0</v>
      </c>
      <c r="T33" s="1">
        <f ca="1">IF(ISERROR(F25),"",VLOOKUP(A25,INDIRECT($F$8),7+(O33-1)*3))</f>
        <v>0</v>
      </c>
      <c r="U33" s="1">
        <f ca="1">IF(ISERROR(F25),"",VLOOKUP(A25,INDIRECT($F$8),8+(O33-1)*3))</f>
        <v>0</v>
      </c>
      <c r="V33" s="1" t="e">
        <f ca="1">IF(ISERROR(F25),"",IF(N33=0,A33,""))</f>
        <v>#N/A</v>
      </c>
      <c r="W33" s="1">
        <f ca="1">IF(ISERROR(F25),"",IF(ISTEXT(VLOOKUP(B25,INDIRECT($F$8),6+(O33-1)*3)),11,IF(VLOOKUP(B25,INDIRECT($F$8),6+(O33-1)*3)&lt;S33*0.3,IF(VLOOKUP(B25,INDIRECT($F$8),8+(O33-1)*3)&lt;U33*0.4,IF(AND(0.4*U33-VLOOKUP(B25,INDIRECT($F$8),8+(O33-1)*3)&lt;=5,0.3*S33-VLOOKUP(B25,INDIRECT($F$8),6+(O33-1)*3)&lt;=5),MAX(0.4*U33-VLOOKUP(B25,INDIRECT($F$8),8+(O33-1)*3),0.3*S33-VLOOKUP(B25,INDIRECT($F$8),6+(O33-1)*3)),11),IF(0.3*S33-VLOOKUP(B25,INDIRECT($F$8),6+(O33-1)*3)&lt;=5,0.3*S33-VLOOKUP(B25,INDIRECT($F$8),6+(O33-1)*3),11)),IF(VLOOKUP(B25,INDIRECT($F$8),8+(O33-1)*3)&lt;U33*0.4,IF(U33*0.4-VLOOKUP(B25,INDIRECT($F$8),8+(O33-1)*3)&lt;=5,U33*0.4-VLOOKUP(B25,INDIRECT($F$8),8+(O33-1)*3),11),0))))</f>
        <v>11</v>
      </c>
      <c r="X33" s="1" t="str">
        <f ca="1">IF(ISERROR(F25),"",IF(W33=0,"",_xlfn.TEXTJOIN("",FALSE," G+",W33," in ",A33)))</f>
        <v xml:space="preserve"> G+11 in Enroll No.</v>
      </c>
    </row>
    <row r="34" spans="1:24" ht="14.25" customHeight="1" x14ac:dyDescent="0.2">
      <c r="A34" s="7" t="str">
        <f ca="1">IF(ISERROR(F25),"",VLOOKUP(C25,INDIRECT($F$8),6+(O34-1)*3,0))</f>
        <v>AHT 310</v>
      </c>
      <c r="B34" s="41" t="str">
        <f ca="1">IF(ISERROR(F25),"",VLOOKUP(D25,INDIRECT($F$8),6+(O34-1)*3,0))</f>
        <v>Universal Human Value</v>
      </c>
      <c r="C34" s="41"/>
      <c r="D34" s="41"/>
      <c r="E34" s="41"/>
      <c r="F34" s="7">
        <f ca="1">IF(ISERROR(F25),"",VLOOKUP(E25,INDIRECT($F$8),6+(O34-1)*3,0))</f>
        <v>3</v>
      </c>
      <c r="G34" s="42" t="str">
        <f ca="1">IF(ISERROR(F25),"",_xlfn.TEXTJOIN("/",FALSE,P34,S34))</f>
        <v>0/100</v>
      </c>
      <c r="H34" s="42"/>
      <c r="I34" s="42" t="str">
        <f ca="1">IF(ISERROR(F25),"",_xlfn.TEXTJOIN("/",FALSE,Q34,T34))</f>
        <v>0/50</v>
      </c>
      <c r="J34" s="42"/>
      <c r="K34" s="42" t="str">
        <f ca="1">IF(ISERROR(F25),"",_xlfn.TEXTJOIN("/",FALSE,R34,U34))</f>
        <v>0/150</v>
      </c>
      <c r="L34" s="42"/>
      <c r="M34" s="7" t="str">
        <f ca="1">IF(ISERROR(F25),"",IF(ISTEXT(P34),IF(P34="A","Ab",IF(P34="D","Dt",IF(P34="UFM","UFM",IF(P34="NA","")))),IF(AND(ISBLANK(P34),ISBLANK(R34)),"",IF(P34&lt;0.3*S34,"F",IF(ISBLANK(R34),"",IF(ISTEXT(R34),R34,IF(R34&gt;=0.9*U34,"O",IF(R34&gt;=0.85*U34,"A+",IF(R34&gt;=0.8*U34,"A",IF(R34&gt;=0.7*U34,"B+",IF(R34&gt;=0.6*U34,"B",IF(R34&gt;=0.5*U34,"C",IF(R34&gt;=0.4*U34,"P",IF(R34&lt;0.4*U34,"F",R34))))))))))))))</f>
        <v>F</v>
      </c>
      <c r="N34" s="8">
        <f t="shared" ca="1" si="2"/>
        <v>0</v>
      </c>
      <c r="O34">
        <f ca="1">IF(O33&gt;0,7,"")</f>
        <v>7</v>
      </c>
      <c r="P34" s="1">
        <f ca="1">IF(ISERROR(F25),"",IF(ISTEXT(VLOOKUP(B25,INDIRECT($F$8),6+(O34-1)*3)),(VLOOKUP(B25,INDIRECT($F$8),6+(O34-1)*3)),SUM(VLOOKUP(B25,INDIRECT($F$8),6+(O34-1)*3),IF(W38,W34,0))))</f>
        <v>0</v>
      </c>
      <c r="Q34" s="1">
        <f ca="1">IF(ISERROR(F25),"",VLOOKUP(B25,INDIRECT($F$8),7+(O34-1)*3))</f>
        <v>0</v>
      </c>
      <c r="R34" s="1">
        <f ca="1">IF(ISERROR(F25),"",SUM(P34:Q34))</f>
        <v>0</v>
      </c>
      <c r="S34" s="1">
        <f ca="1">IF(ISERROR(F25),"",VLOOKUP(A25,INDIRECT($F$8),6+(O34-1)*3))</f>
        <v>100</v>
      </c>
      <c r="T34" s="1">
        <f ca="1">IF(ISERROR(F25),"",VLOOKUP(A25,INDIRECT($F$8),7+(O34-1)*3))</f>
        <v>50</v>
      </c>
      <c r="U34" s="1">
        <f ca="1">IF(ISERROR(F25),"",VLOOKUP(A25,INDIRECT($F$8),8+(O34-1)*3))</f>
        <v>150</v>
      </c>
      <c r="V34" s="1" t="str">
        <f ca="1">IF(ISERROR(F25),"",IF(N34=0,A34,""))</f>
        <v>AHT 310</v>
      </c>
      <c r="W34" s="1">
        <f ca="1">IF(ISERROR(F25),"",IF(ISTEXT(VLOOKUP(B25,INDIRECT($F$8),6+(O34-1)*3)),11,IF(VLOOKUP(B25,INDIRECT($F$8),6+(O34-1)*3)&lt;S34*0.3,IF(VLOOKUP(B25,INDIRECT($F$8),8+(O34-1)*3)&lt;U34*0.4,IF(AND(0.4*U34-VLOOKUP(B25,INDIRECT($F$8),8+(O34-1)*3)&lt;=5,0.3*S34-VLOOKUP(B25,INDIRECT($F$8),6+(O34-1)*3)&lt;=5),MAX(0.4*U34-VLOOKUP(B25,INDIRECT($F$8),8+(O34-1)*3),0.3*S34-VLOOKUP(B25,INDIRECT($F$8),6+(O34-1)*3)),11),IF(0.3*S34-VLOOKUP(B25,INDIRECT($F$8),6+(O34-1)*3)&lt;=5,0.3*S34-VLOOKUP(B25,INDIRECT($F$8),6+(O34-1)*3),11)),IF(VLOOKUP(B25,INDIRECT($F$8),8+(O34-1)*3)&lt;U34*0.4,IF(U34*0.4-VLOOKUP(B25,INDIRECT($F$8),8+(O34-1)*3)&lt;=5,U34*0.4-VLOOKUP(B25,INDIRECT($F$8),8+(O34-1)*3),11),0))))</f>
        <v>11</v>
      </c>
      <c r="X34" s="1" t="str">
        <f ca="1">IF(ISERROR(F25),"",IF(W34=0,"",_xlfn.TEXTJOIN("",FALSE," G+",W34," in ",A34)))</f>
        <v xml:space="preserve"> G+11 in AHT 310</v>
      </c>
    </row>
    <row r="35" spans="1:24" ht="14.25" customHeight="1" x14ac:dyDescent="0.2">
      <c r="A35" s="7" t="str">
        <f ca="1">IF(ISERROR(F25),"",VLOOKUP(C25,INDIRECT($F$8),6+(O35-1)*3,0))</f>
        <v>CAP 008</v>
      </c>
      <c r="B35" s="41" t="str">
        <f ca="1">IF(ISERROR(F25),"",VLOOKUP(D25,INDIRECT($F$8),6+(O35-1)*3,0))</f>
        <v>Software Engineering Lab</v>
      </c>
      <c r="C35" s="41"/>
      <c r="D35" s="41"/>
      <c r="E35" s="41"/>
      <c r="F35" s="7">
        <f ca="1">IF(ISERROR(F25),"",VLOOKUP(E25,INDIRECT($F$8),6+(O35-1)*3,0))</f>
        <v>1</v>
      </c>
      <c r="G35" s="42" t="str">
        <f ca="1">IF(ISERROR(F25),"",_xlfn.TEXTJOIN("/",FALSE,P35,S35))</f>
        <v>0/30</v>
      </c>
      <c r="H35" s="42"/>
      <c r="I35" s="42" t="str">
        <f ca="1">IF(ISERROR(F25),"",_xlfn.TEXTJOIN("/",FALSE,Q35,T35))</f>
        <v>0/20</v>
      </c>
      <c r="J35" s="42"/>
      <c r="K35" s="42" t="str">
        <f ca="1">IF(ISERROR(F25),"",_xlfn.TEXTJOIN("/",FALSE,R35,U35))</f>
        <v>0/50</v>
      </c>
      <c r="L35" s="42"/>
      <c r="M35" s="7" t="str">
        <f ca="1">IF(ISERROR(F25),"",IF(ISTEXT(P35),IF(P35="A","Ab",IF(P35="D","Dt",IF(P35="UFM","UFM",IF(P35="NA","")))),IF(AND(ISBLANK(P35),ISBLANK(R35)),"",IF(P35&lt;0.3*S35,"F",IF(ISBLANK(R35),"",IF(ISTEXT(R35),R35,IF(R35&gt;=0.9*U35,"O",IF(R35&gt;=0.85*U35,"A+",IF(R35&gt;=0.8*U35,"A",IF(R35&gt;=0.7*U35,"B+",IF(R35&gt;=0.6*U35,"B",IF(R35&gt;=0.5*U35,"C",IF(R35&gt;=0.4*U35,"P",IF(R35&lt;0.4*U35,"F",R35))))))))))))))</f>
        <v>F</v>
      </c>
      <c r="N35" s="8">
        <f t="shared" ca="1" si="2"/>
        <v>0</v>
      </c>
      <c r="O35">
        <f t="shared" ref="O35:O37" ca="1" si="3">O34+1</f>
        <v>8</v>
      </c>
      <c r="P35" s="1">
        <f ca="1">IF(ISERROR(F25),"",IF(ISTEXT(VLOOKUP(B25,INDIRECT($F$8),6+(O35-1)*3)),(VLOOKUP(B25,INDIRECT($F$8),6+(O35-1)*3)),SUM(VLOOKUP(B25,INDIRECT($F$8),6+(O35-1)*3),IF(W38,W35,0))))</f>
        <v>0</v>
      </c>
      <c r="Q35" s="1">
        <f ca="1">IF(ISERROR(F25),"",VLOOKUP(B25,INDIRECT($F$8),7+(O35-1)*3))</f>
        <v>0</v>
      </c>
      <c r="R35" s="1">
        <f ca="1">IF(ISERROR(F25),"",SUM(P35:Q35))</f>
        <v>0</v>
      </c>
      <c r="S35" s="1">
        <f ca="1">IF(ISERROR(F25),"",VLOOKUP(A25,INDIRECT($F$8),6+(O35-1)*3))</f>
        <v>30</v>
      </c>
      <c r="T35" s="1">
        <f ca="1">IF(ISERROR(F25),"",VLOOKUP(A25,INDIRECT($F$8),7+(O35-1)*3))</f>
        <v>20</v>
      </c>
      <c r="U35" s="1">
        <f ca="1">IF(ISERROR(F25),"",VLOOKUP(A25,INDIRECT($F$8),8+(O35-1)*3))</f>
        <v>50</v>
      </c>
      <c r="V35" s="1" t="str">
        <f ca="1">IF(ISERROR(F25),"",IF(N35=0,A35,""))</f>
        <v>CAP 008</v>
      </c>
      <c r="W35" s="1">
        <f ca="1">IF(ISERROR(F25),"",IF(ISTEXT(VLOOKUP(B25,INDIRECT($F$8),6+(O35-1)*3)),11,IF(VLOOKUP(B25,INDIRECT($F$8),6+(O35-1)*3)&lt;S35*0.3,IF(VLOOKUP(B25,INDIRECT($F$8),8+(O35-1)*3)&lt;U35*0.4,IF(AND(0.4*U35-VLOOKUP(B25,INDIRECT($F$8),8+(O35-1)*3)&lt;=5,0.3*S35-VLOOKUP(B25,INDIRECT($F$8),6+(O35-1)*3)&lt;=5),MAX(0.4*U35-VLOOKUP(B25,INDIRECT($F$8),8+(O35-1)*3),0.3*S35-VLOOKUP(B25,INDIRECT($F$8),6+(O35-1)*3)),11),IF(0.3*S35-VLOOKUP(B25,INDIRECT($F$8),6+(O35-1)*3)&lt;=5,0.3*S35-VLOOKUP(B25,INDIRECT($F$8),6+(O35-1)*3),11)),IF(VLOOKUP(B25,INDIRECT($F$8),8+(O35-1)*3)&lt;U35*0.4,IF(U35*0.4-VLOOKUP(B25,INDIRECT($F$8),8+(O35-1)*3)&lt;=5,U35*0.4-VLOOKUP(B25,INDIRECT($F$8),8+(O35-1)*3),11),0))))</f>
        <v>11</v>
      </c>
      <c r="X35" s="1" t="str">
        <f ca="1">IF(ISERROR(F25),"",IF(W35=0,"",_xlfn.TEXTJOIN("",FALSE," G+",W35," in ",A35)))</f>
        <v xml:space="preserve"> G+11 in CAP 008</v>
      </c>
    </row>
    <row r="36" spans="1:24" ht="14.25" customHeight="1" x14ac:dyDescent="0.2">
      <c r="A36" s="7" t="str">
        <f ca="1">IF(ISERROR(F25),"",VLOOKUP(C25,INDIRECT($F$8),6+(O36-1)*3,0))</f>
        <v>CAP 009</v>
      </c>
      <c r="B36" s="41" t="str">
        <f ca="1">IF(ISERROR(F25),"",VLOOKUP(D25,INDIRECT($F$8),6+(O36-1)*3,0))</f>
        <v>Seminar</v>
      </c>
      <c r="C36" s="41"/>
      <c r="D36" s="41"/>
      <c r="E36" s="41"/>
      <c r="F36" s="7">
        <f ca="1">IF(ISERROR(F25),"",VLOOKUP(E25,INDIRECT($F$8),6+(O36-1)*3,0))</f>
        <v>2</v>
      </c>
      <c r="G36" s="42" t="str">
        <f ca="1">IF(ISERROR(F25),"",_xlfn.TEXTJOIN("/",FALSE,P36,S36))</f>
        <v>0/0</v>
      </c>
      <c r="H36" s="42"/>
      <c r="I36" s="42" t="str">
        <f ca="1">IF(ISERROR(F25),"",_xlfn.TEXTJOIN("/",FALSE,Q36,T36))</f>
        <v>0/100</v>
      </c>
      <c r="J36" s="42"/>
      <c r="K36" s="42" t="str">
        <f ca="1">IF(ISERROR(F25),"",_xlfn.TEXTJOIN("/",FALSE,R36,U36))</f>
        <v>0/100</v>
      </c>
      <c r="L36" s="42"/>
      <c r="M36" s="7" t="str">
        <f ca="1">IF(ISERROR(F25),"",IF(ISTEXT(P36),IF(P36="A","Ab",IF(P36="D","Dt",IF(P36="UFM","UFM",IF(P36="NA","")))),IF(AND(ISBLANK(P36),ISBLANK(R36)),"",IF(P36&lt;0.3*S36,"F",IF(ISBLANK(R36),"",IF(ISTEXT(R36),R36,IF(R36&gt;=0.9*U36,"O",IF(R36&gt;=0.85*U36,"A+",IF(R36&gt;=0.8*U36,"A",IF(R36&gt;=0.7*U36,"B+",IF(R36&gt;=0.6*U36,"B",IF(R36&gt;=0.5*U36,"C",IF(R36&gt;=0.4*U36,"P",IF(R36&lt;0.4*U36,"F",R36))))))))))))))</f>
        <v>F</v>
      </c>
      <c r="N36" s="8">
        <f t="shared" ca="1" si="2"/>
        <v>0</v>
      </c>
      <c r="O36">
        <f t="shared" ca="1" si="3"/>
        <v>9</v>
      </c>
      <c r="P36" s="1">
        <f ca="1">IF(ISERROR(F25),"",IF(ISTEXT(VLOOKUP(B25,INDIRECT($F$8),6+(O36-1)*3)),(VLOOKUP(B25,INDIRECT($F$8),6+(O36-1)*3)),SUM(VLOOKUP(B25,INDIRECT($F$8),6+(O36-1)*3),IF(W38,W36,0))))</f>
        <v>0</v>
      </c>
      <c r="Q36" s="1">
        <f ca="1">IF(ISERROR(F25),"",VLOOKUP(B25,INDIRECT($F$8),7+(O36-1)*3))</f>
        <v>0</v>
      </c>
      <c r="R36" s="1">
        <f ca="1">IF(ISERROR(F25),"",SUM(P36:Q36))</f>
        <v>0</v>
      </c>
      <c r="S36" s="1">
        <f ca="1">IF(ISERROR(F25),"",VLOOKUP(A25,INDIRECT($F$8),6+(O36-1)*3))</f>
        <v>0</v>
      </c>
      <c r="T36" s="1">
        <f ca="1">IF(ISERROR(F25),"",VLOOKUP(A25,INDIRECT($F$8),7+(O36-1)*3))</f>
        <v>100</v>
      </c>
      <c r="U36" s="1">
        <f ca="1">IF(ISERROR(F25),"",VLOOKUP(A25,INDIRECT($F$8),8+(O36-1)*3))</f>
        <v>100</v>
      </c>
      <c r="V36" s="1" t="str">
        <f ca="1">IF(ISERROR(F25),"",IF(N36=0,A36,""))</f>
        <v>CAP 009</v>
      </c>
      <c r="W36" s="1">
        <f ca="1">IF(ISERROR(F25),"",IF(ISTEXT(VLOOKUP(B25,INDIRECT($F$8),6+(O36-1)*3)),11,IF(VLOOKUP(B25,INDIRECT($F$8),6+(O36-1)*3)&lt;S36*0.3,IF(VLOOKUP(B25,INDIRECT($F$8),8+(O36-1)*3)&lt;U36*0.4,IF(AND(0.4*U36-VLOOKUP(B25,INDIRECT($F$8),8+(O36-1)*3)&lt;=5,0.3*S36-VLOOKUP(B25,INDIRECT($F$8),6+(O36-1)*3)&lt;=5),MAX(0.4*U36-VLOOKUP(B25,INDIRECT($F$8),8+(O36-1)*3),0.3*S36-VLOOKUP(B25,INDIRECT($F$8),6+(O36-1)*3)),11),IF(0.3*S36-VLOOKUP(B25,INDIRECT($F$8),6+(O36-1)*3)&lt;=5,0.3*S36-VLOOKUP(B25,INDIRECT($F$8),6+(O36-1)*3),11)),IF(VLOOKUP(B25,INDIRECT($F$8),8+(O36-1)*3)&lt;U36*0.4,IF(U36*0.4-VLOOKUP(B25,INDIRECT($F$8),8+(O36-1)*3)&lt;=5,U36*0.4-VLOOKUP(B25,INDIRECT($F$8),8+(O36-1)*3),11),0))))</f>
        <v>11</v>
      </c>
      <c r="X36" s="1" t="str">
        <f ca="1">IF(ISERROR(F25),"",IF(W36=0,"",_xlfn.TEXTJOIN("",FALSE," G+",W36," in ",A36)))</f>
        <v xml:space="preserve"> G+11 in CAP 009</v>
      </c>
    </row>
    <row r="37" spans="1:24" ht="14.25" customHeight="1" x14ac:dyDescent="0.2">
      <c r="A37" s="7" t="str">
        <f ca="1">IF(ISERROR(F25),"",VLOOKUP(C25,INDIRECT($F$8),6+(O37-1)*3,0))</f>
        <v>CAP 010</v>
      </c>
      <c r="B37" s="41" t="str">
        <f ca="1">IF(ISERROR(F25),"",VLOOKUP(D25,INDIRECT($F$8),6+(O37-1)*3-Z37,0))</f>
        <v>Minor Project</v>
      </c>
      <c r="C37" s="41"/>
      <c r="D37" s="41"/>
      <c r="E37" s="41"/>
      <c r="F37" s="7">
        <f ca="1">IF(ISERROR(F25),"",VLOOKUP(E25,INDIRECT($F$8),6+(O37-1)*3,0))</f>
        <v>2</v>
      </c>
      <c r="G37" s="42" t="str">
        <f ca="1">IF(ISERROR(F25),"",_xlfn.TEXTJOIN("/",FALSE,P37,S37))</f>
        <v>0/50</v>
      </c>
      <c r="H37" s="42"/>
      <c r="I37" s="42" t="str">
        <f ca="1">IF(ISERROR(F25),"",_xlfn.TEXTJOIN("/",FALSE,Q37,T37))</f>
        <v>0/50</v>
      </c>
      <c r="J37" s="42"/>
      <c r="K37" s="42" t="str">
        <f ca="1">IF(ISERROR(F25),"",_xlfn.TEXTJOIN("/",FALSE,R37,U37))</f>
        <v>0/100</v>
      </c>
      <c r="L37" s="42"/>
      <c r="M37" s="7" t="str">
        <f ca="1">IF(ISERROR(F25),"",IF(ISTEXT(P37),IF(P37="A","Ab",IF(P37="D","Dt",IF(P37="UFM","UFM",IF(P37="NA","")))),IF(AND(ISBLANK(P37),ISBLANK(R37)),"",IF(P37&lt;0.3*S37,"F",IF(ISBLANK(R37),"",IF(ISTEXT(R37),R37,IF(R37&gt;=0.9*U37,"O",IF(R37&gt;=0.85*U37,"A+",IF(R37&gt;=0.8*U37,"A",IF(R37&gt;=0.7*U37,"B+",IF(R37&gt;=0.6*U37,"B",IF(R37&gt;=0.5*U37,"C",IF(R37&gt;=0.4*U37,"P",IF(R37&lt;0.4*U37,"F",R37))))))))))))))</f>
        <v>F</v>
      </c>
      <c r="N37" s="8">
        <f t="shared" ca="1" si="2"/>
        <v>0</v>
      </c>
      <c r="O37">
        <f t="shared" ca="1" si="3"/>
        <v>10</v>
      </c>
      <c r="P37" s="1">
        <f ca="1">IF(ISERROR(F25),"",IF(ISTEXT(VLOOKUP(B25,INDIRECT($F$8),6+(O37-1)*3)),(VLOOKUP(B25,INDIRECT($F$8),6+(O37-1)*3)),SUM(VLOOKUP(B25,INDIRECT($F$8),6+(O37-1)*3),IF(W38,W37,0))))</f>
        <v>0</v>
      </c>
      <c r="Q37" s="1">
        <f ca="1">IF(ISERROR(F25),"",VLOOKUP(B25,INDIRECT($F$8),7+(O37-1)*3))</f>
        <v>0</v>
      </c>
      <c r="R37" s="1">
        <f ca="1">IF(ISERROR(F25),"",SUM(P37:Q37))</f>
        <v>0</v>
      </c>
      <c r="S37" s="1">
        <f ca="1">IF(ISERROR(F25),"",VLOOKUP(A25,INDIRECT($F$8),6+(O37-1)*3))</f>
        <v>50</v>
      </c>
      <c r="T37" s="1">
        <f ca="1">IF(ISERROR(F25),"",VLOOKUP(A25,INDIRECT($F$8),7+(O37-1)*3))</f>
        <v>50</v>
      </c>
      <c r="U37" s="1">
        <f ca="1">IF(ISERROR(F25),"",VLOOKUP(A25,INDIRECT($F$8),8+(O37-1)*3))</f>
        <v>100</v>
      </c>
      <c r="V37" s="1" t="str">
        <f ca="1">IF(ISERROR(F25),"",IF(N37=0,A37,""))</f>
        <v>CAP 010</v>
      </c>
      <c r="W37" s="1">
        <f ca="1">IF(ISERROR(F25),"",IF(ISTEXT(VLOOKUP(B25,INDIRECT($F$8),6+(O37-1)*3)),11,IF(VLOOKUP(B25,INDIRECT($F$8),6+(O37-1)*3)&lt;S37*0.3,IF(VLOOKUP(B25,INDIRECT($F$8),8+(O37-1)*3)&lt;U37*0.4,IF(AND(0.4*U37-VLOOKUP(B25,INDIRECT($F$8),8+(O37-1)*3)&lt;=5,0.3*S37-VLOOKUP(B25,INDIRECT($F$8),6+(O37-1)*3)&lt;=5),MAX(0.4*U37-VLOOKUP(B25,INDIRECT($F$8),8+(O37-1)*3),0.3*S37-VLOOKUP(B25,INDIRECT($F$8),6+(O37-1)*3)),11),IF(0.3*S37-VLOOKUP(B25,INDIRECT($F$8),6+(O37-1)*3)&lt;=5,0.3*S37-VLOOKUP(B25,INDIRECT($F$8),6+(O37-1)*3),11)),IF(VLOOKUP(B25,INDIRECT($F$8),8+(O37-1)*3)&lt;U37*0.4,IF(U37*0.4-VLOOKUP(B25,INDIRECT($F$8),8+(O37-1)*3)&lt;=5,U37*0.4-VLOOKUP(B25,INDIRECT($F$8),8+(O37-1)*3),11),0))))</f>
        <v>11</v>
      </c>
      <c r="X37" s="1" t="str">
        <f ca="1">IF(ISERROR(F25),"",IF(W37=0,"",_xlfn.TEXTJOIN("",FALSE," G+",W37," in ",A37)))</f>
        <v xml:space="preserve"> G+11 in CAP 010</v>
      </c>
    </row>
    <row r="38" spans="1:24" ht="14.25" customHeight="1" x14ac:dyDescent="0.2">
      <c r="A38" s="43" t="str">
        <f ca="1">IF(ISERROR(F25),"",A21)</f>
        <v>Total Credits/ Marks/ Total Grade Points</v>
      </c>
      <c r="B38" s="43"/>
      <c r="C38" s="43"/>
      <c r="D38" s="43"/>
      <c r="E38" s="43"/>
      <c r="F38" s="10">
        <f ca="1">IF(ISERROR(F25),"",SUM(F30:F37))</f>
        <v>16</v>
      </c>
      <c r="G38" s="44" t="str">
        <f ca="1">IF(ISERROR(F25),"",_xlfn.TEXTJOIN("/",TRUE,SUMIF(F30:F37,"&gt;0",P30:P37),SUMIF(F30:F37,"&gt;0",S30:S37)))</f>
        <v>0/380</v>
      </c>
      <c r="H38" s="44"/>
      <c r="I38" s="44" t="str">
        <f ca="1">IF(ISERROR(F25),"",_xlfn.TEXTJOIN("/",TRUE,SUMIF(F30:F37,"&gt;0",Q30:Q37),SUMIF(F30:F37,"&gt;0",T30:T37)))</f>
        <v>0/320</v>
      </c>
      <c r="J38" s="44"/>
      <c r="K38" s="44" t="str">
        <f ca="1">IF(ISERROR(F25),"",_xlfn.TEXTJOIN("/",TRUE,SUMIF(F30:F37,"&gt;0",R30:R37),SUMIF(F30:F37,"&gt;0",U30:U37)))</f>
        <v>0/700</v>
      </c>
      <c r="L38" s="44"/>
      <c r="M38" s="43" t="e">
        <f ca="1">IF(ISERROR(F25),"",SUMPRODUCT(N30:N37,F30:F37))</f>
        <v>#N/A</v>
      </c>
      <c r="N38" s="43"/>
      <c r="V38" s="1" t="e">
        <f ca="1">IF(ISERROR(F25),"",_xlfn.TEXTJOIN(", ",TRUE,V30:V37))</f>
        <v>#N/A</v>
      </c>
      <c r="W38" t="b">
        <f ca="1">IF(ISERROR(F25),"",IF(SUM(W30:W37)&lt;=W29,TRUE,FALSE))</f>
        <v>0</v>
      </c>
      <c r="X38" s="1" t="str">
        <f ca="1">IF(ISERROR(F25),"",_xlfn.TEXTJOIN(",",TRUE,X30:X37))</f>
        <v xml:space="preserve"> G+11 in CAT  014, G+11 in CAT 015, G+11 in Enroll No., G+11 in Enroll No., G+11 in AHT 310, G+11 in CAP 008, G+11 in CAP 009, G+11 in CAP 010</v>
      </c>
    </row>
    <row r="39" spans="1:24" ht="14.25" customHeight="1" x14ac:dyDescent="0.2">
      <c r="A39" s="43" t="str">
        <f ca="1">IF(ISERROR(F25),"",A22)</f>
        <v>Result:</v>
      </c>
      <c r="B39" s="45" t="e">
        <f ca="1">IF(ISERROR(F25),"",IF(V38="","PASS","CARRY OVER"))</f>
        <v>#N/A</v>
      </c>
      <c r="C39" s="45"/>
      <c r="D39" s="43" t="str">
        <f ca="1">IF(ISERROR(F25),"",D22)</f>
        <v>Remark:</v>
      </c>
      <c r="E39" s="45" t="e">
        <f ca="1">IF(ISERROR(F25),"",IF(V38="",IF(X38="","",X38),_xlfn.TEXTJOIN(" ",TRUE,"BACK IN",V38)))</f>
        <v>#N/A</v>
      </c>
      <c r="F39" s="45"/>
      <c r="G39" s="43" t="str">
        <f ca="1">IF(ISERROR(F25),"",G22)</f>
        <v>SGPA:</v>
      </c>
      <c r="H39" s="46" t="e">
        <f ca="1">IF(ISERROR(F25),"",M38/F38)</f>
        <v>#N/A</v>
      </c>
      <c r="I39" s="43" t="str">
        <f ca="1">IF(ISERROR(F25),"",I22)</f>
        <v>CGPA:</v>
      </c>
      <c r="J39" s="46" t="e">
        <f ca="1">IF(ISERROR(F25),"",VLOOKUP(B25,INDIRECT($F$8),12+(O37-1)*3,0))</f>
        <v>#N/A</v>
      </c>
      <c r="K39" s="45" t="str">
        <f ca="1">IF(ISERROR(F25),"",K22)</f>
        <v>Earned Credits:</v>
      </c>
      <c r="L39" s="43">
        <f ca="1">IF(ISERROR(F25),"",SUMIF(N30:N37,"&gt;0",F30:F37))</f>
        <v>0</v>
      </c>
      <c r="M39" s="45" t="str">
        <f ca="1">IF(ISERROR(F25),"",M22)</f>
        <v>Cuml. Earned Credits:</v>
      </c>
      <c r="N39" s="43" t="e">
        <f ca="1">IF(ISERROR(F25),"",VLOOKUP(B25,INDIRECT($F$8),10+(O37-1)*3,0))</f>
        <v>#N/A</v>
      </c>
    </row>
    <row r="40" spans="1:24" ht="14.25" customHeight="1" x14ac:dyDescent="0.2">
      <c r="A40" s="43"/>
      <c r="B40" s="45"/>
      <c r="C40" s="45"/>
      <c r="D40" s="43"/>
      <c r="E40" s="45"/>
      <c r="F40" s="45"/>
      <c r="G40" s="43"/>
      <c r="H40" s="46"/>
      <c r="I40" s="43"/>
      <c r="J40" s="46"/>
      <c r="K40" s="45"/>
      <c r="L40" s="43"/>
      <c r="M40" s="45"/>
      <c r="N40" s="43"/>
    </row>
    <row r="41" spans="1:24" ht="14.25" customHeight="1" x14ac:dyDescent="0.2">
      <c r="A41" s="43"/>
      <c r="B41" s="45"/>
      <c r="C41" s="45"/>
      <c r="D41" s="43"/>
      <c r="E41" s="45"/>
      <c r="F41" s="45"/>
      <c r="G41" s="43"/>
      <c r="H41" s="46"/>
      <c r="I41" s="43"/>
      <c r="J41" s="46"/>
      <c r="K41" s="45"/>
      <c r="L41" s="43"/>
      <c r="M41" s="45"/>
      <c r="N41" s="43"/>
    </row>
    <row r="42" spans="1:24" ht="14.25" customHeight="1" x14ac:dyDescent="0.2">
      <c r="A42" s="11" t="str">
        <f>A25</f>
        <v>MM</v>
      </c>
      <c r="B42" s="11">
        <f>B25+1</f>
        <v>3</v>
      </c>
      <c r="C42" s="11" t="str">
        <f>C25</f>
        <v>SC</v>
      </c>
      <c r="D42" s="11" t="str">
        <f>D25</f>
        <v>SN</v>
      </c>
      <c r="E42" s="11" t="str">
        <f>E25</f>
        <v>C</v>
      </c>
      <c r="F42" s="11" t="str">
        <f ca="1">VLOOKUP(B42,INDIRECT($F$8),4,0)</f>
        <v>ANAS SAIFI</v>
      </c>
    </row>
    <row r="43" spans="1:24" ht="14.25" customHeight="1" x14ac:dyDescent="0.2">
      <c r="A43" s="47" t="str">
        <f ca="1">IF(ISERROR(F42),"",A26)</f>
        <v>Name:</v>
      </c>
      <c r="B43" s="47" t="str">
        <f ca="1">IFERROR(VLOOKUP(B42,INDIRECT($F$8),4,0),"")</f>
        <v>ANAS SAIFI</v>
      </c>
      <c r="C43" s="47"/>
      <c r="D43" s="47" t="str">
        <f ca="1">IF(ISERROR(F42),"",D26)</f>
        <v>Father's Name:</v>
      </c>
      <c r="E43" s="47" t="str">
        <f ca="1">IFERROR(VLOOKUP(B42,INDIRECT($F$8),5,0),"")</f>
        <v>SALMUDDIN SAIFI</v>
      </c>
      <c r="F43" s="47"/>
      <c r="G43" s="47" t="str">
        <f ca="1">IF(ISERROR(F42),"",G26)</f>
        <v>University Roll No:</v>
      </c>
      <c r="H43" s="47"/>
      <c r="I43" s="48">
        <f ca="1">IFERROR(VLOOKUP(B42,INDIRECT($F$8),2,0),"")</f>
        <v>240090600003</v>
      </c>
      <c r="J43" s="48"/>
      <c r="K43" s="47" t="str">
        <f ca="1">IF(ISERROR(F42),"",K26)</f>
        <v>University Enrol. No:</v>
      </c>
      <c r="L43" s="47"/>
      <c r="M43" s="48" t="str">
        <f ca="1">IFERROR(VLOOKUP(B42,INDIRECT($F$8),3,0),"")</f>
        <v>UTU/2406100173</v>
      </c>
      <c r="N43" s="48"/>
    </row>
    <row r="44" spans="1:24" ht="14.25" customHeight="1" x14ac:dyDescent="0.2">
      <c r="A44" s="47"/>
      <c r="B44" s="47"/>
      <c r="C44" s="47"/>
      <c r="D44" s="47"/>
      <c r="E44" s="47"/>
      <c r="F44" s="47"/>
      <c r="G44" s="47"/>
      <c r="H44" s="47"/>
      <c r="I44" s="48"/>
      <c r="J44" s="48"/>
      <c r="K44" s="47"/>
      <c r="L44" s="47"/>
      <c r="M44" s="48"/>
      <c r="N44" s="48"/>
    </row>
    <row r="45" spans="1:24" ht="14.25" customHeight="1" x14ac:dyDescent="0.2">
      <c r="A45" s="45" t="str">
        <f ca="1">IF(ISERROR(F42),"",A28)</f>
        <v>Subject Code</v>
      </c>
      <c r="B45" s="45" t="str">
        <f ca="1">IF(ISERROR(F42),"",B28)</f>
        <v>Subject Name</v>
      </c>
      <c r="C45" s="45"/>
      <c r="D45" s="45"/>
      <c r="E45" s="45"/>
      <c r="F45" s="45" t="str">
        <f ca="1">IF(ISERROR(F42),"",F28)</f>
        <v>Credits</v>
      </c>
      <c r="G45" s="45" t="str">
        <f ca="1">IF(ISERROR(F42),"",G28)</f>
        <v>External Marks</v>
      </c>
      <c r="H45" s="45"/>
      <c r="I45" s="45" t="str">
        <f ca="1">IF(ISERROR(F42),"",I28)</f>
        <v>Sessional Marks</v>
      </c>
      <c r="J45" s="45"/>
      <c r="K45" s="45" t="str">
        <f ca="1">IF(ISERROR(F42),"",K28)</f>
        <v>Total Marks</v>
      </c>
      <c r="L45" s="45"/>
      <c r="M45" s="45" t="str">
        <f ca="1">IF(ISERROR(F42),"",M28)</f>
        <v>Grade</v>
      </c>
      <c r="N45" s="45" t="str">
        <f ca="1">IF(ISERROR(F42),"",N28)</f>
        <v>Grade Points</v>
      </c>
    </row>
    <row r="46" spans="1:24" ht="14.25" customHeight="1" x14ac:dyDescent="0.2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W46">
        <f ca="1">IF(ISNUMBER(MATCH($F$8,{"I","III","V","VII"},0)),10,10-INDEX(INDIRECT(_xlfn.TEXTJOIN("",TRUE,"SEM_",$G$8,"!",ADDRESS(6,4+$I$8*3+4),":",ADDRESS(5+$H$8,4+$I$8*3+4))),MATCH(INDIRECT(_xlfn.TEXTJOIN("",TRUE,"TC_",$F$8,"!",ADDRESS(ROW(I43),COLUMN(I43)))),INDIRECT(_xlfn.TEXTJOIN("",TRUE,"SEM_",$G$8,"!",ADDRESS(6,2),":",ADDRESS(5+$H$8,2))))))</f>
        <v>10</v>
      </c>
    </row>
    <row r="47" spans="1:24" ht="14.25" customHeight="1" x14ac:dyDescent="0.2">
      <c r="A47" s="7" t="str">
        <f ca="1">IF(ISERROR(F42),"",VLOOKUP(C42,INDIRECT($F$8),6+(O47-1)*3,0))</f>
        <v>CAT  014</v>
      </c>
      <c r="B47" s="41" t="str">
        <f ca="1">IF(ISERROR(F42),"",VLOOKUP(D42,INDIRECT($F$8),6+(O47-1)*3,0))</f>
        <v>Graph Theory</v>
      </c>
      <c r="C47" s="41"/>
      <c r="D47" s="41"/>
      <c r="E47" s="41"/>
      <c r="F47" s="7">
        <f ca="1">IF(ISERROR(F42),"",VLOOKUP(E42,INDIRECT($F$8),6+(O47-1)*3,0))</f>
        <v>4</v>
      </c>
      <c r="G47" s="42" t="str">
        <f ca="1">IF(ISERROR(F42),"",_xlfn.TEXTJOIN("/",FALSE,P47,S47))</f>
        <v>0/100</v>
      </c>
      <c r="H47" s="42"/>
      <c r="I47" s="42" t="str">
        <f ca="1">IF(ISERROR(F42),"",_xlfn.TEXTJOIN("/",FALSE,Q47,T47))</f>
        <v>0/50</v>
      </c>
      <c r="J47" s="42"/>
      <c r="K47" s="42" t="str">
        <f ca="1">IF(ISERROR(F42),"",_xlfn.TEXTJOIN("/",FALSE,R47,U47))</f>
        <v>0/150</v>
      </c>
      <c r="L47" s="42"/>
      <c r="M47" s="7" t="str">
        <f ca="1">IF(ISERROR(F42),"",IF(ISTEXT(P47),IF(P47="A","Ab",IF(P47="D","Dt",IF(P47="UFM","UFM",IF(P47="NA","")))),IF(AND(ISBLANK(P47),ISBLANK(R47)),"",IF(P47&lt;0.3*S47,"F",IF(ISBLANK(R47),"",IF(ISTEXT(R47),R47,IF(R47&gt;=0.9*U47,"O",IF(R47&gt;=0.85*U47,"A+",IF(R47&gt;=0.8*U47,"A",IF(R47&gt;=0.7*U47,"B+",IF(R47&gt;=0.6*U47,"B",IF(R47&gt;=0.5*U47,"C",IF(R47&gt;=0.4*U47,"P",IF(R47&lt;0.4*U47,"F",R47))))))))))))))</f>
        <v>F</v>
      </c>
      <c r="N47" s="8">
        <f t="shared" ref="N47:N54" ca="1" si="4">INDEX($Z$2:$Z$13,MATCH(M47,$Y$2:$Y$13,0))</f>
        <v>0</v>
      </c>
      <c r="O47">
        <v>1</v>
      </c>
      <c r="P47" s="1">
        <f ca="1">IF(ISERROR(F42),"",IF(ISTEXT(VLOOKUP(B42,INDIRECT($F$8),6+(O47-1)*3)),(VLOOKUP(B42,INDIRECT($F$8),6+(O47-1)*3)),SUM(VLOOKUP(B42,INDIRECT($F$8),6+(O47-1)*3),IF(W55,W47,0))))</f>
        <v>0</v>
      </c>
      <c r="Q47" s="1">
        <f ca="1">IF(ISERROR(F42),"",VLOOKUP(B42,INDIRECT($F$8),7+(O47-1)*3))</f>
        <v>0</v>
      </c>
      <c r="R47" s="1">
        <f ca="1">IF(ISERROR(F42),"",SUM(P47:Q47))</f>
        <v>0</v>
      </c>
      <c r="S47" s="1">
        <f ca="1">IF(ISERROR(F42),"",VLOOKUP(A42,INDIRECT($F$8),6+(O47-1)*3))</f>
        <v>100</v>
      </c>
      <c r="T47" s="1">
        <f ca="1">IF(ISERROR(F42),"",VLOOKUP(A42,INDIRECT($F$8),7+(O47-1)*3))</f>
        <v>50</v>
      </c>
      <c r="U47" s="1">
        <f ca="1">IF(ISERROR(F42),"",VLOOKUP(A42,INDIRECT($F$8),8+(O47-1)*3))</f>
        <v>150</v>
      </c>
      <c r="V47" s="1" t="str">
        <f ca="1">IF(ISERROR(F42),"",IF(N47=0,A47,""))</f>
        <v>CAT  014</v>
      </c>
      <c r="W47" s="1">
        <f ca="1">IF(ISERROR(F42),"",IF(ISTEXT(VLOOKUP(B42,INDIRECT($F$8),6+(O47-1)*3)),11,IF(VLOOKUP(B42,INDIRECT($F$8),6+(O47-1)*3)&lt;S47*0.3,IF(VLOOKUP(B42,INDIRECT($F$8),8+(O47-1)*3)&lt;U47*0.4,IF(AND(0.4*U47-VLOOKUP(B42,INDIRECT($F$8),8+(O47-1)*3)&lt;=5,0.3*S47-VLOOKUP(B42,INDIRECT($F$8),6+(O47-1)*3)&lt;=5),MAX(0.4*U47-VLOOKUP(B42,INDIRECT($F$8),8+(O47-1)*3),0.3*S47-VLOOKUP(B42,INDIRECT($F$8),6+(O47-1)*3)),11),IF(0.3*S47-VLOOKUP(B42,INDIRECT($F$8),6+(O47-1)*3)&lt;=5,0.3*S47-VLOOKUP(B42,INDIRECT($F$8),6+(O47-1)*3),11)),IF(VLOOKUP(B42,INDIRECT($F$8),8+(O47-1)*3)&lt;U47*0.4,IF(U47*0.4-VLOOKUP(B42,INDIRECT($F$8),8+(O47-1)*3)&lt;=5,U47*0.4-VLOOKUP(B42,INDIRECT($F$8),8+(O47-1)*3),11),0))))</f>
        <v>11</v>
      </c>
      <c r="X47" s="1" t="str">
        <f ca="1">IF(ISERROR(F42),"",IF(W47=0,"",_xlfn.TEXTJOIN("",FALSE," G+",W47," in ",A47)))</f>
        <v xml:space="preserve"> G+11 in CAT  014</v>
      </c>
    </row>
    <row r="48" spans="1:24" ht="14.25" customHeight="1" x14ac:dyDescent="0.2">
      <c r="A48" s="7" t="str">
        <f ca="1">IF(ISERROR(F42),"",VLOOKUP(C42,INDIRECT($F$8),6+(O48-1)*3,0))</f>
        <v>CAT 015</v>
      </c>
      <c r="B48" s="41" t="str">
        <f ca="1">IF(ISERROR(F42),"",VLOOKUP(D42,INDIRECT($F$8),6+(O48-1)*3,0))</f>
        <v>Software Engineering</v>
      </c>
      <c r="C48" s="41"/>
      <c r="D48" s="41"/>
      <c r="E48" s="41"/>
      <c r="F48" s="7">
        <f ca="1">IF(ISERROR(F42),"",VLOOKUP(E42,INDIRECT($F$8),6+(O48-1)*3,0))</f>
        <v>4</v>
      </c>
      <c r="G48" s="42" t="str">
        <f ca="1">IF(ISERROR(F42),"",_xlfn.TEXTJOIN("/",FALSE,P48,S48))</f>
        <v>0/100</v>
      </c>
      <c r="H48" s="42"/>
      <c r="I48" s="42" t="str">
        <f ca="1">IF(ISERROR(F42),"",_xlfn.TEXTJOIN("/",FALSE,Q48,T48))</f>
        <v>0/50</v>
      </c>
      <c r="J48" s="42"/>
      <c r="K48" s="42" t="str">
        <f ca="1">IF(ISERROR(F42),"",_xlfn.TEXTJOIN("/",FALSE,R48,U48))</f>
        <v>0/150</v>
      </c>
      <c r="L48" s="42"/>
      <c r="M48" s="7" t="str">
        <f ca="1">IF(ISERROR(F42),"",IF(ISTEXT(P48),IF(P48="A","Ab",IF(P48="D","Dt",IF(P48="UFM","UFM",IF(P48="NA","")))),IF(AND(ISBLANK(P48),ISBLANK(R48)),"",IF(P48&lt;0.3*S48,"F",IF(ISBLANK(R48),"",IF(ISTEXT(R48),R48,IF(R48&gt;=0.9*U48,"O",IF(R48&gt;=0.85*U48,"A+",IF(R48&gt;=0.8*U48,"A",IF(R48&gt;=0.7*U48,"B+",IF(R48&gt;=0.6*U48,"B",IF(R48&gt;=0.5*U48,"C",IF(R48&gt;=0.4*U48,"P",IF(R48&lt;0.4*U48,"F",R48))))))))))))))</f>
        <v>F</v>
      </c>
      <c r="N48" s="8">
        <f t="shared" ca="1" si="4"/>
        <v>0</v>
      </c>
      <c r="O48">
        <f>O47+1</f>
        <v>2</v>
      </c>
      <c r="P48" s="1">
        <f ca="1">IF(ISERROR(F42),"",IF(ISTEXT(VLOOKUP(B42,INDIRECT($F$8),6+(O48-1)*3)),(VLOOKUP(B42,INDIRECT($F$8),6+(O48-1)*3)),SUM(VLOOKUP(B42,INDIRECT($F$8),6+(O48-1)*3),IF(W55,W48,0))))</f>
        <v>0</v>
      </c>
      <c r="Q48" s="1">
        <f ca="1">IF(ISERROR(F42),"",VLOOKUP(B42,INDIRECT($F$8),7+(O48-1)*3))</f>
        <v>0</v>
      </c>
      <c r="R48" s="1">
        <f ca="1">IF(ISERROR(F42),"",SUM(P48:Q48))</f>
        <v>0</v>
      </c>
      <c r="S48" s="1">
        <f ca="1">IF(ISERROR(F42),"",VLOOKUP(A42,INDIRECT($F$8),6+(O48-1)*3))</f>
        <v>100</v>
      </c>
      <c r="T48" s="1">
        <f ca="1">IF(ISERROR(F42),"",VLOOKUP(A42,INDIRECT($F$8),7+(O48-1)*3))</f>
        <v>50</v>
      </c>
      <c r="U48" s="1">
        <f ca="1">IF(ISERROR(F42),"",VLOOKUP(A42,INDIRECT($F$8),8+(O48-1)*3))</f>
        <v>150</v>
      </c>
      <c r="V48" s="1" t="str">
        <f ca="1">IF(ISERROR(F42),"",IF(N48=0,A48,""))</f>
        <v>CAT 015</v>
      </c>
      <c r="W48" s="1">
        <f ca="1">IF(ISERROR(F42),"",IF(ISTEXT(VLOOKUP(B42,INDIRECT($F$8),6+(O48-1)*3)),11,IF(VLOOKUP(B42,INDIRECT($F$8),6+(O48-1)*3)&lt;S48*0.3,IF(VLOOKUP(B42,INDIRECT($F$8),8+(O48-1)*3)&lt;U48*0.4,IF(AND(0.4*U48-VLOOKUP(B42,INDIRECT($F$8),8+(O48-1)*3)&lt;=5,0.3*S48-VLOOKUP(B42,INDIRECT($F$8),6+(O48-1)*3)&lt;=5),MAX(0.4*U48-VLOOKUP(B42,INDIRECT($F$8),8+(O48-1)*3),0.3*S48-VLOOKUP(B42,INDIRECT($F$8),6+(O48-1)*3)),11),IF(0.3*S48-VLOOKUP(B42,INDIRECT($F$8),6+(O48-1)*3)&lt;=5,0.3*S48-VLOOKUP(B42,INDIRECT($F$8),6+(O48-1)*3),11)),IF(VLOOKUP(B42,INDIRECT($F$8),8+(O48-1)*3)&lt;U48*0.4,IF(U48*0.4-VLOOKUP(B42,INDIRECT($F$8),8+(O48-1)*3)&lt;=5,U48*0.4-VLOOKUP(B42,INDIRECT($F$8),8+(O48-1)*3),11),0))))</f>
        <v>11</v>
      </c>
      <c r="X48" s="1" t="str">
        <f ca="1">IF(ISERROR(F42),"",IF(W48=0,"",_xlfn.TEXTJOIN("",FALSE," G+",W48," in ",A48)))</f>
        <v xml:space="preserve"> G+11 in CAT 015</v>
      </c>
    </row>
    <row r="49" spans="1:24" ht="14.25" customHeight="1" x14ac:dyDescent="0.2">
      <c r="A49" s="7" t="str">
        <f ca="1">IF(ISERROR(F42),"",VLOOKUP(C42,INDIRECT($F$8),6+(O49-1)*3,0))</f>
        <v>Enroll No.</v>
      </c>
      <c r="B49" s="41">
        <f ca="1">IF(ISERROR(F42),"",VLOOKUP(D42,INDIRECT($F$8),6+(O49-1)*3,0))</f>
        <v>0</v>
      </c>
      <c r="C49" s="41"/>
      <c r="D49" s="41"/>
      <c r="E49" s="41"/>
      <c r="F49" s="7">
        <f ca="1">IF(ISERROR(F42),"",VLOOKUP(E42,INDIRECT($F$8),6+(O49-1)*3,0))</f>
        <v>0</v>
      </c>
      <c r="G49" s="42" t="str">
        <f ca="1">IF(ISERROR(F42),"",_xlfn.TEXTJOIN("/",FALSE,P49,S49))</f>
        <v>UTU/2406100173/0</v>
      </c>
      <c r="H49" s="42"/>
      <c r="I49" s="42" t="str">
        <f ca="1">IF(ISERROR(F42),"",_xlfn.TEXTJOIN("/",FALSE,Q49,T49))</f>
        <v>ANAS SAIFI/0</v>
      </c>
      <c r="J49" s="42"/>
      <c r="K49" s="42" t="str">
        <f ca="1">IF(ISERROR(F42),"",_xlfn.TEXTJOIN("/",FALSE,R49,U49))</f>
        <v>0/0</v>
      </c>
      <c r="L49" s="42"/>
      <c r="M49" s="7" t="b">
        <f ca="1">IF(ISERROR(F42),"",IF(ISTEXT(P49),IF(P49="A","Ab",IF(P49="D","Dt",IF(P49="UFM","UFM",IF(P49="NA","")))),IF(AND(ISBLANK(P49),ISBLANK(R49)),"",IF(P49&lt;0.3*S49,"F",IF(ISBLANK(R49),"",IF(ISTEXT(R49),R49,IF(R49&gt;=0.9*U49,"O",IF(R49&gt;=0.85*U49,"A+",IF(R49&gt;=0.8*U49,"A",IF(R49&gt;=0.7*U49,"B+",IF(R49&gt;=0.6*U49,"B",IF(R49&gt;=0.5*U49,"C",IF(R49&gt;=0.4*U49,"P",IF(R49&lt;0.4*U49,"F",R49))))))))))))))</f>
        <v>0</v>
      </c>
      <c r="N49" s="8" t="e">
        <f t="shared" ca="1" si="4"/>
        <v>#N/A</v>
      </c>
      <c r="O49" t="b" cm="1">
        <f t="array" aca="1" ref="O49" ca="1">IF(NOT(ISBLANK(INDIRECT("SEM_III!L"&amp;INT((ROW(O49)-15)/17)+6))),3,IF(NOT(ISBLANK(INDIRECT("SEM_III!O"&amp;INT((ROW(O49)-15)/17)+6))),4))</f>
        <v>0</v>
      </c>
      <c r="P49" s="1" t="str">
        <f ca="1">IF(ISERROR(F42),"",IF(ISTEXT(VLOOKUP(B42,INDIRECT($F$8),6+(O49-1)*3)),(VLOOKUP(B42,INDIRECT($F$8),6+(O49-1)*3)),SUM(VLOOKUP(B42,INDIRECT($F$8),6+(O49-1)*3),IF(W55,W49,0))))</f>
        <v>UTU/2406100173</v>
      </c>
      <c r="Q49" s="1" t="str">
        <f ca="1">IF(ISERROR(F42),"",VLOOKUP(B42,INDIRECT($F$8),7+(O49-1)*3))</f>
        <v>ANAS SAIFI</v>
      </c>
      <c r="R49" s="1">
        <f ca="1">IF(ISERROR(F42),"",SUM(P49:Q49))</f>
        <v>0</v>
      </c>
      <c r="S49" s="1">
        <f ca="1">IF(ISERROR(F42),"",VLOOKUP(A42,INDIRECT($F$8),6+(O49-1)*3))</f>
        <v>0</v>
      </c>
      <c r="T49" s="1">
        <f ca="1">IF(ISERROR(F42),"",VLOOKUP(A42,INDIRECT($F$8),7+(O49-1)*3))</f>
        <v>0</v>
      </c>
      <c r="U49" s="1">
        <f ca="1">IF(ISERROR(F42),"",VLOOKUP(A42,INDIRECT($F$8),8+(O49-1)*3))</f>
        <v>0</v>
      </c>
      <c r="V49" s="1" t="e">
        <f ca="1">IF(ISERROR(F42),"",IF(N49=0,A49,""))</f>
        <v>#N/A</v>
      </c>
      <c r="W49" s="1">
        <f ca="1">IF(ISERROR(F42),"",IF(ISTEXT(VLOOKUP(B42,INDIRECT($F$8),6+(O49-1)*3)),11,IF(VLOOKUP(B42,INDIRECT($F$8),6+(O49-1)*3)&lt;S49*0.3,IF(VLOOKUP(B42,INDIRECT($F$8),8+(O49-1)*3)&lt;U49*0.4,IF(AND(0.4*U49-VLOOKUP(B42,INDIRECT($F$8),8+(O49-1)*3)&lt;=5,0.3*S49-VLOOKUP(B42,INDIRECT($F$8),6+(O49-1)*3)&lt;=5),MAX(0.4*U49-VLOOKUP(B42,INDIRECT($F$8),8+(O49-1)*3),0.3*S49-VLOOKUP(B42,INDIRECT($F$8),6+(O49-1)*3)),11),IF(0.3*S49-VLOOKUP(B42,INDIRECT($F$8),6+(O49-1)*3)&lt;=5,0.3*S49-VLOOKUP(B42,INDIRECT($F$8),6+(O49-1)*3),11)),IF(VLOOKUP(B42,INDIRECT($F$8),8+(O49-1)*3)&lt;U49*0.4,IF(U49*0.4-VLOOKUP(B42,INDIRECT($F$8),8+(O49-1)*3)&lt;=5,U49*0.4-VLOOKUP(B42,INDIRECT($F$8),8+(O49-1)*3),11),0))))</f>
        <v>11</v>
      </c>
      <c r="X49" s="1" t="str">
        <f ca="1">IF(ISERROR(F42),"",IF(W49=0,"",_xlfn.TEXTJOIN("",FALSE," G+",W49," in ",A49)))</f>
        <v xml:space="preserve"> G+11 in Enroll No.</v>
      </c>
    </row>
    <row r="50" spans="1:24" ht="14.25" customHeight="1" x14ac:dyDescent="0.2">
      <c r="A50" s="7" t="str">
        <f ca="1">IF(ISERROR(F42),"",VLOOKUP(C42,INDIRECT($F$8),6+(O50-1)*3,0))</f>
        <v>Enroll No.</v>
      </c>
      <c r="B50" s="41">
        <f ca="1">IF(ISERROR(F42),"",VLOOKUP(D42,INDIRECT($F$8),6+(O50-1)*3,0))</f>
        <v>0</v>
      </c>
      <c r="C50" s="41"/>
      <c r="D50" s="41"/>
      <c r="E50" s="41"/>
      <c r="F50" s="7">
        <f ca="1">IF(ISERROR(F42),"",VLOOKUP(E42,INDIRECT($F$8),6+(O50-1)*3,0))</f>
        <v>0</v>
      </c>
      <c r="G50" s="42" t="str">
        <f ca="1">IF(ISERROR(F42),"",_xlfn.TEXTJOIN("/",FALSE,P50,S50))</f>
        <v>UTU/2406100173/0</v>
      </c>
      <c r="H50" s="42"/>
      <c r="I50" s="42" t="str">
        <f ca="1">IF(ISERROR(F42),"",_xlfn.TEXTJOIN("/",FALSE,Q50,T50))</f>
        <v>ANAS SAIFI/0</v>
      </c>
      <c r="J50" s="42"/>
      <c r="K50" s="42" t="str">
        <f ca="1">IF(ISERROR(F42),"",_xlfn.TEXTJOIN("/",FALSE,R50,U50))</f>
        <v>0/0</v>
      </c>
      <c r="L50" s="42"/>
      <c r="M50" s="7" t="b">
        <f ca="1">IF(ISERROR(F42),"",IF(ISTEXT(P50),IF(P50="A","Ab",IF(P50="D","Dt",IF(P50="UFM","UFM",IF(P50="NA","")))),IF(AND(ISBLANK(P50),ISBLANK(R50)),"",IF(P50&lt;0.3*S50,"F",IF(ISBLANK(R50),"",IF(ISTEXT(R50),R50,IF(R50&gt;=0.9*U50,"O",IF(R50&gt;=0.85*U50,"A+",IF(R50&gt;=0.8*U50,"A",IF(R50&gt;=0.7*U50,"B+",IF(R50&gt;=0.6*U50,"B",IF(R50&gt;=0.5*U50,"C",IF(R50&gt;=0.4*U50,"P",IF(R50&lt;0.4*U50,"F",R50))))))))))))))</f>
        <v>0</v>
      </c>
      <c r="N50" s="8" t="e">
        <f t="shared" ca="1" si="4"/>
        <v>#N/A</v>
      </c>
      <c r="O50" t="b" cm="1">
        <f t="array" aca="1" ref="O50" ca="1">IF(NOT(ISBLANK(INDIRECT("SEM_III!R"&amp;INT((ROW(O50)-16)/17)+6))),5,IF(NOT(ISBLANK(INDIRECT("SEM_III!U"&amp;INT((ROW(O50)-16)/17)+6))),6))</f>
        <v>0</v>
      </c>
      <c r="P50" s="1" t="str">
        <f ca="1">IF(ISERROR(F42),"",IF(ISTEXT(VLOOKUP(B42,INDIRECT($F$8),6+(O50-1)*3)),(VLOOKUP(B42,INDIRECT($F$8),6+(O50-1)*3)),SUM(VLOOKUP(B42,INDIRECT($F$8),6+(O50-1)*3),IF(W55,W50,0))))</f>
        <v>UTU/2406100173</v>
      </c>
      <c r="Q50" s="1" t="str">
        <f ca="1">IF(ISERROR(F42),"",VLOOKUP(B42,INDIRECT($F$8),7+(O50-1)*3))</f>
        <v>ANAS SAIFI</v>
      </c>
      <c r="R50" s="1">
        <f ca="1">IF(ISERROR(F42),"",SUM(P50:Q50))</f>
        <v>0</v>
      </c>
      <c r="S50" s="1">
        <f ca="1">IF(ISERROR(F42),"",VLOOKUP(A42,INDIRECT($F$8),6+(O50-1)*3))</f>
        <v>0</v>
      </c>
      <c r="T50" s="1">
        <f ca="1">IF(ISERROR(F42),"",VLOOKUP(A42,INDIRECT($F$8),7+(O50-1)*3))</f>
        <v>0</v>
      </c>
      <c r="U50" s="1">
        <f ca="1">IF(ISERROR(F42),"",VLOOKUP(A42,INDIRECT($F$8),8+(O50-1)*3))</f>
        <v>0</v>
      </c>
      <c r="V50" s="1" t="e">
        <f ca="1">IF(ISERROR(F42),"",IF(N50=0,A50,""))</f>
        <v>#N/A</v>
      </c>
      <c r="W50" s="1">
        <f ca="1">IF(ISERROR(F42),"",IF(ISTEXT(VLOOKUP(B42,INDIRECT($F$8),6+(O50-1)*3)),11,IF(VLOOKUP(B42,INDIRECT($F$8),6+(O50-1)*3)&lt;S50*0.3,IF(VLOOKUP(B42,INDIRECT($F$8),8+(O50-1)*3)&lt;U50*0.4,IF(AND(0.4*U50-VLOOKUP(B42,INDIRECT($F$8),8+(O50-1)*3)&lt;=5,0.3*S50-VLOOKUP(B42,INDIRECT($F$8),6+(O50-1)*3)&lt;=5),MAX(0.4*U50-VLOOKUP(B42,INDIRECT($F$8),8+(O50-1)*3),0.3*S50-VLOOKUP(B42,INDIRECT($F$8),6+(O50-1)*3)),11),IF(0.3*S50-VLOOKUP(B42,INDIRECT($F$8),6+(O50-1)*3)&lt;=5,0.3*S50-VLOOKUP(B42,INDIRECT($F$8),6+(O50-1)*3),11)),IF(VLOOKUP(B42,INDIRECT($F$8),8+(O50-1)*3)&lt;U50*0.4,IF(U50*0.4-VLOOKUP(B42,INDIRECT($F$8),8+(O50-1)*3)&lt;=5,U50*0.4-VLOOKUP(B42,INDIRECT($F$8),8+(O50-1)*3),11),0))))</f>
        <v>11</v>
      </c>
      <c r="X50" s="1" t="str">
        <f ca="1">IF(ISERROR(F42),"",IF(W50=0,"",_xlfn.TEXTJOIN("",FALSE," G+",W50," in ",A50)))</f>
        <v xml:space="preserve"> G+11 in Enroll No.</v>
      </c>
    </row>
    <row r="51" spans="1:24" ht="14.25" customHeight="1" x14ac:dyDescent="0.2">
      <c r="A51" s="7" t="str">
        <f ca="1">IF(ISERROR(F42),"",VLOOKUP(C42,INDIRECT($F$8),6+(O51-1)*3,0))</f>
        <v>AHT 310</v>
      </c>
      <c r="B51" s="41" t="str">
        <f ca="1">IF(ISERROR(F42),"",VLOOKUP(D42,INDIRECT($F$8),6+(O51-1)*3,0))</f>
        <v>Universal Human Value</v>
      </c>
      <c r="C51" s="41"/>
      <c r="D51" s="41"/>
      <c r="E51" s="41"/>
      <c r="F51" s="7">
        <f ca="1">IF(ISERROR(F42),"",VLOOKUP(E42,INDIRECT($F$8),6+(O51-1)*3,0))</f>
        <v>3</v>
      </c>
      <c r="G51" s="42" t="str">
        <f ca="1">IF(ISERROR(F42),"",_xlfn.TEXTJOIN("/",FALSE,P51,S51))</f>
        <v>0/100</v>
      </c>
      <c r="H51" s="42"/>
      <c r="I51" s="42" t="str">
        <f ca="1">IF(ISERROR(F42),"",_xlfn.TEXTJOIN("/",FALSE,Q51,T51))</f>
        <v>0/50</v>
      </c>
      <c r="J51" s="42"/>
      <c r="K51" s="42" t="str">
        <f ca="1">IF(ISERROR(F42),"",_xlfn.TEXTJOIN("/",FALSE,R51,U51))</f>
        <v>0/150</v>
      </c>
      <c r="L51" s="42"/>
      <c r="M51" s="7" t="str">
        <f ca="1">IF(ISERROR(F42),"",IF(ISTEXT(P51),IF(P51="A","Ab",IF(P51="D","Dt",IF(P51="UFM","UFM",IF(P51="NA","")))),IF(AND(ISBLANK(P51),ISBLANK(R51)),"",IF(P51&lt;0.3*S51,"F",IF(ISBLANK(R51),"",IF(ISTEXT(R51),R51,IF(R51&gt;=0.9*U51,"O",IF(R51&gt;=0.85*U51,"A+",IF(R51&gt;=0.8*U51,"A",IF(R51&gt;=0.7*U51,"B+",IF(R51&gt;=0.6*U51,"B",IF(R51&gt;=0.5*U51,"C",IF(R51&gt;=0.4*U51,"P",IF(R51&lt;0.4*U51,"F",R51))))))))))))))</f>
        <v>F</v>
      </c>
      <c r="N51" s="8">
        <f t="shared" ca="1" si="4"/>
        <v>0</v>
      </c>
      <c r="O51">
        <f ca="1">IF(O50&gt;0,7,"")</f>
        <v>7</v>
      </c>
      <c r="P51" s="1">
        <f ca="1">IF(ISERROR(F42),"",IF(ISTEXT(VLOOKUP(B42,INDIRECT($F$8),6+(O51-1)*3)),(VLOOKUP(B42,INDIRECT($F$8),6+(O51-1)*3)),SUM(VLOOKUP(B42,INDIRECT($F$8),6+(O51-1)*3),IF(W55,W51,0))))</f>
        <v>0</v>
      </c>
      <c r="Q51" s="1">
        <f ca="1">IF(ISERROR(F42),"",VLOOKUP(B42,INDIRECT($F$8),7+(O51-1)*3))</f>
        <v>0</v>
      </c>
      <c r="R51" s="1">
        <f ca="1">IF(ISERROR(F42),"",SUM(P51:Q51))</f>
        <v>0</v>
      </c>
      <c r="S51" s="1">
        <f ca="1">IF(ISERROR(F42),"",VLOOKUP(A42,INDIRECT($F$8),6+(O51-1)*3))</f>
        <v>100</v>
      </c>
      <c r="T51" s="1">
        <f ca="1">IF(ISERROR(F42),"",VLOOKUP(A42,INDIRECT($F$8),7+(O51-1)*3))</f>
        <v>50</v>
      </c>
      <c r="U51" s="1">
        <f ca="1">IF(ISERROR(F42),"",VLOOKUP(A42,INDIRECT($F$8),8+(O51-1)*3))</f>
        <v>150</v>
      </c>
      <c r="V51" s="1" t="str">
        <f ca="1">IF(ISERROR(F42),"",IF(N51=0,A51,""))</f>
        <v>AHT 310</v>
      </c>
      <c r="W51" s="1">
        <f ca="1">IF(ISERROR(F42),"",IF(ISTEXT(VLOOKUP(B42,INDIRECT($F$8),6+(O51-1)*3)),11,IF(VLOOKUP(B42,INDIRECT($F$8),6+(O51-1)*3)&lt;S51*0.3,IF(VLOOKUP(B42,INDIRECT($F$8),8+(O51-1)*3)&lt;U51*0.4,IF(AND(0.4*U51-VLOOKUP(B42,INDIRECT($F$8),8+(O51-1)*3)&lt;=5,0.3*S51-VLOOKUP(B42,INDIRECT($F$8),6+(O51-1)*3)&lt;=5),MAX(0.4*U51-VLOOKUP(B42,INDIRECT($F$8),8+(O51-1)*3),0.3*S51-VLOOKUP(B42,INDIRECT($F$8),6+(O51-1)*3)),11),IF(0.3*S51-VLOOKUP(B42,INDIRECT($F$8),6+(O51-1)*3)&lt;=5,0.3*S51-VLOOKUP(B42,INDIRECT($F$8),6+(O51-1)*3),11)),IF(VLOOKUP(B42,INDIRECT($F$8),8+(O51-1)*3)&lt;U51*0.4,IF(U51*0.4-VLOOKUP(B42,INDIRECT($F$8),8+(O51-1)*3)&lt;=5,U51*0.4-VLOOKUP(B42,INDIRECT($F$8),8+(O51-1)*3),11),0))))</f>
        <v>11</v>
      </c>
      <c r="X51" s="1" t="str">
        <f ca="1">IF(ISERROR(F42),"",IF(W51=0,"",_xlfn.TEXTJOIN("",FALSE," G+",W51," in ",A51)))</f>
        <v xml:space="preserve"> G+11 in AHT 310</v>
      </c>
    </row>
    <row r="52" spans="1:24" ht="14.25" customHeight="1" x14ac:dyDescent="0.2">
      <c r="A52" s="7" t="str">
        <f ca="1">IF(ISERROR(F42),"",VLOOKUP(C42,INDIRECT($F$8),6+(O52-1)*3,0))</f>
        <v>CAP 008</v>
      </c>
      <c r="B52" s="41" t="str">
        <f ca="1">IF(ISERROR(F42),"",VLOOKUP(D42,INDIRECT($F$8),6+(O52-1)*3,0))</f>
        <v>Software Engineering Lab</v>
      </c>
      <c r="C52" s="41"/>
      <c r="D52" s="41"/>
      <c r="E52" s="41"/>
      <c r="F52" s="7">
        <f ca="1">IF(ISERROR(F42),"",VLOOKUP(E42,INDIRECT($F$8),6+(O52-1)*3,0))</f>
        <v>1</v>
      </c>
      <c r="G52" s="42" t="str">
        <f ca="1">IF(ISERROR(F42),"",_xlfn.TEXTJOIN("/",FALSE,P52,S52))</f>
        <v>0/30</v>
      </c>
      <c r="H52" s="42"/>
      <c r="I52" s="42" t="str">
        <f ca="1">IF(ISERROR(F42),"",_xlfn.TEXTJOIN("/",FALSE,Q52,T52))</f>
        <v>0/20</v>
      </c>
      <c r="J52" s="42"/>
      <c r="K52" s="42" t="str">
        <f ca="1">IF(ISERROR(F42),"",_xlfn.TEXTJOIN("/",FALSE,R52,U52))</f>
        <v>0/50</v>
      </c>
      <c r="L52" s="42"/>
      <c r="M52" s="7" t="str">
        <f ca="1">IF(ISERROR(F42),"",IF(ISTEXT(P52),IF(P52="A","Ab",IF(P52="D","Dt",IF(P52="UFM","UFM",IF(P52="NA","")))),IF(AND(ISBLANK(P52),ISBLANK(R52)),"",IF(P52&lt;0.3*S52,"F",IF(ISBLANK(R52),"",IF(ISTEXT(R52),R52,IF(R52&gt;=0.9*U52,"O",IF(R52&gt;=0.85*U52,"A+",IF(R52&gt;=0.8*U52,"A",IF(R52&gt;=0.7*U52,"B+",IF(R52&gt;=0.6*U52,"B",IF(R52&gt;=0.5*U52,"C",IF(R52&gt;=0.4*U52,"P",IF(R52&lt;0.4*U52,"F",R52))))))))))))))</f>
        <v>F</v>
      </c>
      <c r="N52" s="8">
        <f t="shared" ca="1" si="4"/>
        <v>0</v>
      </c>
      <c r="O52">
        <f t="shared" ref="O52:O54" ca="1" si="5">O51+1</f>
        <v>8</v>
      </c>
      <c r="P52" s="1">
        <f ca="1">IF(ISERROR(F42),"",IF(ISTEXT(VLOOKUP(B42,INDIRECT($F$8),6+(O52-1)*3)),(VLOOKUP(B42,INDIRECT($F$8),6+(O52-1)*3)),SUM(VLOOKUP(B42,INDIRECT($F$8),6+(O52-1)*3),IF(W55,W52,0))))</f>
        <v>0</v>
      </c>
      <c r="Q52" s="1">
        <f ca="1">IF(ISERROR(F42),"",VLOOKUP(B42,INDIRECT($F$8),7+(O52-1)*3))</f>
        <v>0</v>
      </c>
      <c r="R52" s="1">
        <f ca="1">IF(ISERROR(F42),"",SUM(P52:Q52))</f>
        <v>0</v>
      </c>
      <c r="S52" s="1">
        <f ca="1">IF(ISERROR(F42),"",VLOOKUP(A42,INDIRECT($F$8),6+(O52-1)*3))</f>
        <v>30</v>
      </c>
      <c r="T52" s="1">
        <f ca="1">IF(ISERROR(F42),"",VLOOKUP(A42,INDIRECT($F$8),7+(O52-1)*3))</f>
        <v>20</v>
      </c>
      <c r="U52" s="1">
        <f ca="1">IF(ISERROR(F42),"",VLOOKUP(A42,INDIRECT($F$8),8+(O52-1)*3))</f>
        <v>50</v>
      </c>
      <c r="V52" s="1" t="str">
        <f ca="1">IF(ISERROR(F42),"",IF(N52=0,A52,""))</f>
        <v>CAP 008</v>
      </c>
      <c r="W52" s="1">
        <f ca="1">IF(ISERROR(F42),"",IF(ISTEXT(VLOOKUP(B42,INDIRECT($F$8),6+(O52-1)*3)),11,IF(VLOOKUP(B42,INDIRECT($F$8),6+(O52-1)*3)&lt;S52*0.3,IF(VLOOKUP(B42,INDIRECT($F$8),8+(O52-1)*3)&lt;U52*0.4,IF(AND(0.4*U52-VLOOKUP(B42,INDIRECT($F$8),8+(O52-1)*3)&lt;=5,0.3*S52-VLOOKUP(B42,INDIRECT($F$8),6+(O52-1)*3)&lt;=5),MAX(0.4*U52-VLOOKUP(B42,INDIRECT($F$8),8+(O52-1)*3),0.3*S52-VLOOKUP(B42,INDIRECT($F$8),6+(O52-1)*3)),11),IF(0.3*S52-VLOOKUP(B42,INDIRECT($F$8),6+(O52-1)*3)&lt;=5,0.3*S52-VLOOKUP(B42,INDIRECT($F$8),6+(O52-1)*3),11)),IF(VLOOKUP(B42,INDIRECT($F$8),8+(O52-1)*3)&lt;U52*0.4,IF(U52*0.4-VLOOKUP(B42,INDIRECT($F$8),8+(O52-1)*3)&lt;=5,U52*0.4-VLOOKUP(B42,INDIRECT($F$8),8+(O52-1)*3),11),0))))</f>
        <v>11</v>
      </c>
      <c r="X52" s="1" t="str">
        <f ca="1">IF(ISERROR(F42),"",IF(W52=0,"",_xlfn.TEXTJOIN("",FALSE," G+",W52," in ",A52)))</f>
        <v xml:space="preserve"> G+11 in CAP 008</v>
      </c>
    </row>
    <row r="53" spans="1:24" ht="14.25" customHeight="1" x14ac:dyDescent="0.2">
      <c r="A53" s="7" t="str">
        <f ca="1">IF(ISERROR(F42),"",VLOOKUP(C42,INDIRECT($F$8),6+(O53-1)*3,0))</f>
        <v>CAP 009</v>
      </c>
      <c r="B53" s="41" t="str">
        <f ca="1">IF(ISERROR(F42),"",VLOOKUP(D42,INDIRECT($F$8),6+(O53-1)*3,0))</f>
        <v>Seminar</v>
      </c>
      <c r="C53" s="41"/>
      <c r="D53" s="41"/>
      <c r="E53" s="41"/>
      <c r="F53" s="7">
        <f ca="1">IF(ISERROR(F42),"",VLOOKUP(E42,INDIRECT($F$8),6+(O53-1)*3,0))</f>
        <v>2</v>
      </c>
      <c r="G53" s="42" t="str">
        <f ca="1">IF(ISERROR(F42),"",_xlfn.TEXTJOIN("/",FALSE,P53,S53))</f>
        <v>0/0</v>
      </c>
      <c r="H53" s="42"/>
      <c r="I53" s="42" t="str">
        <f ca="1">IF(ISERROR(F42),"",_xlfn.TEXTJOIN("/",FALSE,Q53,T53))</f>
        <v>0/100</v>
      </c>
      <c r="J53" s="42"/>
      <c r="K53" s="42" t="str">
        <f ca="1">IF(ISERROR(F42),"",_xlfn.TEXTJOIN("/",FALSE,R53,U53))</f>
        <v>0/100</v>
      </c>
      <c r="L53" s="42"/>
      <c r="M53" s="7" t="str">
        <f ca="1">IF(ISERROR(F42),"",IF(ISTEXT(P53),IF(P53="A","Ab",IF(P53="D","Dt",IF(P53="UFM","UFM",IF(P53="NA","")))),IF(AND(ISBLANK(P53),ISBLANK(R53)),"",IF(P53&lt;0.3*S53,"F",IF(ISBLANK(R53),"",IF(ISTEXT(R53),R53,IF(R53&gt;=0.9*U53,"O",IF(R53&gt;=0.85*U53,"A+",IF(R53&gt;=0.8*U53,"A",IF(R53&gt;=0.7*U53,"B+",IF(R53&gt;=0.6*U53,"B",IF(R53&gt;=0.5*U53,"C",IF(R53&gt;=0.4*U53,"P",IF(R53&lt;0.4*U53,"F",R53))))))))))))))</f>
        <v>F</v>
      </c>
      <c r="N53" s="8">
        <f t="shared" ca="1" si="4"/>
        <v>0</v>
      </c>
      <c r="O53">
        <f t="shared" ca="1" si="5"/>
        <v>9</v>
      </c>
      <c r="P53" s="1">
        <f ca="1">IF(ISERROR(F42),"",IF(ISTEXT(VLOOKUP(B42,INDIRECT($F$8),6+(O53-1)*3)),(VLOOKUP(B42,INDIRECT($F$8),6+(O53-1)*3)),SUM(VLOOKUP(B42,INDIRECT($F$8),6+(O53-1)*3),IF(W55,W53,0))))</f>
        <v>0</v>
      </c>
      <c r="Q53" s="1">
        <f ca="1">IF(ISERROR(F42),"",VLOOKUP(B42,INDIRECT($F$8),7+(O53-1)*3))</f>
        <v>0</v>
      </c>
      <c r="R53" s="1">
        <f ca="1">IF(ISERROR(F42),"",SUM(P53:Q53))</f>
        <v>0</v>
      </c>
      <c r="S53" s="1">
        <f ca="1">IF(ISERROR(F42),"",VLOOKUP(A42,INDIRECT($F$8),6+(O53-1)*3))</f>
        <v>0</v>
      </c>
      <c r="T53" s="1">
        <f ca="1">IF(ISERROR(F42),"",VLOOKUP(A42,INDIRECT($F$8),7+(O53-1)*3))</f>
        <v>100</v>
      </c>
      <c r="U53" s="1">
        <f ca="1">IF(ISERROR(F42),"",VLOOKUP(A42,INDIRECT($F$8),8+(O53-1)*3))</f>
        <v>100</v>
      </c>
      <c r="V53" s="1" t="str">
        <f ca="1">IF(ISERROR(F42),"",IF(N53=0,A53,""))</f>
        <v>CAP 009</v>
      </c>
      <c r="W53" s="1">
        <f ca="1">IF(ISERROR(F42),"",IF(ISTEXT(VLOOKUP(B42,INDIRECT($F$8),6+(O53-1)*3)),11,IF(VLOOKUP(B42,INDIRECT($F$8),6+(O53-1)*3)&lt;S53*0.3,IF(VLOOKUP(B42,INDIRECT($F$8),8+(O53-1)*3)&lt;U53*0.4,IF(AND(0.4*U53-VLOOKUP(B42,INDIRECT($F$8),8+(O53-1)*3)&lt;=5,0.3*S53-VLOOKUP(B42,INDIRECT($F$8),6+(O53-1)*3)&lt;=5),MAX(0.4*U53-VLOOKUP(B42,INDIRECT($F$8),8+(O53-1)*3),0.3*S53-VLOOKUP(B42,INDIRECT($F$8),6+(O53-1)*3)),11),IF(0.3*S53-VLOOKUP(B42,INDIRECT($F$8),6+(O53-1)*3)&lt;=5,0.3*S53-VLOOKUP(B42,INDIRECT($F$8),6+(O53-1)*3),11)),IF(VLOOKUP(B42,INDIRECT($F$8),8+(O53-1)*3)&lt;U53*0.4,IF(U53*0.4-VLOOKUP(B42,INDIRECT($F$8),8+(O53-1)*3)&lt;=5,U53*0.4-VLOOKUP(B42,INDIRECT($F$8),8+(O53-1)*3),11),0))))</f>
        <v>11</v>
      </c>
      <c r="X53" s="1" t="str">
        <f ca="1">IF(ISERROR(F42),"",IF(W53=0,"",_xlfn.TEXTJOIN("",FALSE," G+",W53," in ",A53)))</f>
        <v xml:space="preserve"> G+11 in CAP 009</v>
      </c>
    </row>
    <row r="54" spans="1:24" ht="14.25" customHeight="1" x14ac:dyDescent="0.2">
      <c r="A54" s="7" t="str">
        <f ca="1">IF(ISERROR(F42),"",VLOOKUP(C42,INDIRECT($F$8),6+(O54-1)*3,0))</f>
        <v>CAP 010</v>
      </c>
      <c r="B54" s="41" t="str">
        <f ca="1">IF(ISERROR(F42),"",VLOOKUP(D42,INDIRECT($F$8),6+(O54-1)*3-Z54,0))</f>
        <v>Minor Project</v>
      </c>
      <c r="C54" s="41"/>
      <c r="D54" s="41"/>
      <c r="E54" s="41"/>
      <c r="F54" s="7">
        <f ca="1">IF(ISERROR(F42),"",VLOOKUP(E42,INDIRECT($F$8),6+(O54-1)*3,0))</f>
        <v>2</v>
      </c>
      <c r="G54" s="42" t="str">
        <f ca="1">IF(ISERROR(F42),"",_xlfn.TEXTJOIN("/",FALSE,P54,S54))</f>
        <v>0/50</v>
      </c>
      <c r="H54" s="42"/>
      <c r="I54" s="42" t="str">
        <f ca="1">IF(ISERROR(F42),"",_xlfn.TEXTJOIN("/",FALSE,Q54,T54))</f>
        <v>0/50</v>
      </c>
      <c r="J54" s="42"/>
      <c r="K54" s="42" t="str">
        <f ca="1">IF(ISERROR(F42),"",_xlfn.TEXTJOIN("/",FALSE,R54,U54))</f>
        <v>0/100</v>
      </c>
      <c r="L54" s="42"/>
      <c r="M54" s="7" t="str">
        <f ca="1">IF(ISERROR(F42),"",IF(ISTEXT(P54),IF(P54="A","Ab",IF(P54="D","Dt",IF(P54="UFM","UFM",IF(P54="NA","")))),IF(AND(ISBLANK(P54),ISBLANK(R54)),"",IF(P54&lt;0.3*S54,"F",IF(ISBLANK(R54),"",IF(ISTEXT(R54),R54,IF(R54&gt;=0.9*U54,"O",IF(R54&gt;=0.85*U54,"A+",IF(R54&gt;=0.8*U54,"A",IF(R54&gt;=0.7*U54,"B+",IF(R54&gt;=0.6*U54,"B",IF(R54&gt;=0.5*U54,"C",IF(R54&gt;=0.4*U54,"P",IF(R54&lt;0.4*U54,"F",R54))))))))))))))</f>
        <v>F</v>
      </c>
      <c r="N54" s="8">
        <f t="shared" ca="1" si="4"/>
        <v>0</v>
      </c>
      <c r="O54">
        <f t="shared" ca="1" si="5"/>
        <v>10</v>
      </c>
      <c r="P54" s="1">
        <f ca="1">IF(ISERROR(F42),"",IF(ISTEXT(VLOOKUP(B42,INDIRECT($F$8),6+(O54-1)*3)),(VLOOKUP(B42,INDIRECT($F$8),6+(O54-1)*3)),SUM(VLOOKUP(B42,INDIRECT($F$8),6+(O54-1)*3),IF(W55,W54,0))))</f>
        <v>0</v>
      </c>
      <c r="Q54" s="1">
        <f ca="1">IF(ISERROR(F42),"",VLOOKUP(B42,INDIRECT($F$8),7+(O54-1)*3))</f>
        <v>0</v>
      </c>
      <c r="R54" s="1">
        <f ca="1">IF(ISERROR(F42),"",SUM(P54:Q54))</f>
        <v>0</v>
      </c>
      <c r="S54" s="1">
        <f ca="1">IF(ISERROR(F42),"",VLOOKUP(A42,INDIRECT($F$8),6+(O54-1)*3))</f>
        <v>50</v>
      </c>
      <c r="T54" s="1">
        <f ca="1">IF(ISERROR(F42),"",VLOOKUP(A42,INDIRECT($F$8),7+(O54-1)*3))</f>
        <v>50</v>
      </c>
      <c r="U54" s="1">
        <f ca="1">IF(ISERROR(F42),"",VLOOKUP(A42,INDIRECT($F$8),8+(O54-1)*3))</f>
        <v>100</v>
      </c>
      <c r="V54" s="1" t="str">
        <f ca="1">IF(ISERROR(F42),"",IF(N54=0,A54,""))</f>
        <v>CAP 010</v>
      </c>
      <c r="W54" s="1">
        <f ca="1">IF(ISERROR(F42),"",IF(ISTEXT(VLOOKUP(B42,INDIRECT($F$8),6+(O54-1)*3)),11,IF(VLOOKUP(B42,INDIRECT($F$8),6+(O54-1)*3)&lt;S54*0.3,IF(VLOOKUP(B42,INDIRECT($F$8),8+(O54-1)*3)&lt;U54*0.4,IF(AND(0.4*U54-VLOOKUP(B42,INDIRECT($F$8),8+(O54-1)*3)&lt;=5,0.3*S54-VLOOKUP(B42,INDIRECT($F$8),6+(O54-1)*3)&lt;=5),MAX(0.4*U54-VLOOKUP(B42,INDIRECT($F$8),8+(O54-1)*3),0.3*S54-VLOOKUP(B42,INDIRECT($F$8),6+(O54-1)*3)),11),IF(0.3*S54-VLOOKUP(B42,INDIRECT($F$8),6+(O54-1)*3)&lt;=5,0.3*S54-VLOOKUP(B42,INDIRECT($F$8),6+(O54-1)*3),11)),IF(VLOOKUP(B42,INDIRECT($F$8),8+(O54-1)*3)&lt;U54*0.4,IF(U54*0.4-VLOOKUP(B42,INDIRECT($F$8),8+(O54-1)*3)&lt;=5,U54*0.4-VLOOKUP(B42,INDIRECT($F$8),8+(O54-1)*3),11),0))))</f>
        <v>11</v>
      </c>
      <c r="X54" s="1" t="str">
        <f ca="1">IF(ISERROR(F42),"",IF(W54=0,"",_xlfn.TEXTJOIN("",FALSE," G+",W54," in ",A54)))</f>
        <v xml:space="preserve"> G+11 in CAP 010</v>
      </c>
    </row>
    <row r="55" spans="1:24" ht="14.25" customHeight="1" x14ac:dyDescent="0.2">
      <c r="A55" s="43" t="str">
        <f ca="1">IF(ISERROR(F42),"",A38)</f>
        <v>Total Credits/ Marks/ Total Grade Points</v>
      </c>
      <c r="B55" s="43"/>
      <c r="C55" s="43"/>
      <c r="D55" s="43"/>
      <c r="E55" s="43"/>
      <c r="F55" s="10">
        <f ca="1">IF(ISERROR(F42),"",SUM(F47:F54))</f>
        <v>16</v>
      </c>
      <c r="G55" s="44" t="str">
        <f ca="1">IF(ISERROR(F42),"",_xlfn.TEXTJOIN("/",TRUE,SUMIF(F47:F54,"&gt;0",P47:P54),SUMIF(F47:F54,"&gt;0",S47:S54)))</f>
        <v>0/380</v>
      </c>
      <c r="H55" s="44"/>
      <c r="I55" s="44" t="str">
        <f ca="1">IF(ISERROR(F42),"",_xlfn.TEXTJOIN("/",TRUE,SUMIF(F47:F54,"&gt;0",Q47:Q54),SUMIF(F47:F54,"&gt;0",T47:T54)))</f>
        <v>0/320</v>
      </c>
      <c r="J55" s="44"/>
      <c r="K55" s="44" t="str">
        <f ca="1">IF(ISERROR(F42),"",_xlfn.TEXTJOIN("/",TRUE,SUMIF(F47:F54,"&gt;0",R47:R54),SUMIF(F47:F54,"&gt;0",U47:U54)))</f>
        <v>0/700</v>
      </c>
      <c r="L55" s="44"/>
      <c r="M55" s="43" t="e">
        <f ca="1">IF(ISERROR(F42),"",SUMPRODUCT(N47:N54,F47:F54))</f>
        <v>#N/A</v>
      </c>
      <c r="N55" s="43"/>
      <c r="V55" s="1" t="e">
        <f ca="1">IF(ISERROR(F42),"",_xlfn.TEXTJOIN(", ",TRUE,V47:V54))</f>
        <v>#N/A</v>
      </c>
      <c r="W55" t="b">
        <f ca="1">IF(ISERROR(F42),"",IF(SUM(W47:W54)&lt;=W46,TRUE,FALSE))</f>
        <v>0</v>
      </c>
      <c r="X55" s="1" t="str">
        <f ca="1">IF(ISERROR(F42),"",_xlfn.TEXTJOIN(",",TRUE,X47:X54))</f>
        <v xml:space="preserve"> G+11 in CAT  014, G+11 in CAT 015, G+11 in Enroll No., G+11 in Enroll No., G+11 in AHT 310, G+11 in CAP 008, G+11 in CAP 009, G+11 in CAP 010</v>
      </c>
    </row>
    <row r="56" spans="1:24" ht="14.25" customHeight="1" x14ac:dyDescent="0.2">
      <c r="A56" s="43" t="str">
        <f ca="1">IF(ISERROR(F42),"",A39)</f>
        <v>Result:</v>
      </c>
      <c r="B56" s="45" t="e">
        <f ca="1">IF(ISERROR(F42),"",IF(V55="","PASS","CARRY OVER"))</f>
        <v>#N/A</v>
      </c>
      <c r="C56" s="45"/>
      <c r="D56" s="43" t="str">
        <f ca="1">IF(ISERROR(F42),"",D39)</f>
        <v>Remark:</v>
      </c>
      <c r="E56" s="45" t="e">
        <f ca="1">IF(ISERROR(F42),"",IF(V55="",IF(X55="","",X55),_xlfn.TEXTJOIN(" ",TRUE,"BACK IN",V55)))</f>
        <v>#N/A</v>
      </c>
      <c r="F56" s="45"/>
      <c r="G56" s="43" t="str">
        <f ca="1">IF(ISERROR(F42),"",G39)</f>
        <v>SGPA:</v>
      </c>
      <c r="H56" s="46" t="e">
        <f ca="1">IF(ISERROR(F42),"",M55/F55)</f>
        <v>#N/A</v>
      </c>
      <c r="I56" s="43" t="str">
        <f ca="1">IF(ISERROR(F42),"",I39)</f>
        <v>CGPA:</v>
      </c>
      <c r="J56" s="46" t="e">
        <f ca="1">IF(ISERROR(F42),"",VLOOKUP(B42,INDIRECT($F$8),12+(O54-1)*3,0))</f>
        <v>#N/A</v>
      </c>
      <c r="K56" s="45" t="str">
        <f ca="1">IF(ISERROR(F42),"",K39)</f>
        <v>Earned Credits:</v>
      </c>
      <c r="L56" s="43">
        <f ca="1">IF(ISERROR(F42),"",SUMIF(N47:N54,"&gt;0",F47:F54))</f>
        <v>0</v>
      </c>
      <c r="M56" s="45" t="str">
        <f ca="1">IF(ISERROR(F42),"",M39)</f>
        <v>Cuml. Earned Credits:</v>
      </c>
      <c r="N56" s="43" t="e">
        <f ca="1">IF(ISERROR(F42),"",VLOOKUP(B42,INDIRECT($F$8),10+(O54-1)*3,0))</f>
        <v>#N/A</v>
      </c>
    </row>
    <row r="57" spans="1:24" ht="14.25" customHeight="1" x14ac:dyDescent="0.2">
      <c r="A57" s="43"/>
      <c r="B57" s="45"/>
      <c r="C57" s="45"/>
      <c r="D57" s="43"/>
      <c r="E57" s="45"/>
      <c r="F57" s="45"/>
      <c r="G57" s="43"/>
      <c r="H57" s="46"/>
      <c r="I57" s="43"/>
      <c r="J57" s="46"/>
      <c r="K57" s="45"/>
      <c r="L57" s="43"/>
      <c r="M57" s="45"/>
      <c r="N57" s="43"/>
    </row>
    <row r="58" spans="1:24" ht="14.25" customHeight="1" x14ac:dyDescent="0.2">
      <c r="A58" s="43"/>
      <c r="B58" s="45"/>
      <c r="C58" s="45"/>
      <c r="D58" s="43"/>
      <c r="E58" s="45"/>
      <c r="F58" s="45"/>
      <c r="G58" s="43"/>
      <c r="H58" s="46"/>
      <c r="I58" s="43"/>
      <c r="J58" s="46"/>
      <c r="K58" s="45"/>
      <c r="L58" s="43"/>
      <c r="M58" s="45"/>
      <c r="N58" s="43"/>
    </row>
    <row r="59" spans="1:24" ht="14.25" customHeight="1" x14ac:dyDescent="0.2">
      <c r="A59" s="11" t="str">
        <f>A42</f>
        <v>MM</v>
      </c>
      <c r="B59" s="11">
        <f>B42+1</f>
        <v>4</v>
      </c>
      <c r="C59" s="11" t="str">
        <f>C42</f>
        <v>SC</v>
      </c>
      <c r="D59" s="11" t="str">
        <f>D42</f>
        <v>SN</v>
      </c>
      <c r="E59" s="11" t="str">
        <f>E42</f>
        <v>C</v>
      </c>
      <c r="F59" s="11" t="str">
        <f ca="1">VLOOKUP(B59,INDIRECT($F$8),4,0)</f>
        <v>ANJALI GUSAIN</v>
      </c>
    </row>
    <row r="60" spans="1:24" ht="14.25" customHeight="1" x14ac:dyDescent="0.2">
      <c r="A60" s="47" t="str">
        <f ca="1">IF(ISERROR(F59),"",A43)</f>
        <v>Name:</v>
      </c>
      <c r="B60" s="47" t="str">
        <f ca="1">IFERROR(VLOOKUP(B59,INDIRECT($F$8),4,0),"")</f>
        <v>ANJALI GUSAIN</v>
      </c>
      <c r="C60" s="47"/>
      <c r="D60" s="47" t="str">
        <f ca="1">IF(ISERROR(F59),"",D43)</f>
        <v>Father's Name:</v>
      </c>
      <c r="E60" s="47" t="str">
        <f ca="1">IFERROR(VLOOKUP(B59,INDIRECT($F$8),5,0),"")</f>
        <v>JAIBEER SINGH GUSAIN</v>
      </c>
      <c r="F60" s="47"/>
      <c r="G60" s="47" t="str">
        <f ca="1">IF(ISERROR(F59),"",G43)</f>
        <v>University Roll No:</v>
      </c>
      <c r="H60" s="47"/>
      <c r="I60" s="48">
        <f ca="1">IFERROR(VLOOKUP(B59,INDIRECT($F$8),2,0),"")</f>
        <v>240090600004</v>
      </c>
      <c r="J60" s="48"/>
      <c r="K60" s="47" t="str">
        <f ca="1">IF(ISERROR(F59),"",K43)</f>
        <v>University Enrol. No:</v>
      </c>
      <c r="L60" s="47"/>
      <c r="M60" s="48" t="str">
        <f ca="1">IFERROR(VLOOKUP(B59,INDIRECT($F$8),3,0),"")</f>
        <v>UTU/2406100161</v>
      </c>
      <c r="N60" s="48"/>
    </row>
    <row r="61" spans="1:24" ht="14.25" customHeight="1" x14ac:dyDescent="0.2">
      <c r="A61" s="47"/>
      <c r="B61" s="47"/>
      <c r="C61" s="47"/>
      <c r="D61" s="47"/>
      <c r="E61" s="47"/>
      <c r="F61" s="47"/>
      <c r="G61" s="47"/>
      <c r="H61" s="47"/>
      <c r="I61" s="48"/>
      <c r="J61" s="48"/>
      <c r="K61" s="47"/>
      <c r="L61" s="47"/>
      <c r="M61" s="48"/>
      <c r="N61" s="48"/>
    </row>
    <row r="62" spans="1:24" ht="14.25" customHeight="1" x14ac:dyDescent="0.2">
      <c r="A62" s="45" t="str">
        <f ca="1">IF(ISERROR(F59),"",A45)</f>
        <v>Subject Code</v>
      </c>
      <c r="B62" s="45" t="str">
        <f ca="1">IF(ISERROR(F59),"",B45)</f>
        <v>Subject Name</v>
      </c>
      <c r="C62" s="45"/>
      <c r="D62" s="45"/>
      <c r="E62" s="45"/>
      <c r="F62" s="45" t="str">
        <f ca="1">IF(ISERROR(F59),"",F45)</f>
        <v>Credits</v>
      </c>
      <c r="G62" s="45" t="str">
        <f ca="1">IF(ISERROR(F59),"",G45)</f>
        <v>External Marks</v>
      </c>
      <c r="H62" s="45"/>
      <c r="I62" s="45" t="str">
        <f ca="1">IF(ISERROR(F59),"",I45)</f>
        <v>Sessional Marks</v>
      </c>
      <c r="J62" s="45"/>
      <c r="K62" s="45" t="str">
        <f ca="1">IF(ISERROR(F59),"",K45)</f>
        <v>Total Marks</v>
      </c>
      <c r="L62" s="45"/>
      <c r="M62" s="45" t="str">
        <f ca="1">IF(ISERROR(F59),"",M45)</f>
        <v>Grade</v>
      </c>
      <c r="N62" s="45" t="str">
        <f ca="1">IF(ISERROR(F59),"",N45)</f>
        <v>Grade Points</v>
      </c>
    </row>
    <row r="63" spans="1:24" ht="14.25" customHeight="1" x14ac:dyDescent="0.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W63">
        <f ca="1">IF(ISNUMBER(MATCH($F$8,{"I","III","V","VII"},0)),10,10-INDEX(INDIRECT(_xlfn.TEXTJOIN("",TRUE,"SEM_",$G$8,"!",ADDRESS(6,4+$I$8*3+4),":",ADDRESS(5+$H$8,4+$I$8*3+4))),MATCH(INDIRECT(_xlfn.TEXTJOIN("",TRUE,"TC_",$F$8,"!",ADDRESS(ROW(I60),COLUMN(I60)))),INDIRECT(_xlfn.TEXTJOIN("",TRUE,"SEM_",$G$8,"!",ADDRESS(6,2),":",ADDRESS(5+$H$8,2))))))</f>
        <v>10</v>
      </c>
    </row>
    <row r="64" spans="1:24" ht="14.25" customHeight="1" x14ac:dyDescent="0.2">
      <c r="A64" s="7" t="str">
        <f ca="1">IF(ISERROR(F59),"",VLOOKUP(C59,INDIRECT($F$8),6+(O64-1)*3,0))</f>
        <v>CAT  014</v>
      </c>
      <c r="B64" s="41" t="str">
        <f ca="1">IF(ISERROR(F59),"",VLOOKUP(D59,INDIRECT($F$8),6+(O64-1)*3,0))</f>
        <v>Graph Theory</v>
      </c>
      <c r="C64" s="41"/>
      <c r="D64" s="41"/>
      <c r="E64" s="41"/>
      <c r="F64" s="7">
        <f ca="1">IF(ISERROR(F59),"",VLOOKUP(E59,INDIRECT($F$8),6+(O64-1)*3,0))</f>
        <v>4</v>
      </c>
      <c r="G64" s="42" t="str">
        <f ca="1">IF(ISERROR(F59),"",_xlfn.TEXTJOIN("/",FALSE,P64,S64))</f>
        <v>0/100</v>
      </c>
      <c r="H64" s="42"/>
      <c r="I64" s="42" t="str">
        <f ca="1">IF(ISERROR(F59),"",_xlfn.TEXTJOIN("/",FALSE,Q64,T64))</f>
        <v>0/50</v>
      </c>
      <c r="J64" s="42"/>
      <c r="K64" s="42" t="str">
        <f ca="1">IF(ISERROR(F59),"",_xlfn.TEXTJOIN("/",FALSE,R64,U64))</f>
        <v>0/150</v>
      </c>
      <c r="L64" s="42"/>
      <c r="M64" s="7" t="str">
        <f ca="1">IF(ISERROR(F59),"",IF(ISTEXT(P64),IF(P64="A","Ab",IF(P64="D","Dt",IF(P64="UFM","UFM",IF(P64="NA","")))),IF(AND(ISBLANK(P64),ISBLANK(R64)),"",IF(P64&lt;0.3*S64,"F",IF(ISBLANK(R64),"",IF(ISTEXT(R64),R64,IF(R64&gt;=0.9*U64,"O",IF(R64&gt;=0.85*U64,"A+",IF(R64&gt;=0.8*U64,"A",IF(R64&gt;=0.7*U64,"B+",IF(R64&gt;=0.6*U64,"B",IF(R64&gt;=0.5*U64,"C",IF(R64&gt;=0.4*U64,"P",IF(R64&lt;0.4*U64,"F",R64))))))))))))))</f>
        <v>F</v>
      </c>
      <c r="N64" s="8">
        <f t="shared" ref="N64:N71" ca="1" si="6">INDEX($Z$2:$Z$13,MATCH(M64,$Y$2:$Y$13,0))</f>
        <v>0</v>
      </c>
      <c r="O64">
        <v>1</v>
      </c>
      <c r="P64" s="1">
        <f ca="1">IF(ISERROR(F59),"",IF(ISTEXT(VLOOKUP(B59,INDIRECT($F$8),6+(O64-1)*3)),(VLOOKUP(B59,INDIRECT($F$8),6+(O64-1)*3)),SUM(VLOOKUP(B59,INDIRECT($F$8),6+(O64-1)*3),IF(W72,W64,0))))</f>
        <v>0</v>
      </c>
      <c r="Q64" s="1">
        <f ca="1">IF(ISERROR(F59),"",VLOOKUP(B59,INDIRECT($F$8),7+(O64-1)*3))</f>
        <v>0</v>
      </c>
      <c r="R64" s="1">
        <f ca="1">IF(ISERROR(F59),"",SUM(P64:Q64))</f>
        <v>0</v>
      </c>
      <c r="S64" s="1">
        <f ca="1">IF(ISERROR(F59),"",VLOOKUP(A59,INDIRECT($F$8),6+(O64-1)*3))</f>
        <v>100</v>
      </c>
      <c r="T64" s="1">
        <f ca="1">IF(ISERROR(F59),"",VLOOKUP(A59,INDIRECT($F$8),7+(O64-1)*3))</f>
        <v>50</v>
      </c>
      <c r="U64" s="1">
        <f ca="1">IF(ISERROR(F59),"",VLOOKUP(A59,INDIRECT($F$8),8+(O64-1)*3))</f>
        <v>150</v>
      </c>
      <c r="V64" s="1" t="str">
        <f ca="1">IF(ISERROR(F59),"",IF(N64=0,A64,""))</f>
        <v>CAT  014</v>
      </c>
      <c r="W64" s="1">
        <f ca="1">IF(ISERROR(F59),"",IF(ISTEXT(VLOOKUP(B59,INDIRECT($F$8),6+(O64-1)*3)),11,IF(VLOOKUP(B59,INDIRECT($F$8),6+(O64-1)*3)&lt;S64*0.3,IF(VLOOKUP(B59,INDIRECT($F$8),8+(O64-1)*3)&lt;U64*0.4,IF(AND(0.4*U64-VLOOKUP(B59,INDIRECT($F$8),8+(O64-1)*3)&lt;=5,0.3*S64-VLOOKUP(B59,INDIRECT($F$8),6+(O64-1)*3)&lt;=5),MAX(0.4*U64-VLOOKUP(B59,INDIRECT($F$8),8+(O64-1)*3),0.3*S64-VLOOKUP(B59,INDIRECT($F$8),6+(O64-1)*3)),11),IF(0.3*S64-VLOOKUP(B59,INDIRECT($F$8),6+(O64-1)*3)&lt;=5,0.3*S64-VLOOKUP(B59,INDIRECT($F$8),6+(O64-1)*3),11)),IF(VLOOKUP(B59,INDIRECT($F$8),8+(O64-1)*3)&lt;U64*0.4,IF(U64*0.4-VLOOKUP(B59,INDIRECT($F$8),8+(O64-1)*3)&lt;=5,U64*0.4-VLOOKUP(B59,INDIRECT($F$8),8+(O64-1)*3),11),0))))</f>
        <v>11</v>
      </c>
      <c r="X64" s="1" t="str">
        <f ca="1">IF(ISERROR(F59),"",IF(W64=0,"",_xlfn.TEXTJOIN("",FALSE," G+",W64," in ",A64)))</f>
        <v xml:space="preserve"> G+11 in CAT  014</v>
      </c>
    </row>
    <row r="65" spans="1:24" ht="14.25" customHeight="1" x14ac:dyDescent="0.2">
      <c r="A65" s="7" t="str">
        <f ca="1">IF(ISERROR(F59),"",VLOOKUP(C59,INDIRECT($F$8),6+(O65-1)*3,0))</f>
        <v>CAT 015</v>
      </c>
      <c r="B65" s="41" t="str">
        <f ca="1">IF(ISERROR(F59),"",VLOOKUP(D59,INDIRECT($F$8),6+(O65-1)*3,0))</f>
        <v>Software Engineering</v>
      </c>
      <c r="C65" s="41"/>
      <c r="D65" s="41"/>
      <c r="E65" s="41"/>
      <c r="F65" s="7">
        <f ca="1">IF(ISERROR(F59),"",VLOOKUP(E59,INDIRECT($F$8),6+(O65-1)*3,0))</f>
        <v>4</v>
      </c>
      <c r="G65" s="42" t="str">
        <f ca="1">IF(ISERROR(F59),"",_xlfn.TEXTJOIN("/",FALSE,P65,S65))</f>
        <v>0/100</v>
      </c>
      <c r="H65" s="42"/>
      <c r="I65" s="42" t="str">
        <f ca="1">IF(ISERROR(F59),"",_xlfn.TEXTJOIN("/",FALSE,Q65,T65))</f>
        <v>0/50</v>
      </c>
      <c r="J65" s="42"/>
      <c r="K65" s="42" t="str">
        <f ca="1">IF(ISERROR(F59),"",_xlfn.TEXTJOIN("/",FALSE,R65,U65))</f>
        <v>0/150</v>
      </c>
      <c r="L65" s="42"/>
      <c r="M65" s="7" t="str">
        <f ca="1">IF(ISERROR(F59),"",IF(ISTEXT(P65),IF(P65="A","Ab",IF(P65="D","Dt",IF(P65="UFM","UFM",IF(P65="NA","")))),IF(AND(ISBLANK(P65),ISBLANK(R65)),"",IF(P65&lt;0.3*S65,"F",IF(ISBLANK(R65),"",IF(ISTEXT(R65),R65,IF(R65&gt;=0.9*U65,"O",IF(R65&gt;=0.85*U65,"A+",IF(R65&gt;=0.8*U65,"A",IF(R65&gt;=0.7*U65,"B+",IF(R65&gt;=0.6*U65,"B",IF(R65&gt;=0.5*U65,"C",IF(R65&gt;=0.4*U65,"P",IF(R65&lt;0.4*U65,"F",R65))))))))))))))</f>
        <v>F</v>
      </c>
      <c r="N65" s="8">
        <f t="shared" ca="1" si="6"/>
        <v>0</v>
      </c>
      <c r="O65">
        <f>O64+1</f>
        <v>2</v>
      </c>
      <c r="P65" s="1">
        <f ca="1">IF(ISERROR(F59),"",IF(ISTEXT(VLOOKUP(B59,INDIRECT($F$8),6+(O65-1)*3)),(VLOOKUP(B59,INDIRECT($F$8),6+(O65-1)*3)),SUM(VLOOKUP(B59,INDIRECT($F$8),6+(O65-1)*3),IF(W72,W65,0))))</f>
        <v>0</v>
      </c>
      <c r="Q65" s="1">
        <f ca="1">IF(ISERROR(F59),"",VLOOKUP(B59,INDIRECT($F$8),7+(O65-1)*3))</f>
        <v>0</v>
      </c>
      <c r="R65" s="1">
        <f ca="1">IF(ISERROR(F59),"",SUM(P65:Q65))</f>
        <v>0</v>
      </c>
      <c r="S65" s="1">
        <f ca="1">IF(ISERROR(F59),"",VLOOKUP(A59,INDIRECT($F$8),6+(O65-1)*3))</f>
        <v>100</v>
      </c>
      <c r="T65" s="1">
        <f ca="1">IF(ISERROR(F59),"",VLOOKUP(A59,INDIRECT($F$8),7+(O65-1)*3))</f>
        <v>50</v>
      </c>
      <c r="U65" s="1">
        <f ca="1">IF(ISERROR(F59),"",VLOOKUP(A59,INDIRECT($F$8),8+(O65-1)*3))</f>
        <v>150</v>
      </c>
      <c r="V65" s="1" t="str">
        <f ca="1">IF(ISERROR(F59),"",IF(N65=0,A65,""))</f>
        <v>CAT 015</v>
      </c>
      <c r="W65" s="1">
        <f ca="1">IF(ISERROR(F59),"",IF(ISTEXT(VLOOKUP(B59,INDIRECT($F$8),6+(O65-1)*3)),11,IF(VLOOKUP(B59,INDIRECT($F$8),6+(O65-1)*3)&lt;S65*0.3,IF(VLOOKUP(B59,INDIRECT($F$8),8+(O65-1)*3)&lt;U65*0.4,IF(AND(0.4*U65-VLOOKUP(B59,INDIRECT($F$8),8+(O65-1)*3)&lt;=5,0.3*S65-VLOOKUP(B59,INDIRECT($F$8),6+(O65-1)*3)&lt;=5),MAX(0.4*U65-VLOOKUP(B59,INDIRECT($F$8),8+(O65-1)*3),0.3*S65-VLOOKUP(B59,INDIRECT($F$8),6+(O65-1)*3)),11),IF(0.3*S65-VLOOKUP(B59,INDIRECT($F$8),6+(O65-1)*3)&lt;=5,0.3*S65-VLOOKUP(B59,INDIRECT($F$8),6+(O65-1)*3),11)),IF(VLOOKUP(B59,INDIRECT($F$8),8+(O65-1)*3)&lt;U65*0.4,IF(U65*0.4-VLOOKUP(B59,INDIRECT($F$8),8+(O65-1)*3)&lt;=5,U65*0.4-VLOOKUP(B59,INDIRECT($F$8),8+(O65-1)*3),11),0))))</f>
        <v>11</v>
      </c>
      <c r="X65" s="1" t="str">
        <f ca="1">IF(ISERROR(F59),"",IF(W65=0,"",_xlfn.TEXTJOIN("",FALSE," G+",W65," in ",A65)))</f>
        <v xml:space="preserve"> G+11 in CAT 015</v>
      </c>
    </row>
    <row r="66" spans="1:24" ht="14.25" customHeight="1" x14ac:dyDescent="0.2">
      <c r="A66" s="7" t="str">
        <f ca="1">IF(ISERROR(F59),"",VLOOKUP(C59,INDIRECT($F$8),6+(O66-1)*3,0))</f>
        <v>Enroll No.</v>
      </c>
      <c r="B66" s="41">
        <f ca="1">IF(ISERROR(F59),"",VLOOKUP(D59,INDIRECT($F$8),6+(O66-1)*3,0))</f>
        <v>0</v>
      </c>
      <c r="C66" s="41"/>
      <c r="D66" s="41"/>
      <c r="E66" s="41"/>
      <c r="F66" s="7">
        <f ca="1">IF(ISERROR(F59),"",VLOOKUP(E59,INDIRECT($F$8),6+(O66-1)*3,0))</f>
        <v>0</v>
      </c>
      <c r="G66" s="42" t="str">
        <f ca="1">IF(ISERROR(F59),"",_xlfn.TEXTJOIN("/",FALSE,P66,S66))</f>
        <v>UTU/2406100161/0</v>
      </c>
      <c r="H66" s="42"/>
      <c r="I66" s="42" t="str">
        <f ca="1">IF(ISERROR(F59),"",_xlfn.TEXTJOIN("/",FALSE,Q66,T66))</f>
        <v>ANJALI GUSAIN/0</v>
      </c>
      <c r="J66" s="42"/>
      <c r="K66" s="42" t="str">
        <f ca="1">IF(ISERROR(F59),"",_xlfn.TEXTJOIN("/",FALSE,R66,U66))</f>
        <v>0/0</v>
      </c>
      <c r="L66" s="42"/>
      <c r="M66" s="7" t="b">
        <f ca="1">IF(ISERROR(F59),"",IF(ISTEXT(P66),IF(P66="A","Ab",IF(P66="D","Dt",IF(P66="UFM","UFM",IF(P66="NA","")))),IF(AND(ISBLANK(P66),ISBLANK(R66)),"",IF(P66&lt;0.3*S66,"F",IF(ISBLANK(R66),"",IF(ISTEXT(R66),R66,IF(R66&gt;=0.9*U66,"O",IF(R66&gt;=0.85*U66,"A+",IF(R66&gt;=0.8*U66,"A",IF(R66&gt;=0.7*U66,"B+",IF(R66&gt;=0.6*U66,"B",IF(R66&gt;=0.5*U66,"C",IF(R66&gt;=0.4*U66,"P",IF(R66&lt;0.4*U66,"F",R66))))))))))))))</f>
        <v>0</v>
      </c>
      <c r="N66" s="8" t="e">
        <f t="shared" ca="1" si="6"/>
        <v>#N/A</v>
      </c>
      <c r="O66" t="b" cm="1">
        <f t="array" aca="1" ref="O66" ca="1">IF(NOT(ISBLANK(INDIRECT("SEM_III!L"&amp;INT((ROW(O66)-15)/17)+6))),3,IF(NOT(ISBLANK(INDIRECT("SEM_III!O"&amp;INT((ROW(O66)-15)/17)+6))),4))</f>
        <v>0</v>
      </c>
      <c r="P66" s="1" t="str">
        <f ca="1">IF(ISERROR(F59),"",IF(ISTEXT(VLOOKUP(B59,INDIRECT($F$8),6+(O66-1)*3)),(VLOOKUP(B59,INDIRECT($F$8),6+(O66-1)*3)),SUM(VLOOKUP(B59,INDIRECT($F$8),6+(O66-1)*3),IF(W72,W66,0))))</f>
        <v>UTU/2406100161</v>
      </c>
      <c r="Q66" s="1" t="str">
        <f ca="1">IF(ISERROR(F59),"",VLOOKUP(B59,INDIRECT($F$8),7+(O66-1)*3))</f>
        <v>ANJALI GUSAIN</v>
      </c>
      <c r="R66" s="1">
        <f ca="1">IF(ISERROR(F59),"",SUM(P66:Q66))</f>
        <v>0</v>
      </c>
      <c r="S66" s="1">
        <f ca="1">IF(ISERROR(F59),"",VLOOKUP(A59,INDIRECT($F$8),6+(O66-1)*3))</f>
        <v>0</v>
      </c>
      <c r="T66" s="1">
        <f ca="1">IF(ISERROR(F59),"",VLOOKUP(A59,INDIRECT($F$8),7+(O66-1)*3))</f>
        <v>0</v>
      </c>
      <c r="U66" s="1">
        <f ca="1">IF(ISERROR(F59),"",VLOOKUP(A59,INDIRECT($F$8),8+(O66-1)*3))</f>
        <v>0</v>
      </c>
      <c r="V66" s="1" t="e">
        <f ca="1">IF(ISERROR(F59),"",IF(N66=0,A66,""))</f>
        <v>#N/A</v>
      </c>
      <c r="W66" s="1">
        <f ca="1">IF(ISERROR(F59),"",IF(ISTEXT(VLOOKUP(B59,INDIRECT($F$8),6+(O66-1)*3)),11,IF(VLOOKUP(B59,INDIRECT($F$8),6+(O66-1)*3)&lt;S66*0.3,IF(VLOOKUP(B59,INDIRECT($F$8),8+(O66-1)*3)&lt;U66*0.4,IF(AND(0.4*U66-VLOOKUP(B59,INDIRECT($F$8),8+(O66-1)*3)&lt;=5,0.3*S66-VLOOKUP(B59,INDIRECT($F$8),6+(O66-1)*3)&lt;=5),MAX(0.4*U66-VLOOKUP(B59,INDIRECT($F$8),8+(O66-1)*3),0.3*S66-VLOOKUP(B59,INDIRECT($F$8),6+(O66-1)*3)),11),IF(0.3*S66-VLOOKUP(B59,INDIRECT($F$8),6+(O66-1)*3)&lt;=5,0.3*S66-VLOOKUP(B59,INDIRECT($F$8),6+(O66-1)*3),11)),IF(VLOOKUP(B59,INDIRECT($F$8),8+(O66-1)*3)&lt;U66*0.4,IF(U66*0.4-VLOOKUP(B59,INDIRECT($F$8),8+(O66-1)*3)&lt;=5,U66*0.4-VLOOKUP(B59,INDIRECT($F$8),8+(O66-1)*3),11),0))))</f>
        <v>11</v>
      </c>
      <c r="X66" s="1" t="str">
        <f ca="1">IF(ISERROR(F59),"",IF(W66=0,"",_xlfn.TEXTJOIN("",FALSE," G+",W66," in ",A66)))</f>
        <v xml:space="preserve"> G+11 in Enroll No.</v>
      </c>
    </row>
    <row r="67" spans="1:24" ht="14.25" customHeight="1" x14ac:dyDescent="0.2">
      <c r="A67" s="7" t="str">
        <f ca="1">IF(ISERROR(F59),"",VLOOKUP(C59,INDIRECT($F$8),6+(O67-1)*3,0))</f>
        <v>Enroll No.</v>
      </c>
      <c r="B67" s="41">
        <f ca="1">IF(ISERROR(F59),"",VLOOKUP(D59,INDIRECT($F$8),6+(O67-1)*3,0))</f>
        <v>0</v>
      </c>
      <c r="C67" s="41"/>
      <c r="D67" s="41"/>
      <c r="E67" s="41"/>
      <c r="F67" s="7">
        <f ca="1">IF(ISERROR(F59),"",VLOOKUP(E59,INDIRECT($F$8),6+(O67-1)*3,0))</f>
        <v>0</v>
      </c>
      <c r="G67" s="42" t="str">
        <f ca="1">IF(ISERROR(F59),"",_xlfn.TEXTJOIN("/",FALSE,P67,S67))</f>
        <v>UTU/2406100161/0</v>
      </c>
      <c r="H67" s="42"/>
      <c r="I67" s="42" t="str">
        <f ca="1">IF(ISERROR(F59),"",_xlfn.TEXTJOIN("/",FALSE,Q67,T67))</f>
        <v>ANJALI GUSAIN/0</v>
      </c>
      <c r="J67" s="42"/>
      <c r="K67" s="42" t="str">
        <f ca="1">IF(ISERROR(F59),"",_xlfn.TEXTJOIN("/",FALSE,R67,U67))</f>
        <v>0/0</v>
      </c>
      <c r="L67" s="42"/>
      <c r="M67" s="7" t="b">
        <f ca="1">IF(ISERROR(F59),"",IF(ISTEXT(P67),IF(P67="A","Ab",IF(P67="D","Dt",IF(P67="UFM","UFM",IF(P67="NA","")))),IF(AND(ISBLANK(P67),ISBLANK(R67)),"",IF(P67&lt;0.3*S67,"F",IF(ISBLANK(R67),"",IF(ISTEXT(R67),R67,IF(R67&gt;=0.9*U67,"O",IF(R67&gt;=0.85*U67,"A+",IF(R67&gt;=0.8*U67,"A",IF(R67&gt;=0.7*U67,"B+",IF(R67&gt;=0.6*U67,"B",IF(R67&gt;=0.5*U67,"C",IF(R67&gt;=0.4*U67,"P",IF(R67&lt;0.4*U67,"F",R67))))))))))))))</f>
        <v>0</v>
      </c>
      <c r="N67" s="8" t="e">
        <f t="shared" ca="1" si="6"/>
        <v>#N/A</v>
      </c>
      <c r="O67" t="b" cm="1">
        <f t="array" aca="1" ref="O67" ca="1">IF(NOT(ISBLANK(INDIRECT("SEM_III!R"&amp;INT((ROW(O67)-16)/17)+6))),5,IF(NOT(ISBLANK(INDIRECT("SEM_III!U"&amp;INT((ROW(O67)-16)/17)+6))),6))</f>
        <v>0</v>
      </c>
      <c r="P67" s="1" t="str">
        <f ca="1">IF(ISERROR(F59),"",IF(ISTEXT(VLOOKUP(B59,INDIRECT($F$8),6+(O67-1)*3)),(VLOOKUP(B59,INDIRECT($F$8),6+(O67-1)*3)),SUM(VLOOKUP(B59,INDIRECT($F$8),6+(O67-1)*3),IF(W72,W67,0))))</f>
        <v>UTU/2406100161</v>
      </c>
      <c r="Q67" s="1" t="str">
        <f ca="1">IF(ISERROR(F59),"",VLOOKUP(B59,INDIRECT($F$8),7+(O67-1)*3))</f>
        <v>ANJALI GUSAIN</v>
      </c>
      <c r="R67" s="1">
        <f ca="1">IF(ISERROR(F59),"",SUM(P67:Q67))</f>
        <v>0</v>
      </c>
      <c r="S67" s="1">
        <f ca="1">IF(ISERROR(F59),"",VLOOKUP(A59,INDIRECT($F$8),6+(O67-1)*3))</f>
        <v>0</v>
      </c>
      <c r="T67" s="1">
        <f ca="1">IF(ISERROR(F59),"",VLOOKUP(A59,INDIRECT($F$8),7+(O67-1)*3))</f>
        <v>0</v>
      </c>
      <c r="U67" s="1">
        <f ca="1">IF(ISERROR(F59),"",VLOOKUP(A59,INDIRECT($F$8),8+(O67-1)*3))</f>
        <v>0</v>
      </c>
      <c r="V67" s="1" t="e">
        <f ca="1">IF(ISERROR(F59),"",IF(N67=0,A67,""))</f>
        <v>#N/A</v>
      </c>
      <c r="W67" s="1">
        <f ca="1">IF(ISERROR(F59),"",IF(ISTEXT(VLOOKUP(B59,INDIRECT($F$8),6+(O67-1)*3)),11,IF(VLOOKUP(B59,INDIRECT($F$8),6+(O67-1)*3)&lt;S67*0.3,IF(VLOOKUP(B59,INDIRECT($F$8),8+(O67-1)*3)&lt;U67*0.4,IF(AND(0.4*U67-VLOOKUP(B59,INDIRECT($F$8),8+(O67-1)*3)&lt;=5,0.3*S67-VLOOKUP(B59,INDIRECT($F$8),6+(O67-1)*3)&lt;=5),MAX(0.4*U67-VLOOKUP(B59,INDIRECT($F$8),8+(O67-1)*3),0.3*S67-VLOOKUP(B59,INDIRECT($F$8),6+(O67-1)*3)),11),IF(0.3*S67-VLOOKUP(B59,INDIRECT($F$8),6+(O67-1)*3)&lt;=5,0.3*S67-VLOOKUP(B59,INDIRECT($F$8),6+(O67-1)*3),11)),IF(VLOOKUP(B59,INDIRECT($F$8),8+(O67-1)*3)&lt;U67*0.4,IF(U67*0.4-VLOOKUP(B59,INDIRECT($F$8),8+(O67-1)*3)&lt;=5,U67*0.4-VLOOKUP(B59,INDIRECT($F$8),8+(O67-1)*3),11),0))))</f>
        <v>11</v>
      </c>
      <c r="X67" s="1" t="str">
        <f ca="1">IF(ISERROR(F59),"",IF(W67=0,"",_xlfn.TEXTJOIN("",FALSE," G+",W67," in ",A67)))</f>
        <v xml:space="preserve"> G+11 in Enroll No.</v>
      </c>
    </row>
    <row r="68" spans="1:24" ht="14.25" customHeight="1" x14ac:dyDescent="0.2">
      <c r="A68" s="7" t="str">
        <f ca="1">IF(ISERROR(F59),"",VLOOKUP(C59,INDIRECT($F$8),6+(O68-1)*3,0))</f>
        <v>AHT 310</v>
      </c>
      <c r="B68" s="41" t="str">
        <f ca="1">IF(ISERROR(F59),"",VLOOKUP(D59,INDIRECT($F$8),6+(O68-1)*3,0))</f>
        <v>Universal Human Value</v>
      </c>
      <c r="C68" s="41"/>
      <c r="D68" s="41"/>
      <c r="E68" s="41"/>
      <c r="F68" s="7">
        <f ca="1">IF(ISERROR(F59),"",VLOOKUP(E59,INDIRECT($F$8),6+(O68-1)*3,0))</f>
        <v>3</v>
      </c>
      <c r="G68" s="42" t="str">
        <f ca="1">IF(ISERROR(F59),"",_xlfn.TEXTJOIN("/",FALSE,P68,S68))</f>
        <v>0/100</v>
      </c>
      <c r="H68" s="42"/>
      <c r="I68" s="42" t="str">
        <f ca="1">IF(ISERROR(F59),"",_xlfn.TEXTJOIN("/",FALSE,Q68,T68))</f>
        <v>0/50</v>
      </c>
      <c r="J68" s="42"/>
      <c r="K68" s="42" t="str">
        <f ca="1">IF(ISERROR(F59),"",_xlfn.TEXTJOIN("/",FALSE,R68,U68))</f>
        <v>0/150</v>
      </c>
      <c r="L68" s="42"/>
      <c r="M68" s="7" t="str">
        <f ca="1">IF(ISERROR(F59),"",IF(ISTEXT(P68),IF(P68="A","Ab",IF(P68="D","Dt",IF(P68="UFM","UFM",IF(P68="NA","")))),IF(AND(ISBLANK(P68),ISBLANK(R68)),"",IF(P68&lt;0.3*S68,"F",IF(ISBLANK(R68),"",IF(ISTEXT(R68),R68,IF(R68&gt;=0.9*U68,"O",IF(R68&gt;=0.85*U68,"A+",IF(R68&gt;=0.8*U68,"A",IF(R68&gt;=0.7*U68,"B+",IF(R68&gt;=0.6*U68,"B",IF(R68&gt;=0.5*U68,"C",IF(R68&gt;=0.4*U68,"P",IF(R68&lt;0.4*U68,"F",R68))))))))))))))</f>
        <v>F</v>
      </c>
      <c r="N68" s="8">
        <f t="shared" ca="1" si="6"/>
        <v>0</v>
      </c>
      <c r="O68">
        <f ca="1">IF(O67&gt;0,7,"")</f>
        <v>7</v>
      </c>
      <c r="P68" s="1">
        <f ca="1">IF(ISERROR(F59),"",IF(ISTEXT(VLOOKUP(B59,INDIRECT($F$8),6+(O68-1)*3)),(VLOOKUP(B59,INDIRECT($F$8),6+(O68-1)*3)),SUM(VLOOKUP(B59,INDIRECT($F$8),6+(O68-1)*3),IF(W72,W68,0))))</f>
        <v>0</v>
      </c>
      <c r="Q68" s="1">
        <f ca="1">IF(ISERROR(F59),"",VLOOKUP(B59,INDIRECT($F$8),7+(O68-1)*3))</f>
        <v>0</v>
      </c>
      <c r="R68" s="1">
        <f ca="1">IF(ISERROR(F59),"",SUM(P68:Q68))</f>
        <v>0</v>
      </c>
      <c r="S68" s="1">
        <f ca="1">IF(ISERROR(F59),"",VLOOKUP(A59,INDIRECT($F$8),6+(O68-1)*3))</f>
        <v>100</v>
      </c>
      <c r="T68" s="1">
        <f ca="1">IF(ISERROR(F59),"",VLOOKUP(A59,INDIRECT($F$8),7+(O68-1)*3))</f>
        <v>50</v>
      </c>
      <c r="U68" s="1">
        <f ca="1">IF(ISERROR(F59),"",VLOOKUP(A59,INDIRECT($F$8),8+(O68-1)*3))</f>
        <v>150</v>
      </c>
      <c r="V68" s="1" t="str">
        <f ca="1">IF(ISERROR(F59),"",IF(N68=0,A68,""))</f>
        <v>AHT 310</v>
      </c>
      <c r="W68" s="1">
        <f ca="1">IF(ISERROR(F59),"",IF(ISTEXT(VLOOKUP(B59,INDIRECT($F$8),6+(O68-1)*3)),11,IF(VLOOKUP(B59,INDIRECT($F$8),6+(O68-1)*3)&lt;S68*0.3,IF(VLOOKUP(B59,INDIRECT($F$8),8+(O68-1)*3)&lt;U68*0.4,IF(AND(0.4*U68-VLOOKUP(B59,INDIRECT($F$8),8+(O68-1)*3)&lt;=5,0.3*S68-VLOOKUP(B59,INDIRECT($F$8),6+(O68-1)*3)&lt;=5),MAX(0.4*U68-VLOOKUP(B59,INDIRECT($F$8),8+(O68-1)*3),0.3*S68-VLOOKUP(B59,INDIRECT($F$8),6+(O68-1)*3)),11),IF(0.3*S68-VLOOKUP(B59,INDIRECT($F$8),6+(O68-1)*3)&lt;=5,0.3*S68-VLOOKUP(B59,INDIRECT($F$8),6+(O68-1)*3),11)),IF(VLOOKUP(B59,INDIRECT($F$8),8+(O68-1)*3)&lt;U68*0.4,IF(U68*0.4-VLOOKUP(B59,INDIRECT($F$8),8+(O68-1)*3)&lt;=5,U68*0.4-VLOOKUP(B59,INDIRECT($F$8),8+(O68-1)*3),11),0))))</f>
        <v>11</v>
      </c>
      <c r="X68" s="1" t="str">
        <f ca="1">IF(ISERROR(F59),"",IF(W68=0,"",_xlfn.TEXTJOIN("",FALSE," G+",W68," in ",A68)))</f>
        <v xml:space="preserve"> G+11 in AHT 310</v>
      </c>
    </row>
    <row r="69" spans="1:24" ht="14.25" customHeight="1" x14ac:dyDescent="0.2">
      <c r="A69" s="7" t="str">
        <f ca="1">IF(ISERROR(F59),"",VLOOKUP(C59,INDIRECT($F$8),6+(O69-1)*3,0))</f>
        <v>CAP 008</v>
      </c>
      <c r="B69" s="41" t="str">
        <f ca="1">IF(ISERROR(F59),"",VLOOKUP(D59,INDIRECT($F$8),6+(O69-1)*3,0))</f>
        <v>Software Engineering Lab</v>
      </c>
      <c r="C69" s="41"/>
      <c r="D69" s="41"/>
      <c r="E69" s="41"/>
      <c r="F69" s="7">
        <f ca="1">IF(ISERROR(F59),"",VLOOKUP(E59,INDIRECT($F$8),6+(O69-1)*3,0))</f>
        <v>1</v>
      </c>
      <c r="G69" s="42" t="str">
        <f ca="1">IF(ISERROR(F59),"",_xlfn.TEXTJOIN("/",FALSE,P69,S69))</f>
        <v>0/30</v>
      </c>
      <c r="H69" s="42"/>
      <c r="I69" s="42" t="str">
        <f ca="1">IF(ISERROR(F59),"",_xlfn.TEXTJOIN("/",FALSE,Q69,T69))</f>
        <v>0/20</v>
      </c>
      <c r="J69" s="42"/>
      <c r="K69" s="42" t="str">
        <f ca="1">IF(ISERROR(F59),"",_xlfn.TEXTJOIN("/",FALSE,R69,U69))</f>
        <v>0/50</v>
      </c>
      <c r="L69" s="42"/>
      <c r="M69" s="7" t="str">
        <f ca="1">IF(ISERROR(F59),"",IF(ISTEXT(P69),IF(P69="A","Ab",IF(P69="D","Dt",IF(P69="UFM","UFM",IF(P69="NA","")))),IF(AND(ISBLANK(P69),ISBLANK(R69)),"",IF(P69&lt;0.3*S69,"F",IF(ISBLANK(R69),"",IF(ISTEXT(R69),R69,IF(R69&gt;=0.9*U69,"O",IF(R69&gt;=0.85*U69,"A+",IF(R69&gt;=0.8*U69,"A",IF(R69&gt;=0.7*U69,"B+",IF(R69&gt;=0.6*U69,"B",IF(R69&gt;=0.5*U69,"C",IF(R69&gt;=0.4*U69,"P",IF(R69&lt;0.4*U69,"F",R69))))))))))))))</f>
        <v>F</v>
      </c>
      <c r="N69" s="8">
        <f t="shared" ca="1" si="6"/>
        <v>0</v>
      </c>
      <c r="O69">
        <f t="shared" ref="O69:O71" ca="1" si="7">O68+1</f>
        <v>8</v>
      </c>
      <c r="P69" s="1">
        <f ca="1">IF(ISERROR(F59),"",IF(ISTEXT(VLOOKUP(B59,INDIRECT($F$8),6+(O69-1)*3)),(VLOOKUP(B59,INDIRECT($F$8),6+(O69-1)*3)),SUM(VLOOKUP(B59,INDIRECT($F$8),6+(O69-1)*3),IF(W72,W69,0))))</f>
        <v>0</v>
      </c>
      <c r="Q69" s="1">
        <f ca="1">IF(ISERROR(F59),"",VLOOKUP(B59,INDIRECT($F$8),7+(O69-1)*3))</f>
        <v>0</v>
      </c>
      <c r="R69" s="1">
        <f ca="1">IF(ISERROR(F59),"",SUM(P69:Q69))</f>
        <v>0</v>
      </c>
      <c r="S69" s="1">
        <f ca="1">IF(ISERROR(F59),"",VLOOKUP(A59,INDIRECT($F$8),6+(O69-1)*3))</f>
        <v>30</v>
      </c>
      <c r="T69" s="1">
        <f ca="1">IF(ISERROR(F59),"",VLOOKUP(A59,INDIRECT($F$8),7+(O69-1)*3))</f>
        <v>20</v>
      </c>
      <c r="U69" s="1">
        <f ca="1">IF(ISERROR(F59),"",VLOOKUP(A59,INDIRECT($F$8),8+(O69-1)*3))</f>
        <v>50</v>
      </c>
      <c r="V69" s="1" t="str">
        <f ca="1">IF(ISERROR(F59),"",IF(N69=0,A69,""))</f>
        <v>CAP 008</v>
      </c>
      <c r="W69" s="1">
        <f ca="1">IF(ISERROR(F59),"",IF(ISTEXT(VLOOKUP(B59,INDIRECT($F$8),6+(O69-1)*3)),11,IF(VLOOKUP(B59,INDIRECT($F$8),6+(O69-1)*3)&lt;S69*0.3,IF(VLOOKUP(B59,INDIRECT($F$8),8+(O69-1)*3)&lt;U69*0.4,IF(AND(0.4*U69-VLOOKUP(B59,INDIRECT($F$8),8+(O69-1)*3)&lt;=5,0.3*S69-VLOOKUP(B59,INDIRECT($F$8),6+(O69-1)*3)&lt;=5),MAX(0.4*U69-VLOOKUP(B59,INDIRECT($F$8),8+(O69-1)*3),0.3*S69-VLOOKUP(B59,INDIRECT($F$8),6+(O69-1)*3)),11),IF(0.3*S69-VLOOKUP(B59,INDIRECT($F$8),6+(O69-1)*3)&lt;=5,0.3*S69-VLOOKUP(B59,INDIRECT($F$8),6+(O69-1)*3),11)),IF(VLOOKUP(B59,INDIRECT($F$8),8+(O69-1)*3)&lt;U69*0.4,IF(U69*0.4-VLOOKUP(B59,INDIRECT($F$8),8+(O69-1)*3)&lt;=5,U69*0.4-VLOOKUP(B59,INDIRECT($F$8),8+(O69-1)*3),11),0))))</f>
        <v>11</v>
      </c>
      <c r="X69" s="1" t="str">
        <f ca="1">IF(ISERROR(F59),"",IF(W69=0,"",_xlfn.TEXTJOIN("",FALSE," G+",W69," in ",A69)))</f>
        <v xml:space="preserve"> G+11 in CAP 008</v>
      </c>
    </row>
    <row r="70" spans="1:24" ht="14.25" customHeight="1" x14ac:dyDescent="0.2">
      <c r="A70" s="7" t="str">
        <f ca="1">IF(ISERROR(F59),"",VLOOKUP(C59,INDIRECT($F$8),6+(O70-1)*3,0))</f>
        <v>CAP 009</v>
      </c>
      <c r="B70" s="41" t="str">
        <f ca="1">IF(ISERROR(F59),"",VLOOKUP(D59,INDIRECT($F$8),6+(O70-1)*3,0))</f>
        <v>Seminar</v>
      </c>
      <c r="C70" s="41"/>
      <c r="D70" s="41"/>
      <c r="E70" s="41"/>
      <c r="F70" s="7">
        <f ca="1">IF(ISERROR(F59),"",VLOOKUP(E59,INDIRECT($F$8),6+(O70-1)*3,0))</f>
        <v>2</v>
      </c>
      <c r="G70" s="42" t="str">
        <f ca="1">IF(ISERROR(F59),"",_xlfn.TEXTJOIN("/",FALSE,P70,S70))</f>
        <v>0/0</v>
      </c>
      <c r="H70" s="42"/>
      <c r="I70" s="42" t="str">
        <f ca="1">IF(ISERROR(F59),"",_xlfn.TEXTJOIN("/",FALSE,Q70,T70))</f>
        <v>0/100</v>
      </c>
      <c r="J70" s="42"/>
      <c r="K70" s="42" t="str">
        <f ca="1">IF(ISERROR(F59),"",_xlfn.TEXTJOIN("/",FALSE,R70,U70))</f>
        <v>0/100</v>
      </c>
      <c r="L70" s="42"/>
      <c r="M70" s="7" t="str">
        <f ca="1">IF(ISERROR(F59),"",IF(ISTEXT(P70),IF(P70="A","Ab",IF(P70="D","Dt",IF(P70="UFM","UFM",IF(P70="NA","")))),IF(AND(ISBLANK(P70),ISBLANK(R70)),"",IF(P70&lt;0.3*S70,"F",IF(ISBLANK(R70),"",IF(ISTEXT(R70),R70,IF(R70&gt;=0.9*U70,"O",IF(R70&gt;=0.85*U70,"A+",IF(R70&gt;=0.8*U70,"A",IF(R70&gt;=0.7*U70,"B+",IF(R70&gt;=0.6*U70,"B",IF(R70&gt;=0.5*U70,"C",IF(R70&gt;=0.4*U70,"P",IF(R70&lt;0.4*U70,"F",R70))))))))))))))</f>
        <v>F</v>
      </c>
      <c r="N70" s="8">
        <f t="shared" ca="1" si="6"/>
        <v>0</v>
      </c>
      <c r="O70">
        <f t="shared" ca="1" si="7"/>
        <v>9</v>
      </c>
      <c r="P70" s="1">
        <f ca="1">IF(ISERROR(F59),"",IF(ISTEXT(VLOOKUP(B59,INDIRECT($F$8),6+(O70-1)*3)),(VLOOKUP(B59,INDIRECT($F$8),6+(O70-1)*3)),SUM(VLOOKUP(B59,INDIRECT($F$8),6+(O70-1)*3),IF(W72,W70,0))))</f>
        <v>0</v>
      </c>
      <c r="Q70" s="1">
        <f ca="1">IF(ISERROR(F59),"",VLOOKUP(B59,INDIRECT($F$8),7+(O70-1)*3))</f>
        <v>0</v>
      </c>
      <c r="R70" s="1">
        <f ca="1">IF(ISERROR(F59),"",SUM(P70:Q70))</f>
        <v>0</v>
      </c>
      <c r="S70" s="1">
        <f ca="1">IF(ISERROR(F59),"",VLOOKUP(A59,INDIRECT($F$8),6+(O70-1)*3))</f>
        <v>0</v>
      </c>
      <c r="T70" s="1">
        <f ca="1">IF(ISERROR(F59),"",VLOOKUP(A59,INDIRECT($F$8),7+(O70-1)*3))</f>
        <v>100</v>
      </c>
      <c r="U70" s="1">
        <f ca="1">IF(ISERROR(F59),"",VLOOKUP(A59,INDIRECT($F$8),8+(O70-1)*3))</f>
        <v>100</v>
      </c>
      <c r="V70" s="1" t="str">
        <f ca="1">IF(ISERROR(F59),"",IF(N70=0,A70,""))</f>
        <v>CAP 009</v>
      </c>
      <c r="W70" s="1">
        <f ca="1">IF(ISERROR(F59),"",IF(ISTEXT(VLOOKUP(B59,INDIRECT($F$8),6+(O70-1)*3)),11,IF(VLOOKUP(B59,INDIRECT($F$8),6+(O70-1)*3)&lt;S70*0.3,IF(VLOOKUP(B59,INDIRECT($F$8),8+(O70-1)*3)&lt;U70*0.4,IF(AND(0.4*U70-VLOOKUP(B59,INDIRECT($F$8),8+(O70-1)*3)&lt;=5,0.3*S70-VLOOKUP(B59,INDIRECT($F$8),6+(O70-1)*3)&lt;=5),MAX(0.4*U70-VLOOKUP(B59,INDIRECT($F$8),8+(O70-1)*3),0.3*S70-VLOOKUP(B59,INDIRECT($F$8),6+(O70-1)*3)),11),IF(0.3*S70-VLOOKUP(B59,INDIRECT($F$8),6+(O70-1)*3)&lt;=5,0.3*S70-VLOOKUP(B59,INDIRECT($F$8),6+(O70-1)*3),11)),IF(VLOOKUP(B59,INDIRECT($F$8),8+(O70-1)*3)&lt;U70*0.4,IF(U70*0.4-VLOOKUP(B59,INDIRECT($F$8),8+(O70-1)*3)&lt;=5,U70*0.4-VLOOKUP(B59,INDIRECT($F$8),8+(O70-1)*3),11),0))))</f>
        <v>11</v>
      </c>
      <c r="X70" s="1" t="str">
        <f ca="1">IF(ISERROR(F59),"",IF(W70=0,"",_xlfn.TEXTJOIN("",FALSE," G+",W70," in ",A70)))</f>
        <v xml:space="preserve"> G+11 in CAP 009</v>
      </c>
    </row>
    <row r="71" spans="1:24" ht="14.25" customHeight="1" x14ac:dyDescent="0.2">
      <c r="A71" s="7" t="str">
        <f ca="1">IF(ISERROR(F59),"",VLOOKUP(C59,INDIRECT($F$8),6+(O71-1)*3,0))</f>
        <v>CAP 010</v>
      </c>
      <c r="B71" s="41" t="str">
        <f ca="1">IF(ISERROR(F59),"",VLOOKUP(D59,INDIRECT($F$8),6+(O71-1)*3-Z71,0))</f>
        <v>Minor Project</v>
      </c>
      <c r="C71" s="41"/>
      <c r="D71" s="41"/>
      <c r="E71" s="41"/>
      <c r="F71" s="7">
        <f ca="1">IF(ISERROR(F59),"",VLOOKUP(E59,INDIRECT($F$8),6+(O71-1)*3,0))</f>
        <v>2</v>
      </c>
      <c r="G71" s="42" t="str">
        <f ca="1">IF(ISERROR(F59),"",_xlfn.TEXTJOIN("/",FALSE,P71,S71))</f>
        <v>0/50</v>
      </c>
      <c r="H71" s="42"/>
      <c r="I71" s="42" t="str">
        <f ca="1">IF(ISERROR(F59),"",_xlfn.TEXTJOIN("/",FALSE,Q71,T71))</f>
        <v>0/50</v>
      </c>
      <c r="J71" s="42"/>
      <c r="K71" s="42" t="str">
        <f ca="1">IF(ISERROR(F59),"",_xlfn.TEXTJOIN("/",FALSE,R71,U71))</f>
        <v>0/100</v>
      </c>
      <c r="L71" s="42"/>
      <c r="M71" s="7" t="str">
        <f ca="1">IF(ISERROR(F59),"",IF(ISTEXT(P71),IF(P71="A","Ab",IF(P71="D","Dt",IF(P71="UFM","UFM",IF(P71="NA","")))),IF(AND(ISBLANK(P71),ISBLANK(R71)),"",IF(P71&lt;0.3*S71,"F",IF(ISBLANK(R71),"",IF(ISTEXT(R71),R71,IF(R71&gt;=0.9*U71,"O",IF(R71&gt;=0.85*U71,"A+",IF(R71&gt;=0.8*U71,"A",IF(R71&gt;=0.7*U71,"B+",IF(R71&gt;=0.6*U71,"B",IF(R71&gt;=0.5*U71,"C",IF(R71&gt;=0.4*U71,"P",IF(R71&lt;0.4*U71,"F",R71))))))))))))))</f>
        <v>F</v>
      </c>
      <c r="N71" s="8">
        <f t="shared" ca="1" si="6"/>
        <v>0</v>
      </c>
      <c r="O71">
        <f t="shared" ca="1" si="7"/>
        <v>10</v>
      </c>
      <c r="P71" s="1">
        <f ca="1">IF(ISERROR(F59),"",IF(ISTEXT(VLOOKUP(B59,INDIRECT($F$8),6+(O71-1)*3)),(VLOOKUP(B59,INDIRECT($F$8),6+(O71-1)*3)),SUM(VLOOKUP(B59,INDIRECT($F$8),6+(O71-1)*3),IF(W72,W71,0))))</f>
        <v>0</v>
      </c>
      <c r="Q71" s="1">
        <f ca="1">IF(ISERROR(F59),"",VLOOKUP(B59,INDIRECT($F$8),7+(O71-1)*3))</f>
        <v>0</v>
      </c>
      <c r="R71" s="1">
        <f ca="1">IF(ISERROR(F59),"",SUM(P71:Q71))</f>
        <v>0</v>
      </c>
      <c r="S71" s="1">
        <f ca="1">IF(ISERROR(F59),"",VLOOKUP(A59,INDIRECT($F$8),6+(O71-1)*3))</f>
        <v>50</v>
      </c>
      <c r="T71" s="1">
        <f ca="1">IF(ISERROR(F59),"",VLOOKUP(A59,INDIRECT($F$8),7+(O71-1)*3))</f>
        <v>50</v>
      </c>
      <c r="U71" s="1">
        <f ca="1">IF(ISERROR(F59),"",VLOOKUP(A59,INDIRECT($F$8),8+(O71-1)*3))</f>
        <v>100</v>
      </c>
      <c r="V71" s="1" t="str">
        <f ca="1">IF(ISERROR(F59),"",IF(N71=0,A71,""))</f>
        <v>CAP 010</v>
      </c>
      <c r="W71" s="1">
        <f ca="1">IF(ISERROR(F59),"",IF(ISTEXT(VLOOKUP(B59,INDIRECT($F$8),6+(O71-1)*3)),11,IF(VLOOKUP(B59,INDIRECT($F$8),6+(O71-1)*3)&lt;S71*0.3,IF(VLOOKUP(B59,INDIRECT($F$8),8+(O71-1)*3)&lt;U71*0.4,IF(AND(0.4*U71-VLOOKUP(B59,INDIRECT($F$8),8+(O71-1)*3)&lt;=5,0.3*S71-VLOOKUP(B59,INDIRECT($F$8),6+(O71-1)*3)&lt;=5),MAX(0.4*U71-VLOOKUP(B59,INDIRECT($F$8),8+(O71-1)*3),0.3*S71-VLOOKUP(B59,INDIRECT($F$8),6+(O71-1)*3)),11),IF(0.3*S71-VLOOKUP(B59,INDIRECT($F$8),6+(O71-1)*3)&lt;=5,0.3*S71-VLOOKUP(B59,INDIRECT($F$8),6+(O71-1)*3),11)),IF(VLOOKUP(B59,INDIRECT($F$8),8+(O71-1)*3)&lt;U71*0.4,IF(U71*0.4-VLOOKUP(B59,INDIRECT($F$8),8+(O71-1)*3)&lt;=5,U71*0.4-VLOOKUP(B59,INDIRECT($F$8),8+(O71-1)*3),11),0))))</f>
        <v>11</v>
      </c>
      <c r="X71" s="1" t="str">
        <f ca="1">IF(ISERROR(F59),"",IF(W71=0,"",_xlfn.TEXTJOIN("",FALSE," G+",W71," in ",A71)))</f>
        <v xml:space="preserve"> G+11 in CAP 010</v>
      </c>
    </row>
    <row r="72" spans="1:24" ht="14.25" customHeight="1" x14ac:dyDescent="0.2">
      <c r="A72" s="43" t="str">
        <f ca="1">IF(ISERROR(F59),"",A55)</f>
        <v>Total Credits/ Marks/ Total Grade Points</v>
      </c>
      <c r="B72" s="43"/>
      <c r="C72" s="43"/>
      <c r="D72" s="43"/>
      <c r="E72" s="43"/>
      <c r="F72" s="10">
        <f ca="1">IF(ISERROR(F59),"",SUM(F64:F71))</f>
        <v>16</v>
      </c>
      <c r="G72" s="44" t="str">
        <f ca="1">IF(ISERROR(F59),"",_xlfn.TEXTJOIN("/",TRUE,SUMIF(F64:F71,"&gt;0",P64:P71),SUMIF(F64:F71,"&gt;0",S64:S71)))</f>
        <v>0/380</v>
      </c>
      <c r="H72" s="44"/>
      <c r="I72" s="44" t="str">
        <f ca="1">IF(ISERROR(F59),"",_xlfn.TEXTJOIN("/",TRUE,SUMIF(F64:F71,"&gt;0",Q64:Q71),SUMIF(F64:F71,"&gt;0",T64:T71)))</f>
        <v>0/320</v>
      </c>
      <c r="J72" s="44"/>
      <c r="K72" s="44" t="str">
        <f ca="1">IF(ISERROR(F59),"",_xlfn.TEXTJOIN("/",TRUE,SUMIF(F64:F71,"&gt;0",R64:R71),SUMIF(F64:F71,"&gt;0",U64:U71)))</f>
        <v>0/700</v>
      </c>
      <c r="L72" s="44"/>
      <c r="M72" s="43" t="e">
        <f ca="1">IF(ISERROR(F59),"",SUMPRODUCT(N64:N71,F64:F71))</f>
        <v>#N/A</v>
      </c>
      <c r="N72" s="43"/>
      <c r="V72" s="1" t="e">
        <f ca="1">IF(ISERROR(F59),"",_xlfn.TEXTJOIN(", ",TRUE,V64:V71))</f>
        <v>#N/A</v>
      </c>
      <c r="W72" t="b">
        <f ca="1">IF(ISERROR(F59),"",IF(SUM(W64:W71)&lt;=W63,TRUE,FALSE))</f>
        <v>0</v>
      </c>
      <c r="X72" s="1" t="str">
        <f ca="1">IF(ISERROR(F59),"",_xlfn.TEXTJOIN(",",TRUE,X64:X71))</f>
        <v xml:space="preserve"> G+11 in CAT  014, G+11 in CAT 015, G+11 in Enroll No., G+11 in Enroll No., G+11 in AHT 310, G+11 in CAP 008, G+11 in CAP 009, G+11 in CAP 010</v>
      </c>
    </row>
    <row r="73" spans="1:24" ht="14.25" customHeight="1" x14ac:dyDescent="0.2">
      <c r="A73" s="43" t="str">
        <f ca="1">IF(ISERROR(F59),"",A56)</f>
        <v>Result:</v>
      </c>
      <c r="B73" s="45" t="e">
        <f ca="1">IF(ISERROR(F59),"",IF(V72="","PASS","CARRY OVER"))</f>
        <v>#N/A</v>
      </c>
      <c r="C73" s="45"/>
      <c r="D73" s="43" t="str">
        <f ca="1">IF(ISERROR(F59),"",D56)</f>
        <v>Remark:</v>
      </c>
      <c r="E73" s="45" t="e">
        <f ca="1">IF(ISERROR(F59),"",IF(V72="",IF(X72="","",X72),_xlfn.TEXTJOIN(" ",TRUE,"BACK IN",V72)))</f>
        <v>#N/A</v>
      </c>
      <c r="F73" s="45"/>
      <c r="G73" s="43" t="str">
        <f ca="1">IF(ISERROR(F59),"",G56)</f>
        <v>SGPA:</v>
      </c>
      <c r="H73" s="46" t="e">
        <f ca="1">IF(ISERROR(F59),"",M72/F72)</f>
        <v>#N/A</v>
      </c>
      <c r="I73" s="43" t="str">
        <f ca="1">IF(ISERROR(F59),"",I56)</f>
        <v>CGPA:</v>
      </c>
      <c r="J73" s="46" t="e">
        <f ca="1">IF(ISERROR(F59),"",VLOOKUP(B59,INDIRECT($F$8),12+(O71-1)*3,0))</f>
        <v>#N/A</v>
      </c>
      <c r="K73" s="45" t="str">
        <f ca="1">IF(ISERROR(F59),"",K56)</f>
        <v>Earned Credits:</v>
      </c>
      <c r="L73" s="43">
        <f ca="1">IF(ISERROR(F59),"",SUMIF(N64:N71,"&gt;0",F64:F71))</f>
        <v>0</v>
      </c>
      <c r="M73" s="45" t="str">
        <f ca="1">IF(ISERROR(F59),"",M56)</f>
        <v>Cuml. Earned Credits:</v>
      </c>
      <c r="N73" s="43" t="e">
        <f ca="1">IF(ISERROR(F59),"",VLOOKUP(B59,INDIRECT($F$8),10+(O71-1)*3,0))</f>
        <v>#N/A</v>
      </c>
    </row>
    <row r="74" spans="1:24" ht="14.25" customHeight="1" x14ac:dyDescent="0.2">
      <c r="A74" s="43"/>
      <c r="B74" s="45"/>
      <c r="C74" s="45"/>
      <c r="D74" s="43"/>
      <c r="E74" s="45"/>
      <c r="F74" s="45"/>
      <c r="G74" s="43"/>
      <c r="H74" s="46"/>
      <c r="I74" s="43"/>
      <c r="J74" s="46"/>
      <c r="K74" s="45"/>
      <c r="L74" s="43"/>
      <c r="M74" s="45"/>
      <c r="N74" s="43"/>
    </row>
    <row r="75" spans="1:24" ht="14.25" customHeight="1" x14ac:dyDescent="0.2">
      <c r="A75" s="43"/>
      <c r="B75" s="45"/>
      <c r="C75" s="45"/>
      <c r="D75" s="43"/>
      <c r="E75" s="45"/>
      <c r="F75" s="45"/>
      <c r="G75" s="43"/>
      <c r="H75" s="46"/>
      <c r="I75" s="43"/>
      <c r="J75" s="46"/>
      <c r="K75" s="45"/>
      <c r="L75" s="43"/>
      <c r="M75" s="45"/>
      <c r="N75" s="43"/>
    </row>
    <row r="76" spans="1:24" ht="14.25" customHeight="1" x14ac:dyDescent="0.2">
      <c r="A76" s="11" t="str">
        <f>A59</f>
        <v>MM</v>
      </c>
      <c r="B76" s="11">
        <f>B59+1</f>
        <v>5</v>
      </c>
      <c r="C76" s="11" t="str">
        <f>C59</f>
        <v>SC</v>
      </c>
      <c r="D76" s="11" t="str">
        <f>D59</f>
        <v>SN</v>
      </c>
      <c r="E76" s="11" t="str">
        <f>E59</f>
        <v>C</v>
      </c>
      <c r="F76" s="11" t="str">
        <f ca="1">VLOOKUP(B76,INDIRECT($F$8),4,0)</f>
        <v>ANJALI PATWAL</v>
      </c>
    </row>
    <row r="77" spans="1:24" ht="14.25" customHeight="1" x14ac:dyDescent="0.2">
      <c r="A77" s="47" t="str">
        <f ca="1">IF(ISERROR(F76),"",A60)</f>
        <v>Name:</v>
      </c>
      <c r="B77" s="47" t="str">
        <f ca="1">IFERROR(VLOOKUP(B76,INDIRECT($F$8),4,0),"")</f>
        <v>ANJALI PATWAL</v>
      </c>
      <c r="C77" s="47"/>
      <c r="D77" s="47" t="str">
        <f ca="1">IF(ISERROR(F76),"",D60)</f>
        <v>Father's Name:</v>
      </c>
      <c r="E77" s="47" t="str">
        <f ca="1">IFERROR(VLOOKUP(B76,INDIRECT($F$8),5,0),"")</f>
        <v>SANJAY SINGH PATWAL</v>
      </c>
      <c r="F77" s="47"/>
      <c r="G77" s="47" t="str">
        <f ca="1">IF(ISERROR(F76),"",G60)</f>
        <v>University Roll No:</v>
      </c>
      <c r="H77" s="47"/>
      <c r="I77" s="48">
        <f ca="1">IFERROR(VLOOKUP(B76,INDIRECT($F$8),2,0),"")</f>
        <v>240090600005</v>
      </c>
      <c r="J77" s="48"/>
      <c r="K77" s="47" t="str">
        <f ca="1">IF(ISERROR(F76),"",K60)</f>
        <v>University Enrol. No:</v>
      </c>
      <c r="L77" s="47"/>
      <c r="M77" s="48" t="str">
        <f ca="1">IFERROR(VLOOKUP(B76,INDIRECT($F$8),3,0),"")</f>
        <v>UTU/2406100178</v>
      </c>
      <c r="N77" s="48"/>
    </row>
    <row r="78" spans="1:24" ht="14.25" customHeight="1" x14ac:dyDescent="0.2">
      <c r="A78" s="47"/>
      <c r="B78" s="47"/>
      <c r="C78" s="47"/>
      <c r="D78" s="47"/>
      <c r="E78" s="47"/>
      <c r="F78" s="47"/>
      <c r="G78" s="47"/>
      <c r="H78" s="47"/>
      <c r="I78" s="48"/>
      <c r="J78" s="48"/>
      <c r="K78" s="47"/>
      <c r="L78" s="47"/>
      <c r="M78" s="48"/>
      <c r="N78" s="48"/>
    </row>
    <row r="79" spans="1:24" ht="14.25" customHeight="1" x14ac:dyDescent="0.2">
      <c r="A79" s="45" t="str">
        <f ca="1">IF(ISERROR(F76),"",A62)</f>
        <v>Subject Code</v>
      </c>
      <c r="B79" s="45" t="str">
        <f ca="1">IF(ISERROR(F76),"",B62)</f>
        <v>Subject Name</v>
      </c>
      <c r="C79" s="45"/>
      <c r="D79" s="45"/>
      <c r="E79" s="45"/>
      <c r="F79" s="45" t="str">
        <f ca="1">IF(ISERROR(F76),"",F62)</f>
        <v>Credits</v>
      </c>
      <c r="G79" s="45" t="str">
        <f ca="1">IF(ISERROR(F76),"",G62)</f>
        <v>External Marks</v>
      </c>
      <c r="H79" s="45"/>
      <c r="I79" s="45" t="str">
        <f ca="1">IF(ISERROR(F76),"",I62)</f>
        <v>Sessional Marks</v>
      </c>
      <c r="J79" s="45"/>
      <c r="K79" s="45" t="str">
        <f ca="1">IF(ISERROR(F76),"",K62)</f>
        <v>Total Marks</v>
      </c>
      <c r="L79" s="45"/>
      <c r="M79" s="45" t="str">
        <f ca="1">IF(ISERROR(F76),"",M62)</f>
        <v>Grade</v>
      </c>
      <c r="N79" s="45" t="str">
        <f ca="1">IF(ISERROR(F76),"",N62)</f>
        <v>Grade Points</v>
      </c>
    </row>
    <row r="80" spans="1:24" ht="14.25" customHeight="1" x14ac:dyDescent="0.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W80">
        <f ca="1">IF(ISNUMBER(MATCH($F$8,{"I","III","V","VII"},0)),10,10-INDEX(INDIRECT(_xlfn.TEXTJOIN("",TRUE,"SEM_",$G$8,"!",ADDRESS(6,4+$I$8*3+4),":",ADDRESS(5+$H$8,4+$I$8*3+4))),MATCH(INDIRECT(_xlfn.TEXTJOIN("",TRUE,"TC_",$F$8,"!",ADDRESS(ROW(I77),COLUMN(I77)))),INDIRECT(_xlfn.TEXTJOIN("",TRUE,"SEM_",$G$8,"!",ADDRESS(6,2),":",ADDRESS(5+$H$8,2))))))</f>
        <v>10</v>
      </c>
    </row>
    <row r="81" spans="1:24" ht="14.25" customHeight="1" x14ac:dyDescent="0.2">
      <c r="A81" s="7" t="str">
        <f ca="1">IF(ISERROR(F76),"",VLOOKUP(C76,INDIRECT($F$8),6+(O81-1)*3,0))</f>
        <v>CAT  014</v>
      </c>
      <c r="B81" s="41" t="str">
        <f ca="1">IF(ISERROR(F76),"",VLOOKUP(D76,INDIRECT($F$8),6+(O81-1)*3,0))</f>
        <v>Graph Theory</v>
      </c>
      <c r="C81" s="41"/>
      <c r="D81" s="41"/>
      <c r="E81" s="41"/>
      <c r="F81" s="7">
        <f ca="1">IF(ISERROR(F76),"",VLOOKUP(E76,INDIRECT($F$8),6+(O81-1)*3,0))</f>
        <v>4</v>
      </c>
      <c r="G81" s="42" t="str">
        <f ca="1">IF(ISERROR(F76),"",_xlfn.TEXTJOIN("/",FALSE,P81,S81))</f>
        <v>0/100</v>
      </c>
      <c r="H81" s="42"/>
      <c r="I81" s="42" t="str">
        <f ca="1">IF(ISERROR(F76),"",_xlfn.TEXTJOIN("/",FALSE,Q81,T81))</f>
        <v>0/50</v>
      </c>
      <c r="J81" s="42"/>
      <c r="K81" s="42" t="str">
        <f ca="1">IF(ISERROR(F76),"",_xlfn.TEXTJOIN("/",FALSE,R81,U81))</f>
        <v>0/150</v>
      </c>
      <c r="L81" s="42"/>
      <c r="M81" s="7" t="str">
        <f ca="1">IF(ISERROR(F76),"",IF(ISTEXT(P81),IF(P81="A","Ab",IF(P81="D","Dt",IF(P81="UFM","UFM",IF(P81="NA","")))),IF(AND(ISBLANK(P81),ISBLANK(R81)),"",IF(P81&lt;0.3*S81,"F",IF(ISBLANK(R81),"",IF(ISTEXT(R81),R81,IF(R81&gt;=0.9*U81,"O",IF(R81&gt;=0.85*U81,"A+",IF(R81&gt;=0.8*U81,"A",IF(R81&gt;=0.7*U81,"B+",IF(R81&gt;=0.6*U81,"B",IF(R81&gt;=0.5*U81,"C",IF(R81&gt;=0.4*U81,"P",IF(R81&lt;0.4*U81,"F",R81))))))))))))))</f>
        <v>F</v>
      </c>
      <c r="N81" s="8">
        <f t="shared" ref="N81:N88" ca="1" si="8">INDEX($Z$2:$Z$13,MATCH(M81,$Y$2:$Y$13,0))</f>
        <v>0</v>
      </c>
      <c r="O81">
        <v>1</v>
      </c>
      <c r="P81" s="1">
        <f ca="1">IF(ISERROR(F76),"",IF(ISTEXT(VLOOKUP(B76,INDIRECT($F$8),6+(O81-1)*3)),(VLOOKUP(B76,INDIRECT($F$8),6+(O81-1)*3)),SUM(VLOOKUP(B76,INDIRECT($F$8),6+(O81-1)*3),IF(W89,W81,0))))</f>
        <v>0</v>
      </c>
      <c r="Q81" s="1">
        <f ca="1">IF(ISERROR(F76),"",VLOOKUP(B76,INDIRECT($F$8),7+(O81-1)*3))</f>
        <v>0</v>
      </c>
      <c r="R81" s="1">
        <f ca="1">IF(ISERROR(F76),"",SUM(P81:Q81))</f>
        <v>0</v>
      </c>
      <c r="S81" s="1">
        <f ca="1">IF(ISERROR(F76),"",VLOOKUP(A76,INDIRECT($F$8),6+(O81-1)*3))</f>
        <v>100</v>
      </c>
      <c r="T81" s="1">
        <f ca="1">IF(ISERROR(F76),"",VLOOKUP(A76,INDIRECT($F$8),7+(O81-1)*3))</f>
        <v>50</v>
      </c>
      <c r="U81" s="1">
        <f ca="1">IF(ISERROR(F76),"",VLOOKUP(A76,INDIRECT($F$8),8+(O81-1)*3))</f>
        <v>150</v>
      </c>
      <c r="V81" s="1" t="str">
        <f ca="1">IF(ISERROR(F76),"",IF(N81=0,A81,""))</f>
        <v>CAT  014</v>
      </c>
      <c r="W81" s="1">
        <f ca="1">IF(ISERROR(F76),"",IF(ISTEXT(VLOOKUP(B76,INDIRECT($F$8),6+(O81-1)*3)),11,IF(VLOOKUP(B76,INDIRECT($F$8),6+(O81-1)*3)&lt;S81*0.3,IF(VLOOKUP(B76,INDIRECT($F$8),8+(O81-1)*3)&lt;U81*0.4,IF(AND(0.4*U81-VLOOKUP(B76,INDIRECT($F$8),8+(O81-1)*3)&lt;=5,0.3*S81-VLOOKUP(B76,INDIRECT($F$8),6+(O81-1)*3)&lt;=5),MAX(0.4*U81-VLOOKUP(B76,INDIRECT($F$8),8+(O81-1)*3),0.3*S81-VLOOKUP(B76,INDIRECT($F$8),6+(O81-1)*3)),11),IF(0.3*S81-VLOOKUP(B76,INDIRECT($F$8),6+(O81-1)*3)&lt;=5,0.3*S81-VLOOKUP(B76,INDIRECT($F$8),6+(O81-1)*3),11)),IF(VLOOKUP(B76,INDIRECT($F$8),8+(O81-1)*3)&lt;U81*0.4,IF(U81*0.4-VLOOKUP(B76,INDIRECT($F$8),8+(O81-1)*3)&lt;=5,U81*0.4-VLOOKUP(B76,INDIRECT($F$8),8+(O81-1)*3),11),0))))</f>
        <v>11</v>
      </c>
      <c r="X81" s="1" t="str">
        <f ca="1">IF(ISERROR(F76),"",IF(W81=0,"",_xlfn.TEXTJOIN("",FALSE," G+",W81," in ",A81)))</f>
        <v xml:space="preserve"> G+11 in CAT  014</v>
      </c>
    </row>
    <row r="82" spans="1:24" ht="14.25" customHeight="1" x14ac:dyDescent="0.2">
      <c r="A82" s="7" t="str">
        <f ca="1">IF(ISERROR(F76),"",VLOOKUP(C76,INDIRECT($F$8),6+(O82-1)*3,0))</f>
        <v>CAT 015</v>
      </c>
      <c r="B82" s="41" t="str">
        <f ca="1">IF(ISERROR(F76),"",VLOOKUP(D76,INDIRECT($F$8),6+(O82-1)*3,0))</f>
        <v>Software Engineering</v>
      </c>
      <c r="C82" s="41"/>
      <c r="D82" s="41"/>
      <c r="E82" s="41"/>
      <c r="F82" s="7">
        <f ca="1">IF(ISERROR(F76),"",VLOOKUP(E76,INDIRECT($F$8),6+(O82-1)*3,0))</f>
        <v>4</v>
      </c>
      <c r="G82" s="42" t="str">
        <f ca="1">IF(ISERROR(F76),"",_xlfn.TEXTJOIN("/",FALSE,P82,S82))</f>
        <v>0/100</v>
      </c>
      <c r="H82" s="42"/>
      <c r="I82" s="42" t="str">
        <f ca="1">IF(ISERROR(F76),"",_xlfn.TEXTJOIN("/",FALSE,Q82,T82))</f>
        <v>0/50</v>
      </c>
      <c r="J82" s="42"/>
      <c r="K82" s="42" t="str">
        <f ca="1">IF(ISERROR(F76),"",_xlfn.TEXTJOIN("/",FALSE,R82,U82))</f>
        <v>0/150</v>
      </c>
      <c r="L82" s="42"/>
      <c r="M82" s="7" t="str">
        <f ca="1">IF(ISERROR(F76),"",IF(ISTEXT(P82),IF(P82="A","Ab",IF(P82="D","Dt",IF(P82="UFM","UFM",IF(P82="NA","")))),IF(AND(ISBLANK(P82),ISBLANK(R82)),"",IF(P82&lt;0.3*S82,"F",IF(ISBLANK(R82),"",IF(ISTEXT(R82),R82,IF(R82&gt;=0.9*U82,"O",IF(R82&gt;=0.85*U82,"A+",IF(R82&gt;=0.8*U82,"A",IF(R82&gt;=0.7*U82,"B+",IF(R82&gt;=0.6*U82,"B",IF(R82&gt;=0.5*U82,"C",IF(R82&gt;=0.4*U82,"P",IF(R82&lt;0.4*U82,"F",R82))))))))))))))</f>
        <v>F</v>
      </c>
      <c r="N82" s="8">
        <f t="shared" ca="1" si="8"/>
        <v>0</v>
      </c>
      <c r="O82">
        <f>O81+1</f>
        <v>2</v>
      </c>
      <c r="P82" s="1">
        <f ca="1">IF(ISERROR(F76),"",IF(ISTEXT(VLOOKUP(B76,INDIRECT($F$8),6+(O82-1)*3)),(VLOOKUP(B76,INDIRECT($F$8),6+(O82-1)*3)),SUM(VLOOKUP(B76,INDIRECT($F$8),6+(O82-1)*3),IF(W89,W82,0))))</f>
        <v>0</v>
      </c>
      <c r="Q82" s="1">
        <f ca="1">IF(ISERROR(F76),"",VLOOKUP(B76,INDIRECT($F$8),7+(O82-1)*3))</f>
        <v>0</v>
      </c>
      <c r="R82" s="1">
        <f ca="1">IF(ISERROR(F76),"",SUM(P82:Q82))</f>
        <v>0</v>
      </c>
      <c r="S82" s="1">
        <f ca="1">IF(ISERROR(F76),"",VLOOKUP(A76,INDIRECT($F$8),6+(O82-1)*3))</f>
        <v>100</v>
      </c>
      <c r="T82" s="1">
        <f ca="1">IF(ISERROR(F76),"",VLOOKUP(A76,INDIRECT($F$8),7+(O82-1)*3))</f>
        <v>50</v>
      </c>
      <c r="U82" s="1">
        <f ca="1">IF(ISERROR(F76),"",VLOOKUP(A76,INDIRECT($F$8),8+(O82-1)*3))</f>
        <v>150</v>
      </c>
      <c r="V82" s="1" t="str">
        <f ca="1">IF(ISERROR(F76),"",IF(N82=0,A82,""))</f>
        <v>CAT 015</v>
      </c>
      <c r="W82" s="1">
        <f ca="1">IF(ISERROR(F76),"",IF(ISTEXT(VLOOKUP(B76,INDIRECT($F$8),6+(O82-1)*3)),11,IF(VLOOKUP(B76,INDIRECT($F$8),6+(O82-1)*3)&lt;S82*0.3,IF(VLOOKUP(B76,INDIRECT($F$8),8+(O82-1)*3)&lt;U82*0.4,IF(AND(0.4*U82-VLOOKUP(B76,INDIRECT($F$8),8+(O82-1)*3)&lt;=5,0.3*S82-VLOOKUP(B76,INDIRECT($F$8),6+(O82-1)*3)&lt;=5),MAX(0.4*U82-VLOOKUP(B76,INDIRECT($F$8),8+(O82-1)*3),0.3*S82-VLOOKUP(B76,INDIRECT($F$8),6+(O82-1)*3)),11),IF(0.3*S82-VLOOKUP(B76,INDIRECT($F$8),6+(O82-1)*3)&lt;=5,0.3*S82-VLOOKUP(B76,INDIRECT($F$8),6+(O82-1)*3),11)),IF(VLOOKUP(B76,INDIRECT($F$8),8+(O82-1)*3)&lt;U82*0.4,IF(U82*0.4-VLOOKUP(B76,INDIRECT($F$8),8+(O82-1)*3)&lt;=5,U82*0.4-VLOOKUP(B76,INDIRECT($F$8),8+(O82-1)*3),11),0))))</f>
        <v>11</v>
      </c>
      <c r="X82" s="1" t="str">
        <f ca="1">IF(ISERROR(F76),"",IF(W82=0,"",_xlfn.TEXTJOIN("",FALSE," G+",W82," in ",A82)))</f>
        <v xml:space="preserve"> G+11 in CAT 015</v>
      </c>
    </row>
    <row r="83" spans="1:24" ht="14.25" customHeight="1" x14ac:dyDescent="0.2">
      <c r="A83" s="7" t="str">
        <f ca="1">IF(ISERROR(F76),"",VLOOKUP(C76,INDIRECT($F$8),6+(O83-1)*3,0))</f>
        <v>Enroll No.</v>
      </c>
      <c r="B83" s="41">
        <f ca="1">IF(ISERROR(F76),"",VLOOKUP(D76,INDIRECT($F$8),6+(O83-1)*3,0))</f>
        <v>0</v>
      </c>
      <c r="C83" s="41"/>
      <c r="D83" s="41"/>
      <c r="E83" s="41"/>
      <c r="F83" s="7">
        <f ca="1">IF(ISERROR(F76),"",VLOOKUP(E76,INDIRECT($F$8),6+(O83-1)*3,0))</f>
        <v>0</v>
      </c>
      <c r="G83" s="42" t="str">
        <f ca="1">IF(ISERROR(F76),"",_xlfn.TEXTJOIN("/",FALSE,P83,S83))</f>
        <v>UTU/2406100178/0</v>
      </c>
      <c r="H83" s="42"/>
      <c r="I83" s="42" t="str">
        <f ca="1">IF(ISERROR(F76),"",_xlfn.TEXTJOIN("/",FALSE,Q83,T83))</f>
        <v>ANJALI PATWAL/0</v>
      </c>
      <c r="J83" s="42"/>
      <c r="K83" s="42" t="str">
        <f ca="1">IF(ISERROR(F76),"",_xlfn.TEXTJOIN("/",FALSE,R83,U83))</f>
        <v>0/0</v>
      </c>
      <c r="L83" s="42"/>
      <c r="M83" s="7" t="b">
        <f ca="1">IF(ISERROR(F76),"",IF(ISTEXT(P83),IF(P83="A","Ab",IF(P83="D","Dt",IF(P83="UFM","UFM",IF(P83="NA","")))),IF(AND(ISBLANK(P83),ISBLANK(R83)),"",IF(P83&lt;0.3*S83,"F",IF(ISBLANK(R83),"",IF(ISTEXT(R83),R83,IF(R83&gt;=0.9*U83,"O",IF(R83&gt;=0.85*U83,"A+",IF(R83&gt;=0.8*U83,"A",IF(R83&gt;=0.7*U83,"B+",IF(R83&gt;=0.6*U83,"B",IF(R83&gt;=0.5*U83,"C",IF(R83&gt;=0.4*U83,"P",IF(R83&lt;0.4*U83,"F",R83))))))))))))))</f>
        <v>0</v>
      </c>
      <c r="N83" s="8" t="e">
        <f t="shared" ca="1" si="8"/>
        <v>#N/A</v>
      </c>
      <c r="O83" t="b" cm="1">
        <f t="array" aca="1" ref="O83" ca="1">IF(NOT(ISBLANK(INDIRECT("SEM_III!L"&amp;INT((ROW(O83)-15)/17)+6))),3,IF(NOT(ISBLANK(INDIRECT("SEM_III!O"&amp;INT((ROW(O83)-15)/17)+6))),4))</f>
        <v>0</v>
      </c>
      <c r="P83" s="1" t="str">
        <f ca="1">IF(ISERROR(F76),"",IF(ISTEXT(VLOOKUP(B76,INDIRECT($F$8),6+(O83-1)*3)),(VLOOKUP(B76,INDIRECT($F$8),6+(O83-1)*3)),SUM(VLOOKUP(B76,INDIRECT($F$8),6+(O83-1)*3),IF(W89,W83,0))))</f>
        <v>UTU/2406100178</v>
      </c>
      <c r="Q83" s="1" t="str">
        <f ca="1">IF(ISERROR(F76),"",VLOOKUP(B76,INDIRECT($F$8),7+(O83-1)*3))</f>
        <v>ANJALI PATWAL</v>
      </c>
      <c r="R83" s="1">
        <f ca="1">IF(ISERROR(F76),"",SUM(P83:Q83))</f>
        <v>0</v>
      </c>
      <c r="S83" s="1">
        <f ca="1">IF(ISERROR(F76),"",VLOOKUP(A76,INDIRECT($F$8),6+(O83-1)*3))</f>
        <v>0</v>
      </c>
      <c r="T83" s="1">
        <f ca="1">IF(ISERROR(F76),"",VLOOKUP(A76,INDIRECT($F$8),7+(O83-1)*3))</f>
        <v>0</v>
      </c>
      <c r="U83" s="1">
        <f ca="1">IF(ISERROR(F76),"",VLOOKUP(A76,INDIRECT($F$8),8+(O83-1)*3))</f>
        <v>0</v>
      </c>
      <c r="V83" s="1" t="e">
        <f ca="1">IF(ISERROR(F76),"",IF(N83=0,A83,""))</f>
        <v>#N/A</v>
      </c>
      <c r="W83" s="1">
        <f ca="1">IF(ISERROR(F76),"",IF(ISTEXT(VLOOKUP(B76,INDIRECT($F$8),6+(O83-1)*3)),11,IF(VLOOKUP(B76,INDIRECT($F$8),6+(O83-1)*3)&lt;S83*0.3,IF(VLOOKUP(B76,INDIRECT($F$8),8+(O83-1)*3)&lt;U83*0.4,IF(AND(0.4*U83-VLOOKUP(B76,INDIRECT($F$8),8+(O83-1)*3)&lt;=5,0.3*S83-VLOOKUP(B76,INDIRECT($F$8),6+(O83-1)*3)&lt;=5),MAX(0.4*U83-VLOOKUP(B76,INDIRECT($F$8),8+(O83-1)*3),0.3*S83-VLOOKUP(B76,INDIRECT($F$8),6+(O83-1)*3)),11),IF(0.3*S83-VLOOKUP(B76,INDIRECT($F$8),6+(O83-1)*3)&lt;=5,0.3*S83-VLOOKUP(B76,INDIRECT($F$8),6+(O83-1)*3),11)),IF(VLOOKUP(B76,INDIRECT($F$8),8+(O83-1)*3)&lt;U83*0.4,IF(U83*0.4-VLOOKUP(B76,INDIRECT($F$8),8+(O83-1)*3)&lt;=5,U83*0.4-VLOOKUP(B76,INDIRECT($F$8),8+(O83-1)*3),11),0))))</f>
        <v>11</v>
      </c>
      <c r="X83" s="1" t="str">
        <f ca="1">IF(ISERROR(F76),"",IF(W83=0,"",_xlfn.TEXTJOIN("",FALSE," G+",W83," in ",A83)))</f>
        <v xml:space="preserve"> G+11 in Enroll No.</v>
      </c>
    </row>
    <row r="84" spans="1:24" ht="14.25" customHeight="1" x14ac:dyDescent="0.2">
      <c r="A84" s="7" t="str">
        <f ca="1">IF(ISERROR(F76),"",VLOOKUP(C76,INDIRECT($F$8),6+(O84-1)*3,0))</f>
        <v>Enroll No.</v>
      </c>
      <c r="B84" s="41">
        <f ca="1">IF(ISERROR(F76),"",VLOOKUP(D76,INDIRECT($F$8),6+(O84-1)*3,0))</f>
        <v>0</v>
      </c>
      <c r="C84" s="41"/>
      <c r="D84" s="41"/>
      <c r="E84" s="41"/>
      <c r="F84" s="7">
        <f ca="1">IF(ISERROR(F76),"",VLOOKUP(E76,INDIRECT($F$8),6+(O84-1)*3,0))</f>
        <v>0</v>
      </c>
      <c r="G84" s="42" t="str">
        <f ca="1">IF(ISERROR(F76),"",_xlfn.TEXTJOIN("/",FALSE,P84,S84))</f>
        <v>UTU/2406100178/0</v>
      </c>
      <c r="H84" s="42"/>
      <c r="I84" s="42" t="str">
        <f ca="1">IF(ISERROR(F76),"",_xlfn.TEXTJOIN("/",FALSE,Q84,T84))</f>
        <v>ANJALI PATWAL/0</v>
      </c>
      <c r="J84" s="42"/>
      <c r="K84" s="42" t="str">
        <f ca="1">IF(ISERROR(F76),"",_xlfn.TEXTJOIN("/",FALSE,R84,U84))</f>
        <v>0/0</v>
      </c>
      <c r="L84" s="42"/>
      <c r="M84" s="7" t="b">
        <f ca="1">IF(ISERROR(F76),"",IF(ISTEXT(P84),IF(P84="A","Ab",IF(P84="D","Dt",IF(P84="UFM","UFM",IF(P84="NA","")))),IF(AND(ISBLANK(P84),ISBLANK(R84)),"",IF(P84&lt;0.3*S84,"F",IF(ISBLANK(R84),"",IF(ISTEXT(R84),R84,IF(R84&gt;=0.9*U84,"O",IF(R84&gt;=0.85*U84,"A+",IF(R84&gt;=0.8*U84,"A",IF(R84&gt;=0.7*U84,"B+",IF(R84&gt;=0.6*U84,"B",IF(R84&gt;=0.5*U84,"C",IF(R84&gt;=0.4*U84,"P",IF(R84&lt;0.4*U84,"F",R84))))))))))))))</f>
        <v>0</v>
      </c>
      <c r="N84" s="8" t="e">
        <f t="shared" ca="1" si="8"/>
        <v>#N/A</v>
      </c>
      <c r="O84" t="b" cm="1">
        <f t="array" aca="1" ref="O84" ca="1">IF(NOT(ISBLANK(INDIRECT("SEM_III!R"&amp;INT((ROW(O84)-16)/17)+6))),5,IF(NOT(ISBLANK(INDIRECT("SEM_III!U"&amp;INT((ROW(O84)-16)/17)+6))),6))</f>
        <v>0</v>
      </c>
      <c r="P84" s="1" t="str">
        <f ca="1">IF(ISERROR(F76),"",IF(ISTEXT(VLOOKUP(B76,INDIRECT($F$8),6+(O84-1)*3)),(VLOOKUP(B76,INDIRECT($F$8),6+(O84-1)*3)),SUM(VLOOKUP(B76,INDIRECT($F$8),6+(O84-1)*3),IF(W89,W84,0))))</f>
        <v>UTU/2406100178</v>
      </c>
      <c r="Q84" s="1" t="str">
        <f ca="1">IF(ISERROR(F76),"",VLOOKUP(B76,INDIRECT($F$8),7+(O84-1)*3))</f>
        <v>ANJALI PATWAL</v>
      </c>
      <c r="R84" s="1">
        <f ca="1">IF(ISERROR(F76),"",SUM(P84:Q84))</f>
        <v>0</v>
      </c>
      <c r="S84" s="1">
        <f ca="1">IF(ISERROR(F76),"",VLOOKUP(A76,INDIRECT($F$8),6+(O84-1)*3))</f>
        <v>0</v>
      </c>
      <c r="T84" s="1">
        <f ca="1">IF(ISERROR(F76),"",VLOOKUP(A76,INDIRECT($F$8),7+(O84-1)*3))</f>
        <v>0</v>
      </c>
      <c r="U84" s="1">
        <f ca="1">IF(ISERROR(F76),"",VLOOKUP(A76,INDIRECT($F$8),8+(O84-1)*3))</f>
        <v>0</v>
      </c>
      <c r="V84" s="1" t="e">
        <f ca="1">IF(ISERROR(F76),"",IF(N84=0,A84,""))</f>
        <v>#N/A</v>
      </c>
      <c r="W84" s="1">
        <f ca="1">IF(ISERROR(F76),"",IF(ISTEXT(VLOOKUP(B76,INDIRECT($F$8),6+(O84-1)*3)),11,IF(VLOOKUP(B76,INDIRECT($F$8),6+(O84-1)*3)&lt;S84*0.3,IF(VLOOKUP(B76,INDIRECT($F$8),8+(O84-1)*3)&lt;U84*0.4,IF(AND(0.4*U84-VLOOKUP(B76,INDIRECT($F$8),8+(O84-1)*3)&lt;=5,0.3*S84-VLOOKUP(B76,INDIRECT($F$8),6+(O84-1)*3)&lt;=5),MAX(0.4*U84-VLOOKUP(B76,INDIRECT($F$8),8+(O84-1)*3),0.3*S84-VLOOKUP(B76,INDIRECT($F$8),6+(O84-1)*3)),11),IF(0.3*S84-VLOOKUP(B76,INDIRECT($F$8),6+(O84-1)*3)&lt;=5,0.3*S84-VLOOKUP(B76,INDIRECT($F$8),6+(O84-1)*3),11)),IF(VLOOKUP(B76,INDIRECT($F$8),8+(O84-1)*3)&lt;U84*0.4,IF(U84*0.4-VLOOKUP(B76,INDIRECT($F$8),8+(O84-1)*3)&lt;=5,U84*0.4-VLOOKUP(B76,INDIRECT($F$8),8+(O84-1)*3),11),0))))</f>
        <v>11</v>
      </c>
      <c r="X84" s="1" t="str">
        <f ca="1">IF(ISERROR(F76),"",IF(W84=0,"",_xlfn.TEXTJOIN("",FALSE," G+",W84," in ",A84)))</f>
        <v xml:space="preserve"> G+11 in Enroll No.</v>
      </c>
    </row>
    <row r="85" spans="1:24" ht="14.25" customHeight="1" x14ac:dyDescent="0.2">
      <c r="A85" s="7" t="str">
        <f ca="1">IF(ISERROR(F76),"",VLOOKUP(C76,INDIRECT($F$8),6+(O85-1)*3,0))</f>
        <v>AHT 310</v>
      </c>
      <c r="B85" s="41" t="str">
        <f ca="1">IF(ISERROR(F76),"",VLOOKUP(D76,INDIRECT($F$8),6+(O85-1)*3,0))</f>
        <v>Universal Human Value</v>
      </c>
      <c r="C85" s="41"/>
      <c r="D85" s="41"/>
      <c r="E85" s="41"/>
      <c r="F85" s="7">
        <f ca="1">IF(ISERROR(F76),"",VLOOKUP(E76,INDIRECT($F$8),6+(O85-1)*3,0))</f>
        <v>3</v>
      </c>
      <c r="G85" s="42" t="str">
        <f ca="1">IF(ISERROR(F76),"",_xlfn.TEXTJOIN("/",FALSE,P85,S85))</f>
        <v>0/100</v>
      </c>
      <c r="H85" s="42"/>
      <c r="I85" s="42" t="str">
        <f ca="1">IF(ISERROR(F76),"",_xlfn.TEXTJOIN("/",FALSE,Q85,T85))</f>
        <v>0/50</v>
      </c>
      <c r="J85" s="42"/>
      <c r="K85" s="42" t="str">
        <f ca="1">IF(ISERROR(F76),"",_xlfn.TEXTJOIN("/",FALSE,R85,U85))</f>
        <v>0/150</v>
      </c>
      <c r="L85" s="42"/>
      <c r="M85" s="7" t="str">
        <f ca="1">IF(ISERROR(F76),"",IF(ISTEXT(P85),IF(P85="A","Ab",IF(P85="D","Dt",IF(P85="UFM","UFM",IF(P85="NA","")))),IF(AND(ISBLANK(P85),ISBLANK(R85)),"",IF(P85&lt;0.3*S85,"F",IF(ISBLANK(R85),"",IF(ISTEXT(R85),R85,IF(R85&gt;=0.9*U85,"O",IF(R85&gt;=0.85*U85,"A+",IF(R85&gt;=0.8*U85,"A",IF(R85&gt;=0.7*U85,"B+",IF(R85&gt;=0.6*U85,"B",IF(R85&gt;=0.5*U85,"C",IF(R85&gt;=0.4*U85,"P",IF(R85&lt;0.4*U85,"F",R85))))))))))))))</f>
        <v>F</v>
      </c>
      <c r="N85" s="8">
        <f t="shared" ca="1" si="8"/>
        <v>0</v>
      </c>
      <c r="O85">
        <f ca="1">IF(O84&gt;0,7,"")</f>
        <v>7</v>
      </c>
      <c r="P85" s="1">
        <f ca="1">IF(ISERROR(F76),"",IF(ISTEXT(VLOOKUP(B76,INDIRECT($F$8),6+(O85-1)*3)),(VLOOKUP(B76,INDIRECT($F$8),6+(O85-1)*3)),SUM(VLOOKUP(B76,INDIRECT($F$8),6+(O85-1)*3),IF(W89,W85,0))))</f>
        <v>0</v>
      </c>
      <c r="Q85" s="1">
        <f ca="1">IF(ISERROR(F76),"",VLOOKUP(B76,INDIRECT($F$8),7+(O85-1)*3))</f>
        <v>0</v>
      </c>
      <c r="R85" s="1">
        <f ca="1">IF(ISERROR(F76),"",SUM(P85:Q85))</f>
        <v>0</v>
      </c>
      <c r="S85" s="1">
        <f ca="1">IF(ISERROR(F76),"",VLOOKUP(A76,INDIRECT($F$8),6+(O85-1)*3))</f>
        <v>100</v>
      </c>
      <c r="T85" s="1">
        <f ca="1">IF(ISERROR(F76),"",VLOOKUP(A76,INDIRECT($F$8),7+(O85-1)*3))</f>
        <v>50</v>
      </c>
      <c r="U85" s="1">
        <f ca="1">IF(ISERROR(F76),"",VLOOKUP(A76,INDIRECT($F$8),8+(O85-1)*3))</f>
        <v>150</v>
      </c>
      <c r="V85" s="1" t="str">
        <f ca="1">IF(ISERROR(F76),"",IF(N85=0,A85,""))</f>
        <v>AHT 310</v>
      </c>
      <c r="W85" s="1">
        <f ca="1">IF(ISERROR(F76),"",IF(ISTEXT(VLOOKUP(B76,INDIRECT($F$8),6+(O85-1)*3)),11,IF(VLOOKUP(B76,INDIRECT($F$8),6+(O85-1)*3)&lt;S85*0.3,IF(VLOOKUP(B76,INDIRECT($F$8),8+(O85-1)*3)&lt;U85*0.4,IF(AND(0.4*U85-VLOOKUP(B76,INDIRECT($F$8),8+(O85-1)*3)&lt;=5,0.3*S85-VLOOKUP(B76,INDIRECT($F$8),6+(O85-1)*3)&lt;=5),MAX(0.4*U85-VLOOKUP(B76,INDIRECT($F$8),8+(O85-1)*3),0.3*S85-VLOOKUP(B76,INDIRECT($F$8),6+(O85-1)*3)),11),IF(0.3*S85-VLOOKUP(B76,INDIRECT($F$8),6+(O85-1)*3)&lt;=5,0.3*S85-VLOOKUP(B76,INDIRECT($F$8),6+(O85-1)*3),11)),IF(VLOOKUP(B76,INDIRECT($F$8),8+(O85-1)*3)&lt;U85*0.4,IF(U85*0.4-VLOOKUP(B76,INDIRECT($F$8),8+(O85-1)*3)&lt;=5,U85*0.4-VLOOKUP(B76,INDIRECT($F$8),8+(O85-1)*3),11),0))))</f>
        <v>11</v>
      </c>
      <c r="X85" s="1" t="str">
        <f ca="1">IF(ISERROR(F76),"",IF(W85=0,"",_xlfn.TEXTJOIN("",FALSE," G+",W85," in ",A85)))</f>
        <v xml:space="preserve"> G+11 in AHT 310</v>
      </c>
    </row>
    <row r="86" spans="1:24" ht="14.25" customHeight="1" x14ac:dyDescent="0.2">
      <c r="A86" s="7" t="str">
        <f ca="1">IF(ISERROR(F76),"",VLOOKUP(C76,INDIRECT($F$8),6+(O86-1)*3,0))</f>
        <v>CAP 008</v>
      </c>
      <c r="B86" s="41" t="str">
        <f ca="1">IF(ISERROR(F76),"",VLOOKUP(D76,INDIRECT($F$8),6+(O86-1)*3,0))</f>
        <v>Software Engineering Lab</v>
      </c>
      <c r="C86" s="41"/>
      <c r="D86" s="41"/>
      <c r="E86" s="41"/>
      <c r="F86" s="7">
        <f ca="1">IF(ISERROR(F76),"",VLOOKUP(E76,INDIRECT($F$8),6+(O86-1)*3,0))</f>
        <v>1</v>
      </c>
      <c r="G86" s="42" t="str">
        <f ca="1">IF(ISERROR(F76),"",_xlfn.TEXTJOIN("/",FALSE,P86,S86))</f>
        <v>0/30</v>
      </c>
      <c r="H86" s="42"/>
      <c r="I86" s="42" t="str">
        <f ca="1">IF(ISERROR(F76),"",_xlfn.TEXTJOIN("/",FALSE,Q86,T86))</f>
        <v>0/20</v>
      </c>
      <c r="J86" s="42"/>
      <c r="K86" s="42" t="str">
        <f ca="1">IF(ISERROR(F76),"",_xlfn.TEXTJOIN("/",FALSE,R86,U86))</f>
        <v>0/50</v>
      </c>
      <c r="L86" s="42"/>
      <c r="M86" s="7" t="str">
        <f ca="1">IF(ISERROR(F76),"",IF(ISTEXT(P86),IF(P86="A","Ab",IF(P86="D","Dt",IF(P86="UFM","UFM",IF(P86="NA","")))),IF(AND(ISBLANK(P86),ISBLANK(R86)),"",IF(P86&lt;0.3*S86,"F",IF(ISBLANK(R86),"",IF(ISTEXT(R86),R86,IF(R86&gt;=0.9*U86,"O",IF(R86&gt;=0.85*U86,"A+",IF(R86&gt;=0.8*U86,"A",IF(R86&gt;=0.7*U86,"B+",IF(R86&gt;=0.6*U86,"B",IF(R86&gt;=0.5*U86,"C",IF(R86&gt;=0.4*U86,"P",IF(R86&lt;0.4*U86,"F",R86))))))))))))))</f>
        <v>F</v>
      </c>
      <c r="N86" s="8">
        <f t="shared" ca="1" si="8"/>
        <v>0</v>
      </c>
      <c r="O86">
        <f t="shared" ref="O86:O88" ca="1" si="9">O85+1</f>
        <v>8</v>
      </c>
      <c r="P86" s="1">
        <f ca="1">IF(ISERROR(F76),"",IF(ISTEXT(VLOOKUP(B76,INDIRECT($F$8),6+(O86-1)*3)),(VLOOKUP(B76,INDIRECT($F$8),6+(O86-1)*3)),SUM(VLOOKUP(B76,INDIRECT($F$8),6+(O86-1)*3),IF(W89,W86,0))))</f>
        <v>0</v>
      </c>
      <c r="Q86" s="1">
        <f ca="1">IF(ISERROR(F76),"",VLOOKUP(B76,INDIRECT($F$8),7+(O86-1)*3))</f>
        <v>0</v>
      </c>
      <c r="R86" s="1">
        <f ca="1">IF(ISERROR(F76),"",SUM(P86:Q86))</f>
        <v>0</v>
      </c>
      <c r="S86" s="1">
        <f ca="1">IF(ISERROR(F76),"",VLOOKUP(A76,INDIRECT($F$8),6+(O86-1)*3))</f>
        <v>30</v>
      </c>
      <c r="T86" s="1">
        <f ca="1">IF(ISERROR(F76),"",VLOOKUP(A76,INDIRECT($F$8),7+(O86-1)*3))</f>
        <v>20</v>
      </c>
      <c r="U86" s="1">
        <f ca="1">IF(ISERROR(F76),"",VLOOKUP(A76,INDIRECT($F$8),8+(O86-1)*3))</f>
        <v>50</v>
      </c>
      <c r="V86" s="1" t="str">
        <f ca="1">IF(ISERROR(F76),"",IF(N86=0,A86,""))</f>
        <v>CAP 008</v>
      </c>
      <c r="W86" s="1">
        <f ca="1">IF(ISERROR(F76),"",IF(ISTEXT(VLOOKUP(B76,INDIRECT($F$8),6+(O86-1)*3)),11,IF(VLOOKUP(B76,INDIRECT($F$8),6+(O86-1)*3)&lt;S86*0.3,IF(VLOOKUP(B76,INDIRECT($F$8),8+(O86-1)*3)&lt;U86*0.4,IF(AND(0.4*U86-VLOOKUP(B76,INDIRECT($F$8),8+(O86-1)*3)&lt;=5,0.3*S86-VLOOKUP(B76,INDIRECT($F$8),6+(O86-1)*3)&lt;=5),MAX(0.4*U86-VLOOKUP(B76,INDIRECT($F$8),8+(O86-1)*3),0.3*S86-VLOOKUP(B76,INDIRECT($F$8),6+(O86-1)*3)),11),IF(0.3*S86-VLOOKUP(B76,INDIRECT($F$8),6+(O86-1)*3)&lt;=5,0.3*S86-VLOOKUP(B76,INDIRECT($F$8),6+(O86-1)*3),11)),IF(VLOOKUP(B76,INDIRECT($F$8),8+(O86-1)*3)&lt;U86*0.4,IF(U86*0.4-VLOOKUP(B76,INDIRECT($F$8),8+(O86-1)*3)&lt;=5,U86*0.4-VLOOKUP(B76,INDIRECT($F$8),8+(O86-1)*3),11),0))))</f>
        <v>11</v>
      </c>
      <c r="X86" s="1" t="str">
        <f ca="1">IF(ISERROR(F76),"",IF(W86=0,"",_xlfn.TEXTJOIN("",FALSE," G+",W86," in ",A86)))</f>
        <v xml:space="preserve"> G+11 in CAP 008</v>
      </c>
    </row>
    <row r="87" spans="1:24" ht="14.25" customHeight="1" x14ac:dyDescent="0.2">
      <c r="A87" s="7" t="str">
        <f ca="1">IF(ISERROR(F76),"",VLOOKUP(C76,INDIRECT($F$8),6+(O87-1)*3,0))</f>
        <v>CAP 009</v>
      </c>
      <c r="B87" s="41" t="str">
        <f ca="1">IF(ISERROR(F76),"",VLOOKUP(D76,INDIRECT($F$8),6+(O87-1)*3,0))</f>
        <v>Seminar</v>
      </c>
      <c r="C87" s="41"/>
      <c r="D87" s="41"/>
      <c r="E87" s="41"/>
      <c r="F87" s="7">
        <f ca="1">IF(ISERROR(F76),"",VLOOKUP(E76,INDIRECT($F$8),6+(O87-1)*3,0))</f>
        <v>2</v>
      </c>
      <c r="G87" s="42" t="str">
        <f ca="1">IF(ISERROR(F76),"",_xlfn.TEXTJOIN("/",FALSE,P87,S87))</f>
        <v>0/0</v>
      </c>
      <c r="H87" s="42"/>
      <c r="I87" s="42" t="str">
        <f ca="1">IF(ISERROR(F76),"",_xlfn.TEXTJOIN("/",FALSE,Q87,T87))</f>
        <v>0/100</v>
      </c>
      <c r="J87" s="42"/>
      <c r="K87" s="42" t="str">
        <f ca="1">IF(ISERROR(F76),"",_xlfn.TEXTJOIN("/",FALSE,R87,U87))</f>
        <v>0/100</v>
      </c>
      <c r="L87" s="42"/>
      <c r="M87" s="7" t="str">
        <f ca="1">IF(ISERROR(F76),"",IF(ISTEXT(P87),IF(P87="A","Ab",IF(P87="D","Dt",IF(P87="UFM","UFM",IF(P87="NA","")))),IF(AND(ISBLANK(P87),ISBLANK(R87)),"",IF(P87&lt;0.3*S87,"F",IF(ISBLANK(R87),"",IF(ISTEXT(R87),R87,IF(R87&gt;=0.9*U87,"O",IF(R87&gt;=0.85*U87,"A+",IF(R87&gt;=0.8*U87,"A",IF(R87&gt;=0.7*U87,"B+",IF(R87&gt;=0.6*U87,"B",IF(R87&gt;=0.5*U87,"C",IF(R87&gt;=0.4*U87,"P",IF(R87&lt;0.4*U87,"F",R87))))))))))))))</f>
        <v>F</v>
      </c>
      <c r="N87" s="8">
        <f t="shared" ca="1" si="8"/>
        <v>0</v>
      </c>
      <c r="O87">
        <f t="shared" ca="1" si="9"/>
        <v>9</v>
      </c>
      <c r="P87" s="1">
        <f ca="1">IF(ISERROR(F76),"",IF(ISTEXT(VLOOKUP(B76,INDIRECT($F$8),6+(O87-1)*3)),(VLOOKUP(B76,INDIRECT($F$8),6+(O87-1)*3)),SUM(VLOOKUP(B76,INDIRECT($F$8),6+(O87-1)*3),IF(W89,W87,0))))</f>
        <v>0</v>
      </c>
      <c r="Q87" s="1">
        <f ca="1">IF(ISERROR(F76),"",VLOOKUP(B76,INDIRECT($F$8),7+(O87-1)*3))</f>
        <v>0</v>
      </c>
      <c r="R87" s="1">
        <f ca="1">IF(ISERROR(F76),"",SUM(P87:Q87))</f>
        <v>0</v>
      </c>
      <c r="S87" s="1">
        <f ca="1">IF(ISERROR(F76),"",VLOOKUP(A76,INDIRECT($F$8),6+(O87-1)*3))</f>
        <v>0</v>
      </c>
      <c r="T87" s="1">
        <f ca="1">IF(ISERROR(F76),"",VLOOKUP(A76,INDIRECT($F$8),7+(O87-1)*3))</f>
        <v>100</v>
      </c>
      <c r="U87" s="1">
        <f ca="1">IF(ISERROR(F76),"",VLOOKUP(A76,INDIRECT($F$8),8+(O87-1)*3))</f>
        <v>100</v>
      </c>
      <c r="V87" s="1" t="str">
        <f ca="1">IF(ISERROR(F76),"",IF(N87=0,A87,""))</f>
        <v>CAP 009</v>
      </c>
      <c r="W87" s="1">
        <f ca="1">IF(ISERROR(F76),"",IF(ISTEXT(VLOOKUP(B76,INDIRECT($F$8),6+(O87-1)*3)),11,IF(VLOOKUP(B76,INDIRECT($F$8),6+(O87-1)*3)&lt;S87*0.3,IF(VLOOKUP(B76,INDIRECT($F$8),8+(O87-1)*3)&lt;U87*0.4,IF(AND(0.4*U87-VLOOKUP(B76,INDIRECT($F$8),8+(O87-1)*3)&lt;=5,0.3*S87-VLOOKUP(B76,INDIRECT($F$8),6+(O87-1)*3)&lt;=5),MAX(0.4*U87-VLOOKUP(B76,INDIRECT($F$8),8+(O87-1)*3),0.3*S87-VLOOKUP(B76,INDIRECT($F$8),6+(O87-1)*3)),11),IF(0.3*S87-VLOOKUP(B76,INDIRECT($F$8),6+(O87-1)*3)&lt;=5,0.3*S87-VLOOKUP(B76,INDIRECT($F$8),6+(O87-1)*3),11)),IF(VLOOKUP(B76,INDIRECT($F$8),8+(O87-1)*3)&lt;U87*0.4,IF(U87*0.4-VLOOKUP(B76,INDIRECT($F$8),8+(O87-1)*3)&lt;=5,U87*0.4-VLOOKUP(B76,INDIRECT($F$8),8+(O87-1)*3),11),0))))</f>
        <v>11</v>
      </c>
      <c r="X87" s="1" t="str">
        <f ca="1">IF(ISERROR(F76),"",IF(W87=0,"",_xlfn.TEXTJOIN("",FALSE," G+",W87," in ",A87)))</f>
        <v xml:space="preserve"> G+11 in CAP 009</v>
      </c>
    </row>
    <row r="88" spans="1:24" ht="14.25" customHeight="1" x14ac:dyDescent="0.2">
      <c r="A88" s="7" t="str">
        <f ca="1">IF(ISERROR(F76),"",VLOOKUP(C76,INDIRECT($F$8),6+(O88-1)*3,0))</f>
        <v>CAP 010</v>
      </c>
      <c r="B88" s="41" t="str">
        <f ca="1">IF(ISERROR(F76),"",VLOOKUP(D76,INDIRECT($F$8),6+(O88-1)*3-Z88,0))</f>
        <v>Minor Project</v>
      </c>
      <c r="C88" s="41"/>
      <c r="D88" s="41"/>
      <c r="E88" s="41"/>
      <c r="F88" s="7">
        <f ca="1">IF(ISERROR(F76),"",VLOOKUP(E76,INDIRECT($F$8),6+(O88-1)*3,0))</f>
        <v>2</v>
      </c>
      <c r="G88" s="42" t="str">
        <f ca="1">IF(ISERROR(F76),"",_xlfn.TEXTJOIN("/",FALSE,P88,S88))</f>
        <v>0/50</v>
      </c>
      <c r="H88" s="42"/>
      <c r="I88" s="42" t="str">
        <f ca="1">IF(ISERROR(F76),"",_xlfn.TEXTJOIN("/",FALSE,Q88,T88))</f>
        <v>0/50</v>
      </c>
      <c r="J88" s="42"/>
      <c r="K88" s="42" t="str">
        <f ca="1">IF(ISERROR(F76),"",_xlfn.TEXTJOIN("/",FALSE,R88,U88))</f>
        <v>0/100</v>
      </c>
      <c r="L88" s="42"/>
      <c r="M88" s="7" t="str">
        <f ca="1">IF(ISERROR(F76),"",IF(ISTEXT(P88),IF(P88="A","Ab",IF(P88="D","Dt",IF(P88="UFM","UFM",IF(P88="NA","")))),IF(AND(ISBLANK(P88),ISBLANK(R88)),"",IF(P88&lt;0.3*S88,"F",IF(ISBLANK(R88),"",IF(ISTEXT(R88),R88,IF(R88&gt;=0.9*U88,"O",IF(R88&gt;=0.85*U88,"A+",IF(R88&gt;=0.8*U88,"A",IF(R88&gt;=0.7*U88,"B+",IF(R88&gt;=0.6*U88,"B",IF(R88&gt;=0.5*U88,"C",IF(R88&gt;=0.4*U88,"P",IF(R88&lt;0.4*U88,"F",R88))))))))))))))</f>
        <v>F</v>
      </c>
      <c r="N88" s="8">
        <f t="shared" ca="1" si="8"/>
        <v>0</v>
      </c>
      <c r="O88">
        <f t="shared" ca="1" si="9"/>
        <v>10</v>
      </c>
      <c r="P88" s="1">
        <f ca="1">IF(ISERROR(F76),"",IF(ISTEXT(VLOOKUP(B76,INDIRECT($F$8),6+(O88-1)*3)),(VLOOKUP(B76,INDIRECT($F$8),6+(O88-1)*3)),SUM(VLOOKUP(B76,INDIRECT($F$8),6+(O88-1)*3),IF(W89,W88,0))))</f>
        <v>0</v>
      </c>
      <c r="Q88" s="1">
        <f ca="1">IF(ISERROR(F76),"",VLOOKUP(B76,INDIRECT($F$8),7+(O88-1)*3))</f>
        <v>0</v>
      </c>
      <c r="R88" s="1">
        <f ca="1">IF(ISERROR(F76),"",SUM(P88:Q88))</f>
        <v>0</v>
      </c>
      <c r="S88" s="1">
        <f ca="1">IF(ISERROR(F76),"",VLOOKUP(A76,INDIRECT($F$8),6+(O88-1)*3))</f>
        <v>50</v>
      </c>
      <c r="T88" s="1">
        <f ca="1">IF(ISERROR(F76),"",VLOOKUP(A76,INDIRECT($F$8),7+(O88-1)*3))</f>
        <v>50</v>
      </c>
      <c r="U88" s="1">
        <f ca="1">IF(ISERROR(F76),"",VLOOKUP(A76,INDIRECT($F$8),8+(O88-1)*3))</f>
        <v>100</v>
      </c>
      <c r="V88" s="1" t="str">
        <f ca="1">IF(ISERROR(F76),"",IF(N88=0,A88,""))</f>
        <v>CAP 010</v>
      </c>
      <c r="W88" s="1">
        <f ca="1">IF(ISERROR(F76),"",IF(ISTEXT(VLOOKUP(B76,INDIRECT($F$8),6+(O88-1)*3)),11,IF(VLOOKUP(B76,INDIRECT($F$8),6+(O88-1)*3)&lt;S88*0.3,IF(VLOOKUP(B76,INDIRECT($F$8),8+(O88-1)*3)&lt;U88*0.4,IF(AND(0.4*U88-VLOOKUP(B76,INDIRECT($F$8),8+(O88-1)*3)&lt;=5,0.3*S88-VLOOKUP(B76,INDIRECT($F$8),6+(O88-1)*3)&lt;=5),MAX(0.4*U88-VLOOKUP(B76,INDIRECT($F$8),8+(O88-1)*3),0.3*S88-VLOOKUP(B76,INDIRECT($F$8),6+(O88-1)*3)),11),IF(0.3*S88-VLOOKUP(B76,INDIRECT($F$8),6+(O88-1)*3)&lt;=5,0.3*S88-VLOOKUP(B76,INDIRECT($F$8),6+(O88-1)*3),11)),IF(VLOOKUP(B76,INDIRECT($F$8),8+(O88-1)*3)&lt;U88*0.4,IF(U88*0.4-VLOOKUP(B76,INDIRECT($F$8),8+(O88-1)*3)&lt;=5,U88*0.4-VLOOKUP(B76,INDIRECT($F$8),8+(O88-1)*3),11),0))))</f>
        <v>11</v>
      </c>
      <c r="X88" s="1" t="str">
        <f ca="1">IF(ISERROR(F76),"",IF(W88=0,"",_xlfn.TEXTJOIN("",FALSE," G+",W88," in ",A88)))</f>
        <v xml:space="preserve"> G+11 in CAP 010</v>
      </c>
    </row>
    <row r="89" spans="1:24" ht="14.25" customHeight="1" x14ac:dyDescent="0.2">
      <c r="A89" s="43" t="str">
        <f ca="1">IF(ISERROR(F76),"",A72)</f>
        <v>Total Credits/ Marks/ Total Grade Points</v>
      </c>
      <c r="B89" s="43"/>
      <c r="C89" s="43"/>
      <c r="D89" s="43"/>
      <c r="E89" s="43"/>
      <c r="F89" s="10">
        <f ca="1">IF(ISERROR(F76),"",SUM(F81:F88))</f>
        <v>16</v>
      </c>
      <c r="G89" s="44" t="str">
        <f ca="1">IF(ISERROR(F76),"",_xlfn.TEXTJOIN("/",TRUE,SUMIF(F81:F88,"&gt;0",P81:P88),SUMIF(F81:F88,"&gt;0",S81:S88)))</f>
        <v>0/380</v>
      </c>
      <c r="H89" s="44"/>
      <c r="I89" s="44" t="str">
        <f ca="1">IF(ISERROR(F76),"",_xlfn.TEXTJOIN("/",TRUE,SUMIF(F81:F88,"&gt;0",Q81:Q88),SUMIF(F81:F88,"&gt;0",T81:T88)))</f>
        <v>0/320</v>
      </c>
      <c r="J89" s="44"/>
      <c r="K89" s="44" t="str">
        <f ca="1">IF(ISERROR(F76),"",_xlfn.TEXTJOIN("/",TRUE,SUMIF(F81:F88,"&gt;0",R81:R88),SUMIF(F81:F88,"&gt;0",U81:U88)))</f>
        <v>0/700</v>
      </c>
      <c r="L89" s="44"/>
      <c r="M89" s="43" t="e">
        <f ca="1">IF(ISERROR(F76),"",SUMPRODUCT(N81:N88,F81:F88))</f>
        <v>#N/A</v>
      </c>
      <c r="N89" s="43"/>
      <c r="V89" s="1" t="e">
        <f ca="1">IF(ISERROR(F76),"",_xlfn.TEXTJOIN(", ",TRUE,V81:V88))</f>
        <v>#N/A</v>
      </c>
      <c r="W89" t="b">
        <f ca="1">IF(ISERROR(F76),"",IF(SUM(W81:W88)&lt;=W80,TRUE,FALSE))</f>
        <v>0</v>
      </c>
      <c r="X89" s="1" t="str">
        <f ca="1">IF(ISERROR(F76),"",_xlfn.TEXTJOIN(",",TRUE,X81:X88))</f>
        <v xml:space="preserve"> G+11 in CAT  014, G+11 in CAT 015, G+11 in Enroll No., G+11 in Enroll No., G+11 in AHT 310, G+11 in CAP 008, G+11 in CAP 009, G+11 in CAP 010</v>
      </c>
    </row>
    <row r="90" spans="1:24" ht="14.25" customHeight="1" x14ac:dyDescent="0.2">
      <c r="A90" s="43" t="str">
        <f ca="1">IF(ISERROR(F76),"",A73)</f>
        <v>Result:</v>
      </c>
      <c r="B90" s="45" t="e">
        <f ca="1">IF(ISERROR(F76),"",IF(V89="","PASS","CARRY OVER"))</f>
        <v>#N/A</v>
      </c>
      <c r="C90" s="45"/>
      <c r="D90" s="43" t="str">
        <f ca="1">IF(ISERROR(F76),"",D73)</f>
        <v>Remark:</v>
      </c>
      <c r="E90" s="45" t="e">
        <f ca="1">IF(ISERROR(F76),"",IF(V89="",IF(X89="","",X89),_xlfn.TEXTJOIN(" ",TRUE,"BACK IN",V89)))</f>
        <v>#N/A</v>
      </c>
      <c r="F90" s="45"/>
      <c r="G90" s="43" t="str">
        <f ca="1">IF(ISERROR(F76),"",G73)</f>
        <v>SGPA:</v>
      </c>
      <c r="H90" s="46" t="e">
        <f ca="1">IF(ISERROR(F76),"",M89/F89)</f>
        <v>#N/A</v>
      </c>
      <c r="I90" s="43" t="str">
        <f ca="1">IF(ISERROR(F76),"",I73)</f>
        <v>CGPA:</v>
      </c>
      <c r="J90" s="46" t="e">
        <f ca="1">IF(ISERROR(F76),"",VLOOKUP(B76,INDIRECT($F$8),12+(O88-1)*3,0))</f>
        <v>#N/A</v>
      </c>
      <c r="K90" s="45" t="str">
        <f ca="1">IF(ISERROR(F76),"",K73)</f>
        <v>Earned Credits:</v>
      </c>
      <c r="L90" s="43">
        <f ca="1">IF(ISERROR(F76),"",SUMIF(N81:N88,"&gt;0",F81:F88))</f>
        <v>0</v>
      </c>
      <c r="M90" s="45" t="str">
        <f ca="1">IF(ISERROR(F76),"",M73)</f>
        <v>Cuml. Earned Credits:</v>
      </c>
      <c r="N90" s="43" t="e">
        <f ca="1">IF(ISERROR(F76),"",VLOOKUP(B76,INDIRECT($F$8),10+(O88-1)*3,0))</f>
        <v>#N/A</v>
      </c>
    </row>
    <row r="91" spans="1:24" ht="14.25" customHeight="1" x14ac:dyDescent="0.2">
      <c r="A91" s="43"/>
      <c r="B91" s="45"/>
      <c r="C91" s="45"/>
      <c r="D91" s="43"/>
      <c r="E91" s="45"/>
      <c r="F91" s="45"/>
      <c r="G91" s="43"/>
      <c r="H91" s="46"/>
      <c r="I91" s="43"/>
      <c r="J91" s="46"/>
      <c r="K91" s="45"/>
      <c r="L91" s="43"/>
      <c r="M91" s="45"/>
      <c r="N91" s="43"/>
    </row>
    <row r="92" spans="1:24" ht="14.25" customHeight="1" x14ac:dyDescent="0.2">
      <c r="A92" s="43"/>
      <c r="B92" s="45"/>
      <c r="C92" s="45"/>
      <c r="D92" s="43"/>
      <c r="E92" s="45"/>
      <c r="F92" s="45"/>
      <c r="G92" s="43"/>
      <c r="H92" s="46"/>
      <c r="I92" s="43"/>
      <c r="J92" s="46"/>
      <c r="K92" s="45"/>
      <c r="L92" s="43"/>
      <c r="M92" s="45"/>
      <c r="N92" s="43"/>
    </row>
    <row r="93" spans="1:24" ht="14.25" customHeight="1" x14ac:dyDescent="0.2">
      <c r="A93" s="11" t="str">
        <f>A76</f>
        <v>MM</v>
      </c>
      <c r="B93" s="11">
        <f>B76+1</f>
        <v>6</v>
      </c>
      <c r="C93" s="11" t="str">
        <f>C76</f>
        <v>SC</v>
      </c>
      <c r="D93" s="11" t="str">
        <f>D76</f>
        <v>SN</v>
      </c>
      <c r="E93" s="11" t="str">
        <f>E76</f>
        <v>C</v>
      </c>
      <c r="F93" s="11" t="str">
        <f ca="1">VLOOKUP(B93,INDIRECT($F$8),4,0)</f>
        <v>ASMIT BHATT</v>
      </c>
    </row>
    <row r="94" spans="1:24" ht="14.25" customHeight="1" x14ac:dyDescent="0.2">
      <c r="A94" s="47" t="str">
        <f ca="1">IF(ISERROR(F93),"",A77)</f>
        <v>Name:</v>
      </c>
      <c r="B94" s="47" t="str">
        <f ca="1">IFERROR(VLOOKUP(B93,INDIRECT($F$8),4,0),"")</f>
        <v>ASMIT BHATT</v>
      </c>
      <c r="C94" s="47"/>
      <c r="D94" s="47" t="str">
        <f ca="1">IF(ISERROR(F93),"",D77)</f>
        <v>Father's Name:</v>
      </c>
      <c r="E94" s="47" t="str">
        <f ca="1">IFERROR(VLOOKUP(B93,INDIRECT($F$8),5,0),"")</f>
        <v>JANARDHAN BHATT</v>
      </c>
      <c r="F94" s="47"/>
      <c r="G94" s="47" t="str">
        <f ca="1">IF(ISERROR(F93),"",G77)</f>
        <v>University Roll No:</v>
      </c>
      <c r="H94" s="47"/>
      <c r="I94" s="48">
        <f ca="1">IFERROR(VLOOKUP(B93,INDIRECT($F$8),2,0),"")</f>
        <v>240090600006</v>
      </c>
      <c r="J94" s="48"/>
      <c r="K94" s="47" t="str">
        <f ca="1">IF(ISERROR(F93),"",K77)</f>
        <v>University Enrol. No:</v>
      </c>
      <c r="L94" s="47"/>
      <c r="M94" s="48" t="str">
        <f ca="1">IFERROR(VLOOKUP(B93,INDIRECT($F$8),3,0),"")</f>
        <v>UTU/2406100179</v>
      </c>
      <c r="N94" s="48"/>
    </row>
    <row r="95" spans="1:24" ht="14.25" customHeight="1" x14ac:dyDescent="0.2">
      <c r="A95" s="47"/>
      <c r="B95" s="47"/>
      <c r="C95" s="47"/>
      <c r="D95" s="47"/>
      <c r="E95" s="47"/>
      <c r="F95" s="47"/>
      <c r="G95" s="47"/>
      <c r="H95" s="47"/>
      <c r="I95" s="48"/>
      <c r="J95" s="48"/>
      <c r="K95" s="47"/>
      <c r="L95" s="47"/>
      <c r="M95" s="48"/>
      <c r="N95" s="48"/>
    </row>
    <row r="96" spans="1:24" ht="14.25" customHeight="1" x14ac:dyDescent="0.2">
      <c r="A96" s="45" t="str">
        <f ca="1">IF(ISERROR(F93),"",A79)</f>
        <v>Subject Code</v>
      </c>
      <c r="B96" s="45" t="str">
        <f ca="1">IF(ISERROR(F93),"",B79)</f>
        <v>Subject Name</v>
      </c>
      <c r="C96" s="45"/>
      <c r="D96" s="45"/>
      <c r="E96" s="45"/>
      <c r="F96" s="45" t="str">
        <f ca="1">IF(ISERROR(F93),"",F79)</f>
        <v>Credits</v>
      </c>
      <c r="G96" s="45" t="str">
        <f ca="1">IF(ISERROR(F93),"",G79)</f>
        <v>External Marks</v>
      </c>
      <c r="H96" s="45"/>
      <c r="I96" s="45" t="str">
        <f ca="1">IF(ISERROR(F93),"",I79)</f>
        <v>Sessional Marks</v>
      </c>
      <c r="J96" s="45"/>
      <c r="K96" s="45" t="str">
        <f ca="1">IF(ISERROR(F93),"",K79)</f>
        <v>Total Marks</v>
      </c>
      <c r="L96" s="45"/>
      <c r="M96" s="45" t="str">
        <f ca="1">IF(ISERROR(F93),"",M79)</f>
        <v>Grade</v>
      </c>
      <c r="N96" s="45" t="str">
        <f ca="1">IF(ISERROR(F93),"",N79)</f>
        <v>Grade Points</v>
      </c>
    </row>
    <row r="97" spans="1:24" ht="14.25" customHeight="1" x14ac:dyDescent="0.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W97">
        <f ca="1">IF(ISNUMBER(MATCH($F$8,{"I","III","V","VII"},0)),10,10-INDEX(INDIRECT(_xlfn.TEXTJOIN("",TRUE,"SEM_",$G$8,"!",ADDRESS(6,4+$I$8*3+4),":",ADDRESS(5+$H$8,4+$I$8*3+4))),MATCH(INDIRECT(_xlfn.TEXTJOIN("",TRUE,"TC_",$F$8,"!",ADDRESS(ROW(I94),COLUMN(I94)))),INDIRECT(_xlfn.TEXTJOIN("",TRUE,"SEM_",$G$8,"!",ADDRESS(6,2),":",ADDRESS(5+$H$8,2))))))</f>
        <v>10</v>
      </c>
    </row>
    <row r="98" spans="1:24" ht="14.25" customHeight="1" x14ac:dyDescent="0.2">
      <c r="A98" s="7" t="str">
        <f ca="1">IF(ISERROR(F93),"",VLOOKUP(C93,INDIRECT($F$8),6+(O98-1)*3,0))</f>
        <v>CAT  014</v>
      </c>
      <c r="B98" s="41" t="str">
        <f ca="1">IF(ISERROR(F93),"",VLOOKUP(D93,INDIRECT($F$8),6+(O98-1)*3,0))</f>
        <v>Graph Theory</v>
      </c>
      <c r="C98" s="41"/>
      <c r="D98" s="41"/>
      <c r="E98" s="41"/>
      <c r="F98" s="7">
        <f ca="1">IF(ISERROR(F93),"",VLOOKUP(E93,INDIRECT($F$8),6+(O98-1)*3,0))</f>
        <v>4</v>
      </c>
      <c r="G98" s="42" t="str">
        <f ca="1">IF(ISERROR(F93),"",_xlfn.TEXTJOIN("/",FALSE,P98,S98))</f>
        <v>0/100</v>
      </c>
      <c r="H98" s="42"/>
      <c r="I98" s="42" t="str">
        <f ca="1">IF(ISERROR(F93),"",_xlfn.TEXTJOIN("/",FALSE,Q98,T98))</f>
        <v>0/50</v>
      </c>
      <c r="J98" s="42"/>
      <c r="K98" s="42" t="str">
        <f ca="1">IF(ISERROR(F93),"",_xlfn.TEXTJOIN("/",FALSE,R98,U98))</f>
        <v>0/150</v>
      </c>
      <c r="L98" s="42"/>
      <c r="M98" s="7" t="str">
        <f ca="1">IF(ISERROR(F93),"",IF(ISTEXT(P98),IF(P98="A","Ab",IF(P98="D","Dt",IF(P98="UFM","UFM",IF(P98="NA","")))),IF(AND(ISBLANK(P98),ISBLANK(R98)),"",IF(P98&lt;0.3*S98,"F",IF(ISBLANK(R98),"",IF(ISTEXT(R98),R98,IF(R98&gt;=0.9*U98,"O",IF(R98&gt;=0.85*U98,"A+",IF(R98&gt;=0.8*U98,"A",IF(R98&gt;=0.7*U98,"B+",IF(R98&gt;=0.6*U98,"B",IF(R98&gt;=0.5*U98,"C",IF(R98&gt;=0.4*U98,"P",IF(R98&lt;0.4*U98,"F",R98))))))))))))))</f>
        <v>F</v>
      </c>
      <c r="N98" s="8">
        <f t="shared" ref="N98:N105" ca="1" si="10">INDEX($Z$2:$Z$13,MATCH(M98,$Y$2:$Y$13,0))</f>
        <v>0</v>
      </c>
      <c r="O98">
        <v>1</v>
      </c>
      <c r="P98" s="1">
        <f ca="1">IF(ISERROR(F93),"",IF(ISTEXT(VLOOKUP(B93,INDIRECT($F$8),6+(O98-1)*3)),(VLOOKUP(B93,INDIRECT($F$8),6+(O98-1)*3)),SUM(VLOOKUP(B93,INDIRECT($F$8),6+(O98-1)*3),IF(W106,W98,0))))</f>
        <v>0</v>
      </c>
      <c r="Q98" s="1">
        <f ca="1">IF(ISERROR(F93),"",VLOOKUP(B93,INDIRECT($F$8),7+(O98-1)*3))</f>
        <v>0</v>
      </c>
      <c r="R98" s="1">
        <f ca="1">IF(ISERROR(F93),"",SUM(P98:Q98))</f>
        <v>0</v>
      </c>
      <c r="S98" s="1">
        <f ca="1">IF(ISERROR(F93),"",VLOOKUP(A93,INDIRECT($F$8),6+(O98-1)*3))</f>
        <v>100</v>
      </c>
      <c r="T98" s="1">
        <f ca="1">IF(ISERROR(F93),"",VLOOKUP(A93,INDIRECT($F$8),7+(O98-1)*3))</f>
        <v>50</v>
      </c>
      <c r="U98" s="1">
        <f ca="1">IF(ISERROR(F93),"",VLOOKUP(A93,INDIRECT($F$8),8+(O98-1)*3))</f>
        <v>150</v>
      </c>
      <c r="V98" s="1" t="str">
        <f ca="1">IF(ISERROR(F93),"",IF(N98=0,A98,""))</f>
        <v>CAT  014</v>
      </c>
      <c r="W98" s="1">
        <f ca="1">IF(ISERROR(F93),"",IF(ISTEXT(VLOOKUP(B93,INDIRECT($F$8),6+(O98-1)*3)),11,IF(VLOOKUP(B93,INDIRECT($F$8),6+(O98-1)*3)&lt;S98*0.3,IF(VLOOKUP(B93,INDIRECT($F$8),8+(O98-1)*3)&lt;U98*0.4,IF(AND(0.4*U98-VLOOKUP(B93,INDIRECT($F$8),8+(O98-1)*3)&lt;=5,0.3*S98-VLOOKUP(B93,INDIRECT($F$8),6+(O98-1)*3)&lt;=5),MAX(0.4*U98-VLOOKUP(B93,INDIRECT($F$8),8+(O98-1)*3),0.3*S98-VLOOKUP(B93,INDIRECT($F$8),6+(O98-1)*3)),11),IF(0.3*S98-VLOOKUP(B93,INDIRECT($F$8),6+(O98-1)*3)&lt;=5,0.3*S98-VLOOKUP(B93,INDIRECT($F$8),6+(O98-1)*3),11)),IF(VLOOKUP(B93,INDIRECT($F$8),8+(O98-1)*3)&lt;U98*0.4,IF(U98*0.4-VLOOKUP(B93,INDIRECT($F$8),8+(O98-1)*3)&lt;=5,U98*0.4-VLOOKUP(B93,INDIRECT($F$8),8+(O98-1)*3),11),0))))</f>
        <v>11</v>
      </c>
      <c r="X98" s="1" t="str">
        <f ca="1">IF(ISERROR(F93),"",IF(W98=0,"",_xlfn.TEXTJOIN("",FALSE," G+",W98," in ",A98)))</f>
        <v xml:space="preserve"> G+11 in CAT  014</v>
      </c>
    </row>
    <row r="99" spans="1:24" ht="14.25" customHeight="1" x14ac:dyDescent="0.2">
      <c r="A99" s="7" t="str">
        <f ca="1">IF(ISERROR(F93),"",VLOOKUP(C93,INDIRECT($F$8),6+(O99-1)*3,0))</f>
        <v>CAT 015</v>
      </c>
      <c r="B99" s="41" t="str">
        <f ca="1">IF(ISERROR(F93),"",VLOOKUP(D93,INDIRECT($F$8),6+(O99-1)*3,0))</f>
        <v>Software Engineering</v>
      </c>
      <c r="C99" s="41"/>
      <c r="D99" s="41"/>
      <c r="E99" s="41"/>
      <c r="F99" s="7">
        <f ca="1">IF(ISERROR(F93),"",VLOOKUP(E93,INDIRECT($F$8),6+(O99-1)*3,0))</f>
        <v>4</v>
      </c>
      <c r="G99" s="42" t="str">
        <f ca="1">IF(ISERROR(F93),"",_xlfn.TEXTJOIN("/",FALSE,P99,S99))</f>
        <v>0/100</v>
      </c>
      <c r="H99" s="42"/>
      <c r="I99" s="42" t="str">
        <f ca="1">IF(ISERROR(F93),"",_xlfn.TEXTJOIN("/",FALSE,Q99,T99))</f>
        <v>0/50</v>
      </c>
      <c r="J99" s="42"/>
      <c r="K99" s="42" t="str">
        <f ca="1">IF(ISERROR(F93),"",_xlfn.TEXTJOIN("/",FALSE,R99,U99))</f>
        <v>0/150</v>
      </c>
      <c r="L99" s="42"/>
      <c r="M99" s="7" t="str">
        <f ca="1">IF(ISERROR(F93),"",IF(ISTEXT(P99),IF(P99="A","Ab",IF(P99="D","Dt",IF(P99="UFM","UFM",IF(P99="NA","")))),IF(AND(ISBLANK(P99),ISBLANK(R99)),"",IF(P99&lt;0.3*S99,"F",IF(ISBLANK(R99),"",IF(ISTEXT(R99),R99,IF(R99&gt;=0.9*U99,"O",IF(R99&gt;=0.85*U99,"A+",IF(R99&gt;=0.8*U99,"A",IF(R99&gt;=0.7*U99,"B+",IF(R99&gt;=0.6*U99,"B",IF(R99&gt;=0.5*U99,"C",IF(R99&gt;=0.4*U99,"P",IF(R99&lt;0.4*U99,"F",R99))))))))))))))</f>
        <v>F</v>
      </c>
      <c r="N99" s="8">
        <f t="shared" ca="1" si="10"/>
        <v>0</v>
      </c>
      <c r="O99">
        <f>O98+1</f>
        <v>2</v>
      </c>
      <c r="P99" s="1">
        <f ca="1">IF(ISERROR(F93),"",IF(ISTEXT(VLOOKUP(B93,INDIRECT($F$8),6+(O99-1)*3)),(VLOOKUP(B93,INDIRECT($F$8),6+(O99-1)*3)),SUM(VLOOKUP(B93,INDIRECT($F$8),6+(O99-1)*3),IF(W106,W99,0))))</f>
        <v>0</v>
      </c>
      <c r="Q99" s="1">
        <f ca="1">IF(ISERROR(F93),"",VLOOKUP(B93,INDIRECT($F$8),7+(O99-1)*3))</f>
        <v>0</v>
      </c>
      <c r="R99" s="1">
        <f ca="1">IF(ISERROR(F93),"",SUM(P99:Q99))</f>
        <v>0</v>
      </c>
      <c r="S99" s="1">
        <f ca="1">IF(ISERROR(F93),"",VLOOKUP(A93,INDIRECT($F$8),6+(O99-1)*3))</f>
        <v>100</v>
      </c>
      <c r="T99" s="1">
        <f ca="1">IF(ISERROR(F93),"",VLOOKUP(A93,INDIRECT($F$8),7+(O99-1)*3))</f>
        <v>50</v>
      </c>
      <c r="U99" s="1">
        <f ca="1">IF(ISERROR(F93),"",VLOOKUP(A93,INDIRECT($F$8),8+(O99-1)*3))</f>
        <v>150</v>
      </c>
      <c r="V99" s="1" t="str">
        <f ca="1">IF(ISERROR(F93),"",IF(N99=0,A99,""))</f>
        <v>CAT 015</v>
      </c>
      <c r="W99" s="1">
        <f ca="1">IF(ISERROR(F93),"",IF(ISTEXT(VLOOKUP(B93,INDIRECT($F$8),6+(O99-1)*3)),11,IF(VLOOKUP(B93,INDIRECT($F$8),6+(O99-1)*3)&lt;S99*0.3,IF(VLOOKUP(B93,INDIRECT($F$8),8+(O99-1)*3)&lt;U99*0.4,IF(AND(0.4*U99-VLOOKUP(B93,INDIRECT($F$8),8+(O99-1)*3)&lt;=5,0.3*S99-VLOOKUP(B93,INDIRECT($F$8),6+(O99-1)*3)&lt;=5),MAX(0.4*U99-VLOOKUP(B93,INDIRECT($F$8),8+(O99-1)*3),0.3*S99-VLOOKUP(B93,INDIRECT($F$8),6+(O99-1)*3)),11),IF(0.3*S99-VLOOKUP(B93,INDIRECT($F$8),6+(O99-1)*3)&lt;=5,0.3*S99-VLOOKUP(B93,INDIRECT($F$8),6+(O99-1)*3),11)),IF(VLOOKUP(B93,INDIRECT($F$8),8+(O99-1)*3)&lt;U99*0.4,IF(U99*0.4-VLOOKUP(B93,INDIRECT($F$8),8+(O99-1)*3)&lt;=5,U99*0.4-VLOOKUP(B93,INDIRECT($F$8),8+(O99-1)*3),11),0))))</f>
        <v>11</v>
      </c>
      <c r="X99" s="1" t="str">
        <f ca="1">IF(ISERROR(F93),"",IF(W99=0,"",_xlfn.TEXTJOIN("",FALSE," G+",W99," in ",A99)))</f>
        <v xml:space="preserve"> G+11 in CAT 015</v>
      </c>
    </row>
    <row r="100" spans="1:24" ht="14.25" customHeight="1" x14ac:dyDescent="0.2">
      <c r="A100" s="7" t="str">
        <f ca="1">IF(ISERROR(F93),"",VLOOKUP(C93,INDIRECT($F$8),6+(O100-1)*3,0))</f>
        <v>Enroll No.</v>
      </c>
      <c r="B100" s="41">
        <f ca="1">IF(ISERROR(F93),"",VLOOKUP(D93,INDIRECT($F$8),6+(O100-1)*3,0))</f>
        <v>0</v>
      </c>
      <c r="C100" s="41"/>
      <c r="D100" s="41"/>
      <c r="E100" s="41"/>
      <c r="F100" s="7">
        <f ca="1">IF(ISERROR(F93),"",VLOOKUP(E93,INDIRECT($F$8),6+(O100-1)*3,0))</f>
        <v>0</v>
      </c>
      <c r="G100" s="42" t="str">
        <f ca="1">IF(ISERROR(F93),"",_xlfn.TEXTJOIN("/",FALSE,P100,S100))</f>
        <v>UTU/2406100179/0</v>
      </c>
      <c r="H100" s="42"/>
      <c r="I100" s="42" t="str">
        <f ca="1">IF(ISERROR(F93),"",_xlfn.TEXTJOIN("/",FALSE,Q100,T100))</f>
        <v>ASMIT BHATT/0</v>
      </c>
      <c r="J100" s="42"/>
      <c r="K100" s="42" t="str">
        <f ca="1">IF(ISERROR(F93),"",_xlfn.TEXTJOIN("/",FALSE,R100,U100))</f>
        <v>0/0</v>
      </c>
      <c r="L100" s="42"/>
      <c r="M100" s="7" t="b">
        <f ca="1">IF(ISERROR(F93),"",IF(ISTEXT(P100),IF(P100="A","Ab",IF(P100="D","Dt",IF(P100="UFM","UFM",IF(P100="NA","")))),IF(AND(ISBLANK(P100),ISBLANK(R100)),"",IF(P100&lt;0.3*S100,"F",IF(ISBLANK(R100),"",IF(ISTEXT(R100),R100,IF(R100&gt;=0.9*U100,"O",IF(R100&gt;=0.85*U100,"A+",IF(R100&gt;=0.8*U100,"A",IF(R100&gt;=0.7*U100,"B+",IF(R100&gt;=0.6*U100,"B",IF(R100&gt;=0.5*U100,"C",IF(R100&gt;=0.4*U100,"P",IF(R100&lt;0.4*U100,"F",R100))))))))))))))</f>
        <v>0</v>
      </c>
      <c r="N100" s="8" t="e">
        <f t="shared" ca="1" si="10"/>
        <v>#N/A</v>
      </c>
      <c r="O100" t="b" cm="1">
        <f t="array" aca="1" ref="O100" ca="1">IF(NOT(ISBLANK(INDIRECT("SEM_III!L"&amp;INT((ROW(O100)-15)/17)+6))),3,IF(NOT(ISBLANK(INDIRECT("SEM_III!O"&amp;INT((ROW(O100)-15)/17)+6))),4))</f>
        <v>0</v>
      </c>
      <c r="P100" s="1" t="str">
        <f ca="1">IF(ISERROR(F93),"",IF(ISTEXT(VLOOKUP(B93,INDIRECT($F$8),6+(O100-1)*3)),(VLOOKUP(B93,INDIRECT($F$8),6+(O100-1)*3)),SUM(VLOOKUP(B93,INDIRECT($F$8),6+(O100-1)*3),IF(W106,W100,0))))</f>
        <v>UTU/2406100179</v>
      </c>
      <c r="Q100" s="1" t="str">
        <f ca="1">IF(ISERROR(F93),"",VLOOKUP(B93,INDIRECT($F$8),7+(O100-1)*3))</f>
        <v>ASMIT BHATT</v>
      </c>
      <c r="R100" s="1">
        <f ca="1">IF(ISERROR(F93),"",SUM(P100:Q100))</f>
        <v>0</v>
      </c>
      <c r="S100" s="1">
        <f ca="1">IF(ISERROR(F93),"",VLOOKUP(A93,INDIRECT($F$8),6+(O100-1)*3))</f>
        <v>0</v>
      </c>
      <c r="T100" s="1">
        <f ca="1">IF(ISERROR(F93),"",VLOOKUP(A93,INDIRECT($F$8),7+(O100-1)*3))</f>
        <v>0</v>
      </c>
      <c r="U100" s="1">
        <f ca="1">IF(ISERROR(F93),"",VLOOKUP(A93,INDIRECT($F$8),8+(O100-1)*3))</f>
        <v>0</v>
      </c>
      <c r="V100" s="1" t="e">
        <f ca="1">IF(ISERROR(F93),"",IF(N100=0,A100,""))</f>
        <v>#N/A</v>
      </c>
      <c r="W100" s="1">
        <f ca="1">IF(ISERROR(F93),"",IF(ISTEXT(VLOOKUP(B93,INDIRECT($F$8),6+(O100-1)*3)),11,IF(VLOOKUP(B93,INDIRECT($F$8),6+(O100-1)*3)&lt;S100*0.3,IF(VLOOKUP(B93,INDIRECT($F$8),8+(O100-1)*3)&lt;U100*0.4,IF(AND(0.4*U100-VLOOKUP(B93,INDIRECT($F$8),8+(O100-1)*3)&lt;=5,0.3*S100-VLOOKUP(B93,INDIRECT($F$8),6+(O100-1)*3)&lt;=5),MAX(0.4*U100-VLOOKUP(B93,INDIRECT($F$8),8+(O100-1)*3),0.3*S100-VLOOKUP(B93,INDIRECT($F$8),6+(O100-1)*3)),11),IF(0.3*S100-VLOOKUP(B93,INDIRECT($F$8),6+(O100-1)*3)&lt;=5,0.3*S100-VLOOKUP(B93,INDIRECT($F$8),6+(O100-1)*3),11)),IF(VLOOKUP(B93,INDIRECT($F$8),8+(O100-1)*3)&lt;U100*0.4,IF(U100*0.4-VLOOKUP(B93,INDIRECT($F$8),8+(O100-1)*3)&lt;=5,U100*0.4-VLOOKUP(B93,INDIRECT($F$8),8+(O100-1)*3),11),0))))</f>
        <v>11</v>
      </c>
      <c r="X100" s="1" t="str">
        <f ca="1">IF(ISERROR(F93),"",IF(W100=0,"",_xlfn.TEXTJOIN("",FALSE," G+",W100," in ",A100)))</f>
        <v xml:space="preserve"> G+11 in Enroll No.</v>
      </c>
    </row>
    <row r="101" spans="1:24" ht="14.25" customHeight="1" x14ac:dyDescent="0.2">
      <c r="A101" s="7" t="str">
        <f ca="1">IF(ISERROR(F93),"",VLOOKUP(C93,INDIRECT($F$8),6+(O101-1)*3,0))</f>
        <v>Enroll No.</v>
      </c>
      <c r="B101" s="41">
        <f ca="1">IF(ISERROR(F93),"",VLOOKUP(D93,INDIRECT($F$8),6+(O101-1)*3,0))</f>
        <v>0</v>
      </c>
      <c r="C101" s="41"/>
      <c r="D101" s="41"/>
      <c r="E101" s="41"/>
      <c r="F101" s="7">
        <f ca="1">IF(ISERROR(F93),"",VLOOKUP(E93,INDIRECT($F$8),6+(O101-1)*3,0))</f>
        <v>0</v>
      </c>
      <c r="G101" s="42" t="str">
        <f ca="1">IF(ISERROR(F93),"",_xlfn.TEXTJOIN("/",FALSE,P101,S101))</f>
        <v>UTU/2406100179/0</v>
      </c>
      <c r="H101" s="42"/>
      <c r="I101" s="42" t="str">
        <f ca="1">IF(ISERROR(F93),"",_xlfn.TEXTJOIN("/",FALSE,Q101,T101))</f>
        <v>ASMIT BHATT/0</v>
      </c>
      <c r="J101" s="42"/>
      <c r="K101" s="42" t="str">
        <f ca="1">IF(ISERROR(F93),"",_xlfn.TEXTJOIN("/",FALSE,R101,U101))</f>
        <v>0/0</v>
      </c>
      <c r="L101" s="42"/>
      <c r="M101" s="7" t="b">
        <f ca="1">IF(ISERROR(F93),"",IF(ISTEXT(P101),IF(P101="A","Ab",IF(P101="D","Dt",IF(P101="UFM","UFM",IF(P101="NA","")))),IF(AND(ISBLANK(P101),ISBLANK(R101)),"",IF(P101&lt;0.3*S101,"F",IF(ISBLANK(R101),"",IF(ISTEXT(R101),R101,IF(R101&gt;=0.9*U101,"O",IF(R101&gt;=0.85*U101,"A+",IF(R101&gt;=0.8*U101,"A",IF(R101&gt;=0.7*U101,"B+",IF(R101&gt;=0.6*U101,"B",IF(R101&gt;=0.5*U101,"C",IF(R101&gt;=0.4*U101,"P",IF(R101&lt;0.4*U101,"F",R101))))))))))))))</f>
        <v>0</v>
      </c>
      <c r="N101" s="8" t="e">
        <f t="shared" ca="1" si="10"/>
        <v>#N/A</v>
      </c>
      <c r="O101" t="b" cm="1">
        <f t="array" aca="1" ref="O101" ca="1">IF(NOT(ISBLANK(INDIRECT("SEM_III!R"&amp;INT((ROW(O101)-16)/17)+6))),5,IF(NOT(ISBLANK(INDIRECT("SEM_III!U"&amp;INT((ROW(O101)-16)/17)+6))),6))</f>
        <v>0</v>
      </c>
      <c r="P101" s="1" t="str">
        <f ca="1">IF(ISERROR(F93),"",IF(ISTEXT(VLOOKUP(B93,INDIRECT($F$8),6+(O101-1)*3)),(VLOOKUP(B93,INDIRECT($F$8),6+(O101-1)*3)),SUM(VLOOKUP(B93,INDIRECT($F$8),6+(O101-1)*3),IF(W106,W101,0))))</f>
        <v>UTU/2406100179</v>
      </c>
      <c r="Q101" s="1" t="str">
        <f ca="1">IF(ISERROR(F93),"",VLOOKUP(B93,INDIRECT($F$8),7+(O101-1)*3))</f>
        <v>ASMIT BHATT</v>
      </c>
      <c r="R101" s="1">
        <f ca="1">IF(ISERROR(F93),"",SUM(P101:Q101))</f>
        <v>0</v>
      </c>
      <c r="S101" s="1">
        <f ca="1">IF(ISERROR(F93),"",VLOOKUP(A93,INDIRECT($F$8),6+(O101-1)*3))</f>
        <v>0</v>
      </c>
      <c r="T101" s="1">
        <f ca="1">IF(ISERROR(F93),"",VLOOKUP(A93,INDIRECT($F$8),7+(O101-1)*3))</f>
        <v>0</v>
      </c>
      <c r="U101" s="1">
        <f ca="1">IF(ISERROR(F93),"",VLOOKUP(A93,INDIRECT($F$8),8+(O101-1)*3))</f>
        <v>0</v>
      </c>
      <c r="V101" s="1" t="e">
        <f ca="1">IF(ISERROR(F93),"",IF(N101=0,A101,""))</f>
        <v>#N/A</v>
      </c>
      <c r="W101" s="1">
        <f ca="1">IF(ISERROR(F93),"",IF(ISTEXT(VLOOKUP(B93,INDIRECT($F$8),6+(O101-1)*3)),11,IF(VLOOKUP(B93,INDIRECT($F$8),6+(O101-1)*3)&lt;S101*0.3,IF(VLOOKUP(B93,INDIRECT($F$8),8+(O101-1)*3)&lt;U101*0.4,IF(AND(0.4*U101-VLOOKUP(B93,INDIRECT($F$8),8+(O101-1)*3)&lt;=5,0.3*S101-VLOOKUP(B93,INDIRECT($F$8),6+(O101-1)*3)&lt;=5),MAX(0.4*U101-VLOOKUP(B93,INDIRECT($F$8),8+(O101-1)*3),0.3*S101-VLOOKUP(B93,INDIRECT($F$8),6+(O101-1)*3)),11),IF(0.3*S101-VLOOKUP(B93,INDIRECT($F$8),6+(O101-1)*3)&lt;=5,0.3*S101-VLOOKUP(B93,INDIRECT($F$8),6+(O101-1)*3),11)),IF(VLOOKUP(B93,INDIRECT($F$8),8+(O101-1)*3)&lt;U101*0.4,IF(U101*0.4-VLOOKUP(B93,INDIRECT($F$8),8+(O101-1)*3)&lt;=5,U101*0.4-VLOOKUP(B93,INDIRECT($F$8),8+(O101-1)*3),11),0))))</f>
        <v>11</v>
      </c>
      <c r="X101" s="1" t="str">
        <f ca="1">IF(ISERROR(F93),"",IF(W101=0,"",_xlfn.TEXTJOIN("",FALSE," G+",W101," in ",A101)))</f>
        <v xml:space="preserve"> G+11 in Enroll No.</v>
      </c>
    </row>
    <row r="102" spans="1:24" ht="14.25" customHeight="1" x14ac:dyDescent="0.2">
      <c r="A102" s="7" t="str">
        <f ca="1">IF(ISERROR(F93),"",VLOOKUP(C93,INDIRECT($F$8),6+(O102-1)*3,0))</f>
        <v>AHT 310</v>
      </c>
      <c r="B102" s="41" t="str">
        <f ca="1">IF(ISERROR(F93),"",VLOOKUP(D93,INDIRECT($F$8),6+(O102-1)*3,0))</f>
        <v>Universal Human Value</v>
      </c>
      <c r="C102" s="41"/>
      <c r="D102" s="41"/>
      <c r="E102" s="41"/>
      <c r="F102" s="7">
        <f ca="1">IF(ISERROR(F93),"",VLOOKUP(E93,INDIRECT($F$8),6+(O102-1)*3,0))</f>
        <v>3</v>
      </c>
      <c r="G102" s="42" t="str">
        <f ca="1">IF(ISERROR(F93),"",_xlfn.TEXTJOIN("/",FALSE,P102,S102))</f>
        <v>0/100</v>
      </c>
      <c r="H102" s="42"/>
      <c r="I102" s="42" t="str">
        <f ca="1">IF(ISERROR(F93),"",_xlfn.TEXTJOIN("/",FALSE,Q102,T102))</f>
        <v>0/50</v>
      </c>
      <c r="J102" s="42"/>
      <c r="K102" s="42" t="str">
        <f ca="1">IF(ISERROR(F93),"",_xlfn.TEXTJOIN("/",FALSE,R102,U102))</f>
        <v>0/150</v>
      </c>
      <c r="L102" s="42"/>
      <c r="M102" s="7" t="str">
        <f ca="1">IF(ISERROR(F93),"",IF(ISTEXT(P102),IF(P102="A","Ab",IF(P102="D","Dt",IF(P102="UFM","UFM",IF(P102="NA","")))),IF(AND(ISBLANK(P102),ISBLANK(R102)),"",IF(P102&lt;0.3*S102,"F",IF(ISBLANK(R102),"",IF(ISTEXT(R102),R102,IF(R102&gt;=0.9*U102,"O",IF(R102&gt;=0.85*U102,"A+",IF(R102&gt;=0.8*U102,"A",IF(R102&gt;=0.7*U102,"B+",IF(R102&gt;=0.6*U102,"B",IF(R102&gt;=0.5*U102,"C",IF(R102&gt;=0.4*U102,"P",IF(R102&lt;0.4*U102,"F",R102))))))))))))))</f>
        <v>F</v>
      </c>
      <c r="N102" s="8">
        <f t="shared" ca="1" si="10"/>
        <v>0</v>
      </c>
      <c r="O102">
        <f ca="1">IF(O101&gt;0,7,"")</f>
        <v>7</v>
      </c>
      <c r="P102" s="1">
        <f ca="1">IF(ISERROR(F93),"",IF(ISTEXT(VLOOKUP(B93,INDIRECT($F$8),6+(O102-1)*3)),(VLOOKUP(B93,INDIRECT($F$8),6+(O102-1)*3)),SUM(VLOOKUP(B93,INDIRECT($F$8),6+(O102-1)*3),IF(W106,W102,0))))</f>
        <v>0</v>
      </c>
      <c r="Q102" s="1">
        <f ca="1">IF(ISERROR(F93),"",VLOOKUP(B93,INDIRECT($F$8),7+(O102-1)*3))</f>
        <v>0</v>
      </c>
      <c r="R102" s="1">
        <f ca="1">IF(ISERROR(F93),"",SUM(P102:Q102))</f>
        <v>0</v>
      </c>
      <c r="S102" s="1">
        <f ca="1">IF(ISERROR(F93),"",VLOOKUP(A93,INDIRECT($F$8),6+(O102-1)*3))</f>
        <v>100</v>
      </c>
      <c r="T102" s="1">
        <f ca="1">IF(ISERROR(F93),"",VLOOKUP(A93,INDIRECT($F$8),7+(O102-1)*3))</f>
        <v>50</v>
      </c>
      <c r="U102" s="1">
        <f ca="1">IF(ISERROR(F93),"",VLOOKUP(A93,INDIRECT($F$8),8+(O102-1)*3))</f>
        <v>150</v>
      </c>
      <c r="V102" s="1" t="str">
        <f ca="1">IF(ISERROR(F93),"",IF(N102=0,A102,""))</f>
        <v>AHT 310</v>
      </c>
      <c r="W102" s="1">
        <f ca="1">IF(ISERROR(F93),"",IF(ISTEXT(VLOOKUP(B93,INDIRECT($F$8),6+(O102-1)*3)),11,IF(VLOOKUP(B93,INDIRECT($F$8),6+(O102-1)*3)&lt;S102*0.3,IF(VLOOKUP(B93,INDIRECT($F$8),8+(O102-1)*3)&lt;U102*0.4,IF(AND(0.4*U102-VLOOKUP(B93,INDIRECT($F$8),8+(O102-1)*3)&lt;=5,0.3*S102-VLOOKUP(B93,INDIRECT($F$8),6+(O102-1)*3)&lt;=5),MAX(0.4*U102-VLOOKUP(B93,INDIRECT($F$8),8+(O102-1)*3),0.3*S102-VLOOKUP(B93,INDIRECT($F$8),6+(O102-1)*3)),11),IF(0.3*S102-VLOOKUP(B93,INDIRECT($F$8),6+(O102-1)*3)&lt;=5,0.3*S102-VLOOKUP(B93,INDIRECT($F$8),6+(O102-1)*3),11)),IF(VLOOKUP(B93,INDIRECT($F$8),8+(O102-1)*3)&lt;U102*0.4,IF(U102*0.4-VLOOKUP(B93,INDIRECT($F$8),8+(O102-1)*3)&lt;=5,U102*0.4-VLOOKUP(B93,INDIRECT($F$8),8+(O102-1)*3),11),0))))</f>
        <v>11</v>
      </c>
      <c r="X102" s="1" t="str">
        <f ca="1">IF(ISERROR(F93),"",IF(W102=0,"",_xlfn.TEXTJOIN("",FALSE," G+",W102," in ",A102)))</f>
        <v xml:space="preserve"> G+11 in AHT 310</v>
      </c>
    </row>
    <row r="103" spans="1:24" ht="14.25" customHeight="1" x14ac:dyDescent="0.2">
      <c r="A103" s="7" t="str">
        <f ca="1">IF(ISERROR(F93),"",VLOOKUP(C93,INDIRECT($F$8),6+(O103-1)*3,0))</f>
        <v>CAP 008</v>
      </c>
      <c r="B103" s="41" t="str">
        <f ca="1">IF(ISERROR(F93),"",VLOOKUP(D93,INDIRECT($F$8),6+(O103-1)*3,0))</f>
        <v>Software Engineering Lab</v>
      </c>
      <c r="C103" s="41"/>
      <c r="D103" s="41"/>
      <c r="E103" s="41"/>
      <c r="F103" s="7">
        <f ca="1">IF(ISERROR(F93),"",VLOOKUP(E93,INDIRECT($F$8),6+(O103-1)*3,0))</f>
        <v>1</v>
      </c>
      <c r="G103" s="42" t="str">
        <f ca="1">IF(ISERROR(F93),"",_xlfn.TEXTJOIN("/",FALSE,P103,S103))</f>
        <v>0/30</v>
      </c>
      <c r="H103" s="42"/>
      <c r="I103" s="42" t="str">
        <f ca="1">IF(ISERROR(F93),"",_xlfn.TEXTJOIN("/",FALSE,Q103,T103))</f>
        <v>0/20</v>
      </c>
      <c r="J103" s="42"/>
      <c r="K103" s="42" t="str">
        <f ca="1">IF(ISERROR(F93),"",_xlfn.TEXTJOIN("/",FALSE,R103,U103))</f>
        <v>0/50</v>
      </c>
      <c r="L103" s="42"/>
      <c r="M103" s="7" t="str">
        <f ca="1">IF(ISERROR(F93),"",IF(ISTEXT(P103),IF(P103="A","Ab",IF(P103="D","Dt",IF(P103="UFM","UFM",IF(P103="NA","")))),IF(AND(ISBLANK(P103),ISBLANK(R103)),"",IF(P103&lt;0.3*S103,"F",IF(ISBLANK(R103),"",IF(ISTEXT(R103),R103,IF(R103&gt;=0.9*U103,"O",IF(R103&gt;=0.85*U103,"A+",IF(R103&gt;=0.8*U103,"A",IF(R103&gt;=0.7*U103,"B+",IF(R103&gt;=0.6*U103,"B",IF(R103&gt;=0.5*U103,"C",IF(R103&gt;=0.4*U103,"P",IF(R103&lt;0.4*U103,"F",R103))))))))))))))</f>
        <v>F</v>
      </c>
      <c r="N103" s="8">
        <f t="shared" ca="1" si="10"/>
        <v>0</v>
      </c>
      <c r="O103">
        <f t="shared" ref="O103:O105" ca="1" si="11">O102+1</f>
        <v>8</v>
      </c>
      <c r="P103" s="1">
        <f ca="1">IF(ISERROR(F93),"",IF(ISTEXT(VLOOKUP(B93,INDIRECT($F$8),6+(O103-1)*3)),(VLOOKUP(B93,INDIRECT($F$8),6+(O103-1)*3)),SUM(VLOOKUP(B93,INDIRECT($F$8),6+(O103-1)*3),IF(W106,W103,0))))</f>
        <v>0</v>
      </c>
      <c r="Q103" s="1">
        <f ca="1">IF(ISERROR(F93),"",VLOOKUP(B93,INDIRECT($F$8),7+(O103-1)*3))</f>
        <v>0</v>
      </c>
      <c r="R103" s="1">
        <f ca="1">IF(ISERROR(F93),"",SUM(P103:Q103))</f>
        <v>0</v>
      </c>
      <c r="S103" s="1">
        <f ca="1">IF(ISERROR(F93),"",VLOOKUP(A93,INDIRECT($F$8),6+(O103-1)*3))</f>
        <v>30</v>
      </c>
      <c r="T103" s="1">
        <f ca="1">IF(ISERROR(F93),"",VLOOKUP(A93,INDIRECT($F$8),7+(O103-1)*3))</f>
        <v>20</v>
      </c>
      <c r="U103" s="1">
        <f ca="1">IF(ISERROR(F93),"",VLOOKUP(A93,INDIRECT($F$8),8+(O103-1)*3))</f>
        <v>50</v>
      </c>
      <c r="V103" s="1" t="str">
        <f ca="1">IF(ISERROR(F93),"",IF(N103=0,A103,""))</f>
        <v>CAP 008</v>
      </c>
      <c r="W103" s="1">
        <f ca="1">IF(ISERROR(F93),"",IF(ISTEXT(VLOOKUP(B93,INDIRECT($F$8),6+(O103-1)*3)),11,IF(VLOOKUP(B93,INDIRECT($F$8),6+(O103-1)*3)&lt;S103*0.3,IF(VLOOKUP(B93,INDIRECT($F$8),8+(O103-1)*3)&lt;U103*0.4,IF(AND(0.4*U103-VLOOKUP(B93,INDIRECT($F$8),8+(O103-1)*3)&lt;=5,0.3*S103-VLOOKUP(B93,INDIRECT($F$8),6+(O103-1)*3)&lt;=5),MAX(0.4*U103-VLOOKUP(B93,INDIRECT($F$8),8+(O103-1)*3),0.3*S103-VLOOKUP(B93,INDIRECT($F$8),6+(O103-1)*3)),11),IF(0.3*S103-VLOOKUP(B93,INDIRECT($F$8),6+(O103-1)*3)&lt;=5,0.3*S103-VLOOKUP(B93,INDIRECT($F$8),6+(O103-1)*3),11)),IF(VLOOKUP(B93,INDIRECT($F$8),8+(O103-1)*3)&lt;U103*0.4,IF(U103*0.4-VLOOKUP(B93,INDIRECT($F$8),8+(O103-1)*3)&lt;=5,U103*0.4-VLOOKUP(B93,INDIRECT($F$8),8+(O103-1)*3),11),0))))</f>
        <v>11</v>
      </c>
      <c r="X103" s="1" t="str">
        <f ca="1">IF(ISERROR(F93),"",IF(W103=0,"",_xlfn.TEXTJOIN("",FALSE," G+",W103," in ",A103)))</f>
        <v xml:space="preserve"> G+11 in CAP 008</v>
      </c>
    </row>
    <row r="104" spans="1:24" ht="14.25" customHeight="1" x14ac:dyDescent="0.2">
      <c r="A104" s="7" t="str">
        <f ca="1">IF(ISERROR(F93),"",VLOOKUP(C93,INDIRECT($F$8),6+(O104-1)*3,0))</f>
        <v>CAP 009</v>
      </c>
      <c r="B104" s="41" t="str">
        <f ca="1">IF(ISERROR(F93),"",VLOOKUP(D93,INDIRECT($F$8),6+(O104-1)*3,0))</f>
        <v>Seminar</v>
      </c>
      <c r="C104" s="41"/>
      <c r="D104" s="41"/>
      <c r="E104" s="41"/>
      <c r="F104" s="7">
        <f ca="1">IF(ISERROR(F93),"",VLOOKUP(E93,INDIRECT($F$8),6+(O104-1)*3,0))</f>
        <v>2</v>
      </c>
      <c r="G104" s="42" t="str">
        <f ca="1">IF(ISERROR(F93),"",_xlfn.TEXTJOIN("/",FALSE,P104,S104))</f>
        <v>0/0</v>
      </c>
      <c r="H104" s="42"/>
      <c r="I104" s="42" t="str">
        <f ca="1">IF(ISERROR(F93),"",_xlfn.TEXTJOIN("/",FALSE,Q104,T104))</f>
        <v>0/100</v>
      </c>
      <c r="J104" s="42"/>
      <c r="K104" s="42" t="str">
        <f ca="1">IF(ISERROR(F93),"",_xlfn.TEXTJOIN("/",FALSE,R104,U104))</f>
        <v>0/100</v>
      </c>
      <c r="L104" s="42"/>
      <c r="M104" s="7" t="str">
        <f ca="1">IF(ISERROR(F93),"",IF(ISTEXT(P104),IF(P104="A","Ab",IF(P104="D","Dt",IF(P104="UFM","UFM",IF(P104="NA","")))),IF(AND(ISBLANK(P104),ISBLANK(R104)),"",IF(P104&lt;0.3*S104,"F",IF(ISBLANK(R104),"",IF(ISTEXT(R104),R104,IF(R104&gt;=0.9*U104,"O",IF(R104&gt;=0.85*U104,"A+",IF(R104&gt;=0.8*U104,"A",IF(R104&gt;=0.7*U104,"B+",IF(R104&gt;=0.6*U104,"B",IF(R104&gt;=0.5*U104,"C",IF(R104&gt;=0.4*U104,"P",IF(R104&lt;0.4*U104,"F",R104))))))))))))))</f>
        <v>F</v>
      </c>
      <c r="N104" s="8">
        <f t="shared" ca="1" si="10"/>
        <v>0</v>
      </c>
      <c r="O104">
        <f t="shared" ca="1" si="11"/>
        <v>9</v>
      </c>
      <c r="P104" s="1">
        <f ca="1">IF(ISERROR(F93),"",IF(ISTEXT(VLOOKUP(B93,INDIRECT($F$8),6+(O104-1)*3)),(VLOOKUP(B93,INDIRECT($F$8),6+(O104-1)*3)),SUM(VLOOKUP(B93,INDIRECT($F$8),6+(O104-1)*3),IF(W106,W104,0))))</f>
        <v>0</v>
      </c>
      <c r="Q104" s="1">
        <f ca="1">IF(ISERROR(F93),"",VLOOKUP(B93,INDIRECT($F$8),7+(O104-1)*3))</f>
        <v>0</v>
      </c>
      <c r="R104" s="1">
        <f ca="1">IF(ISERROR(F93),"",SUM(P104:Q104))</f>
        <v>0</v>
      </c>
      <c r="S104" s="1">
        <f ca="1">IF(ISERROR(F93),"",VLOOKUP(A93,INDIRECT($F$8),6+(O104-1)*3))</f>
        <v>0</v>
      </c>
      <c r="T104" s="1">
        <f ca="1">IF(ISERROR(F93),"",VLOOKUP(A93,INDIRECT($F$8),7+(O104-1)*3))</f>
        <v>100</v>
      </c>
      <c r="U104" s="1">
        <f ca="1">IF(ISERROR(F93),"",VLOOKUP(A93,INDIRECT($F$8),8+(O104-1)*3))</f>
        <v>100</v>
      </c>
      <c r="V104" s="1" t="str">
        <f ca="1">IF(ISERROR(F93),"",IF(N104=0,A104,""))</f>
        <v>CAP 009</v>
      </c>
      <c r="W104" s="1">
        <f ca="1">IF(ISERROR(F93),"",IF(ISTEXT(VLOOKUP(B93,INDIRECT($F$8),6+(O104-1)*3)),11,IF(VLOOKUP(B93,INDIRECT($F$8),6+(O104-1)*3)&lt;S104*0.3,IF(VLOOKUP(B93,INDIRECT($F$8),8+(O104-1)*3)&lt;U104*0.4,IF(AND(0.4*U104-VLOOKUP(B93,INDIRECT($F$8),8+(O104-1)*3)&lt;=5,0.3*S104-VLOOKUP(B93,INDIRECT($F$8),6+(O104-1)*3)&lt;=5),MAX(0.4*U104-VLOOKUP(B93,INDIRECT($F$8),8+(O104-1)*3),0.3*S104-VLOOKUP(B93,INDIRECT($F$8),6+(O104-1)*3)),11),IF(0.3*S104-VLOOKUP(B93,INDIRECT($F$8),6+(O104-1)*3)&lt;=5,0.3*S104-VLOOKUP(B93,INDIRECT($F$8),6+(O104-1)*3),11)),IF(VLOOKUP(B93,INDIRECT($F$8),8+(O104-1)*3)&lt;U104*0.4,IF(U104*0.4-VLOOKUP(B93,INDIRECT($F$8),8+(O104-1)*3)&lt;=5,U104*0.4-VLOOKUP(B93,INDIRECT($F$8),8+(O104-1)*3),11),0))))</f>
        <v>11</v>
      </c>
      <c r="X104" s="1" t="str">
        <f ca="1">IF(ISERROR(F93),"",IF(W104=0,"",_xlfn.TEXTJOIN("",FALSE," G+",W104," in ",A104)))</f>
        <v xml:space="preserve"> G+11 in CAP 009</v>
      </c>
    </row>
    <row r="105" spans="1:24" ht="14.25" customHeight="1" x14ac:dyDescent="0.2">
      <c r="A105" s="7" t="str">
        <f ca="1">IF(ISERROR(F93),"",VLOOKUP(C93,INDIRECT($F$8),6+(O105-1)*3,0))</f>
        <v>CAP 010</v>
      </c>
      <c r="B105" s="41" t="str">
        <f ca="1">IF(ISERROR(F93),"",VLOOKUP(D93,INDIRECT($F$8),6+(O105-1)*3-Z105,0))</f>
        <v>Minor Project</v>
      </c>
      <c r="C105" s="41"/>
      <c r="D105" s="41"/>
      <c r="E105" s="41"/>
      <c r="F105" s="7">
        <f ca="1">IF(ISERROR(F93),"",VLOOKUP(E93,INDIRECT($F$8),6+(O105-1)*3,0))</f>
        <v>2</v>
      </c>
      <c r="G105" s="42" t="str">
        <f ca="1">IF(ISERROR(F93),"",_xlfn.TEXTJOIN("/",FALSE,P105,S105))</f>
        <v>0/50</v>
      </c>
      <c r="H105" s="42"/>
      <c r="I105" s="42" t="str">
        <f ca="1">IF(ISERROR(F93),"",_xlfn.TEXTJOIN("/",FALSE,Q105,T105))</f>
        <v>0/50</v>
      </c>
      <c r="J105" s="42"/>
      <c r="K105" s="42" t="str">
        <f ca="1">IF(ISERROR(F93),"",_xlfn.TEXTJOIN("/",FALSE,R105,U105))</f>
        <v>0/100</v>
      </c>
      <c r="L105" s="42"/>
      <c r="M105" s="7" t="str">
        <f ca="1">IF(ISERROR(F93),"",IF(ISTEXT(P105),IF(P105="A","Ab",IF(P105="D","Dt",IF(P105="UFM","UFM",IF(P105="NA","")))),IF(AND(ISBLANK(P105),ISBLANK(R105)),"",IF(P105&lt;0.3*S105,"F",IF(ISBLANK(R105),"",IF(ISTEXT(R105),R105,IF(R105&gt;=0.9*U105,"O",IF(R105&gt;=0.85*U105,"A+",IF(R105&gt;=0.8*U105,"A",IF(R105&gt;=0.7*U105,"B+",IF(R105&gt;=0.6*U105,"B",IF(R105&gt;=0.5*U105,"C",IF(R105&gt;=0.4*U105,"P",IF(R105&lt;0.4*U105,"F",R105))))))))))))))</f>
        <v>F</v>
      </c>
      <c r="N105" s="8">
        <f t="shared" ca="1" si="10"/>
        <v>0</v>
      </c>
      <c r="O105">
        <f t="shared" ca="1" si="11"/>
        <v>10</v>
      </c>
      <c r="P105" s="1">
        <f ca="1">IF(ISERROR(F93),"",IF(ISTEXT(VLOOKUP(B93,INDIRECT($F$8),6+(O105-1)*3)),(VLOOKUP(B93,INDIRECT($F$8),6+(O105-1)*3)),SUM(VLOOKUP(B93,INDIRECT($F$8),6+(O105-1)*3),IF(W106,W105,0))))</f>
        <v>0</v>
      </c>
      <c r="Q105" s="1">
        <f ca="1">IF(ISERROR(F93),"",VLOOKUP(B93,INDIRECT($F$8),7+(O105-1)*3))</f>
        <v>0</v>
      </c>
      <c r="R105" s="1">
        <f ca="1">IF(ISERROR(F93),"",SUM(P105:Q105))</f>
        <v>0</v>
      </c>
      <c r="S105" s="1">
        <f ca="1">IF(ISERROR(F93),"",VLOOKUP(A93,INDIRECT($F$8),6+(O105-1)*3))</f>
        <v>50</v>
      </c>
      <c r="T105" s="1">
        <f ca="1">IF(ISERROR(F93),"",VLOOKUP(A93,INDIRECT($F$8),7+(O105-1)*3))</f>
        <v>50</v>
      </c>
      <c r="U105" s="1">
        <f ca="1">IF(ISERROR(F93),"",VLOOKUP(A93,INDIRECT($F$8),8+(O105-1)*3))</f>
        <v>100</v>
      </c>
      <c r="V105" s="1" t="str">
        <f ca="1">IF(ISERROR(F93),"",IF(N105=0,A105,""))</f>
        <v>CAP 010</v>
      </c>
      <c r="W105" s="1">
        <f ca="1">IF(ISERROR(F93),"",IF(ISTEXT(VLOOKUP(B93,INDIRECT($F$8),6+(O105-1)*3)),11,IF(VLOOKUP(B93,INDIRECT($F$8),6+(O105-1)*3)&lt;S105*0.3,IF(VLOOKUP(B93,INDIRECT($F$8),8+(O105-1)*3)&lt;U105*0.4,IF(AND(0.4*U105-VLOOKUP(B93,INDIRECT($F$8),8+(O105-1)*3)&lt;=5,0.3*S105-VLOOKUP(B93,INDIRECT($F$8),6+(O105-1)*3)&lt;=5),MAX(0.4*U105-VLOOKUP(B93,INDIRECT($F$8),8+(O105-1)*3),0.3*S105-VLOOKUP(B93,INDIRECT($F$8),6+(O105-1)*3)),11),IF(0.3*S105-VLOOKUP(B93,INDIRECT($F$8),6+(O105-1)*3)&lt;=5,0.3*S105-VLOOKUP(B93,INDIRECT($F$8),6+(O105-1)*3),11)),IF(VLOOKUP(B93,INDIRECT($F$8),8+(O105-1)*3)&lt;U105*0.4,IF(U105*0.4-VLOOKUP(B93,INDIRECT($F$8),8+(O105-1)*3)&lt;=5,U105*0.4-VLOOKUP(B93,INDIRECT($F$8),8+(O105-1)*3),11),0))))</f>
        <v>11</v>
      </c>
      <c r="X105" s="1" t="str">
        <f ca="1">IF(ISERROR(F93),"",IF(W105=0,"",_xlfn.TEXTJOIN("",FALSE," G+",W105," in ",A105)))</f>
        <v xml:space="preserve"> G+11 in CAP 010</v>
      </c>
    </row>
    <row r="106" spans="1:24" ht="14.25" customHeight="1" x14ac:dyDescent="0.2">
      <c r="A106" s="43" t="str">
        <f ca="1">IF(ISERROR(F93),"",A89)</f>
        <v>Total Credits/ Marks/ Total Grade Points</v>
      </c>
      <c r="B106" s="43"/>
      <c r="C106" s="43"/>
      <c r="D106" s="43"/>
      <c r="E106" s="43"/>
      <c r="F106" s="10">
        <f ca="1">IF(ISERROR(F93),"",SUM(F98:F105))</f>
        <v>16</v>
      </c>
      <c r="G106" s="44" t="str">
        <f ca="1">IF(ISERROR(F93),"",_xlfn.TEXTJOIN("/",TRUE,SUMIF(F98:F105,"&gt;0",P98:P105),SUMIF(F98:F105,"&gt;0",S98:S105)))</f>
        <v>0/380</v>
      </c>
      <c r="H106" s="44"/>
      <c r="I106" s="44" t="str">
        <f ca="1">IF(ISERROR(F93),"",_xlfn.TEXTJOIN("/",TRUE,SUMIF(F98:F105,"&gt;0",Q98:Q105),SUMIF(F98:F105,"&gt;0",T98:T105)))</f>
        <v>0/320</v>
      </c>
      <c r="J106" s="44"/>
      <c r="K106" s="44" t="str">
        <f ca="1">IF(ISERROR(F93),"",_xlfn.TEXTJOIN("/",TRUE,SUMIF(F98:F105,"&gt;0",R98:R105),SUMIF(F98:F105,"&gt;0",U98:U105)))</f>
        <v>0/700</v>
      </c>
      <c r="L106" s="44"/>
      <c r="M106" s="43" t="e">
        <f ca="1">IF(ISERROR(F93),"",SUMPRODUCT(N98:N105,F98:F105))</f>
        <v>#N/A</v>
      </c>
      <c r="N106" s="43"/>
      <c r="V106" s="1" t="e">
        <f ca="1">IF(ISERROR(F93),"",_xlfn.TEXTJOIN(", ",TRUE,V98:V105))</f>
        <v>#N/A</v>
      </c>
      <c r="W106" t="b">
        <f ca="1">IF(ISERROR(F93),"",IF(SUM(W98:W105)&lt;=W97,TRUE,FALSE))</f>
        <v>0</v>
      </c>
      <c r="X106" s="1" t="str">
        <f ca="1">IF(ISERROR(F93),"",_xlfn.TEXTJOIN(",",TRUE,X98:X105))</f>
        <v xml:space="preserve"> G+11 in CAT  014, G+11 in CAT 015, G+11 in Enroll No., G+11 in Enroll No., G+11 in AHT 310, G+11 in CAP 008, G+11 in CAP 009, G+11 in CAP 010</v>
      </c>
    </row>
    <row r="107" spans="1:24" ht="14.25" customHeight="1" x14ac:dyDescent="0.2">
      <c r="A107" s="43" t="str">
        <f ca="1">IF(ISERROR(F93),"",A90)</f>
        <v>Result:</v>
      </c>
      <c r="B107" s="45" t="e">
        <f ca="1">IF(ISERROR(F93),"",IF(V106="","PASS","CARRY OVER"))</f>
        <v>#N/A</v>
      </c>
      <c r="C107" s="45"/>
      <c r="D107" s="43" t="str">
        <f ca="1">IF(ISERROR(F93),"",D90)</f>
        <v>Remark:</v>
      </c>
      <c r="E107" s="45" t="e">
        <f ca="1">IF(ISERROR(F93),"",IF(V106="",IF(X106="","",X106),_xlfn.TEXTJOIN(" ",TRUE,"BACK IN",V106)))</f>
        <v>#N/A</v>
      </c>
      <c r="F107" s="45"/>
      <c r="G107" s="43" t="str">
        <f ca="1">IF(ISERROR(F93),"",G90)</f>
        <v>SGPA:</v>
      </c>
      <c r="H107" s="46" t="e">
        <f ca="1">IF(ISERROR(F93),"",M106/F106)</f>
        <v>#N/A</v>
      </c>
      <c r="I107" s="43" t="str">
        <f ca="1">IF(ISERROR(F93),"",I90)</f>
        <v>CGPA:</v>
      </c>
      <c r="J107" s="46" t="e">
        <f ca="1">IF(ISERROR(F93),"",VLOOKUP(B93,INDIRECT($F$8),12+(O105-1)*3,0))</f>
        <v>#N/A</v>
      </c>
      <c r="K107" s="45" t="str">
        <f ca="1">IF(ISERROR(F93),"",K90)</f>
        <v>Earned Credits:</v>
      </c>
      <c r="L107" s="43">
        <f ca="1">IF(ISERROR(F93),"",SUMIF(N98:N105,"&gt;0",F98:F105))</f>
        <v>0</v>
      </c>
      <c r="M107" s="45" t="str">
        <f ca="1">IF(ISERROR(F93),"",M90)</f>
        <v>Cuml. Earned Credits:</v>
      </c>
      <c r="N107" s="43" t="e">
        <f ca="1">IF(ISERROR(F93),"",VLOOKUP(B93,INDIRECT($F$8),10+(O105-1)*3,0))</f>
        <v>#N/A</v>
      </c>
    </row>
    <row r="108" spans="1:24" ht="14.25" customHeight="1" x14ac:dyDescent="0.2">
      <c r="A108" s="43"/>
      <c r="B108" s="45"/>
      <c r="C108" s="45"/>
      <c r="D108" s="43"/>
      <c r="E108" s="45"/>
      <c r="F108" s="45"/>
      <c r="G108" s="43"/>
      <c r="H108" s="46"/>
      <c r="I108" s="43"/>
      <c r="J108" s="46"/>
      <c r="K108" s="45"/>
      <c r="L108" s="43"/>
      <c r="M108" s="45"/>
      <c r="N108" s="43"/>
    </row>
    <row r="109" spans="1:24" ht="14.25" customHeight="1" x14ac:dyDescent="0.2">
      <c r="A109" s="43"/>
      <c r="B109" s="45"/>
      <c r="C109" s="45"/>
      <c r="D109" s="43"/>
      <c r="E109" s="45"/>
      <c r="F109" s="45"/>
      <c r="G109" s="43"/>
      <c r="H109" s="46"/>
      <c r="I109" s="43"/>
      <c r="J109" s="46"/>
      <c r="K109" s="45"/>
      <c r="L109" s="43"/>
      <c r="M109" s="45"/>
      <c r="N109" s="43"/>
    </row>
    <row r="110" spans="1:24" ht="14.25" customHeight="1" x14ac:dyDescent="0.2">
      <c r="A110" s="11" t="str">
        <f>A93</f>
        <v>MM</v>
      </c>
      <c r="B110" s="11">
        <f>B93+1</f>
        <v>7</v>
      </c>
      <c r="C110" s="11" t="str">
        <f>C93</f>
        <v>SC</v>
      </c>
      <c r="D110" s="11" t="str">
        <f>D93</f>
        <v>SN</v>
      </c>
      <c r="E110" s="11" t="str">
        <f>E93</f>
        <v>C</v>
      </c>
      <c r="F110" s="11" t="str">
        <f ca="1">VLOOKUP(B110,INDIRECT($F$8),4,0)</f>
        <v>AYUSH MAURYA</v>
      </c>
    </row>
    <row r="111" spans="1:24" ht="14.25" customHeight="1" x14ac:dyDescent="0.2">
      <c r="A111" s="47" t="str">
        <f ca="1">IF(ISERROR(F110),"",A94)</f>
        <v>Name:</v>
      </c>
      <c r="B111" s="47" t="str">
        <f ca="1">IFERROR(VLOOKUP(B110,INDIRECT($F$8),4,0),"")</f>
        <v>AYUSH MAURYA</v>
      </c>
      <c r="C111" s="47"/>
      <c r="D111" s="47" t="str">
        <f ca="1">IF(ISERROR(F110),"",D94)</f>
        <v>Father's Name:</v>
      </c>
      <c r="E111" s="47" t="str">
        <f ca="1">IFERROR(VLOOKUP(B110,INDIRECT($F$8),5,0),"")</f>
        <v>BABU RAM</v>
      </c>
      <c r="F111" s="47"/>
      <c r="G111" s="47" t="str">
        <f ca="1">IF(ISERROR(F110),"",G94)</f>
        <v>University Roll No:</v>
      </c>
      <c r="H111" s="47"/>
      <c r="I111" s="48">
        <f ca="1">IFERROR(VLOOKUP(B110,INDIRECT($F$8),2,0),"")</f>
        <v>240090600007</v>
      </c>
      <c r="J111" s="48"/>
      <c r="K111" s="47" t="str">
        <f ca="1">IF(ISERROR(F110),"",K94)</f>
        <v>University Enrol. No:</v>
      </c>
      <c r="L111" s="47"/>
      <c r="M111" s="48" t="str">
        <f ca="1">IFERROR(VLOOKUP(B110,INDIRECT($F$8),3,0),"")</f>
        <v>UTU/2406100174</v>
      </c>
      <c r="N111" s="48"/>
    </row>
    <row r="112" spans="1:24" ht="14.25" customHeight="1" x14ac:dyDescent="0.2">
      <c r="A112" s="47"/>
      <c r="B112" s="47"/>
      <c r="C112" s="47"/>
      <c r="D112" s="47"/>
      <c r="E112" s="47"/>
      <c r="F112" s="47"/>
      <c r="G112" s="47"/>
      <c r="H112" s="47"/>
      <c r="I112" s="48"/>
      <c r="J112" s="48"/>
      <c r="K112" s="47"/>
      <c r="L112" s="47"/>
      <c r="M112" s="48"/>
      <c r="N112" s="48"/>
    </row>
    <row r="113" spans="1:24" ht="14.25" customHeight="1" x14ac:dyDescent="0.2">
      <c r="A113" s="45" t="str">
        <f ca="1">IF(ISERROR(F110),"",A96)</f>
        <v>Subject Code</v>
      </c>
      <c r="B113" s="45" t="str">
        <f ca="1">IF(ISERROR(F110),"",B96)</f>
        <v>Subject Name</v>
      </c>
      <c r="C113" s="45"/>
      <c r="D113" s="45"/>
      <c r="E113" s="45"/>
      <c r="F113" s="45" t="str">
        <f ca="1">IF(ISERROR(F110),"",F96)</f>
        <v>Credits</v>
      </c>
      <c r="G113" s="45" t="str">
        <f ca="1">IF(ISERROR(F110),"",G96)</f>
        <v>External Marks</v>
      </c>
      <c r="H113" s="45"/>
      <c r="I113" s="45" t="str">
        <f ca="1">IF(ISERROR(F110),"",I96)</f>
        <v>Sessional Marks</v>
      </c>
      <c r="J113" s="45"/>
      <c r="K113" s="45" t="str">
        <f ca="1">IF(ISERROR(F110),"",K96)</f>
        <v>Total Marks</v>
      </c>
      <c r="L113" s="45"/>
      <c r="M113" s="45" t="str">
        <f ca="1">IF(ISERROR(F110),"",M96)</f>
        <v>Grade</v>
      </c>
      <c r="N113" s="45" t="str">
        <f ca="1">IF(ISERROR(F110),"",N96)</f>
        <v>Grade Points</v>
      </c>
    </row>
    <row r="114" spans="1:24" ht="14.25" customHeight="1" x14ac:dyDescent="0.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W114">
        <f ca="1">IF(ISNUMBER(MATCH($F$8,{"I","III","V","VII"},0)),10,10-INDEX(INDIRECT(_xlfn.TEXTJOIN("",TRUE,"SEM_",$G$8,"!",ADDRESS(6,4+$I$8*3+4),":",ADDRESS(5+$H$8,4+$I$8*3+4))),MATCH(INDIRECT(_xlfn.TEXTJOIN("",TRUE,"TC_",$F$8,"!",ADDRESS(ROW(I111),COLUMN(I111)))),INDIRECT(_xlfn.TEXTJOIN("",TRUE,"SEM_",$G$8,"!",ADDRESS(6,2),":",ADDRESS(5+$H$8,2))))))</f>
        <v>10</v>
      </c>
    </row>
    <row r="115" spans="1:24" ht="14.25" customHeight="1" x14ac:dyDescent="0.2">
      <c r="A115" s="7" t="str">
        <f ca="1">IF(ISERROR(F110),"",VLOOKUP(C110,INDIRECT($F$8),6+(O115-1)*3,0))</f>
        <v>CAT  014</v>
      </c>
      <c r="B115" s="41" t="str">
        <f ca="1">IF(ISERROR(F110),"",VLOOKUP(D110,INDIRECT($F$8),6+(O115-1)*3,0))</f>
        <v>Graph Theory</v>
      </c>
      <c r="C115" s="41"/>
      <c r="D115" s="41"/>
      <c r="E115" s="41"/>
      <c r="F115" s="7">
        <f ca="1">IF(ISERROR(F110),"",VLOOKUP(E110,INDIRECT($F$8),6+(O115-1)*3,0))</f>
        <v>4</v>
      </c>
      <c r="G115" s="42" t="str">
        <f ca="1">IF(ISERROR(F110),"",_xlfn.TEXTJOIN("/",FALSE,P115,S115))</f>
        <v>0/100</v>
      </c>
      <c r="H115" s="42"/>
      <c r="I115" s="42" t="str">
        <f ca="1">IF(ISERROR(F110),"",_xlfn.TEXTJOIN("/",FALSE,Q115,T115))</f>
        <v>0/50</v>
      </c>
      <c r="J115" s="42"/>
      <c r="K115" s="42" t="str">
        <f ca="1">IF(ISERROR(F110),"",_xlfn.TEXTJOIN("/",FALSE,R115,U115))</f>
        <v>0/150</v>
      </c>
      <c r="L115" s="42"/>
      <c r="M115" s="7" t="str">
        <f ca="1">IF(ISERROR(F110),"",IF(ISTEXT(P115),IF(P115="A","Ab",IF(P115="D","Dt",IF(P115="UFM","UFM",IF(P115="NA","")))),IF(AND(ISBLANK(P115),ISBLANK(R115)),"",IF(P115&lt;0.3*S115,"F",IF(ISBLANK(R115),"",IF(ISTEXT(R115),R115,IF(R115&gt;=0.9*U115,"O",IF(R115&gt;=0.85*U115,"A+",IF(R115&gt;=0.8*U115,"A",IF(R115&gt;=0.7*U115,"B+",IF(R115&gt;=0.6*U115,"B",IF(R115&gt;=0.5*U115,"C",IF(R115&gt;=0.4*U115,"P",IF(R115&lt;0.4*U115,"F",R115))))))))))))))</f>
        <v>F</v>
      </c>
      <c r="N115" s="8">
        <f t="shared" ref="N115:N122" ca="1" si="12">INDEX($Z$2:$Z$13,MATCH(M115,$Y$2:$Y$13,0))</f>
        <v>0</v>
      </c>
      <c r="O115">
        <v>1</v>
      </c>
      <c r="P115" s="1">
        <f ca="1">IF(ISERROR(F110),"",IF(ISTEXT(VLOOKUP(B110,INDIRECT($F$8),6+(O115-1)*3)),(VLOOKUP(B110,INDIRECT($F$8),6+(O115-1)*3)),SUM(VLOOKUP(B110,INDIRECT($F$8),6+(O115-1)*3),IF(W123,W115,0))))</f>
        <v>0</v>
      </c>
      <c r="Q115" s="1">
        <f ca="1">IF(ISERROR(F110),"",VLOOKUP(B110,INDIRECT($F$8),7+(O115-1)*3))</f>
        <v>0</v>
      </c>
      <c r="R115" s="1">
        <f ca="1">IF(ISERROR(F110),"",SUM(P115:Q115))</f>
        <v>0</v>
      </c>
      <c r="S115" s="1">
        <f ca="1">IF(ISERROR(F110),"",VLOOKUP(A110,INDIRECT($F$8),6+(O115-1)*3))</f>
        <v>100</v>
      </c>
      <c r="T115" s="1">
        <f ca="1">IF(ISERROR(F110),"",VLOOKUP(A110,INDIRECT($F$8),7+(O115-1)*3))</f>
        <v>50</v>
      </c>
      <c r="U115" s="1">
        <f ca="1">IF(ISERROR(F110),"",VLOOKUP(A110,INDIRECT($F$8),8+(O115-1)*3))</f>
        <v>150</v>
      </c>
      <c r="V115" s="1" t="str">
        <f ca="1">IF(ISERROR(F110),"",IF(N115=0,A115,""))</f>
        <v>CAT  014</v>
      </c>
      <c r="W115" s="1">
        <f ca="1">IF(ISERROR(F110),"",IF(ISTEXT(VLOOKUP(B110,INDIRECT($F$8),6+(O115-1)*3)),11,IF(VLOOKUP(B110,INDIRECT($F$8),6+(O115-1)*3)&lt;S115*0.3,IF(VLOOKUP(B110,INDIRECT($F$8),8+(O115-1)*3)&lt;U115*0.4,IF(AND(0.4*U115-VLOOKUP(B110,INDIRECT($F$8),8+(O115-1)*3)&lt;=5,0.3*S115-VLOOKUP(B110,INDIRECT($F$8),6+(O115-1)*3)&lt;=5),MAX(0.4*U115-VLOOKUP(B110,INDIRECT($F$8),8+(O115-1)*3),0.3*S115-VLOOKUP(B110,INDIRECT($F$8),6+(O115-1)*3)),11),IF(0.3*S115-VLOOKUP(B110,INDIRECT($F$8),6+(O115-1)*3)&lt;=5,0.3*S115-VLOOKUP(B110,INDIRECT($F$8),6+(O115-1)*3),11)),IF(VLOOKUP(B110,INDIRECT($F$8),8+(O115-1)*3)&lt;U115*0.4,IF(U115*0.4-VLOOKUP(B110,INDIRECT($F$8),8+(O115-1)*3)&lt;=5,U115*0.4-VLOOKUP(B110,INDIRECT($F$8),8+(O115-1)*3),11),0))))</f>
        <v>11</v>
      </c>
      <c r="X115" s="1" t="str">
        <f ca="1">IF(ISERROR(F110),"",IF(W115=0,"",_xlfn.TEXTJOIN("",FALSE," G+",W115," in ",A115)))</f>
        <v xml:space="preserve"> G+11 in CAT  014</v>
      </c>
    </row>
    <row r="116" spans="1:24" ht="14.25" customHeight="1" x14ac:dyDescent="0.2">
      <c r="A116" s="7" t="str">
        <f ca="1">IF(ISERROR(F110),"",VLOOKUP(C110,INDIRECT($F$8),6+(O116-1)*3,0))</f>
        <v>CAT 015</v>
      </c>
      <c r="B116" s="41" t="str">
        <f ca="1">IF(ISERROR(F110),"",VLOOKUP(D110,INDIRECT($F$8),6+(O116-1)*3,0))</f>
        <v>Software Engineering</v>
      </c>
      <c r="C116" s="41"/>
      <c r="D116" s="41"/>
      <c r="E116" s="41"/>
      <c r="F116" s="7">
        <f ca="1">IF(ISERROR(F110),"",VLOOKUP(E110,INDIRECT($F$8),6+(O116-1)*3,0))</f>
        <v>4</v>
      </c>
      <c r="G116" s="42" t="str">
        <f ca="1">IF(ISERROR(F110),"",_xlfn.TEXTJOIN("/",FALSE,P116,S116))</f>
        <v>0/100</v>
      </c>
      <c r="H116" s="42"/>
      <c r="I116" s="42" t="str">
        <f ca="1">IF(ISERROR(F110),"",_xlfn.TEXTJOIN("/",FALSE,Q116,T116))</f>
        <v>0/50</v>
      </c>
      <c r="J116" s="42"/>
      <c r="K116" s="42" t="str">
        <f ca="1">IF(ISERROR(F110),"",_xlfn.TEXTJOIN("/",FALSE,R116,U116))</f>
        <v>0/150</v>
      </c>
      <c r="L116" s="42"/>
      <c r="M116" s="7" t="str">
        <f ca="1">IF(ISERROR(F110),"",IF(ISTEXT(P116),IF(P116="A","Ab",IF(P116="D","Dt",IF(P116="UFM","UFM",IF(P116="NA","")))),IF(AND(ISBLANK(P116),ISBLANK(R116)),"",IF(P116&lt;0.3*S116,"F",IF(ISBLANK(R116),"",IF(ISTEXT(R116),R116,IF(R116&gt;=0.9*U116,"O",IF(R116&gt;=0.85*U116,"A+",IF(R116&gt;=0.8*U116,"A",IF(R116&gt;=0.7*U116,"B+",IF(R116&gt;=0.6*U116,"B",IF(R116&gt;=0.5*U116,"C",IF(R116&gt;=0.4*U116,"P",IF(R116&lt;0.4*U116,"F",R116))))))))))))))</f>
        <v>F</v>
      </c>
      <c r="N116" s="8">
        <f t="shared" ca="1" si="12"/>
        <v>0</v>
      </c>
      <c r="O116">
        <f>O115+1</f>
        <v>2</v>
      </c>
      <c r="P116" s="1">
        <f ca="1">IF(ISERROR(F110),"",IF(ISTEXT(VLOOKUP(B110,INDIRECT($F$8),6+(O116-1)*3)),(VLOOKUP(B110,INDIRECT($F$8),6+(O116-1)*3)),SUM(VLOOKUP(B110,INDIRECT($F$8),6+(O116-1)*3),IF(W123,W116,0))))</f>
        <v>0</v>
      </c>
      <c r="Q116" s="1">
        <f ca="1">IF(ISERROR(F110),"",VLOOKUP(B110,INDIRECT($F$8),7+(O116-1)*3))</f>
        <v>0</v>
      </c>
      <c r="R116" s="1">
        <f ca="1">IF(ISERROR(F110),"",SUM(P116:Q116))</f>
        <v>0</v>
      </c>
      <c r="S116" s="1">
        <f ca="1">IF(ISERROR(F110),"",VLOOKUP(A110,INDIRECT($F$8),6+(O116-1)*3))</f>
        <v>100</v>
      </c>
      <c r="T116" s="1">
        <f ca="1">IF(ISERROR(F110),"",VLOOKUP(A110,INDIRECT($F$8),7+(O116-1)*3))</f>
        <v>50</v>
      </c>
      <c r="U116" s="1">
        <f ca="1">IF(ISERROR(F110),"",VLOOKUP(A110,INDIRECT($F$8),8+(O116-1)*3))</f>
        <v>150</v>
      </c>
      <c r="V116" s="1" t="str">
        <f ca="1">IF(ISERROR(F110),"",IF(N116=0,A116,""))</f>
        <v>CAT 015</v>
      </c>
      <c r="W116" s="1">
        <f ca="1">IF(ISERROR(F110),"",IF(ISTEXT(VLOOKUP(B110,INDIRECT($F$8),6+(O116-1)*3)),11,IF(VLOOKUP(B110,INDIRECT($F$8),6+(O116-1)*3)&lt;S116*0.3,IF(VLOOKUP(B110,INDIRECT($F$8),8+(O116-1)*3)&lt;U116*0.4,IF(AND(0.4*U116-VLOOKUP(B110,INDIRECT($F$8),8+(O116-1)*3)&lt;=5,0.3*S116-VLOOKUP(B110,INDIRECT($F$8),6+(O116-1)*3)&lt;=5),MAX(0.4*U116-VLOOKUP(B110,INDIRECT($F$8),8+(O116-1)*3),0.3*S116-VLOOKUP(B110,INDIRECT($F$8),6+(O116-1)*3)),11),IF(0.3*S116-VLOOKUP(B110,INDIRECT($F$8),6+(O116-1)*3)&lt;=5,0.3*S116-VLOOKUP(B110,INDIRECT($F$8),6+(O116-1)*3),11)),IF(VLOOKUP(B110,INDIRECT($F$8),8+(O116-1)*3)&lt;U116*0.4,IF(U116*0.4-VLOOKUP(B110,INDIRECT($F$8),8+(O116-1)*3)&lt;=5,U116*0.4-VLOOKUP(B110,INDIRECT($F$8),8+(O116-1)*3),11),0))))</f>
        <v>11</v>
      </c>
      <c r="X116" s="1" t="str">
        <f ca="1">IF(ISERROR(F110),"",IF(W116=0,"",_xlfn.TEXTJOIN("",FALSE," G+",W116," in ",A116)))</f>
        <v xml:space="preserve"> G+11 in CAT 015</v>
      </c>
    </row>
    <row r="117" spans="1:24" ht="14.25" customHeight="1" x14ac:dyDescent="0.2">
      <c r="A117" s="7" t="str">
        <f ca="1">IF(ISERROR(F110),"",VLOOKUP(C110,INDIRECT($F$8),6+(O117-1)*3,0))</f>
        <v>Enroll No.</v>
      </c>
      <c r="B117" s="41">
        <f ca="1">IF(ISERROR(F110),"",VLOOKUP(D110,INDIRECT($F$8),6+(O117-1)*3,0))</f>
        <v>0</v>
      </c>
      <c r="C117" s="41"/>
      <c r="D117" s="41"/>
      <c r="E117" s="41"/>
      <c r="F117" s="7">
        <f ca="1">IF(ISERROR(F110),"",VLOOKUP(E110,INDIRECT($F$8),6+(O117-1)*3,0))</f>
        <v>0</v>
      </c>
      <c r="G117" s="42" t="str">
        <f ca="1">IF(ISERROR(F110),"",_xlfn.TEXTJOIN("/",FALSE,P117,S117))</f>
        <v>UTU/2406100174/0</v>
      </c>
      <c r="H117" s="42"/>
      <c r="I117" s="42" t="str">
        <f ca="1">IF(ISERROR(F110),"",_xlfn.TEXTJOIN("/",FALSE,Q117,T117))</f>
        <v>AYUSH MAURYA/0</v>
      </c>
      <c r="J117" s="42"/>
      <c r="K117" s="42" t="str">
        <f ca="1">IF(ISERROR(F110),"",_xlfn.TEXTJOIN("/",FALSE,R117,U117))</f>
        <v>0/0</v>
      </c>
      <c r="L117" s="42"/>
      <c r="M117" s="7" t="b">
        <f ca="1">IF(ISERROR(F110),"",IF(ISTEXT(P117),IF(P117="A","Ab",IF(P117="D","Dt",IF(P117="UFM","UFM",IF(P117="NA","")))),IF(AND(ISBLANK(P117),ISBLANK(R117)),"",IF(P117&lt;0.3*S117,"F",IF(ISBLANK(R117),"",IF(ISTEXT(R117),R117,IF(R117&gt;=0.9*U117,"O",IF(R117&gt;=0.85*U117,"A+",IF(R117&gt;=0.8*U117,"A",IF(R117&gt;=0.7*U117,"B+",IF(R117&gt;=0.6*U117,"B",IF(R117&gt;=0.5*U117,"C",IF(R117&gt;=0.4*U117,"P",IF(R117&lt;0.4*U117,"F",R117))))))))))))))</f>
        <v>0</v>
      </c>
      <c r="N117" s="8" t="e">
        <f t="shared" ca="1" si="12"/>
        <v>#N/A</v>
      </c>
      <c r="O117" t="b" cm="1">
        <f t="array" aca="1" ref="O117" ca="1">IF(NOT(ISBLANK(INDIRECT("SEM_III!L"&amp;INT((ROW(O117)-15)/17)+6))),3,IF(NOT(ISBLANK(INDIRECT("SEM_III!O"&amp;INT((ROW(O117)-15)/17)+6))),4))</f>
        <v>0</v>
      </c>
      <c r="P117" s="1" t="str">
        <f ca="1">IF(ISERROR(F110),"",IF(ISTEXT(VLOOKUP(B110,INDIRECT($F$8),6+(O117-1)*3)),(VLOOKUP(B110,INDIRECT($F$8),6+(O117-1)*3)),SUM(VLOOKUP(B110,INDIRECT($F$8),6+(O117-1)*3),IF(W123,W117,0))))</f>
        <v>UTU/2406100174</v>
      </c>
      <c r="Q117" s="1" t="str">
        <f ca="1">IF(ISERROR(F110),"",VLOOKUP(B110,INDIRECT($F$8),7+(O117-1)*3))</f>
        <v>AYUSH MAURYA</v>
      </c>
      <c r="R117" s="1">
        <f ca="1">IF(ISERROR(F110),"",SUM(P117:Q117))</f>
        <v>0</v>
      </c>
      <c r="S117" s="1">
        <f ca="1">IF(ISERROR(F110),"",VLOOKUP(A110,INDIRECT($F$8),6+(O117-1)*3))</f>
        <v>0</v>
      </c>
      <c r="T117" s="1">
        <f ca="1">IF(ISERROR(F110),"",VLOOKUP(A110,INDIRECT($F$8),7+(O117-1)*3))</f>
        <v>0</v>
      </c>
      <c r="U117" s="1">
        <f ca="1">IF(ISERROR(F110),"",VLOOKUP(A110,INDIRECT($F$8),8+(O117-1)*3))</f>
        <v>0</v>
      </c>
      <c r="V117" s="1" t="e">
        <f ca="1">IF(ISERROR(F110),"",IF(N117=0,A117,""))</f>
        <v>#N/A</v>
      </c>
      <c r="W117" s="1">
        <f ca="1">IF(ISERROR(F110),"",IF(ISTEXT(VLOOKUP(B110,INDIRECT($F$8),6+(O117-1)*3)),11,IF(VLOOKUP(B110,INDIRECT($F$8),6+(O117-1)*3)&lt;S117*0.3,IF(VLOOKUP(B110,INDIRECT($F$8),8+(O117-1)*3)&lt;U117*0.4,IF(AND(0.4*U117-VLOOKUP(B110,INDIRECT($F$8),8+(O117-1)*3)&lt;=5,0.3*S117-VLOOKUP(B110,INDIRECT($F$8),6+(O117-1)*3)&lt;=5),MAX(0.4*U117-VLOOKUP(B110,INDIRECT($F$8),8+(O117-1)*3),0.3*S117-VLOOKUP(B110,INDIRECT($F$8),6+(O117-1)*3)),11),IF(0.3*S117-VLOOKUP(B110,INDIRECT($F$8),6+(O117-1)*3)&lt;=5,0.3*S117-VLOOKUP(B110,INDIRECT($F$8),6+(O117-1)*3),11)),IF(VLOOKUP(B110,INDIRECT($F$8),8+(O117-1)*3)&lt;U117*0.4,IF(U117*0.4-VLOOKUP(B110,INDIRECT($F$8),8+(O117-1)*3)&lt;=5,U117*0.4-VLOOKUP(B110,INDIRECT($F$8),8+(O117-1)*3),11),0))))</f>
        <v>11</v>
      </c>
      <c r="X117" s="1" t="str">
        <f ca="1">IF(ISERROR(F110),"",IF(W117=0,"",_xlfn.TEXTJOIN("",FALSE," G+",W117," in ",A117)))</f>
        <v xml:space="preserve"> G+11 in Enroll No.</v>
      </c>
    </row>
    <row r="118" spans="1:24" ht="14.25" customHeight="1" x14ac:dyDescent="0.2">
      <c r="A118" s="7" t="str">
        <f ca="1">IF(ISERROR(F110),"",VLOOKUP(C110,INDIRECT($F$8),6+(O118-1)*3,0))</f>
        <v>Enroll No.</v>
      </c>
      <c r="B118" s="41">
        <f ca="1">IF(ISERROR(F110),"",VLOOKUP(D110,INDIRECT($F$8),6+(O118-1)*3,0))</f>
        <v>0</v>
      </c>
      <c r="C118" s="41"/>
      <c r="D118" s="41"/>
      <c r="E118" s="41"/>
      <c r="F118" s="7">
        <f ca="1">IF(ISERROR(F110),"",VLOOKUP(E110,INDIRECT($F$8),6+(O118-1)*3,0))</f>
        <v>0</v>
      </c>
      <c r="G118" s="42" t="str">
        <f ca="1">IF(ISERROR(F110),"",_xlfn.TEXTJOIN("/",FALSE,P118,S118))</f>
        <v>UTU/2406100174/0</v>
      </c>
      <c r="H118" s="42"/>
      <c r="I118" s="42" t="str">
        <f ca="1">IF(ISERROR(F110),"",_xlfn.TEXTJOIN("/",FALSE,Q118,T118))</f>
        <v>AYUSH MAURYA/0</v>
      </c>
      <c r="J118" s="42"/>
      <c r="K118" s="42" t="str">
        <f ca="1">IF(ISERROR(F110),"",_xlfn.TEXTJOIN("/",FALSE,R118,U118))</f>
        <v>0/0</v>
      </c>
      <c r="L118" s="42"/>
      <c r="M118" s="7" t="b">
        <f ca="1">IF(ISERROR(F110),"",IF(ISTEXT(P118),IF(P118="A","Ab",IF(P118="D","Dt",IF(P118="UFM","UFM",IF(P118="NA","")))),IF(AND(ISBLANK(P118),ISBLANK(R118)),"",IF(P118&lt;0.3*S118,"F",IF(ISBLANK(R118),"",IF(ISTEXT(R118),R118,IF(R118&gt;=0.9*U118,"O",IF(R118&gt;=0.85*U118,"A+",IF(R118&gt;=0.8*U118,"A",IF(R118&gt;=0.7*U118,"B+",IF(R118&gt;=0.6*U118,"B",IF(R118&gt;=0.5*U118,"C",IF(R118&gt;=0.4*U118,"P",IF(R118&lt;0.4*U118,"F",R118))))))))))))))</f>
        <v>0</v>
      </c>
      <c r="N118" s="8" t="e">
        <f t="shared" ca="1" si="12"/>
        <v>#N/A</v>
      </c>
      <c r="O118" t="b" cm="1">
        <f t="array" aca="1" ref="O118" ca="1">IF(NOT(ISBLANK(INDIRECT("SEM_III!R"&amp;INT((ROW(O118)-16)/17)+6))),5,IF(NOT(ISBLANK(INDIRECT("SEM_III!U"&amp;INT((ROW(O118)-16)/17)+6))),6))</f>
        <v>0</v>
      </c>
      <c r="P118" s="1" t="str">
        <f ca="1">IF(ISERROR(F110),"",IF(ISTEXT(VLOOKUP(B110,INDIRECT($F$8),6+(O118-1)*3)),(VLOOKUP(B110,INDIRECT($F$8),6+(O118-1)*3)),SUM(VLOOKUP(B110,INDIRECT($F$8),6+(O118-1)*3),IF(W123,W118,0))))</f>
        <v>UTU/2406100174</v>
      </c>
      <c r="Q118" s="1" t="str">
        <f ca="1">IF(ISERROR(F110),"",VLOOKUP(B110,INDIRECT($F$8),7+(O118-1)*3))</f>
        <v>AYUSH MAURYA</v>
      </c>
      <c r="R118" s="1">
        <f ca="1">IF(ISERROR(F110),"",SUM(P118:Q118))</f>
        <v>0</v>
      </c>
      <c r="S118" s="1">
        <f ca="1">IF(ISERROR(F110),"",VLOOKUP(A110,INDIRECT($F$8),6+(O118-1)*3))</f>
        <v>0</v>
      </c>
      <c r="T118" s="1">
        <f ca="1">IF(ISERROR(F110),"",VLOOKUP(A110,INDIRECT($F$8),7+(O118-1)*3))</f>
        <v>0</v>
      </c>
      <c r="U118" s="1">
        <f ca="1">IF(ISERROR(F110),"",VLOOKUP(A110,INDIRECT($F$8),8+(O118-1)*3))</f>
        <v>0</v>
      </c>
      <c r="V118" s="1" t="e">
        <f ca="1">IF(ISERROR(F110),"",IF(N118=0,A118,""))</f>
        <v>#N/A</v>
      </c>
      <c r="W118" s="1">
        <f ca="1">IF(ISERROR(F110),"",IF(ISTEXT(VLOOKUP(B110,INDIRECT($F$8),6+(O118-1)*3)),11,IF(VLOOKUP(B110,INDIRECT($F$8),6+(O118-1)*3)&lt;S118*0.3,IF(VLOOKUP(B110,INDIRECT($F$8),8+(O118-1)*3)&lt;U118*0.4,IF(AND(0.4*U118-VLOOKUP(B110,INDIRECT($F$8),8+(O118-1)*3)&lt;=5,0.3*S118-VLOOKUP(B110,INDIRECT($F$8),6+(O118-1)*3)&lt;=5),MAX(0.4*U118-VLOOKUP(B110,INDIRECT($F$8),8+(O118-1)*3),0.3*S118-VLOOKUP(B110,INDIRECT($F$8),6+(O118-1)*3)),11),IF(0.3*S118-VLOOKUP(B110,INDIRECT($F$8),6+(O118-1)*3)&lt;=5,0.3*S118-VLOOKUP(B110,INDIRECT($F$8),6+(O118-1)*3),11)),IF(VLOOKUP(B110,INDIRECT($F$8),8+(O118-1)*3)&lt;U118*0.4,IF(U118*0.4-VLOOKUP(B110,INDIRECT($F$8),8+(O118-1)*3)&lt;=5,U118*0.4-VLOOKUP(B110,INDIRECT($F$8),8+(O118-1)*3),11),0))))</f>
        <v>11</v>
      </c>
      <c r="X118" s="1" t="str">
        <f ca="1">IF(ISERROR(F110),"",IF(W118=0,"",_xlfn.TEXTJOIN("",FALSE," G+",W118," in ",A118)))</f>
        <v xml:space="preserve"> G+11 in Enroll No.</v>
      </c>
    </row>
    <row r="119" spans="1:24" ht="14.25" customHeight="1" x14ac:dyDescent="0.2">
      <c r="A119" s="7" t="str">
        <f ca="1">IF(ISERROR(F110),"",VLOOKUP(C110,INDIRECT($F$8),6+(O119-1)*3,0))</f>
        <v>AHT 310</v>
      </c>
      <c r="B119" s="41" t="str">
        <f ca="1">IF(ISERROR(F110),"",VLOOKUP(D110,INDIRECT($F$8),6+(O119-1)*3,0))</f>
        <v>Universal Human Value</v>
      </c>
      <c r="C119" s="41"/>
      <c r="D119" s="41"/>
      <c r="E119" s="41"/>
      <c r="F119" s="7">
        <f ca="1">IF(ISERROR(F110),"",VLOOKUP(E110,INDIRECT($F$8),6+(O119-1)*3,0))</f>
        <v>3</v>
      </c>
      <c r="G119" s="42" t="str">
        <f ca="1">IF(ISERROR(F110),"",_xlfn.TEXTJOIN("/",FALSE,P119,S119))</f>
        <v>0/100</v>
      </c>
      <c r="H119" s="42"/>
      <c r="I119" s="42" t="str">
        <f ca="1">IF(ISERROR(F110),"",_xlfn.TEXTJOIN("/",FALSE,Q119,T119))</f>
        <v>0/50</v>
      </c>
      <c r="J119" s="42"/>
      <c r="K119" s="42" t="str">
        <f ca="1">IF(ISERROR(F110),"",_xlfn.TEXTJOIN("/",FALSE,R119,U119))</f>
        <v>0/150</v>
      </c>
      <c r="L119" s="42"/>
      <c r="M119" s="7" t="str">
        <f ca="1">IF(ISERROR(F110),"",IF(ISTEXT(P119),IF(P119="A","Ab",IF(P119="D","Dt",IF(P119="UFM","UFM",IF(P119="NA","")))),IF(AND(ISBLANK(P119),ISBLANK(R119)),"",IF(P119&lt;0.3*S119,"F",IF(ISBLANK(R119),"",IF(ISTEXT(R119),R119,IF(R119&gt;=0.9*U119,"O",IF(R119&gt;=0.85*U119,"A+",IF(R119&gt;=0.8*U119,"A",IF(R119&gt;=0.7*U119,"B+",IF(R119&gt;=0.6*U119,"B",IF(R119&gt;=0.5*U119,"C",IF(R119&gt;=0.4*U119,"P",IF(R119&lt;0.4*U119,"F",R119))))))))))))))</f>
        <v>F</v>
      </c>
      <c r="N119" s="8">
        <f t="shared" ca="1" si="12"/>
        <v>0</v>
      </c>
      <c r="O119">
        <f ca="1">IF(O118&gt;0,7,"")</f>
        <v>7</v>
      </c>
      <c r="P119" s="1">
        <f ca="1">IF(ISERROR(F110),"",IF(ISTEXT(VLOOKUP(B110,INDIRECT($F$8),6+(O119-1)*3)),(VLOOKUP(B110,INDIRECT($F$8),6+(O119-1)*3)),SUM(VLOOKUP(B110,INDIRECT($F$8),6+(O119-1)*3),IF(W123,W119,0))))</f>
        <v>0</v>
      </c>
      <c r="Q119" s="1">
        <f ca="1">IF(ISERROR(F110),"",VLOOKUP(B110,INDIRECT($F$8),7+(O119-1)*3))</f>
        <v>0</v>
      </c>
      <c r="R119" s="1">
        <f ca="1">IF(ISERROR(F110),"",SUM(P119:Q119))</f>
        <v>0</v>
      </c>
      <c r="S119" s="1">
        <f ca="1">IF(ISERROR(F110),"",VLOOKUP(A110,INDIRECT($F$8),6+(O119-1)*3))</f>
        <v>100</v>
      </c>
      <c r="T119" s="1">
        <f ca="1">IF(ISERROR(F110),"",VLOOKUP(A110,INDIRECT($F$8),7+(O119-1)*3))</f>
        <v>50</v>
      </c>
      <c r="U119" s="1">
        <f ca="1">IF(ISERROR(F110),"",VLOOKUP(A110,INDIRECT($F$8),8+(O119-1)*3))</f>
        <v>150</v>
      </c>
      <c r="V119" s="1" t="str">
        <f ca="1">IF(ISERROR(F110),"",IF(N119=0,A119,""))</f>
        <v>AHT 310</v>
      </c>
      <c r="W119" s="1">
        <f ca="1">IF(ISERROR(F110),"",IF(ISTEXT(VLOOKUP(B110,INDIRECT($F$8),6+(O119-1)*3)),11,IF(VLOOKUP(B110,INDIRECT($F$8),6+(O119-1)*3)&lt;S119*0.3,IF(VLOOKUP(B110,INDIRECT($F$8),8+(O119-1)*3)&lt;U119*0.4,IF(AND(0.4*U119-VLOOKUP(B110,INDIRECT($F$8),8+(O119-1)*3)&lt;=5,0.3*S119-VLOOKUP(B110,INDIRECT($F$8),6+(O119-1)*3)&lt;=5),MAX(0.4*U119-VLOOKUP(B110,INDIRECT($F$8),8+(O119-1)*3),0.3*S119-VLOOKUP(B110,INDIRECT($F$8),6+(O119-1)*3)),11),IF(0.3*S119-VLOOKUP(B110,INDIRECT($F$8),6+(O119-1)*3)&lt;=5,0.3*S119-VLOOKUP(B110,INDIRECT($F$8),6+(O119-1)*3),11)),IF(VLOOKUP(B110,INDIRECT($F$8),8+(O119-1)*3)&lt;U119*0.4,IF(U119*0.4-VLOOKUP(B110,INDIRECT($F$8),8+(O119-1)*3)&lt;=5,U119*0.4-VLOOKUP(B110,INDIRECT($F$8),8+(O119-1)*3),11),0))))</f>
        <v>11</v>
      </c>
      <c r="X119" s="1" t="str">
        <f ca="1">IF(ISERROR(F110),"",IF(W119=0,"",_xlfn.TEXTJOIN("",FALSE," G+",W119," in ",A119)))</f>
        <v xml:space="preserve"> G+11 in AHT 310</v>
      </c>
    </row>
    <row r="120" spans="1:24" ht="14.25" customHeight="1" x14ac:dyDescent="0.2">
      <c r="A120" s="7" t="str">
        <f ca="1">IF(ISERROR(F110),"",VLOOKUP(C110,INDIRECT($F$8),6+(O120-1)*3,0))</f>
        <v>CAP 008</v>
      </c>
      <c r="B120" s="41" t="str">
        <f ca="1">IF(ISERROR(F110),"",VLOOKUP(D110,INDIRECT($F$8),6+(O120-1)*3,0))</f>
        <v>Software Engineering Lab</v>
      </c>
      <c r="C120" s="41"/>
      <c r="D120" s="41"/>
      <c r="E120" s="41"/>
      <c r="F120" s="7">
        <f ca="1">IF(ISERROR(F110),"",VLOOKUP(E110,INDIRECT($F$8),6+(O120-1)*3,0))</f>
        <v>1</v>
      </c>
      <c r="G120" s="42" t="str">
        <f ca="1">IF(ISERROR(F110),"",_xlfn.TEXTJOIN("/",FALSE,P120,S120))</f>
        <v>0/30</v>
      </c>
      <c r="H120" s="42"/>
      <c r="I120" s="42" t="str">
        <f ca="1">IF(ISERROR(F110),"",_xlfn.TEXTJOIN("/",FALSE,Q120,T120))</f>
        <v>0/20</v>
      </c>
      <c r="J120" s="42"/>
      <c r="K120" s="42" t="str">
        <f ca="1">IF(ISERROR(F110),"",_xlfn.TEXTJOIN("/",FALSE,R120,U120))</f>
        <v>0/50</v>
      </c>
      <c r="L120" s="42"/>
      <c r="M120" s="7" t="str">
        <f ca="1">IF(ISERROR(F110),"",IF(ISTEXT(P120),IF(P120="A","Ab",IF(P120="D","Dt",IF(P120="UFM","UFM",IF(P120="NA","")))),IF(AND(ISBLANK(P120),ISBLANK(R120)),"",IF(P120&lt;0.3*S120,"F",IF(ISBLANK(R120),"",IF(ISTEXT(R120),R120,IF(R120&gt;=0.9*U120,"O",IF(R120&gt;=0.85*U120,"A+",IF(R120&gt;=0.8*U120,"A",IF(R120&gt;=0.7*U120,"B+",IF(R120&gt;=0.6*U120,"B",IF(R120&gt;=0.5*U120,"C",IF(R120&gt;=0.4*U120,"P",IF(R120&lt;0.4*U120,"F",R120))))))))))))))</f>
        <v>F</v>
      </c>
      <c r="N120" s="8">
        <f t="shared" ca="1" si="12"/>
        <v>0</v>
      </c>
      <c r="O120">
        <f t="shared" ref="O120:O122" ca="1" si="13">O119+1</f>
        <v>8</v>
      </c>
      <c r="P120" s="1">
        <f ca="1">IF(ISERROR(F110),"",IF(ISTEXT(VLOOKUP(B110,INDIRECT($F$8),6+(O120-1)*3)),(VLOOKUP(B110,INDIRECT($F$8),6+(O120-1)*3)),SUM(VLOOKUP(B110,INDIRECT($F$8),6+(O120-1)*3),IF(W123,W120,0))))</f>
        <v>0</v>
      </c>
      <c r="Q120" s="1">
        <f ca="1">IF(ISERROR(F110),"",VLOOKUP(B110,INDIRECT($F$8),7+(O120-1)*3))</f>
        <v>0</v>
      </c>
      <c r="R120" s="1">
        <f ca="1">IF(ISERROR(F110),"",SUM(P120:Q120))</f>
        <v>0</v>
      </c>
      <c r="S120" s="1">
        <f ca="1">IF(ISERROR(F110),"",VLOOKUP(A110,INDIRECT($F$8),6+(O120-1)*3))</f>
        <v>30</v>
      </c>
      <c r="T120" s="1">
        <f ca="1">IF(ISERROR(F110),"",VLOOKUP(A110,INDIRECT($F$8),7+(O120-1)*3))</f>
        <v>20</v>
      </c>
      <c r="U120" s="1">
        <f ca="1">IF(ISERROR(F110),"",VLOOKUP(A110,INDIRECT($F$8),8+(O120-1)*3))</f>
        <v>50</v>
      </c>
      <c r="V120" s="1" t="str">
        <f ca="1">IF(ISERROR(F110),"",IF(N120=0,A120,""))</f>
        <v>CAP 008</v>
      </c>
      <c r="W120" s="1">
        <f ca="1">IF(ISERROR(F110),"",IF(ISTEXT(VLOOKUP(B110,INDIRECT($F$8),6+(O120-1)*3)),11,IF(VLOOKUP(B110,INDIRECT($F$8),6+(O120-1)*3)&lt;S120*0.3,IF(VLOOKUP(B110,INDIRECT($F$8),8+(O120-1)*3)&lt;U120*0.4,IF(AND(0.4*U120-VLOOKUP(B110,INDIRECT($F$8),8+(O120-1)*3)&lt;=5,0.3*S120-VLOOKUP(B110,INDIRECT($F$8),6+(O120-1)*3)&lt;=5),MAX(0.4*U120-VLOOKUP(B110,INDIRECT($F$8),8+(O120-1)*3),0.3*S120-VLOOKUP(B110,INDIRECT($F$8),6+(O120-1)*3)),11),IF(0.3*S120-VLOOKUP(B110,INDIRECT($F$8),6+(O120-1)*3)&lt;=5,0.3*S120-VLOOKUP(B110,INDIRECT($F$8),6+(O120-1)*3),11)),IF(VLOOKUP(B110,INDIRECT($F$8),8+(O120-1)*3)&lt;U120*0.4,IF(U120*0.4-VLOOKUP(B110,INDIRECT($F$8),8+(O120-1)*3)&lt;=5,U120*0.4-VLOOKUP(B110,INDIRECT($F$8),8+(O120-1)*3),11),0))))</f>
        <v>11</v>
      </c>
      <c r="X120" s="1" t="str">
        <f ca="1">IF(ISERROR(F110),"",IF(W120=0,"",_xlfn.TEXTJOIN("",FALSE," G+",W120," in ",A120)))</f>
        <v xml:space="preserve"> G+11 in CAP 008</v>
      </c>
    </row>
    <row r="121" spans="1:24" ht="14.25" customHeight="1" x14ac:dyDescent="0.2">
      <c r="A121" s="7" t="str">
        <f ca="1">IF(ISERROR(F110),"",VLOOKUP(C110,INDIRECT($F$8),6+(O121-1)*3,0))</f>
        <v>CAP 009</v>
      </c>
      <c r="B121" s="41" t="str">
        <f ca="1">IF(ISERROR(F110),"",VLOOKUP(D110,INDIRECT($F$8),6+(O121-1)*3,0))</f>
        <v>Seminar</v>
      </c>
      <c r="C121" s="41"/>
      <c r="D121" s="41"/>
      <c r="E121" s="41"/>
      <c r="F121" s="7">
        <f ca="1">IF(ISERROR(F110),"",VLOOKUP(E110,INDIRECT($F$8),6+(O121-1)*3,0))</f>
        <v>2</v>
      </c>
      <c r="G121" s="42" t="str">
        <f ca="1">IF(ISERROR(F110),"",_xlfn.TEXTJOIN("/",FALSE,P121,S121))</f>
        <v>0/0</v>
      </c>
      <c r="H121" s="42"/>
      <c r="I121" s="42" t="str">
        <f ca="1">IF(ISERROR(F110),"",_xlfn.TEXTJOIN("/",FALSE,Q121,T121))</f>
        <v>0/100</v>
      </c>
      <c r="J121" s="42"/>
      <c r="K121" s="42" t="str">
        <f ca="1">IF(ISERROR(F110),"",_xlfn.TEXTJOIN("/",FALSE,R121,U121))</f>
        <v>0/100</v>
      </c>
      <c r="L121" s="42"/>
      <c r="M121" s="7" t="str">
        <f ca="1">IF(ISERROR(F110),"",IF(ISTEXT(P121),IF(P121="A","Ab",IF(P121="D","Dt",IF(P121="UFM","UFM",IF(P121="NA","")))),IF(AND(ISBLANK(P121),ISBLANK(R121)),"",IF(P121&lt;0.3*S121,"F",IF(ISBLANK(R121),"",IF(ISTEXT(R121),R121,IF(R121&gt;=0.9*U121,"O",IF(R121&gt;=0.85*U121,"A+",IF(R121&gt;=0.8*U121,"A",IF(R121&gt;=0.7*U121,"B+",IF(R121&gt;=0.6*U121,"B",IF(R121&gt;=0.5*U121,"C",IF(R121&gt;=0.4*U121,"P",IF(R121&lt;0.4*U121,"F",R121))))))))))))))</f>
        <v>F</v>
      </c>
      <c r="N121" s="8">
        <f t="shared" ca="1" si="12"/>
        <v>0</v>
      </c>
      <c r="O121">
        <f t="shared" ca="1" si="13"/>
        <v>9</v>
      </c>
      <c r="P121" s="1">
        <f ca="1">IF(ISERROR(F110),"",IF(ISTEXT(VLOOKUP(B110,INDIRECT($F$8),6+(O121-1)*3)),(VLOOKUP(B110,INDIRECT($F$8),6+(O121-1)*3)),SUM(VLOOKUP(B110,INDIRECT($F$8),6+(O121-1)*3),IF(W123,W121,0))))</f>
        <v>0</v>
      </c>
      <c r="Q121" s="1">
        <f ca="1">IF(ISERROR(F110),"",VLOOKUP(B110,INDIRECT($F$8),7+(O121-1)*3))</f>
        <v>0</v>
      </c>
      <c r="R121" s="1">
        <f ca="1">IF(ISERROR(F110),"",SUM(P121:Q121))</f>
        <v>0</v>
      </c>
      <c r="S121" s="1">
        <f ca="1">IF(ISERROR(F110),"",VLOOKUP(A110,INDIRECT($F$8),6+(O121-1)*3))</f>
        <v>0</v>
      </c>
      <c r="T121" s="1">
        <f ca="1">IF(ISERROR(F110),"",VLOOKUP(A110,INDIRECT($F$8),7+(O121-1)*3))</f>
        <v>100</v>
      </c>
      <c r="U121" s="1">
        <f ca="1">IF(ISERROR(F110),"",VLOOKUP(A110,INDIRECT($F$8),8+(O121-1)*3))</f>
        <v>100</v>
      </c>
      <c r="V121" s="1" t="str">
        <f ca="1">IF(ISERROR(F110),"",IF(N121=0,A121,""))</f>
        <v>CAP 009</v>
      </c>
      <c r="W121" s="1">
        <f ca="1">IF(ISERROR(F110),"",IF(ISTEXT(VLOOKUP(B110,INDIRECT($F$8),6+(O121-1)*3)),11,IF(VLOOKUP(B110,INDIRECT($F$8),6+(O121-1)*3)&lt;S121*0.3,IF(VLOOKUP(B110,INDIRECT($F$8),8+(O121-1)*3)&lt;U121*0.4,IF(AND(0.4*U121-VLOOKUP(B110,INDIRECT($F$8),8+(O121-1)*3)&lt;=5,0.3*S121-VLOOKUP(B110,INDIRECT($F$8),6+(O121-1)*3)&lt;=5),MAX(0.4*U121-VLOOKUP(B110,INDIRECT($F$8),8+(O121-1)*3),0.3*S121-VLOOKUP(B110,INDIRECT($F$8),6+(O121-1)*3)),11),IF(0.3*S121-VLOOKUP(B110,INDIRECT($F$8),6+(O121-1)*3)&lt;=5,0.3*S121-VLOOKUP(B110,INDIRECT($F$8),6+(O121-1)*3),11)),IF(VLOOKUP(B110,INDIRECT($F$8),8+(O121-1)*3)&lt;U121*0.4,IF(U121*0.4-VLOOKUP(B110,INDIRECT($F$8),8+(O121-1)*3)&lt;=5,U121*0.4-VLOOKUP(B110,INDIRECT($F$8),8+(O121-1)*3),11),0))))</f>
        <v>11</v>
      </c>
      <c r="X121" s="1" t="str">
        <f ca="1">IF(ISERROR(F110),"",IF(W121=0,"",_xlfn.TEXTJOIN("",FALSE," G+",W121," in ",A121)))</f>
        <v xml:space="preserve"> G+11 in CAP 009</v>
      </c>
    </row>
    <row r="122" spans="1:24" ht="14.25" customHeight="1" x14ac:dyDescent="0.2">
      <c r="A122" s="7" t="str">
        <f ca="1">IF(ISERROR(F110),"",VLOOKUP(C110,INDIRECT($F$8),6+(O122-1)*3,0))</f>
        <v>CAP 010</v>
      </c>
      <c r="B122" s="41" t="str">
        <f ca="1">IF(ISERROR(F110),"",VLOOKUP(D110,INDIRECT($F$8),6+(O122-1)*3-Z122,0))</f>
        <v>Minor Project</v>
      </c>
      <c r="C122" s="41"/>
      <c r="D122" s="41"/>
      <c r="E122" s="41"/>
      <c r="F122" s="7">
        <f ca="1">IF(ISERROR(F110),"",VLOOKUP(E110,INDIRECT($F$8),6+(O122-1)*3,0))</f>
        <v>2</v>
      </c>
      <c r="G122" s="42" t="str">
        <f ca="1">IF(ISERROR(F110),"",_xlfn.TEXTJOIN("/",FALSE,P122,S122))</f>
        <v>0/50</v>
      </c>
      <c r="H122" s="42"/>
      <c r="I122" s="42" t="str">
        <f ca="1">IF(ISERROR(F110),"",_xlfn.TEXTJOIN("/",FALSE,Q122,T122))</f>
        <v>0/50</v>
      </c>
      <c r="J122" s="42"/>
      <c r="K122" s="42" t="str">
        <f ca="1">IF(ISERROR(F110),"",_xlfn.TEXTJOIN("/",FALSE,R122,U122))</f>
        <v>0/100</v>
      </c>
      <c r="L122" s="42"/>
      <c r="M122" s="7" t="str">
        <f ca="1">IF(ISERROR(F110),"",IF(ISTEXT(P122),IF(P122="A","Ab",IF(P122="D","Dt",IF(P122="UFM","UFM",IF(P122="NA","")))),IF(AND(ISBLANK(P122),ISBLANK(R122)),"",IF(P122&lt;0.3*S122,"F",IF(ISBLANK(R122),"",IF(ISTEXT(R122),R122,IF(R122&gt;=0.9*U122,"O",IF(R122&gt;=0.85*U122,"A+",IF(R122&gt;=0.8*U122,"A",IF(R122&gt;=0.7*U122,"B+",IF(R122&gt;=0.6*U122,"B",IF(R122&gt;=0.5*U122,"C",IF(R122&gt;=0.4*U122,"P",IF(R122&lt;0.4*U122,"F",R122))))))))))))))</f>
        <v>F</v>
      </c>
      <c r="N122" s="8">
        <f t="shared" ca="1" si="12"/>
        <v>0</v>
      </c>
      <c r="O122">
        <f t="shared" ca="1" si="13"/>
        <v>10</v>
      </c>
      <c r="P122" s="1">
        <f ca="1">IF(ISERROR(F110),"",IF(ISTEXT(VLOOKUP(B110,INDIRECT($F$8),6+(O122-1)*3)),(VLOOKUP(B110,INDIRECT($F$8),6+(O122-1)*3)),SUM(VLOOKUP(B110,INDIRECT($F$8),6+(O122-1)*3),IF(W123,W122,0))))</f>
        <v>0</v>
      </c>
      <c r="Q122" s="1">
        <f ca="1">IF(ISERROR(F110),"",VLOOKUP(B110,INDIRECT($F$8),7+(O122-1)*3))</f>
        <v>0</v>
      </c>
      <c r="R122" s="1">
        <f ca="1">IF(ISERROR(F110),"",SUM(P122:Q122))</f>
        <v>0</v>
      </c>
      <c r="S122" s="1">
        <f ca="1">IF(ISERROR(F110),"",VLOOKUP(A110,INDIRECT($F$8),6+(O122-1)*3))</f>
        <v>50</v>
      </c>
      <c r="T122" s="1">
        <f ca="1">IF(ISERROR(F110),"",VLOOKUP(A110,INDIRECT($F$8),7+(O122-1)*3))</f>
        <v>50</v>
      </c>
      <c r="U122" s="1">
        <f ca="1">IF(ISERROR(F110),"",VLOOKUP(A110,INDIRECT($F$8),8+(O122-1)*3))</f>
        <v>100</v>
      </c>
      <c r="V122" s="1" t="str">
        <f ca="1">IF(ISERROR(F110),"",IF(N122=0,A122,""))</f>
        <v>CAP 010</v>
      </c>
      <c r="W122" s="1">
        <f ca="1">IF(ISERROR(F110),"",IF(ISTEXT(VLOOKUP(B110,INDIRECT($F$8),6+(O122-1)*3)),11,IF(VLOOKUP(B110,INDIRECT($F$8),6+(O122-1)*3)&lt;S122*0.3,IF(VLOOKUP(B110,INDIRECT($F$8),8+(O122-1)*3)&lt;U122*0.4,IF(AND(0.4*U122-VLOOKUP(B110,INDIRECT($F$8),8+(O122-1)*3)&lt;=5,0.3*S122-VLOOKUP(B110,INDIRECT($F$8),6+(O122-1)*3)&lt;=5),MAX(0.4*U122-VLOOKUP(B110,INDIRECT($F$8),8+(O122-1)*3),0.3*S122-VLOOKUP(B110,INDIRECT($F$8),6+(O122-1)*3)),11),IF(0.3*S122-VLOOKUP(B110,INDIRECT($F$8),6+(O122-1)*3)&lt;=5,0.3*S122-VLOOKUP(B110,INDIRECT($F$8),6+(O122-1)*3),11)),IF(VLOOKUP(B110,INDIRECT($F$8),8+(O122-1)*3)&lt;U122*0.4,IF(U122*0.4-VLOOKUP(B110,INDIRECT($F$8),8+(O122-1)*3)&lt;=5,U122*0.4-VLOOKUP(B110,INDIRECT($F$8),8+(O122-1)*3),11),0))))</f>
        <v>11</v>
      </c>
      <c r="X122" s="1" t="str">
        <f ca="1">IF(ISERROR(F110),"",IF(W122=0,"",_xlfn.TEXTJOIN("",FALSE," G+",W122," in ",A122)))</f>
        <v xml:space="preserve"> G+11 in CAP 010</v>
      </c>
    </row>
    <row r="123" spans="1:24" ht="14.25" customHeight="1" x14ac:dyDescent="0.2">
      <c r="A123" s="43" t="str">
        <f ca="1">IF(ISERROR(F110),"",A106)</f>
        <v>Total Credits/ Marks/ Total Grade Points</v>
      </c>
      <c r="B123" s="43"/>
      <c r="C123" s="43"/>
      <c r="D123" s="43"/>
      <c r="E123" s="43"/>
      <c r="F123" s="10">
        <f ca="1">IF(ISERROR(F110),"",SUM(F115:F122))</f>
        <v>16</v>
      </c>
      <c r="G123" s="44" t="str">
        <f ca="1">IF(ISERROR(F110),"",_xlfn.TEXTJOIN("/",TRUE,SUMIF(F115:F122,"&gt;0",P115:P122),SUMIF(F115:F122,"&gt;0",S115:S122)))</f>
        <v>0/380</v>
      </c>
      <c r="H123" s="44"/>
      <c r="I123" s="44" t="str">
        <f ca="1">IF(ISERROR(F110),"",_xlfn.TEXTJOIN("/",TRUE,SUMIF(F115:F122,"&gt;0",Q115:Q122),SUMIF(F115:F122,"&gt;0",T115:T122)))</f>
        <v>0/320</v>
      </c>
      <c r="J123" s="44"/>
      <c r="K123" s="44" t="str">
        <f ca="1">IF(ISERROR(F110),"",_xlfn.TEXTJOIN("/",TRUE,SUMIF(F115:F122,"&gt;0",R115:R122),SUMIF(F115:F122,"&gt;0",U115:U122)))</f>
        <v>0/700</v>
      </c>
      <c r="L123" s="44"/>
      <c r="M123" s="43" t="e">
        <f ca="1">IF(ISERROR(F110),"",SUMPRODUCT(N115:N122,F115:F122))</f>
        <v>#N/A</v>
      </c>
      <c r="N123" s="43"/>
      <c r="V123" s="1" t="e">
        <f ca="1">IF(ISERROR(F110),"",_xlfn.TEXTJOIN(", ",TRUE,V115:V122))</f>
        <v>#N/A</v>
      </c>
      <c r="W123" t="b">
        <f ca="1">IF(ISERROR(F110),"",IF(SUM(W115:W122)&lt;=W114,TRUE,FALSE))</f>
        <v>0</v>
      </c>
      <c r="X123" s="1" t="str">
        <f ca="1">IF(ISERROR(F110),"",_xlfn.TEXTJOIN(",",TRUE,X115:X122))</f>
        <v xml:space="preserve"> G+11 in CAT  014, G+11 in CAT 015, G+11 in Enroll No., G+11 in Enroll No., G+11 in AHT 310, G+11 in CAP 008, G+11 in CAP 009, G+11 in CAP 010</v>
      </c>
    </row>
    <row r="124" spans="1:24" ht="14.25" customHeight="1" x14ac:dyDescent="0.2">
      <c r="A124" s="43" t="str">
        <f ca="1">IF(ISERROR(F110),"",A107)</f>
        <v>Result:</v>
      </c>
      <c r="B124" s="45" t="e">
        <f ca="1">IF(ISERROR(F110),"",IF(V123="","PASS","CARRY OVER"))</f>
        <v>#N/A</v>
      </c>
      <c r="C124" s="45"/>
      <c r="D124" s="43" t="str">
        <f ca="1">IF(ISERROR(F110),"",D107)</f>
        <v>Remark:</v>
      </c>
      <c r="E124" s="45" t="e">
        <f ca="1">IF(ISERROR(F110),"",IF(V123="",IF(X123="","",X123),_xlfn.TEXTJOIN(" ",TRUE,"BACK IN",V123)))</f>
        <v>#N/A</v>
      </c>
      <c r="F124" s="45"/>
      <c r="G124" s="43" t="str">
        <f ca="1">IF(ISERROR(F110),"",G107)</f>
        <v>SGPA:</v>
      </c>
      <c r="H124" s="46" t="e">
        <f ca="1">IF(ISERROR(F110),"",M123/F123)</f>
        <v>#N/A</v>
      </c>
      <c r="I124" s="43" t="str">
        <f ca="1">IF(ISERROR(F110),"",I107)</f>
        <v>CGPA:</v>
      </c>
      <c r="J124" s="46" t="e">
        <f ca="1">IF(ISERROR(F110),"",VLOOKUP(B110,INDIRECT($F$8),12+(O122-1)*3,0))</f>
        <v>#N/A</v>
      </c>
      <c r="K124" s="45" t="str">
        <f ca="1">IF(ISERROR(F110),"",K107)</f>
        <v>Earned Credits:</v>
      </c>
      <c r="L124" s="43">
        <f ca="1">IF(ISERROR(F110),"",SUMIF(N115:N122,"&gt;0",F115:F122))</f>
        <v>0</v>
      </c>
      <c r="M124" s="45" t="str">
        <f ca="1">IF(ISERROR(F110),"",M107)</f>
        <v>Cuml. Earned Credits:</v>
      </c>
      <c r="N124" s="43" t="e">
        <f ca="1">IF(ISERROR(F110),"",VLOOKUP(B110,INDIRECT($F$8),10+(O122-1)*3,0))</f>
        <v>#N/A</v>
      </c>
    </row>
    <row r="125" spans="1:24" ht="14.25" customHeight="1" x14ac:dyDescent="0.2">
      <c r="A125" s="43"/>
      <c r="B125" s="45"/>
      <c r="C125" s="45"/>
      <c r="D125" s="43"/>
      <c r="E125" s="45"/>
      <c r="F125" s="45"/>
      <c r="G125" s="43"/>
      <c r="H125" s="46"/>
      <c r="I125" s="43"/>
      <c r="J125" s="46"/>
      <c r="K125" s="45"/>
      <c r="L125" s="43"/>
      <c r="M125" s="45"/>
      <c r="N125" s="43"/>
    </row>
    <row r="126" spans="1:24" ht="14.25" customHeight="1" x14ac:dyDescent="0.2">
      <c r="A126" s="43"/>
      <c r="B126" s="45"/>
      <c r="C126" s="45"/>
      <c r="D126" s="43"/>
      <c r="E126" s="45"/>
      <c r="F126" s="45"/>
      <c r="G126" s="43"/>
      <c r="H126" s="46"/>
      <c r="I126" s="43"/>
      <c r="J126" s="46"/>
      <c r="K126" s="45"/>
      <c r="L126" s="43"/>
      <c r="M126" s="45"/>
      <c r="N126" s="43"/>
    </row>
    <row r="127" spans="1:24" ht="14.25" customHeight="1" x14ac:dyDescent="0.2">
      <c r="A127" s="11" t="str">
        <f>A110</f>
        <v>MM</v>
      </c>
      <c r="B127" s="11">
        <f>B110+1</f>
        <v>8</v>
      </c>
      <c r="C127" s="11" t="str">
        <f>C110</f>
        <v>SC</v>
      </c>
      <c r="D127" s="11" t="str">
        <f>D110</f>
        <v>SN</v>
      </c>
      <c r="E127" s="11" t="str">
        <f>E110</f>
        <v>C</v>
      </c>
      <c r="F127" s="11" t="str">
        <f ca="1">VLOOKUP(B127,INDIRECT($F$8),4,0)</f>
        <v>AYUSH RAWAT</v>
      </c>
    </row>
    <row r="128" spans="1:24" ht="14.25" customHeight="1" x14ac:dyDescent="0.2">
      <c r="A128" s="47" t="str">
        <f ca="1">IF(ISERROR(F127),"",A111)</f>
        <v>Name:</v>
      </c>
      <c r="B128" s="47" t="str">
        <f ca="1">IFERROR(VLOOKUP(B127,INDIRECT($F$8),4,0),"")</f>
        <v>AYUSH RAWAT</v>
      </c>
      <c r="C128" s="47"/>
      <c r="D128" s="47" t="str">
        <f ca="1">IF(ISERROR(F127),"",D111)</f>
        <v>Father's Name:</v>
      </c>
      <c r="E128" s="47" t="str">
        <f ca="1">IFERROR(VLOOKUP(B127,INDIRECT($F$8),5,0),"")</f>
        <v>MUKESH RAWAT</v>
      </c>
      <c r="F128" s="47"/>
      <c r="G128" s="47" t="str">
        <f ca="1">IF(ISERROR(F127),"",G111)</f>
        <v>University Roll No:</v>
      </c>
      <c r="H128" s="47"/>
      <c r="I128" s="48">
        <f ca="1">IFERROR(VLOOKUP(B127,INDIRECT($F$8),2,0),"")</f>
        <v>240090600008</v>
      </c>
      <c r="J128" s="48"/>
      <c r="K128" s="47" t="str">
        <f ca="1">IF(ISERROR(F127),"",K111)</f>
        <v>University Enrol. No:</v>
      </c>
      <c r="L128" s="47"/>
      <c r="M128" s="48" t="str">
        <f ca="1">IFERROR(VLOOKUP(B127,INDIRECT($F$8),3,0),"")</f>
        <v>UTU/2406100183</v>
      </c>
      <c r="N128" s="48"/>
    </row>
    <row r="129" spans="1:24" ht="14.25" customHeight="1" x14ac:dyDescent="0.2">
      <c r="A129" s="47"/>
      <c r="B129" s="47"/>
      <c r="C129" s="47"/>
      <c r="D129" s="47"/>
      <c r="E129" s="47"/>
      <c r="F129" s="47"/>
      <c r="G129" s="47"/>
      <c r="H129" s="47"/>
      <c r="I129" s="48"/>
      <c r="J129" s="48"/>
      <c r="K129" s="47"/>
      <c r="L129" s="47"/>
      <c r="M129" s="48"/>
      <c r="N129" s="48"/>
    </row>
    <row r="130" spans="1:24" ht="14.25" customHeight="1" x14ac:dyDescent="0.2">
      <c r="A130" s="45" t="str">
        <f ca="1">IF(ISERROR(F127),"",A113)</f>
        <v>Subject Code</v>
      </c>
      <c r="B130" s="45" t="str">
        <f ca="1">IF(ISERROR(F127),"",B113)</f>
        <v>Subject Name</v>
      </c>
      <c r="C130" s="45"/>
      <c r="D130" s="45"/>
      <c r="E130" s="45"/>
      <c r="F130" s="45" t="str">
        <f ca="1">IF(ISERROR(F127),"",F113)</f>
        <v>Credits</v>
      </c>
      <c r="G130" s="45" t="str">
        <f ca="1">IF(ISERROR(F127),"",G113)</f>
        <v>External Marks</v>
      </c>
      <c r="H130" s="45"/>
      <c r="I130" s="45" t="str">
        <f ca="1">IF(ISERROR(F127),"",I113)</f>
        <v>Sessional Marks</v>
      </c>
      <c r="J130" s="45"/>
      <c r="K130" s="45" t="str">
        <f ca="1">IF(ISERROR(F127),"",K113)</f>
        <v>Total Marks</v>
      </c>
      <c r="L130" s="45"/>
      <c r="M130" s="45" t="str">
        <f ca="1">IF(ISERROR(F127),"",M113)</f>
        <v>Grade</v>
      </c>
      <c r="N130" s="45" t="str">
        <f ca="1">IF(ISERROR(F127),"",N113)</f>
        <v>Grade Points</v>
      </c>
    </row>
    <row r="131" spans="1:24" ht="14.25" customHeight="1" x14ac:dyDescent="0.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W131">
        <f ca="1">IF(ISNUMBER(MATCH($F$8,{"I","III","V","VII"},0)),10,10-INDEX(INDIRECT(_xlfn.TEXTJOIN("",TRUE,"SEM_",$G$8,"!",ADDRESS(6,4+$I$8*3+4),":",ADDRESS(5+$H$8,4+$I$8*3+4))),MATCH(INDIRECT(_xlfn.TEXTJOIN("",TRUE,"TC_",$F$8,"!",ADDRESS(ROW(I128),COLUMN(I128)))),INDIRECT(_xlfn.TEXTJOIN("",TRUE,"SEM_",$G$8,"!",ADDRESS(6,2),":",ADDRESS(5+$H$8,2))))))</f>
        <v>10</v>
      </c>
    </row>
    <row r="132" spans="1:24" ht="14.25" customHeight="1" x14ac:dyDescent="0.2">
      <c r="A132" s="7" t="str">
        <f ca="1">IF(ISERROR(F127),"",VLOOKUP(C127,INDIRECT($F$8),6+(O132-1)*3,0))</f>
        <v>CAT  014</v>
      </c>
      <c r="B132" s="41" t="str">
        <f ca="1">IF(ISERROR(F127),"",VLOOKUP(D127,INDIRECT($F$8),6+(O132-1)*3,0))</f>
        <v>Graph Theory</v>
      </c>
      <c r="C132" s="41"/>
      <c r="D132" s="41"/>
      <c r="E132" s="41"/>
      <c r="F132" s="7">
        <f ca="1">IF(ISERROR(F127),"",VLOOKUP(E127,INDIRECT($F$8),6+(O132-1)*3,0))</f>
        <v>4</v>
      </c>
      <c r="G132" s="42" t="str">
        <f ca="1">IF(ISERROR(F127),"",_xlfn.TEXTJOIN("/",FALSE,P132,S132))</f>
        <v>0/100</v>
      </c>
      <c r="H132" s="42"/>
      <c r="I132" s="42" t="str">
        <f ca="1">IF(ISERROR(F127),"",_xlfn.TEXTJOIN("/",FALSE,Q132,T132))</f>
        <v>0/50</v>
      </c>
      <c r="J132" s="42"/>
      <c r="K132" s="42" t="str">
        <f ca="1">IF(ISERROR(F127),"",_xlfn.TEXTJOIN("/",FALSE,R132,U132))</f>
        <v>0/150</v>
      </c>
      <c r="L132" s="42"/>
      <c r="M132" s="7" t="str">
        <f ca="1">IF(ISERROR(F127),"",IF(ISTEXT(P132),IF(P132="A","Ab",IF(P132="D","Dt",IF(P132="UFM","UFM",IF(P132="NA","")))),IF(AND(ISBLANK(P132),ISBLANK(R132)),"",IF(P132&lt;0.3*S132,"F",IF(ISBLANK(R132),"",IF(ISTEXT(R132),R132,IF(R132&gt;=0.9*U132,"O",IF(R132&gt;=0.85*U132,"A+",IF(R132&gt;=0.8*U132,"A",IF(R132&gt;=0.7*U132,"B+",IF(R132&gt;=0.6*U132,"B",IF(R132&gt;=0.5*U132,"C",IF(R132&gt;=0.4*U132,"P",IF(R132&lt;0.4*U132,"F",R132))))))))))))))</f>
        <v>F</v>
      </c>
      <c r="N132" s="8">
        <f t="shared" ref="N132:N139" ca="1" si="14">INDEX($Z$2:$Z$13,MATCH(M132,$Y$2:$Y$13,0))</f>
        <v>0</v>
      </c>
      <c r="O132">
        <v>1</v>
      </c>
      <c r="P132" s="1">
        <f ca="1">IF(ISERROR(F127),"",IF(ISTEXT(VLOOKUP(B127,INDIRECT($F$8),6+(O132-1)*3)),(VLOOKUP(B127,INDIRECT($F$8),6+(O132-1)*3)),SUM(VLOOKUP(B127,INDIRECT($F$8),6+(O132-1)*3),IF(W140,W132,0))))</f>
        <v>0</v>
      </c>
      <c r="Q132" s="1">
        <f ca="1">IF(ISERROR(F127),"",VLOOKUP(B127,INDIRECT($F$8),7+(O132-1)*3))</f>
        <v>0</v>
      </c>
      <c r="R132" s="1">
        <f ca="1">IF(ISERROR(F127),"",SUM(P132:Q132))</f>
        <v>0</v>
      </c>
      <c r="S132" s="1">
        <f ca="1">IF(ISERROR(F127),"",VLOOKUP(A127,INDIRECT($F$8),6+(O132-1)*3))</f>
        <v>100</v>
      </c>
      <c r="T132" s="1">
        <f ca="1">IF(ISERROR(F127),"",VLOOKUP(A127,INDIRECT($F$8),7+(O132-1)*3))</f>
        <v>50</v>
      </c>
      <c r="U132" s="1">
        <f ca="1">IF(ISERROR(F127),"",VLOOKUP(A127,INDIRECT($F$8),8+(O132-1)*3))</f>
        <v>150</v>
      </c>
      <c r="V132" s="1" t="str">
        <f ca="1">IF(ISERROR(F127),"",IF(N132=0,A132,""))</f>
        <v>CAT  014</v>
      </c>
      <c r="W132" s="1">
        <f ca="1">IF(ISERROR(F127),"",IF(ISTEXT(VLOOKUP(B127,INDIRECT($F$8),6+(O132-1)*3)),11,IF(VLOOKUP(B127,INDIRECT($F$8),6+(O132-1)*3)&lt;S132*0.3,IF(VLOOKUP(B127,INDIRECT($F$8),8+(O132-1)*3)&lt;U132*0.4,IF(AND(0.4*U132-VLOOKUP(B127,INDIRECT($F$8),8+(O132-1)*3)&lt;=5,0.3*S132-VLOOKUP(B127,INDIRECT($F$8),6+(O132-1)*3)&lt;=5),MAX(0.4*U132-VLOOKUP(B127,INDIRECT($F$8),8+(O132-1)*3),0.3*S132-VLOOKUP(B127,INDIRECT($F$8),6+(O132-1)*3)),11),IF(0.3*S132-VLOOKUP(B127,INDIRECT($F$8),6+(O132-1)*3)&lt;=5,0.3*S132-VLOOKUP(B127,INDIRECT($F$8),6+(O132-1)*3),11)),IF(VLOOKUP(B127,INDIRECT($F$8),8+(O132-1)*3)&lt;U132*0.4,IF(U132*0.4-VLOOKUP(B127,INDIRECT($F$8),8+(O132-1)*3)&lt;=5,U132*0.4-VLOOKUP(B127,INDIRECT($F$8),8+(O132-1)*3),11),0))))</f>
        <v>11</v>
      </c>
      <c r="X132" s="1" t="str">
        <f ca="1">IF(ISERROR(F127),"",IF(W132=0,"",_xlfn.TEXTJOIN("",FALSE," G+",W132," in ",A132)))</f>
        <v xml:space="preserve"> G+11 in CAT  014</v>
      </c>
    </row>
    <row r="133" spans="1:24" ht="14.25" customHeight="1" x14ac:dyDescent="0.2">
      <c r="A133" s="7" t="str">
        <f ca="1">IF(ISERROR(F127),"",VLOOKUP(C127,INDIRECT($F$8),6+(O133-1)*3,0))</f>
        <v>CAT 015</v>
      </c>
      <c r="B133" s="41" t="str">
        <f ca="1">IF(ISERROR(F127),"",VLOOKUP(D127,INDIRECT($F$8),6+(O133-1)*3,0))</f>
        <v>Software Engineering</v>
      </c>
      <c r="C133" s="41"/>
      <c r="D133" s="41"/>
      <c r="E133" s="41"/>
      <c r="F133" s="7">
        <f ca="1">IF(ISERROR(F127),"",VLOOKUP(E127,INDIRECT($F$8),6+(O133-1)*3,0))</f>
        <v>4</v>
      </c>
      <c r="G133" s="42" t="str">
        <f ca="1">IF(ISERROR(F127),"",_xlfn.TEXTJOIN("/",FALSE,P133,S133))</f>
        <v>0/100</v>
      </c>
      <c r="H133" s="42"/>
      <c r="I133" s="42" t="str">
        <f ca="1">IF(ISERROR(F127),"",_xlfn.TEXTJOIN("/",FALSE,Q133,T133))</f>
        <v>0/50</v>
      </c>
      <c r="J133" s="42"/>
      <c r="K133" s="42" t="str">
        <f ca="1">IF(ISERROR(F127),"",_xlfn.TEXTJOIN("/",FALSE,R133,U133))</f>
        <v>0/150</v>
      </c>
      <c r="L133" s="42"/>
      <c r="M133" s="7" t="str">
        <f ca="1">IF(ISERROR(F127),"",IF(ISTEXT(P133),IF(P133="A","Ab",IF(P133="D","Dt",IF(P133="UFM","UFM",IF(P133="NA","")))),IF(AND(ISBLANK(P133),ISBLANK(R133)),"",IF(P133&lt;0.3*S133,"F",IF(ISBLANK(R133),"",IF(ISTEXT(R133),R133,IF(R133&gt;=0.9*U133,"O",IF(R133&gt;=0.85*U133,"A+",IF(R133&gt;=0.8*U133,"A",IF(R133&gt;=0.7*U133,"B+",IF(R133&gt;=0.6*U133,"B",IF(R133&gt;=0.5*U133,"C",IF(R133&gt;=0.4*U133,"P",IF(R133&lt;0.4*U133,"F",R133))))))))))))))</f>
        <v>F</v>
      </c>
      <c r="N133" s="8">
        <f t="shared" ca="1" si="14"/>
        <v>0</v>
      </c>
      <c r="O133">
        <f>O132+1</f>
        <v>2</v>
      </c>
      <c r="P133" s="1">
        <f ca="1">IF(ISERROR(F127),"",IF(ISTEXT(VLOOKUP(B127,INDIRECT($F$8),6+(O133-1)*3)),(VLOOKUP(B127,INDIRECT($F$8),6+(O133-1)*3)),SUM(VLOOKUP(B127,INDIRECT($F$8),6+(O133-1)*3),IF(W140,W133,0))))</f>
        <v>0</v>
      </c>
      <c r="Q133" s="1">
        <f ca="1">IF(ISERROR(F127),"",VLOOKUP(B127,INDIRECT($F$8),7+(O133-1)*3))</f>
        <v>0</v>
      </c>
      <c r="R133" s="1">
        <f ca="1">IF(ISERROR(F127),"",SUM(P133:Q133))</f>
        <v>0</v>
      </c>
      <c r="S133" s="1">
        <f ca="1">IF(ISERROR(F127),"",VLOOKUP(A127,INDIRECT($F$8),6+(O133-1)*3))</f>
        <v>100</v>
      </c>
      <c r="T133" s="1">
        <f ca="1">IF(ISERROR(F127),"",VLOOKUP(A127,INDIRECT($F$8),7+(O133-1)*3))</f>
        <v>50</v>
      </c>
      <c r="U133" s="1">
        <f ca="1">IF(ISERROR(F127),"",VLOOKUP(A127,INDIRECT($F$8),8+(O133-1)*3))</f>
        <v>150</v>
      </c>
      <c r="V133" s="1" t="str">
        <f ca="1">IF(ISERROR(F127),"",IF(N133=0,A133,""))</f>
        <v>CAT 015</v>
      </c>
      <c r="W133" s="1">
        <f ca="1">IF(ISERROR(F127),"",IF(ISTEXT(VLOOKUP(B127,INDIRECT($F$8),6+(O133-1)*3)),11,IF(VLOOKUP(B127,INDIRECT($F$8),6+(O133-1)*3)&lt;S133*0.3,IF(VLOOKUP(B127,INDIRECT($F$8),8+(O133-1)*3)&lt;U133*0.4,IF(AND(0.4*U133-VLOOKUP(B127,INDIRECT($F$8),8+(O133-1)*3)&lt;=5,0.3*S133-VLOOKUP(B127,INDIRECT($F$8),6+(O133-1)*3)&lt;=5),MAX(0.4*U133-VLOOKUP(B127,INDIRECT($F$8),8+(O133-1)*3),0.3*S133-VLOOKUP(B127,INDIRECT($F$8),6+(O133-1)*3)),11),IF(0.3*S133-VLOOKUP(B127,INDIRECT($F$8),6+(O133-1)*3)&lt;=5,0.3*S133-VLOOKUP(B127,INDIRECT($F$8),6+(O133-1)*3),11)),IF(VLOOKUP(B127,INDIRECT($F$8),8+(O133-1)*3)&lt;U133*0.4,IF(U133*0.4-VLOOKUP(B127,INDIRECT($F$8),8+(O133-1)*3)&lt;=5,U133*0.4-VLOOKUP(B127,INDIRECT($F$8),8+(O133-1)*3),11),0))))</f>
        <v>11</v>
      </c>
      <c r="X133" s="1" t="str">
        <f ca="1">IF(ISERROR(F127),"",IF(W133=0,"",_xlfn.TEXTJOIN("",FALSE," G+",W133," in ",A133)))</f>
        <v xml:space="preserve"> G+11 in CAT 015</v>
      </c>
    </row>
    <row r="134" spans="1:24" ht="14.25" customHeight="1" x14ac:dyDescent="0.2">
      <c r="A134" s="7" t="str">
        <f ca="1">IF(ISERROR(F127),"",VLOOKUP(C127,INDIRECT($F$8),6+(O134-1)*3,0))</f>
        <v>Enroll No.</v>
      </c>
      <c r="B134" s="41">
        <f ca="1">IF(ISERROR(F127),"",VLOOKUP(D127,INDIRECT($F$8),6+(O134-1)*3,0))</f>
        <v>0</v>
      </c>
      <c r="C134" s="41"/>
      <c r="D134" s="41"/>
      <c r="E134" s="41"/>
      <c r="F134" s="7">
        <f ca="1">IF(ISERROR(F127),"",VLOOKUP(E127,INDIRECT($F$8),6+(O134-1)*3,0))</f>
        <v>0</v>
      </c>
      <c r="G134" s="42" t="str">
        <f ca="1">IF(ISERROR(F127),"",_xlfn.TEXTJOIN("/",FALSE,P134,S134))</f>
        <v>UTU/2406100183/0</v>
      </c>
      <c r="H134" s="42"/>
      <c r="I134" s="42" t="str">
        <f ca="1">IF(ISERROR(F127),"",_xlfn.TEXTJOIN("/",FALSE,Q134,T134))</f>
        <v>AYUSH RAWAT/0</v>
      </c>
      <c r="J134" s="42"/>
      <c r="K134" s="42" t="str">
        <f ca="1">IF(ISERROR(F127),"",_xlfn.TEXTJOIN("/",FALSE,R134,U134))</f>
        <v>0/0</v>
      </c>
      <c r="L134" s="42"/>
      <c r="M134" s="7" t="b">
        <f ca="1">IF(ISERROR(F127),"",IF(ISTEXT(P134),IF(P134="A","Ab",IF(P134="D","Dt",IF(P134="UFM","UFM",IF(P134="NA","")))),IF(AND(ISBLANK(P134),ISBLANK(R134)),"",IF(P134&lt;0.3*S134,"F",IF(ISBLANK(R134),"",IF(ISTEXT(R134),R134,IF(R134&gt;=0.9*U134,"O",IF(R134&gt;=0.85*U134,"A+",IF(R134&gt;=0.8*U134,"A",IF(R134&gt;=0.7*U134,"B+",IF(R134&gt;=0.6*U134,"B",IF(R134&gt;=0.5*U134,"C",IF(R134&gt;=0.4*U134,"P",IF(R134&lt;0.4*U134,"F",R134))))))))))))))</f>
        <v>0</v>
      </c>
      <c r="N134" s="8" t="e">
        <f t="shared" ca="1" si="14"/>
        <v>#N/A</v>
      </c>
      <c r="O134" t="b" cm="1">
        <f t="array" aca="1" ref="O134" ca="1">IF(NOT(ISBLANK(INDIRECT("SEM_III!L"&amp;INT((ROW(O134)-15)/17)+6))),3,IF(NOT(ISBLANK(INDIRECT("SEM_III!O"&amp;INT((ROW(O134)-15)/17)+6))),4))</f>
        <v>0</v>
      </c>
      <c r="P134" s="1" t="str">
        <f ca="1">IF(ISERROR(F127),"",IF(ISTEXT(VLOOKUP(B127,INDIRECT($F$8),6+(O134-1)*3)),(VLOOKUP(B127,INDIRECT($F$8),6+(O134-1)*3)),SUM(VLOOKUP(B127,INDIRECT($F$8),6+(O134-1)*3),IF(W140,W134,0))))</f>
        <v>UTU/2406100183</v>
      </c>
      <c r="Q134" s="1" t="str">
        <f ca="1">IF(ISERROR(F127),"",VLOOKUP(B127,INDIRECT($F$8),7+(O134-1)*3))</f>
        <v>AYUSH RAWAT</v>
      </c>
      <c r="R134" s="1">
        <f ca="1">IF(ISERROR(F127),"",SUM(P134:Q134))</f>
        <v>0</v>
      </c>
      <c r="S134" s="1">
        <f ca="1">IF(ISERROR(F127),"",VLOOKUP(A127,INDIRECT($F$8),6+(O134-1)*3))</f>
        <v>0</v>
      </c>
      <c r="T134" s="1">
        <f ca="1">IF(ISERROR(F127),"",VLOOKUP(A127,INDIRECT($F$8),7+(O134-1)*3))</f>
        <v>0</v>
      </c>
      <c r="U134" s="1">
        <f ca="1">IF(ISERROR(F127),"",VLOOKUP(A127,INDIRECT($F$8),8+(O134-1)*3))</f>
        <v>0</v>
      </c>
      <c r="V134" s="1" t="e">
        <f ca="1">IF(ISERROR(F127),"",IF(N134=0,A134,""))</f>
        <v>#N/A</v>
      </c>
      <c r="W134" s="1">
        <f ca="1">IF(ISERROR(F127),"",IF(ISTEXT(VLOOKUP(B127,INDIRECT($F$8),6+(O134-1)*3)),11,IF(VLOOKUP(B127,INDIRECT($F$8),6+(O134-1)*3)&lt;S134*0.3,IF(VLOOKUP(B127,INDIRECT($F$8),8+(O134-1)*3)&lt;U134*0.4,IF(AND(0.4*U134-VLOOKUP(B127,INDIRECT($F$8),8+(O134-1)*3)&lt;=5,0.3*S134-VLOOKUP(B127,INDIRECT($F$8),6+(O134-1)*3)&lt;=5),MAX(0.4*U134-VLOOKUP(B127,INDIRECT($F$8),8+(O134-1)*3),0.3*S134-VLOOKUP(B127,INDIRECT($F$8),6+(O134-1)*3)),11),IF(0.3*S134-VLOOKUP(B127,INDIRECT($F$8),6+(O134-1)*3)&lt;=5,0.3*S134-VLOOKUP(B127,INDIRECT($F$8),6+(O134-1)*3),11)),IF(VLOOKUP(B127,INDIRECT($F$8),8+(O134-1)*3)&lt;U134*0.4,IF(U134*0.4-VLOOKUP(B127,INDIRECT($F$8),8+(O134-1)*3)&lt;=5,U134*0.4-VLOOKUP(B127,INDIRECT($F$8),8+(O134-1)*3),11),0))))</f>
        <v>11</v>
      </c>
      <c r="X134" s="1" t="str">
        <f ca="1">IF(ISERROR(F127),"",IF(W134=0,"",_xlfn.TEXTJOIN("",FALSE," G+",W134," in ",A134)))</f>
        <v xml:space="preserve"> G+11 in Enroll No.</v>
      </c>
    </row>
    <row r="135" spans="1:24" ht="14.25" customHeight="1" x14ac:dyDescent="0.2">
      <c r="A135" s="7" t="str">
        <f ca="1">IF(ISERROR(F127),"",VLOOKUP(C127,INDIRECT($F$8),6+(O135-1)*3,0))</f>
        <v>Enroll No.</v>
      </c>
      <c r="B135" s="41">
        <f ca="1">IF(ISERROR(F127),"",VLOOKUP(D127,INDIRECT($F$8),6+(O135-1)*3,0))</f>
        <v>0</v>
      </c>
      <c r="C135" s="41"/>
      <c r="D135" s="41"/>
      <c r="E135" s="41"/>
      <c r="F135" s="7">
        <f ca="1">IF(ISERROR(F127),"",VLOOKUP(E127,INDIRECT($F$8),6+(O135-1)*3,0))</f>
        <v>0</v>
      </c>
      <c r="G135" s="42" t="str">
        <f ca="1">IF(ISERROR(F127),"",_xlfn.TEXTJOIN("/",FALSE,P135,S135))</f>
        <v>UTU/2406100183/0</v>
      </c>
      <c r="H135" s="42"/>
      <c r="I135" s="42" t="str">
        <f ca="1">IF(ISERROR(F127),"",_xlfn.TEXTJOIN("/",FALSE,Q135,T135))</f>
        <v>AYUSH RAWAT/0</v>
      </c>
      <c r="J135" s="42"/>
      <c r="K135" s="42" t="str">
        <f ca="1">IF(ISERROR(F127),"",_xlfn.TEXTJOIN("/",FALSE,R135,U135))</f>
        <v>0/0</v>
      </c>
      <c r="L135" s="42"/>
      <c r="M135" s="7" t="b">
        <f ca="1">IF(ISERROR(F127),"",IF(ISTEXT(P135),IF(P135="A","Ab",IF(P135="D","Dt",IF(P135="UFM","UFM",IF(P135="NA","")))),IF(AND(ISBLANK(P135),ISBLANK(R135)),"",IF(P135&lt;0.3*S135,"F",IF(ISBLANK(R135),"",IF(ISTEXT(R135),R135,IF(R135&gt;=0.9*U135,"O",IF(R135&gt;=0.85*U135,"A+",IF(R135&gt;=0.8*U135,"A",IF(R135&gt;=0.7*U135,"B+",IF(R135&gt;=0.6*U135,"B",IF(R135&gt;=0.5*U135,"C",IF(R135&gt;=0.4*U135,"P",IF(R135&lt;0.4*U135,"F",R135))))))))))))))</f>
        <v>0</v>
      </c>
      <c r="N135" s="8" t="e">
        <f t="shared" ca="1" si="14"/>
        <v>#N/A</v>
      </c>
      <c r="O135" t="b" cm="1">
        <f t="array" aca="1" ref="O135" ca="1">IF(NOT(ISBLANK(INDIRECT("SEM_III!R"&amp;INT((ROW(O135)-16)/17)+6))),5,IF(NOT(ISBLANK(INDIRECT("SEM_III!U"&amp;INT((ROW(O135)-16)/17)+6))),6))</f>
        <v>0</v>
      </c>
      <c r="P135" s="1" t="str">
        <f ca="1">IF(ISERROR(F127),"",IF(ISTEXT(VLOOKUP(B127,INDIRECT($F$8),6+(O135-1)*3)),(VLOOKUP(B127,INDIRECT($F$8),6+(O135-1)*3)),SUM(VLOOKUP(B127,INDIRECT($F$8),6+(O135-1)*3),IF(W140,W135,0))))</f>
        <v>UTU/2406100183</v>
      </c>
      <c r="Q135" s="1" t="str">
        <f ca="1">IF(ISERROR(F127),"",VLOOKUP(B127,INDIRECT($F$8),7+(O135-1)*3))</f>
        <v>AYUSH RAWAT</v>
      </c>
      <c r="R135" s="1">
        <f ca="1">IF(ISERROR(F127),"",SUM(P135:Q135))</f>
        <v>0</v>
      </c>
      <c r="S135" s="1">
        <f ca="1">IF(ISERROR(F127),"",VLOOKUP(A127,INDIRECT($F$8),6+(O135-1)*3))</f>
        <v>0</v>
      </c>
      <c r="T135" s="1">
        <f ca="1">IF(ISERROR(F127),"",VLOOKUP(A127,INDIRECT($F$8),7+(O135-1)*3))</f>
        <v>0</v>
      </c>
      <c r="U135" s="1">
        <f ca="1">IF(ISERROR(F127),"",VLOOKUP(A127,INDIRECT($F$8),8+(O135-1)*3))</f>
        <v>0</v>
      </c>
      <c r="V135" s="1" t="e">
        <f ca="1">IF(ISERROR(F127),"",IF(N135=0,A135,""))</f>
        <v>#N/A</v>
      </c>
      <c r="W135" s="1">
        <f ca="1">IF(ISERROR(F127),"",IF(ISTEXT(VLOOKUP(B127,INDIRECT($F$8),6+(O135-1)*3)),11,IF(VLOOKUP(B127,INDIRECT($F$8),6+(O135-1)*3)&lt;S135*0.3,IF(VLOOKUP(B127,INDIRECT($F$8),8+(O135-1)*3)&lt;U135*0.4,IF(AND(0.4*U135-VLOOKUP(B127,INDIRECT($F$8),8+(O135-1)*3)&lt;=5,0.3*S135-VLOOKUP(B127,INDIRECT($F$8),6+(O135-1)*3)&lt;=5),MAX(0.4*U135-VLOOKUP(B127,INDIRECT($F$8),8+(O135-1)*3),0.3*S135-VLOOKUP(B127,INDIRECT($F$8),6+(O135-1)*3)),11),IF(0.3*S135-VLOOKUP(B127,INDIRECT($F$8),6+(O135-1)*3)&lt;=5,0.3*S135-VLOOKUP(B127,INDIRECT($F$8),6+(O135-1)*3),11)),IF(VLOOKUP(B127,INDIRECT($F$8),8+(O135-1)*3)&lt;U135*0.4,IF(U135*0.4-VLOOKUP(B127,INDIRECT($F$8),8+(O135-1)*3)&lt;=5,U135*0.4-VLOOKUP(B127,INDIRECT($F$8),8+(O135-1)*3),11),0))))</f>
        <v>11</v>
      </c>
      <c r="X135" s="1" t="str">
        <f ca="1">IF(ISERROR(F127),"",IF(W135=0,"",_xlfn.TEXTJOIN("",FALSE," G+",W135," in ",A135)))</f>
        <v xml:space="preserve"> G+11 in Enroll No.</v>
      </c>
    </row>
    <row r="136" spans="1:24" ht="14.25" customHeight="1" x14ac:dyDescent="0.2">
      <c r="A136" s="7" t="str">
        <f ca="1">IF(ISERROR(F127),"",VLOOKUP(C127,INDIRECT($F$8),6+(O136-1)*3,0))</f>
        <v>AHT 310</v>
      </c>
      <c r="B136" s="41" t="str">
        <f ca="1">IF(ISERROR(F127),"",VLOOKUP(D127,INDIRECT($F$8),6+(O136-1)*3,0))</f>
        <v>Universal Human Value</v>
      </c>
      <c r="C136" s="41"/>
      <c r="D136" s="41"/>
      <c r="E136" s="41"/>
      <c r="F136" s="7">
        <f ca="1">IF(ISERROR(F127),"",VLOOKUP(E127,INDIRECT($F$8),6+(O136-1)*3,0))</f>
        <v>3</v>
      </c>
      <c r="G136" s="42" t="str">
        <f ca="1">IF(ISERROR(F127),"",_xlfn.TEXTJOIN("/",FALSE,P136,S136))</f>
        <v>0/100</v>
      </c>
      <c r="H136" s="42"/>
      <c r="I136" s="42" t="str">
        <f ca="1">IF(ISERROR(F127),"",_xlfn.TEXTJOIN("/",FALSE,Q136,T136))</f>
        <v>0/50</v>
      </c>
      <c r="J136" s="42"/>
      <c r="K136" s="42" t="str">
        <f ca="1">IF(ISERROR(F127),"",_xlfn.TEXTJOIN("/",FALSE,R136,U136))</f>
        <v>0/150</v>
      </c>
      <c r="L136" s="42"/>
      <c r="M136" s="7" t="str">
        <f ca="1">IF(ISERROR(F127),"",IF(ISTEXT(P136),IF(P136="A","Ab",IF(P136="D","Dt",IF(P136="UFM","UFM",IF(P136="NA","")))),IF(AND(ISBLANK(P136),ISBLANK(R136)),"",IF(P136&lt;0.3*S136,"F",IF(ISBLANK(R136),"",IF(ISTEXT(R136),R136,IF(R136&gt;=0.9*U136,"O",IF(R136&gt;=0.85*U136,"A+",IF(R136&gt;=0.8*U136,"A",IF(R136&gt;=0.7*U136,"B+",IF(R136&gt;=0.6*U136,"B",IF(R136&gt;=0.5*U136,"C",IF(R136&gt;=0.4*U136,"P",IF(R136&lt;0.4*U136,"F",R136))))))))))))))</f>
        <v>F</v>
      </c>
      <c r="N136" s="8">
        <f t="shared" ca="1" si="14"/>
        <v>0</v>
      </c>
      <c r="O136">
        <f ca="1">IF(O135&gt;0,7,"")</f>
        <v>7</v>
      </c>
      <c r="P136" s="1">
        <f ca="1">IF(ISERROR(F127),"",IF(ISTEXT(VLOOKUP(B127,INDIRECT($F$8),6+(O136-1)*3)),(VLOOKUP(B127,INDIRECT($F$8),6+(O136-1)*3)),SUM(VLOOKUP(B127,INDIRECT($F$8),6+(O136-1)*3),IF(W140,W136,0))))</f>
        <v>0</v>
      </c>
      <c r="Q136" s="1">
        <f ca="1">IF(ISERROR(F127),"",VLOOKUP(B127,INDIRECT($F$8),7+(O136-1)*3))</f>
        <v>0</v>
      </c>
      <c r="R136" s="1">
        <f ca="1">IF(ISERROR(F127),"",SUM(P136:Q136))</f>
        <v>0</v>
      </c>
      <c r="S136" s="1">
        <f ca="1">IF(ISERROR(F127),"",VLOOKUP(A127,INDIRECT($F$8),6+(O136-1)*3))</f>
        <v>100</v>
      </c>
      <c r="T136" s="1">
        <f ca="1">IF(ISERROR(F127),"",VLOOKUP(A127,INDIRECT($F$8),7+(O136-1)*3))</f>
        <v>50</v>
      </c>
      <c r="U136" s="1">
        <f ca="1">IF(ISERROR(F127),"",VLOOKUP(A127,INDIRECT($F$8),8+(O136-1)*3))</f>
        <v>150</v>
      </c>
      <c r="V136" s="1" t="str">
        <f ca="1">IF(ISERROR(F127),"",IF(N136=0,A136,""))</f>
        <v>AHT 310</v>
      </c>
      <c r="W136" s="1">
        <f ca="1">IF(ISERROR(F127),"",IF(ISTEXT(VLOOKUP(B127,INDIRECT($F$8),6+(O136-1)*3)),11,IF(VLOOKUP(B127,INDIRECT($F$8),6+(O136-1)*3)&lt;S136*0.3,IF(VLOOKUP(B127,INDIRECT($F$8),8+(O136-1)*3)&lt;U136*0.4,IF(AND(0.4*U136-VLOOKUP(B127,INDIRECT($F$8),8+(O136-1)*3)&lt;=5,0.3*S136-VLOOKUP(B127,INDIRECT($F$8),6+(O136-1)*3)&lt;=5),MAX(0.4*U136-VLOOKUP(B127,INDIRECT($F$8),8+(O136-1)*3),0.3*S136-VLOOKUP(B127,INDIRECT($F$8),6+(O136-1)*3)),11),IF(0.3*S136-VLOOKUP(B127,INDIRECT($F$8),6+(O136-1)*3)&lt;=5,0.3*S136-VLOOKUP(B127,INDIRECT($F$8),6+(O136-1)*3),11)),IF(VLOOKUP(B127,INDIRECT($F$8),8+(O136-1)*3)&lt;U136*0.4,IF(U136*0.4-VLOOKUP(B127,INDIRECT($F$8),8+(O136-1)*3)&lt;=5,U136*0.4-VLOOKUP(B127,INDIRECT($F$8),8+(O136-1)*3),11),0))))</f>
        <v>11</v>
      </c>
      <c r="X136" s="1" t="str">
        <f ca="1">IF(ISERROR(F127),"",IF(W136=0,"",_xlfn.TEXTJOIN("",FALSE," G+",W136," in ",A136)))</f>
        <v xml:space="preserve"> G+11 in AHT 310</v>
      </c>
    </row>
    <row r="137" spans="1:24" ht="14.25" customHeight="1" x14ac:dyDescent="0.2">
      <c r="A137" s="7" t="str">
        <f ca="1">IF(ISERROR(F127),"",VLOOKUP(C127,INDIRECT($F$8),6+(O137-1)*3,0))</f>
        <v>CAP 008</v>
      </c>
      <c r="B137" s="41" t="str">
        <f ca="1">IF(ISERROR(F127),"",VLOOKUP(D127,INDIRECT($F$8),6+(O137-1)*3,0))</f>
        <v>Software Engineering Lab</v>
      </c>
      <c r="C137" s="41"/>
      <c r="D137" s="41"/>
      <c r="E137" s="41"/>
      <c r="F137" s="7">
        <f ca="1">IF(ISERROR(F127),"",VLOOKUP(E127,INDIRECT($F$8),6+(O137-1)*3,0))</f>
        <v>1</v>
      </c>
      <c r="G137" s="42" t="str">
        <f ca="1">IF(ISERROR(F127),"",_xlfn.TEXTJOIN("/",FALSE,P137,S137))</f>
        <v>0/30</v>
      </c>
      <c r="H137" s="42"/>
      <c r="I137" s="42" t="str">
        <f ca="1">IF(ISERROR(F127),"",_xlfn.TEXTJOIN("/",FALSE,Q137,T137))</f>
        <v>0/20</v>
      </c>
      <c r="J137" s="42"/>
      <c r="K137" s="42" t="str">
        <f ca="1">IF(ISERROR(F127),"",_xlfn.TEXTJOIN("/",FALSE,R137,U137))</f>
        <v>0/50</v>
      </c>
      <c r="L137" s="42"/>
      <c r="M137" s="7" t="str">
        <f ca="1">IF(ISERROR(F127),"",IF(ISTEXT(P137),IF(P137="A","Ab",IF(P137="D","Dt",IF(P137="UFM","UFM",IF(P137="NA","")))),IF(AND(ISBLANK(P137),ISBLANK(R137)),"",IF(P137&lt;0.3*S137,"F",IF(ISBLANK(R137),"",IF(ISTEXT(R137),R137,IF(R137&gt;=0.9*U137,"O",IF(R137&gt;=0.85*U137,"A+",IF(R137&gt;=0.8*U137,"A",IF(R137&gt;=0.7*U137,"B+",IF(R137&gt;=0.6*U137,"B",IF(R137&gt;=0.5*U137,"C",IF(R137&gt;=0.4*U137,"P",IF(R137&lt;0.4*U137,"F",R137))))))))))))))</f>
        <v>F</v>
      </c>
      <c r="N137" s="8">
        <f t="shared" ca="1" si="14"/>
        <v>0</v>
      </c>
      <c r="O137">
        <f t="shared" ref="O137:O139" ca="1" si="15">O136+1</f>
        <v>8</v>
      </c>
      <c r="P137" s="1">
        <f ca="1">IF(ISERROR(F127),"",IF(ISTEXT(VLOOKUP(B127,INDIRECT($F$8),6+(O137-1)*3)),(VLOOKUP(B127,INDIRECT($F$8),6+(O137-1)*3)),SUM(VLOOKUP(B127,INDIRECT($F$8),6+(O137-1)*3),IF(W140,W137,0))))</f>
        <v>0</v>
      </c>
      <c r="Q137" s="1">
        <f ca="1">IF(ISERROR(F127),"",VLOOKUP(B127,INDIRECT($F$8),7+(O137-1)*3))</f>
        <v>0</v>
      </c>
      <c r="R137" s="1">
        <f ca="1">IF(ISERROR(F127),"",SUM(P137:Q137))</f>
        <v>0</v>
      </c>
      <c r="S137" s="1">
        <f ca="1">IF(ISERROR(F127),"",VLOOKUP(A127,INDIRECT($F$8),6+(O137-1)*3))</f>
        <v>30</v>
      </c>
      <c r="T137" s="1">
        <f ca="1">IF(ISERROR(F127),"",VLOOKUP(A127,INDIRECT($F$8),7+(O137-1)*3))</f>
        <v>20</v>
      </c>
      <c r="U137" s="1">
        <f ca="1">IF(ISERROR(F127),"",VLOOKUP(A127,INDIRECT($F$8),8+(O137-1)*3))</f>
        <v>50</v>
      </c>
      <c r="V137" s="1" t="str">
        <f ca="1">IF(ISERROR(F127),"",IF(N137=0,A137,""))</f>
        <v>CAP 008</v>
      </c>
      <c r="W137" s="1">
        <f ca="1">IF(ISERROR(F127),"",IF(ISTEXT(VLOOKUP(B127,INDIRECT($F$8),6+(O137-1)*3)),11,IF(VLOOKUP(B127,INDIRECT($F$8),6+(O137-1)*3)&lt;S137*0.3,IF(VLOOKUP(B127,INDIRECT($F$8),8+(O137-1)*3)&lt;U137*0.4,IF(AND(0.4*U137-VLOOKUP(B127,INDIRECT($F$8),8+(O137-1)*3)&lt;=5,0.3*S137-VLOOKUP(B127,INDIRECT($F$8),6+(O137-1)*3)&lt;=5),MAX(0.4*U137-VLOOKUP(B127,INDIRECT($F$8),8+(O137-1)*3),0.3*S137-VLOOKUP(B127,INDIRECT($F$8),6+(O137-1)*3)),11),IF(0.3*S137-VLOOKUP(B127,INDIRECT($F$8),6+(O137-1)*3)&lt;=5,0.3*S137-VLOOKUP(B127,INDIRECT($F$8),6+(O137-1)*3),11)),IF(VLOOKUP(B127,INDIRECT($F$8),8+(O137-1)*3)&lt;U137*0.4,IF(U137*0.4-VLOOKUP(B127,INDIRECT($F$8),8+(O137-1)*3)&lt;=5,U137*0.4-VLOOKUP(B127,INDIRECT($F$8),8+(O137-1)*3),11),0))))</f>
        <v>11</v>
      </c>
      <c r="X137" s="1" t="str">
        <f ca="1">IF(ISERROR(F127),"",IF(W137=0,"",_xlfn.TEXTJOIN("",FALSE," G+",W137," in ",A137)))</f>
        <v xml:space="preserve"> G+11 in CAP 008</v>
      </c>
    </row>
    <row r="138" spans="1:24" ht="14.25" customHeight="1" x14ac:dyDescent="0.2">
      <c r="A138" s="7" t="str">
        <f ca="1">IF(ISERROR(F127),"",VLOOKUP(C127,INDIRECT($F$8),6+(O138-1)*3,0))</f>
        <v>CAP 009</v>
      </c>
      <c r="B138" s="41" t="str">
        <f ca="1">IF(ISERROR(F127),"",VLOOKUP(D127,INDIRECT($F$8),6+(O138-1)*3,0))</f>
        <v>Seminar</v>
      </c>
      <c r="C138" s="41"/>
      <c r="D138" s="41"/>
      <c r="E138" s="41"/>
      <c r="F138" s="7">
        <f ca="1">IF(ISERROR(F127),"",VLOOKUP(E127,INDIRECT($F$8),6+(O138-1)*3,0))</f>
        <v>2</v>
      </c>
      <c r="G138" s="42" t="str">
        <f ca="1">IF(ISERROR(F127),"",_xlfn.TEXTJOIN("/",FALSE,P138,S138))</f>
        <v>0/0</v>
      </c>
      <c r="H138" s="42"/>
      <c r="I138" s="42" t="str">
        <f ca="1">IF(ISERROR(F127),"",_xlfn.TEXTJOIN("/",FALSE,Q138,T138))</f>
        <v>0/100</v>
      </c>
      <c r="J138" s="42"/>
      <c r="K138" s="42" t="str">
        <f ca="1">IF(ISERROR(F127),"",_xlfn.TEXTJOIN("/",FALSE,R138,U138))</f>
        <v>0/100</v>
      </c>
      <c r="L138" s="42"/>
      <c r="M138" s="7" t="str">
        <f ca="1">IF(ISERROR(F127),"",IF(ISTEXT(P138),IF(P138="A","Ab",IF(P138="D","Dt",IF(P138="UFM","UFM",IF(P138="NA","")))),IF(AND(ISBLANK(P138),ISBLANK(R138)),"",IF(P138&lt;0.3*S138,"F",IF(ISBLANK(R138),"",IF(ISTEXT(R138),R138,IF(R138&gt;=0.9*U138,"O",IF(R138&gt;=0.85*U138,"A+",IF(R138&gt;=0.8*U138,"A",IF(R138&gt;=0.7*U138,"B+",IF(R138&gt;=0.6*U138,"B",IF(R138&gt;=0.5*U138,"C",IF(R138&gt;=0.4*U138,"P",IF(R138&lt;0.4*U138,"F",R138))))))))))))))</f>
        <v>F</v>
      </c>
      <c r="N138" s="8">
        <f t="shared" ca="1" si="14"/>
        <v>0</v>
      </c>
      <c r="O138">
        <f t="shared" ca="1" si="15"/>
        <v>9</v>
      </c>
      <c r="P138" s="1">
        <f ca="1">IF(ISERROR(F127),"",IF(ISTEXT(VLOOKUP(B127,INDIRECT($F$8),6+(O138-1)*3)),(VLOOKUP(B127,INDIRECT($F$8),6+(O138-1)*3)),SUM(VLOOKUP(B127,INDIRECT($F$8),6+(O138-1)*3),IF(W140,W138,0))))</f>
        <v>0</v>
      </c>
      <c r="Q138" s="1">
        <f ca="1">IF(ISERROR(F127),"",VLOOKUP(B127,INDIRECT($F$8),7+(O138-1)*3))</f>
        <v>0</v>
      </c>
      <c r="R138" s="1">
        <f ca="1">IF(ISERROR(F127),"",SUM(P138:Q138))</f>
        <v>0</v>
      </c>
      <c r="S138" s="1">
        <f ca="1">IF(ISERROR(F127),"",VLOOKUP(A127,INDIRECT($F$8),6+(O138-1)*3))</f>
        <v>0</v>
      </c>
      <c r="T138" s="1">
        <f ca="1">IF(ISERROR(F127),"",VLOOKUP(A127,INDIRECT($F$8),7+(O138-1)*3))</f>
        <v>100</v>
      </c>
      <c r="U138" s="1">
        <f ca="1">IF(ISERROR(F127),"",VLOOKUP(A127,INDIRECT($F$8),8+(O138-1)*3))</f>
        <v>100</v>
      </c>
      <c r="V138" s="1" t="str">
        <f ca="1">IF(ISERROR(F127),"",IF(N138=0,A138,""))</f>
        <v>CAP 009</v>
      </c>
      <c r="W138" s="1">
        <f ca="1">IF(ISERROR(F127),"",IF(ISTEXT(VLOOKUP(B127,INDIRECT($F$8),6+(O138-1)*3)),11,IF(VLOOKUP(B127,INDIRECT($F$8),6+(O138-1)*3)&lt;S138*0.3,IF(VLOOKUP(B127,INDIRECT($F$8),8+(O138-1)*3)&lt;U138*0.4,IF(AND(0.4*U138-VLOOKUP(B127,INDIRECT($F$8),8+(O138-1)*3)&lt;=5,0.3*S138-VLOOKUP(B127,INDIRECT($F$8),6+(O138-1)*3)&lt;=5),MAX(0.4*U138-VLOOKUP(B127,INDIRECT($F$8),8+(O138-1)*3),0.3*S138-VLOOKUP(B127,INDIRECT($F$8),6+(O138-1)*3)),11),IF(0.3*S138-VLOOKUP(B127,INDIRECT($F$8),6+(O138-1)*3)&lt;=5,0.3*S138-VLOOKUP(B127,INDIRECT($F$8),6+(O138-1)*3),11)),IF(VLOOKUP(B127,INDIRECT($F$8),8+(O138-1)*3)&lt;U138*0.4,IF(U138*0.4-VLOOKUP(B127,INDIRECT($F$8),8+(O138-1)*3)&lt;=5,U138*0.4-VLOOKUP(B127,INDIRECT($F$8),8+(O138-1)*3),11),0))))</f>
        <v>11</v>
      </c>
      <c r="X138" s="1" t="str">
        <f ca="1">IF(ISERROR(F127),"",IF(W138=0,"",_xlfn.TEXTJOIN("",FALSE," G+",W138," in ",A138)))</f>
        <v xml:space="preserve"> G+11 in CAP 009</v>
      </c>
    </row>
    <row r="139" spans="1:24" ht="14.25" customHeight="1" x14ac:dyDescent="0.2">
      <c r="A139" s="7" t="str">
        <f ca="1">IF(ISERROR(F127),"",VLOOKUP(C127,INDIRECT($F$8),6+(O139-1)*3,0))</f>
        <v>CAP 010</v>
      </c>
      <c r="B139" s="41" t="str">
        <f ca="1">IF(ISERROR(F127),"",VLOOKUP(D127,INDIRECT($F$8),6+(O139-1)*3-Z139,0))</f>
        <v>Minor Project</v>
      </c>
      <c r="C139" s="41"/>
      <c r="D139" s="41"/>
      <c r="E139" s="41"/>
      <c r="F139" s="7">
        <f ca="1">IF(ISERROR(F127),"",VLOOKUP(E127,INDIRECT($F$8),6+(O139-1)*3,0))</f>
        <v>2</v>
      </c>
      <c r="G139" s="42" t="str">
        <f ca="1">IF(ISERROR(F127),"",_xlfn.TEXTJOIN("/",FALSE,P139,S139))</f>
        <v>0/50</v>
      </c>
      <c r="H139" s="42"/>
      <c r="I139" s="42" t="str">
        <f ca="1">IF(ISERROR(F127),"",_xlfn.TEXTJOIN("/",FALSE,Q139,T139))</f>
        <v>0/50</v>
      </c>
      <c r="J139" s="42"/>
      <c r="K139" s="42" t="str">
        <f ca="1">IF(ISERROR(F127),"",_xlfn.TEXTJOIN("/",FALSE,R139,U139))</f>
        <v>0/100</v>
      </c>
      <c r="L139" s="42"/>
      <c r="M139" s="7" t="str">
        <f ca="1">IF(ISERROR(F127),"",IF(ISTEXT(P139),IF(P139="A","Ab",IF(P139="D","Dt",IF(P139="UFM","UFM",IF(P139="NA","")))),IF(AND(ISBLANK(P139),ISBLANK(R139)),"",IF(P139&lt;0.3*S139,"F",IF(ISBLANK(R139),"",IF(ISTEXT(R139),R139,IF(R139&gt;=0.9*U139,"O",IF(R139&gt;=0.85*U139,"A+",IF(R139&gt;=0.8*U139,"A",IF(R139&gt;=0.7*U139,"B+",IF(R139&gt;=0.6*U139,"B",IF(R139&gt;=0.5*U139,"C",IF(R139&gt;=0.4*U139,"P",IF(R139&lt;0.4*U139,"F",R139))))))))))))))</f>
        <v>F</v>
      </c>
      <c r="N139" s="8">
        <f t="shared" ca="1" si="14"/>
        <v>0</v>
      </c>
      <c r="O139">
        <f t="shared" ca="1" si="15"/>
        <v>10</v>
      </c>
      <c r="P139" s="1">
        <f ca="1">IF(ISERROR(F127),"",IF(ISTEXT(VLOOKUP(B127,INDIRECT($F$8),6+(O139-1)*3)),(VLOOKUP(B127,INDIRECT($F$8),6+(O139-1)*3)),SUM(VLOOKUP(B127,INDIRECT($F$8),6+(O139-1)*3),IF(W140,W139,0))))</f>
        <v>0</v>
      </c>
      <c r="Q139" s="1">
        <f ca="1">IF(ISERROR(F127),"",VLOOKUP(B127,INDIRECT($F$8),7+(O139-1)*3))</f>
        <v>0</v>
      </c>
      <c r="R139" s="1">
        <f ca="1">IF(ISERROR(F127),"",SUM(P139:Q139))</f>
        <v>0</v>
      </c>
      <c r="S139" s="1">
        <f ca="1">IF(ISERROR(F127),"",VLOOKUP(A127,INDIRECT($F$8),6+(O139-1)*3))</f>
        <v>50</v>
      </c>
      <c r="T139" s="1">
        <f ca="1">IF(ISERROR(F127),"",VLOOKUP(A127,INDIRECT($F$8),7+(O139-1)*3))</f>
        <v>50</v>
      </c>
      <c r="U139" s="1">
        <f ca="1">IF(ISERROR(F127),"",VLOOKUP(A127,INDIRECT($F$8),8+(O139-1)*3))</f>
        <v>100</v>
      </c>
      <c r="V139" s="1" t="str">
        <f ca="1">IF(ISERROR(F127),"",IF(N139=0,A139,""))</f>
        <v>CAP 010</v>
      </c>
      <c r="W139" s="1">
        <f ca="1">IF(ISERROR(F127),"",IF(ISTEXT(VLOOKUP(B127,INDIRECT($F$8),6+(O139-1)*3)),11,IF(VLOOKUP(B127,INDIRECT($F$8),6+(O139-1)*3)&lt;S139*0.3,IF(VLOOKUP(B127,INDIRECT($F$8),8+(O139-1)*3)&lt;U139*0.4,IF(AND(0.4*U139-VLOOKUP(B127,INDIRECT($F$8),8+(O139-1)*3)&lt;=5,0.3*S139-VLOOKUP(B127,INDIRECT($F$8),6+(O139-1)*3)&lt;=5),MAX(0.4*U139-VLOOKUP(B127,INDIRECT($F$8),8+(O139-1)*3),0.3*S139-VLOOKUP(B127,INDIRECT($F$8),6+(O139-1)*3)),11),IF(0.3*S139-VLOOKUP(B127,INDIRECT($F$8),6+(O139-1)*3)&lt;=5,0.3*S139-VLOOKUP(B127,INDIRECT($F$8),6+(O139-1)*3),11)),IF(VLOOKUP(B127,INDIRECT($F$8),8+(O139-1)*3)&lt;U139*0.4,IF(U139*0.4-VLOOKUP(B127,INDIRECT($F$8),8+(O139-1)*3)&lt;=5,U139*0.4-VLOOKUP(B127,INDIRECT($F$8),8+(O139-1)*3),11),0))))</f>
        <v>11</v>
      </c>
      <c r="X139" s="1" t="str">
        <f ca="1">IF(ISERROR(F127),"",IF(W139=0,"",_xlfn.TEXTJOIN("",FALSE," G+",W139," in ",A139)))</f>
        <v xml:space="preserve"> G+11 in CAP 010</v>
      </c>
    </row>
    <row r="140" spans="1:24" ht="14.25" customHeight="1" x14ac:dyDescent="0.2">
      <c r="A140" s="43" t="str">
        <f ca="1">IF(ISERROR(F127),"",A123)</f>
        <v>Total Credits/ Marks/ Total Grade Points</v>
      </c>
      <c r="B140" s="43"/>
      <c r="C140" s="43"/>
      <c r="D140" s="43"/>
      <c r="E140" s="43"/>
      <c r="F140" s="10">
        <f ca="1">IF(ISERROR(F127),"",SUM(F132:F139))</f>
        <v>16</v>
      </c>
      <c r="G140" s="44" t="str">
        <f ca="1">IF(ISERROR(F127),"",_xlfn.TEXTJOIN("/",TRUE,SUMIF(F132:F139,"&gt;0",P132:P139),SUMIF(F132:F139,"&gt;0",S132:S139)))</f>
        <v>0/380</v>
      </c>
      <c r="H140" s="44"/>
      <c r="I140" s="44" t="str">
        <f ca="1">IF(ISERROR(F127),"",_xlfn.TEXTJOIN("/",TRUE,SUMIF(F132:F139,"&gt;0",Q132:Q139),SUMIF(F132:F139,"&gt;0",T132:T139)))</f>
        <v>0/320</v>
      </c>
      <c r="J140" s="44"/>
      <c r="K140" s="44" t="str">
        <f ca="1">IF(ISERROR(F127),"",_xlfn.TEXTJOIN("/",TRUE,SUMIF(F132:F139,"&gt;0",R132:R139),SUMIF(F132:F139,"&gt;0",U132:U139)))</f>
        <v>0/700</v>
      </c>
      <c r="L140" s="44"/>
      <c r="M140" s="43" t="e">
        <f ca="1">IF(ISERROR(F127),"",SUMPRODUCT(N132:N139,F132:F139))</f>
        <v>#N/A</v>
      </c>
      <c r="N140" s="43"/>
      <c r="V140" s="1" t="e">
        <f ca="1">IF(ISERROR(F127),"",_xlfn.TEXTJOIN(", ",TRUE,V132:V139))</f>
        <v>#N/A</v>
      </c>
      <c r="W140" t="b">
        <f ca="1">IF(ISERROR(F127),"",IF(SUM(W132:W139)&lt;=W131,TRUE,FALSE))</f>
        <v>0</v>
      </c>
      <c r="X140" s="1" t="str">
        <f ca="1">IF(ISERROR(F127),"",_xlfn.TEXTJOIN(",",TRUE,X132:X139))</f>
        <v xml:space="preserve"> G+11 in CAT  014, G+11 in CAT 015, G+11 in Enroll No., G+11 in Enroll No., G+11 in AHT 310, G+11 in CAP 008, G+11 in CAP 009, G+11 in CAP 010</v>
      </c>
    </row>
    <row r="141" spans="1:24" ht="14.25" customHeight="1" x14ac:dyDescent="0.2">
      <c r="A141" s="43" t="str">
        <f ca="1">IF(ISERROR(F127),"",A124)</f>
        <v>Result:</v>
      </c>
      <c r="B141" s="45" t="e">
        <f ca="1">IF(ISERROR(F127),"",IF(V140="","PASS","CARRY OVER"))</f>
        <v>#N/A</v>
      </c>
      <c r="C141" s="45"/>
      <c r="D141" s="43" t="str">
        <f ca="1">IF(ISERROR(F127),"",D124)</f>
        <v>Remark:</v>
      </c>
      <c r="E141" s="45" t="e">
        <f ca="1">IF(ISERROR(F127),"",IF(V140="",IF(X140="","",X140),_xlfn.TEXTJOIN(" ",TRUE,"BACK IN",V140)))</f>
        <v>#N/A</v>
      </c>
      <c r="F141" s="45"/>
      <c r="G141" s="43" t="str">
        <f ca="1">IF(ISERROR(F127),"",G124)</f>
        <v>SGPA:</v>
      </c>
      <c r="H141" s="46" t="e">
        <f ca="1">IF(ISERROR(F127),"",M140/F140)</f>
        <v>#N/A</v>
      </c>
      <c r="I141" s="43" t="str">
        <f ca="1">IF(ISERROR(F127),"",I124)</f>
        <v>CGPA:</v>
      </c>
      <c r="J141" s="46" t="e">
        <f ca="1">IF(ISERROR(F127),"",VLOOKUP(B127,INDIRECT($F$8),12+(O139-1)*3,0))</f>
        <v>#N/A</v>
      </c>
      <c r="K141" s="45" t="str">
        <f ca="1">IF(ISERROR(F127),"",K124)</f>
        <v>Earned Credits:</v>
      </c>
      <c r="L141" s="43">
        <f ca="1">IF(ISERROR(F127),"",SUMIF(N132:N139,"&gt;0",F132:F139))</f>
        <v>0</v>
      </c>
      <c r="M141" s="45" t="str">
        <f ca="1">IF(ISERROR(F127),"",M124)</f>
        <v>Cuml. Earned Credits:</v>
      </c>
      <c r="N141" s="43" t="e">
        <f ca="1">IF(ISERROR(F127),"",VLOOKUP(B127,INDIRECT($F$8),10+(O139-1)*3,0))</f>
        <v>#N/A</v>
      </c>
    </row>
    <row r="142" spans="1:24" ht="14.25" customHeight="1" x14ac:dyDescent="0.2">
      <c r="A142" s="43"/>
      <c r="B142" s="45"/>
      <c r="C142" s="45"/>
      <c r="D142" s="43"/>
      <c r="E142" s="45"/>
      <c r="F142" s="45"/>
      <c r="G142" s="43"/>
      <c r="H142" s="46"/>
      <c r="I142" s="43"/>
      <c r="J142" s="46"/>
      <c r="K142" s="45"/>
      <c r="L142" s="43"/>
      <c r="M142" s="45"/>
      <c r="N142" s="43"/>
    </row>
    <row r="143" spans="1:24" ht="14.25" customHeight="1" x14ac:dyDescent="0.2">
      <c r="A143" s="43"/>
      <c r="B143" s="45"/>
      <c r="C143" s="45"/>
      <c r="D143" s="43"/>
      <c r="E143" s="45"/>
      <c r="F143" s="45"/>
      <c r="G143" s="43"/>
      <c r="H143" s="46"/>
      <c r="I143" s="43"/>
      <c r="J143" s="46"/>
      <c r="K143" s="45"/>
      <c r="L143" s="43"/>
      <c r="M143" s="45"/>
      <c r="N143" s="43"/>
    </row>
    <row r="144" spans="1:24" ht="14.25" customHeight="1" x14ac:dyDescent="0.2">
      <c r="A144" s="11" t="str">
        <f>A127</f>
        <v>MM</v>
      </c>
      <c r="B144" s="11">
        <f>B127+1</f>
        <v>9</v>
      </c>
      <c r="C144" s="11" t="str">
        <f>C127</f>
        <v>SC</v>
      </c>
      <c r="D144" s="11" t="str">
        <f>D127</f>
        <v>SN</v>
      </c>
      <c r="E144" s="11" t="str">
        <f>E127</f>
        <v>C</v>
      </c>
      <c r="F144" s="11" t="str">
        <f ca="1">VLOOKUP(B144,INDIRECT($F$8),4,0)</f>
        <v>CHIRAG KASHYAP</v>
      </c>
    </row>
    <row r="145" spans="1:24" ht="14.25" customHeight="1" x14ac:dyDescent="0.2">
      <c r="A145" s="47" t="str">
        <f ca="1">IF(ISERROR(F144),"",A128)</f>
        <v>Name:</v>
      </c>
      <c r="B145" s="47" t="str">
        <f ca="1">IFERROR(VLOOKUP(B144,INDIRECT($F$8),4,0),"")</f>
        <v>CHIRAG KASHYAP</v>
      </c>
      <c r="C145" s="47"/>
      <c r="D145" s="47" t="str">
        <f ca="1">IF(ISERROR(F144),"",D128)</f>
        <v>Father's Name:</v>
      </c>
      <c r="E145" s="47" t="str">
        <f ca="1">IFERROR(VLOOKUP(B144,INDIRECT($F$8),5,0),"")</f>
        <v>NARENDRA SINGH</v>
      </c>
      <c r="F145" s="47"/>
      <c r="G145" s="47" t="str">
        <f ca="1">IF(ISERROR(F144),"",G128)</f>
        <v>University Roll No:</v>
      </c>
      <c r="H145" s="47"/>
      <c r="I145" s="48">
        <f ca="1">IFERROR(VLOOKUP(B144,INDIRECT($F$8),2,0),"")</f>
        <v>240090600009</v>
      </c>
      <c r="J145" s="48"/>
      <c r="K145" s="47" t="str">
        <f ca="1">IF(ISERROR(F144),"",K128)</f>
        <v>University Enrol. No:</v>
      </c>
      <c r="L145" s="47"/>
      <c r="M145" s="48" t="str">
        <f ca="1">IFERROR(VLOOKUP(B144,INDIRECT($F$8),3,0),"")</f>
        <v>UTU/2406100172</v>
      </c>
      <c r="N145" s="48"/>
    </row>
    <row r="146" spans="1:24" ht="14.25" customHeight="1" x14ac:dyDescent="0.2">
      <c r="A146" s="47"/>
      <c r="B146" s="47"/>
      <c r="C146" s="47"/>
      <c r="D146" s="47"/>
      <c r="E146" s="47"/>
      <c r="F146" s="47"/>
      <c r="G146" s="47"/>
      <c r="H146" s="47"/>
      <c r="I146" s="48"/>
      <c r="J146" s="48"/>
      <c r="K146" s="47"/>
      <c r="L146" s="47"/>
      <c r="M146" s="48"/>
      <c r="N146" s="48"/>
    </row>
    <row r="147" spans="1:24" ht="14.25" customHeight="1" x14ac:dyDescent="0.2">
      <c r="A147" s="45" t="str">
        <f ca="1">IF(ISERROR(F144),"",A130)</f>
        <v>Subject Code</v>
      </c>
      <c r="B147" s="45" t="str">
        <f ca="1">IF(ISERROR(F144),"",B130)</f>
        <v>Subject Name</v>
      </c>
      <c r="C147" s="45"/>
      <c r="D147" s="45"/>
      <c r="E147" s="45"/>
      <c r="F147" s="45" t="str">
        <f ca="1">IF(ISERROR(F144),"",F130)</f>
        <v>Credits</v>
      </c>
      <c r="G147" s="45" t="str">
        <f ca="1">IF(ISERROR(F144),"",G130)</f>
        <v>External Marks</v>
      </c>
      <c r="H147" s="45"/>
      <c r="I147" s="45" t="str">
        <f ca="1">IF(ISERROR(F144),"",I130)</f>
        <v>Sessional Marks</v>
      </c>
      <c r="J147" s="45"/>
      <c r="K147" s="45" t="str">
        <f ca="1">IF(ISERROR(F144),"",K130)</f>
        <v>Total Marks</v>
      </c>
      <c r="L147" s="45"/>
      <c r="M147" s="45" t="str">
        <f ca="1">IF(ISERROR(F144),"",M130)</f>
        <v>Grade</v>
      </c>
      <c r="N147" s="45" t="str">
        <f ca="1">IF(ISERROR(F144),"",N130)</f>
        <v>Grade Points</v>
      </c>
    </row>
    <row r="148" spans="1:24" ht="14.25" customHeight="1" x14ac:dyDescent="0.2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W148">
        <f ca="1">IF(ISNUMBER(MATCH($F$8,{"I","III","V","VII"},0)),10,10-INDEX(INDIRECT(_xlfn.TEXTJOIN("",TRUE,"SEM_",$G$8,"!",ADDRESS(6,4+$I$8*3+4),":",ADDRESS(5+$H$8,4+$I$8*3+4))),MATCH(INDIRECT(_xlfn.TEXTJOIN("",TRUE,"TC_",$F$8,"!",ADDRESS(ROW(I145),COLUMN(I145)))),INDIRECT(_xlfn.TEXTJOIN("",TRUE,"SEM_",$G$8,"!",ADDRESS(6,2),":",ADDRESS(5+$H$8,2))))))</f>
        <v>10</v>
      </c>
    </row>
    <row r="149" spans="1:24" ht="14.25" customHeight="1" x14ac:dyDescent="0.2">
      <c r="A149" s="7" t="str">
        <f ca="1">IF(ISERROR(F144),"",VLOOKUP(C144,INDIRECT($F$8),6+(O149-1)*3,0))</f>
        <v>CAT  014</v>
      </c>
      <c r="B149" s="41" t="str">
        <f ca="1">IF(ISERROR(F144),"",VLOOKUP(D144,INDIRECT($F$8),6+(O149-1)*3,0))</f>
        <v>Graph Theory</v>
      </c>
      <c r="C149" s="41"/>
      <c r="D149" s="41"/>
      <c r="E149" s="41"/>
      <c r="F149" s="7">
        <f ca="1">IF(ISERROR(F144),"",VLOOKUP(E144,INDIRECT($F$8),6+(O149-1)*3,0))</f>
        <v>4</v>
      </c>
      <c r="G149" s="42" t="str">
        <f ca="1">IF(ISERROR(F144),"",_xlfn.TEXTJOIN("/",FALSE,P149,S149))</f>
        <v>0/100</v>
      </c>
      <c r="H149" s="42"/>
      <c r="I149" s="42" t="str">
        <f ca="1">IF(ISERROR(F144),"",_xlfn.TEXTJOIN("/",FALSE,Q149,T149))</f>
        <v>0/50</v>
      </c>
      <c r="J149" s="42"/>
      <c r="K149" s="42" t="str">
        <f ca="1">IF(ISERROR(F144),"",_xlfn.TEXTJOIN("/",FALSE,R149,U149))</f>
        <v>0/150</v>
      </c>
      <c r="L149" s="42"/>
      <c r="M149" s="7" t="str">
        <f ca="1">IF(ISERROR(F144),"",IF(ISTEXT(P149),IF(P149="A","Ab",IF(P149="D","Dt",IF(P149="UFM","UFM",IF(P149="NA","")))),IF(AND(ISBLANK(P149),ISBLANK(R149)),"",IF(P149&lt;0.3*S149,"F",IF(ISBLANK(R149),"",IF(ISTEXT(R149),R149,IF(R149&gt;=0.9*U149,"O",IF(R149&gt;=0.85*U149,"A+",IF(R149&gt;=0.8*U149,"A",IF(R149&gt;=0.7*U149,"B+",IF(R149&gt;=0.6*U149,"B",IF(R149&gt;=0.5*U149,"C",IF(R149&gt;=0.4*U149,"P",IF(R149&lt;0.4*U149,"F",R149))))))))))))))</f>
        <v>F</v>
      </c>
      <c r="N149" s="8">
        <f t="shared" ref="N149:N156" ca="1" si="16">INDEX($Z$2:$Z$13,MATCH(M149,$Y$2:$Y$13,0))</f>
        <v>0</v>
      </c>
      <c r="O149">
        <v>1</v>
      </c>
      <c r="P149" s="1">
        <f ca="1">IF(ISERROR(F144),"",IF(ISTEXT(VLOOKUP(B144,INDIRECT($F$8),6+(O149-1)*3)),(VLOOKUP(B144,INDIRECT($F$8),6+(O149-1)*3)),SUM(VLOOKUP(B144,INDIRECT($F$8),6+(O149-1)*3),IF(W157,W149,0))))</f>
        <v>0</v>
      </c>
      <c r="Q149" s="1">
        <f ca="1">IF(ISERROR(F144),"",VLOOKUP(B144,INDIRECT($F$8),7+(O149-1)*3))</f>
        <v>0</v>
      </c>
      <c r="R149" s="1">
        <f ca="1">IF(ISERROR(F144),"",SUM(P149:Q149))</f>
        <v>0</v>
      </c>
      <c r="S149" s="1">
        <f ca="1">IF(ISERROR(F144),"",VLOOKUP(A144,INDIRECT($F$8),6+(O149-1)*3))</f>
        <v>100</v>
      </c>
      <c r="T149" s="1">
        <f ca="1">IF(ISERROR(F144),"",VLOOKUP(A144,INDIRECT($F$8),7+(O149-1)*3))</f>
        <v>50</v>
      </c>
      <c r="U149" s="1">
        <f ca="1">IF(ISERROR(F144),"",VLOOKUP(A144,INDIRECT($F$8),8+(O149-1)*3))</f>
        <v>150</v>
      </c>
      <c r="V149" s="1" t="str">
        <f ca="1">IF(ISERROR(F144),"",IF(N149=0,A149,""))</f>
        <v>CAT  014</v>
      </c>
      <c r="W149" s="1">
        <f ca="1">IF(ISERROR(F144),"",IF(ISTEXT(VLOOKUP(B144,INDIRECT($F$8),6+(O149-1)*3)),11,IF(VLOOKUP(B144,INDIRECT($F$8),6+(O149-1)*3)&lt;S149*0.3,IF(VLOOKUP(B144,INDIRECT($F$8),8+(O149-1)*3)&lt;U149*0.4,IF(AND(0.4*U149-VLOOKUP(B144,INDIRECT($F$8),8+(O149-1)*3)&lt;=5,0.3*S149-VLOOKUP(B144,INDIRECT($F$8),6+(O149-1)*3)&lt;=5),MAX(0.4*U149-VLOOKUP(B144,INDIRECT($F$8),8+(O149-1)*3),0.3*S149-VLOOKUP(B144,INDIRECT($F$8),6+(O149-1)*3)),11),IF(0.3*S149-VLOOKUP(B144,INDIRECT($F$8),6+(O149-1)*3)&lt;=5,0.3*S149-VLOOKUP(B144,INDIRECT($F$8),6+(O149-1)*3),11)),IF(VLOOKUP(B144,INDIRECT($F$8),8+(O149-1)*3)&lt;U149*0.4,IF(U149*0.4-VLOOKUP(B144,INDIRECT($F$8),8+(O149-1)*3)&lt;=5,U149*0.4-VLOOKUP(B144,INDIRECT($F$8),8+(O149-1)*3),11),0))))</f>
        <v>11</v>
      </c>
      <c r="X149" s="1" t="str">
        <f ca="1">IF(ISERROR(F144),"",IF(W149=0,"",_xlfn.TEXTJOIN("",FALSE," G+",W149," in ",A149)))</f>
        <v xml:space="preserve"> G+11 in CAT  014</v>
      </c>
    </row>
    <row r="150" spans="1:24" ht="14.25" customHeight="1" x14ac:dyDescent="0.2">
      <c r="A150" s="7" t="str">
        <f ca="1">IF(ISERROR(F144),"",VLOOKUP(C144,INDIRECT($F$8),6+(O150-1)*3,0))</f>
        <v>CAT 015</v>
      </c>
      <c r="B150" s="41" t="str">
        <f ca="1">IF(ISERROR(F144),"",VLOOKUP(D144,INDIRECT($F$8),6+(O150-1)*3,0))</f>
        <v>Software Engineering</v>
      </c>
      <c r="C150" s="41"/>
      <c r="D150" s="41"/>
      <c r="E150" s="41"/>
      <c r="F150" s="7">
        <f ca="1">IF(ISERROR(F144),"",VLOOKUP(E144,INDIRECT($F$8),6+(O150-1)*3,0))</f>
        <v>4</v>
      </c>
      <c r="G150" s="42" t="str">
        <f ca="1">IF(ISERROR(F144),"",_xlfn.TEXTJOIN("/",FALSE,P150,S150))</f>
        <v>0/100</v>
      </c>
      <c r="H150" s="42"/>
      <c r="I150" s="42" t="str">
        <f ca="1">IF(ISERROR(F144),"",_xlfn.TEXTJOIN("/",FALSE,Q150,T150))</f>
        <v>0/50</v>
      </c>
      <c r="J150" s="42"/>
      <c r="K150" s="42" t="str">
        <f ca="1">IF(ISERROR(F144),"",_xlfn.TEXTJOIN("/",FALSE,R150,U150))</f>
        <v>0/150</v>
      </c>
      <c r="L150" s="42"/>
      <c r="M150" s="7" t="str">
        <f ca="1">IF(ISERROR(F144),"",IF(ISTEXT(P150),IF(P150="A","Ab",IF(P150="D","Dt",IF(P150="UFM","UFM",IF(P150="NA","")))),IF(AND(ISBLANK(P150),ISBLANK(R150)),"",IF(P150&lt;0.3*S150,"F",IF(ISBLANK(R150),"",IF(ISTEXT(R150),R150,IF(R150&gt;=0.9*U150,"O",IF(R150&gt;=0.85*U150,"A+",IF(R150&gt;=0.8*U150,"A",IF(R150&gt;=0.7*U150,"B+",IF(R150&gt;=0.6*U150,"B",IF(R150&gt;=0.5*U150,"C",IF(R150&gt;=0.4*U150,"P",IF(R150&lt;0.4*U150,"F",R150))))))))))))))</f>
        <v>F</v>
      </c>
      <c r="N150" s="8">
        <f t="shared" ca="1" si="16"/>
        <v>0</v>
      </c>
      <c r="O150">
        <f>O149+1</f>
        <v>2</v>
      </c>
      <c r="P150" s="1">
        <f ca="1">IF(ISERROR(F144),"",IF(ISTEXT(VLOOKUP(B144,INDIRECT($F$8),6+(O150-1)*3)),(VLOOKUP(B144,INDIRECT($F$8),6+(O150-1)*3)),SUM(VLOOKUP(B144,INDIRECT($F$8),6+(O150-1)*3),IF(W157,W150,0))))</f>
        <v>0</v>
      </c>
      <c r="Q150" s="1">
        <f ca="1">IF(ISERROR(F144),"",VLOOKUP(B144,INDIRECT($F$8),7+(O150-1)*3))</f>
        <v>0</v>
      </c>
      <c r="R150" s="1">
        <f ca="1">IF(ISERROR(F144),"",SUM(P150:Q150))</f>
        <v>0</v>
      </c>
      <c r="S150" s="1">
        <f ca="1">IF(ISERROR(F144),"",VLOOKUP(A144,INDIRECT($F$8),6+(O150-1)*3))</f>
        <v>100</v>
      </c>
      <c r="T150" s="1">
        <f ca="1">IF(ISERROR(F144),"",VLOOKUP(A144,INDIRECT($F$8),7+(O150-1)*3))</f>
        <v>50</v>
      </c>
      <c r="U150" s="1">
        <f ca="1">IF(ISERROR(F144),"",VLOOKUP(A144,INDIRECT($F$8),8+(O150-1)*3))</f>
        <v>150</v>
      </c>
      <c r="V150" s="1" t="str">
        <f ca="1">IF(ISERROR(F144),"",IF(N150=0,A150,""))</f>
        <v>CAT 015</v>
      </c>
      <c r="W150" s="1">
        <f ca="1">IF(ISERROR(F144),"",IF(ISTEXT(VLOOKUP(B144,INDIRECT($F$8),6+(O150-1)*3)),11,IF(VLOOKUP(B144,INDIRECT($F$8),6+(O150-1)*3)&lt;S150*0.3,IF(VLOOKUP(B144,INDIRECT($F$8),8+(O150-1)*3)&lt;U150*0.4,IF(AND(0.4*U150-VLOOKUP(B144,INDIRECT($F$8),8+(O150-1)*3)&lt;=5,0.3*S150-VLOOKUP(B144,INDIRECT($F$8),6+(O150-1)*3)&lt;=5),MAX(0.4*U150-VLOOKUP(B144,INDIRECT($F$8),8+(O150-1)*3),0.3*S150-VLOOKUP(B144,INDIRECT($F$8),6+(O150-1)*3)),11),IF(0.3*S150-VLOOKUP(B144,INDIRECT($F$8),6+(O150-1)*3)&lt;=5,0.3*S150-VLOOKUP(B144,INDIRECT($F$8),6+(O150-1)*3),11)),IF(VLOOKUP(B144,INDIRECT($F$8),8+(O150-1)*3)&lt;U150*0.4,IF(U150*0.4-VLOOKUP(B144,INDIRECT($F$8),8+(O150-1)*3)&lt;=5,U150*0.4-VLOOKUP(B144,INDIRECT($F$8),8+(O150-1)*3),11),0))))</f>
        <v>11</v>
      </c>
      <c r="X150" s="1" t="str">
        <f ca="1">IF(ISERROR(F144),"",IF(W150=0,"",_xlfn.TEXTJOIN("",FALSE," G+",W150," in ",A150)))</f>
        <v xml:space="preserve"> G+11 in CAT 015</v>
      </c>
    </row>
    <row r="151" spans="1:24" ht="14.25" customHeight="1" x14ac:dyDescent="0.2">
      <c r="A151" s="7" t="str">
        <f ca="1">IF(ISERROR(F144),"",VLOOKUP(C144,INDIRECT($F$8),6+(O151-1)*3,0))</f>
        <v>Enroll No.</v>
      </c>
      <c r="B151" s="41">
        <f ca="1">IF(ISERROR(F144),"",VLOOKUP(D144,INDIRECT($F$8),6+(O151-1)*3,0))</f>
        <v>0</v>
      </c>
      <c r="C151" s="41"/>
      <c r="D151" s="41"/>
      <c r="E151" s="41"/>
      <c r="F151" s="7">
        <f ca="1">IF(ISERROR(F144),"",VLOOKUP(E144,INDIRECT($F$8),6+(O151-1)*3,0))</f>
        <v>0</v>
      </c>
      <c r="G151" s="42" t="str">
        <f ca="1">IF(ISERROR(F144),"",_xlfn.TEXTJOIN("/",FALSE,P151,S151))</f>
        <v>UTU/2406100172/0</v>
      </c>
      <c r="H151" s="42"/>
      <c r="I151" s="42" t="str">
        <f ca="1">IF(ISERROR(F144),"",_xlfn.TEXTJOIN("/",FALSE,Q151,T151))</f>
        <v>CHIRAG KASHYAP/0</v>
      </c>
      <c r="J151" s="42"/>
      <c r="K151" s="42" t="str">
        <f ca="1">IF(ISERROR(F144),"",_xlfn.TEXTJOIN("/",FALSE,R151,U151))</f>
        <v>0/0</v>
      </c>
      <c r="L151" s="42"/>
      <c r="M151" s="7" t="b">
        <f ca="1">IF(ISERROR(F144),"",IF(ISTEXT(P151),IF(P151="A","Ab",IF(P151="D","Dt",IF(P151="UFM","UFM",IF(P151="NA","")))),IF(AND(ISBLANK(P151),ISBLANK(R151)),"",IF(P151&lt;0.3*S151,"F",IF(ISBLANK(R151),"",IF(ISTEXT(R151),R151,IF(R151&gt;=0.9*U151,"O",IF(R151&gt;=0.85*U151,"A+",IF(R151&gt;=0.8*U151,"A",IF(R151&gt;=0.7*U151,"B+",IF(R151&gt;=0.6*U151,"B",IF(R151&gt;=0.5*U151,"C",IF(R151&gt;=0.4*U151,"P",IF(R151&lt;0.4*U151,"F",R151))))))))))))))</f>
        <v>0</v>
      </c>
      <c r="N151" s="8" t="e">
        <f t="shared" ca="1" si="16"/>
        <v>#N/A</v>
      </c>
      <c r="O151" t="b" cm="1">
        <f t="array" aca="1" ref="O151" ca="1">IF(NOT(ISBLANK(INDIRECT("SEM_III!L"&amp;INT((ROW(O151)-15)/17)+6))),3,IF(NOT(ISBLANK(INDIRECT("SEM_III!O"&amp;INT((ROW(O151)-15)/17)+6))),4))</f>
        <v>0</v>
      </c>
      <c r="P151" s="1" t="str">
        <f ca="1">IF(ISERROR(F144),"",IF(ISTEXT(VLOOKUP(B144,INDIRECT($F$8),6+(O151-1)*3)),(VLOOKUP(B144,INDIRECT($F$8),6+(O151-1)*3)),SUM(VLOOKUP(B144,INDIRECT($F$8),6+(O151-1)*3),IF(W157,W151,0))))</f>
        <v>UTU/2406100172</v>
      </c>
      <c r="Q151" s="1" t="str">
        <f ca="1">IF(ISERROR(F144),"",VLOOKUP(B144,INDIRECT($F$8),7+(O151-1)*3))</f>
        <v>CHIRAG KASHYAP</v>
      </c>
      <c r="R151" s="1">
        <f ca="1">IF(ISERROR(F144),"",SUM(P151:Q151))</f>
        <v>0</v>
      </c>
      <c r="S151" s="1">
        <f ca="1">IF(ISERROR(F144),"",VLOOKUP(A144,INDIRECT($F$8),6+(O151-1)*3))</f>
        <v>0</v>
      </c>
      <c r="T151" s="1">
        <f ca="1">IF(ISERROR(F144),"",VLOOKUP(A144,INDIRECT($F$8),7+(O151-1)*3))</f>
        <v>0</v>
      </c>
      <c r="U151" s="1">
        <f ca="1">IF(ISERROR(F144),"",VLOOKUP(A144,INDIRECT($F$8),8+(O151-1)*3))</f>
        <v>0</v>
      </c>
      <c r="V151" s="1" t="e">
        <f ca="1">IF(ISERROR(F144),"",IF(N151=0,A151,""))</f>
        <v>#N/A</v>
      </c>
      <c r="W151" s="1">
        <f ca="1">IF(ISERROR(F144),"",IF(ISTEXT(VLOOKUP(B144,INDIRECT($F$8),6+(O151-1)*3)),11,IF(VLOOKUP(B144,INDIRECT($F$8),6+(O151-1)*3)&lt;S151*0.3,IF(VLOOKUP(B144,INDIRECT($F$8),8+(O151-1)*3)&lt;U151*0.4,IF(AND(0.4*U151-VLOOKUP(B144,INDIRECT($F$8),8+(O151-1)*3)&lt;=5,0.3*S151-VLOOKUP(B144,INDIRECT($F$8),6+(O151-1)*3)&lt;=5),MAX(0.4*U151-VLOOKUP(B144,INDIRECT($F$8),8+(O151-1)*3),0.3*S151-VLOOKUP(B144,INDIRECT($F$8),6+(O151-1)*3)),11),IF(0.3*S151-VLOOKUP(B144,INDIRECT($F$8),6+(O151-1)*3)&lt;=5,0.3*S151-VLOOKUP(B144,INDIRECT($F$8),6+(O151-1)*3),11)),IF(VLOOKUP(B144,INDIRECT($F$8),8+(O151-1)*3)&lt;U151*0.4,IF(U151*0.4-VLOOKUP(B144,INDIRECT($F$8),8+(O151-1)*3)&lt;=5,U151*0.4-VLOOKUP(B144,INDIRECT($F$8),8+(O151-1)*3),11),0))))</f>
        <v>11</v>
      </c>
      <c r="X151" s="1" t="str">
        <f ca="1">IF(ISERROR(F144),"",IF(W151=0,"",_xlfn.TEXTJOIN("",FALSE," G+",W151," in ",A151)))</f>
        <v xml:space="preserve"> G+11 in Enroll No.</v>
      </c>
    </row>
    <row r="152" spans="1:24" ht="14.25" customHeight="1" x14ac:dyDescent="0.2">
      <c r="A152" s="7" t="str">
        <f ca="1">IF(ISERROR(F144),"",VLOOKUP(C144,INDIRECT($F$8),6+(O152-1)*3,0))</f>
        <v>Enroll No.</v>
      </c>
      <c r="B152" s="41">
        <f ca="1">IF(ISERROR(F144),"",VLOOKUP(D144,INDIRECT($F$8),6+(O152-1)*3,0))</f>
        <v>0</v>
      </c>
      <c r="C152" s="41"/>
      <c r="D152" s="41"/>
      <c r="E152" s="41"/>
      <c r="F152" s="7">
        <f ca="1">IF(ISERROR(F144),"",VLOOKUP(E144,INDIRECT($F$8),6+(O152-1)*3,0))</f>
        <v>0</v>
      </c>
      <c r="G152" s="42" t="str">
        <f ca="1">IF(ISERROR(F144),"",_xlfn.TEXTJOIN("/",FALSE,P152,S152))</f>
        <v>UTU/2406100172/0</v>
      </c>
      <c r="H152" s="42"/>
      <c r="I152" s="42" t="str">
        <f ca="1">IF(ISERROR(F144),"",_xlfn.TEXTJOIN("/",FALSE,Q152,T152))</f>
        <v>CHIRAG KASHYAP/0</v>
      </c>
      <c r="J152" s="42"/>
      <c r="K152" s="42" t="str">
        <f ca="1">IF(ISERROR(F144),"",_xlfn.TEXTJOIN("/",FALSE,R152,U152))</f>
        <v>0/0</v>
      </c>
      <c r="L152" s="42"/>
      <c r="M152" s="7" t="b">
        <f ca="1">IF(ISERROR(F144),"",IF(ISTEXT(P152),IF(P152="A","Ab",IF(P152="D","Dt",IF(P152="UFM","UFM",IF(P152="NA","")))),IF(AND(ISBLANK(P152),ISBLANK(R152)),"",IF(P152&lt;0.3*S152,"F",IF(ISBLANK(R152),"",IF(ISTEXT(R152),R152,IF(R152&gt;=0.9*U152,"O",IF(R152&gt;=0.85*U152,"A+",IF(R152&gt;=0.8*U152,"A",IF(R152&gt;=0.7*U152,"B+",IF(R152&gt;=0.6*U152,"B",IF(R152&gt;=0.5*U152,"C",IF(R152&gt;=0.4*U152,"P",IF(R152&lt;0.4*U152,"F",R152))))))))))))))</f>
        <v>0</v>
      </c>
      <c r="N152" s="8" t="e">
        <f t="shared" ca="1" si="16"/>
        <v>#N/A</v>
      </c>
      <c r="O152" t="b" cm="1">
        <f t="array" aca="1" ref="O152" ca="1">IF(NOT(ISBLANK(INDIRECT("SEM_III!R"&amp;INT((ROW(O152)-16)/17)+6))),5,IF(NOT(ISBLANK(INDIRECT("SEM_III!U"&amp;INT((ROW(O152)-16)/17)+6))),6))</f>
        <v>0</v>
      </c>
      <c r="P152" s="1" t="str">
        <f ca="1">IF(ISERROR(F144),"",IF(ISTEXT(VLOOKUP(B144,INDIRECT($F$8),6+(O152-1)*3)),(VLOOKUP(B144,INDIRECT($F$8),6+(O152-1)*3)),SUM(VLOOKUP(B144,INDIRECT($F$8),6+(O152-1)*3),IF(W157,W152,0))))</f>
        <v>UTU/2406100172</v>
      </c>
      <c r="Q152" s="1" t="str">
        <f ca="1">IF(ISERROR(F144),"",VLOOKUP(B144,INDIRECT($F$8),7+(O152-1)*3))</f>
        <v>CHIRAG KASHYAP</v>
      </c>
      <c r="R152" s="1">
        <f ca="1">IF(ISERROR(F144),"",SUM(P152:Q152))</f>
        <v>0</v>
      </c>
      <c r="S152" s="1">
        <f ca="1">IF(ISERROR(F144),"",VLOOKUP(A144,INDIRECT($F$8),6+(O152-1)*3))</f>
        <v>0</v>
      </c>
      <c r="T152" s="1">
        <f ca="1">IF(ISERROR(F144),"",VLOOKUP(A144,INDIRECT($F$8),7+(O152-1)*3))</f>
        <v>0</v>
      </c>
      <c r="U152" s="1">
        <f ca="1">IF(ISERROR(F144),"",VLOOKUP(A144,INDIRECT($F$8),8+(O152-1)*3))</f>
        <v>0</v>
      </c>
      <c r="V152" s="1" t="e">
        <f ca="1">IF(ISERROR(F144),"",IF(N152=0,A152,""))</f>
        <v>#N/A</v>
      </c>
      <c r="W152" s="1">
        <f ca="1">IF(ISERROR(F144),"",IF(ISTEXT(VLOOKUP(B144,INDIRECT($F$8),6+(O152-1)*3)),11,IF(VLOOKUP(B144,INDIRECT($F$8),6+(O152-1)*3)&lt;S152*0.3,IF(VLOOKUP(B144,INDIRECT($F$8),8+(O152-1)*3)&lt;U152*0.4,IF(AND(0.4*U152-VLOOKUP(B144,INDIRECT($F$8),8+(O152-1)*3)&lt;=5,0.3*S152-VLOOKUP(B144,INDIRECT($F$8),6+(O152-1)*3)&lt;=5),MAX(0.4*U152-VLOOKUP(B144,INDIRECT($F$8),8+(O152-1)*3),0.3*S152-VLOOKUP(B144,INDIRECT($F$8),6+(O152-1)*3)),11),IF(0.3*S152-VLOOKUP(B144,INDIRECT($F$8),6+(O152-1)*3)&lt;=5,0.3*S152-VLOOKUP(B144,INDIRECT($F$8),6+(O152-1)*3),11)),IF(VLOOKUP(B144,INDIRECT($F$8),8+(O152-1)*3)&lt;U152*0.4,IF(U152*0.4-VLOOKUP(B144,INDIRECT($F$8),8+(O152-1)*3)&lt;=5,U152*0.4-VLOOKUP(B144,INDIRECT($F$8),8+(O152-1)*3),11),0))))</f>
        <v>11</v>
      </c>
      <c r="X152" s="1" t="str">
        <f ca="1">IF(ISERROR(F144),"",IF(W152=0,"",_xlfn.TEXTJOIN("",FALSE," G+",W152," in ",A152)))</f>
        <v xml:space="preserve"> G+11 in Enroll No.</v>
      </c>
    </row>
    <row r="153" spans="1:24" ht="14.25" customHeight="1" x14ac:dyDescent="0.2">
      <c r="A153" s="7" t="str">
        <f ca="1">IF(ISERROR(F144),"",VLOOKUP(C144,INDIRECT($F$8),6+(O153-1)*3,0))</f>
        <v>AHT 310</v>
      </c>
      <c r="B153" s="41" t="str">
        <f ca="1">IF(ISERROR(F144),"",VLOOKUP(D144,INDIRECT($F$8),6+(O153-1)*3,0))</f>
        <v>Universal Human Value</v>
      </c>
      <c r="C153" s="41"/>
      <c r="D153" s="41"/>
      <c r="E153" s="41"/>
      <c r="F153" s="7">
        <f ca="1">IF(ISERROR(F144),"",VLOOKUP(E144,INDIRECT($F$8),6+(O153-1)*3,0))</f>
        <v>3</v>
      </c>
      <c r="G153" s="42" t="str">
        <f ca="1">IF(ISERROR(F144),"",_xlfn.TEXTJOIN("/",FALSE,P153,S153))</f>
        <v>0/100</v>
      </c>
      <c r="H153" s="42"/>
      <c r="I153" s="42" t="str">
        <f ca="1">IF(ISERROR(F144),"",_xlfn.TEXTJOIN("/",FALSE,Q153,T153))</f>
        <v>0/50</v>
      </c>
      <c r="J153" s="42"/>
      <c r="K153" s="42" t="str">
        <f ca="1">IF(ISERROR(F144),"",_xlfn.TEXTJOIN("/",FALSE,R153,U153))</f>
        <v>0/150</v>
      </c>
      <c r="L153" s="42"/>
      <c r="M153" s="7" t="str">
        <f ca="1">IF(ISERROR(F144),"",IF(ISTEXT(P153),IF(P153="A","Ab",IF(P153="D","Dt",IF(P153="UFM","UFM",IF(P153="NA","")))),IF(AND(ISBLANK(P153),ISBLANK(R153)),"",IF(P153&lt;0.3*S153,"F",IF(ISBLANK(R153),"",IF(ISTEXT(R153),R153,IF(R153&gt;=0.9*U153,"O",IF(R153&gt;=0.85*U153,"A+",IF(R153&gt;=0.8*U153,"A",IF(R153&gt;=0.7*U153,"B+",IF(R153&gt;=0.6*U153,"B",IF(R153&gt;=0.5*U153,"C",IF(R153&gt;=0.4*U153,"P",IF(R153&lt;0.4*U153,"F",R153))))))))))))))</f>
        <v>F</v>
      </c>
      <c r="N153" s="8">
        <f t="shared" ca="1" si="16"/>
        <v>0</v>
      </c>
      <c r="O153">
        <f ca="1">IF(O152&gt;0,7,"")</f>
        <v>7</v>
      </c>
      <c r="P153" s="1">
        <f ca="1">IF(ISERROR(F144),"",IF(ISTEXT(VLOOKUP(B144,INDIRECT($F$8),6+(O153-1)*3)),(VLOOKUP(B144,INDIRECT($F$8),6+(O153-1)*3)),SUM(VLOOKUP(B144,INDIRECT($F$8),6+(O153-1)*3),IF(W157,W153,0))))</f>
        <v>0</v>
      </c>
      <c r="Q153" s="1">
        <f ca="1">IF(ISERROR(F144),"",VLOOKUP(B144,INDIRECT($F$8),7+(O153-1)*3))</f>
        <v>0</v>
      </c>
      <c r="R153" s="1">
        <f ca="1">IF(ISERROR(F144),"",SUM(P153:Q153))</f>
        <v>0</v>
      </c>
      <c r="S153" s="1">
        <f ca="1">IF(ISERROR(F144),"",VLOOKUP(A144,INDIRECT($F$8),6+(O153-1)*3))</f>
        <v>100</v>
      </c>
      <c r="T153" s="1">
        <f ca="1">IF(ISERROR(F144),"",VLOOKUP(A144,INDIRECT($F$8),7+(O153-1)*3))</f>
        <v>50</v>
      </c>
      <c r="U153" s="1">
        <f ca="1">IF(ISERROR(F144),"",VLOOKUP(A144,INDIRECT($F$8),8+(O153-1)*3))</f>
        <v>150</v>
      </c>
      <c r="V153" s="1" t="str">
        <f ca="1">IF(ISERROR(F144),"",IF(N153=0,A153,""))</f>
        <v>AHT 310</v>
      </c>
      <c r="W153" s="1">
        <f ca="1">IF(ISERROR(F144),"",IF(ISTEXT(VLOOKUP(B144,INDIRECT($F$8),6+(O153-1)*3)),11,IF(VLOOKUP(B144,INDIRECT($F$8),6+(O153-1)*3)&lt;S153*0.3,IF(VLOOKUP(B144,INDIRECT($F$8),8+(O153-1)*3)&lt;U153*0.4,IF(AND(0.4*U153-VLOOKUP(B144,INDIRECT($F$8),8+(O153-1)*3)&lt;=5,0.3*S153-VLOOKUP(B144,INDIRECT($F$8),6+(O153-1)*3)&lt;=5),MAX(0.4*U153-VLOOKUP(B144,INDIRECT($F$8),8+(O153-1)*3),0.3*S153-VLOOKUP(B144,INDIRECT($F$8),6+(O153-1)*3)),11),IF(0.3*S153-VLOOKUP(B144,INDIRECT($F$8),6+(O153-1)*3)&lt;=5,0.3*S153-VLOOKUP(B144,INDIRECT($F$8),6+(O153-1)*3),11)),IF(VLOOKUP(B144,INDIRECT($F$8),8+(O153-1)*3)&lt;U153*0.4,IF(U153*0.4-VLOOKUP(B144,INDIRECT($F$8),8+(O153-1)*3)&lt;=5,U153*0.4-VLOOKUP(B144,INDIRECT($F$8),8+(O153-1)*3),11),0))))</f>
        <v>11</v>
      </c>
      <c r="X153" s="1" t="str">
        <f ca="1">IF(ISERROR(F144),"",IF(W153=0,"",_xlfn.TEXTJOIN("",FALSE," G+",W153," in ",A153)))</f>
        <v xml:space="preserve"> G+11 in AHT 310</v>
      </c>
    </row>
    <row r="154" spans="1:24" ht="14.25" customHeight="1" x14ac:dyDescent="0.2">
      <c r="A154" s="7" t="str">
        <f ca="1">IF(ISERROR(F144),"",VLOOKUP(C144,INDIRECT($F$8),6+(O154-1)*3,0))</f>
        <v>CAP 008</v>
      </c>
      <c r="B154" s="41" t="str">
        <f ca="1">IF(ISERROR(F144),"",VLOOKUP(D144,INDIRECT($F$8),6+(O154-1)*3,0))</f>
        <v>Software Engineering Lab</v>
      </c>
      <c r="C154" s="41"/>
      <c r="D154" s="41"/>
      <c r="E154" s="41"/>
      <c r="F154" s="7">
        <f ca="1">IF(ISERROR(F144),"",VLOOKUP(E144,INDIRECT($F$8),6+(O154-1)*3,0))</f>
        <v>1</v>
      </c>
      <c r="G154" s="42" t="str">
        <f ca="1">IF(ISERROR(F144),"",_xlfn.TEXTJOIN("/",FALSE,P154,S154))</f>
        <v>0/30</v>
      </c>
      <c r="H154" s="42"/>
      <c r="I154" s="42" t="str">
        <f ca="1">IF(ISERROR(F144),"",_xlfn.TEXTJOIN("/",FALSE,Q154,T154))</f>
        <v>0/20</v>
      </c>
      <c r="J154" s="42"/>
      <c r="K154" s="42" t="str">
        <f ca="1">IF(ISERROR(F144),"",_xlfn.TEXTJOIN("/",FALSE,R154,U154))</f>
        <v>0/50</v>
      </c>
      <c r="L154" s="42"/>
      <c r="M154" s="7" t="str">
        <f ca="1">IF(ISERROR(F144),"",IF(ISTEXT(P154),IF(P154="A","Ab",IF(P154="D","Dt",IF(P154="UFM","UFM",IF(P154="NA","")))),IF(AND(ISBLANK(P154),ISBLANK(R154)),"",IF(P154&lt;0.3*S154,"F",IF(ISBLANK(R154),"",IF(ISTEXT(R154),R154,IF(R154&gt;=0.9*U154,"O",IF(R154&gt;=0.85*U154,"A+",IF(R154&gt;=0.8*U154,"A",IF(R154&gt;=0.7*U154,"B+",IF(R154&gt;=0.6*U154,"B",IF(R154&gt;=0.5*U154,"C",IF(R154&gt;=0.4*U154,"P",IF(R154&lt;0.4*U154,"F",R154))))))))))))))</f>
        <v>F</v>
      </c>
      <c r="N154" s="8">
        <f t="shared" ca="1" si="16"/>
        <v>0</v>
      </c>
      <c r="O154">
        <f t="shared" ref="O154:O156" ca="1" si="17">O153+1</f>
        <v>8</v>
      </c>
      <c r="P154" s="1">
        <f ca="1">IF(ISERROR(F144),"",IF(ISTEXT(VLOOKUP(B144,INDIRECT($F$8),6+(O154-1)*3)),(VLOOKUP(B144,INDIRECT($F$8),6+(O154-1)*3)),SUM(VLOOKUP(B144,INDIRECT($F$8),6+(O154-1)*3),IF(W157,W154,0))))</f>
        <v>0</v>
      </c>
      <c r="Q154" s="1">
        <f ca="1">IF(ISERROR(F144),"",VLOOKUP(B144,INDIRECT($F$8),7+(O154-1)*3))</f>
        <v>0</v>
      </c>
      <c r="R154" s="1">
        <f ca="1">IF(ISERROR(F144),"",SUM(P154:Q154))</f>
        <v>0</v>
      </c>
      <c r="S154" s="1">
        <f ca="1">IF(ISERROR(F144),"",VLOOKUP(A144,INDIRECT($F$8),6+(O154-1)*3))</f>
        <v>30</v>
      </c>
      <c r="T154" s="1">
        <f ca="1">IF(ISERROR(F144),"",VLOOKUP(A144,INDIRECT($F$8),7+(O154-1)*3))</f>
        <v>20</v>
      </c>
      <c r="U154" s="1">
        <f ca="1">IF(ISERROR(F144),"",VLOOKUP(A144,INDIRECT($F$8),8+(O154-1)*3))</f>
        <v>50</v>
      </c>
      <c r="V154" s="1" t="str">
        <f ca="1">IF(ISERROR(F144),"",IF(N154=0,A154,""))</f>
        <v>CAP 008</v>
      </c>
      <c r="W154" s="1">
        <f ca="1">IF(ISERROR(F144),"",IF(ISTEXT(VLOOKUP(B144,INDIRECT($F$8),6+(O154-1)*3)),11,IF(VLOOKUP(B144,INDIRECT($F$8),6+(O154-1)*3)&lt;S154*0.3,IF(VLOOKUP(B144,INDIRECT($F$8),8+(O154-1)*3)&lt;U154*0.4,IF(AND(0.4*U154-VLOOKUP(B144,INDIRECT($F$8),8+(O154-1)*3)&lt;=5,0.3*S154-VLOOKUP(B144,INDIRECT($F$8),6+(O154-1)*3)&lt;=5),MAX(0.4*U154-VLOOKUP(B144,INDIRECT($F$8),8+(O154-1)*3),0.3*S154-VLOOKUP(B144,INDIRECT($F$8),6+(O154-1)*3)),11),IF(0.3*S154-VLOOKUP(B144,INDIRECT($F$8),6+(O154-1)*3)&lt;=5,0.3*S154-VLOOKUP(B144,INDIRECT($F$8),6+(O154-1)*3),11)),IF(VLOOKUP(B144,INDIRECT($F$8),8+(O154-1)*3)&lt;U154*0.4,IF(U154*0.4-VLOOKUP(B144,INDIRECT($F$8),8+(O154-1)*3)&lt;=5,U154*0.4-VLOOKUP(B144,INDIRECT($F$8),8+(O154-1)*3),11),0))))</f>
        <v>11</v>
      </c>
      <c r="X154" s="1" t="str">
        <f ca="1">IF(ISERROR(F144),"",IF(W154=0,"",_xlfn.TEXTJOIN("",FALSE," G+",W154," in ",A154)))</f>
        <v xml:space="preserve"> G+11 in CAP 008</v>
      </c>
    </row>
    <row r="155" spans="1:24" ht="14.25" customHeight="1" x14ac:dyDescent="0.2">
      <c r="A155" s="7" t="str">
        <f ca="1">IF(ISERROR(F144),"",VLOOKUP(C144,INDIRECT($F$8),6+(O155-1)*3,0))</f>
        <v>CAP 009</v>
      </c>
      <c r="B155" s="41" t="str">
        <f ca="1">IF(ISERROR(F144),"",VLOOKUP(D144,INDIRECT($F$8),6+(O155-1)*3,0))</f>
        <v>Seminar</v>
      </c>
      <c r="C155" s="41"/>
      <c r="D155" s="41"/>
      <c r="E155" s="41"/>
      <c r="F155" s="7">
        <f ca="1">IF(ISERROR(F144),"",VLOOKUP(E144,INDIRECT($F$8),6+(O155-1)*3,0))</f>
        <v>2</v>
      </c>
      <c r="G155" s="42" t="str">
        <f ca="1">IF(ISERROR(F144),"",_xlfn.TEXTJOIN("/",FALSE,P155,S155))</f>
        <v>0/0</v>
      </c>
      <c r="H155" s="42"/>
      <c r="I155" s="42" t="str">
        <f ca="1">IF(ISERROR(F144),"",_xlfn.TEXTJOIN("/",FALSE,Q155,T155))</f>
        <v>0/100</v>
      </c>
      <c r="J155" s="42"/>
      <c r="K155" s="42" t="str">
        <f ca="1">IF(ISERROR(F144),"",_xlfn.TEXTJOIN("/",FALSE,R155,U155))</f>
        <v>0/100</v>
      </c>
      <c r="L155" s="42"/>
      <c r="M155" s="7" t="str">
        <f ca="1">IF(ISERROR(F144),"",IF(ISTEXT(P155),IF(P155="A","Ab",IF(P155="D","Dt",IF(P155="UFM","UFM",IF(P155="NA","")))),IF(AND(ISBLANK(P155),ISBLANK(R155)),"",IF(P155&lt;0.3*S155,"F",IF(ISBLANK(R155),"",IF(ISTEXT(R155),R155,IF(R155&gt;=0.9*U155,"O",IF(R155&gt;=0.85*U155,"A+",IF(R155&gt;=0.8*U155,"A",IF(R155&gt;=0.7*U155,"B+",IF(R155&gt;=0.6*U155,"B",IF(R155&gt;=0.5*U155,"C",IF(R155&gt;=0.4*U155,"P",IF(R155&lt;0.4*U155,"F",R155))))))))))))))</f>
        <v>F</v>
      </c>
      <c r="N155" s="8">
        <f t="shared" ca="1" si="16"/>
        <v>0</v>
      </c>
      <c r="O155">
        <f t="shared" ca="1" si="17"/>
        <v>9</v>
      </c>
      <c r="P155" s="1">
        <f ca="1">IF(ISERROR(F144),"",IF(ISTEXT(VLOOKUP(B144,INDIRECT($F$8),6+(O155-1)*3)),(VLOOKUP(B144,INDIRECT($F$8),6+(O155-1)*3)),SUM(VLOOKUP(B144,INDIRECT($F$8),6+(O155-1)*3),IF(W157,W155,0))))</f>
        <v>0</v>
      </c>
      <c r="Q155" s="1">
        <f ca="1">IF(ISERROR(F144),"",VLOOKUP(B144,INDIRECT($F$8),7+(O155-1)*3))</f>
        <v>0</v>
      </c>
      <c r="R155" s="1">
        <f ca="1">IF(ISERROR(F144),"",SUM(P155:Q155))</f>
        <v>0</v>
      </c>
      <c r="S155" s="1">
        <f ca="1">IF(ISERROR(F144),"",VLOOKUP(A144,INDIRECT($F$8),6+(O155-1)*3))</f>
        <v>0</v>
      </c>
      <c r="T155" s="1">
        <f ca="1">IF(ISERROR(F144),"",VLOOKUP(A144,INDIRECT($F$8),7+(O155-1)*3))</f>
        <v>100</v>
      </c>
      <c r="U155" s="1">
        <f ca="1">IF(ISERROR(F144),"",VLOOKUP(A144,INDIRECT($F$8),8+(O155-1)*3))</f>
        <v>100</v>
      </c>
      <c r="V155" s="1" t="str">
        <f ca="1">IF(ISERROR(F144),"",IF(N155=0,A155,""))</f>
        <v>CAP 009</v>
      </c>
      <c r="W155" s="1">
        <f ca="1">IF(ISERROR(F144),"",IF(ISTEXT(VLOOKUP(B144,INDIRECT($F$8),6+(O155-1)*3)),11,IF(VLOOKUP(B144,INDIRECT($F$8),6+(O155-1)*3)&lt;S155*0.3,IF(VLOOKUP(B144,INDIRECT($F$8),8+(O155-1)*3)&lt;U155*0.4,IF(AND(0.4*U155-VLOOKUP(B144,INDIRECT($F$8),8+(O155-1)*3)&lt;=5,0.3*S155-VLOOKUP(B144,INDIRECT($F$8),6+(O155-1)*3)&lt;=5),MAX(0.4*U155-VLOOKUP(B144,INDIRECT($F$8),8+(O155-1)*3),0.3*S155-VLOOKUP(B144,INDIRECT($F$8),6+(O155-1)*3)),11),IF(0.3*S155-VLOOKUP(B144,INDIRECT($F$8),6+(O155-1)*3)&lt;=5,0.3*S155-VLOOKUP(B144,INDIRECT($F$8),6+(O155-1)*3),11)),IF(VLOOKUP(B144,INDIRECT($F$8),8+(O155-1)*3)&lt;U155*0.4,IF(U155*0.4-VLOOKUP(B144,INDIRECT($F$8),8+(O155-1)*3)&lt;=5,U155*0.4-VLOOKUP(B144,INDIRECT($F$8),8+(O155-1)*3),11),0))))</f>
        <v>11</v>
      </c>
      <c r="X155" s="1" t="str">
        <f ca="1">IF(ISERROR(F144),"",IF(W155=0,"",_xlfn.TEXTJOIN("",FALSE," G+",W155," in ",A155)))</f>
        <v xml:space="preserve"> G+11 in CAP 009</v>
      </c>
    </row>
    <row r="156" spans="1:24" ht="14.25" customHeight="1" x14ac:dyDescent="0.2">
      <c r="A156" s="7" t="str">
        <f ca="1">IF(ISERROR(F144),"",VLOOKUP(C144,INDIRECT($F$8),6+(O156-1)*3,0))</f>
        <v>CAP 010</v>
      </c>
      <c r="B156" s="41" t="str">
        <f ca="1">IF(ISERROR(F144),"",VLOOKUP(D144,INDIRECT($F$8),6+(O156-1)*3-Z156,0))</f>
        <v>Minor Project</v>
      </c>
      <c r="C156" s="41"/>
      <c r="D156" s="41"/>
      <c r="E156" s="41"/>
      <c r="F156" s="7">
        <f ca="1">IF(ISERROR(F144),"",VLOOKUP(E144,INDIRECT($F$8),6+(O156-1)*3,0))</f>
        <v>2</v>
      </c>
      <c r="G156" s="42" t="str">
        <f ca="1">IF(ISERROR(F144),"",_xlfn.TEXTJOIN("/",FALSE,P156,S156))</f>
        <v>0/50</v>
      </c>
      <c r="H156" s="42"/>
      <c r="I156" s="42" t="str">
        <f ca="1">IF(ISERROR(F144),"",_xlfn.TEXTJOIN("/",FALSE,Q156,T156))</f>
        <v>0/50</v>
      </c>
      <c r="J156" s="42"/>
      <c r="K156" s="42" t="str">
        <f ca="1">IF(ISERROR(F144),"",_xlfn.TEXTJOIN("/",FALSE,R156,U156))</f>
        <v>0/100</v>
      </c>
      <c r="L156" s="42"/>
      <c r="M156" s="7" t="str">
        <f ca="1">IF(ISERROR(F144),"",IF(ISTEXT(P156),IF(P156="A","Ab",IF(P156="D","Dt",IF(P156="UFM","UFM",IF(P156="NA","")))),IF(AND(ISBLANK(P156),ISBLANK(R156)),"",IF(P156&lt;0.3*S156,"F",IF(ISBLANK(R156),"",IF(ISTEXT(R156),R156,IF(R156&gt;=0.9*U156,"O",IF(R156&gt;=0.85*U156,"A+",IF(R156&gt;=0.8*U156,"A",IF(R156&gt;=0.7*U156,"B+",IF(R156&gt;=0.6*U156,"B",IF(R156&gt;=0.5*U156,"C",IF(R156&gt;=0.4*U156,"P",IF(R156&lt;0.4*U156,"F",R156))))))))))))))</f>
        <v>F</v>
      </c>
      <c r="N156" s="8">
        <f t="shared" ca="1" si="16"/>
        <v>0</v>
      </c>
      <c r="O156">
        <f t="shared" ca="1" si="17"/>
        <v>10</v>
      </c>
      <c r="P156" s="1">
        <f ca="1">IF(ISERROR(F144),"",IF(ISTEXT(VLOOKUP(B144,INDIRECT($F$8),6+(O156-1)*3)),(VLOOKUP(B144,INDIRECT($F$8),6+(O156-1)*3)),SUM(VLOOKUP(B144,INDIRECT($F$8),6+(O156-1)*3),IF(W157,W156,0))))</f>
        <v>0</v>
      </c>
      <c r="Q156" s="1">
        <f ca="1">IF(ISERROR(F144),"",VLOOKUP(B144,INDIRECT($F$8),7+(O156-1)*3))</f>
        <v>0</v>
      </c>
      <c r="R156" s="1">
        <f ca="1">IF(ISERROR(F144),"",SUM(P156:Q156))</f>
        <v>0</v>
      </c>
      <c r="S156" s="1">
        <f ca="1">IF(ISERROR(F144),"",VLOOKUP(A144,INDIRECT($F$8),6+(O156-1)*3))</f>
        <v>50</v>
      </c>
      <c r="T156" s="1">
        <f ca="1">IF(ISERROR(F144),"",VLOOKUP(A144,INDIRECT($F$8),7+(O156-1)*3))</f>
        <v>50</v>
      </c>
      <c r="U156" s="1">
        <f ca="1">IF(ISERROR(F144),"",VLOOKUP(A144,INDIRECT($F$8),8+(O156-1)*3))</f>
        <v>100</v>
      </c>
      <c r="V156" s="1" t="str">
        <f ca="1">IF(ISERROR(F144),"",IF(N156=0,A156,""))</f>
        <v>CAP 010</v>
      </c>
      <c r="W156" s="1">
        <f ca="1">IF(ISERROR(F144),"",IF(ISTEXT(VLOOKUP(B144,INDIRECT($F$8),6+(O156-1)*3)),11,IF(VLOOKUP(B144,INDIRECT($F$8),6+(O156-1)*3)&lt;S156*0.3,IF(VLOOKUP(B144,INDIRECT($F$8),8+(O156-1)*3)&lt;U156*0.4,IF(AND(0.4*U156-VLOOKUP(B144,INDIRECT($F$8),8+(O156-1)*3)&lt;=5,0.3*S156-VLOOKUP(B144,INDIRECT($F$8),6+(O156-1)*3)&lt;=5),MAX(0.4*U156-VLOOKUP(B144,INDIRECT($F$8),8+(O156-1)*3),0.3*S156-VLOOKUP(B144,INDIRECT($F$8),6+(O156-1)*3)),11),IF(0.3*S156-VLOOKUP(B144,INDIRECT($F$8),6+(O156-1)*3)&lt;=5,0.3*S156-VLOOKUP(B144,INDIRECT($F$8),6+(O156-1)*3),11)),IF(VLOOKUP(B144,INDIRECT($F$8),8+(O156-1)*3)&lt;U156*0.4,IF(U156*0.4-VLOOKUP(B144,INDIRECT($F$8),8+(O156-1)*3)&lt;=5,U156*0.4-VLOOKUP(B144,INDIRECT($F$8),8+(O156-1)*3),11),0))))</f>
        <v>11</v>
      </c>
      <c r="X156" s="1" t="str">
        <f ca="1">IF(ISERROR(F144),"",IF(W156=0,"",_xlfn.TEXTJOIN("",FALSE," G+",W156," in ",A156)))</f>
        <v xml:space="preserve"> G+11 in CAP 010</v>
      </c>
    </row>
    <row r="157" spans="1:24" ht="14.25" customHeight="1" x14ac:dyDescent="0.2">
      <c r="A157" s="43" t="str">
        <f ca="1">IF(ISERROR(F144),"",A140)</f>
        <v>Total Credits/ Marks/ Total Grade Points</v>
      </c>
      <c r="B157" s="43"/>
      <c r="C157" s="43"/>
      <c r="D157" s="43"/>
      <c r="E157" s="43"/>
      <c r="F157" s="10">
        <f ca="1">IF(ISERROR(F144),"",SUM(F149:F156))</f>
        <v>16</v>
      </c>
      <c r="G157" s="44" t="str">
        <f ca="1">IF(ISERROR(F144),"",_xlfn.TEXTJOIN("/",TRUE,SUMIF(F149:F156,"&gt;0",P149:P156),SUMIF(F149:F156,"&gt;0",S149:S156)))</f>
        <v>0/380</v>
      </c>
      <c r="H157" s="44"/>
      <c r="I157" s="44" t="str">
        <f ca="1">IF(ISERROR(F144),"",_xlfn.TEXTJOIN("/",TRUE,SUMIF(F149:F156,"&gt;0",Q149:Q156),SUMIF(F149:F156,"&gt;0",T149:T156)))</f>
        <v>0/320</v>
      </c>
      <c r="J157" s="44"/>
      <c r="K157" s="44" t="str">
        <f ca="1">IF(ISERROR(F144),"",_xlfn.TEXTJOIN("/",TRUE,SUMIF(F149:F156,"&gt;0",R149:R156),SUMIF(F149:F156,"&gt;0",U149:U156)))</f>
        <v>0/700</v>
      </c>
      <c r="L157" s="44"/>
      <c r="M157" s="43" t="e">
        <f ca="1">IF(ISERROR(F144),"",SUMPRODUCT(N149:N156,F149:F156))</f>
        <v>#N/A</v>
      </c>
      <c r="N157" s="43"/>
      <c r="V157" s="1" t="e">
        <f ca="1">IF(ISERROR(F144),"",_xlfn.TEXTJOIN(", ",TRUE,V149:V156))</f>
        <v>#N/A</v>
      </c>
      <c r="W157" t="b">
        <f ca="1">IF(ISERROR(F144),"",IF(SUM(W149:W156)&lt;=W148,TRUE,FALSE))</f>
        <v>0</v>
      </c>
      <c r="X157" s="1" t="str">
        <f ca="1">IF(ISERROR(F144),"",_xlfn.TEXTJOIN(",",TRUE,X149:X156))</f>
        <v xml:space="preserve"> G+11 in CAT  014, G+11 in CAT 015, G+11 in Enroll No., G+11 in Enroll No., G+11 in AHT 310, G+11 in CAP 008, G+11 in CAP 009, G+11 in CAP 010</v>
      </c>
    </row>
    <row r="158" spans="1:24" ht="14.25" customHeight="1" x14ac:dyDescent="0.2">
      <c r="A158" s="43" t="str">
        <f ca="1">IF(ISERROR(F144),"",A141)</f>
        <v>Result:</v>
      </c>
      <c r="B158" s="45" t="e">
        <f ca="1">IF(ISERROR(F144),"",IF(V157="","PASS","CARRY OVER"))</f>
        <v>#N/A</v>
      </c>
      <c r="C158" s="45"/>
      <c r="D158" s="43" t="str">
        <f ca="1">IF(ISERROR(F144),"",D141)</f>
        <v>Remark:</v>
      </c>
      <c r="E158" s="45" t="e">
        <f ca="1">IF(ISERROR(F144),"",IF(V157="",IF(X157="","",X157),_xlfn.TEXTJOIN(" ",TRUE,"BACK IN",V157)))</f>
        <v>#N/A</v>
      </c>
      <c r="F158" s="45"/>
      <c r="G158" s="43" t="str">
        <f ca="1">IF(ISERROR(F144),"",G141)</f>
        <v>SGPA:</v>
      </c>
      <c r="H158" s="46" t="e">
        <f ca="1">IF(ISERROR(F144),"",M157/F157)</f>
        <v>#N/A</v>
      </c>
      <c r="I158" s="43" t="str">
        <f ca="1">IF(ISERROR(F144),"",I141)</f>
        <v>CGPA:</v>
      </c>
      <c r="J158" s="46" t="e">
        <f ca="1">IF(ISERROR(F144),"",VLOOKUP(B144,INDIRECT($F$8),12+(O156-1)*3,0))</f>
        <v>#N/A</v>
      </c>
      <c r="K158" s="45" t="str">
        <f ca="1">IF(ISERROR(F144),"",K141)</f>
        <v>Earned Credits:</v>
      </c>
      <c r="L158" s="43">
        <f ca="1">IF(ISERROR(F144),"",SUMIF(N149:N156,"&gt;0",F149:F156))</f>
        <v>0</v>
      </c>
      <c r="M158" s="45" t="str">
        <f ca="1">IF(ISERROR(F144),"",M141)</f>
        <v>Cuml. Earned Credits:</v>
      </c>
      <c r="N158" s="43" t="e">
        <f ca="1">IF(ISERROR(F144),"",VLOOKUP(B144,INDIRECT($F$8),10+(O156-1)*3,0))</f>
        <v>#N/A</v>
      </c>
    </row>
    <row r="159" spans="1:24" ht="14.25" customHeight="1" x14ac:dyDescent="0.2">
      <c r="A159" s="43"/>
      <c r="B159" s="45"/>
      <c r="C159" s="45"/>
      <c r="D159" s="43"/>
      <c r="E159" s="45"/>
      <c r="F159" s="45"/>
      <c r="G159" s="43"/>
      <c r="H159" s="46"/>
      <c r="I159" s="43"/>
      <c r="J159" s="46"/>
      <c r="K159" s="45"/>
      <c r="L159" s="43"/>
      <c r="M159" s="45"/>
      <c r="N159" s="43"/>
    </row>
    <row r="160" spans="1:24" ht="14.25" customHeight="1" x14ac:dyDescent="0.2">
      <c r="A160" s="43"/>
      <c r="B160" s="45"/>
      <c r="C160" s="45"/>
      <c r="D160" s="43"/>
      <c r="E160" s="45"/>
      <c r="F160" s="45"/>
      <c r="G160" s="43"/>
      <c r="H160" s="46"/>
      <c r="I160" s="43"/>
      <c r="J160" s="46"/>
      <c r="K160" s="45"/>
      <c r="L160" s="43"/>
      <c r="M160" s="45"/>
      <c r="N160" s="43"/>
    </row>
    <row r="161" spans="1:24" ht="14.25" customHeight="1" x14ac:dyDescent="0.2">
      <c r="A161" s="11" t="str">
        <f>A144</f>
        <v>MM</v>
      </c>
      <c r="B161" s="11">
        <f>B144+1</f>
        <v>10</v>
      </c>
      <c r="C161" s="11" t="str">
        <f>C144</f>
        <v>SC</v>
      </c>
      <c r="D161" s="11" t="str">
        <f>D144</f>
        <v>SN</v>
      </c>
      <c r="E161" s="11" t="str">
        <f>E144</f>
        <v>C</v>
      </c>
      <c r="F161" s="11" t="str">
        <f ca="1">VLOOKUP(B161,INDIRECT($F$8),4,0)</f>
        <v>DEVENDRA SINGH RANA</v>
      </c>
    </row>
    <row r="162" spans="1:24" ht="14.25" customHeight="1" x14ac:dyDescent="0.2">
      <c r="A162" s="47" t="str">
        <f ca="1">IF(ISERROR(F161),"",A145)</f>
        <v>Name:</v>
      </c>
      <c r="B162" s="47" t="str">
        <f ca="1">IFERROR(VLOOKUP(B161,INDIRECT($F$8),4,0),"")</f>
        <v>DEVENDRA SINGH RANA</v>
      </c>
      <c r="C162" s="47"/>
      <c r="D162" s="47" t="str">
        <f ca="1">IF(ISERROR(F161),"",D145)</f>
        <v>Father's Name:</v>
      </c>
      <c r="E162" s="47" t="str">
        <f ca="1">IFERROR(VLOOKUP(B161,INDIRECT($F$8),5,0),"")</f>
        <v>DHYAN SINGH RANA</v>
      </c>
      <c r="F162" s="47"/>
      <c r="G162" s="47" t="str">
        <f ca="1">IF(ISERROR(F161),"",G145)</f>
        <v>University Roll No:</v>
      </c>
      <c r="H162" s="47"/>
      <c r="I162" s="48">
        <f ca="1">IFERROR(VLOOKUP(B161,INDIRECT($F$8),2,0),"")</f>
        <v>240090600010</v>
      </c>
      <c r="J162" s="48"/>
      <c r="K162" s="47" t="str">
        <f ca="1">IF(ISERROR(F161),"",K145)</f>
        <v>University Enrol. No:</v>
      </c>
      <c r="L162" s="47"/>
      <c r="M162" s="48" t="str">
        <f ca="1">IFERROR(VLOOKUP(B161,INDIRECT($F$8),3,0),"")</f>
        <v>UTU/2406100181</v>
      </c>
      <c r="N162" s="48"/>
    </row>
    <row r="163" spans="1:24" ht="14.25" customHeight="1" x14ac:dyDescent="0.2">
      <c r="A163" s="47"/>
      <c r="B163" s="47"/>
      <c r="C163" s="47"/>
      <c r="D163" s="47"/>
      <c r="E163" s="47"/>
      <c r="F163" s="47"/>
      <c r="G163" s="47"/>
      <c r="H163" s="47"/>
      <c r="I163" s="48"/>
      <c r="J163" s="48"/>
      <c r="K163" s="47"/>
      <c r="L163" s="47"/>
      <c r="M163" s="48"/>
      <c r="N163" s="48"/>
    </row>
    <row r="164" spans="1:24" ht="14.25" customHeight="1" x14ac:dyDescent="0.2">
      <c r="A164" s="45" t="str">
        <f ca="1">IF(ISERROR(F161),"",A147)</f>
        <v>Subject Code</v>
      </c>
      <c r="B164" s="45" t="str">
        <f ca="1">IF(ISERROR(F161),"",B147)</f>
        <v>Subject Name</v>
      </c>
      <c r="C164" s="45"/>
      <c r="D164" s="45"/>
      <c r="E164" s="45"/>
      <c r="F164" s="45" t="str">
        <f ca="1">IF(ISERROR(F161),"",F147)</f>
        <v>Credits</v>
      </c>
      <c r="G164" s="45" t="str">
        <f ca="1">IF(ISERROR(F161),"",G147)</f>
        <v>External Marks</v>
      </c>
      <c r="H164" s="45"/>
      <c r="I164" s="45" t="str">
        <f ca="1">IF(ISERROR(F161),"",I147)</f>
        <v>Sessional Marks</v>
      </c>
      <c r="J164" s="45"/>
      <c r="K164" s="45" t="str">
        <f ca="1">IF(ISERROR(F161),"",K147)</f>
        <v>Total Marks</v>
      </c>
      <c r="L164" s="45"/>
      <c r="M164" s="45" t="str">
        <f ca="1">IF(ISERROR(F161),"",M147)</f>
        <v>Grade</v>
      </c>
      <c r="N164" s="45" t="str">
        <f ca="1">IF(ISERROR(F161),"",N147)</f>
        <v>Grade Points</v>
      </c>
    </row>
    <row r="165" spans="1:24" ht="14.25" customHeight="1" x14ac:dyDescent="0.2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W165">
        <f ca="1">IF(ISNUMBER(MATCH($F$8,{"I","III","V","VII"},0)),10,10-INDEX(INDIRECT(_xlfn.TEXTJOIN("",TRUE,"SEM_",$G$8,"!",ADDRESS(6,4+$I$8*3+4),":",ADDRESS(5+$H$8,4+$I$8*3+4))),MATCH(INDIRECT(_xlfn.TEXTJOIN("",TRUE,"TC_",$F$8,"!",ADDRESS(ROW(I162),COLUMN(I162)))),INDIRECT(_xlfn.TEXTJOIN("",TRUE,"SEM_",$G$8,"!",ADDRESS(6,2),":",ADDRESS(5+$H$8,2))))))</f>
        <v>10</v>
      </c>
    </row>
    <row r="166" spans="1:24" ht="14.25" customHeight="1" x14ac:dyDescent="0.2">
      <c r="A166" s="7" t="str">
        <f ca="1">IF(ISERROR(F161),"",VLOOKUP(C161,INDIRECT($F$8),6+(O166-1)*3,0))</f>
        <v>CAT  014</v>
      </c>
      <c r="B166" s="41" t="str">
        <f ca="1">IF(ISERROR(F161),"",VLOOKUP(D161,INDIRECT($F$8),6+(O166-1)*3,0))</f>
        <v>Graph Theory</v>
      </c>
      <c r="C166" s="41"/>
      <c r="D166" s="41"/>
      <c r="E166" s="41"/>
      <c r="F166" s="7">
        <f ca="1">IF(ISERROR(F161),"",VLOOKUP(E161,INDIRECT($F$8),6+(O166-1)*3,0))</f>
        <v>4</v>
      </c>
      <c r="G166" s="42" t="str">
        <f ca="1">IF(ISERROR(F161),"",_xlfn.TEXTJOIN("/",FALSE,P166,S166))</f>
        <v>0/100</v>
      </c>
      <c r="H166" s="42"/>
      <c r="I166" s="42" t="str">
        <f ca="1">IF(ISERROR(F161),"",_xlfn.TEXTJOIN("/",FALSE,Q166,T166))</f>
        <v>0/50</v>
      </c>
      <c r="J166" s="42"/>
      <c r="K166" s="42" t="str">
        <f ca="1">IF(ISERROR(F161),"",_xlfn.TEXTJOIN("/",FALSE,R166,U166))</f>
        <v>0/150</v>
      </c>
      <c r="L166" s="42"/>
      <c r="M166" s="7" t="str">
        <f ca="1">IF(ISERROR(F161),"",IF(ISTEXT(P166),IF(P166="A","Ab",IF(P166="D","Dt",IF(P166="UFM","UFM",IF(P166="NA","")))),IF(AND(ISBLANK(P166),ISBLANK(R166)),"",IF(P166&lt;0.3*S166,"F",IF(ISBLANK(R166),"",IF(ISTEXT(R166),R166,IF(R166&gt;=0.9*U166,"O",IF(R166&gt;=0.85*U166,"A+",IF(R166&gt;=0.8*U166,"A",IF(R166&gt;=0.7*U166,"B+",IF(R166&gt;=0.6*U166,"B",IF(R166&gt;=0.5*U166,"C",IF(R166&gt;=0.4*U166,"P",IF(R166&lt;0.4*U166,"F",R166))))))))))))))</f>
        <v>F</v>
      </c>
      <c r="N166" s="8">
        <f t="shared" ref="N166:N173" ca="1" si="18">INDEX($Z$2:$Z$13,MATCH(M166,$Y$2:$Y$13,0))</f>
        <v>0</v>
      </c>
      <c r="O166">
        <v>1</v>
      </c>
      <c r="P166" s="1">
        <f ca="1">IF(ISERROR(F161),"",IF(ISTEXT(VLOOKUP(B161,INDIRECT($F$8),6+(O166-1)*3)),(VLOOKUP(B161,INDIRECT($F$8),6+(O166-1)*3)),SUM(VLOOKUP(B161,INDIRECT($F$8),6+(O166-1)*3),IF(W174,W166,0))))</f>
        <v>0</v>
      </c>
      <c r="Q166" s="1">
        <f ca="1">IF(ISERROR(F161),"",VLOOKUP(B161,INDIRECT($F$8),7+(O166-1)*3))</f>
        <v>0</v>
      </c>
      <c r="R166" s="1">
        <f ca="1">IF(ISERROR(F161),"",SUM(P166:Q166))</f>
        <v>0</v>
      </c>
      <c r="S166" s="1">
        <f ca="1">IF(ISERROR(F161),"",VLOOKUP(A161,INDIRECT($F$8),6+(O166-1)*3))</f>
        <v>100</v>
      </c>
      <c r="T166" s="1">
        <f ca="1">IF(ISERROR(F161),"",VLOOKUP(A161,INDIRECT($F$8),7+(O166-1)*3))</f>
        <v>50</v>
      </c>
      <c r="U166" s="1">
        <f ca="1">IF(ISERROR(F161),"",VLOOKUP(A161,INDIRECT($F$8),8+(O166-1)*3))</f>
        <v>150</v>
      </c>
      <c r="V166" s="1" t="str">
        <f ca="1">IF(ISERROR(F161),"",IF(N166=0,A166,""))</f>
        <v>CAT  014</v>
      </c>
      <c r="W166" s="1">
        <f ca="1">IF(ISERROR(F161),"",IF(ISTEXT(VLOOKUP(B161,INDIRECT($F$8),6+(O166-1)*3)),11,IF(VLOOKUP(B161,INDIRECT($F$8),6+(O166-1)*3)&lt;S166*0.3,IF(VLOOKUP(B161,INDIRECT($F$8),8+(O166-1)*3)&lt;U166*0.4,IF(AND(0.4*U166-VLOOKUP(B161,INDIRECT($F$8),8+(O166-1)*3)&lt;=5,0.3*S166-VLOOKUP(B161,INDIRECT($F$8),6+(O166-1)*3)&lt;=5),MAX(0.4*U166-VLOOKUP(B161,INDIRECT($F$8),8+(O166-1)*3),0.3*S166-VLOOKUP(B161,INDIRECT($F$8),6+(O166-1)*3)),11),IF(0.3*S166-VLOOKUP(B161,INDIRECT($F$8),6+(O166-1)*3)&lt;=5,0.3*S166-VLOOKUP(B161,INDIRECT($F$8),6+(O166-1)*3),11)),IF(VLOOKUP(B161,INDIRECT($F$8),8+(O166-1)*3)&lt;U166*0.4,IF(U166*0.4-VLOOKUP(B161,INDIRECT($F$8),8+(O166-1)*3)&lt;=5,U166*0.4-VLOOKUP(B161,INDIRECT($F$8),8+(O166-1)*3),11),0))))</f>
        <v>11</v>
      </c>
      <c r="X166" s="1" t="str">
        <f ca="1">IF(ISERROR(F161),"",IF(W166=0,"",_xlfn.TEXTJOIN("",FALSE," G+",W166," in ",A166)))</f>
        <v xml:space="preserve"> G+11 in CAT  014</v>
      </c>
    </row>
    <row r="167" spans="1:24" ht="14.25" customHeight="1" x14ac:dyDescent="0.2">
      <c r="A167" s="7" t="str">
        <f ca="1">IF(ISERROR(F161),"",VLOOKUP(C161,INDIRECT($F$8),6+(O167-1)*3,0))</f>
        <v>CAT 015</v>
      </c>
      <c r="B167" s="41" t="str">
        <f ca="1">IF(ISERROR(F161),"",VLOOKUP(D161,INDIRECT($F$8),6+(O167-1)*3,0))</f>
        <v>Software Engineering</v>
      </c>
      <c r="C167" s="41"/>
      <c r="D167" s="41"/>
      <c r="E167" s="41"/>
      <c r="F167" s="7">
        <f ca="1">IF(ISERROR(F161),"",VLOOKUP(E161,INDIRECT($F$8),6+(O167-1)*3,0))</f>
        <v>4</v>
      </c>
      <c r="G167" s="42" t="str">
        <f ca="1">IF(ISERROR(F161),"",_xlfn.TEXTJOIN("/",FALSE,P167,S167))</f>
        <v>0/100</v>
      </c>
      <c r="H167" s="42"/>
      <c r="I167" s="42" t="str">
        <f ca="1">IF(ISERROR(F161),"",_xlfn.TEXTJOIN("/",FALSE,Q167,T167))</f>
        <v>0/50</v>
      </c>
      <c r="J167" s="42"/>
      <c r="K167" s="42" t="str">
        <f ca="1">IF(ISERROR(F161),"",_xlfn.TEXTJOIN("/",FALSE,R167,U167))</f>
        <v>0/150</v>
      </c>
      <c r="L167" s="42"/>
      <c r="M167" s="7" t="str">
        <f ca="1">IF(ISERROR(F161),"",IF(ISTEXT(P167),IF(P167="A","Ab",IF(P167="D","Dt",IF(P167="UFM","UFM",IF(P167="NA","")))),IF(AND(ISBLANK(P167),ISBLANK(R167)),"",IF(P167&lt;0.3*S167,"F",IF(ISBLANK(R167),"",IF(ISTEXT(R167),R167,IF(R167&gt;=0.9*U167,"O",IF(R167&gt;=0.85*U167,"A+",IF(R167&gt;=0.8*U167,"A",IF(R167&gt;=0.7*U167,"B+",IF(R167&gt;=0.6*U167,"B",IF(R167&gt;=0.5*U167,"C",IF(R167&gt;=0.4*U167,"P",IF(R167&lt;0.4*U167,"F",R167))))))))))))))</f>
        <v>F</v>
      </c>
      <c r="N167" s="8">
        <f t="shared" ca="1" si="18"/>
        <v>0</v>
      </c>
      <c r="O167">
        <f>O166+1</f>
        <v>2</v>
      </c>
      <c r="P167" s="1">
        <f ca="1">IF(ISERROR(F161),"",IF(ISTEXT(VLOOKUP(B161,INDIRECT($F$8),6+(O167-1)*3)),(VLOOKUP(B161,INDIRECT($F$8),6+(O167-1)*3)),SUM(VLOOKUP(B161,INDIRECT($F$8),6+(O167-1)*3),IF(W174,W167,0))))</f>
        <v>0</v>
      </c>
      <c r="Q167" s="1">
        <f ca="1">IF(ISERROR(F161),"",VLOOKUP(B161,INDIRECT($F$8),7+(O167-1)*3))</f>
        <v>0</v>
      </c>
      <c r="R167" s="1">
        <f ca="1">IF(ISERROR(F161),"",SUM(P167:Q167))</f>
        <v>0</v>
      </c>
      <c r="S167" s="1">
        <f ca="1">IF(ISERROR(F161),"",VLOOKUP(A161,INDIRECT($F$8),6+(O167-1)*3))</f>
        <v>100</v>
      </c>
      <c r="T167" s="1">
        <f ca="1">IF(ISERROR(F161),"",VLOOKUP(A161,INDIRECT($F$8),7+(O167-1)*3))</f>
        <v>50</v>
      </c>
      <c r="U167" s="1">
        <f ca="1">IF(ISERROR(F161),"",VLOOKUP(A161,INDIRECT($F$8),8+(O167-1)*3))</f>
        <v>150</v>
      </c>
      <c r="V167" s="1" t="str">
        <f ca="1">IF(ISERROR(F161),"",IF(N167=0,A167,""))</f>
        <v>CAT 015</v>
      </c>
      <c r="W167" s="1">
        <f ca="1">IF(ISERROR(F161),"",IF(ISTEXT(VLOOKUP(B161,INDIRECT($F$8),6+(O167-1)*3)),11,IF(VLOOKUP(B161,INDIRECT($F$8),6+(O167-1)*3)&lt;S167*0.3,IF(VLOOKUP(B161,INDIRECT($F$8),8+(O167-1)*3)&lt;U167*0.4,IF(AND(0.4*U167-VLOOKUP(B161,INDIRECT($F$8),8+(O167-1)*3)&lt;=5,0.3*S167-VLOOKUP(B161,INDIRECT($F$8),6+(O167-1)*3)&lt;=5),MAX(0.4*U167-VLOOKUP(B161,INDIRECT($F$8),8+(O167-1)*3),0.3*S167-VLOOKUP(B161,INDIRECT($F$8),6+(O167-1)*3)),11),IF(0.3*S167-VLOOKUP(B161,INDIRECT($F$8),6+(O167-1)*3)&lt;=5,0.3*S167-VLOOKUP(B161,INDIRECT($F$8),6+(O167-1)*3),11)),IF(VLOOKUP(B161,INDIRECT($F$8),8+(O167-1)*3)&lt;U167*0.4,IF(U167*0.4-VLOOKUP(B161,INDIRECT($F$8),8+(O167-1)*3)&lt;=5,U167*0.4-VLOOKUP(B161,INDIRECT($F$8),8+(O167-1)*3),11),0))))</f>
        <v>11</v>
      </c>
      <c r="X167" s="1" t="str">
        <f ca="1">IF(ISERROR(F161),"",IF(W167=0,"",_xlfn.TEXTJOIN("",FALSE," G+",W167," in ",A167)))</f>
        <v xml:space="preserve"> G+11 in CAT 015</v>
      </c>
    </row>
    <row r="168" spans="1:24" ht="14.25" customHeight="1" x14ac:dyDescent="0.2">
      <c r="A168" s="7" t="str">
        <f ca="1">IF(ISERROR(F161),"",VLOOKUP(C161,INDIRECT($F$8),6+(O168-1)*3,0))</f>
        <v>Enroll No.</v>
      </c>
      <c r="B168" s="41">
        <f ca="1">IF(ISERROR(F161),"",VLOOKUP(D161,INDIRECT($F$8),6+(O168-1)*3,0))</f>
        <v>0</v>
      </c>
      <c r="C168" s="41"/>
      <c r="D168" s="41"/>
      <c r="E168" s="41"/>
      <c r="F168" s="7">
        <f ca="1">IF(ISERROR(F161),"",VLOOKUP(E161,INDIRECT($F$8),6+(O168-1)*3,0))</f>
        <v>0</v>
      </c>
      <c r="G168" s="42" t="str">
        <f ca="1">IF(ISERROR(F161),"",_xlfn.TEXTJOIN("/",FALSE,P168,S168))</f>
        <v>UTU/2406100181/0</v>
      </c>
      <c r="H168" s="42"/>
      <c r="I168" s="42" t="str">
        <f ca="1">IF(ISERROR(F161),"",_xlfn.TEXTJOIN("/",FALSE,Q168,T168))</f>
        <v>DEVENDRA SINGH RANA/0</v>
      </c>
      <c r="J168" s="42"/>
      <c r="K168" s="42" t="str">
        <f ca="1">IF(ISERROR(F161),"",_xlfn.TEXTJOIN("/",FALSE,R168,U168))</f>
        <v>0/0</v>
      </c>
      <c r="L168" s="42"/>
      <c r="M168" s="7" t="b">
        <f ca="1">IF(ISERROR(F161),"",IF(ISTEXT(P168),IF(P168="A","Ab",IF(P168="D","Dt",IF(P168="UFM","UFM",IF(P168="NA","")))),IF(AND(ISBLANK(P168),ISBLANK(R168)),"",IF(P168&lt;0.3*S168,"F",IF(ISBLANK(R168),"",IF(ISTEXT(R168),R168,IF(R168&gt;=0.9*U168,"O",IF(R168&gt;=0.85*U168,"A+",IF(R168&gt;=0.8*U168,"A",IF(R168&gt;=0.7*U168,"B+",IF(R168&gt;=0.6*U168,"B",IF(R168&gt;=0.5*U168,"C",IF(R168&gt;=0.4*U168,"P",IF(R168&lt;0.4*U168,"F",R168))))))))))))))</f>
        <v>0</v>
      </c>
      <c r="N168" s="8" t="e">
        <f t="shared" ca="1" si="18"/>
        <v>#N/A</v>
      </c>
      <c r="O168" t="b" cm="1">
        <f t="array" aca="1" ref="O168" ca="1">IF(NOT(ISBLANK(INDIRECT("SEM_III!L"&amp;INT((ROW(O168)-15)/17)+6))),3,IF(NOT(ISBLANK(INDIRECT("SEM_III!O"&amp;INT((ROW(O168)-15)/17)+6))),4))</f>
        <v>0</v>
      </c>
      <c r="P168" s="1" t="str">
        <f ca="1">IF(ISERROR(F161),"",IF(ISTEXT(VLOOKUP(B161,INDIRECT($F$8),6+(O168-1)*3)),(VLOOKUP(B161,INDIRECT($F$8),6+(O168-1)*3)),SUM(VLOOKUP(B161,INDIRECT($F$8),6+(O168-1)*3),IF(W174,W168,0))))</f>
        <v>UTU/2406100181</v>
      </c>
      <c r="Q168" s="1" t="str">
        <f ca="1">IF(ISERROR(F161),"",VLOOKUP(B161,INDIRECT($F$8),7+(O168-1)*3))</f>
        <v>DEVENDRA SINGH RANA</v>
      </c>
      <c r="R168" s="1">
        <f ca="1">IF(ISERROR(F161),"",SUM(P168:Q168))</f>
        <v>0</v>
      </c>
      <c r="S168" s="1">
        <f ca="1">IF(ISERROR(F161),"",VLOOKUP(A161,INDIRECT($F$8),6+(O168-1)*3))</f>
        <v>0</v>
      </c>
      <c r="T168" s="1">
        <f ca="1">IF(ISERROR(F161),"",VLOOKUP(A161,INDIRECT($F$8),7+(O168-1)*3))</f>
        <v>0</v>
      </c>
      <c r="U168" s="1">
        <f ca="1">IF(ISERROR(F161),"",VLOOKUP(A161,INDIRECT($F$8),8+(O168-1)*3))</f>
        <v>0</v>
      </c>
      <c r="V168" s="1" t="e">
        <f ca="1">IF(ISERROR(F161),"",IF(N168=0,A168,""))</f>
        <v>#N/A</v>
      </c>
      <c r="W168" s="1">
        <f ca="1">IF(ISERROR(F161),"",IF(ISTEXT(VLOOKUP(B161,INDIRECT($F$8),6+(O168-1)*3)),11,IF(VLOOKUP(B161,INDIRECT($F$8),6+(O168-1)*3)&lt;S168*0.3,IF(VLOOKUP(B161,INDIRECT($F$8),8+(O168-1)*3)&lt;U168*0.4,IF(AND(0.4*U168-VLOOKUP(B161,INDIRECT($F$8),8+(O168-1)*3)&lt;=5,0.3*S168-VLOOKUP(B161,INDIRECT($F$8),6+(O168-1)*3)&lt;=5),MAX(0.4*U168-VLOOKUP(B161,INDIRECT($F$8),8+(O168-1)*3),0.3*S168-VLOOKUP(B161,INDIRECT($F$8),6+(O168-1)*3)),11),IF(0.3*S168-VLOOKUP(B161,INDIRECT($F$8),6+(O168-1)*3)&lt;=5,0.3*S168-VLOOKUP(B161,INDIRECT($F$8),6+(O168-1)*3),11)),IF(VLOOKUP(B161,INDIRECT($F$8),8+(O168-1)*3)&lt;U168*0.4,IF(U168*0.4-VLOOKUP(B161,INDIRECT($F$8),8+(O168-1)*3)&lt;=5,U168*0.4-VLOOKUP(B161,INDIRECT($F$8),8+(O168-1)*3),11),0))))</f>
        <v>11</v>
      </c>
      <c r="X168" s="1" t="str">
        <f ca="1">IF(ISERROR(F161),"",IF(W168=0,"",_xlfn.TEXTJOIN("",FALSE," G+",W168," in ",A168)))</f>
        <v xml:space="preserve"> G+11 in Enroll No.</v>
      </c>
    </row>
    <row r="169" spans="1:24" ht="14.25" customHeight="1" x14ac:dyDescent="0.2">
      <c r="A169" s="7" t="str">
        <f ca="1">IF(ISERROR(F161),"",VLOOKUP(C161,INDIRECT($F$8),6+(O169-1)*3,0))</f>
        <v>Enroll No.</v>
      </c>
      <c r="B169" s="41">
        <f ca="1">IF(ISERROR(F161),"",VLOOKUP(D161,INDIRECT($F$8),6+(O169-1)*3,0))</f>
        <v>0</v>
      </c>
      <c r="C169" s="41"/>
      <c r="D169" s="41"/>
      <c r="E169" s="41"/>
      <c r="F169" s="7">
        <f ca="1">IF(ISERROR(F161),"",VLOOKUP(E161,INDIRECT($F$8),6+(O169-1)*3,0))</f>
        <v>0</v>
      </c>
      <c r="G169" s="42" t="str">
        <f ca="1">IF(ISERROR(F161),"",_xlfn.TEXTJOIN("/",FALSE,P169,S169))</f>
        <v>UTU/2406100181/0</v>
      </c>
      <c r="H169" s="42"/>
      <c r="I169" s="42" t="str">
        <f ca="1">IF(ISERROR(F161),"",_xlfn.TEXTJOIN("/",FALSE,Q169,T169))</f>
        <v>DEVENDRA SINGH RANA/0</v>
      </c>
      <c r="J169" s="42"/>
      <c r="K169" s="42" t="str">
        <f ca="1">IF(ISERROR(F161),"",_xlfn.TEXTJOIN("/",FALSE,R169,U169))</f>
        <v>0/0</v>
      </c>
      <c r="L169" s="42"/>
      <c r="M169" s="7" t="b">
        <f ca="1">IF(ISERROR(F161),"",IF(ISTEXT(P169),IF(P169="A","Ab",IF(P169="D","Dt",IF(P169="UFM","UFM",IF(P169="NA","")))),IF(AND(ISBLANK(P169),ISBLANK(R169)),"",IF(P169&lt;0.3*S169,"F",IF(ISBLANK(R169),"",IF(ISTEXT(R169),R169,IF(R169&gt;=0.9*U169,"O",IF(R169&gt;=0.85*U169,"A+",IF(R169&gt;=0.8*U169,"A",IF(R169&gt;=0.7*U169,"B+",IF(R169&gt;=0.6*U169,"B",IF(R169&gt;=0.5*U169,"C",IF(R169&gt;=0.4*U169,"P",IF(R169&lt;0.4*U169,"F",R169))))))))))))))</f>
        <v>0</v>
      </c>
      <c r="N169" s="8" t="e">
        <f t="shared" ca="1" si="18"/>
        <v>#N/A</v>
      </c>
      <c r="O169" t="b" cm="1">
        <f t="array" aca="1" ref="O169" ca="1">IF(NOT(ISBLANK(INDIRECT("SEM_III!R"&amp;INT((ROW(O169)-16)/17)+6))),5,IF(NOT(ISBLANK(INDIRECT("SEM_III!U"&amp;INT((ROW(O169)-16)/17)+6))),6))</f>
        <v>0</v>
      </c>
      <c r="P169" s="1" t="str">
        <f ca="1">IF(ISERROR(F161),"",IF(ISTEXT(VLOOKUP(B161,INDIRECT($F$8),6+(O169-1)*3)),(VLOOKUP(B161,INDIRECT($F$8),6+(O169-1)*3)),SUM(VLOOKUP(B161,INDIRECT($F$8),6+(O169-1)*3),IF(W174,W169,0))))</f>
        <v>UTU/2406100181</v>
      </c>
      <c r="Q169" s="1" t="str">
        <f ca="1">IF(ISERROR(F161),"",VLOOKUP(B161,INDIRECT($F$8),7+(O169-1)*3))</f>
        <v>DEVENDRA SINGH RANA</v>
      </c>
      <c r="R169" s="1">
        <f ca="1">IF(ISERROR(F161),"",SUM(P169:Q169))</f>
        <v>0</v>
      </c>
      <c r="S169" s="1">
        <f ca="1">IF(ISERROR(F161),"",VLOOKUP(A161,INDIRECT($F$8),6+(O169-1)*3))</f>
        <v>0</v>
      </c>
      <c r="T169" s="1">
        <f ca="1">IF(ISERROR(F161),"",VLOOKUP(A161,INDIRECT($F$8),7+(O169-1)*3))</f>
        <v>0</v>
      </c>
      <c r="U169" s="1">
        <f ca="1">IF(ISERROR(F161),"",VLOOKUP(A161,INDIRECT($F$8),8+(O169-1)*3))</f>
        <v>0</v>
      </c>
      <c r="V169" s="1" t="e">
        <f ca="1">IF(ISERROR(F161),"",IF(N169=0,A169,""))</f>
        <v>#N/A</v>
      </c>
      <c r="W169" s="1">
        <f ca="1">IF(ISERROR(F161),"",IF(ISTEXT(VLOOKUP(B161,INDIRECT($F$8),6+(O169-1)*3)),11,IF(VLOOKUP(B161,INDIRECT($F$8),6+(O169-1)*3)&lt;S169*0.3,IF(VLOOKUP(B161,INDIRECT($F$8),8+(O169-1)*3)&lt;U169*0.4,IF(AND(0.4*U169-VLOOKUP(B161,INDIRECT($F$8),8+(O169-1)*3)&lt;=5,0.3*S169-VLOOKUP(B161,INDIRECT($F$8),6+(O169-1)*3)&lt;=5),MAX(0.4*U169-VLOOKUP(B161,INDIRECT($F$8),8+(O169-1)*3),0.3*S169-VLOOKUP(B161,INDIRECT($F$8),6+(O169-1)*3)),11),IF(0.3*S169-VLOOKUP(B161,INDIRECT($F$8),6+(O169-1)*3)&lt;=5,0.3*S169-VLOOKUP(B161,INDIRECT($F$8),6+(O169-1)*3),11)),IF(VLOOKUP(B161,INDIRECT($F$8),8+(O169-1)*3)&lt;U169*0.4,IF(U169*0.4-VLOOKUP(B161,INDIRECT($F$8),8+(O169-1)*3)&lt;=5,U169*0.4-VLOOKUP(B161,INDIRECT($F$8),8+(O169-1)*3),11),0))))</f>
        <v>11</v>
      </c>
      <c r="X169" s="1" t="str">
        <f ca="1">IF(ISERROR(F161),"",IF(W169=0,"",_xlfn.TEXTJOIN("",FALSE," G+",W169," in ",A169)))</f>
        <v xml:space="preserve"> G+11 in Enroll No.</v>
      </c>
    </row>
    <row r="170" spans="1:24" ht="14.25" customHeight="1" x14ac:dyDescent="0.2">
      <c r="A170" s="7" t="str">
        <f ca="1">IF(ISERROR(F161),"",VLOOKUP(C161,INDIRECT($F$8),6+(O170-1)*3,0))</f>
        <v>AHT 310</v>
      </c>
      <c r="B170" s="41" t="str">
        <f ca="1">IF(ISERROR(F161),"",VLOOKUP(D161,INDIRECT($F$8),6+(O170-1)*3,0))</f>
        <v>Universal Human Value</v>
      </c>
      <c r="C170" s="41"/>
      <c r="D170" s="41"/>
      <c r="E170" s="41"/>
      <c r="F170" s="7">
        <f ca="1">IF(ISERROR(F161),"",VLOOKUP(E161,INDIRECT($F$8),6+(O170-1)*3,0))</f>
        <v>3</v>
      </c>
      <c r="G170" s="42" t="str">
        <f ca="1">IF(ISERROR(F161),"",_xlfn.TEXTJOIN("/",FALSE,P170,S170))</f>
        <v>0/100</v>
      </c>
      <c r="H170" s="42"/>
      <c r="I170" s="42" t="str">
        <f ca="1">IF(ISERROR(F161),"",_xlfn.TEXTJOIN("/",FALSE,Q170,T170))</f>
        <v>0/50</v>
      </c>
      <c r="J170" s="42"/>
      <c r="K170" s="42" t="str">
        <f ca="1">IF(ISERROR(F161),"",_xlfn.TEXTJOIN("/",FALSE,R170,U170))</f>
        <v>0/150</v>
      </c>
      <c r="L170" s="42"/>
      <c r="M170" s="7" t="str">
        <f ca="1">IF(ISERROR(F161),"",IF(ISTEXT(P170),IF(P170="A","Ab",IF(P170="D","Dt",IF(P170="UFM","UFM",IF(P170="NA","")))),IF(AND(ISBLANK(P170),ISBLANK(R170)),"",IF(P170&lt;0.3*S170,"F",IF(ISBLANK(R170),"",IF(ISTEXT(R170),R170,IF(R170&gt;=0.9*U170,"O",IF(R170&gt;=0.85*U170,"A+",IF(R170&gt;=0.8*U170,"A",IF(R170&gt;=0.7*U170,"B+",IF(R170&gt;=0.6*U170,"B",IF(R170&gt;=0.5*U170,"C",IF(R170&gt;=0.4*U170,"P",IF(R170&lt;0.4*U170,"F",R170))))))))))))))</f>
        <v>F</v>
      </c>
      <c r="N170" s="8">
        <f t="shared" ca="1" si="18"/>
        <v>0</v>
      </c>
      <c r="O170">
        <f ca="1">IF(O169&gt;0,7,"")</f>
        <v>7</v>
      </c>
      <c r="P170" s="1">
        <f ca="1">IF(ISERROR(F161),"",IF(ISTEXT(VLOOKUP(B161,INDIRECT($F$8),6+(O170-1)*3)),(VLOOKUP(B161,INDIRECT($F$8),6+(O170-1)*3)),SUM(VLOOKUP(B161,INDIRECT($F$8),6+(O170-1)*3),IF(W174,W170,0))))</f>
        <v>0</v>
      </c>
      <c r="Q170" s="1">
        <f ca="1">IF(ISERROR(F161),"",VLOOKUP(B161,INDIRECT($F$8),7+(O170-1)*3))</f>
        <v>0</v>
      </c>
      <c r="R170" s="1">
        <f ca="1">IF(ISERROR(F161),"",SUM(P170:Q170))</f>
        <v>0</v>
      </c>
      <c r="S170" s="1">
        <f ca="1">IF(ISERROR(F161),"",VLOOKUP(A161,INDIRECT($F$8),6+(O170-1)*3))</f>
        <v>100</v>
      </c>
      <c r="T170" s="1">
        <f ca="1">IF(ISERROR(F161),"",VLOOKUP(A161,INDIRECT($F$8),7+(O170-1)*3))</f>
        <v>50</v>
      </c>
      <c r="U170" s="1">
        <f ca="1">IF(ISERROR(F161),"",VLOOKUP(A161,INDIRECT($F$8),8+(O170-1)*3))</f>
        <v>150</v>
      </c>
      <c r="V170" s="1" t="str">
        <f ca="1">IF(ISERROR(F161),"",IF(N170=0,A170,""))</f>
        <v>AHT 310</v>
      </c>
      <c r="W170" s="1">
        <f ca="1">IF(ISERROR(F161),"",IF(ISTEXT(VLOOKUP(B161,INDIRECT($F$8),6+(O170-1)*3)),11,IF(VLOOKUP(B161,INDIRECT($F$8),6+(O170-1)*3)&lt;S170*0.3,IF(VLOOKUP(B161,INDIRECT($F$8),8+(O170-1)*3)&lt;U170*0.4,IF(AND(0.4*U170-VLOOKUP(B161,INDIRECT($F$8),8+(O170-1)*3)&lt;=5,0.3*S170-VLOOKUP(B161,INDIRECT($F$8),6+(O170-1)*3)&lt;=5),MAX(0.4*U170-VLOOKUP(B161,INDIRECT($F$8),8+(O170-1)*3),0.3*S170-VLOOKUP(B161,INDIRECT($F$8),6+(O170-1)*3)),11),IF(0.3*S170-VLOOKUP(B161,INDIRECT($F$8),6+(O170-1)*3)&lt;=5,0.3*S170-VLOOKUP(B161,INDIRECT($F$8),6+(O170-1)*3),11)),IF(VLOOKUP(B161,INDIRECT($F$8),8+(O170-1)*3)&lt;U170*0.4,IF(U170*0.4-VLOOKUP(B161,INDIRECT($F$8),8+(O170-1)*3)&lt;=5,U170*0.4-VLOOKUP(B161,INDIRECT($F$8),8+(O170-1)*3),11),0))))</f>
        <v>11</v>
      </c>
      <c r="X170" s="1" t="str">
        <f ca="1">IF(ISERROR(F161),"",IF(W170=0,"",_xlfn.TEXTJOIN("",FALSE," G+",W170," in ",A170)))</f>
        <v xml:space="preserve"> G+11 in AHT 310</v>
      </c>
    </row>
    <row r="171" spans="1:24" ht="14.25" customHeight="1" x14ac:dyDescent="0.2">
      <c r="A171" s="7" t="str">
        <f ca="1">IF(ISERROR(F161),"",VLOOKUP(C161,INDIRECT($F$8),6+(O171-1)*3,0))</f>
        <v>CAP 008</v>
      </c>
      <c r="B171" s="41" t="str">
        <f ca="1">IF(ISERROR(F161),"",VLOOKUP(D161,INDIRECT($F$8),6+(O171-1)*3,0))</f>
        <v>Software Engineering Lab</v>
      </c>
      <c r="C171" s="41"/>
      <c r="D171" s="41"/>
      <c r="E171" s="41"/>
      <c r="F171" s="7">
        <f ca="1">IF(ISERROR(F161),"",VLOOKUP(E161,INDIRECT($F$8),6+(O171-1)*3,0))</f>
        <v>1</v>
      </c>
      <c r="G171" s="42" t="str">
        <f ca="1">IF(ISERROR(F161),"",_xlfn.TEXTJOIN("/",FALSE,P171,S171))</f>
        <v>0/30</v>
      </c>
      <c r="H171" s="42"/>
      <c r="I171" s="42" t="str">
        <f ca="1">IF(ISERROR(F161),"",_xlfn.TEXTJOIN("/",FALSE,Q171,T171))</f>
        <v>0/20</v>
      </c>
      <c r="J171" s="42"/>
      <c r="K171" s="42" t="str">
        <f ca="1">IF(ISERROR(F161),"",_xlfn.TEXTJOIN("/",FALSE,R171,U171))</f>
        <v>0/50</v>
      </c>
      <c r="L171" s="42"/>
      <c r="M171" s="7" t="str">
        <f ca="1">IF(ISERROR(F161),"",IF(ISTEXT(P171),IF(P171="A","Ab",IF(P171="D","Dt",IF(P171="UFM","UFM",IF(P171="NA","")))),IF(AND(ISBLANK(P171),ISBLANK(R171)),"",IF(P171&lt;0.3*S171,"F",IF(ISBLANK(R171),"",IF(ISTEXT(R171),R171,IF(R171&gt;=0.9*U171,"O",IF(R171&gt;=0.85*U171,"A+",IF(R171&gt;=0.8*U171,"A",IF(R171&gt;=0.7*U171,"B+",IF(R171&gt;=0.6*U171,"B",IF(R171&gt;=0.5*U171,"C",IF(R171&gt;=0.4*U171,"P",IF(R171&lt;0.4*U171,"F",R171))))))))))))))</f>
        <v>F</v>
      </c>
      <c r="N171" s="8">
        <f t="shared" ca="1" si="18"/>
        <v>0</v>
      </c>
      <c r="O171">
        <f t="shared" ref="O171:O173" ca="1" si="19">O170+1</f>
        <v>8</v>
      </c>
      <c r="P171" s="1">
        <f ca="1">IF(ISERROR(F161),"",IF(ISTEXT(VLOOKUP(B161,INDIRECT($F$8),6+(O171-1)*3)),(VLOOKUP(B161,INDIRECT($F$8),6+(O171-1)*3)),SUM(VLOOKUP(B161,INDIRECT($F$8),6+(O171-1)*3),IF(W174,W171,0))))</f>
        <v>0</v>
      </c>
      <c r="Q171" s="1">
        <f ca="1">IF(ISERROR(F161),"",VLOOKUP(B161,INDIRECT($F$8),7+(O171-1)*3))</f>
        <v>0</v>
      </c>
      <c r="R171" s="1">
        <f ca="1">IF(ISERROR(F161),"",SUM(P171:Q171))</f>
        <v>0</v>
      </c>
      <c r="S171" s="1">
        <f ca="1">IF(ISERROR(F161),"",VLOOKUP(A161,INDIRECT($F$8),6+(O171-1)*3))</f>
        <v>30</v>
      </c>
      <c r="T171" s="1">
        <f ca="1">IF(ISERROR(F161),"",VLOOKUP(A161,INDIRECT($F$8),7+(O171-1)*3))</f>
        <v>20</v>
      </c>
      <c r="U171" s="1">
        <f ca="1">IF(ISERROR(F161),"",VLOOKUP(A161,INDIRECT($F$8),8+(O171-1)*3))</f>
        <v>50</v>
      </c>
      <c r="V171" s="1" t="str">
        <f ca="1">IF(ISERROR(F161),"",IF(N171=0,A171,""))</f>
        <v>CAP 008</v>
      </c>
      <c r="W171" s="1">
        <f ca="1">IF(ISERROR(F161),"",IF(ISTEXT(VLOOKUP(B161,INDIRECT($F$8),6+(O171-1)*3)),11,IF(VLOOKUP(B161,INDIRECT($F$8),6+(O171-1)*3)&lt;S171*0.3,IF(VLOOKUP(B161,INDIRECT($F$8),8+(O171-1)*3)&lt;U171*0.4,IF(AND(0.4*U171-VLOOKUP(B161,INDIRECT($F$8),8+(O171-1)*3)&lt;=5,0.3*S171-VLOOKUP(B161,INDIRECT($F$8),6+(O171-1)*3)&lt;=5),MAX(0.4*U171-VLOOKUP(B161,INDIRECT($F$8),8+(O171-1)*3),0.3*S171-VLOOKUP(B161,INDIRECT($F$8),6+(O171-1)*3)),11),IF(0.3*S171-VLOOKUP(B161,INDIRECT($F$8),6+(O171-1)*3)&lt;=5,0.3*S171-VLOOKUP(B161,INDIRECT($F$8),6+(O171-1)*3),11)),IF(VLOOKUP(B161,INDIRECT($F$8),8+(O171-1)*3)&lt;U171*0.4,IF(U171*0.4-VLOOKUP(B161,INDIRECT($F$8),8+(O171-1)*3)&lt;=5,U171*0.4-VLOOKUP(B161,INDIRECT($F$8),8+(O171-1)*3),11),0))))</f>
        <v>11</v>
      </c>
      <c r="X171" s="1" t="str">
        <f ca="1">IF(ISERROR(F161),"",IF(W171=0,"",_xlfn.TEXTJOIN("",FALSE," G+",W171," in ",A171)))</f>
        <v xml:space="preserve"> G+11 in CAP 008</v>
      </c>
    </row>
    <row r="172" spans="1:24" ht="14.25" customHeight="1" x14ac:dyDescent="0.2">
      <c r="A172" s="7" t="str">
        <f ca="1">IF(ISERROR(F161),"",VLOOKUP(C161,INDIRECT($F$8),6+(O172-1)*3,0))</f>
        <v>CAP 009</v>
      </c>
      <c r="B172" s="41" t="str">
        <f ca="1">IF(ISERROR(F161),"",VLOOKUP(D161,INDIRECT($F$8),6+(O172-1)*3,0))</f>
        <v>Seminar</v>
      </c>
      <c r="C172" s="41"/>
      <c r="D172" s="41"/>
      <c r="E172" s="41"/>
      <c r="F172" s="7">
        <f ca="1">IF(ISERROR(F161),"",VLOOKUP(E161,INDIRECT($F$8),6+(O172-1)*3,0))</f>
        <v>2</v>
      </c>
      <c r="G172" s="42" t="str">
        <f ca="1">IF(ISERROR(F161),"",_xlfn.TEXTJOIN("/",FALSE,P172,S172))</f>
        <v>0/0</v>
      </c>
      <c r="H172" s="42"/>
      <c r="I172" s="42" t="str">
        <f ca="1">IF(ISERROR(F161),"",_xlfn.TEXTJOIN("/",FALSE,Q172,T172))</f>
        <v>0/100</v>
      </c>
      <c r="J172" s="42"/>
      <c r="K172" s="42" t="str">
        <f ca="1">IF(ISERROR(F161),"",_xlfn.TEXTJOIN("/",FALSE,R172,U172))</f>
        <v>0/100</v>
      </c>
      <c r="L172" s="42"/>
      <c r="M172" s="7" t="str">
        <f ca="1">IF(ISERROR(F161),"",IF(ISTEXT(P172),IF(P172="A","Ab",IF(P172="D","Dt",IF(P172="UFM","UFM",IF(P172="NA","")))),IF(AND(ISBLANK(P172),ISBLANK(R172)),"",IF(P172&lt;0.3*S172,"F",IF(ISBLANK(R172),"",IF(ISTEXT(R172),R172,IF(R172&gt;=0.9*U172,"O",IF(R172&gt;=0.85*U172,"A+",IF(R172&gt;=0.8*U172,"A",IF(R172&gt;=0.7*U172,"B+",IF(R172&gt;=0.6*U172,"B",IF(R172&gt;=0.5*U172,"C",IF(R172&gt;=0.4*U172,"P",IF(R172&lt;0.4*U172,"F",R172))))))))))))))</f>
        <v>F</v>
      </c>
      <c r="N172" s="8">
        <f t="shared" ca="1" si="18"/>
        <v>0</v>
      </c>
      <c r="O172">
        <f t="shared" ca="1" si="19"/>
        <v>9</v>
      </c>
      <c r="P172" s="1">
        <f ca="1">IF(ISERROR(F161),"",IF(ISTEXT(VLOOKUP(B161,INDIRECT($F$8),6+(O172-1)*3)),(VLOOKUP(B161,INDIRECT($F$8),6+(O172-1)*3)),SUM(VLOOKUP(B161,INDIRECT($F$8),6+(O172-1)*3),IF(W174,W172,0))))</f>
        <v>0</v>
      </c>
      <c r="Q172" s="1">
        <f ca="1">IF(ISERROR(F161),"",VLOOKUP(B161,INDIRECT($F$8),7+(O172-1)*3))</f>
        <v>0</v>
      </c>
      <c r="R172" s="1">
        <f ca="1">IF(ISERROR(F161),"",SUM(P172:Q172))</f>
        <v>0</v>
      </c>
      <c r="S172" s="1">
        <f ca="1">IF(ISERROR(F161),"",VLOOKUP(A161,INDIRECT($F$8),6+(O172-1)*3))</f>
        <v>0</v>
      </c>
      <c r="T172" s="1">
        <f ca="1">IF(ISERROR(F161),"",VLOOKUP(A161,INDIRECT($F$8),7+(O172-1)*3))</f>
        <v>100</v>
      </c>
      <c r="U172" s="1">
        <f ca="1">IF(ISERROR(F161),"",VLOOKUP(A161,INDIRECT($F$8),8+(O172-1)*3))</f>
        <v>100</v>
      </c>
      <c r="V172" s="1" t="str">
        <f ca="1">IF(ISERROR(F161),"",IF(N172=0,A172,""))</f>
        <v>CAP 009</v>
      </c>
      <c r="W172" s="1">
        <f ca="1">IF(ISERROR(F161),"",IF(ISTEXT(VLOOKUP(B161,INDIRECT($F$8),6+(O172-1)*3)),11,IF(VLOOKUP(B161,INDIRECT($F$8),6+(O172-1)*3)&lt;S172*0.3,IF(VLOOKUP(B161,INDIRECT($F$8),8+(O172-1)*3)&lt;U172*0.4,IF(AND(0.4*U172-VLOOKUP(B161,INDIRECT($F$8),8+(O172-1)*3)&lt;=5,0.3*S172-VLOOKUP(B161,INDIRECT($F$8),6+(O172-1)*3)&lt;=5),MAX(0.4*U172-VLOOKUP(B161,INDIRECT($F$8),8+(O172-1)*3),0.3*S172-VLOOKUP(B161,INDIRECT($F$8),6+(O172-1)*3)),11),IF(0.3*S172-VLOOKUP(B161,INDIRECT($F$8),6+(O172-1)*3)&lt;=5,0.3*S172-VLOOKUP(B161,INDIRECT($F$8),6+(O172-1)*3),11)),IF(VLOOKUP(B161,INDIRECT($F$8),8+(O172-1)*3)&lt;U172*0.4,IF(U172*0.4-VLOOKUP(B161,INDIRECT($F$8),8+(O172-1)*3)&lt;=5,U172*0.4-VLOOKUP(B161,INDIRECT($F$8),8+(O172-1)*3),11),0))))</f>
        <v>11</v>
      </c>
      <c r="X172" s="1" t="str">
        <f ca="1">IF(ISERROR(F161),"",IF(W172=0,"",_xlfn.TEXTJOIN("",FALSE," G+",W172," in ",A172)))</f>
        <v xml:space="preserve"> G+11 in CAP 009</v>
      </c>
    </row>
    <row r="173" spans="1:24" ht="14.25" customHeight="1" x14ac:dyDescent="0.2">
      <c r="A173" s="7" t="str">
        <f ca="1">IF(ISERROR(F161),"",VLOOKUP(C161,INDIRECT($F$8),6+(O173-1)*3,0))</f>
        <v>CAP 010</v>
      </c>
      <c r="B173" s="41" t="str">
        <f ca="1">IF(ISERROR(F161),"",VLOOKUP(D161,INDIRECT($F$8),6+(O173-1)*3-Z173,0))</f>
        <v>Minor Project</v>
      </c>
      <c r="C173" s="41"/>
      <c r="D173" s="41"/>
      <c r="E173" s="41"/>
      <c r="F173" s="7">
        <f ca="1">IF(ISERROR(F161),"",VLOOKUP(E161,INDIRECT($F$8),6+(O173-1)*3,0))</f>
        <v>2</v>
      </c>
      <c r="G173" s="42" t="str">
        <f ca="1">IF(ISERROR(F161),"",_xlfn.TEXTJOIN("/",FALSE,P173,S173))</f>
        <v>0/50</v>
      </c>
      <c r="H173" s="42"/>
      <c r="I173" s="42" t="str">
        <f ca="1">IF(ISERROR(F161),"",_xlfn.TEXTJOIN("/",FALSE,Q173,T173))</f>
        <v>0/50</v>
      </c>
      <c r="J173" s="42"/>
      <c r="K173" s="42" t="str">
        <f ca="1">IF(ISERROR(F161),"",_xlfn.TEXTJOIN("/",FALSE,R173,U173))</f>
        <v>0/100</v>
      </c>
      <c r="L173" s="42"/>
      <c r="M173" s="7" t="str">
        <f ca="1">IF(ISERROR(F161),"",IF(ISTEXT(P173),IF(P173="A","Ab",IF(P173="D","Dt",IF(P173="UFM","UFM",IF(P173="NA","")))),IF(AND(ISBLANK(P173),ISBLANK(R173)),"",IF(P173&lt;0.3*S173,"F",IF(ISBLANK(R173),"",IF(ISTEXT(R173),R173,IF(R173&gt;=0.9*U173,"O",IF(R173&gt;=0.85*U173,"A+",IF(R173&gt;=0.8*U173,"A",IF(R173&gt;=0.7*U173,"B+",IF(R173&gt;=0.6*U173,"B",IF(R173&gt;=0.5*U173,"C",IF(R173&gt;=0.4*U173,"P",IF(R173&lt;0.4*U173,"F",R173))))))))))))))</f>
        <v>F</v>
      </c>
      <c r="N173" s="8">
        <f t="shared" ca="1" si="18"/>
        <v>0</v>
      </c>
      <c r="O173">
        <f t="shared" ca="1" si="19"/>
        <v>10</v>
      </c>
      <c r="P173" s="1">
        <f ca="1">IF(ISERROR(F161),"",IF(ISTEXT(VLOOKUP(B161,INDIRECT($F$8),6+(O173-1)*3)),(VLOOKUP(B161,INDIRECT($F$8),6+(O173-1)*3)),SUM(VLOOKUP(B161,INDIRECT($F$8),6+(O173-1)*3),IF(W174,W173,0))))</f>
        <v>0</v>
      </c>
      <c r="Q173" s="1">
        <f ca="1">IF(ISERROR(F161),"",VLOOKUP(B161,INDIRECT($F$8),7+(O173-1)*3))</f>
        <v>0</v>
      </c>
      <c r="R173" s="1">
        <f ca="1">IF(ISERROR(F161),"",SUM(P173:Q173))</f>
        <v>0</v>
      </c>
      <c r="S173" s="1">
        <f ca="1">IF(ISERROR(F161),"",VLOOKUP(A161,INDIRECT($F$8),6+(O173-1)*3))</f>
        <v>50</v>
      </c>
      <c r="T173" s="1">
        <f ca="1">IF(ISERROR(F161),"",VLOOKUP(A161,INDIRECT($F$8),7+(O173-1)*3))</f>
        <v>50</v>
      </c>
      <c r="U173" s="1">
        <f ca="1">IF(ISERROR(F161),"",VLOOKUP(A161,INDIRECT($F$8),8+(O173-1)*3))</f>
        <v>100</v>
      </c>
      <c r="V173" s="1" t="str">
        <f ca="1">IF(ISERROR(F161),"",IF(N173=0,A173,""))</f>
        <v>CAP 010</v>
      </c>
      <c r="W173" s="1">
        <f ca="1">IF(ISERROR(F161),"",IF(ISTEXT(VLOOKUP(B161,INDIRECT($F$8),6+(O173-1)*3)),11,IF(VLOOKUP(B161,INDIRECT($F$8),6+(O173-1)*3)&lt;S173*0.3,IF(VLOOKUP(B161,INDIRECT($F$8),8+(O173-1)*3)&lt;U173*0.4,IF(AND(0.4*U173-VLOOKUP(B161,INDIRECT($F$8),8+(O173-1)*3)&lt;=5,0.3*S173-VLOOKUP(B161,INDIRECT($F$8),6+(O173-1)*3)&lt;=5),MAX(0.4*U173-VLOOKUP(B161,INDIRECT($F$8),8+(O173-1)*3),0.3*S173-VLOOKUP(B161,INDIRECT($F$8),6+(O173-1)*3)),11),IF(0.3*S173-VLOOKUP(B161,INDIRECT($F$8),6+(O173-1)*3)&lt;=5,0.3*S173-VLOOKUP(B161,INDIRECT($F$8),6+(O173-1)*3),11)),IF(VLOOKUP(B161,INDIRECT($F$8),8+(O173-1)*3)&lt;U173*0.4,IF(U173*0.4-VLOOKUP(B161,INDIRECT($F$8),8+(O173-1)*3)&lt;=5,U173*0.4-VLOOKUP(B161,INDIRECT($F$8),8+(O173-1)*3),11),0))))</f>
        <v>11</v>
      </c>
      <c r="X173" s="1" t="str">
        <f ca="1">IF(ISERROR(F161),"",IF(W173=0,"",_xlfn.TEXTJOIN("",FALSE," G+",W173," in ",A173)))</f>
        <v xml:space="preserve"> G+11 in CAP 010</v>
      </c>
    </row>
    <row r="174" spans="1:24" ht="14.25" customHeight="1" x14ac:dyDescent="0.2">
      <c r="A174" s="43" t="str">
        <f ca="1">IF(ISERROR(F161),"",A157)</f>
        <v>Total Credits/ Marks/ Total Grade Points</v>
      </c>
      <c r="B174" s="43"/>
      <c r="C174" s="43"/>
      <c r="D174" s="43"/>
      <c r="E174" s="43"/>
      <c r="F174" s="10">
        <f ca="1">IF(ISERROR(F161),"",SUM(F166:F173))</f>
        <v>16</v>
      </c>
      <c r="G174" s="44" t="str">
        <f ca="1">IF(ISERROR(F161),"",_xlfn.TEXTJOIN("/",TRUE,SUMIF(F166:F173,"&gt;0",P166:P173),SUMIF(F166:F173,"&gt;0",S166:S173)))</f>
        <v>0/380</v>
      </c>
      <c r="H174" s="44"/>
      <c r="I174" s="44" t="str">
        <f ca="1">IF(ISERROR(F161),"",_xlfn.TEXTJOIN("/",TRUE,SUMIF(F166:F173,"&gt;0",Q166:Q173),SUMIF(F166:F173,"&gt;0",T166:T173)))</f>
        <v>0/320</v>
      </c>
      <c r="J174" s="44"/>
      <c r="K174" s="44" t="str">
        <f ca="1">IF(ISERROR(F161),"",_xlfn.TEXTJOIN("/",TRUE,SUMIF(F166:F173,"&gt;0",R166:R173),SUMIF(F166:F173,"&gt;0",U166:U173)))</f>
        <v>0/700</v>
      </c>
      <c r="L174" s="44"/>
      <c r="M174" s="43" t="e">
        <f ca="1">IF(ISERROR(F161),"",SUMPRODUCT(N166:N173,F166:F173))</f>
        <v>#N/A</v>
      </c>
      <c r="N174" s="43"/>
      <c r="V174" s="1" t="e">
        <f ca="1">IF(ISERROR(F161),"",_xlfn.TEXTJOIN(", ",TRUE,V166:V173))</f>
        <v>#N/A</v>
      </c>
      <c r="W174" t="b">
        <f ca="1">IF(ISERROR(F161),"",IF(SUM(W166:W173)&lt;=W165,TRUE,FALSE))</f>
        <v>0</v>
      </c>
      <c r="X174" s="1" t="str">
        <f ca="1">IF(ISERROR(F161),"",_xlfn.TEXTJOIN(",",TRUE,X166:X173))</f>
        <v xml:space="preserve"> G+11 in CAT  014, G+11 in CAT 015, G+11 in Enroll No., G+11 in Enroll No., G+11 in AHT 310, G+11 in CAP 008, G+11 in CAP 009, G+11 in CAP 010</v>
      </c>
    </row>
    <row r="175" spans="1:24" ht="14.25" customHeight="1" x14ac:dyDescent="0.2">
      <c r="A175" s="43" t="str">
        <f ca="1">IF(ISERROR(F161),"",A158)</f>
        <v>Result:</v>
      </c>
      <c r="B175" s="45" t="e">
        <f ca="1">IF(ISERROR(F161),"",IF(V174="","PASS","CARRY OVER"))</f>
        <v>#N/A</v>
      </c>
      <c r="C175" s="45"/>
      <c r="D175" s="43" t="str">
        <f ca="1">IF(ISERROR(F161),"",D158)</f>
        <v>Remark:</v>
      </c>
      <c r="E175" s="45" t="e">
        <f ca="1">IF(ISERROR(F161),"",IF(V174="",IF(X174="","",X174),_xlfn.TEXTJOIN(" ",TRUE,"BACK IN",V174)))</f>
        <v>#N/A</v>
      </c>
      <c r="F175" s="45"/>
      <c r="G175" s="43" t="str">
        <f ca="1">IF(ISERROR(F161),"",G158)</f>
        <v>SGPA:</v>
      </c>
      <c r="H175" s="46" t="e">
        <f ca="1">IF(ISERROR(F161),"",M174/F174)</f>
        <v>#N/A</v>
      </c>
      <c r="I175" s="43" t="str">
        <f ca="1">IF(ISERROR(F161),"",I158)</f>
        <v>CGPA:</v>
      </c>
      <c r="J175" s="46" t="e">
        <f ca="1">IF(ISERROR(F161),"",VLOOKUP(B161,INDIRECT($F$8),12+(O173-1)*3,0))</f>
        <v>#N/A</v>
      </c>
      <c r="K175" s="45" t="str">
        <f ca="1">IF(ISERROR(F161),"",K158)</f>
        <v>Earned Credits:</v>
      </c>
      <c r="L175" s="43">
        <f ca="1">IF(ISERROR(F161),"",SUMIF(N166:N173,"&gt;0",F166:F173))</f>
        <v>0</v>
      </c>
      <c r="M175" s="45" t="str">
        <f ca="1">IF(ISERROR(F161),"",M158)</f>
        <v>Cuml. Earned Credits:</v>
      </c>
      <c r="N175" s="43" t="e">
        <f ca="1">IF(ISERROR(F161),"",VLOOKUP(B161,INDIRECT($F$8),10+(O173-1)*3,0))</f>
        <v>#N/A</v>
      </c>
    </row>
    <row r="176" spans="1:24" ht="14.25" customHeight="1" x14ac:dyDescent="0.2">
      <c r="A176" s="43"/>
      <c r="B176" s="45"/>
      <c r="C176" s="45"/>
      <c r="D176" s="43"/>
      <c r="E176" s="45"/>
      <c r="F176" s="45"/>
      <c r="G176" s="43"/>
      <c r="H176" s="46"/>
      <c r="I176" s="43"/>
      <c r="J176" s="46"/>
      <c r="K176" s="45"/>
      <c r="L176" s="43"/>
      <c r="M176" s="45"/>
      <c r="N176" s="43"/>
    </row>
    <row r="177" spans="1:24" ht="14.25" customHeight="1" x14ac:dyDescent="0.2">
      <c r="A177" s="43"/>
      <c r="B177" s="45"/>
      <c r="C177" s="45"/>
      <c r="D177" s="43"/>
      <c r="E177" s="45"/>
      <c r="F177" s="45"/>
      <c r="G177" s="43"/>
      <c r="H177" s="46"/>
      <c r="I177" s="43"/>
      <c r="J177" s="46"/>
      <c r="K177" s="45"/>
      <c r="L177" s="43"/>
      <c r="M177" s="45"/>
      <c r="N177" s="43"/>
    </row>
    <row r="178" spans="1:24" ht="14.25" customHeight="1" x14ac:dyDescent="0.2">
      <c r="A178" s="11" t="str">
        <f>A161</f>
        <v>MM</v>
      </c>
      <c r="B178" s="11">
        <f>B161+1</f>
        <v>11</v>
      </c>
      <c r="C178" s="11" t="str">
        <f>C161</f>
        <v>SC</v>
      </c>
      <c r="D178" s="11" t="str">
        <f>D161</f>
        <v>SN</v>
      </c>
      <c r="E178" s="11" t="str">
        <f>E161</f>
        <v>C</v>
      </c>
      <c r="F178" s="11" t="str">
        <f ca="1">VLOOKUP(B178,INDIRECT($F$8),4,0)</f>
        <v>DIKSHA PHARTYAL</v>
      </c>
    </row>
    <row r="179" spans="1:24" ht="14.25" customHeight="1" x14ac:dyDescent="0.2">
      <c r="A179" s="47" t="str">
        <f ca="1">IF(ISERROR(F178),"",A162)</f>
        <v>Name:</v>
      </c>
      <c r="B179" s="47" t="str">
        <f ca="1">IFERROR(VLOOKUP(B178,INDIRECT($F$8),4,0),"")</f>
        <v>DIKSHA PHARTYAL</v>
      </c>
      <c r="C179" s="47"/>
      <c r="D179" s="47" t="str">
        <f ca="1">IF(ISERROR(F178),"",D162)</f>
        <v>Father's Name:</v>
      </c>
      <c r="E179" s="47" t="str">
        <f ca="1">IFERROR(VLOOKUP(B178,INDIRECT($F$8),5,0),"")</f>
        <v>UPENDRA SINGH PHARTYAL</v>
      </c>
      <c r="F179" s="47"/>
      <c r="G179" s="47" t="str">
        <f ca="1">IF(ISERROR(F178),"",G162)</f>
        <v>University Roll No:</v>
      </c>
      <c r="H179" s="47"/>
      <c r="I179" s="48">
        <f ca="1">IFERROR(VLOOKUP(B178,INDIRECT($F$8),2,0),"")</f>
        <v>240090600011</v>
      </c>
      <c r="J179" s="48"/>
      <c r="K179" s="47" t="str">
        <f ca="1">IF(ISERROR(F178),"",K162)</f>
        <v>University Enrol. No:</v>
      </c>
      <c r="L179" s="47"/>
      <c r="M179" s="48" t="str">
        <f ca="1">IFERROR(VLOOKUP(B178,INDIRECT($F$8),3,0),"")</f>
        <v>UTU/2406100185</v>
      </c>
      <c r="N179" s="48"/>
    </row>
    <row r="180" spans="1:24" ht="14.25" customHeight="1" x14ac:dyDescent="0.2">
      <c r="A180" s="47"/>
      <c r="B180" s="47"/>
      <c r="C180" s="47"/>
      <c r="D180" s="47"/>
      <c r="E180" s="47"/>
      <c r="F180" s="47"/>
      <c r="G180" s="47"/>
      <c r="H180" s="47"/>
      <c r="I180" s="48"/>
      <c r="J180" s="48"/>
      <c r="K180" s="47"/>
      <c r="L180" s="47"/>
      <c r="M180" s="48"/>
      <c r="N180" s="48"/>
    </row>
    <row r="181" spans="1:24" ht="14.25" customHeight="1" x14ac:dyDescent="0.2">
      <c r="A181" s="45" t="str">
        <f ca="1">IF(ISERROR(F178),"",A164)</f>
        <v>Subject Code</v>
      </c>
      <c r="B181" s="45" t="str">
        <f ca="1">IF(ISERROR(F178),"",B164)</f>
        <v>Subject Name</v>
      </c>
      <c r="C181" s="45"/>
      <c r="D181" s="45"/>
      <c r="E181" s="45"/>
      <c r="F181" s="45" t="str">
        <f ca="1">IF(ISERROR(F178),"",F164)</f>
        <v>Credits</v>
      </c>
      <c r="G181" s="45" t="str">
        <f ca="1">IF(ISERROR(F178),"",G164)</f>
        <v>External Marks</v>
      </c>
      <c r="H181" s="45"/>
      <c r="I181" s="45" t="str">
        <f ca="1">IF(ISERROR(F178),"",I164)</f>
        <v>Sessional Marks</v>
      </c>
      <c r="J181" s="45"/>
      <c r="K181" s="45" t="str">
        <f ca="1">IF(ISERROR(F178),"",K164)</f>
        <v>Total Marks</v>
      </c>
      <c r="L181" s="45"/>
      <c r="M181" s="45" t="str">
        <f ca="1">IF(ISERROR(F178),"",M164)</f>
        <v>Grade</v>
      </c>
      <c r="N181" s="45" t="str">
        <f ca="1">IF(ISERROR(F178),"",N164)</f>
        <v>Grade Points</v>
      </c>
    </row>
    <row r="182" spans="1:24" ht="14.25" customHeight="1" x14ac:dyDescent="0.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W182">
        <f ca="1">IF(ISNUMBER(MATCH($F$8,{"I","III","V","VII"},0)),10,10-INDEX(INDIRECT(_xlfn.TEXTJOIN("",TRUE,"SEM_",$G$8,"!",ADDRESS(6,4+$I$8*3+4),":",ADDRESS(5+$H$8,4+$I$8*3+4))),MATCH(INDIRECT(_xlfn.TEXTJOIN("",TRUE,"TC_",$F$8,"!",ADDRESS(ROW(I179),COLUMN(I179)))),INDIRECT(_xlfn.TEXTJOIN("",TRUE,"SEM_",$G$8,"!",ADDRESS(6,2),":",ADDRESS(5+$H$8,2))))))</f>
        <v>10</v>
      </c>
    </row>
    <row r="183" spans="1:24" ht="14.25" customHeight="1" x14ac:dyDescent="0.2">
      <c r="A183" s="7" t="str">
        <f ca="1">IF(ISERROR(F178),"",VLOOKUP(C178,INDIRECT($F$8),6+(O183-1)*3,0))</f>
        <v>CAT  014</v>
      </c>
      <c r="B183" s="41" t="str">
        <f ca="1">IF(ISERROR(F178),"",VLOOKUP(D178,INDIRECT($F$8),6+(O183-1)*3,0))</f>
        <v>Graph Theory</v>
      </c>
      <c r="C183" s="41"/>
      <c r="D183" s="41"/>
      <c r="E183" s="41"/>
      <c r="F183" s="7">
        <f ca="1">IF(ISERROR(F178),"",VLOOKUP(E178,INDIRECT($F$8),6+(O183-1)*3,0))</f>
        <v>4</v>
      </c>
      <c r="G183" s="42" t="str">
        <f ca="1">IF(ISERROR(F178),"",_xlfn.TEXTJOIN("/",FALSE,P183,S183))</f>
        <v>0/100</v>
      </c>
      <c r="H183" s="42"/>
      <c r="I183" s="42" t="str">
        <f ca="1">IF(ISERROR(F178),"",_xlfn.TEXTJOIN("/",FALSE,Q183,T183))</f>
        <v>0/50</v>
      </c>
      <c r="J183" s="42"/>
      <c r="K183" s="42" t="str">
        <f ca="1">IF(ISERROR(F178),"",_xlfn.TEXTJOIN("/",FALSE,R183,U183))</f>
        <v>0/150</v>
      </c>
      <c r="L183" s="42"/>
      <c r="M183" s="7" t="str">
        <f ca="1">IF(ISERROR(F178),"",IF(ISTEXT(P183),IF(P183="A","Ab",IF(P183="D","Dt",IF(P183="UFM","UFM",IF(P183="NA","")))),IF(AND(ISBLANK(P183),ISBLANK(R183)),"",IF(P183&lt;0.3*S183,"F",IF(ISBLANK(R183),"",IF(ISTEXT(R183),R183,IF(R183&gt;=0.9*U183,"O",IF(R183&gt;=0.85*U183,"A+",IF(R183&gt;=0.8*U183,"A",IF(R183&gt;=0.7*U183,"B+",IF(R183&gt;=0.6*U183,"B",IF(R183&gt;=0.5*U183,"C",IF(R183&gt;=0.4*U183,"P",IF(R183&lt;0.4*U183,"F",R183))))))))))))))</f>
        <v>F</v>
      </c>
      <c r="N183" s="8">
        <f t="shared" ref="N183:N190" ca="1" si="20">INDEX($Z$2:$Z$13,MATCH(M183,$Y$2:$Y$13,0))</f>
        <v>0</v>
      </c>
      <c r="O183">
        <v>1</v>
      </c>
      <c r="P183" s="1">
        <f ca="1">IF(ISERROR(F178),"",IF(ISTEXT(VLOOKUP(B178,INDIRECT($F$8),6+(O183-1)*3)),(VLOOKUP(B178,INDIRECT($F$8),6+(O183-1)*3)),SUM(VLOOKUP(B178,INDIRECT($F$8),6+(O183-1)*3),IF(W191,W183,0))))</f>
        <v>0</v>
      </c>
      <c r="Q183" s="1">
        <f ca="1">IF(ISERROR(F178),"",VLOOKUP(B178,INDIRECT($F$8),7+(O183-1)*3))</f>
        <v>0</v>
      </c>
      <c r="R183" s="1">
        <f ca="1">IF(ISERROR(F178),"",SUM(P183:Q183))</f>
        <v>0</v>
      </c>
      <c r="S183" s="1">
        <f ca="1">IF(ISERROR(F178),"",VLOOKUP(A178,INDIRECT($F$8),6+(O183-1)*3))</f>
        <v>100</v>
      </c>
      <c r="T183" s="1">
        <f ca="1">IF(ISERROR(F178),"",VLOOKUP(A178,INDIRECT($F$8),7+(O183-1)*3))</f>
        <v>50</v>
      </c>
      <c r="U183" s="1">
        <f ca="1">IF(ISERROR(F178),"",VLOOKUP(A178,INDIRECT($F$8),8+(O183-1)*3))</f>
        <v>150</v>
      </c>
      <c r="V183" s="1" t="str">
        <f ca="1">IF(ISERROR(F178),"",IF(N183=0,A183,""))</f>
        <v>CAT  014</v>
      </c>
      <c r="W183" s="1">
        <f ca="1">IF(ISERROR(F178),"",IF(ISTEXT(VLOOKUP(B178,INDIRECT($F$8),6+(O183-1)*3)),11,IF(VLOOKUP(B178,INDIRECT($F$8),6+(O183-1)*3)&lt;S183*0.3,IF(VLOOKUP(B178,INDIRECT($F$8),8+(O183-1)*3)&lt;U183*0.4,IF(AND(0.4*U183-VLOOKUP(B178,INDIRECT($F$8),8+(O183-1)*3)&lt;=5,0.3*S183-VLOOKUP(B178,INDIRECT($F$8),6+(O183-1)*3)&lt;=5),MAX(0.4*U183-VLOOKUP(B178,INDIRECT($F$8),8+(O183-1)*3),0.3*S183-VLOOKUP(B178,INDIRECT($F$8),6+(O183-1)*3)),11),IF(0.3*S183-VLOOKUP(B178,INDIRECT($F$8),6+(O183-1)*3)&lt;=5,0.3*S183-VLOOKUP(B178,INDIRECT($F$8),6+(O183-1)*3),11)),IF(VLOOKUP(B178,INDIRECT($F$8),8+(O183-1)*3)&lt;U183*0.4,IF(U183*0.4-VLOOKUP(B178,INDIRECT($F$8),8+(O183-1)*3)&lt;=5,U183*0.4-VLOOKUP(B178,INDIRECT($F$8),8+(O183-1)*3),11),0))))</f>
        <v>11</v>
      </c>
      <c r="X183" s="1" t="str">
        <f ca="1">IF(ISERROR(F178),"",IF(W183=0,"",_xlfn.TEXTJOIN("",FALSE," G+",W183," in ",A183)))</f>
        <v xml:space="preserve"> G+11 in CAT  014</v>
      </c>
    </row>
    <row r="184" spans="1:24" ht="14.25" customHeight="1" x14ac:dyDescent="0.2">
      <c r="A184" s="7" t="str">
        <f ca="1">IF(ISERROR(F178),"",VLOOKUP(C178,INDIRECT($F$8),6+(O184-1)*3,0))</f>
        <v>CAT 015</v>
      </c>
      <c r="B184" s="41" t="str">
        <f ca="1">IF(ISERROR(F178),"",VLOOKUP(D178,INDIRECT($F$8),6+(O184-1)*3,0))</f>
        <v>Software Engineering</v>
      </c>
      <c r="C184" s="41"/>
      <c r="D184" s="41"/>
      <c r="E184" s="41"/>
      <c r="F184" s="7">
        <f ca="1">IF(ISERROR(F178),"",VLOOKUP(E178,INDIRECT($F$8),6+(O184-1)*3,0))</f>
        <v>4</v>
      </c>
      <c r="G184" s="42" t="str">
        <f ca="1">IF(ISERROR(F178),"",_xlfn.TEXTJOIN("/",FALSE,P184,S184))</f>
        <v>0/100</v>
      </c>
      <c r="H184" s="42"/>
      <c r="I184" s="42" t="str">
        <f ca="1">IF(ISERROR(F178),"",_xlfn.TEXTJOIN("/",FALSE,Q184,T184))</f>
        <v>0/50</v>
      </c>
      <c r="J184" s="42"/>
      <c r="K184" s="42" t="str">
        <f ca="1">IF(ISERROR(F178),"",_xlfn.TEXTJOIN("/",FALSE,R184,U184))</f>
        <v>0/150</v>
      </c>
      <c r="L184" s="42"/>
      <c r="M184" s="7" t="str">
        <f ca="1">IF(ISERROR(F178),"",IF(ISTEXT(P184),IF(P184="A","Ab",IF(P184="D","Dt",IF(P184="UFM","UFM",IF(P184="NA","")))),IF(AND(ISBLANK(P184),ISBLANK(R184)),"",IF(P184&lt;0.3*S184,"F",IF(ISBLANK(R184),"",IF(ISTEXT(R184),R184,IF(R184&gt;=0.9*U184,"O",IF(R184&gt;=0.85*U184,"A+",IF(R184&gt;=0.8*U184,"A",IF(R184&gt;=0.7*U184,"B+",IF(R184&gt;=0.6*U184,"B",IF(R184&gt;=0.5*U184,"C",IF(R184&gt;=0.4*U184,"P",IF(R184&lt;0.4*U184,"F",R184))))))))))))))</f>
        <v>F</v>
      </c>
      <c r="N184" s="8">
        <f t="shared" ca="1" si="20"/>
        <v>0</v>
      </c>
      <c r="O184">
        <f>O183+1</f>
        <v>2</v>
      </c>
      <c r="P184" s="1">
        <f ca="1">IF(ISERROR(F178),"",IF(ISTEXT(VLOOKUP(B178,INDIRECT($F$8),6+(O184-1)*3)),(VLOOKUP(B178,INDIRECT($F$8),6+(O184-1)*3)),SUM(VLOOKUP(B178,INDIRECT($F$8),6+(O184-1)*3),IF(W191,W184,0))))</f>
        <v>0</v>
      </c>
      <c r="Q184" s="1">
        <f ca="1">IF(ISERROR(F178),"",VLOOKUP(B178,INDIRECT($F$8),7+(O184-1)*3))</f>
        <v>0</v>
      </c>
      <c r="R184" s="1">
        <f ca="1">IF(ISERROR(F178),"",SUM(P184:Q184))</f>
        <v>0</v>
      </c>
      <c r="S184" s="1">
        <f ca="1">IF(ISERROR(F178),"",VLOOKUP(A178,INDIRECT($F$8),6+(O184-1)*3))</f>
        <v>100</v>
      </c>
      <c r="T184" s="1">
        <f ca="1">IF(ISERROR(F178),"",VLOOKUP(A178,INDIRECT($F$8),7+(O184-1)*3))</f>
        <v>50</v>
      </c>
      <c r="U184" s="1">
        <f ca="1">IF(ISERROR(F178),"",VLOOKUP(A178,INDIRECT($F$8),8+(O184-1)*3))</f>
        <v>150</v>
      </c>
      <c r="V184" s="1" t="str">
        <f ca="1">IF(ISERROR(F178),"",IF(N184=0,A184,""))</f>
        <v>CAT 015</v>
      </c>
      <c r="W184" s="1">
        <f ca="1">IF(ISERROR(F178),"",IF(ISTEXT(VLOOKUP(B178,INDIRECT($F$8),6+(O184-1)*3)),11,IF(VLOOKUP(B178,INDIRECT($F$8),6+(O184-1)*3)&lt;S184*0.3,IF(VLOOKUP(B178,INDIRECT($F$8),8+(O184-1)*3)&lt;U184*0.4,IF(AND(0.4*U184-VLOOKUP(B178,INDIRECT($F$8),8+(O184-1)*3)&lt;=5,0.3*S184-VLOOKUP(B178,INDIRECT($F$8),6+(O184-1)*3)&lt;=5),MAX(0.4*U184-VLOOKUP(B178,INDIRECT($F$8),8+(O184-1)*3),0.3*S184-VLOOKUP(B178,INDIRECT($F$8),6+(O184-1)*3)),11),IF(0.3*S184-VLOOKUP(B178,INDIRECT($F$8),6+(O184-1)*3)&lt;=5,0.3*S184-VLOOKUP(B178,INDIRECT($F$8),6+(O184-1)*3),11)),IF(VLOOKUP(B178,INDIRECT($F$8),8+(O184-1)*3)&lt;U184*0.4,IF(U184*0.4-VLOOKUP(B178,INDIRECT($F$8),8+(O184-1)*3)&lt;=5,U184*0.4-VLOOKUP(B178,INDIRECT($F$8),8+(O184-1)*3),11),0))))</f>
        <v>11</v>
      </c>
      <c r="X184" s="1" t="str">
        <f ca="1">IF(ISERROR(F178),"",IF(W184=0,"",_xlfn.TEXTJOIN("",FALSE," G+",W184," in ",A184)))</f>
        <v xml:space="preserve"> G+11 in CAT 015</v>
      </c>
    </row>
    <row r="185" spans="1:24" ht="14.25" customHeight="1" x14ac:dyDescent="0.2">
      <c r="A185" s="7" t="str">
        <f ca="1">IF(ISERROR(F178),"",VLOOKUP(C178,INDIRECT($F$8),6+(O185-1)*3,0))</f>
        <v>Enroll No.</v>
      </c>
      <c r="B185" s="41">
        <f ca="1">IF(ISERROR(F178),"",VLOOKUP(D178,INDIRECT($F$8),6+(O185-1)*3,0))</f>
        <v>0</v>
      </c>
      <c r="C185" s="41"/>
      <c r="D185" s="41"/>
      <c r="E185" s="41"/>
      <c r="F185" s="7">
        <f ca="1">IF(ISERROR(F178),"",VLOOKUP(E178,INDIRECT($F$8),6+(O185-1)*3,0))</f>
        <v>0</v>
      </c>
      <c r="G185" s="42" t="str">
        <f ca="1">IF(ISERROR(F178),"",_xlfn.TEXTJOIN("/",FALSE,P185,S185))</f>
        <v>UTU/2406100185/0</v>
      </c>
      <c r="H185" s="42"/>
      <c r="I185" s="42" t="str">
        <f ca="1">IF(ISERROR(F178),"",_xlfn.TEXTJOIN("/",FALSE,Q185,T185))</f>
        <v>DIKSHA PHARTYAL/0</v>
      </c>
      <c r="J185" s="42"/>
      <c r="K185" s="42" t="str">
        <f ca="1">IF(ISERROR(F178),"",_xlfn.TEXTJOIN("/",FALSE,R185,U185))</f>
        <v>0/0</v>
      </c>
      <c r="L185" s="42"/>
      <c r="M185" s="7" t="b">
        <f ca="1">IF(ISERROR(F178),"",IF(ISTEXT(P185),IF(P185="A","Ab",IF(P185="D","Dt",IF(P185="UFM","UFM",IF(P185="NA","")))),IF(AND(ISBLANK(P185),ISBLANK(R185)),"",IF(P185&lt;0.3*S185,"F",IF(ISBLANK(R185),"",IF(ISTEXT(R185),R185,IF(R185&gt;=0.9*U185,"O",IF(R185&gt;=0.85*U185,"A+",IF(R185&gt;=0.8*U185,"A",IF(R185&gt;=0.7*U185,"B+",IF(R185&gt;=0.6*U185,"B",IF(R185&gt;=0.5*U185,"C",IF(R185&gt;=0.4*U185,"P",IF(R185&lt;0.4*U185,"F",R185))))))))))))))</f>
        <v>0</v>
      </c>
      <c r="N185" s="8" t="e">
        <f t="shared" ca="1" si="20"/>
        <v>#N/A</v>
      </c>
      <c r="O185" t="b" cm="1">
        <f t="array" aca="1" ref="O185" ca="1">IF(NOT(ISBLANK(INDIRECT("SEM_III!L"&amp;INT((ROW(O185)-15)/17)+6))),3,IF(NOT(ISBLANK(INDIRECT("SEM_III!O"&amp;INT((ROW(O185)-15)/17)+6))),4))</f>
        <v>0</v>
      </c>
      <c r="P185" s="1" t="str">
        <f ca="1">IF(ISERROR(F178),"",IF(ISTEXT(VLOOKUP(B178,INDIRECT($F$8),6+(O185-1)*3)),(VLOOKUP(B178,INDIRECT($F$8),6+(O185-1)*3)),SUM(VLOOKUP(B178,INDIRECT($F$8),6+(O185-1)*3),IF(W191,W185,0))))</f>
        <v>UTU/2406100185</v>
      </c>
      <c r="Q185" s="1" t="str">
        <f ca="1">IF(ISERROR(F178),"",VLOOKUP(B178,INDIRECT($F$8),7+(O185-1)*3))</f>
        <v>DIKSHA PHARTYAL</v>
      </c>
      <c r="R185" s="1">
        <f ca="1">IF(ISERROR(F178),"",SUM(P185:Q185))</f>
        <v>0</v>
      </c>
      <c r="S185" s="1">
        <f ca="1">IF(ISERROR(F178),"",VLOOKUP(A178,INDIRECT($F$8),6+(O185-1)*3))</f>
        <v>0</v>
      </c>
      <c r="T185" s="1">
        <f ca="1">IF(ISERROR(F178),"",VLOOKUP(A178,INDIRECT($F$8),7+(O185-1)*3))</f>
        <v>0</v>
      </c>
      <c r="U185" s="1">
        <f ca="1">IF(ISERROR(F178),"",VLOOKUP(A178,INDIRECT($F$8),8+(O185-1)*3))</f>
        <v>0</v>
      </c>
      <c r="V185" s="1" t="e">
        <f ca="1">IF(ISERROR(F178),"",IF(N185=0,A185,""))</f>
        <v>#N/A</v>
      </c>
      <c r="W185" s="1">
        <f ca="1">IF(ISERROR(F178),"",IF(ISTEXT(VLOOKUP(B178,INDIRECT($F$8),6+(O185-1)*3)),11,IF(VLOOKUP(B178,INDIRECT($F$8),6+(O185-1)*3)&lt;S185*0.3,IF(VLOOKUP(B178,INDIRECT($F$8),8+(O185-1)*3)&lt;U185*0.4,IF(AND(0.4*U185-VLOOKUP(B178,INDIRECT($F$8),8+(O185-1)*3)&lt;=5,0.3*S185-VLOOKUP(B178,INDIRECT($F$8),6+(O185-1)*3)&lt;=5),MAX(0.4*U185-VLOOKUP(B178,INDIRECT($F$8),8+(O185-1)*3),0.3*S185-VLOOKUP(B178,INDIRECT($F$8),6+(O185-1)*3)),11),IF(0.3*S185-VLOOKUP(B178,INDIRECT($F$8),6+(O185-1)*3)&lt;=5,0.3*S185-VLOOKUP(B178,INDIRECT($F$8),6+(O185-1)*3),11)),IF(VLOOKUP(B178,INDIRECT($F$8),8+(O185-1)*3)&lt;U185*0.4,IF(U185*0.4-VLOOKUP(B178,INDIRECT($F$8),8+(O185-1)*3)&lt;=5,U185*0.4-VLOOKUP(B178,INDIRECT($F$8),8+(O185-1)*3),11),0))))</f>
        <v>11</v>
      </c>
      <c r="X185" s="1" t="str">
        <f ca="1">IF(ISERROR(F178),"",IF(W185=0,"",_xlfn.TEXTJOIN("",FALSE," G+",W185," in ",A185)))</f>
        <v xml:space="preserve"> G+11 in Enroll No.</v>
      </c>
    </row>
    <row r="186" spans="1:24" ht="14.25" customHeight="1" x14ac:dyDescent="0.2">
      <c r="A186" s="7" t="str">
        <f ca="1">IF(ISERROR(F178),"",VLOOKUP(C178,INDIRECT($F$8),6+(O186-1)*3,0))</f>
        <v>Enroll No.</v>
      </c>
      <c r="B186" s="41">
        <f ca="1">IF(ISERROR(F178),"",VLOOKUP(D178,INDIRECT($F$8),6+(O186-1)*3,0))</f>
        <v>0</v>
      </c>
      <c r="C186" s="41"/>
      <c r="D186" s="41"/>
      <c r="E186" s="41"/>
      <c r="F186" s="7">
        <f ca="1">IF(ISERROR(F178),"",VLOOKUP(E178,INDIRECT($F$8),6+(O186-1)*3,0))</f>
        <v>0</v>
      </c>
      <c r="G186" s="42" t="str">
        <f ca="1">IF(ISERROR(F178),"",_xlfn.TEXTJOIN("/",FALSE,P186,S186))</f>
        <v>UTU/2406100185/0</v>
      </c>
      <c r="H186" s="42"/>
      <c r="I186" s="42" t="str">
        <f ca="1">IF(ISERROR(F178),"",_xlfn.TEXTJOIN("/",FALSE,Q186,T186))</f>
        <v>DIKSHA PHARTYAL/0</v>
      </c>
      <c r="J186" s="42"/>
      <c r="K186" s="42" t="str">
        <f ca="1">IF(ISERROR(F178),"",_xlfn.TEXTJOIN("/",FALSE,R186,U186))</f>
        <v>0/0</v>
      </c>
      <c r="L186" s="42"/>
      <c r="M186" s="7" t="b">
        <f ca="1">IF(ISERROR(F178),"",IF(ISTEXT(P186),IF(P186="A","Ab",IF(P186="D","Dt",IF(P186="UFM","UFM",IF(P186="NA","")))),IF(AND(ISBLANK(P186),ISBLANK(R186)),"",IF(P186&lt;0.3*S186,"F",IF(ISBLANK(R186),"",IF(ISTEXT(R186),R186,IF(R186&gt;=0.9*U186,"O",IF(R186&gt;=0.85*U186,"A+",IF(R186&gt;=0.8*U186,"A",IF(R186&gt;=0.7*U186,"B+",IF(R186&gt;=0.6*U186,"B",IF(R186&gt;=0.5*U186,"C",IF(R186&gt;=0.4*U186,"P",IF(R186&lt;0.4*U186,"F",R186))))))))))))))</f>
        <v>0</v>
      </c>
      <c r="N186" s="8" t="e">
        <f t="shared" ca="1" si="20"/>
        <v>#N/A</v>
      </c>
      <c r="O186" t="b" cm="1">
        <f t="array" aca="1" ref="O186" ca="1">IF(NOT(ISBLANK(INDIRECT("SEM_III!R"&amp;INT((ROW(O186)-16)/17)+6))),5,IF(NOT(ISBLANK(INDIRECT("SEM_III!U"&amp;INT((ROW(O186)-16)/17)+6))),6))</f>
        <v>0</v>
      </c>
      <c r="P186" s="1" t="str">
        <f ca="1">IF(ISERROR(F178),"",IF(ISTEXT(VLOOKUP(B178,INDIRECT($F$8),6+(O186-1)*3)),(VLOOKUP(B178,INDIRECT($F$8),6+(O186-1)*3)),SUM(VLOOKUP(B178,INDIRECT($F$8),6+(O186-1)*3),IF(W191,W186,0))))</f>
        <v>UTU/2406100185</v>
      </c>
      <c r="Q186" s="1" t="str">
        <f ca="1">IF(ISERROR(F178),"",VLOOKUP(B178,INDIRECT($F$8),7+(O186-1)*3))</f>
        <v>DIKSHA PHARTYAL</v>
      </c>
      <c r="R186" s="1">
        <f ca="1">IF(ISERROR(F178),"",SUM(P186:Q186))</f>
        <v>0</v>
      </c>
      <c r="S186" s="1">
        <f ca="1">IF(ISERROR(F178),"",VLOOKUP(A178,INDIRECT($F$8),6+(O186-1)*3))</f>
        <v>0</v>
      </c>
      <c r="T186" s="1">
        <f ca="1">IF(ISERROR(F178),"",VLOOKUP(A178,INDIRECT($F$8),7+(O186-1)*3))</f>
        <v>0</v>
      </c>
      <c r="U186" s="1">
        <f ca="1">IF(ISERROR(F178),"",VLOOKUP(A178,INDIRECT($F$8),8+(O186-1)*3))</f>
        <v>0</v>
      </c>
      <c r="V186" s="1" t="e">
        <f ca="1">IF(ISERROR(F178),"",IF(N186=0,A186,""))</f>
        <v>#N/A</v>
      </c>
      <c r="W186" s="1">
        <f ca="1">IF(ISERROR(F178),"",IF(ISTEXT(VLOOKUP(B178,INDIRECT($F$8),6+(O186-1)*3)),11,IF(VLOOKUP(B178,INDIRECT($F$8),6+(O186-1)*3)&lt;S186*0.3,IF(VLOOKUP(B178,INDIRECT($F$8),8+(O186-1)*3)&lt;U186*0.4,IF(AND(0.4*U186-VLOOKUP(B178,INDIRECT($F$8),8+(O186-1)*3)&lt;=5,0.3*S186-VLOOKUP(B178,INDIRECT($F$8),6+(O186-1)*3)&lt;=5),MAX(0.4*U186-VLOOKUP(B178,INDIRECT($F$8),8+(O186-1)*3),0.3*S186-VLOOKUP(B178,INDIRECT($F$8),6+(O186-1)*3)),11),IF(0.3*S186-VLOOKUP(B178,INDIRECT($F$8),6+(O186-1)*3)&lt;=5,0.3*S186-VLOOKUP(B178,INDIRECT($F$8),6+(O186-1)*3),11)),IF(VLOOKUP(B178,INDIRECT($F$8),8+(O186-1)*3)&lt;U186*0.4,IF(U186*0.4-VLOOKUP(B178,INDIRECT($F$8),8+(O186-1)*3)&lt;=5,U186*0.4-VLOOKUP(B178,INDIRECT($F$8),8+(O186-1)*3),11),0))))</f>
        <v>11</v>
      </c>
      <c r="X186" s="1" t="str">
        <f ca="1">IF(ISERROR(F178),"",IF(W186=0,"",_xlfn.TEXTJOIN("",FALSE," G+",W186," in ",A186)))</f>
        <v xml:space="preserve"> G+11 in Enroll No.</v>
      </c>
    </row>
    <row r="187" spans="1:24" ht="14.25" customHeight="1" x14ac:dyDescent="0.2">
      <c r="A187" s="7" t="str">
        <f ca="1">IF(ISERROR(F178),"",VLOOKUP(C178,INDIRECT($F$8),6+(O187-1)*3,0))</f>
        <v>AHT 310</v>
      </c>
      <c r="B187" s="41" t="str">
        <f ca="1">IF(ISERROR(F178),"",VLOOKUP(D178,INDIRECT($F$8),6+(O187-1)*3,0))</f>
        <v>Universal Human Value</v>
      </c>
      <c r="C187" s="41"/>
      <c r="D187" s="41"/>
      <c r="E187" s="41"/>
      <c r="F187" s="7">
        <f ca="1">IF(ISERROR(F178),"",VLOOKUP(E178,INDIRECT($F$8),6+(O187-1)*3,0))</f>
        <v>3</v>
      </c>
      <c r="G187" s="42" t="str">
        <f ca="1">IF(ISERROR(F178),"",_xlfn.TEXTJOIN("/",FALSE,P187,S187))</f>
        <v>0/100</v>
      </c>
      <c r="H187" s="42"/>
      <c r="I187" s="42" t="str">
        <f ca="1">IF(ISERROR(F178),"",_xlfn.TEXTJOIN("/",FALSE,Q187,T187))</f>
        <v>0/50</v>
      </c>
      <c r="J187" s="42"/>
      <c r="K187" s="42" t="str">
        <f ca="1">IF(ISERROR(F178),"",_xlfn.TEXTJOIN("/",FALSE,R187,U187))</f>
        <v>0/150</v>
      </c>
      <c r="L187" s="42"/>
      <c r="M187" s="7" t="str">
        <f ca="1">IF(ISERROR(F178),"",IF(ISTEXT(P187),IF(P187="A","Ab",IF(P187="D","Dt",IF(P187="UFM","UFM",IF(P187="NA","")))),IF(AND(ISBLANK(P187),ISBLANK(R187)),"",IF(P187&lt;0.3*S187,"F",IF(ISBLANK(R187),"",IF(ISTEXT(R187),R187,IF(R187&gt;=0.9*U187,"O",IF(R187&gt;=0.85*U187,"A+",IF(R187&gt;=0.8*U187,"A",IF(R187&gt;=0.7*U187,"B+",IF(R187&gt;=0.6*U187,"B",IF(R187&gt;=0.5*U187,"C",IF(R187&gt;=0.4*U187,"P",IF(R187&lt;0.4*U187,"F",R187))))))))))))))</f>
        <v>F</v>
      </c>
      <c r="N187" s="8">
        <f t="shared" ca="1" si="20"/>
        <v>0</v>
      </c>
      <c r="O187">
        <f ca="1">IF(O186&gt;0,7,"")</f>
        <v>7</v>
      </c>
      <c r="P187" s="1">
        <f ca="1">IF(ISERROR(F178),"",IF(ISTEXT(VLOOKUP(B178,INDIRECT($F$8),6+(O187-1)*3)),(VLOOKUP(B178,INDIRECT($F$8),6+(O187-1)*3)),SUM(VLOOKUP(B178,INDIRECT($F$8),6+(O187-1)*3),IF(W191,W187,0))))</f>
        <v>0</v>
      </c>
      <c r="Q187" s="1">
        <f ca="1">IF(ISERROR(F178),"",VLOOKUP(B178,INDIRECT($F$8),7+(O187-1)*3))</f>
        <v>0</v>
      </c>
      <c r="R187" s="1">
        <f ca="1">IF(ISERROR(F178),"",SUM(P187:Q187))</f>
        <v>0</v>
      </c>
      <c r="S187" s="1">
        <f ca="1">IF(ISERROR(F178),"",VLOOKUP(A178,INDIRECT($F$8),6+(O187-1)*3))</f>
        <v>100</v>
      </c>
      <c r="T187" s="1">
        <f ca="1">IF(ISERROR(F178),"",VLOOKUP(A178,INDIRECT($F$8),7+(O187-1)*3))</f>
        <v>50</v>
      </c>
      <c r="U187" s="1">
        <f ca="1">IF(ISERROR(F178),"",VLOOKUP(A178,INDIRECT($F$8),8+(O187-1)*3))</f>
        <v>150</v>
      </c>
      <c r="V187" s="1" t="str">
        <f ca="1">IF(ISERROR(F178),"",IF(N187=0,A187,""))</f>
        <v>AHT 310</v>
      </c>
      <c r="W187" s="1">
        <f ca="1">IF(ISERROR(F178),"",IF(ISTEXT(VLOOKUP(B178,INDIRECT($F$8),6+(O187-1)*3)),11,IF(VLOOKUP(B178,INDIRECT($F$8),6+(O187-1)*3)&lt;S187*0.3,IF(VLOOKUP(B178,INDIRECT($F$8),8+(O187-1)*3)&lt;U187*0.4,IF(AND(0.4*U187-VLOOKUP(B178,INDIRECT($F$8),8+(O187-1)*3)&lt;=5,0.3*S187-VLOOKUP(B178,INDIRECT($F$8),6+(O187-1)*3)&lt;=5),MAX(0.4*U187-VLOOKUP(B178,INDIRECT($F$8),8+(O187-1)*3),0.3*S187-VLOOKUP(B178,INDIRECT($F$8),6+(O187-1)*3)),11),IF(0.3*S187-VLOOKUP(B178,INDIRECT($F$8),6+(O187-1)*3)&lt;=5,0.3*S187-VLOOKUP(B178,INDIRECT($F$8),6+(O187-1)*3),11)),IF(VLOOKUP(B178,INDIRECT($F$8),8+(O187-1)*3)&lt;U187*0.4,IF(U187*0.4-VLOOKUP(B178,INDIRECT($F$8),8+(O187-1)*3)&lt;=5,U187*0.4-VLOOKUP(B178,INDIRECT($F$8),8+(O187-1)*3),11),0))))</f>
        <v>11</v>
      </c>
      <c r="X187" s="1" t="str">
        <f ca="1">IF(ISERROR(F178),"",IF(W187=0,"",_xlfn.TEXTJOIN("",FALSE," G+",W187," in ",A187)))</f>
        <v xml:space="preserve"> G+11 in AHT 310</v>
      </c>
    </row>
    <row r="188" spans="1:24" ht="14.25" customHeight="1" x14ac:dyDescent="0.2">
      <c r="A188" s="7" t="str">
        <f ca="1">IF(ISERROR(F178),"",VLOOKUP(C178,INDIRECT($F$8),6+(O188-1)*3,0))</f>
        <v>CAP 008</v>
      </c>
      <c r="B188" s="41" t="str">
        <f ca="1">IF(ISERROR(F178),"",VLOOKUP(D178,INDIRECT($F$8),6+(O188-1)*3,0))</f>
        <v>Software Engineering Lab</v>
      </c>
      <c r="C188" s="41"/>
      <c r="D188" s="41"/>
      <c r="E188" s="41"/>
      <c r="F188" s="7">
        <f ca="1">IF(ISERROR(F178),"",VLOOKUP(E178,INDIRECT($F$8),6+(O188-1)*3,0))</f>
        <v>1</v>
      </c>
      <c r="G188" s="42" t="str">
        <f ca="1">IF(ISERROR(F178),"",_xlfn.TEXTJOIN("/",FALSE,P188,S188))</f>
        <v>0/30</v>
      </c>
      <c r="H188" s="42"/>
      <c r="I188" s="42" t="str">
        <f ca="1">IF(ISERROR(F178),"",_xlfn.TEXTJOIN("/",FALSE,Q188,T188))</f>
        <v>0/20</v>
      </c>
      <c r="J188" s="42"/>
      <c r="K188" s="42" t="str">
        <f ca="1">IF(ISERROR(F178),"",_xlfn.TEXTJOIN("/",FALSE,R188,U188))</f>
        <v>0/50</v>
      </c>
      <c r="L188" s="42"/>
      <c r="M188" s="7" t="str">
        <f ca="1">IF(ISERROR(F178),"",IF(ISTEXT(P188),IF(P188="A","Ab",IF(P188="D","Dt",IF(P188="UFM","UFM",IF(P188="NA","")))),IF(AND(ISBLANK(P188),ISBLANK(R188)),"",IF(P188&lt;0.3*S188,"F",IF(ISBLANK(R188),"",IF(ISTEXT(R188),R188,IF(R188&gt;=0.9*U188,"O",IF(R188&gt;=0.85*U188,"A+",IF(R188&gt;=0.8*U188,"A",IF(R188&gt;=0.7*U188,"B+",IF(R188&gt;=0.6*U188,"B",IF(R188&gt;=0.5*U188,"C",IF(R188&gt;=0.4*U188,"P",IF(R188&lt;0.4*U188,"F",R188))))))))))))))</f>
        <v>F</v>
      </c>
      <c r="N188" s="8">
        <f t="shared" ca="1" si="20"/>
        <v>0</v>
      </c>
      <c r="O188">
        <f t="shared" ref="O188:O190" ca="1" si="21">O187+1</f>
        <v>8</v>
      </c>
      <c r="P188" s="1">
        <f ca="1">IF(ISERROR(F178),"",IF(ISTEXT(VLOOKUP(B178,INDIRECT($F$8),6+(O188-1)*3)),(VLOOKUP(B178,INDIRECT($F$8),6+(O188-1)*3)),SUM(VLOOKUP(B178,INDIRECT($F$8),6+(O188-1)*3),IF(W191,W188,0))))</f>
        <v>0</v>
      </c>
      <c r="Q188" s="1">
        <f ca="1">IF(ISERROR(F178),"",VLOOKUP(B178,INDIRECT($F$8),7+(O188-1)*3))</f>
        <v>0</v>
      </c>
      <c r="R188" s="1">
        <f ca="1">IF(ISERROR(F178),"",SUM(P188:Q188))</f>
        <v>0</v>
      </c>
      <c r="S188" s="1">
        <f ca="1">IF(ISERROR(F178),"",VLOOKUP(A178,INDIRECT($F$8),6+(O188-1)*3))</f>
        <v>30</v>
      </c>
      <c r="T188" s="1">
        <f ca="1">IF(ISERROR(F178),"",VLOOKUP(A178,INDIRECT($F$8),7+(O188-1)*3))</f>
        <v>20</v>
      </c>
      <c r="U188" s="1">
        <f ca="1">IF(ISERROR(F178),"",VLOOKUP(A178,INDIRECT($F$8),8+(O188-1)*3))</f>
        <v>50</v>
      </c>
      <c r="V188" s="1" t="str">
        <f ca="1">IF(ISERROR(F178),"",IF(N188=0,A188,""))</f>
        <v>CAP 008</v>
      </c>
      <c r="W188" s="1">
        <f ca="1">IF(ISERROR(F178),"",IF(ISTEXT(VLOOKUP(B178,INDIRECT($F$8),6+(O188-1)*3)),11,IF(VLOOKUP(B178,INDIRECT($F$8),6+(O188-1)*3)&lt;S188*0.3,IF(VLOOKUP(B178,INDIRECT($F$8),8+(O188-1)*3)&lt;U188*0.4,IF(AND(0.4*U188-VLOOKUP(B178,INDIRECT($F$8),8+(O188-1)*3)&lt;=5,0.3*S188-VLOOKUP(B178,INDIRECT($F$8),6+(O188-1)*3)&lt;=5),MAX(0.4*U188-VLOOKUP(B178,INDIRECT($F$8),8+(O188-1)*3),0.3*S188-VLOOKUP(B178,INDIRECT($F$8),6+(O188-1)*3)),11),IF(0.3*S188-VLOOKUP(B178,INDIRECT($F$8),6+(O188-1)*3)&lt;=5,0.3*S188-VLOOKUP(B178,INDIRECT($F$8),6+(O188-1)*3),11)),IF(VLOOKUP(B178,INDIRECT($F$8),8+(O188-1)*3)&lt;U188*0.4,IF(U188*0.4-VLOOKUP(B178,INDIRECT($F$8),8+(O188-1)*3)&lt;=5,U188*0.4-VLOOKUP(B178,INDIRECT($F$8),8+(O188-1)*3),11),0))))</f>
        <v>11</v>
      </c>
      <c r="X188" s="1" t="str">
        <f ca="1">IF(ISERROR(F178),"",IF(W188=0,"",_xlfn.TEXTJOIN("",FALSE," G+",W188," in ",A188)))</f>
        <v xml:space="preserve"> G+11 in CAP 008</v>
      </c>
    </row>
    <row r="189" spans="1:24" ht="14.25" customHeight="1" x14ac:dyDescent="0.2">
      <c r="A189" s="7" t="str">
        <f ca="1">IF(ISERROR(F178),"",VLOOKUP(C178,INDIRECT($F$8),6+(O189-1)*3,0))</f>
        <v>CAP 009</v>
      </c>
      <c r="B189" s="41" t="str">
        <f ca="1">IF(ISERROR(F178),"",VLOOKUP(D178,INDIRECT($F$8),6+(O189-1)*3,0))</f>
        <v>Seminar</v>
      </c>
      <c r="C189" s="41"/>
      <c r="D189" s="41"/>
      <c r="E189" s="41"/>
      <c r="F189" s="7">
        <f ca="1">IF(ISERROR(F178),"",VLOOKUP(E178,INDIRECT($F$8),6+(O189-1)*3,0))</f>
        <v>2</v>
      </c>
      <c r="G189" s="42" t="str">
        <f ca="1">IF(ISERROR(F178),"",_xlfn.TEXTJOIN("/",FALSE,P189,S189))</f>
        <v>0/0</v>
      </c>
      <c r="H189" s="42"/>
      <c r="I189" s="42" t="str">
        <f ca="1">IF(ISERROR(F178),"",_xlfn.TEXTJOIN("/",FALSE,Q189,T189))</f>
        <v>0/100</v>
      </c>
      <c r="J189" s="42"/>
      <c r="K189" s="42" t="str">
        <f ca="1">IF(ISERROR(F178),"",_xlfn.TEXTJOIN("/",FALSE,R189,U189))</f>
        <v>0/100</v>
      </c>
      <c r="L189" s="42"/>
      <c r="M189" s="7" t="str">
        <f ca="1">IF(ISERROR(F178),"",IF(ISTEXT(P189),IF(P189="A","Ab",IF(P189="D","Dt",IF(P189="UFM","UFM",IF(P189="NA","")))),IF(AND(ISBLANK(P189),ISBLANK(R189)),"",IF(P189&lt;0.3*S189,"F",IF(ISBLANK(R189),"",IF(ISTEXT(R189),R189,IF(R189&gt;=0.9*U189,"O",IF(R189&gt;=0.85*U189,"A+",IF(R189&gt;=0.8*U189,"A",IF(R189&gt;=0.7*U189,"B+",IF(R189&gt;=0.6*U189,"B",IF(R189&gt;=0.5*U189,"C",IF(R189&gt;=0.4*U189,"P",IF(R189&lt;0.4*U189,"F",R189))))))))))))))</f>
        <v>F</v>
      </c>
      <c r="N189" s="8">
        <f t="shared" ca="1" si="20"/>
        <v>0</v>
      </c>
      <c r="O189">
        <f t="shared" ca="1" si="21"/>
        <v>9</v>
      </c>
      <c r="P189" s="1">
        <f ca="1">IF(ISERROR(F178),"",IF(ISTEXT(VLOOKUP(B178,INDIRECT($F$8),6+(O189-1)*3)),(VLOOKUP(B178,INDIRECT($F$8),6+(O189-1)*3)),SUM(VLOOKUP(B178,INDIRECT($F$8),6+(O189-1)*3),IF(W191,W189,0))))</f>
        <v>0</v>
      </c>
      <c r="Q189" s="1">
        <f ca="1">IF(ISERROR(F178),"",VLOOKUP(B178,INDIRECT($F$8),7+(O189-1)*3))</f>
        <v>0</v>
      </c>
      <c r="R189" s="1">
        <f ca="1">IF(ISERROR(F178),"",SUM(P189:Q189))</f>
        <v>0</v>
      </c>
      <c r="S189" s="1">
        <f ca="1">IF(ISERROR(F178),"",VLOOKUP(A178,INDIRECT($F$8),6+(O189-1)*3))</f>
        <v>0</v>
      </c>
      <c r="T189" s="1">
        <f ca="1">IF(ISERROR(F178),"",VLOOKUP(A178,INDIRECT($F$8),7+(O189-1)*3))</f>
        <v>100</v>
      </c>
      <c r="U189" s="1">
        <f ca="1">IF(ISERROR(F178),"",VLOOKUP(A178,INDIRECT($F$8),8+(O189-1)*3))</f>
        <v>100</v>
      </c>
      <c r="V189" s="1" t="str">
        <f ca="1">IF(ISERROR(F178),"",IF(N189=0,A189,""))</f>
        <v>CAP 009</v>
      </c>
      <c r="W189" s="1">
        <f ca="1">IF(ISERROR(F178),"",IF(ISTEXT(VLOOKUP(B178,INDIRECT($F$8),6+(O189-1)*3)),11,IF(VLOOKUP(B178,INDIRECT($F$8),6+(O189-1)*3)&lt;S189*0.3,IF(VLOOKUP(B178,INDIRECT($F$8),8+(O189-1)*3)&lt;U189*0.4,IF(AND(0.4*U189-VLOOKUP(B178,INDIRECT($F$8),8+(O189-1)*3)&lt;=5,0.3*S189-VLOOKUP(B178,INDIRECT($F$8),6+(O189-1)*3)&lt;=5),MAX(0.4*U189-VLOOKUP(B178,INDIRECT($F$8),8+(O189-1)*3),0.3*S189-VLOOKUP(B178,INDIRECT($F$8),6+(O189-1)*3)),11),IF(0.3*S189-VLOOKUP(B178,INDIRECT($F$8),6+(O189-1)*3)&lt;=5,0.3*S189-VLOOKUP(B178,INDIRECT($F$8),6+(O189-1)*3),11)),IF(VLOOKUP(B178,INDIRECT($F$8),8+(O189-1)*3)&lt;U189*0.4,IF(U189*0.4-VLOOKUP(B178,INDIRECT($F$8),8+(O189-1)*3)&lt;=5,U189*0.4-VLOOKUP(B178,INDIRECT($F$8),8+(O189-1)*3),11),0))))</f>
        <v>11</v>
      </c>
      <c r="X189" s="1" t="str">
        <f ca="1">IF(ISERROR(F178),"",IF(W189=0,"",_xlfn.TEXTJOIN("",FALSE," G+",W189," in ",A189)))</f>
        <v xml:space="preserve"> G+11 in CAP 009</v>
      </c>
    </row>
    <row r="190" spans="1:24" ht="14.25" customHeight="1" x14ac:dyDescent="0.2">
      <c r="A190" s="7" t="str">
        <f ca="1">IF(ISERROR(F178),"",VLOOKUP(C178,INDIRECT($F$8),6+(O190-1)*3,0))</f>
        <v>CAP 010</v>
      </c>
      <c r="B190" s="41" t="str">
        <f ca="1">IF(ISERROR(F178),"",VLOOKUP(D178,INDIRECT($F$8),6+(O190-1)*3-Z190,0))</f>
        <v>Minor Project</v>
      </c>
      <c r="C190" s="41"/>
      <c r="D190" s="41"/>
      <c r="E190" s="41"/>
      <c r="F190" s="7">
        <f ca="1">IF(ISERROR(F178),"",VLOOKUP(E178,INDIRECT($F$8),6+(O190-1)*3,0))</f>
        <v>2</v>
      </c>
      <c r="G190" s="42" t="str">
        <f ca="1">IF(ISERROR(F178),"",_xlfn.TEXTJOIN("/",FALSE,P190,S190))</f>
        <v>0/50</v>
      </c>
      <c r="H190" s="42"/>
      <c r="I190" s="42" t="str">
        <f ca="1">IF(ISERROR(F178),"",_xlfn.TEXTJOIN("/",FALSE,Q190,T190))</f>
        <v>0/50</v>
      </c>
      <c r="J190" s="42"/>
      <c r="K190" s="42" t="str">
        <f ca="1">IF(ISERROR(F178),"",_xlfn.TEXTJOIN("/",FALSE,R190,U190))</f>
        <v>0/100</v>
      </c>
      <c r="L190" s="42"/>
      <c r="M190" s="7" t="str">
        <f ca="1">IF(ISERROR(F178),"",IF(ISTEXT(P190),IF(P190="A","Ab",IF(P190="D","Dt",IF(P190="UFM","UFM",IF(P190="NA","")))),IF(AND(ISBLANK(P190),ISBLANK(R190)),"",IF(P190&lt;0.3*S190,"F",IF(ISBLANK(R190),"",IF(ISTEXT(R190),R190,IF(R190&gt;=0.9*U190,"O",IF(R190&gt;=0.85*U190,"A+",IF(R190&gt;=0.8*U190,"A",IF(R190&gt;=0.7*U190,"B+",IF(R190&gt;=0.6*U190,"B",IF(R190&gt;=0.5*U190,"C",IF(R190&gt;=0.4*U190,"P",IF(R190&lt;0.4*U190,"F",R190))))))))))))))</f>
        <v>F</v>
      </c>
      <c r="N190" s="8">
        <f t="shared" ca="1" si="20"/>
        <v>0</v>
      </c>
      <c r="O190">
        <f t="shared" ca="1" si="21"/>
        <v>10</v>
      </c>
      <c r="P190" s="1">
        <f ca="1">IF(ISERROR(F178),"",IF(ISTEXT(VLOOKUP(B178,INDIRECT($F$8),6+(O190-1)*3)),(VLOOKUP(B178,INDIRECT($F$8),6+(O190-1)*3)),SUM(VLOOKUP(B178,INDIRECT($F$8),6+(O190-1)*3),IF(W191,W190,0))))</f>
        <v>0</v>
      </c>
      <c r="Q190" s="1">
        <f ca="1">IF(ISERROR(F178),"",VLOOKUP(B178,INDIRECT($F$8),7+(O190-1)*3))</f>
        <v>0</v>
      </c>
      <c r="R190" s="1">
        <f ca="1">IF(ISERROR(F178),"",SUM(P190:Q190))</f>
        <v>0</v>
      </c>
      <c r="S190" s="1">
        <f ca="1">IF(ISERROR(F178),"",VLOOKUP(A178,INDIRECT($F$8),6+(O190-1)*3))</f>
        <v>50</v>
      </c>
      <c r="T190" s="1">
        <f ca="1">IF(ISERROR(F178),"",VLOOKUP(A178,INDIRECT($F$8),7+(O190-1)*3))</f>
        <v>50</v>
      </c>
      <c r="U190" s="1">
        <f ca="1">IF(ISERROR(F178),"",VLOOKUP(A178,INDIRECT($F$8),8+(O190-1)*3))</f>
        <v>100</v>
      </c>
      <c r="V190" s="1" t="str">
        <f ca="1">IF(ISERROR(F178),"",IF(N190=0,A190,""))</f>
        <v>CAP 010</v>
      </c>
      <c r="W190" s="1">
        <f ca="1">IF(ISERROR(F178),"",IF(ISTEXT(VLOOKUP(B178,INDIRECT($F$8),6+(O190-1)*3)),11,IF(VLOOKUP(B178,INDIRECT($F$8),6+(O190-1)*3)&lt;S190*0.3,IF(VLOOKUP(B178,INDIRECT($F$8),8+(O190-1)*3)&lt;U190*0.4,IF(AND(0.4*U190-VLOOKUP(B178,INDIRECT($F$8),8+(O190-1)*3)&lt;=5,0.3*S190-VLOOKUP(B178,INDIRECT($F$8),6+(O190-1)*3)&lt;=5),MAX(0.4*U190-VLOOKUP(B178,INDIRECT($F$8),8+(O190-1)*3),0.3*S190-VLOOKUP(B178,INDIRECT($F$8),6+(O190-1)*3)),11),IF(0.3*S190-VLOOKUP(B178,INDIRECT($F$8),6+(O190-1)*3)&lt;=5,0.3*S190-VLOOKUP(B178,INDIRECT($F$8),6+(O190-1)*3),11)),IF(VLOOKUP(B178,INDIRECT($F$8),8+(O190-1)*3)&lt;U190*0.4,IF(U190*0.4-VLOOKUP(B178,INDIRECT($F$8),8+(O190-1)*3)&lt;=5,U190*0.4-VLOOKUP(B178,INDIRECT($F$8),8+(O190-1)*3),11),0))))</f>
        <v>11</v>
      </c>
      <c r="X190" s="1" t="str">
        <f ca="1">IF(ISERROR(F178),"",IF(W190=0,"",_xlfn.TEXTJOIN("",FALSE," G+",W190," in ",A190)))</f>
        <v xml:space="preserve"> G+11 in CAP 010</v>
      </c>
    </row>
    <row r="191" spans="1:24" ht="14.25" customHeight="1" x14ac:dyDescent="0.2">
      <c r="A191" s="43" t="str">
        <f ca="1">IF(ISERROR(F178),"",A174)</f>
        <v>Total Credits/ Marks/ Total Grade Points</v>
      </c>
      <c r="B191" s="43"/>
      <c r="C191" s="43"/>
      <c r="D191" s="43"/>
      <c r="E191" s="43"/>
      <c r="F191" s="10">
        <f ca="1">IF(ISERROR(F178),"",SUM(F183:F190))</f>
        <v>16</v>
      </c>
      <c r="G191" s="44" t="str">
        <f ca="1">IF(ISERROR(F178),"",_xlfn.TEXTJOIN("/",TRUE,SUMIF(F183:F190,"&gt;0",P183:P190),SUMIF(F183:F190,"&gt;0",S183:S190)))</f>
        <v>0/380</v>
      </c>
      <c r="H191" s="44"/>
      <c r="I191" s="44" t="str">
        <f ca="1">IF(ISERROR(F178),"",_xlfn.TEXTJOIN("/",TRUE,SUMIF(F183:F190,"&gt;0",Q183:Q190),SUMIF(F183:F190,"&gt;0",T183:T190)))</f>
        <v>0/320</v>
      </c>
      <c r="J191" s="44"/>
      <c r="K191" s="44" t="str">
        <f ca="1">IF(ISERROR(F178),"",_xlfn.TEXTJOIN("/",TRUE,SUMIF(F183:F190,"&gt;0",R183:R190),SUMIF(F183:F190,"&gt;0",U183:U190)))</f>
        <v>0/700</v>
      </c>
      <c r="L191" s="44"/>
      <c r="M191" s="43" t="e">
        <f ca="1">IF(ISERROR(F178),"",SUMPRODUCT(N183:N190,F183:F190))</f>
        <v>#N/A</v>
      </c>
      <c r="N191" s="43"/>
      <c r="V191" s="1" t="e">
        <f ca="1">IF(ISERROR(F178),"",_xlfn.TEXTJOIN(", ",TRUE,V183:V190))</f>
        <v>#N/A</v>
      </c>
      <c r="W191" t="b">
        <f ca="1">IF(ISERROR(F178),"",IF(SUM(W183:W190)&lt;=W182,TRUE,FALSE))</f>
        <v>0</v>
      </c>
      <c r="X191" s="1" t="str">
        <f ca="1">IF(ISERROR(F178),"",_xlfn.TEXTJOIN(",",TRUE,X183:X190))</f>
        <v xml:space="preserve"> G+11 in CAT  014, G+11 in CAT 015, G+11 in Enroll No., G+11 in Enroll No., G+11 in AHT 310, G+11 in CAP 008, G+11 in CAP 009, G+11 in CAP 010</v>
      </c>
    </row>
    <row r="192" spans="1:24" ht="14.25" customHeight="1" x14ac:dyDescent="0.2">
      <c r="A192" s="43" t="str">
        <f ca="1">IF(ISERROR(F178),"",A175)</f>
        <v>Result:</v>
      </c>
      <c r="B192" s="45" t="e">
        <f ca="1">IF(ISERROR(F178),"",IF(V191="","PASS","CARRY OVER"))</f>
        <v>#N/A</v>
      </c>
      <c r="C192" s="45"/>
      <c r="D192" s="43" t="str">
        <f ca="1">IF(ISERROR(F178),"",D175)</f>
        <v>Remark:</v>
      </c>
      <c r="E192" s="45" t="e">
        <f ca="1">IF(ISERROR(F178),"",IF(V191="",IF(X191="","",X191),_xlfn.TEXTJOIN(" ",TRUE,"BACK IN",V191)))</f>
        <v>#N/A</v>
      </c>
      <c r="F192" s="45"/>
      <c r="G192" s="43" t="str">
        <f ca="1">IF(ISERROR(F178),"",G175)</f>
        <v>SGPA:</v>
      </c>
      <c r="H192" s="46" t="e">
        <f ca="1">IF(ISERROR(F178),"",M191/F191)</f>
        <v>#N/A</v>
      </c>
      <c r="I192" s="43" t="str">
        <f ca="1">IF(ISERROR(F178),"",I175)</f>
        <v>CGPA:</v>
      </c>
      <c r="J192" s="46" t="e">
        <f ca="1">IF(ISERROR(F178),"",VLOOKUP(B178,INDIRECT($F$8),12+(O190-1)*3,0))</f>
        <v>#N/A</v>
      </c>
      <c r="K192" s="45" t="str">
        <f ca="1">IF(ISERROR(F178),"",K175)</f>
        <v>Earned Credits:</v>
      </c>
      <c r="L192" s="43">
        <f ca="1">IF(ISERROR(F178),"",SUMIF(N183:N190,"&gt;0",F183:F190))</f>
        <v>0</v>
      </c>
      <c r="M192" s="45" t="str">
        <f ca="1">IF(ISERROR(F178),"",M175)</f>
        <v>Cuml. Earned Credits:</v>
      </c>
      <c r="N192" s="43" t="e">
        <f ca="1">IF(ISERROR(F178),"",VLOOKUP(B178,INDIRECT($F$8),10+(O190-1)*3,0))</f>
        <v>#N/A</v>
      </c>
    </row>
    <row r="193" spans="1:24" ht="14.25" customHeight="1" x14ac:dyDescent="0.2">
      <c r="A193" s="43"/>
      <c r="B193" s="45"/>
      <c r="C193" s="45"/>
      <c r="D193" s="43"/>
      <c r="E193" s="45"/>
      <c r="F193" s="45"/>
      <c r="G193" s="43"/>
      <c r="H193" s="46"/>
      <c r="I193" s="43"/>
      <c r="J193" s="46"/>
      <c r="K193" s="45"/>
      <c r="L193" s="43"/>
      <c r="M193" s="45"/>
      <c r="N193" s="43"/>
    </row>
    <row r="194" spans="1:24" ht="14.25" customHeight="1" x14ac:dyDescent="0.2">
      <c r="A194" s="43"/>
      <c r="B194" s="45"/>
      <c r="C194" s="45"/>
      <c r="D194" s="43"/>
      <c r="E194" s="45"/>
      <c r="F194" s="45"/>
      <c r="G194" s="43"/>
      <c r="H194" s="46"/>
      <c r="I194" s="43"/>
      <c r="J194" s="46"/>
      <c r="K194" s="45"/>
      <c r="L194" s="43"/>
      <c r="M194" s="45"/>
      <c r="N194" s="43"/>
    </row>
    <row r="195" spans="1:24" ht="14.25" customHeight="1" x14ac:dyDescent="0.2">
      <c r="A195" s="11" t="str">
        <f>A178</f>
        <v>MM</v>
      </c>
      <c r="B195" s="11">
        <f>B178+1</f>
        <v>12</v>
      </c>
      <c r="C195" s="11" t="str">
        <f>C178</f>
        <v>SC</v>
      </c>
      <c r="D195" s="11" t="str">
        <f>D178</f>
        <v>SN</v>
      </c>
      <c r="E195" s="11" t="str">
        <f>E178</f>
        <v>C</v>
      </c>
      <c r="F195" s="11" t="str">
        <f ca="1">VLOOKUP(B195,INDIRECT($F$8),4,0)</f>
        <v>KAMAL SINGH BISHT</v>
      </c>
    </row>
    <row r="196" spans="1:24" ht="14.25" customHeight="1" x14ac:dyDescent="0.2">
      <c r="A196" s="47" t="str">
        <f ca="1">IF(ISERROR(F195),"",A179)</f>
        <v>Name:</v>
      </c>
      <c r="B196" s="47" t="str">
        <f ca="1">IFERROR(VLOOKUP(B195,INDIRECT($F$8),4,0),"")</f>
        <v>KAMAL SINGH BISHT</v>
      </c>
      <c r="C196" s="47"/>
      <c r="D196" s="47" t="str">
        <f ca="1">IF(ISERROR(F195),"",D179)</f>
        <v>Father's Name:</v>
      </c>
      <c r="E196" s="47" t="str">
        <f ca="1">IFERROR(VLOOKUP(B195,INDIRECT($F$8),5,0),"")</f>
        <v>SHIV SINGH BISHT</v>
      </c>
      <c r="F196" s="47"/>
      <c r="G196" s="47" t="str">
        <f ca="1">IF(ISERROR(F195),"",G179)</f>
        <v>University Roll No:</v>
      </c>
      <c r="H196" s="47"/>
      <c r="I196" s="48">
        <f ca="1">IFERROR(VLOOKUP(B195,INDIRECT($F$8),2,0),"")</f>
        <v>240090600012</v>
      </c>
      <c r="J196" s="48"/>
      <c r="K196" s="47" t="str">
        <f ca="1">IF(ISERROR(F195),"",K179)</f>
        <v>University Enrol. No:</v>
      </c>
      <c r="L196" s="47"/>
      <c r="M196" s="48" t="str">
        <f ca="1">IFERROR(VLOOKUP(B195,INDIRECT($F$8),3,0),"")</f>
        <v>UTU/2406100182</v>
      </c>
      <c r="N196" s="48"/>
    </row>
    <row r="197" spans="1:24" ht="14.25" customHeight="1" x14ac:dyDescent="0.2">
      <c r="A197" s="47"/>
      <c r="B197" s="47"/>
      <c r="C197" s="47"/>
      <c r="D197" s="47"/>
      <c r="E197" s="47"/>
      <c r="F197" s="47"/>
      <c r="G197" s="47"/>
      <c r="H197" s="47"/>
      <c r="I197" s="48"/>
      <c r="J197" s="48"/>
      <c r="K197" s="47"/>
      <c r="L197" s="47"/>
      <c r="M197" s="48"/>
      <c r="N197" s="48"/>
    </row>
    <row r="198" spans="1:24" ht="14.25" customHeight="1" x14ac:dyDescent="0.2">
      <c r="A198" s="45" t="str">
        <f ca="1">IF(ISERROR(F195),"",A181)</f>
        <v>Subject Code</v>
      </c>
      <c r="B198" s="45" t="str">
        <f ca="1">IF(ISERROR(F195),"",B181)</f>
        <v>Subject Name</v>
      </c>
      <c r="C198" s="45"/>
      <c r="D198" s="45"/>
      <c r="E198" s="45"/>
      <c r="F198" s="45" t="str">
        <f ca="1">IF(ISERROR(F195),"",F181)</f>
        <v>Credits</v>
      </c>
      <c r="G198" s="45" t="str">
        <f ca="1">IF(ISERROR(F195),"",G181)</f>
        <v>External Marks</v>
      </c>
      <c r="H198" s="45"/>
      <c r="I198" s="45" t="str">
        <f ca="1">IF(ISERROR(F195),"",I181)</f>
        <v>Sessional Marks</v>
      </c>
      <c r="J198" s="45"/>
      <c r="K198" s="45" t="str">
        <f ca="1">IF(ISERROR(F195),"",K181)</f>
        <v>Total Marks</v>
      </c>
      <c r="L198" s="45"/>
      <c r="M198" s="45" t="str">
        <f ca="1">IF(ISERROR(F195),"",M181)</f>
        <v>Grade</v>
      </c>
      <c r="N198" s="45" t="str">
        <f ca="1">IF(ISERROR(F195),"",N181)</f>
        <v>Grade Points</v>
      </c>
    </row>
    <row r="199" spans="1:24" ht="14.25" customHeight="1" x14ac:dyDescent="0.2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W199">
        <f ca="1">IF(ISNUMBER(MATCH($F$8,{"I","III","V","VII"},0)),10,10-INDEX(INDIRECT(_xlfn.TEXTJOIN("",TRUE,"SEM_",$G$8,"!",ADDRESS(6,4+$I$8*3+4),":",ADDRESS(5+$H$8,4+$I$8*3+4))),MATCH(INDIRECT(_xlfn.TEXTJOIN("",TRUE,"TC_",$F$8,"!",ADDRESS(ROW(I196),COLUMN(I196)))),INDIRECT(_xlfn.TEXTJOIN("",TRUE,"SEM_",$G$8,"!",ADDRESS(6,2),":",ADDRESS(5+$H$8,2))))))</f>
        <v>10</v>
      </c>
    </row>
    <row r="200" spans="1:24" ht="14.25" customHeight="1" x14ac:dyDescent="0.2">
      <c r="A200" s="7" t="str">
        <f ca="1">IF(ISERROR(F195),"",VLOOKUP(C195,INDIRECT($F$8),6+(O200-1)*3,0))</f>
        <v>CAT  014</v>
      </c>
      <c r="B200" s="41" t="str">
        <f ca="1">IF(ISERROR(F195),"",VLOOKUP(D195,INDIRECT($F$8),6+(O200-1)*3,0))</f>
        <v>Graph Theory</v>
      </c>
      <c r="C200" s="41"/>
      <c r="D200" s="41"/>
      <c r="E200" s="41"/>
      <c r="F200" s="7">
        <f ca="1">IF(ISERROR(F195),"",VLOOKUP(E195,INDIRECT($F$8),6+(O200-1)*3,0))</f>
        <v>4</v>
      </c>
      <c r="G200" s="42" t="str">
        <f ca="1">IF(ISERROR(F195),"",_xlfn.TEXTJOIN("/",FALSE,P200,S200))</f>
        <v>0/100</v>
      </c>
      <c r="H200" s="42"/>
      <c r="I200" s="42" t="str">
        <f ca="1">IF(ISERROR(F195),"",_xlfn.TEXTJOIN("/",FALSE,Q200,T200))</f>
        <v>0/50</v>
      </c>
      <c r="J200" s="42"/>
      <c r="K200" s="42" t="str">
        <f ca="1">IF(ISERROR(F195),"",_xlfn.TEXTJOIN("/",FALSE,R200,U200))</f>
        <v>0/150</v>
      </c>
      <c r="L200" s="42"/>
      <c r="M200" s="7" t="str">
        <f ca="1">IF(ISERROR(F195),"",IF(ISTEXT(P200),IF(P200="A","Ab",IF(P200="D","Dt",IF(P200="UFM","UFM",IF(P200="NA","")))),IF(AND(ISBLANK(P200),ISBLANK(R200)),"",IF(P200&lt;0.3*S200,"F",IF(ISBLANK(R200),"",IF(ISTEXT(R200),R200,IF(R200&gt;=0.9*U200,"O",IF(R200&gt;=0.85*U200,"A+",IF(R200&gt;=0.8*U200,"A",IF(R200&gt;=0.7*U200,"B+",IF(R200&gt;=0.6*U200,"B",IF(R200&gt;=0.5*U200,"C",IF(R200&gt;=0.4*U200,"P",IF(R200&lt;0.4*U200,"F",R200))))))))))))))</f>
        <v>F</v>
      </c>
      <c r="N200" s="8">
        <f t="shared" ref="N200:N207" ca="1" si="22">INDEX($Z$2:$Z$13,MATCH(M200,$Y$2:$Y$13,0))</f>
        <v>0</v>
      </c>
      <c r="O200">
        <v>1</v>
      </c>
      <c r="P200" s="1">
        <f ca="1">IF(ISERROR(F195),"",IF(ISTEXT(VLOOKUP(B195,INDIRECT($F$8),6+(O200-1)*3)),(VLOOKUP(B195,INDIRECT($F$8),6+(O200-1)*3)),SUM(VLOOKUP(B195,INDIRECT($F$8),6+(O200-1)*3),IF(W208,W200,0))))</f>
        <v>0</v>
      </c>
      <c r="Q200" s="1">
        <f ca="1">IF(ISERROR(F195),"",VLOOKUP(B195,INDIRECT($F$8),7+(O200-1)*3))</f>
        <v>0</v>
      </c>
      <c r="R200" s="1">
        <f ca="1">IF(ISERROR(F195),"",SUM(P200:Q200))</f>
        <v>0</v>
      </c>
      <c r="S200" s="1">
        <f ca="1">IF(ISERROR(F195),"",VLOOKUP(A195,INDIRECT($F$8),6+(O200-1)*3))</f>
        <v>100</v>
      </c>
      <c r="T200" s="1">
        <f ca="1">IF(ISERROR(F195),"",VLOOKUP(A195,INDIRECT($F$8),7+(O200-1)*3))</f>
        <v>50</v>
      </c>
      <c r="U200" s="1">
        <f ca="1">IF(ISERROR(F195),"",VLOOKUP(A195,INDIRECT($F$8),8+(O200-1)*3))</f>
        <v>150</v>
      </c>
      <c r="V200" s="1" t="str">
        <f ca="1">IF(ISERROR(F195),"",IF(N200=0,A200,""))</f>
        <v>CAT  014</v>
      </c>
      <c r="W200" s="1">
        <f ca="1">IF(ISERROR(F195),"",IF(ISTEXT(VLOOKUP(B195,INDIRECT($F$8),6+(O200-1)*3)),11,IF(VLOOKUP(B195,INDIRECT($F$8),6+(O200-1)*3)&lt;S200*0.3,IF(VLOOKUP(B195,INDIRECT($F$8),8+(O200-1)*3)&lt;U200*0.4,IF(AND(0.4*U200-VLOOKUP(B195,INDIRECT($F$8),8+(O200-1)*3)&lt;=5,0.3*S200-VLOOKUP(B195,INDIRECT($F$8),6+(O200-1)*3)&lt;=5),MAX(0.4*U200-VLOOKUP(B195,INDIRECT($F$8),8+(O200-1)*3),0.3*S200-VLOOKUP(B195,INDIRECT($F$8),6+(O200-1)*3)),11),IF(0.3*S200-VLOOKUP(B195,INDIRECT($F$8),6+(O200-1)*3)&lt;=5,0.3*S200-VLOOKUP(B195,INDIRECT($F$8),6+(O200-1)*3),11)),IF(VLOOKUP(B195,INDIRECT($F$8),8+(O200-1)*3)&lt;U200*0.4,IF(U200*0.4-VLOOKUP(B195,INDIRECT($F$8),8+(O200-1)*3)&lt;=5,U200*0.4-VLOOKUP(B195,INDIRECT($F$8),8+(O200-1)*3),11),0))))</f>
        <v>11</v>
      </c>
      <c r="X200" s="1" t="str">
        <f ca="1">IF(ISERROR(F195),"",IF(W200=0,"",_xlfn.TEXTJOIN("",FALSE," G+",W200," in ",A200)))</f>
        <v xml:space="preserve"> G+11 in CAT  014</v>
      </c>
    </row>
    <row r="201" spans="1:24" ht="14.25" customHeight="1" x14ac:dyDescent="0.2">
      <c r="A201" s="7" t="str">
        <f ca="1">IF(ISERROR(F195),"",VLOOKUP(C195,INDIRECT($F$8),6+(O201-1)*3,0))</f>
        <v>CAT 015</v>
      </c>
      <c r="B201" s="41" t="str">
        <f ca="1">IF(ISERROR(F195),"",VLOOKUP(D195,INDIRECT($F$8),6+(O201-1)*3,0))</f>
        <v>Software Engineering</v>
      </c>
      <c r="C201" s="41"/>
      <c r="D201" s="41"/>
      <c r="E201" s="41"/>
      <c r="F201" s="7">
        <f ca="1">IF(ISERROR(F195),"",VLOOKUP(E195,INDIRECT($F$8),6+(O201-1)*3,0))</f>
        <v>4</v>
      </c>
      <c r="G201" s="42" t="str">
        <f ca="1">IF(ISERROR(F195),"",_xlfn.TEXTJOIN("/",FALSE,P201,S201))</f>
        <v>0/100</v>
      </c>
      <c r="H201" s="42"/>
      <c r="I201" s="42" t="str">
        <f ca="1">IF(ISERROR(F195),"",_xlfn.TEXTJOIN("/",FALSE,Q201,T201))</f>
        <v>0/50</v>
      </c>
      <c r="J201" s="42"/>
      <c r="K201" s="42" t="str">
        <f ca="1">IF(ISERROR(F195),"",_xlfn.TEXTJOIN("/",FALSE,R201,U201))</f>
        <v>0/150</v>
      </c>
      <c r="L201" s="42"/>
      <c r="M201" s="7" t="str">
        <f ca="1">IF(ISERROR(F195),"",IF(ISTEXT(P201),IF(P201="A","Ab",IF(P201="D","Dt",IF(P201="UFM","UFM",IF(P201="NA","")))),IF(AND(ISBLANK(P201),ISBLANK(R201)),"",IF(P201&lt;0.3*S201,"F",IF(ISBLANK(R201),"",IF(ISTEXT(R201),R201,IF(R201&gt;=0.9*U201,"O",IF(R201&gt;=0.85*U201,"A+",IF(R201&gt;=0.8*U201,"A",IF(R201&gt;=0.7*U201,"B+",IF(R201&gt;=0.6*U201,"B",IF(R201&gt;=0.5*U201,"C",IF(R201&gt;=0.4*U201,"P",IF(R201&lt;0.4*U201,"F",R201))))))))))))))</f>
        <v>F</v>
      </c>
      <c r="N201" s="8">
        <f t="shared" ca="1" si="22"/>
        <v>0</v>
      </c>
      <c r="O201">
        <f>O200+1</f>
        <v>2</v>
      </c>
      <c r="P201" s="1">
        <f ca="1">IF(ISERROR(F195),"",IF(ISTEXT(VLOOKUP(B195,INDIRECT($F$8),6+(O201-1)*3)),(VLOOKUP(B195,INDIRECT($F$8),6+(O201-1)*3)),SUM(VLOOKUP(B195,INDIRECT($F$8),6+(O201-1)*3),IF(W208,W201,0))))</f>
        <v>0</v>
      </c>
      <c r="Q201" s="1">
        <f ca="1">IF(ISERROR(F195),"",VLOOKUP(B195,INDIRECT($F$8),7+(O201-1)*3))</f>
        <v>0</v>
      </c>
      <c r="R201" s="1">
        <f ca="1">IF(ISERROR(F195),"",SUM(P201:Q201))</f>
        <v>0</v>
      </c>
      <c r="S201" s="1">
        <f ca="1">IF(ISERROR(F195),"",VLOOKUP(A195,INDIRECT($F$8),6+(O201-1)*3))</f>
        <v>100</v>
      </c>
      <c r="T201" s="1">
        <f ca="1">IF(ISERROR(F195),"",VLOOKUP(A195,INDIRECT($F$8),7+(O201-1)*3))</f>
        <v>50</v>
      </c>
      <c r="U201" s="1">
        <f ca="1">IF(ISERROR(F195),"",VLOOKUP(A195,INDIRECT($F$8),8+(O201-1)*3))</f>
        <v>150</v>
      </c>
      <c r="V201" s="1" t="str">
        <f ca="1">IF(ISERROR(F195),"",IF(N201=0,A201,""))</f>
        <v>CAT 015</v>
      </c>
      <c r="W201" s="1">
        <f ca="1">IF(ISERROR(F195),"",IF(ISTEXT(VLOOKUP(B195,INDIRECT($F$8),6+(O201-1)*3)),11,IF(VLOOKUP(B195,INDIRECT($F$8),6+(O201-1)*3)&lt;S201*0.3,IF(VLOOKUP(B195,INDIRECT($F$8),8+(O201-1)*3)&lt;U201*0.4,IF(AND(0.4*U201-VLOOKUP(B195,INDIRECT($F$8),8+(O201-1)*3)&lt;=5,0.3*S201-VLOOKUP(B195,INDIRECT($F$8),6+(O201-1)*3)&lt;=5),MAX(0.4*U201-VLOOKUP(B195,INDIRECT($F$8),8+(O201-1)*3),0.3*S201-VLOOKUP(B195,INDIRECT($F$8),6+(O201-1)*3)),11),IF(0.3*S201-VLOOKUP(B195,INDIRECT($F$8),6+(O201-1)*3)&lt;=5,0.3*S201-VLOOKUP(B195,INDIRECT($F$8),6+(O201-1)*3),11)),IF(VLOOKUP(B195,INDIRECT($F$8),8+(O201-1)*3)&lt;U201*0.4,IF(U201*0.4-VLOOKUP(B195,INDIRECT($F$8),8+(O201-1)*3)&lt;=5,U201*0.4-VLOOKUP(B195,INDIRECT($F$8),8+(O201-1)*3),11),0))))</f>
        <v>11</v>
      </c>
      <c r="X201" s="1" t="str">
        <f ca="1">IF(ISERROR(F195),"",IF(W201=0,"",_xlfn.TEXTJOIN("",FALSE," G+",W201," in ",A201)))</f>
        <v xml:space="preserve"> G+11 in CAT 015</v>
      </c>
    </row>
    <row r="202" spans="1:24" ht="14.25" customHeight="1" x14ac:dyDescent="0.2">
      <c r="A202" s="7" t="str">
        <f ca="1">IF(ISERROR(F195),"",VLOOKUP(C195,INDIRECT($F$8),6+(O202-1)*3,0))</f>
        <v>Enroll No.</v>
      </c>
      <c r="B202" s="41">
        <f ca="1">IF(ISERROR(F195),"",VLOOKUP(D195,INDIRECT($F$8),6+(O202-1)*3,0))</f>
        <v>0</v>
      </c>
      <c r="C202" s="41"/>
      <c r="D202" s="41"/>
      <c r="E202" s="41"/>
      <c r="F202" s="7">
        <f ca="1">IF(ISERROR(F195),"",VLOOKUP(E195,INDIRECT($F$8),6+(O202-1)*3,0))</f>
        <v>0</v>
      </c>
      <c r="G202" s="42" t="str">
        <f ca="1">IF(ISERROR(F195),"",_xlfn.TEXTJOIN("/",FALSE,P202,S202))</f>
        <v>UTU/2406100182/0</v>
      </c>
      <c r="H202" s="42"/>
      <c r="I202" s="42" t="str">
        <f ca="1">IF(ISERROR(F195),"",_xlfn.TEXTJOIN("/",FALSE,Q202,T202))</f>
        <v>KAMAL SINGH BISHT/0</v>
      </c>
      <c r="J202" s="42"/>
      <c r="K202" s="42" t="str">
        <f ca="1">IF(ISERROR(F195),"",_xlfn.TEXTJOIN("/",FALSE,R202,U202))</f>
        <v>0/0</v>
      </c>
      <c r="L202" s="42"/>
      <c r="M202" s="7" t="b">
        <f ca="1">IF(ISERROR(F195),"",IF(ISTEXT(P202),IF(P202="A","Ab",IF(P202="D","Dt",IF(P202="UFM","UFM",IF(P202="NA","")))),IF(AND(ISBLANK(P202),ISBLANK(R202)),"",IF(P202&lt;0.3*S202,"F",IF(ISBLANK(R202),"",IF(ISTEXT(R202),R202,IF(R202&gt;=0.9*U202,"O",IF(R202&gt;=0.85*U202,"A+",IF(R202&gt;=0.8*U202,"A",IF(R202&gt;=0.7*U202,"B+",IF(R202&gt;=0.6*U202,"B",IF(R202&gt;=0.5*U202,"C",IF(R202&gt;=0.4*U202,"P",IF(R202&lt;0.4*U202,"F",R202))))))))))))))</f>
        <v>0</v>
      </c>
      <c r="N202" s="8" t="e">
        <f t="shared" ca="1" si="22"/>
        <v>#N/A</v>
      </c>
      <c r="O202" t="b" cm="1">
        <f t="array" aca="1" ref="O202" ca="1">IF(NOT(ISBLANK(INDIRECT("SEM_III!L"&amp;INT((ROW(O202)-15)/17)+6))),3,IF(NOT(ISBLANK(INDIRECT("SEM_III!O"&amp;INT((ROW(O202)-15)/17)+6))),4))</f>
        <v>0</v>
      </c>
      <c r="P202" s="1" t="str">
        <f ca="1">IF(ISERROR(F195),"",IF(ISTEXT(VLOOKUP(B195,INDIRECT($F$8),6+(O202-1)*3)),(VLOOKUP(B195,INDIRECT($F$8),6+(O202-1)*3)),SUM(VLOOKUP(B195,INDIRECT($F$8),6+(O202-1)*3),IF(W208,W202,0))))</f>
        <v>UTU/2406100182</v>
      </c>
      <c r="Q202" s="1" t="str">
        <f ca="1">IF(ISERROR(F195),"",VLOOKUP(B195,INDIRECT($F$8),7+(O202-1)*3))</f>
        <v>KAMAL SINGH BISHT</v>
      </c>
      <c r="R202" s="1">
        <f ca="1">IF(ISERROR(F195),"",SUM(P202:Q202))</f>
        <v>0</v>
      </c>
      <c r="S202" s="1">
        <f ca="1">IF(ISERROR(F195),"",VLOOKUP(A195,INDIRECT($F$8),6+(O202-1)*3))</f>
        <v>0</v>
      </c>
      <c r="T202" s="1">
        <f ca="1">IF(ISERROR(F195),"",VLOOKUP(A195,INDIRECT($F$8),7+(O202-1)*3))</f>
        <v>0</v>
      </c>
      <c r="U202" s="1">
        <f ca="1">IF(ISERROR(F195),"",VLOOKUP(A195,INDIRECT($F$8),8+(O202-1)*3))</f>
        <v>0</v>
      </c>
      <c r="V202" s="1" t="e">
        <f ca="1">IF(ISERROR(F195),"",IF(N202=0,A202,""))</f>
        <v>#N/A</v>
      </c>
      <c r="W202" s="1">
        <f ca="1">IF(ISERROR(F195),"",IF(ISTEXT(VLOOKUP(B195,INDIRECT($F$8),6+(O202-1)*3)),11,IF(VLOOKUP(B195,INDIRECT($F$8),6+(O202-1)*3)&lt;S202*0.3,IF(VLOOKUP(B195,INDIRECT($F$8),8+(O202-1)*3)&lt;U202*0.4,IF(AND(0.4*U202-VLOOKUP(B195,INDIRECT($F$8),8+(O202-1)*3)&lt;=5,0.3*S202-VLOOKUP(B195,INDIRECT($F$8),6+(O202-1)*3)&lt;=5),MAX(0.4*U202-VLOOKUP(B195,INDIRECT($F$8),8+(O202-1)*3),0.3*S202-VLOOKUP(B195,INDIRECT($F$8),6+(O202-1)*3)),11),IF(0.3*S202-VLOOKUP(B195,INDIRECT($F$8),6+(O202-1)*3)&lt;=5,0.3*S202-VLOOKUP(B195,INDIRECT($F$8),6+(O202-1)*3),11)),IF(VLOOKUP(B195,INDIRECT($F$8),8+(O202-1)*3)&lt;U202*0.4,IF(U202*0.4-VLOOKUP(B195,INDIRECT($F$8),8+(O202-1)*3)&lt;=5,U202*0.4-VLOOKUP(B195,INDIRECT($F$8),8+(O202-1)*3),11),0))))</f>
        <v>11</v>
      </c>
      <c r="X202" s="1" t="str">
        <f ca="1">IF(ISERROR(F195),"",IF(W202=0,"",_xlfn.TEXTJOIN("",FALSE," G+",W202," in ",A202)))</f>
        <v xml:space="preserve"> G+11 in Enroll No.</v>
      </c>
    </row>
    <row r="203" spans="1:24" ht="14.25" customHeight="1" x14ac:dyDescent="0.2">
      <c r="A203" s="7" t="str">
        <f ca="1">IF(ISERROR(F195),"",VLOOKUP(C195,INDIRECT($F$8),6+(O203-1)*3,0))</f>
        <v>Enroll No.</v>
      </c>
      <c r="B203" s="41">
        <f ca="1">IF(ISERROR(F195),"",VLOOKUP(D195,INDIRECT($F$8),6+(O203-1)*3,0))</f>
        <v>0</v>
      </c>
      <c r="C203" s="41"/>
      <c r="D203" s="41"/>
      <c r="E203" s="41"/>
      <c r="F203" s="7">
        <f ca="1">IF(ISERROR(F195),"",VLOOKUP(E195,INDIRECT($F$8),6+(O203-1)*3,0))</f>
        <v>0</v>
      </c>
      <c r="G203" s="42" t="str">
        <f ca="1">IF(ISERROR(F195),"",_xlfn.TEXTJOIN("/",FALSE,P203,S203))</f>
        <v>UTU/2406100182/0</v>
      </c>
      <c r="H203" s="42"/>
      <c r="I203" s="42" t="str">
        <f ca="1">IF(ISERROR(F195),"",_xlfn.TEXTJOIN("/",FALSE,Q203,T203))</f>
        <v>KAMAL SINGH BISHT/0</v>
      </c>
      <c r="J203" s="42"/>
      <c r="K203" s="42" t="str">
        <f ca="1">IF(ISERROR(F195),"",_xlfn.TEXTJOIN("/",FALSE,R203,U203))</f>
        <v>0/0</v>
      </c>
      <c r="L203" s="42"/>
      <c r="M203" s="7" t="b">
        <f ca="1">IF(ISERROR(F195),"",IF(ISTEXT(P203),IF(P203="A","Ab",IF(P203="D","Dt",IF(P203="UFM","UFM",IF(P203="NA","")))),IF(AND(ISBLANK(P203),ISBLANK(R203)),"",IF(P203&lt;0.3*S203,"F",IF(ISBLANK(R203),"",IF(ISTEXT(R203),R203,IF(R203&gt;=0.9*U203,"O",IF(R203&gt;=0.85*U203,"A+",IF(R203&gt;=0.8*U203,"A",IF(R203&gt;=0.7*U203,"B+",IF(R203&gt;=0.6*U203,"B",IF(R203&gt;=0.5*U203,"C",IF(R203&gt;=0.4*U203,"P",IF(R203&lt;0.4*U203,"F",R203))))))))))))))</f>
        <v>0</v>
      </c>
      <c r="N203" s="8" t="e">
        <f t="shared" ca="1" si="22"/>
        <v>#N/A</v>
      </c>
      <c r="O203" t="b" cm="1">
        <f t="array" aca="1" ref="O203" ca="1">IF(NOT(ISBLANK(INDIRECT("SEM_III!R"&amp;INT((ROW(O203)-16)/17)+6))),5,IF(NOT(ISBLANK(INDIRECT("SEM_III!U"&amp;INT((ROW(O203)-16)/17)+6))),6))</f>
        <v>0</v>
      </c>
      <c r="P203" s="1" t="str">
        <f ca="1">IF(ISERROR(F195),"",IF(ISTEXT(VLOOKUP(B195,INDIRECT($F$8),6+(O203-1)*3)),(VLOOKUP(B195,INDIRECT($F$8),6+(O203-1)*3)),SUM(VLOOKUP(B195,INDIRECT($F$8),6+(O203-1)*3),IF(W208,W203,0))))</f>
        <v>UTU/2406100182</v>
      </c>
      <c r="Q203" s="1" t="str">
        <f ca="1">IF(ISERROR(F195),"",VLOOKUP(B195,INDIRECT($F$8),7+(O203-1)*3))</f>
        <v>KAMAL SINGH BISHT</v>
      </c>
      <c r="R203" s="1">
        <f ca="1">IF(ISERROR(F195),"",SUM(P203:Q203))</f>
        <v>0</v>
      </c>
      <c r="S203" s="1">
        <f ca="1">IF(ISERROR(F195),"",VLOOKUP(A195,INDIRECT($F$8),6+(O203-1)*3))</f>
        <v>0</v>
      </c>
      <c r="T203" s="1">
        <f ca="1">IF(ISERROR(F195),"",VLOOKUP(A195,INDIRECT($F$8),7+(O203-1)*3))</f>
        <v>0</v>
      </c>
      <c r="U203" s="1">
        <f ca="1">IF(ISERROR(F195),"",VLOOKUP(A195,INDIRECT($F$8),8+(O203-1)*3))</f>
        <v>0</v>
      </c>
      <c r="V203" s="1" t="e">
        <f ca="1">IF(ISERROR(F195),"",IF(N203=0,A203,""))</f>
        <v>#N/A</v>
      </c>
      <c r="W203" s="1">
        <f ca="1">IF(ISERROR(F195),"",IF(ISTEXT(VLOOKUP(B195,INDIRECT($F$8),6+(O203-1)*3)),11,IF(VLOOKUP(B195,INDIRECT($F$8),6+(O203-1)*3)&lt;S203*0.3,IF(VLOOKUP(B195,INDIRECT($F$8),8+(O203-1)*3)&lt;U203*0.4,IF(AND(0.4*U203-VLOOKUP(B195,INDIRECT($F$8),8+(O203-1)*3)&lt;=5,0.3*S203-VLOOKUP(B195,INDIRECT($F$8),6+(O203-1)*3)&lt;=5),MAX(0.4*U203-VLOOKUP(B195,INDIRECT($F$8),8+(O203-1)*3),0.3*S203-VLOOKUP(B195,INDIRECT($F$8),6+(O203-1)*3)),11),IF(0.3*S203-VLOOKUP(B195,INDIRECT($F$8),6+(O203-1)*3)&lt;=5,0.3*S203-VLOOKUP(B195,INDIRECT($F$8),6+(O203-1)*3),11)),IF(VLOOKUP(B195,INDIRECT($F$8),8+(O203-1)*3)&lt;U203*0.4,IF(U203*0.4-VLOOKUP(B195,INDIRECT($F$8),8+(O203-1)*3)&lt;=5,U203*0.4-VLOOKUP(B195,INDIRECT($F$8),8+(O203-1)*3),11),0))))</f>
        <v>11</v>
      </c>
      <c r="X203" s="1" t="str">
        <f ca="1">IF(ISERROR(F195),"",IF(W203=0,"",_xlfn.TEXTJOIN("",FALSE," G+",W203," in ",A203)))</f>
        <v xml:space="preserve"> G+11 in Enroll No.</v>
      </c>
    </row>
    <row r="204" spans="1:24" ht="14.25" customHeight="1" x14ac:dyDescent="0.2">
      <c r="A204" s="7" t="str">
        <f ca="1">IF(ISERROR(F195),"",VLOOKUP(C195,INDIRECT($F$8),6+(O204-1)*3,0))</f>
        <v>AHT 310</v>
      </c>
      <c r="B204" s="41" t="str">
        <f ca="1">IF(ISERROR(F195),"",VLOOKUP(D195,INDIRECT($F$8),6+(O204-1)*3,0))</f>
        <v>Universal Human Value</v>
      </c>
      <c r="C204" s="41"/>
      <c r="D204" s="41"/>
      <c r="E204" s="41"/>
      <c r="F204" s="7">
        <f ca="1">IF(ISERROR(F195),"",VLOOKUP(E195,INDIRECT($F$8),6+(O204-1)*3,0))</f>
        <v>3</v>
      </c>
      <c r="G204" s="42" t="str">
        <f ca="1">IF(ISERROR(F195),"",_xlfn.TEXTJOIN("/",FALSE,P204,S204))</f>
        <v>0/100</v>
      </c>
      <c r="H204" s="42"/>
      <c r="I204" s="42" t="str">
        <f ca="1">IF(ISERROR(F195),"",_xlfn.TEXTJOIN("/",FALSE,Q204,T204))</f>
        <v>0/50</v>
      </c>
      <c r="J204" s="42"/>
      <c r="K204" s="42" t="str">
        <f ca="1">IF(ISERROR(F195),"",_xlfn.TEXTJOIN("/",FALSE,R204,U204))</f>
        <v>0/150</v>
      </c>
      <c r="L204" s="42"/>
      <c r="M204" s="7" t="str">
        <f ca="1">IF(ISERROR(F195),"",IF(ISTEXT(P204),IF(P204="A","Ab",IF(P204="D","Dt",IF(P204="UFM","UFM",IF(P204="NA","")))),IF(AND(ISBLANK(P204),ISBLANK(R204)),"",IF(P204&lt;0.3*S204,"F",IF(ISBLANK(R204),"",IF(ISTEXT(R204),R204,IF(R204&gt;=0.9*U204,"O",IF(R204&gt;=0.85*U204,"A+",IF(R204&gt;=0.8*U204,"A",IF(R204&gt;=0.7*U204,"B+",IF(R204&gt;=0.6*U204,"B",IF(R204&gt;=0.5*U204,"C",IF(R204&gt;=0.4*U204,"P",IF(R204&lt;0.4*U204,"F",R204))))))))))))))</f>
        <v>F</v>
      </c>
      <c r="N204" s="8">
        <f t="shared" ca="1" si="22"/>
        <v>0</v>
      </c>
      <c r="O204">
        <f ca="1">IF(O203&gt;0,7,"")</f>
        <v>7</v>
      </c>
      <c r="P204" s="1">
        <f ca="1">IF(ISERROR(F195),"",IF(ISTEXT(VLOOKUP(B195,INDIRECT($F$8),6+(O204-1)*3)),(VLOOKUP(B195,INDIRECT($F$8),6+(O204-1)*3)),SUM(VLOOKUP(B195,INDIRECT($F$8),6+(O204-1)*3),IF(W208,W204,0))))</f>
        <v>0</v>
      </c>
      <c r="Q204" s="1">
        <f ca="1">IF(ISERROR(F195),"",VLOOKUP(B195,INDIRECT($F$8),7+(O204-1)*3))</f>
        <v>0</v>
      </c>
      <c r="R204" s="1">
        <f ca="1">IF(ISERROR(F195),"",SUM(P204:Q204))</f>
        <v>0</v>
      </c>
      <c r="S204" s="1">
        <f ca="1">IF(ISERROR(F195),"",VLOOKUP(A195,INDIRECT($F$8),6+(O204-1)*3))</f>
        <v>100</v>
      </c>
      <c r="T204" s="1">
        <f ca="1">IF(ISERROR(F195),"",VLOOKUP(A195,INDIRECT($F$8),7+(O204-1)*3))</f>
        <v>50</v>
      </c>
      <c r="U204" s="1">
        <f ca="1">IF(ISERROR(F195),"",VLOOKUP(A195,INDIRECT($F$8),8+(O204-1)*3))</f>
        <v>150</v>
      </c>
      <c r="V204" s="1" t="str">
        <f ca="1">IF(ISERROR(F195),"",IF(N204=0,A204,""))</f>
        <v>AHT 310</v>
      </c>
      <c r="W204" s="1">
        <f ca="1">IF(ISERROR(F195),"",IF(ISTEXT(VLOOKUP(B195,INDIRECT($F$8),6+(O204-1)*3)),11,IF(VLOOKUP(B195,INDIRECT($F$8),6+(O204-1)*3)&lt;S204*0.3,IF(VLOOKUP(B195,INDIRECT($F$8),8+(O204-1)*3)&lt;U204*0.4,IF(AND(0.4*U204-VLOOKUP(B195,INDIRECT($F$8),8+(O204-1)*3)&lt;=5,0.3*S204-VLOOKUP(B195,INDIRECT($F$8),6+(O204-1)*3)&lt;=5),MAX(0.4*U204-VLOOKUP(B195,INDIRECT($F$8),8+(O204-1)*3),0.3*S204-VLOOKUP(B195,INDIRECT($F$8),6+(O204-1)*3)),11),IF(0.3*S204-VLOOKUP(B195,INDIRECT($F$8),6+(O204-1)*3)&lt;=5,0.3*S204-VLOOKUP(B195,INDIRECT($F$8),6+(O204-1)*3),11)),IF(VLOOKUP(B195,INDIRECT($F$8),8+(O204-1)*3)&lt;U204*0.4,IF(U204*0.4-VLOOKUP(B195,INDIRECT($F$8),8+(O204-1)*3)&lt;=5,U204*0.4-VLOOKUP(B195,INDIRECT($F$8),8+(O204-1)*3),11),0))))</f>
        <v>11</v>
      </c>
      <c r="X204" s="1" t="str">
        <f ca="1">IF(ISERROR(F195),"",IF(W204=0,"",_xlfn.TEXTJOIN("",FALSE," G+",W204," in ",A204)))</f>
        <v xml:space="preserve"> G+11 in AHT 310</v>
      </c>
    </row>
    <row r="205" spans="1:24" ht="14.25" customHeight="1" x14ac:dyDescent="0.2">
      <c r="A205" s="7" t="str">
        <f ca="1">IF(ISERROR(F195),"",VLOOKUP(C195,INDIRECT($F$8),6+(O205-1)*3,0))</f>
        <v>CAP 008</v>
      </c>
      <c r="B205" s="41" t="str">
        <f ca="1">IF(ISERROR(F195),"",VLOOKUP(D195,INDIRECT($F$8),6+(O205-1)*3,0))</f>
        <v>Software Engineering Lab</v>
      </c>
      <c r="C205" s="41"/>
      <c r="D205" s="41"/>
      <c r="E205" s="41"/>
      <c r="F205" s="7">
        <f ca="1">IF(ISERROR(F195),"",VLOOKUP(E195,INDIRECT($F$8),6+(O205-1)*3,0))</f>
        <v>1</v>
      </c>
      <c r="G205" s="42" t="str">
        <f ca="1">IF(ISERROR(F195),"",_xlfn.TEXTJOIN("/",FALSE,P205,S205))</f>
        <v>0/30</v>
      </c>
      <c r="H205" s="42"/>
      <c r="I205" s="42" t="str">
        <f ca="1">IF(ISERROR(F195),"",_xlfn.TEXTJOIN("/",FALSE,Q205,T205))</f>
        <v>0/20</v>
      </c>
      <c r="J205" s="42"/>
      <c r="K205" s="42" t="str">
        <f ca="1">IF(ISERROR(F195),"",_xlfn.TEXTJOIN("/",FALSE,R205,U205))</f>
        <v>0/50</v>
      </c>
      <c r="L205" s="42"/>
      <c r="M205" s="7" t="str">
        <f ca="1">IF(ISERROR(F195),"",IF(ISTEXT(P205),IF(P205="A","Ab",IF(P205="D","Dt",IF(P205="UFM","UFM",IF(P205="NA","")))),IF(AND(ISBLANK(P205),ISBLANK(R205)),"",IF(P205&lt;0.3*S205,"F",IF(ISBLANK(R205),"",IF(ISTEXT(R205),R205,IF(R205&gt;=0.9*U205,"O",IF(R205&gt;=0.85*U205,"A+",IF(R205&gt;=0.8*U205,"A",IF(R205&gt;=0.7*U205,"B+",IF(R205&gt;=0.6*U205,"B",IF(R205&gt;=0.5*U205,"C",IF(R205&gt;=0.4*U205,"P",IF(R205&lt;0.4*U205,"F",R205))))))))))))))</f>
        <v>F</v>
      </c>
      <c r="N205" s="8">
        <f t="shared" ca="1" si="22"/>
        <v>0</v>
      </c>
      <c r="O205">
        <f t="shared" ref="O205:O207" ca="1" si="23">O204+1</f>
        <v>8</v>
      </c>
      <c r="P205" s="1">
        <f ca="1">IF(ISERROR(F195),"",IF(ISTEXT(VLOOKUP(B195,INDIRECT($F$8),6+(O205-1)*3)),(VLOOKUP(B195,INDIRECT($F$8),6+(O205-1)*3)),SUM(VLOOKUP(B195,INDIRECT($F$8),6+(O205-1)*3),IF(W208,W205,0))))</f>
        <v>0</v>
      </c>
      <c r="Q205" s="1">
        <f ca="1">IF(ISERROR(F195),"",VLOOKUP(B195,INDIRECT($F$8),7+(O205-1)*3))</f>
        <v>0</v>
      </c>
      <c r="R205" s="1">
        <f ca="1">IF(ISERROR(F195),"",SUM(P205:Q205))</f>
        <v>0</v>
      </c>
      <c r="S205" s="1">
        <f ca="1">IF(ISERROR(F195),"",VLOOKUP(A195,INDIRECT($F$8),6+(O205-1)*3))</f>
        <v>30</v>
      </c>
      <c r="T205" s="1">
        <f ca="1">IF(ISERROR(F195),"",VLOOKUP(A195,INDIRECT($F$8),7+(O205-1)*3))</f>
        <v>20</v>
      </c>
      <c r="U205" s="1">
        <f ca="1">IF(ISERROR(F195),"",VLOOKUP(A195,INDIRECT($F$8),8+(O205-1)*3))</f>
        <v>50</v>
      </c>
      <c r="V205" s="1" t="str">
        <f ca="1">IF(ISERROR(F195),"",IF(N205=0,A205,""))</f>
        <v>CAP 008</v>
      </c>
      <c r="W205" s="1">
        <f ca="1">IF(ISERROR(F195),"",IF(ISTEXT(VLOOKUP(B195,INDIRECT($F$8),6+(O205-1)*3)),11,IF(VLOOKUP(B195,INDIRECT($F$8),6+(O205-1)*3)&lt;S205*0.3,IF(VLOOKUP(B195,INDIRECT($F$8),8+(O205-1)*3)&lt;U205*0.4,IF(AND(0.4*U205-VLOOKUP(B195,INDIRECT($F$8),8+(O205-1)*3)&lt;=5,0.3*S205-VLOOKUP(B195,INDIRECT($F$8),6+(O205-1)*3)&lt;=5),MAX(0.4*U205-VLOOKUP(B195,INDIRECT($F$8),8+(O205-1)*3),0.3*S205-VLOOKUP(B195,INDIRECT($F$8),6+(O205-1)*3)),11),IF(0.3*S205-VLOOKUP(B195,INDIRECT($F$8),6+(O205-1)*3)&lt;=5,0.3*S205-VLOOKUP(B195,INDIRECT($F$8),6+(O205-1)*3),11)),IF(VLOOKUP(B195,INDIRECT($F$8),8+(O205-1)*3)&lt;U205*0.4,IF(U205*0.4-VLOOKUP(B195,INDIRECT($F$8),8+(O205-1)*3)&lt;=5,U205*0.4-VLOOKUP(B195,INDIRECT($F$8),8+(O205-1)*3),11),0))))</f>
        <v>11</v>
      </c>
      <c r="X205" s="1" t="str">
        <f ca="1">IF(ISERROR(F195),"",IF(W205=0,"",_xlfn.TEXTJOIN("",FALSE," G+",W205," in ",A205)))</f>
        <v xml:space="preserve"> G+11 in CAP 008</v>
      </c>
    </row>
    <row r="206" spans="1:24" ht="14.25" customHeight="1" x14ac:dyDescent="0.2">
      <c r="A206" s="7" t="str">
        <f ca="1">IF(ISERROR(F195),"",VLOOKUP(C195,INDIRECT($F$8),6+(O206-1)*3,0))</f>
        <v>CAP 009</v>
      </c>
      <c r="B206" s="41" t="str">
        <f ca="1">IF(ISERROR(F195),"",VLOOKUP(D195,INDIRECT($F$8),6+(O206-1)*3,0))</f>
        <v>Seminar</v>
      </c>
      <c r="C206" s="41"/>
      <c r="D206" s="41"/>
      <c r="E206" s="41"/>
      <c r="F206" s="7">
        <f ca="1">IF(ISERROR(F195),"",VLOOKUP(E195,INDIRECT($F$8),6+(O206-1)*3,0))</f>
        <v>2</v>
      </c>
      <c r="G206" s="42" t="str">
        <f ca="1">IF(ISERROR(F195),"",_xlfn.TEXTJOIN("/",FALSE,P206,S206))</f>
        <v>0/0</v>
      </c>
      <c r="H206" s="42"/>
      <c r="I206" s="42" t="str">
        <f ca="1">IF(ISERROR(F195),"",_xlfn.TEXTJOIN("/",FALSE,Q206,T206))</f>
        <v>0/100</v>
      </c>
      <c r="J206" s="42"/>
      <c r="K206" s="42" t="str">
        <f ca="1">IF(ISERROR(F195),"",_xlfn.TEXTJOIN("/",FALSE,R206,U206))</f>
        <v>0/100</v>
      </c>
      <c r="L206" s="42"/>
      <c r="M206" s="7" t="str">
        <f ca="1">IF(ISERROR(F195),"",IF(ISTEXT(P206),IF(P206="A","Ab",IF(P206="D","Dt",IF(P206="UFM","UFM",IF(P206="NA","")))),IF(AND(ISBLANK(P206),ISBLANK(R206)),"",IF(P206&lt;0.3*S206,"F",IF(ISBLANK(R206),"",IF(ISTEXT(R206),R206,IF(R206&gt;=0.9*U206,"O",IF(R206&gt;=0.85*U206,"A+",IF(R206&gt;=0.8*U206,"A",IF(R206&gt;=0.7*U206,"B+",IF(R206&gt;=0.6*U206,"B",IF(R206&gt;=0.5*U206,"C",IF(R206&gt;=0.4*U206,"P",IF(R206&lt;0.4*U206,"F",R206))))))))))))))</f>
        <v>F</v>
      </c>
      <c r="N206" s="8">
        <f t="shared" ca="1" si="22"/>
        <v>0</v>
      </c>
      <c r="O206">
        <f t="shared" ca="1" si="23"/>
        <v>9</v>
      </c>
      <c r="P206" s="1">
        <f ca="1">IF(ISERROR(F195),"",IF(ISTEXT(VLOOKUP(B195,INDIRECT($F$8),6+(O206-1)*3)),(VLOOKUP(B195,INDIRECT($F$8),6+(O206-1)*3)),SUM(VLOOKUP(B195,INDIRECT($F$8),6+(O206-1)*3),IF(W208,W206,0))))</f>
        <v>0</v>
      </c>
      <c r="Q206" s="1">
        <f ca="1">IF(ISERROR(F195),"",VLOOKUP(B195,INDIRECT($F$8),7+(O206-1)*3))</f>
        <v>0</v>
      </c>
      <c r="R206" s="1">
        <f ca="1">IF(ISERROR(F195),"",SUM(P206:Q206))</f>
        <v>0</v>
      </c>
      <c r="S206" s="1">
        <f ca="1">IF(ISERROR(F195),"",VLOOKUP(A195,INDIRECT($F$8),6+(O206-1)*3))</f>
        <v>0</v>
      </c>
      <c r="T206" s="1">
        <f ca="1">IF(ISERROR(F195),"",VLOOKUP(A195,INDIRECT($F$8),7+(O206-1)*3))</f>
        <v>100</v>
      </c>
      <c r="U206" s="1">
        <f ca="1">IF(ISERROR(F195),"",VLOOKUP(A195,INDIRECT($F$8),8+(O206-1)*3))</f>
        <v>100</v>
      </c>
      <c r="V206" s="1" t="str">
        <f ca="1">IF(ISERROR(F195),"",IF(N206=0,A206,""))</f>
        <v>CAP 009</v>
      </c>
      <c r="W206" s="1">
        <f ca="1">IF(ISERROR(F195),"",IF(ISTEXT(VLOOKUP(B195,INDIRECT($F$8),6+(O206-1)*3)),11,IF(VLOOKUP(B195,INDIRECT($F$8),6+(O206-1)*3)&lt;S206*0.3,IF(VLOOKUP(B195,INDIRECT($F$8),8+(O206-1)*3)&lt;U206*0.4,IF(AND(0.4*U206-VLOOKUP(B195,INDIRECT($F$8),8+(O206-1)*3)&lt;=5,0.3*S206-VLOOKUP(B195,INDIRECT($F$8),6+(O206-1)*3)&lt;=5),MAX(0.4*U206-VLOOKUP(B195,INDIRECT($F$8),8+(O206-1)*3),0.3*S206-VLOOKUP(B195,INDIRECT($F$8),6+(O206-1)*3)),11),IF(0.3*S206-VLOOKUP(B195,INDIRECT($F$8),6+(O206-1)*3)&lt;=5,0.3*S206-VLOOKUP(B195,INDIRECT($F$8),6+(O206-1)*3),11)),IF(VLOOKUP(B195,INDIRECT($F$8),8+(O206-1)*3)&lt;U206*0.4,IF(U206*0.4-VLOOKUP(B195,INDIRECT($F$8),8+(O206-1)*3)&lt;=5,U206*0.4-VLOOKUP(B195,INDIRECT($F$8),8+(O206-1)*3),11),0))))</f>
        <v>11</v>
      </c>
      <c r="X206" s="1" t="str">
        <f ca="1">IF(ISERROR(F195),"",IF(W206=0,"",_xlfn.TEXTJOIN("",FALSE," G+",W206," in ",A206)))</f>
        <v xml:space="preserve"> G+11 in CAP 009</v>
      </c>
    </row>
    <row r="207" spans="1:24" ht="14.25" customHeight="1" x14ac:dyDescent="0.2">
      <c r="A207" s="7" t="str">
        <f ca="1">IF(ISERROR(F195),"",VLOOKUP(C195,INDIRECT($F$8),6+(O207-1)*3,0))</f>
        <v>CAP 010</v>
      </c>
      <c r="B207" s="41" t="str">
        <f ca="1">IF(ISERROR(F195),"",VLOOKUP(D195,INDIRECT($F$8),6+(O207-1)*3-Z207,0))</f>
        <v>Minor Project</v>
      </c>
      <c r="C207" s="41"/>
      <c r="D207" s="41"/>
      <c r="E207" s="41"/>
      <c r="F207" s="7">
        <f ca="1">IF(ISERROR(F195),"",VLOOKUP(E195,INDIRECT($F$8),6+(O207-1)*3,0))</f>
        <v>2</v>
      </c>
      <c r="G207" s="42" t="str">
        <f ca="1">IF(ISERROR(F195),"",_xlfn.TEXTJOIN("/",FALSE,P207,S207))</f>
        <v>0/50</v>
      </c>
      <c r="H207" s="42"/>
      <c r="I207" s="42" t="str">
        <f ca="1">IF(ISERROR(F195),"",_xlfn.TEXTJOIN("/",FALSE,Q207,T207))</f>
        <v>0/50</v>
      </c>
      <c r="J207" s="42"/>
      <c r="K207" s="42" t="str">
        <f ca="1">IF(ISERROR(F195),"",_xlfn.TEXTJOIN("/",FALSE,R207,U207))</f>
        <v>0/100</v>
      </c>
      <c r="L207" s="42"/>
      <c r="M207" s="7" t="str">
        <f ca="1">IF(ISERROR(F195),"",IF(ISTEXT(P207),IF(P207="A","Ab",IF(P207="D","Dt",IF(P207="UFM","UFM",IF(P207="NA","")))),IF(AND(ISBLANK(P207),ISBLANK(R207)),"",IF(P207&lt;0.3*S207,"F",IF(ISBLANK(R207),"",IF(ISTEXT(R207),R207,IF(R207&gt;=0.9*U207,"O",IF(R207&gt;=0.85*U207,"A+",IF(R207&gt;=0.8*U207,"A",IF(R207&gt;=0.7*U207,"B+",IF(R207&gt;=0.6*U207,"B",IF(R207&gt;=0.5*U207,"C",IF(R207&gt;=0.4*U207,"P",IF(R207&lt;0.4*U207,"F",R207))))))))))))))</f>
        <v>F</v>
      </c>
      <c r="N207" s="8">
        <f t="shared" ca="1" si="22"/>
        <v>0</v>
      </c>
      <c r="O207">
        <f t="shared" ca="1" si="23"/>
        <v>10</v>
      </c>
      <c r="P207" s="1">
        <f ca="1">IF(ISERROR(F195),"",IF(ISTEXT(VLOOKUP(B195,INDIRECT($F$8),6+(O207-1)*3)),(VLOOKUP(B195,INDIRECT($F$8),6+(O207-1)*3)),SUM(VLOOKUP(B195,INDIRECT($F$8),6+(O207-1)*3),IF(W208,W207,0))))</f>
        <v>0</v>
      </c>
      <c r="Q207" s="1">
        <f ca="1">IF(ISERROR(F195),"",VLOOKUP(B195,INDIRECT($F$8),7+(O207-1)*3))</f>
        <v>0</v>
      </c>
      <c r="R207" s="1">
        <f ca="1">IF(ISERROR(F195),"",SUM(P207:Q207))</f>
        <v>0</v>
      </c>
      <c r="S207" s="1">
        <f ca="1">IF(ISERROR(F195),"",VLOOKUP(A195,INDIRECT($F$8),6+(O207-1)*3))</f>
        <v>50</v>
      </c>
      <c r="T207" s="1">
        <f ca="1">IF(ISERROR(F195),"",VLOOKUP(A195,INDIRECT($F$8),7+(O207-1)*3))</f>
        <v>50</v>
      </c>
      <c r="U207" s="1">
        <f ca="1">IF(ISERROR(F195),"",VLOOKUP(A195,INDIRECT($F$8),8+(O207-1)*3))</f>
        <v>100</v>
      </c>
      <c r="V207" s="1" t="str">
        <f ca="1">IF(ISERROR(F195),"",IF(N207=0,A207,""))</f>
        <v>CAP 010</v>
      </c>
      <c r="W207" s="1">
        <f ca="1">IF(ISERROR(F195),"",IF(ISTEXT(VLOOKUP(B195,INDIRECT($F$8),6+(O207-1)*3)),11,IF(VLOOKUP(B195,INDIRECT($F$8),6+(O207-1)*3)&lt;S207*0.3,IF(VLOOKUP(B195,INDIRECT($F$8),8+(O207-1)*3)&lt;U207*0.4,IF(AND(0.4*U207-VLOOKUP(B195,INDIRECT($F$8),8+(O207-1)*3)&lt;=5,0.3*S207-VLOOKUP(B195,INDIRECT($F$8),6+(O207-1)*3)&lt;=5),MAX(0.4*U207-VLOOKUP(B195,INDIRECT($F$8),8+(O207-1)*3),0.3*S207-VLOOKUP(B195,INDIRECT($F$8),6+(O207-1)*3)),11),IF(0.3*S207-VLOOKUP(B195,INDIRECT($F$8),6+(O207-1)*3)&lt;=5,0.3*S207-VLOOKUP(B195,INDIRECT($F$8),6+(O207-1)*3),11)),IF(VLOOKUP(B195,INDIRECT($F$8),8+(O207-1)*3)&lt;U207*0.4,IF(U207*0.4-VLOOKUP(B195,INDIRECT($F$8),8+(O207-1)*3)&lt;=5,U207*0.4-VLOOKUP(B195,INDIRECT($F$8),8+(O207-1)*3),11),0))))</f>
        <v>11</v>
      </c>
      <c r="X207" s="1" t="str">
        <f ca="1">IF(ISERROR(F195),"",IF(W207=0,"",_xlfn.TEXTJOIN("",FALSE," G+",W207," in ",A207)))</f>
        <v xml:space="preserve"> G+11 in CAP 010</v>
      </c>
    </row>
    <row r="208" spans="1:24" ht="14.25" customHeight="1" x14ac:dyDescent="0.2">
      <c r="A208" s="43" t="str">
        <f ca="1">IF(ISERROR(F195),"",A191)</f>
        <v>Total Credits/ Marks/ Total Grade Points</v>
      </c>
      <c r="B208" s="43"/>
      <c r="C208" s="43"/>
      <c r="D208" s="43"/>
      <c r="E208" s="43"/>
      <c r="F208" s="10">
        <f ca="1">IF(ISERROR(F195),"",SUM(F200:F207))</f>
        <v>16</v>
      </c>
      <c r="G208" s="44" t="str">
        <f ca="1">IF(ISERROR(F195),"",_xlfn.TEXTJOIN("/",TRUE,SUMIF(F200:F207,"&gt;0",P200:P207),SUMIF(F200:F207,"&gt;0",S200:S207)))</f>
        <v>0/380</v>
      </c>
      <c r="H208" s="44"/>
      <c r="I208" s="44" t="str">
        <f ca="1">IF(ISERROR(F195),"",_xlfn.TEXTJOIN("/",TRUE,SUMIF(F200:F207,"&gt;0",Q200:Q207),SUMIF(F200:F207,"&gt;0",T200:T207)))</f>
        <v>0/320</v>
      </c>
      <c r="J208" s="44"/>
      <c r="K208" s="44" t="str">
        <f ca="1">IF(ISERROR(F195),"",_xlfn.TEXTJOIN("/",TRUE,SUMIF(F200:F207,"&gt;0",R200:R207),SUMIF(F200:F207,"&gt;0",U200:U207)))</f>
        <v>0/700</v>
      </c>
      <c r="L208" s="44"/>
      <c r="M208" s="43" t="e">
        <f ca="1">IF(ISERROR(F195),"",SUMPRODUCT(N200:N207,F200:F207))</f>
        <v>#N/A</v>
      </c>
      <c r="N208" s="43"/>
      <c r="V208" s="1" t="e">
        <f ca="1">IF(ISERROR(F195),"",_xlfn.TEXTJOIN(", ",TRUE,V200:V207))</f>
        <v>#N/A</v>
      </c>
      <c r="W208" t="b">
        <f ca="1">IF(ISERROR(F195),"",IF(SUM(W200:W207)&lt;=W199,TRUE,FALSE))</f>
        <v>0</v>
      </c>
      <c r="X208" s="1" t="str">
        <f ca="1">IF(ISERROR(F195),"",_xlfn.TEXTJOIN(",",TRUE,X200:X207))</f>
        <v xml:space="preserve"> G+11 in CAT  014, G+11 in CAT 015, G+11 in Enroll No., G+11 in Enroll No., G+11 in AHT 310, G+11 in CAP 008, G+11 in CAP 009, G+11 in CAP 010</v>
      </c>
    </row>
    <row r="209" spans="1:24" ht="14.25" customHeight="1" x14ac:dyDescent="0.2">
      <c r="A209" s="43" t="str">
        <f ca="1">IF(ISERROR(F195),"",A192)</f>
        <v>Result:</v>
      </c>
      <c r="B209" s="45" t="e">
        <f ca="1">IF(ISERROR(F195),"",IF(V208="","PASS","CARRY OVER"))</f>
        <v>#N/A</v>
      </c>
      <c r="C209" s="45"/>
      <c r="D209" s="43" t="str">
        <f ca="1">IF(ISERROR(F195),"",D192)</f>
        <v>Remark:</v>
      </c>
      <c r="E209" s="45" t="e">
        <f ca="1">IF(ISERROR(F195),"",IF(V208="",IF(X208="","",X208),_xlfn.TEXTJOIN(" ",TRUE,"BACK IN",V208)))</f>
        <v>#N/A</v>
      </c>
      <c r="F209" s="45"/>
      <c r="G209" s="43" t="str">
        <f ca="1">IF(ISERROR(F195),"",G192)</f>
        <v>SGPA:</v>
      </c>
      <c r="H209" s="46" t="e">
        <f ca="1">IF(ISERROR(F195),"",M208/F208)</f>
        <v>#N/A</v>
      </c>
      <c r="I209" s="43" t="str">
        <f ca="1">IF(ISERROR(F195),"",I192)</f>
        <v>CGPA:</v>
      </c>
      <c r="J209" s="46" t="e">
        <f ca="1">IF(ISERROR(F195),"",VLOOKUP(B195,INDIRECT($F$8),12+(O207-1)*3,0))</f>
        <v>#N/A</v>
      </c>
      <c r="K209" s="45" t="str">
        <f ca="1">IF(ISERROR(F195),"",K192)</f>
        <v>Earned Credits:</v>
      </c>
      <c r="L209" s="43">
        <f ca="1">IF(ISERROR(F195),"",SUMIF(N200:N207,"&gt;0",F200:F207))</f>
        <v>0</v>
      </c>
      <c r="M209" s="45" t="str">
        <f ca="1">IF(ISERROR(F195),"",M192)</f>
        <v>Cuml. Earned Credits:</v>
      </c>
      <c r="N209" s="43" t="e">
        <f ca="1">IF(ISERROR(F195),"",VLOOKUP(B195,INDIRECT($F$8),10+(O207-1)*3,0))</f>
        <v>#N/A</v>
      </c>
    </row>
    <row r="210" spans="1:24" ht="14.25" customHeight="1" x14ac:dyDescent="0.2">
      <c r="A210" s="43"/>
      <c r="B210" s="45"/>
      <c r="C210" s="45"/>
      <c r="D210" s="43"/>
      <c r="E210" s="45"/>
      <c r="F210" s="45"/>
      <c r="G210" s="43"/>
      <c r="H210" s="46"/>
      <c r="I210" s="43"/>
      <c r="J210" s="46"/>
      <c r="K210" s="45"/>
      <c r="L210" s="43"/>
      <c r="M210" s="45"/>
      <c r="N210" s="43"/>
    </row>
    <row r="211" spans="1:24" ht="14.25" customHeight="1" x14ac:dyDescent="0.2">
      <c r="A211" s="43"/>
      <c r="B211" s="45"/>
      <c r="C211" s="45"/>
      <c r="D211" s="43"/>
      <c r="E211" s="45"/>
      <c r="F211" s="45"/>
      <c r="G211" s="43"/>
      <c r="H211" s="46"/>
      <c r="I211" s="43"/>
      <c r="J211" s="46"/>
      <c r="K211" s="45"/>
      <c r="L211" s="43"/>
      <c r="M211" s="45"/>
      <c r="N211" s="43"/>
    </row>
    <row r="212" spans="1:24" ht="14.25" customHeight="1" x14ac:dyDescent="0.2">
      <c r="A212" s="11" t="str">
        <f>A195</f>
        <v>MM</v>
      </c>
      <c r="B212" s="11">
        <f>B195+1</f>
        <v>13</v>
      </c>
      <c r="C212" s="11" t="str">
        <f>C195</f>
        <v>SC</v>
      </c>
      <c r="D212" s="11" t="str">
        <f>D195</f>
        <v>SN</v>
      </c>
      <c r="E212" s="11" t="str">
        <f>E195</f>
        <v>C</v>
      </c>
      <c r="F212" s="11" t="str">
        <f ca="1">VLOOKUP(B212,INDIRECT($F$8),4,0)</f>
        <v>KRISHNA BHATT</v>
      </c>
    </row>
    <row r="213" spans="1:24" ht="14.25" customHeight="1" x14ac:dyDescent="0.2">
      <c r="A213" s="47" t="str">
        <f ca="1">IF(ISERROR(F212),"",A196)</f>
        <v>Name:</v>
      </c>
      <c r="B213" s="47" t="str">
        <f ca="1">IFERROR(VLOOKUP(B212,INDIRECT($F$8),4,0),"")</f>
        <v>KRISHNA BHATT</v>
      </c>
      <c r="C213" s="47"/>
      <c r="D213" s="47" t="str">
        <f ca="1">IF(ISERROR(F212),"",D196)</f>
        <v>Father's Name:</v>
      </c>
      <c r="E213" s="47" t="str">
        <f ca="1">IFERROR(VLOOKUP(B212,INDIRECT($F$8),5,0),"")</f>
        <v>HARENDRA PRASAD BHATT</v>
      </c>
      <c r="F213" s="47"/>
      <c r="G213" s="47" t="str">
        <f ca="1">IF(ISERROR(F212),"",G196)</f>
        <v>University Roll No:</v>
      </c>
      <c r="H213" s="47"/>
      <c r="I213" s="48">
        <f ca="1">IFERROR(VLOOKUP(B212,INDIRECT($F$8),2,0),"")</f>
        <v>240090600013</v>
      </c>
      <c r="J213" s="48"/>
      <c r="K213" s="47" t="str">
        <f ca="1">IF(ISERROR(F212),"",K196)</f>
        <v>University Enrol. No:</v>
      </c>
      <c r="L213" s="47"/>
      <c r="M213" s="48" t="str">
        <f ca="1">IFERROR(VLOOKUP(B212,INDIRECT($F$8),3,0),"")</f>
        <v>UTU/2406100175</v>
      </c>
      <c r="N213" s="48"/>
    </row>
    <row r="214" spans="1:24" ht="14.25" customHeight="1" x14ac:dyDescent="0.2">
      <c r="A214" s="47"/>
      <c r="B214" s="47"/>
      <c r="C214" s="47"/>
      <c r="D214" s="47"/>
      <c r="E214" s="47"/>
      <c r="F214" s="47"/>
      <c r="G214" s="47"/>
      <c r="H214" s="47"/>
      <c r="I214" s="48"/>
      <c r="J214" s="48"/>
      <c r="K214" s="47"/>
      <c r="L214" s="47"/>
      <c r="M214" s="48"/>
      <c r="N214" s="48"/>
    </row>
    <row r="215" spans="1:24" ht="14.25" customHeight="1" x14ac:dyDescent="0.2">
      <c r="A215" s="45" t="str">
        <f ca="1">IF(ISERROR(F212),"",A198)</f>
        <v>Subject Code</v>
      </c>
      <c r="B215" s="45" t="str">
        <f ca="1">IF(ISERROR(F212),"",B198)</f>
        <v>Subject Name</v>
      </c>
      <c r="C215" s="45"/>
      <c r="D215" s="45"/>
      <c r="E215" s="45"/>
      <c r="F215" s="45" t="str">
        <f ca="1">IF(ISERROR(F212),"",F198)</f>
        <v>Credits</v>
      </c>
      <c r="G215" s="45" t="str">
        <f ca="1">IF(ISERROR(F212),"",G198)</f>
        <v>External Marks</v>
      </c>
      <c r="H215" s="45"/>
      <c r="I215" s="45" t="str">
        <f ca="1">IF(ISERROR(F212),"",I198)</f>
        <v>Sessional Marks</v>
      </c>
      <c r="J215" s="45"/>
      <c r="K215" s="45" t="str">
        <f ca="1">IF(ISERROR(F212),"",K198)</f>
        <v>Total Marks</v>
      </c>
      <c r="L215" s="45"/>
      <c r="M215" s="45" t="str">
        <f ca="1">IF(ISERROR(F212),"",M198)</f>
        <v>Grade</v>
      </c>
      <c r="N215" s="45" t="str">
        <f ca="1">IF(ISERROR(F212),"",N198)</f>
        <v>Grade Points</v>
      </c>
    </row>
    <row r="216" spans="1:24" ht="14.25" customHeight="1" x14ac:dyDescent="0.2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W216">
        <f ca="1">IF(ISNUMBER(MATCH($F$8,{"I","III","V","VII"},0)),10,10-INDEX(INDIRECT(_xlfn.TEXTJOIN("",TRUE,"SEM_",$G$8,"!",ADDRESS(6,4+$I$8*3+4),":",ADDRESS(5+$H$8,4+$I$8*3+4))),MATCH(INDIRECT(_xlfn.TEXTJOIN("",TRUE,"TC_",$F$8,"!",ADDRESS(ROW(I213),COLUMN(I213)))),INDIRECT(_xlfn.TEXTJOIN("",TRUE,"SEM_",$G$8,"!",ADDRESS(6,2),":",ADDRESS(5+$H$8,2))))))</f>
        <v>10</v>
      </c>
    </row>
    <row r="217" spans="1:24" ht="14.25" customHeight="1" x14ac:dyDescent="0.2">
      <c r="A217" s="7" t="str">
        <f ca="1">IF(ISERROR(F212),"",VLOOKUP(C212,INDIRECT($F$8),6+(O217-1)*3,0))</f>
        <v>CAT  014</v>
      </c>
      <c r="B217" s="41" t="str">
        <f ca="1">IF(ISERROR(F212),"",VLOOKUP(D212,INDIRECT($F$8),6+(O217-1)*3,0))</f>
        <v>Graph Theory</v>
      </c>
      <c r="C217" s="41"/>
      <c r="D217" s="41"/>
      <c r="E217" s="41"/>
      <c r="F217" s="7">
        <f ca="1">IF(ISERROR(F212),"",VLOOKUP(E212,INDIRECT($F$8),6+(O217-1)*3,0))</f>
        <v>4</v>
      </c>
      <c r="G217" s="42" t="str">
        <f ca="1">IF(ISERROR(F212),"",_xlfn.TEXTJOIN("/",FALSE,P217,S217))</f>
        <v>0/100</v>
      </c>
      <c r="H217" s="42"/>
      <c r="I217" s="42" t="str">
        <f ca="1">IF(ISERROR(F212),"",_xlfn.TEXTJOIN("/",FALSE,Q217,T217))</f>
        <v>0/50</v>
      </c>
      <c r="J217" s="42"/>
      <c r="K217" s="42" t="str">
        <f ca="1">IF(ISERROR(F212),"",_xlfn.TEXTJOIN("/",FALSE,R217,U217))</f>
        <v>0/150</v>
      </c>
      <c r="L217" s="42"/>
      <c r="M217" s="7" t="str">
        <f ca="1">IF(ISERROR(F212),"",IF(ISTEXT(P217),IF(P217="A","Ab",IF(P217="D","Dt",IF(P217="UFM","UFM",IF(P217="NA","")))),IF(AND(ISBLANK(P217),ISBLANK(R217)),"",IF(P217&lt;0.3*S217,"F",IF(ISBLANK(R217),"",IF(ISTEXT(R217),R217,IF(R217&gt;=0.9*U217,"O",IF(R217&gt;=0.85*U217,"A+",IF(R217&gt;=0.8*U217,"A",IF(R217&gt;=0.7*U217,"B+",IF(R217&gt;=0.6*U217,"B",IF(R217&gt;=0.5*U217,"C",IF(R217&gt;=0.4*U217,"P",IF(R217&lt;0.4*U217,"F",R217))))))))))))))</f>
        <v>F</v>
      </c>
      <c r="N217" s="8">
        <f t="shared" ref="N217:N224" ca="1" si="24">INDEX($Z$2:$Z$13,MATCH(M217,$Y$2:$Y$13,0))</f>
        <v>0</v>
      </c>
      <c r="O217">
        <v>1</v>
      </c>
      <c r="P217" s="1">
        <f ca="1">IF(ISERROR(F212),"",IF(ISTEXT(VLOOKUP(B212,INDIRECT($F$8),6+(O217-1)*3)),(VLOOKUP(B212,INDIRECT($F$8),6+(O217-1)*3)),SUM(VLOOKUP(B212,INDIRECT($F$8),6+(O217-1)*3),IF(W225,W217,0))))</f>
        <v>0</v>
      </c>
      <c r="Q217" s="1">
        <f ca="1">IF(ISERROR(F212),"",VLOOKUP(B212,INDIRECT($F$8),7+(O217-1)*3))</f>
        <v>0</v>
      </c>
      <c r="R217" s="1">
        <f ca="1">IF(ISERROR(F212),"",SUM(P217:Q217))</f>
        <v>0</v>
      </c>
      <c r="S217" s="1">
        <f ca="1">IF(ISERROR(F212),"",VLOOKUP(A212,INDIRECT($F$8),6+(O217-1)*3))</f>
        <v>100</v>
      </c>
      <c r="T217" s="1">
        <f ca="1">IF(ISERROR(F212),"",VLOOKUP(A212,INDIRECT($F$8),7+(O217-1)*3))</f>
        <v>50</v>
      </c>
      <c r="U217" s="1">
        <f ca="1">IF(ISERROR(F212),"",VLOOKUP(A212,INDIRECT($F$8),8+(O217-1)*3))</f>
        <v>150</v>
      </c>
      <c r="V217" s="1" t="str">
        <f ca="1">IF(ISERROR(F212),"",IF(N217=0,A217,""))</f>
        <v>CAT  014</v>
      </c>
      <c r="W217" s="1">
        <f ca="1">IF(ISERROR(F212),"",IF(ISTEXT(VLOOKUP(B212,INDIRECT($F$8),6+(O217-1)*3)),11,IF(VLOOKUP(B212,INDIRECT($F$8),6+(O217-1)*3)&lt;S217*0.3,IF(VLOOKUP(B212,INDIRECT($F$8),8+(O217-1)*3)&lt;U217*0.4,IF(AND(0.4*U217-VLOOKUP(B212,INDIRECT($F$8),8+(O217-1)*3)&lt;=5,0.3*S217-VLOOKUP(B212,INDIRECT($F$8),6+(O217-1)*3)&lt;=5),MAX(0.4*U217-VLOOKUP(B212,INDIRECT($F$8),8+(O217-1)*3),0.3*S217-VLOOKUP(B212,INDIRECT($F$8),6+(O217-1)*3)),11),IF(0.3*S217-VLOOKUP(B212,INDIRECT($F$8),6+(O217-1)*3)&lt;=5,0.3*S217-VLOOKUP(B212,INDIRECT($F$8),6+(O217-1)*3),11)),IF(VLOOKUP(B212,INDIRECT($F$8),8+(O217-1)*3)&lt;U217*0.4,IF(U217*0.4-VLOOKUP(B212,INDIRECT($F$8),8+(O217-1)*3)&lt;=5,U217*0.4-VLOOKUP(B212,INDIRECT($F$8),8+(O217-1)*3),11),0))))</f>
        <v>11</v>
      </c>
      <c r="X217" s="1" t="str">
        <f ca="1">IF(ISERROR(F212),"",IF(W217=0,"",_xlfn.TEXTJOIN("",FALSE," G+",W217," in ",A217)))</f>
        <v xml:space="preserve"> G+11 in CAT  014</v>
      </c>
    </row>
    <row r="218" spans="1:24" ht="14.25" customHeight="1" x14ac:dyDescent="0.2">
      <c r="A218" s="7" t="str">
        <f ca="1">IF(ISERROR(F212),"",VLOOKUP(C212,INDIRECT($F$8),6+(O218-1)*3,0))</f>
        <v>CAT 015</v>
      </c>
      <c r="B218" s="41" t="str">
        <f ca="1">IF(ISERROR(F212),"",VLOOKUP(D212,INDIRECT($F$8),6+(O218-1)*3,0))</f>
        <v>Software Engineering</v>
      </c>
      <c r="C218" s="41"/>
      <c r="D218" s="41"/>
      <c r="E218" s="41"/>
      <c r="F218" s="7">
        <f ca="1">IF(ISERROR(F212),"",VLOOKUP(E212,INDIRECT($F$8),6+(O218-1)*3,0))</f>
        <v>4</v>
      </c>
      <c r="G218" s="42" t="str">
        <f ca="1">IF(ISERROR(F212),"",_xlfn.TEXTJOIN("/",FALSE,P218,S218))</f>
        <v>0/100</v>
      </c>
      <c r="H218" s="42"/>
      <c r="I218" s="42" t="str">
        <f ca="1">IF(ISERROR(F212),"",_xlfn.TEXTJOIN("/",FALSE,Q218,T218))</f>
        <v>0/50</v>
      </c>
      <c r="J218" s="42"/>
      <c r="K218" s="42" t="str">
        <f ca="1">IF(ISERROR(F212),"",_xlfn.TEXTJOIN("/",FALSE,R218,U218))</f>
        <v>0/150</v>
      </c>
      <c r="L218" s="42"/>
      <c r="M218" s="7" t="str">
        <f ca="1">IF(ISERROR(F212),"",IF(ISTEXT(P218),IF(P218="A","Ab",IF(P218="D","Dt",IF(P218="UFM","UFM",IF(P218="NA","")))),IF(AND(ISBLANK(P218),ISBLANK(R218)),"",IF(P218&lt;0.3*S218,"F",IF(ISBLANK(R218),"",IF(ISTEXT(R218),R218,IF(R218&gt;=0.9*U218,"O",IF(R218&gt;=0.85*U218,"A+",IF(R218&gt;=0.8*U218,"A",IF(R218&gt;=0.7*U218,"B+",IF(R218&gt;=0.6*U218,"B",IF(R218&gt;=0.5*U218,"C",IF(R218&gt;=0.4*U218,"P",IF(R218&lt;0.4*U218,"F",R218))))))))))))))</f>
        <v>F</v>
      </c>
      <c r="N218" s="8">
        <f t="shared" ca="1" si="24"/>
        <v>0</v>
      </c>
      <c r="O218">
        <f>O217+1</f>
        <v>2</v>
      </c>
      <c r="P218" s="1">
        <f ca="1">IF(ISERROR(F212),"",IF(ISTEXT(VLOOKUP(B212,INDIRECT($F$8),6+(O218-1)*3)),(VLOOKUP(B212,INDIRECT($F$8),6+(O218-1)*3)),SUM(VLOOKUP(B212,INDIRECT($F$8),6+(O218-1)*3),IF(W225,W218,0))))</f>
        <v>0</v>
      </c>
      <c r="Q218" s="1">
        <f ca="1">IF(ISERROR(F212),"",VLOOKUP(B212,INDIRECT($F$8),7+(O218-1)*3))</f>
        <v>0</v>
      </c>
      <c r="R218" s="1">
        <f ca="1">IF(ISERROR(F212),"",SUM(P218:Q218))</f>
        <v>0</v>
      </c>
      <c r="S218" s="1">
        <f ca="1">IF(ISERROR(F212),"",VLOOKUP(A212,INDIRECT($F$8),6+(O218-1)*3))</f>
        <v>100</v>
      </c>
      <c r="T218" s="1">
        <f ca="1">IF(ISERROR(F212),"",VLOOKUP(A212,INDIRECT($F$8),7+(O218-1)*3))</f>
        <v>50</v>
      </c>
      <c r="U218" s="1">
        <f ca="1">IF(ISERROR(F212),"",VLOOKUP(A212,INDIRECT($F$8),8+(O218-1)*3))</f>
        <v>150</v>
      </c>
      <c r="V218" s="1" t="str">
        <f ca="1">IF(ISERROR(F212),"",IF(N218=0,A218,""))</f>
        <v>CAT 015</v>
      </c>
      <c r="W218" s="1">
        <f ca="1">IF(ISERROR(F212),"",IF(ISTEXT(VLOOKUP(B212,INDIRECT($F$8),6+(O218-1)*3)),11,IF(VLOOKUP(B212,INDIRECT($F$8),6+(O218-1)*3)&lt;S218*0.3,IF(VLOOKUP(B212,INDIRECT($F$8),8+(O218-1)*3)&lt;U218*0.4,IF(AND(0.4*U218-VLOOKUP(B212,INDIRECT($F$8),8+(O218-1)*3)&lt;=5,0.3*S218-VLOOKUP(B212,INDIRECT($F$8),6+(O218-1)*3)&lt;=5),MAX(0.4*U218-VLOOKUP(B212,INDIRECT($F$8),8+(O218-1)*3),0.3*S218-VLOOKUP(B212,INDIRECT($F$8),6+(O218-1)*3)),11),IF(0.3*S218-VLOOKUP(B212,INDIRECT($F$8),6+(O218-1)*3)&lt;=5,0.3*S218-VLOOKUP(B212,INDIRECT($F$8),6+(O218-1)*3),11)),IF(VLOOKUP(B212,INDIRECT($F$8),8+(O218-1)*3)&lt;U218*0.4,IF(U218*0.4-VLOOKUP(B212,INDIRECT($F$8),8+(O218-1)*3)&lt;=5,U218*0.4-VLOOKUP(B212,INDIRECT($F$8),8+(O218-1)*3),11),0))))</f>
        <v>11</v>
      </c>
      <c r="X218" s="1" t="str">
        <f ca="1">IF(ISERROR(F212),"",IF(W218=0,"",_xlfn.TEXTJOIN("",FALSE," G+",W218," in ",A218)))</f>
        <v xml:space="preserve"> G+11 in CAT 015</v>
      </c>
    </row>
    <row r="219" spans="1:24" ht="14.25" customHeight="1" x14ac:dyDescent="0.2">
      <c r="A219" s="7" t="str">
        <f ca="1">IF(ISERROR(F212),"",VLOOKUP(C212,INDIRECT($F$8),6+(O219-1)*3,0))</f>
        <v>Enroll No.</v>
      </c>
      <c r="B219" s="41">
        <f ca="1">IF(ISERROR(F212),"",VLOOKUP(D212,INDIRECT($F$8),6+(O219-1)*3,0))</f>
        <v>0</v>
      </c>
      <c r="C219" s="41"/>
      <c r="D219" s="41"/>
      <c r="E219" s="41"/>
      <c r="F219" s="7">
        <f ca="1">IF(ISERROR(F212),"",VLOOKUP(E212,INDIRECT($F$8),6+(O219-1)*3,0))</f>
        <v>0</v>
      </c>
      <c r="G219" s="42" t="str">
        <f ca="1">IF(ISERROR(F212),"",_xlfn.TEXTJOIN("/",FALSE,P219,S219))</f>
        <v>UTU/2406100175/0</v>
      </c>
      <c r="H219" s="42"/>
      <c r="I219" s="42" t="str">
        <f ca="1">IF(ISERROR(F212),"",_xlfn.TEXTJOIN("/",FALSE,Q219,T219))</f>
        <v>KRISHNA BHATT/0</v>
      </c>
      <c r="J219" s="42"/>
      <c r="K219" s="42" t="str">
        <f ca="1">IF(ISERROR(F212),"",_xlfn.TEXTJOIN("/",FALSE,R219,U219))</f>
        <v>0/0</v>
      </c>
      <c r="L219" s="42"/>
      <c r="M219" s="7" t="b">
        <f ca="1">IF(ISERROR(F212),"",IF(ISTEXT(P219),IF(P219="A","Ab",IF(P219="D","Dt",IF(P219="UFM","UFM",IF(P219="NA","")))),IF(AND(ISBLANK(P219),ISBLANK(R219)),"",IF(P219&lt;0.3*S219,"F",IF(ISBLANK(R219),"",IF(ISTEXT(R219),R219,IF(R219&gt;=0.9*U219,"O",IF(R219&gt;=0.85*U219,"A+",IF(R219&gt;=0.8*U219,"A",IF(R219&gt;=0.7*U219,"B+",IF(R219&gt;=0.6*U219,"B",IF(R219&gt;=0.5*U219,"C",IF(R219&gt;=0.4*U219,"P",IF(R219&lt;0.4*U219,"F",R219))))))))))))))</f>
        <v>0</v>
      </c>
      <c r="N219" s="8" t="e">
        <f t="shared" ca="1" si="24"/>
        <v>#N/A</v>
      </c>
      <c r="O219" t="b" cm="1">
        <f t="array" aca="1" ref="O219" ca="1">IF(NOT(ISBLANK(INDIRECT("SEM_III!L"&amp;INT((ROW(O219)-15)/17)+6))),3,IF(NOT(ISBLANK(INDIRECT("SEM_III!O"&amp;INT((ROW(O219)-15)/17)+6))),4))</f>
        <v>0</v>
      </c>
      <c r="P219" s="1" t="str">
        <f ca="1">IF(ISERROR(F212),"",IF(ISTEXT(VLOOKUP(B212,INDIRECT($F$8),6+(O219-1)*3)),(VLOOKUP(B212,INDIRECT($F$8),6+(O219-1)*3)),SUM(VLOOKUP(B212,INDIRECT($F$8),6+(O219-1)*3),IF(W225,W219,0))))</f>
        <v>UTU/2406100175</v>
      </c>
      <c r="Q219" s="1" t="str">
        <f ca="1">IF(ISERROR(F212),"",VLOOKUP(B212,INDIRECT($F$8),7+(O219-1)*3))</f>
        <v>KRISHNA BHATT</v>
      </c>
      <c r="R219" s="1">
        <f ca="1">IF(ISERROR(F212),"",SUM(P219:Q219))</f>
        <v>0</v>
      </c>
      <c r="S219" s="1">
        <f ca="1">IF(ISERROR(F212),"",VLOOKUP(A212,INDIRECT($F$8),6+(O219-1)*3))</f>
        <v>0</v>
      </c>
      <c r="T219" s="1">
        <f ca="1">IF(ISERROR(F212),"",VLOOKUP(A212,INDIRECT($F$8),7+(O219-1)*3))</f>
        <v>0</v>
      </c>
      <c r="U219" s="1">
        <f ca="1">IF(ISERROR(F212),"",VLOOKUP(A212,INDIRECT($F$8),8+(O219-1)*3))</f>
        <v>0</v>
      </c>
      <c r="V219" s="1" t="e">
        <f ca="1">IF(ISERROR(F212),"",IF(N219=0,A219,""))</f>
        <v>#N/A</v>
      </c>
      <c r="W219" s="1">
        <f ca="1">IF(ISERROR(F212),"",IF(ISTEXT(VLOOKUP(B212,INDIRECT($F$8),6+(O219-1)*3)),11,IF(VLOOKUP(B212,INDIRECT($F$8),6+(O219-1)*3)&lt;S219*0.3,IF(VLOOKUP(B212,INDIRECT($F$8),8+(O219-1)*3)&lt;U219*0.4,IF(AND(0.4*U219-VLOOKUP(B212,INDIRECT($F$8),8+(O219-1)*3)&lt;=5,0.3*S219-VLOOKUP(B212,INDIRECT($F$8),6+(O219-1)*3)&lt;=5),MAX(0.4*U219-VLOOKUP(B212,INDIRECT($F$8),8+(O219-1)*3),0.3*S219-VLOOKUP(B212,INDIRECT($F$8),6+(O219-1)*3)),11),IF(0.3*S219-VLOOKUP(B212,INDIRECT($F$8),6+(O219-1)*3)&lt;=5,0.3*S219-VLOOKUP(B212,INDIRECT($F$8),6+(O219-1)*3),11)),IF(VLOOKUP(B212,INDIRECT($F$8),8+(O219-1)*3)&lt;U219*0.4,IF(U219*0.4-VLOOKUP(B212,INDIRECT($F$8),8+(O219-1)*3)&lt;=5,U219*0.4-VLOOKUP(B212,INDIRECT($F$8),8+(O219-1)*3),11),0))))</f>
        <v>11</v>
      </c>
      <c r="X219" s="1" t="str">
        <f ca="1">IF(ISERROR(F212),"",IF(W219=0,"",_xlfn.TEXTJOIN("",FALSE," G+",W219," in ",A219)))</f>
        <v xml:space="preserve"> G+11 in Enroll No.</v>
      </c>
    </row>
    <row r="220" spans="1:24" ht="14.25" customHeight="1" x14ac:dyDescent="0.2">
      <c r="A220" s="7" t="str">
        <f ca="1">IF(ISERROR(F212),"",VLOOKUP(C212,INDIRECT($F$8),6+(O220-1)*3,0))</f>
        <v>Enroll No.</v>
      </c>
      <c r="B220" s="41">
        <f ca="1">IF(ISERROR(F212),"",VLOOKUP(D212,INDIRECT($F$8),6+(O220-1)*3,0))</f>
        <v>0</v>
      </c>
      <c r="C220" s="41"/>
      <c r="D220" s="41"/>
      <c r="E220" s="41"/>
      <c r="F220" s="7">
        <f ca="1">IF(ISERROR(F212),"",VLOOKUP(E212,INDIRECT($F$8),6+(O220-1)*3,0))</f>
        <v>0</v>
      </c>
      <c r="G220" s="42" t="str">
        <f ca="1">IF(ISERROR(F212),"",_xlfn.TEXTJOIN("/",FALSE,P220,S220))</f>
        <v>UTU/2406100175/0</v>
      </c>
      <c r="H220" s="42"/>
      <c r="I220" s="42" t="str">
        <f ca="1">IF(ISERROR(F212),"",_xlfn.TEXTJOIN("/",FALSE,Q220,T220))</f>
        <v>KRISHNA BHATT/0</v>
      </c>
      <c r="J220" s="42"/>
      <c r="K220" s="42" t="str">
        <f ca="1">IF(ISERROR(F212),"",_xlfn.TEXTJOIN("/",FALSE,R220,U220))</f>
        <v>0/0</v>
      </c>
      <c r="L220" s="42"/>
      <c r="M220" s="7" t="b">
        <f ca="1">IF(ISERROR(F212),"",IF(ISTEXT(P220),IF(P220="A","Ab",IF(P220="D","Dt",IF(P220="UFM","UFM",IF(P220="NA","")))),IF(AND(ISBLANK(P220),ISBLANK(R220)),"",IF(P220&lt;0.3*S220,"F",IF(ISBLANK(R220),"",IF(ISTEXT(R220),R220,IF(R220&gt;=0.9*U220,"O",IF(R220&gt;=0.85*U220,"A+",IF(R220&gt;=0.8*U220,"A",IF(R220&gt;=0.7*U220,"B+",IF(R220&gt;=0.6*U220,"B",IF(R220&gt;=0.5*U220,"C",IF(R220&gt;=0.4*U220,"P",IF(R220&lt;0.4*U220,"F",R220))))))))))))))</f>
        <v>0</v>
      </c>
      <c r="N220" s="8" t="e">
        <f t="shared" ca="1" si="24"/>
        <v>#N/A</v>
      </c>
      <c r="O220" t="b" cm="1">
        <f t="array" aca="1" ref="O220" ca="1">IF(NOT(ISBLANK(INDIRECT("SEM_III!R"&amp;INT((ROW(O220)-16)/17)+6))),5,IF(NOT(ISBLANK(INDIRECT("SEM_III!U"&amp;INT((ROW(O220)-16)/17)+6))),6))</f>
        <v>0</v>
      </c>
      <c r="P220" s="1" t="str">
        <f ca="1">IF(ISERROR(F212),"",IF(ISTEXT(VLOOKUP(B212,INDIRECT($F$8),6+(O220-1)*3)),(VLOOKUP(B212,INDIRECT($F$8),6+(O220-1)*3)),SUM(VLOOKUP(B212,INDIRECT($F$8),6+(O220-1)*3),IF(W225,W220,0))))</f>
        <v>UTU/2406100175</v>
      </c>
      <c r="Q220" s="1" t="str">
        <f ca="1">IF(ISERROR(F212),"",VLOOKUP(B212,INDIRECT($F$8),7+(O220-1)*3))</f>
        <v>KRISHNA BHATT</v>
      </c>
      <c r="R220" s="1">
        <f ca="1">IF(ISERROR(F212),"",SUM(P220:Q220))</f>
        <v>0</v>
      </c>
      <c r="S220" s="1">
        <f ca="1">IF(ISERROR(F212),"",VLOOKUP(A212,INDIRECT($F$8),6+(O220-1)*3))</f>
        <v>0</v>
      </c>
      <c r="T220" s="1">
        <f ca="1">IF(ISERROR(F212),"",VLOOKUP(A212,INDIRECT($F$8),7+(O220-1)*3))</f>
        <v>0</v>
      </c>
      <c r="U220" s="1">
        <f ca="1">IF(ISERROR(F212),"",VLOOKUP(A212,INDIRECT($F$8),8+(O220-1)*3))</f>
        <v>0</v>
      </c>
      <c r="V220" s="1" t="e">
        <f ca="1">IF(ISERROR(F212),"",IF(N220=0,A220,""))</f>
        <v>#N/A</v>
      </c>
      <c r="W220" s="1">
        <f ca="1">IF(ISERROR(F212),"",IF(ISTEXT(VLOOKUP(B212,INDIRECT($F$8),6+(O220-1)*3)),11,IF(VLOOKUP(B212,INDIRECT($F$8),6+(O220-1)*3)&lt;S220*0.3,IF(VLOOKUP(B212,INDIRECT($F$8),8+(O220-1)*3)&lt;U220*0.4,IF(AND(0.4*U220-VLOOKUP(B212,INDIRECT($F$8),8+(O220-1)*3)&lt;=5,0.3*S220-VLOOKUP(B212,INDIRECT($F$8),6+(O220-1)*3)&lt;=5),MAX(0.4*U220-VLOOKUP(B212,INDIRECT($F$8),8+(O220-1)*3),0.3*S220-VLOOKUP(B212,INDIRECT($F$8),6+(O220-1)*3)),11),IF(0.3*S220-VLOOKUP(B212,INDIRECT($F$8),6+(O220-1)*3)&lt;=5,0.3*S220-VLOOKUP(B212,INDIRECT($F$8),6+(O220-1)*3),11)),IF(VLOOKUP(B212,INDIRECT($F$8),8+(O220-1)*3)&lt;U220*0.4,IF(U220*0.4-VLOOKUP(B212,INDIRECT($F$8),8+(O220-1)*3)&lt;=5,U220*0.4-VLOOKUP(B212,INDIRECT($F$8),8+(O220-1)*3),11),0))))</f>
        <v>11</v>
      </c>
      <c r="X220" s="1" t="str">
        <f ca="1">IF(ISERROR(F212),"",IF(W220=0,"",_xlfn.TEXTJOIN("",FALSE," G+",W220," in ",A220)))</f>
        <v xml:space="preserve"> G+11 in Enroll No.</v>
      </c>
    </row>
    <row r="221" spans="1:24" ht="14.25" customHeight="1" x14ac:dyDescent="0.2">
      <c r="A221" s="7" t="str">
        <f ca="1">IF(ISERROR(F212),"",VLOOKUP(C212,INDIRECT($F$8),6+(O221-1)*3,0))</f>
        <v>AHT 310</v>
      </c>
      <c r="B221" s="41" t="str">
        <f ca="1">IF(ISERROR(F212),"",VLOOKUP(D212,INDIRECT($F$8),6+(O221-1)*3,0))</f>
        <v>Universal Human Value</v>
      </c>
      <c r="C221" s="41"/>
      <c r="D221" s="41"/>
      <c r="E221" s="41"/>
      <c r="F221" s="7">
        <f ca="1">IF(ISERROR(F212),"",VLOOKUP(E212,INDIRECT($F$8),6+(O221-1)*3,0))</f>
        <v>3</v>
      </c>
      <c r="G221" s="42" t="str">
        <f ca="1">IF(ISERROR(F212),"",_xlfn.TEXTJOIN("/",FALSE,P221,S221))</f>
        <v>0/100</v>
      </c>
      <c r="H221" s="42"/>
      <c r="I221" s="42" t="str">
        <f ca="1">IF(ISERROR(F212),"",_xlfn.TEXTJOIN("/",FALSE,Q221,T221))</f>
        <v>0/50</v>
      </c>
      <c r="J221" s="42"/>
      <c r="K221" s="42" t="str">
        <f ca="1">IF(ISERROR(F212),"",_xlfn.TEXTJOIN("/",FALSE,R221,U221))</f>
        <v>0/150</v>
      </c>
      <c r="L221" s="42"/>
      <c r="M221" s="7" t="str">
        <f ca="1">IF(ISERROR(F212),"",IF(ISTEXT(P221),IF(P221="A","Ab",IF(P221="D","Dt",IF(P221="UFM","UFM",IF(P221="NA","")))),IF(AND(ISBLANK(P221),ISBLANK(R221)),"",IF(P221&lt;0.3*S221,"F",IF(ISBLANK(R221),"",IF(ISTEXT(R221),R221,IF(R221&gt;=0.9*U221,"O",IF(R221&gt;=0.85*U221,"A+",IF(R221&gt;=0.8*U221,"A",IF(R221&gt;=0.7*U221,"B+",IF(R221&gt;=0.6*U221,"B",IF(R221&gt;=0.5*U221,"C",IF(R221&gt;=0.4*U221,"P",IF(R221&lt;0.4*U221,"F",R221))))))))))))))</f>
        <v>F</v>
      </c>
      <c r="N221" s="8">
        <f t="shared" ca="1" si="24"/>
        <v>0</v>
      </c>
      <c r="O221">
        <f ca="1">IF(O220&gt;0,7,"")</f>
        <v>7</v>
      </c>
      <c r="P221" s="1">
        <f ca="1">IF(ISERROR(F212),"",IF(ISTEXT(VLOOKUP(B212,INDIRECT($F$8),6+(O221-1)*3)),(VLOOKUP(B212,INDIRECT($F$8),6+(O221-1)*3)),SUM(VLOOKUP(B212,INDIRECT($F$8),6+(O221-1)*3),IF(W225,W221,0))))</f>
        <v>0</v>
      </c>
      <c r="Q221" s="1">
        <f ca="1">IF(ISERROR(F212),"",VLOOKUP(B212,INDIRECT($F$8),7+(O221-1)*3))</f>
        <v>0</v>
      </c>
      <c r="R221" s="1">
        <f ca="1">IF(ISERROR(F212),"",SUM(P221:Q221))</f>
        <v>0</v>
      </c>
      <c r="S221" s="1">
        <f ca="1">IF(ISERROR(F212),"",VLOOKUP(A212,INDIRECT($F$8),6+(O221-1)*3))</f>
        <v>100</v>
      </c>
      <c r="T221" s="1">
        <f ca="1">IF(ISERROR(F212),"",VLOOKUP(A212,INDIRECT($F$8),7+(O221-1)*3))</f>
        <v>50</v>
      </c>
      <c r="U221" s="1">
        <f ca="1">IF(ISERROR(F212),"",VLOOKUP(A212,INDIRECT($F$8),8+(O221-1)*3))</f>
        <v>150</v>
      </c>
      <c r="V221" s="1" t="str">
        <f ca="1">IF(ISERROR(F212),"",IF(N221=0,A221,""))</f>
        <v>AHT 310</v>
      </c>
      <c r="W221" s="1">
        <f ca="1">IF(ISERROR(F212),"",IF(ISTEXT(VLOOKUP(B212,INDIRECT($F$8),6+(O221-1)*3)),11,IF(VLOOKUP(B212,INDIRECT($F$8),6+(O221-1)*3)&lt;S221*0.3,IF(VLOOKUP(B212,INDIRECT($F$8),8+(O221-1)*3)&lt;U221*0.4,IF(AND(0.4*U221-VLOOKUP(B212,INDIRECT($F$8),8+(O221-1)*3)&lt;=5,0.3*S221-VLOOKUP(B212,INDIRECT($F$8),6+(O221-1)*3)&lt;=5),MAX(0.4*U221-VLOOKUP(B212,INDIRECT($F$8),8+(O221-1)*3),0.3*S221-VLOOKUP(B212,INDIRECT($F$8),6+(O221-1)*3)),11),IF(0.3*S221-VLOOKUP(B212,INDIRECT($F$8),6+(O221-1)*3)&lt;=5,0.3*S221-VLOOKUP(B212,INDIRECT($F$8),6+(O221-1)*3),11)),IF(VLOOKUP(B212,INDIRECT($F$8),8+(O221-1)*3)&lt;U221*0.4,IF(U221*0.4-VLOOKUP(B212,INDIRECT($F$8),8+(O221-1)*3)&lt;=5,U221*0.4-VLOOKUP(B212,INDIRECT($F$8),8+(O221-1)*3),11),0))))</f>
        <v>11</v>
      </c>
      <c r="X221" s="1" t="str">
        <f ca="1">IF(ISERROR(F212),"",IF(W221=0,"",_xlfn.TEXTJOIN("",FALSE," G+",W221," in ",A221)))</f>
        <v xml:space="preserve"> G+11 in AHT 310</v>
      </c>
    </row>
    <row r="222" spans="1:24" ht="14.25" customHeight="1" x14ac:dyDescent="0.2">
      <c r="A222" s="7" t="str">
        <f ca="1">IF(ISERROR(F212),"",VLOOKUP(C212,INDIRECT($F$8),6+(O222-1)*3,0))</f>
        <v>CAP 008</v>
      </c>
      <c r="B222" s="41" t="str">
        <f ca="1">IF(ISERROR(F212),"",VLOOKUP(D212,INDIRECT($F$8),6+(O222-1)*3,0))</f>
        <v>Software Engineering Lab</v>
      </c>
      <c r="C222" s="41"/>
      <c r="D222" s="41"/>
      <c r="E222" s="41"/>
      <c r="F222" s="7">
        <f ca="1">IF(ISERROR(F212),"",VLOOKUP(E212,INDIRECT($F$8),6+(O222-1)*3,0))</f>
        <v>1</v>
      </c>
      <c r="G222" s="42" t="str">
        <f ca="1">IF(ISERROR(F212),"",_xlfn.TEXTJOIN("/",FALSE,P222,S222))</f>
        <v>0/30</v>
      </c>
      <c r="H222" s="42"/>
      <c r="I222" s="42" t="str">
        <f ca="1">IF(ISERROR(F212),"",_xlfn.TEXTJOIN("/",FALSE,Q222,T222))</f>
        <v>0/20</v>
      </c>
      <c r="J222" s="42"/>
      <c r="K222" s="42" t="str">
        <f ca="1">IF(ISERROR(F212),"",_xlfn.TEXTJOIN("/",FALSE,R222,U222))</f>
        <v>0/50</v>
      </c>
      <c r="L222" s="42"/>
      <c r="M222" s="7" t="str">
        <f ca="1">IF(ISERROR(F212),"",IF(ISTEXT(P222),IF(P222="A","Ab",IF(P222="D","Dt",IF(P222="UFM","UFM",IF(P222="NA","")))),IF(AND(ISBLANK(P222),ISBLANK(R222)),"",IF(P222&lt;0.3*S222,"F",IF(ISBLANK(R222),"",IF(ISTEXT(R222),R222,IF(R222&gt;=0.9*U222,"O",IF(R222&gt;=0.85*U222,"A+",IF(R222&gt;=0.8*U222,"A",IF(R222&gt;=0.7*U222,"B+",IF(R222&gt;=0.6*U222,"B",IF(R222&gt;=0.5*U222,"C",IF(R222&gt;=0.4*U222,"P",IF(R222&lt;0.4*U222,"F",R222))))))))))))))</f>
        <v>F</v>
      </c>
      <c r="N222" s="8">
        <f t="shared" ca="1" si="24"/>
        <v>0</v>
      </c>
      <c r="O222">
        <f t="shared" ref="O222:O224" ca="1" si="25">O221+1</f>
        <v>8</v>
      </c>
      <c r="P222" s="1">
        <f ca="1">IF(ISERROR(F212),"",IF(ISTEXT(VLOOKUP(B212,INDIRECT($F$8),6+(O222-1)*3)),(VLOOKUP(B212,INDIRECT($F$8),6+(O222-1)*3)),SUM(VLOOKUP(B212,INDIRECT($F$8),6+(O222-1)*3),IF(W225,W222,0))))</f>
        <v>0</v>
      </c>
      <c r="Q222" s="1">
        <f ca="1">IF(ISERROR(F212),"",VLOOKUP(B212,INDIRECT($F$8),7+(O222-1)*3))</f>
        <v>0</v>
      </c>
      <c r="R222" s="1">
        <f ca="1">IF(ISERROR(F212),"",SUM(P222:Q222))</f>
        <v>0</v>
      </c>
      <c r="S222" s="1">
        <f ca="1">IF(ISERROR(F212),"",VLOOKUP(A212,INDIRECT($F$8),6+(O222-1)*3))</f>
        <v>30</v>
      </c>
      <c r="T222" s="1">
        <f ca="1">IF(ISERROR(F212),"",VLOOKUP(A212,INDIRECT($F$8),7+(O222-1)*3))</f>
        <v>20</v>
      </c>
      <c r="U222" s="1">
        <f ca="1">IF(ISERROR(F212),"",VLOOKUP(A212,INDIRECT($F$8),8+(O222-1)*3))</f>
        <v>50</v>
      </c>
      <c r="V222" s="1" t="str">
        <f ca="1">IF(ISERROR(F212),"",IF(N222=0,A222,""))</f>
        <v>CAP 008</v>
      </c>
      <c r="W222" s="1">
        <f ca="1">IF(ISERROR(F212),"",IF(ISTEXT(VLOOKUP(B212,INDIRECT($F$8),6+(O222-1)*3)),11,IF(VLOOKUP(B212,INDIRECT($F$8),6+(O222-1)*3)&lt;S222*0.3,IF(VLOOKUP(B212,INDIRECT($F$8),8+(O222-1)*3)&lt;U222*0.4,IF(AND(0.4*U222-VLOOKUP(B212,INDIRECT($F$8),8+(O222-1)*3)&lt;=5,0.3*S222-VLOOKUP(B212,INDIRECT($F$8),6+(O222-1)*3)&lt;=5),MAX(0.4*U222-VLOOKUP(B212,INDIRECT($F$8),8+(O222-1)*3),0.3*S222-VLOOKUP(B212,INDIRECT($F$8),6+(O222-1)*3)),11),IF(0.3*S222-VLOOKUP(B212,INDIRECT($F$8),6+(O222-1)*3)&lt;=5,0.3*S222-VLOOKUP(B212,INDIRECT($F$8),6+(O222-1)*3),11)),IF(VLOOKUP(B212,INDIRECT($F$8),8+(O222-1)*3)&lt;U222*0.4,IF(U222*0.4-VLOOKUP(B212,INDIRECT($F$8),8+(O222-1)*3)&lt;=5,U222*0.4-VLOOKUP(B212,INDIRECT($F$8),8+(O222-1)*3),11),0))))</f>
        <v>11</v>
      </c>
      <c r="X222" s="1" t="str">
        <f ca="1">IF(ISERROR(F212),"",IF(W222=0,"",_xlfn.TEXTJOIN("",FALSE," G+",W222," in ",A222)))</f>
        <v xml:space="preserve"> G+11 in CAP 008</v>
      </c>
    </row>
    <row r="223" spans="1:24" ht="14.25" customHeight="1" x14ac:dyDescent="0.2">
      <c r="A223" s="7" t="str">
        <f ca="1">IF(ISERROR(F212),"",VLOOKUP(C212,INDIRECT($F$8),6+(O223-1)*3,0))</f>
        <v>CAP 009</v>
      </c>
      <c r="B223" s="41" t="str">
        <f ca="1">IF(ISERROR(F212),"",VLOOKUP(D212,INDIRECT($F$8),6+(O223-1)*3,0))</f>
        <v>Seminar</v>
      </c>
      <c r="C223" s="41"/>
      <c r="D223" s="41"/>
      <c r="E223" s="41"/>
      <c r="F223" s="7">
        <f ca="1">IF(ISERROR(F212),"",VLOOKUP(E212,INDIRECT($F$8),6+(O223-1)*3,0))</f>
        <v>2</v>
      </c>
      <c r="G223" s="42" t="str">
        <f ca="1">IF(ISERROR(F212),"",_xlfn.TEXTJOIN("/",FALSE,P223,S223))</f>
        <v>0/0</v>
      </c>
      <c r="H223" s="42"/>
      <c r="I223" s="42" t="str">
        <f ca="1">IF(ISERROR(F212),"",_xlfn.TEXTJOIN("/",FALSE,Q223,T223))</f>
        <v>0/100</v>
      </c>
      <c r="J223" s="42"/>
      <c r="K223" s="42" t="str">
        <f ca="1">IF(ISERROR(F212),"",_xlfn.TEXTJOIN("/",FALSE,R223,U223))</f>
        <v>0/100</v>
      </c>
      <c r="L223" s="42"/>
      <c r="M223" s="7" t="str">
        <f ca="1">IF(ISERROR(F212),"",IF(ISTEXT(P223),IF(P223="A","Ab",IF(P223="D","Dt",IF(P223="UFM","UFM",IF(P223="NA","")))),IF(AND(ISBLANK(P223),ISBLANK(R223)),"",IF(P223&lt;0.3*S223,"F",IF(ISBLANK(R223),"",IF(ISTEXT(R223),R223,IF(R223&gt;=0.9*U223,"O",IF(R223&gt;=0.85*U223,"A+",IF(R223&gt;=0.8*U223,"A",IF(R223&gt;=0.7*U223,"B+",IF(R223&gt;=0.6*U223,"B",IF(R223&gt;=0.5*U223,"C",IF(R223&gt;=0.4*U223,"P",IF(R223&lt;0.4*U223,"F",R223))))))))))))))</f>
        <v>F</v>
      </c>
      <c r="N223" s="8">
        <f t="shared" ca="1" si="24"/>
        <v>0</v>
      </c>
      <c r="O223">
        <f t="shared" ca="1" si="25"/>
        <v>9</v>
      </c>
      <c r="P223" s="1">
        <f ca="1">IF(ISERROR(F212),"",IF(ISTEXT(VLOOKUP(B212,INDIRECT($F$8),6+(O223-1)*3)),(VLOOKUP(B212,INDIRECT($F$8),6+(O223-1)*3)),SUM(VLOOKUP(B212,INDIRECT($F$8),6+(O223-1)*3),IF(W225,W223,0))))</f>
        <v>0</v>
      </c>
      <c r="Q223" s="1">
        <f ca="1">IF(ISERROR(F212),"",VLOOKUP(B212,INDIRECT($F$8),7+(O223-1)*3))</f>
        <v>0</v>
      </c>
      <c r="R223" s="1">
        <f ca="1">IF(ISERROR(F212),"",SUM(P223:Q223))</f>
        <v>0</v>
      </c>
      <c r="S223" s="1">
        <f ca="1">IF(ISERROR(F212),"",VLOOKUP(A212,INDIRECT($F$8),6+(O223-1)*3))</f>
        <v>0</v>
      </c>
      <c r="T223" s="1">
        <f ca="1">IF(ISERROR(F212),"",VLOOKUP(A212,INDIRECT($F$8),7+(O223-1)*3))</f>
        <v>100</v>
      </c>
      <c r="U223" s="1">
        <f ca="1">IF(ISERROR(F212),"",VLOOKUP(A212,INDIRECT($F$8),8+(O223-1)*3))</f>
        <v>100</v>
      </c>
      <c r="V223" s="1" t="str">
        <f ca="1">IF(ISERROR(F212),"",IF(N223=0,A223,""))</f>
        <v>CAP 009</v>
      </c>
      <c r="W223" s="1">
        <f ca="1">IF(ISERROR(F212),"",IF(ISTEXT(VLOOKUP(B212,INDIRECT($F$8),6+(O223-1)*3)),11,IF(VLOOKUP(B212,INDIRECT($F$8),6+(O223-1)*3)&lt;S223*0.3,IF(VLOOKUP(B212,INDIRECT($F$8),8+(O223-1)*3)&lt;U223*0.4,IF(AND(0.4*U223-VLOOKUP(B212,INDIRECT($F$8),8+(O223-1)*3)&lt;=5,0.3*S223-VLOOKUP(B212,INDIRECT($F$8),6+(O223-1)*3)&lt;=5),MAX(0.4*U223-VLOOKUP(B212,INDIRECT($F$8),8+(O223-1)*3),0.3*S223-VLOOKUP(B212,INDIRECT($F$8),6+(O223-1)*3)),11),IF(0.3*S223-VLOOKUP(B212,INDIRECT($F$8),6+(O223-1)*3)&lt;=5,0.3*S223-VLOOKUP(B212,INDIRECT($F$8),6+(O223-1)*3),11)),IF(VLOOKUP(B212,INDIRECT($F$8),8+(O223-1)*3)&lt;U223*0.4,IF(U223*0.4-VLOOKUP(B212,INDIRECT($F$8),8+(O223-1)*3)&lt;=5,U223*0.4-VLOOKUP(B212,INDIRECT($F$8),8+(O223-1)*3),11),0))))</f>
        <v>11</v>
      </c>
      <c r="X223" s="1" t="str">
        <f ca="1">IF(ISERROR(F212),"",IF(W223=0,"",_xlfn.TEXTJOIN("",FALSE," G+",W223," in ",A223)))</f>
        <v xml:space="preserve"> G+11 in CAP 009</v>
      </c>
    </row>
    <row r="224" spans="1:24" ht="14.25" customHeight="1" x14ac:dyDescent="0.2">
      <c r="A224" s="7" t="str">
        <f ca="1">IF(ISERROR(F212),"",VLOOKUP(C212,INDIRECT($F$8),6+(O224-1)*3,0))</f>
        <v>CAP 010</v>
      </c>
      <c r="B224" s="41" t="str">
        <f ca="1">IF(ISERROR(F212),"",VLOOKUP(D212,INDIRECT($F$8),6+(O224-1)*3-Z224,0))</f>
        <v>Minor Project</v>
      </c>
      <c r="C224" s="41"/>
      <c r="D224" s="41"/>
      <c r="E224" s="41"/>
      <c r="F224" s="7">
        <f ca="1">IF(ISERROR(F212),"",VLOOKUP(E212,INDIRECT($F$8),6+(O224-1)*3,0))</f>
        <v>2</v>
      </c>
      <c r="G224" s="42" t="str">
        <f ca="1">IF(ISERROR(F212),"",_xlfn.TEXTJOIN("/",FALSE,P224,S224))</f>
        <v>0/50</v>
      </c>
      <c r="H224" s="42"/>
      <c r="I224" s="42" t="str">
        <f ca="1">IF(ISERROR(F212),"",_xlfn.TEXTJOIN("/",FALSE,Q224,T224))</f>
        <v>0/50</v>
      </c>
      <c r="J224" s="42"/>
      <c r="K224" s="42" t="str">
        <f ca="1">IF(ISERROR(F212),"",_xlfn.TEXTJOIN("/",FALSE,R224,U224))</f>
        <v>0/100</v>
      </c>
      <c r="L224" s="42"/>
      <c r="M224" s="7" t="str">
        <f ca="1">IF(ISERROR(F212),"",IF(ISTEXT(P224),IF(P224="A","Ab",IF(P224="D","Dt",IF(P224="UFM","UFM",IF(P224="NA","")))),IF(AND(ISBLANK(P224),ISBLANK(R224)),"",IF(P224&lt;0.3*S224,"F",IF(ISBLANK(R224),"",IF(ISTEXT(R224),R224,IF(R224&gt;=0.9*U224,"O",IF(R224&gt;=0.85*U224,"A+",IF(R224&gt;=0.8*U224,"A",IF(R224&gt;=0.7*U224,"B+",IF(R224&gt;=0.6*U224,"B",IF(R224&gt;=0.5*U224,"C",IF(R224&gt;=0.4*U224,"P",IF(R224&lt;0.4*U224,"F",R224))))))))))))))</f>
        <v>F</v>
      </c>
      <c r="N224" s="8">
        <f t="shared" ca="1" si="24"/>
        <v>0</v>
      </c>
      <c r="O224">
        <f t="shared" ca="1" si="25"/>
        <v>10</v>
      </c>
      <c r="P224" s="1">
        <f ca="1">IF(ISERROR(F212),"",IF(ISTEXT(VLOOKUP(B212,INDIRECT($F$8),6+(O224-1)*3)),(VLOOKUP(B212,INDIRECT($F$8),6+(O224-1)*3)),SUM(VLOOKUP(B212,INDIRECT($F$8),6+(O224-1)*3),IF(W225,W224,0))))</f>
        <v>0</v>
      </c>
      <c r="Q224" s="1">
        <f ca="1">IF(ISERROR(F212),"",VLOOKUP(B212,INDIRECT($F$8),7+(O224-1)*3))</f>
        <v>0</v>
      </c>
      <c r="R224" s="1">
        <f ca="1">IF(ISERROR(F212),"",SUM(P224:Q224))</f>
        <v>0</v>
      </c>
      <c r="S224" s="1">
        <f ca="1">IF(ISERROR(F212),"",VLOOKUP(A212,INDIRECT($F$8),6+(O224-1)*3))</f>
        <v>50</v>
      </c>
      <c r="T224" s="1">
        <f ca="1">IF(ISERROR(F212),"",VLOOKUP(A212,INDIRECT($F$8),7+(O224-1)*3))</f>
        <v>50</v>
      </c>
      <c r="U224" s="1">
        <f ca="1">IF(ISERROR(F212),"",VLOOKUP(A212,INDIRECT($F$8),8+(O224-1)*3))</f>
        <v>100</v>
      </c>
      <c r="V224" s="1" t="str">
        <f ca="1">IF(ISERROR(F212),"",IF(N224=0,A224,""))</f>
        <v>CAP 010</v>
      </c>
      <c r="W224" s="1">
        <f ca="1">IF(ISERROR(F212),"",IF(ISTEXT(VLOOKUP(B212,INDIRECT($F$8),6+(O224-1)*3)),11,IF(VLOOKUP(B212,INDIRECT($F$8),6+(O224-1)*3)&lt;S224*0.3,IF(VLOOKUP(B212,INDIRECT($F$8),8+(O224-1)*3)&lt;U224*0.4,IF(AND(0.4*U224-VLOOKUP(B212,INDIRECT($F$8),8+(O224-1)*3)&lt;=5,0.3*S224-VLOOKUP(B212,INDIRECT($F$8),6+(O224-1)*3)&lt;=5),MAX(0.4*U224-VLOOKUP(B212,INDIRECT($F$8),8+(O224-1)*3),0.3*S224-VLOOKUP(B212,INDIRECT($F$8),6+(O224-1)*3)),11),IF(0.3*S224-VLOOKUP(B212,INDIRECT($F$8),6+(O224-1)*3)&lt;=5,0.3*S224-VLOOKUP(B212,INDIRECT($F$8),6+(O224-1)*3),11)),IF(VLOOKUP(B212,INDIRECT($F$8),8+(O224-1)*3)&lt;U224*0.4,IF(U224*0.4-VLOOKUP(B212,INDIRECT($F$8),8+(O224-1)*3)&lt;=5,U224*0.4-VLOOKUP(B212,INDIRECT($F$8),8+(O224-1)*3),11),0))))</f>
        <v>11</v>
      </c>
      <c r="X224" s="1" t="str">
        <f ca="1">IF(ISERROR(F212),"",IF(W224=0,"",_xlfn.TEXTJOIN("",FALSE," G+",W224," in ",A224)))</f>
        <v xml:space="preserve"> G+11 in CAP 010</v>
      </c>
    </row>
    <row r="225" spans="1:24" ht="14.25" customHeight="1" x14ac:dyDescent="0.2">
      <c r="A225" s="43" t="str">
        <f ca="1">IF(ISERROR(F212),"",A208)</f>
        <v>Total Credits/ Marks/ Total Grade Points</v>
      </c>
      <c r="B225" s="43"/>
      <c r="C225" s="43"/>
      <c r="D225" s="43"/>
      <c r="E225" s="43"/>
      <c r="F225" s="10">
        <f ca="1">IF(ISERROR(F212),"",SUM(F217:F224))</f>
        <v>16</v>
      </c>
      <c r="G225" s="44" t="str">
        <f ca="1">IF(ISERROR(F212),"",_xlfn.TEXTJOIN("/",TRUE,SUMIF(F217:F224,"&gt;0",P217:P224),SUMIF(F217:F224,"&gt;0",S217:S224)))</f>
        <v>0/380</v>
      </c>
      <c r="H225" s="44"/>
      <c r="I225" s="44" t="str">
        <f ca="1">IF(ISERROR(F212),"",_xlfn.TEXTJOIN("/",TRUE,SUMIF(F217:F224,"&gt;0",Q217:Q224),SUMIF(F217:F224,"&gt;0",T217:T224)))</f>
        <v>0/320</v>
      </c>
      <c r="J225" s="44"/>
      <c r="K225" s="44" t="str">
        <f ca="1">IF(ISERROR(F212),"",_xlfn.TEXTJOIN("/",TRUE,SUMIF(F217:F224,"&gt;0",R217:R224),SUMIF(F217:F224,"&gt;0",U217:U224)))</f>
        <v>0/700</v>
      </c>
      <c r="L225" s="44"/>
      <c r="M225" s="43" t="e">
        <f ca="1">IF(ISERROR(F212),"",SUMPRODUCT(N217:N224,F217:F224))</f>
        <v>#N/A</v>
      </c>
      <c r="N225" s="43"/>
      <c r="V225" s="1" t="e">
        <f ca="1">IF(ISERROR(F212),"",_xlfn.TEXTJOIN(", ",TRUE,V217:V224))</f>
        <v>#N/A</v>
      </c>
      <c r="W225" t="b">
        <f ca="1">IF(ISERROR(F212),"",IF(SUM(W217:W224)&lt;=W216,TRUE,FALSE))</f>
        <v>0</v>
      </c>
      <c r="X225" s="1" t="str">
        <f ca="1">IF(ISERROR(F212),"",_xlfn.TEXTJOIN(",",TRUE,X217:X224))</f>
        <v xml:space="preserve"> G+11 in CAT  014, G+11 in CAT 015, G+11 in Enroll No., G+11 in Enroll No., G+11 in AHT 310, G+11 in CAP 008, G+11 in CAP 009, G+11 in CAP 010</v>
      </c>
    </row>
    <row r="226" spans="1:24" ht="14.25" customHeight="1" x14ac:dyDescent="0.2">
      <c r="A226" s="43" t="str">
        <f ca="1">IF(ISERROR(F212),"",A209)</f>
        <v>Result:</v>
      </c>
      <c r="B226" s="45" t="e">
        <f ca="1">IF(ISERROR(F212),"",IF(V225="","PASS","CARRY OVER"))</f>
        <v>#N/A</v>
      </c>
      <c r="C226" s="45"/>
      <c r="D226" s="43" t="str">
        <f ca="1">IF(ISERROR(F212),"",D209)</f>
        <v>Remark:</v>
      </c>
      <c r="E226" s="45" t="e">
        <f ca="1">IF(ISERROR(F212),"",IF(V225="",IF(X225="","",X225),_xlfn.TEXTJOIN(" ",TRUE,"BACK IN",V225)))</f>
        <v>#N/A</v>
      </c>
      <c r="F226" s="45"/>
      <c r="G226" s="43" t="str">
        <f ca="1">IF(ISERROR(F212),"",G209)</f>
        <v>SGPA:</v>
      </c>
      <c r="H226" s="46" t="e">
        <f ca="1">IF(ISERROR(F212),"",M225/F225)</f>
        <v>#N/A</v>
      </c>
      <c r="I226" s="43" t="str">
        <f ca="1">IF(ISERROR(F212),"",I209)</f>
        <v>CGPA:</v>
      </c>
      <c r="J226" s="46" t="e">
        <f ca="1">IF(ISERROR(F212),"",VLOOKUP(B212,INDIRECT($F$8),12+(O224-1)*3,0))</f>
        <v>#N/A</v>
      </c>
      <c r="K226" s="45" t="str">
        <f ca="1">IF(ISERROR(F212),"",K209)</f>
        <v>Earned Credits:</v>
      </c>
      <c r="L226" s="43">
        <f ca="1">IF(ISERROR(F212),"",SUMIF(N217:N224,"&gt;0",F217:F224))</f>
        <v>0</v>
      </c>
      <c r="M226" s="45" t="str">
        <f ca="1">IF(ISERROR(F212),"",M209)</f>
        <v>Cuml. Earned Credits:</v>
      </c>
      <c r="N226" s="43" t="e">
        <f ca="1">IF(ISERROR(F212),"",VLOOKUP(B212,INDIRECT($F$8),10+(O224-1)*3,0))</f>
        <v>#N/A</v>
      </c>
    </row>
    <row r="227" spans="1:24" ht="14.25" customHeight="1" x14ac:dyDescent="0.2">
      <c r="A227" s="43"/>
      <c r="B227" s="45"/>
      <c r="C227" s="45"/>
      <c r="D227" s="43"/>
      <c r="E227" s="45"/>
      <c r="F227" s="45"/>
      <c r="G227" s="43"/>
      <c r="H227" s="46"/>
      <c r="I227" s="43"/>
      <c r="J227" s="46"/>
      <c r="K227" s="45"/>
      <c r="L227" s="43"/>
      <c r="M227" s="45"/>
      <c r="N227" s="43"/>
    </row>
    <row r="228" spans="1:24" ht="14.25" customHeight="1" x14ac:dyDescent="0.2">
      <c r="A228" s="43"/>
      <c r="B228" s="45"/>
      <c r="C228" s="45"/>
      <c r="D228" s="43"/>
      <c r="E228" s="45"/>
      <c r="F228" s="45"/>
      <c r="G228" s="43"/>
      <c r="H228" s="46"/>
      <c r="I228" s="43"/>
      <c r="J228" s="46"/>
      <c r="K228" s="45"/>
      <c r="L228" s="43"/>
      <c r="M228" s="45"/>
      <c r="N228" s="43"/>
    </row>
    <row r="229" spans="1:24" ht="14.25" customHeight="1" x14ac:dyDescent="0.2">
      <c r="A229" s="11" t="str">
        <f>A212</f>
        <v>MM</v>
      </c>
      <c r="B229" s="11">
        <f>B212+1</f>
        <v>14</v>
      </c>
      <c r="C229" s="11" t="str">
        <f>C212</f>
        <v>SC</v>
      </c>
      <c r="D229" s="11" t="str">
        <f>D212</f>
        <v>SN</v>
      </c>
      <c r="E229" s="11" t="str">
        <f>E212</f>
        <v>C</v>
      </c>
      <c r="F229" s="11" t="str">
        <f ca="1">VLOOKUP(B229,INDIRECT($F$8),4,0)</f>
        <v>MANSI SAINI</v>
      </c>
    </row>
    <row r="230" spans="1:24" ht="14.25" customHeight="1" x14ac:dyDescent="0.2">
      <c r="A230" s="47" t="str">
        <f ca="1">IF(ISERROR(F229),"",A213)</f>
        <v>Name:</v>
      </c>
      <c r="B230" s="47" t="str">
        <f ca="1">IFERROR(VLOOKUP(B229,INDIRECT($F$8),4,0),"")</f>
        <v>MANSI SAINI</v>
      </c>
      <c r="C230" s="47"/>
      <c r="D230" s="47" t="str">
        <f ca="1">IF(ISERROR(F229),"",D213)</f>
        <v>Father's Name:</v>
      </c>
      <c r="E230" s="47" t="str">
        <f ca="1">IFERROR(VLOOKUP(B229,INDIRECT($F$8),5,0),"")</f>
        <v>ASHOK KUMAR SAINI</v>
      </c>
      <c r="F230" s="47"/>
      <c r="G230" s="47" t="str">
        <f ca="1">IF(ISERROR(F229),"",G213)</f>
        <v>University Roll No:</v>
      </c>
      <c r="H230" s="47"/>
      <c r="I230" s="48">
        <f ca="1">IFERROR(VLOOKUP(B229,INDIRECT($F$8),2,0),"")</f>
        <v>240090600014</v>
      </c>
      <c r="J230" s="48"/>
      <c r="K230" s="47" t="str">
        <f ca="1">IF(ISERROR(F229),"",K213)</f>
        <v>University Enrol. No:</v>
      </c>
      <c r="L230" s="47"/>
      <c r="M230" s="48" t="str">
        <f ca="1">IFERROR(VLOOKUP(B229,INDIRECT($F$8),3,0),"")</f>
        <v>UTU/2406100188</v>
      </c>
      <c r="N230" s="48"/>
    </row>
    <row r="231" spans="1:24" ht="14.25" customHeight="1" x14ac:dyDescent="0.2">
      <c r="A231" s="47"/>
      <c r="B231" s="47"/>
      <c r="C231" s="47"/>
      <c r="D231" s="47"/>
      <c r="E231" s="47"/>
      <c r="F231" s="47"/>
      <c r="G231" s="47"/>
      <c r="H231" s="47"/>
      <c r="I231" s="48"/>
      <c r="J231" s="48"/>
      <c r="K231" s="47"/>
      <c r="L231" s="47"/>
      <c r="M231" s="48"/>
      <c r="N231" s="48"/>
    </row>
    <row r="232" spans="1:24" ht="14.25" customHeight="1" x14ac:dyDescent="0.2">
      <c r="A232" s="45" t="str">
        <f ca="1">IF(ISERROR(F229),"",A215)</f>
        <v>Subject Code</v>
      </c>
      <c r="B232" s="45" t="str">
        <f ca="1">IF(ISERROR(F229),"",B215)</f>
        <v>Subject Name</v>
      </c>
      <c r="C232" s="45"/>
      <c r="D232" s="45"/>
      <c r="E232" s="45"/>
      <c r="F232" s="45" t="str">
        <f ca="1">IF(ISERROR(F229),"",F215)</f>
        <v>Credits</v>
      </c>
      <c r="G232" s="45" t="str">
        <f ca="1">IF(ISERROR(F229),"",G215)</f>
        <v>External Marks</v>
      </c>
      <c r="H232" s="45"/>
      <c r="I232" s="45" t="str">
        <f ca="1">IF(ISERROR(F229),"",I215)</f>
        <v>Sessional Marks</v>
      </c>
      <c r="J232" s="45"/>
      <c r="K232" s="45" t="str">
        <f ca="1">IF(ISERROR(F229),"",K215)</f>
        <v>Total Marks</v>
      </c>
      <c r="L232" s="45"/>
      <c r="M232" s="45" t="str">
        <f ca="1">IF(ISERROR(F229),"",M215)</f>
        <v>Grade</v>
      </c>
      <c r="N232" s="45" t="str">
        <f ca="1">IF(ISERROR(F229),"",N215)</f>
        <v>Grade Points</v>
      </c>
    </row>
    <row r="233" spans="1:24" ht="14.25" customHeight="1" x14ac:dyDescent="0.2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W233">
        <f ca="1">IF(ISNUMBER(MATCH($F$8,{"I","III","V","VII"},0)),10,10-INDEX(INDIRECT(_xlfn.TEXTJOIN("",TRUE,"SEM_",$G$8,"!",ADDRESS(6,4+$I$8*3+4),":",ADDRESS(5+$H$8,4+$I$8*3+4))),MATCH(INDIRECT(_xlfn.TEXTJOIN("",TRUE,"TC_",$F$8,"!",ADDRESS(ROW(I230),COLUMN(I230)))),INDIRECT(_xlfn.TEXTJOIN("",TRUE,"SEM_",$G$8,"!",ADDRESS(6,2),":",ADDRESS(5+$H$8,2))))))</f>
        <v>10</v>
      </c>
    </row>
    <row r="234" spans="1:24" ht="14.25" customHeight="1" x14ac:dyDescent="0.2">
      <c r="A234" s="7" t="str">
        <f ca="1">IF(ISERROR(F229),"",VLOOKUP(C229,INDIRECT($F$8),6+(O234-1)*3,0))</f>
        <v>CAT  014</v>
      </c>
      <c r="B234" s="41" t="str">
        <f ca="1">IF(ISERROR(F229),"",VLOOKUP(D229,INDIRECT($F$8),6+(O234-1)*3,0))</f>
        <v>Graph Theory</v>
      </c>
      <c r="C234" s="41"/>
      <c r="D234" s="41"/>
      <c r="E234" s="41"/>
      <c r="F234" s="7">
        <f ca="1">IF(ISERROR(F229),"",VLOOKUP(E229,INDIRECT($F$8),6+(O234-1)*3,0))</f>
        <v>4</v>
      </c>
      <c r="G234" s="42" t="str">
        <f ca="1">IF(ISERROR(F229),"",_xlfn.TEXTJOIN("/",FALSE,P234,S234))</f>
        <v>0/100</v>
      </c>
      <c r="H234" s="42"/>
      <c r="I234" s="42" t="str">
        <f ca="1">IF(ISERROR(F229),"",_xlfn.TEXTJOIN("/",FALSE,Q234,T234))</f>
        <v>0/50</v>
      </c>
      <c r="J234" s="42"/>
      <c r="K234" s="42" t="str">
        <f ca="1">IF(ISERROR(F229),"",_xlfn.TEXTJOIN("/",FALSE,R234,U234))</f>
        <v>0/150</v>
      </c>
      <c r="L234" s="42"/>
      <c r="M234" s="7" t="str">
        <f ca="1">IF(ISERROR(F229),"",IF(ISTEXT(P234),IF(P234="A","Ab",IF(P234="D","Dt",IF(P234="UFM","UFM",IF(P234="NA","")))),IF(AND(ISBLANK(P234),ISBLANK(R234)),"",IF(P234&lt;0.3*S234,"F",IF(ISBLANK(R234),"",IF(ISTEXT(R234),R234,IF(R234&gt;=0.9*U234,"O",IF(R234&gt;=0.85*U234,"A+",IF(R234&gt;=0.8*U234,"A",IF(R234&gt;=0.7*U234,"B+",IF(R234&gt;=0.6*U234,"B",IF(R234&gt;=0.5*U234,"C",IF(R234&gt;=0.4*U234,"P",IF(R234&lt;0.4*U234,"F",R234))))))))))))))</f>
        <v>F</v>
      </c>
      <c r="N234" s="8">
        <f t="shared" ref="N234:N241" ca="1" si="26">INDEX($Z$2:$Z$13,MATCH(M234,$Y$2:$Y$13,0))</f>
        <v>0</v>
      </c>
      <c r="O234">
        <v>1</v>
      </c>
      <c r="P234" s="1">
        <f ca="1">IF(ISERROR(F229),"",IF(ISTEXT(VLOOKUP(B229,INDIRECT($F$8),6+(O234-1)*3)),(VLOOKUP(B229,INDIRECT($F$8),6+(O234-1)*3)),SUM(VLOOKUP(B229,INDIRECT($F$8),6+(O234-1)*3),IF(W242,W234,0))))</f>
        <v>0</v>
      </c>
      <c r="Q234" s="1">
        <f ca="1">IF(ISERROR(F229),"",VLOOKUP(B229,INDIRECT($F$8),7+(O234-1)*3))</f>
        <v>0</v>
      </c>
      <c r="R234" s="1">
        <f ca="1">IF(ISERROR(F229),"",SUM(P234:Q234))</f>
        <v>0</v>
      </c>
      <c r="S234" s="1">
        <f ca="1">IF(ISERROR(F229),"",VLOOKUP(A229,INDIRECT($F$8),6+(O234-1)*3))</f>
        <v>100</v>
      </c>
      <c r="T234" s="1">
        <f ca="1">IF(ISERROR(F229),"",VLOOKUP(A229,INDIRECT($F$8),7+(O234-1)*3))</f>
        <v>50</v>
      </c>
      <c r="U234" s="1">
        <f ca="1">IF(ISERROR(F229),"",VLOOKUP(A229,INDIRECT($F$8),8+(O234-1)*3))</f>
        <v>150</v>
      </c>
      <c r="V234" s="1" t="str">
        <f ca="1">IF(ISERROR(F229),"",IF(N234=0,A234,""))</f>
        <v>CAT  014</v>
      </c>
      <c r="W234" s="1">
        <f ca="1">IF(ISERROR(F229),"",IF(ISTEXT(VLOOKUP(B229,INDIRECT($F$8),6+(O234-1)*3)),11,IF(VLOOKUP(B229,INDIRECT($F$8),6+(O234-1)*3)&lt;S234*0.3,IF(VLOOKUP(B229,INDIRECT($F$8),8+(O234-1)*3)&lt;U234*0.4,IF(AND(0.4*U234-VLOOKUP(B229,INDIRECT($F$8),8+(O234-1)*3)&lt;=5,0.3*S234-VLOOKUP(B229,INDIRECT($F$8),6+(O234-1)*3)&lt;=5),MAX(0.4*U234-VLOOKUP(B229,INDIRECT($F$8),8+(O234-1)*3),0.3*S234-VLOOKUP(B229,INDIRECT($F$8),6+(O234-1)*3)),11),IF(0.3*S234-VLOOKUP(B229,INDIRECT($F$8),6+(O234-1)*3)&lt;=5,0.3*S234-VLOOKUP(B229,INDIRECT($F$8),6+(O234-1)*3),11)),IF(VLOOKUP(B229,INDIRECT($F$8),8+(O234-1)*3)&lt;U234*0.4,IF(U234*0.4-VLOOKUP(B229,INDIRECT($F$8),8+(O234-1)*3)&lt;=5,U234*0.4-VLOOKUP(B229,INDIRECT($F$8),8+(O234-1)*3),11),0))))</f>
        <v>11</v>
      </c>
      <c r="X234" s="1" t="str">
        <f ca="1">IF(ISERROR(F229),"",IF(W234=0,"",_xlfn.TEXTJOIN("",FALSE," G+",W234," in ",A234)))</f>
        <v xml:space="preserve"> G+11 in CAT  014</v>
      </c>
    </row>
    <row r="235" spans="1:24" ht="14.25" customHeight="1" x14ac:dyDescent="0.2">
      <c r="A235" s="7" t="str">
        <f ca="1">IF(ISERROR(F229),"",VLOOKUP(C229,INDIRECT($F$8),6+(O235-1)*3,0))</f>
        <v>CAT 015</v>
      </c>
      <c r="B235" s="41" t="str">
        <f ca="1">IF(ISERROR(F229),"",VLOOKUP(D229,INDIRECT($F$8),6+(O235-1)*3,0))</f>
        <v>Software Engineering</v>
      </c>
      <c r="C235" s="41"/>
      <c r="D235" s="41"/>
      <c r="E235" s="41"/>
      <c r="F235" s="7">
        <f ca="1">IF(ISERROR(F229),"",VLOOKUP(E229,INDIRECT($F$8),6+(O235-1)*3,0))</f>
        <v>4</v>
      </c>
      <c r="G235" s="42" t="str">
        <f ca="1">IF(ISERROR(F229),"",_xlfn.TEXTJOIN("/",FALSE,P235,S235))</f>
        <v>0/100</v>
      </c>
      <c r="H235" s="42"/>
      <c r="I235" s="42" t="str">
        <f ca="1">IF(ISERROR(F229),"",_xlfn.TEXTJOIN("/",FALSE,Q235,T235))</f>
        <v>0/50</v>
      </c>
      <c r="J235" s="42"/>
      <c r="K235" s="42" t="str">
        <f ca="1">IF(ISERROR(F229),"",_xlfn.TEXTJOIN("/",FALSE,R235,U235))</f>
        <v>0/150</v>
      </c>
      <c r="L235" s="42"/>
      <c r="M235" s="7" t="str">
        <f ca="1">IF(ISERROR(F229),"",IF(ISTEXT(P235),IF(P235="A","Ab",IF(P235="D","Dt",IF(P235="UFM","UFM",IF(P235="NA","")))),IF(AND(ISBLANK(P235),ISBLANK(R235)),"",IF(P235&lt;0.3*S235,"F",IF(ISBLANK(R235),"",IF(ISTEXT(R235),R235,IF(R235&gt;=0.9*U235,"O",IF(R235&gt;=0.85*U235,"A+",IF(R235&gt;=0.8*U235,"A",IF(R235&gt;=0.7*U235,"B+",IF(R235&gt;=0.6*U235,"B",IF(R235&gt;=0.5*U235,"C",IF(R235&gt;=0.4*U235,"P",IF(R235&lt;0.4*U235,"F",R235))))))))))))))</f>
        <v>F</v>
      </c>
      <c r="N235" s="8">
        <f t="shared" ca="1" si="26"/>
        <v>0</v>
      </c>
      <c r="O235">
        <f>O234+1</f>
        <v>2</v>
      </c>
      <c r="P235" s="1">
        <f ca="1">IF(ISERROR(F229),"",IF(ISTEXT(VLOOKUP(B229,INDIRECT($F$8),6+(O235-1)*3)),(VLOOKUP(B229,INDIRECT($F$8),6+(O235-1)*3)),SUM(VLOOKUP(B229,INDIRECT($F$8),6+(O235-1)*3),IF(W242,W235,0))))</f>
        <v>0</v>
      </c>
      <c r="Q235" s="1">
        <f ca="1">IF(ISERROR(F229),"",VLOOKUP(B229,INDIRECT($F$8),7+(O235-1)*3))</f>
        <v>0</v>
      </c>
      <c r="R235" s="1">
        <f ca="1">IF(ISERROR(F229),"",SUM(P235:Q235))</f>
        <v>0</v>
      </c>
      <c r="S235" s="1">
        <f ca="1">IF(ISERROR(F229),"",VLOOKUP(A229,INDIRECT($F$8),6+(O235-1)*3))</f>
        <v>100</v>
      </c>
      <c r="T235" s="1">
        <f ca="1">IF(ISERROR(F229),"",VLOOKUP(A229,INDIRECT($F$8),7+(O235-1)*3))</f>
        <v>50</v>
      </c>
      <c r="U235" s="1">
        <f ca="1">IF(ISERROR(F229),"",VLOOKUP(A229,INDIRECT($F$8),8+(O235-1)*3))</f>
        <v>150</v>
      </c>
      <c r="V235" s="1" t="str">
        <f ca="1">IF(ISERROR(F229),"",IF(N235=0,A235,""))</f>
        <v>CAT 015</v>
      </c>
      <c r="W235" s="1">
        <f ca="1">IF(ISERROR(F229),"",IF(ISTEXT(VLOOKUP(B229,INDIRECT($F$8),6+(O235-1)*3)),11,IF(VLOOKUP(B229,INDIRECT($F$8),6+(O235-1)*3)&lt;S235*0.3,IF(VLOOKUP(B229,INDIRECT($F$8),8+(O235-1)*3)&lt;U235*0.4,IF(AND(0.4*U235-VLOOKUP(B229,INDIRECT($F$8),8+(O235-1)*3)&lt;=5,0.3*S235-VLOOKUP(B229,INDIRECT($F$8),6+(O235-1)*3)&lt;=5),MAX(0.4*U235-VLOOKUP(B229,INDIRECT($F$8),8+(O235-1)*3),0.3*S235-VLOOKUP(B229,INDIRECT($F$8),6+(O235-1)*3)),11),IF(0.3*S235-VLOOKUP(B229,INDIRECT($F$8),6+(O235-1)*3)&lt;=5,0.3*S235-VLOOKUP(B229,INDIRECT($F$8),6+(O235-1)*3),11)),IF(VLOOKUP(B229,INDIRECT($F$8),8+(O235-1)*3)&lt;U235*0.4,IF(U235*0.4-VLOOKUP(B229,INDIRECT($F$8),8+(O235-1)*3)&lt;=5,U235*0.4-VLOOKUP(B229,INDIRECT($F$8),8+(O235-1)*3),11),0))))</f>
        <v>11</v>
      </c>
      <c r="X235" s="1" t="str">
        <f ca="1">IF(ISERROR(F229),"",IF(W235=0,"",_xlfn.TEXTJOIN("",FALSE," G+",W235," in ",A235)))</f>
        <v xml:space="preserve"> G+11 in CAT 015</v>
      </c>
    </row>
    <row r="236" spans="1:24" ht="14.25" customHeight="1" x14ac:dyDescent="0.2">
      <c r="A236" s="7" t="str">
        <f ca="1">IF(ISERROR(F229),"",VLOOKUP(C229,INDIRECT($F$8),6+(O236-1)*3,0))</f>
        <v>Enroll No.</v>
      </c>
      <c r="B236" s="41">
        <f ca="1">IF(ISERROR(F229),"",VLOOKUP(D229,INDIRECT($F$8),6+(O236-1)*3,0))</f>
        <v>0</v>
      </c>
      <c r="C236" s="41"/>
      <c r="D236" s="41"/>
      <c r="E236" s="41"/>
      <c r="F236" s="7">
        <f ca="1">IF(ISERROR(F229),"",VLOOKUP(E229,INDIRECT($F$8),6+(O236-1)*3,0))</f>
        <v>0</v>
      </c>
      <c r="G236" s="42" t="str">
        <f ca="1">IF(ISERROR(F229),"",_xlfn.TEXTJOIN("/",FALSE,P236,S236))</f>
        <v>UTU/2406100188/0</v>
      </c>
      <c r="H236" s="42"/>
      <c r="I236" s="42" t="str">
        <f ca="1">IF(ISERROR(F229),"",_xlfn.TEXTJOIN("/",FALSE,Q236,T236))</f>
        <v>MANSI SAINI/0</v>
      </c>
      <c r="J236" s="42"/>
      <c r="K236" s="42" t="str">
        <f ca="1">IF(ISERROR(F229),"",_xlfn.TEXTJOIN("/",FALSE,R236,U236))</f>
        <v>0/0</v>
      </c>
      <c r="L236" s="42"/>
      <c r="M236" s="7" t="b">
        <f ca="1">IF(ISERROR(F229),"",IF(ISTEXT(P236),IF(P236="A","Ab",IF(P236="D","Dt",IF(P236="UFM","UFM",IF(P236="NA","")))),IF(AND(ISBLANK(P236),ISBLANK(R236)),"",IF(P236&lt;0.3*S236,"F",IF(ISBLANK(R236),"",IF(ISTEXT(R236),R236,IF(R236&gt;=0.9*U236,"O",IF(R236&gt;=0.85*U236,"A+",IF(R236&gt;=0.8*U236,"A",IF(R236&gt;=0.7*U236,"B+",IF(R236&gt;=0.6*U236,"B",IF(R236&gt;=0.5*U236,"C",IF(R236&gt;=0.4*U236,"P",IF(R236&lt;0.4*U236,"F",R236))))))))))))))</f>
        <v>0</v>
      </c>
      <c r="N236" s="8" t="e">
        <f t="shared" ca="1" si="26"/>
        <v>#N/A</v>
      </c>
      <c r="O236" t="b" cm="1">
        <f t="array" aca="1" ref="O236" ca="1">IF(NOT(ISBLANK(INDIRECT("SEM_III!L"&amp;INT((ROW(O236)-15)/17)+6))),3,IF(NOT(ISBLANK(INDIRECT("SEM_III!O"&amp;INT((ROW(O236)-15)/17)+6))),4))</f>
        <v>0</v>
      </c>
      <c r="P236" s="1" t="str">
        <f ca="1">IF(ISERROR(F229),"",IF(ISTEXT(VLOOKUP(B229,INDIRECT($F$8),6+(O236-1)*3)),(VLOOKUP(B229,INDIRECT($F$8),6+(O236-1)*3)),SUM(VLOOKUP(B229,INDIRECT($F$8),6+(O236-1)*3),IF(W242,W236,0))))</f>
        <v>UTU/2406100188</v>
      </c>
      <c r="Q236" s="1" t="str">
        <f ca="1">IF(ISERROR(F229),"",VLOOKUP(B229,INDIRECT($F$8),7+(O236-1)*3))</f>
        <v>MANSI SAINI</v>
      </c>
      <c r="R236" s="1">
        <f ca="1">IF(ISERROR(F229),"",SUM(P236:Q236))</f>
        <v>0</v>
      </c>
      <c r="S236" s="1">
        <f ca="1">IF(ISERROR(F229),"",VLOOKUP(A229,INDIRECT($F$8),6+(O236-1)*3))</f>
        <v>0</v>
      </c>
      <c r="T236" s="1">
        <f ca="1">IF(ISERROR(F229),"",VLOOKUP(A229,INDIRECT($F$8),7+(O236-1)*3))</f>
        <v>0</v>
      </c>
      <c r="U236" s="1">
        <f ca="1">IF(ISERROR(F229),"",VLOOKUP(A229,INDIRECT($F$8),8+(O236-1)*3))</f>
        <v>0</v>
      </c>
      <c r="V236" s="1" t="e">
        <f ca="1">IF(ISERROR(F229),"",IF(N236=0,A236,""))</f>
        <v>#N/A</v>
      </c>
      <c r="W236" s="1">
        <f ca="1">IF(ISERROR(F229),"",IF(ISTEXT(VLOOKUP(B229,INDIRECT($F$8),6+(O236-1)*3)),11,IF(VLOOKUP(B229,INDIRECT($F$8),6+(O236-1)*3)&lt;S236*0.3,IF(VLOOKUP(B229,INDIRECT($F$8),8+(O236-1)*3)&lt;U236*0.4,IF(AND(0.4*U236-VLOOKUP(B229,INDIRECT($F$8),8+(O236-1)*3)&lt;=5,0.3*S236-VLOOKUP(B229,INDIRECT($F$8),6+(O236-1)*3)&lt;=5),MAX(0.4*U236-VLOOKUP(B229,INDIRECT($F$8),8+(O236-1)*3),0.3*S236-VLOOKUP(B229,INDIRECT($F$8),6+(O236-1)*3)),11),IF(0.3*S236-VLOOKUP(B229,INDIRECT($F$8),6+(O236-1)*3)&lt;=5,0.3*S236-VLOOKUP(B229,INDIRECT($F$8),6+(O236-1)*3),11)),IF(VLOOKUP(B229,INDIRECT($F$8),8+(O236-1)*3)&lt;U236*0.4,IF(U236*0.4-VLOOKUP(B229,INDIRECT($F$8),8+(O236-1)*3)&lt;=5,U236*0.4-VLOOKUP(B229,INDIRECT($F$8),8+(O236-1)*3),11),0))))</f>
        <v>11</v>
      </c>
      <c r="X236" s="1" t="str">
        <f ca="1">IF(ISERROR(F229),"",IF(W236=0,"",_xlfn.TEXTJOIN("",FALSE," G+",W236," in ",A236)))</f>
        <v xml:space="preserve"> G+11 in Enroll No.</v>
      </c>
    </row>
    <row r="237" spans="1:24" ht="14.25" customHeight="1" x14ac:dyDescent="0.2">
      <c r="A237" s="7" t="str">
        <f ca="1">IF(ISERROR(F229),"",VLOOKUP(C229,INDIRECT($F$8),6+(O237-1)*3,0))</f>
        <v>Enroll No.</v>
      </c>
      <c r="B237" s="41">
        <f ca="1">IF(ISERROR(F229),"",VLOOKUP(D229,INDIRECT($F$8),6+(O237-1)*3,0))</f>
        <v>0</v>
      </c>
      <c r="C237" s="41"/>
      <c r="D237" s="41"/>
      <c r="E237" s="41"/>
      <c r="F237" s="7">
        <f ca="1">IF(ISERROR(F229),"",VLOOKUP(E229,INDIRECT($F$8),6+(O237-1)*3,0))</f>
        <v>0</v>
      </c>
      <c r="G237" s="42" t="str">
        <f ca="1">IF(ISERROR(F229),"",_xlfn.TEXTJOIN("/",FALSE,P237,S237))</f>
        <v>UTU/2406100188/0</v>
      </c>
      <c r="H237" s="42"/>
      <c r="I237" s="42" t="str">
        <f ca="1">IF(ISERROR(F229),"",_xlfn.TEXTJOIN("/",FALSE,Q237,T237))</f>
        <v>MANSI SAINI/0</v>
      </c>
      <c r="J237" s="42"/>
      <c r="K237" s="42" t="str">
        <f ca="1">IF(ISERROR(F229),"",_xlfn.TEXTJOIN("/",FALSE,R237,U237))</f>
        <v>0/0</v>
      </c>
      <c r="L237" s="42"/>
      <c r="M237" s="7" t="b">
        <f ca="1">IF(ISERROR(F229),"",IF(ISTEXT(P237),IF(P237="A","Ab",IF(P237="D","Dt",IF(P237="UFM","UFM",IF(P237="NA","")))),IF(AND(ISBLANK(P237),ISBLANK(R237)),"",IF(P237&lt;0.3*S237,"F",IF(ISBLANK(R237),"",IF(ISTEXT(R237),R237,IF(R237&gt;=0.9*U237,"O",IF(R237&gt;=0.85*U237,"A+",IF(R237&gt;=0.8*U237,"A",IF(R237&gt;=0.7*U237,"B+",IF(R237&gt;=0.6*U237,"B",IF(R237&gt;=0.5*U237,"C",IF(R237&gt;=0.4*U237,"P",IF(R237&lt;0.4*U237,"F",R237))))))))))))))</f>
        <v>0</v>
      </c>
      <c r="N237" s="8" t="e">
        <f t="shared" ca="1" si="26"/>
        <v>#N/A</v>
      </c>
      <c r="O237" t="b" cm="1">
        <f t="array" aca="1" ref="O237" ca="1">IF(NOT(ISBLANK(INDIRECT("SEM_III!R"&amp;INT((ROW(O237)-16)/17)+6))),5,IF(NOT(ISBLANK(INDIRECT("SEM_III!U"&amp;INT((ROW(O237)-16)/17)+6))),6))</f>
        <v>0</v>
      </c>
      <c r="P237" s="1" t="str">
        <f ca="1">IF(ISERROR(F229),"",IF(ISTEXT(VLOOKUP(B229,INDIRECT($F$8),6+(O237-1)*3)),(VLOOKUP(B229,INDIRECT($F$8),6+(O237-1)*3)),SUM(VLOOKUP(B229,INDIRECT($F$8),6+(O237-1)*3),IF(W242,W237,0))))</f>
        <v>UTU/2406100188</v>
      </c>
      <c r="Q237" s="1" t="str">
        <f ca="1">IF(ISERROR(F229),"",VLOOKUP(B229,INDIRECT($F$8),7+(O237-1)*3))</f>
        <v>MANSI SAINI</v>
      </c>
      <c r="R237" s="1">
        <f ca="1">IF(ISERROR(F229),"",SUM(P237:Q237))</f>
        <v>0</v>
      </c>
      <c r="S237" s="1">
        <f ca="1">IF(ISERROR(F229),"",VLOOKUP(A229,INDIRECT($F$8),6+(O237-1)*3))</f>
        <v>0</v>
      </c>
      <c r="T237" s="1">
        <f ca="1">IF(ISERROR(F229),"",VLOOKUP(A229,INDIRECT($F$8),7+(O237-1)*3))</f>
        <v>0</v>
      </c>
      <c r="U237" s="1">
        <f ca="1">IF(ISERROR(F229),"",VLOOKUP(A229,INDIRECT($F$8),8+(O237-1)*3))</f>
        <v>0</v>
      </c>
      <c r="V237" s="1" t="e">
        <f ca="1">IF(ISERROR(F229),"",IF(N237=0,A237,""))</f>
        <v>#N/A</v>
      </c>
      <c r="W237" s="1">
        <f ca="1">IF(ISERROR(F229),"",IF(ISTEXT(VLOOKUP(B229,INDIRECT($F$8),6+(O237-1)*3)),11,IF(VLOOKUP(B229,INDIRECT($F$8),6+(O237-1)*3)&lt;S237*0.3,IF(VLOOKUP(B229,INDIRECT($F$8),8+(O237-1)*3)&lt;U237*0.4,IF(AND(0.4*U237-VLOOKUP(B229,INDIRECT($F$8),8+(O237-1)*3)&lt;=5,0.3*S237-VLOOKUP(B229,INDIRECT($F$8),6+(O237-1)*3)&lt;=5),MAX(0.4*U237-VLOOKUP(B229,INDIRECT($F$8),8+(O237-1)*3),0.3*S237-VLOOKUP(B229,INDIRECT($F$8),6+(O237-1)*3)),11),IF(0.3*S237-VLOOKUP(B229,INDIRECT($F$8),6+(O237-1)*3)&lt;=5,0.3*S237-VLOOKUP(B229,INDIRECT($F$8),6+(O237-1)*3),11)),IF(VLOOKUP(B229,INDIRECT($F$8),8+(O237-1)*3)&lt;U237*0.4,IF(U237*0.4-VLOOKUP(B229,INDIRECT($F$8),8+(O237-1)*3)&lt;=5,U237*0.4-VLOOKUP(B229,INDIRECT($F$8),8+(O237-1)*3),11),0))))</f>
        <v>11</v>
      </c>
      <c r="X237" s="1" t="str">
        <f ca="1">IF(ISERROR(F229),"",IF(W237=0,"",_xlfn.TEXTJOIN("",FALSE," G+",W237," in ",A237)))</f>
        <v xml:space="preserve"> G+11 in Enroll No.</v>
      </c>
    </row>
    <row r="238" spans="1:24" ht="14.25" customHeight="1" x14ac:dyDescent="0.2">
      <c r="A238" s="7" t="str">
        <f ca="1">IF(ISERROR(F229),"",VLOOKUP(C229,INDIRECT($F$8),6+(O238-1)*3,0))</f>
        <v>AHT 310</v>
      </c>
      <c r="B238" s="41" t="str">
        <f ca="1">IF(ISERROR(F229),"",VLOOKUP(D229,INDIRECT($F$8),6+(O238-1)*3,0))</f>
        <v>Universal Human Value</v>
      </c>
      <c r="C238" s="41"/>
      <c r="D238" s="41"/>
      <c r="E238" s="41"/>
      <c r="F238" s="7">
        <f ca="1">IF(ISERROR(F229),"",VLOOKUP(E229,INDIRECT($F$8),6+(O238-1)*3,0))</f>
        <v>3</v>
      </c>
      <c r="G238" s="42" t="str">
        <f ca="1">IF(ISERROR(F229),"",_xlfn.TEXTJOIN("/",FALSE,P238,S238))</f>
        <v>0/100</v>
      </c>
      <c r="H238" s="42"/>
      <c r="I238" s="42" t="str">
        <f ca="1">IF(ISERROR(F229),"",_xlfn.TEXTJOIN("/",FALSE,Q238,T238))</f>
        <v>0/50</v>
      </c>
      <c r="J238" s="42"/>
      <c r="K238" s="42" t="str">
        <f ca="1">IF(ISERROR(F229),"",_xlfn.TEXTJOIN("/",FALSE,R238,U238))</f>
        <v>0/150</v>
      </c>
      <c r="L238" s="42"/>
      <c r="M238" s="7" t="str">
        <f ca="1">IF(ISERROR(F229),"",IF(ISTEXT(P238),IF(P238="A","Ab",IF(P238="D","Dt",IF(P238="UFM","UFM",IF(P238="NA","")))),IF(AND(ISBLANK(P238),ISBLANK(R238)),"",IF(P238&lt;0.3*S238,"F",IF(ISBLANK(R238),"",IF(ISTEXT(R238),R238,IF(R238&gt;=0.9*U238,"O",IF(R238&gt;=0.85*U238,"A+",IF(R238&gt;=0.8*U238,"A",IF(R238&gt;=0.7*U238,"B+",IF(R238&gt;=0.6*U238,"B",IF(R238&gt;=0.5*U238,"C",IF(R238&gt;=0.4*U238,"P",IF(R238&lt;0.4*U238,"F",R238))))))))))))))</f>
        <v>F</v>
      </c>
      <c r="N238" s="8">
        <f t="shared" ca="1" si="26"/>
        <v>0</v>
      </c>
      <c r="O238">
        <f ca="1">IF(O237&gt;0,7,"")</f>
        <v>7</v>
      </c>
      <c r="P238" s="1">
        <f ca="1">IF(ISERROR(F229),"",IF(ISTEXT(VLOOKUP(B229,INDIRECT($F$8),6+(O238-1)*3)),(VLOOKUP(B229,INDIRECT($F$8),6+(O238-1)*3)),SUM(VLOOKUP(B229,INDIRECT($F$8),6+(O238-1)*3),IF(W242,W238,0))))</f>
        <v>0</v>
      </c>
      <c r="Q238" s="1">
        <f ca="1">IF(ISERROR(F229),"",VLOOKUP(B229,INDIRECT($F$8),7+(O238-1)*3))</f>
        <v>0</v>
      </c>
      <c r="R238" s="1">
        <f ca="1">IF(ISERROR(F229),"",SUM(P238:Q238))</f>
        <v>0</v>
      </c>
      <c r="S238" s="1">
        <f ca="1">IF(ISERROR(F229),"",VLOOKUP(A229,INDIRECT($F$8),6+(O238-1)*3))</f>
        <v>100</v>
      </c>
      <c r="T238" s="1">
        <f ca="1">IF(ISERROR(F229),"",VLOOKUP(A229,INDIRECT($F$8),7+(O238-1)*3))</f>
        <v>50</v>
      </c>
      <c r="U238" s="1">
        <f ca="1">IF(ISERROR(F229),"",VLOOKUP(A229,INDIRECT($F$8),8+(O238-1)*3))</f>
        <v>150</v>
      </c>
      <c r="V238" s="1" t="str">
        <f ca="1">IF(ISERROR(F229),"",IF(N238=0,A238,""))</f>
        <v>AHT 310</v>
      </c>
      <c r="W238" s="1">
        <f ca="1">IF(ISERROR(F229),"",IF(ISTEXT(VLOOKUP(B229,INDIRECT($F$8),6+(O238-1)*3)),11,IF(VLOOKUP(B229,INDIRECT($F$8),6+(O238-1)*3)&lt;S238*0.3,IF(VLOOKUP(B229,INDIRECT($F$8),8+(O238-1)*3)&lt;U238*0.4,IF(AND(0.4*U238-VLOOKUP(B229,INDIRECT($F$8),8+(O238-1)*3)&lt;=5,0.3*S238-VLOOKUP(B229,INDIRECT($F$8),6+(O238-1)*3)&lt;=5),MAX(0.4*U238-VLOOKUP(B229,INDIRECT($F$8),8+(O238-1)*3),0.3*S238-VLOOKUP(B229,INDIRECT($F$8),6+(O238-1)*3)),11),IF(0.3*S238-VLOOKUP(B229,INDIRECT($F$8),6+(O238-1)*3)&lt;=5,0.3*S238-VLOOKUP(B229,INDIRECT($F$8),6+(O238-1)*3),11)),IF(VLOOKUP(B229,INDIRECT($F$8),8+(O238-1)*3)&lt;U238*0.4,IF(U238*0.4-VLOOKUP(B229,INDIRECT($F$8),8+(O238-1)*3)&lt;=5,U238*0.4-VLOOKUP(B229,INDIRECT($F$8),8+(O238-1)*3),11),0))))</f>
        <v>11</v>
      </c>
      <c r="X238" s="1" t="str">
        <f ca="1">IF(ISERROR(F229),"",IF(W238=0,"",_xlfn.TEXTJOIN("",FALSE," G+",W238," in ",A238)))</f>
        <v xml:space="preserve"> G+11 in AHT 310</v>
      </c>
    </row>
    <row r="239" spans="1:24" ht="14.25" customHeight="1" x14ac:dyDescent="0.2">
      <c r="A239" s="7" t="str">
        <f ca="1">IF(ISERROR(F229),"",VLOOKUP(C229,INDIRECT($F$8),6+(O239-1)*3,0))</f>
        <v>CAP 008</v>
      </c>
      <c r="B239" s="41" t="str">
        <f ca="1">IF(ISERROR(F229),"",VLOOKUP(D229,INDIRECT($F$8),6+(O239-1)*3,0))</f>
        <v>Software Engineering Lab</v>
      </c>
      <c r="C239" s="41"/>
      <c r="D239" s="41"/>
      <c r="E239" s="41"/>
      <c r="F239" s="7">
        <f ca="1">IF(ISERROR(F229),"",VLOOKUP(E229,INDIRECT($F$8),6+(O239-1)*3,0))</f>
        <v>1</v>
      </c>
      <c r="G239" s="42" t="str">
        <f ca="1">IF(ISERROR(F229),"",_xlfn.TEXTJOIN("/",FALSE,P239,S239))</f>
        <v>0/30</v>
      </c>
      <c r="H239" s="42"/>
      <c r="I239" s="42" t="str">
        <f ca="1">IF(ISERROR(F229),"",_xlfn.TEXTJOIN("/",FALSE,Q239,T239))</f>
        <v>0/20</v>
      </c>
      <c r="J239" s="42"/>
      <c r="K239" s="42" t="str">
        <f ca="1">IF(ISERROR(F229),"",_xlfn.TEXTJOIN("/",FALSE,R239,U239))</f>
        <v>0/50</v>
      </c>
      <c r="L239" s="42"/>
      <c r="M239" s="7" t="str">
        <f ca="1">IF(ISERROR(F229),"",IF(ISTEXT(P239),IF(P239="A","Ab",IF(P239="D","Dt",IF(P239="UFM","UFM",IF(P239="NA","")))),IF(AND(ISBLANK(P239),ISBLANK(R239)),"",IF(P239&lt;0.3*S239,"F",IF(ISBLANK(R239),"",IF(ISTEXT(R239),R239,IF(R239&gt;=0.9*U239,"O",IF(R239&gt;=0.85*U239,"A+",IF(R239&gt;=0.8*U239,"A",IF(R239&gt;=0.7*U239,"B+",IF(R239&gt;=0.6*U239,"B",IF(R239&gt;=0.5*U239,"C",IF(R239&gt;=0.4*U239,"P",IF(R239&lt;0.4*U239,"F",R239))))))))))))))</f>
        <v>F</v>
      </c>
      <c r="N239" s="8">
        <f t="shared" ca="1" si="26"/>
        <v>0</v>
      </c>
      <c r="O239">
        <f t="shared" ref="O239:O241" ca="1" si="27">O238+1</f>
        <v>8</v>
      </c>
      <c r="P239" s="1">
        <f ca="1">IF(ISERROR(F229),"",IF(ISTEXT(VLOOKUP(B229,INDIRECT($F$8),6+(O239-1)*3)),(VLOOKUP(B229,INDIRECT($F$8),6+(O239-1)*3)),SUM(VLOOKUP(B229,INDIRECT($F$8),6+(O239-1)*3),IF(W242,W239,0))))</f>
        <v>0</v>
      </c>
      <c r="Q239" s="1">
        <f ca="1">IF(ISERROR(F229),"",VLOOKUP(B229,INDIRECT($F$8),7+(O239-1)*3))</f>
        <v>0</v>
      </c>
      <c r="R239" s="1">
        <f ca="1">IF(ISERROR(F229),"",SUM(P239:Q239))</f>
        <v>0</v>
      </c>
      <c r="S239" s="1">
        <f ca="1">IF(ISERROR(F229),"",VLOOKUP(A229,INDIRECT($F$8),6+(O239-1)*3))</f>
        <v>30</v>
      </c>
      <c r="T239" s="1">
        <f ca="1">IF(ISERROR(F229),"",VLOOKUP(A229,INDIRECT($F$8),7+(O239-1)*3))</f>
        <v>20</v>
      </c>
      <c r="U239" s="1">
        <f ca="1">IF(ISERROR(F229),"",VLOOKUP(A229,INDIRECT($F$8),8+(O239-1)*3))</f>
        <v>50</v>
      </c>
      <c r="V239" s="1" t="str">
        <f ca="1">IF(ISERROR(F229),"",IF(N239=0,A239,""))</f>
        <v>CAP 008</v>
      </c>
      <c r="W239" s="1">
        <f ca="1">IF(ISERROR(F229),"",IF(ISTEXT(VLOOKUP(B229,INDIRECT($F$8),6+(O239-1)*3)),11,IF(VLOOKUP(B229,INDIRECT($F$8),6+(O239-1)*3)&lt;S239*0.3,IF(VLOOKUP(B229,INDIRECT($F$8),8+(O239-1)*3)&lt;U239*0.4,IF(AND(0.4*U239-VLOOKUP(B229,INDIRECT($F$8),8+(O239-1)*3)&lt;=5,0.3*S239-VLOOKUP(B229,INDIRECT($F$8),6+(O239-1)*3)&lt;=5),MAX(0.4*U239-VLOOKUP(B229,INDIRECT($F$8),8+(O239-1)*3),0.3*S239-VLOOKUP(B229,INDIRECT($F$8),6+(O239-1)*3)),11),IF(0.3*S239-VLOOKUP(B229,INDIRECT($F$8),6+(O239-1)*3)&lt;=5,0.3*S239-VLOOKUP(B229,INDIRECT($F$8),6+(O239-1)*3),11)),IF(VLOOKUP(B229,INDIRECT($F$8),8+(O239-1)*3)&lt;U239*0.4,IF(U239*0.4-VLOOKUP(B229,INDIRECT($F$8),8+(O239-1)*3)&lt;=5,U239*0.4-VLOOKUP(B229,INDIRECT($F$8),8+(O239-1)*3),11),0))))</f>
        <v>11</v>
      </c>
      <c r="X239" s="1" t="str">
        <f ca="1">IF(ISERROR(F229),"",IF(W239=0,"",_xlfn.TEXTJOIN("",FALSE," G+",W239," in ",A239)))</f>
        <v xml:space="preserve"> G+11 in CAP 008</v>
      </c>
    </row>
    <row r="240" spans="1:24" ht="14.25" customHeight="1" x14ac:dyDescent="0.2">
      <c r="A240" s="7" t="str">
        <f ca="1">IF(ISERROR(F229),"",VLOOKUP(C229,INDIRECT($F$8),6+(O240-1)*3,0))</f>
        <v>CAP 009</v>
      </c>
      <c r="B240" s="41" t="str">
        <f ca="1">IF(ISERROR(F229),"",VLOOKUP(D229,INDIRECT($F$8),6+(O240-1)*3,0))</f>
        <v>Seminar</v>
      </c>
      <c r="C240" s="41"/>
      <c r="D240" s="41"/>
      <c r="E240" s="41"/>
      <c r="F240" s="7">
        <f ca="1">IF(ISERROR(F229),"",VLOOKUP(E229,INDIRECT($F$8),6+(O240-1)*3,0))</f>
        <v>2</v>
      </c>
      <c r="G240" s="42" t="str">
        <f ca="1">IF(ISERROR(F229),"",_xlfn.TEXTJOIN("/",FALSE,P240,S240))</f>
        <v>0/0</v>
      </c>
      <c r="H240" s="42"/>
      <c r="I240" s="42" t="str">
        <f ca="1">IF(ISERROR(F229),"",_xlfn.TEXTJOIN("/",FALSE,Q240,T240))</f>
        <v>0/100</v>
      </c>
      <c r="J240" s="42"/>
      <c r="K240" s="42" t="str">
        <f ca="1">IF(ISERROR(F229),"",_xlfn.TEXTJOIN("/",FALSE,R240,U240))</f>
        <v>0/100</v>
      </c>
      <c r="L240" s="42"/>
      <c r="M240" s="7" t="str">
        <f ca="1">IF(ISERROR(F229),"",IF(ISTEXT(P240),IF(P240="A","Ab",IF(P240="D","Dt",IF(P240="UFM","UFM",IF(P240="NA","")))),IF(AND(ISBLANK(P240),ISBLANK(R240)),"",IF(P240&lt;0.3*S240,"F",IF(ISBLANK(R240),"",IF(ISTEXT(R240),R240,IF(R240&gt;=0.9*U240,"O",IF(R240&gt;=0.85*U240,"A+",IF(R240&gt;=0.8*U240,"A",IF(R240&gt;=0.7*U240,"B+",IF(R240&gt;=0.6*U240,"B",IF(R240&gt;=0.5*U240,"C",IF(R240&gt;=0.4*U240,"P",IF(R240&lt;0.4*U240,"F",R240))))))))))))))</f>
        <v>F</v>
      </c>
      <c r="N240" s="8">
        <f t="shared" ca="1" si="26"/>
        <v>0</v>
      </c>
      <c r="O240">
        <f t="shared" ca="1" si="27"/>
        <v>9</v>
      </c>
      <c r="P240" s="1">
        <f ca="1">IF(ISERROR(F229),"",IF(ISTEXT(VLOOKUP(B229,INDIRECT($F$8),6+(O240-1)*3)),(VLOOKUP(B229,INDIRECT($F$8),6+(O240-1)*3)),SUM(VLOOKUP(B229,INDIRECT($F$8),6+(O240-1)*3),IF(W242,W240,0))))</f>
        <v>0</v>
      </c>
      <c r="Q240" s="1">
        <f ca="1">IF(ISERROR(F229),"",VLOOKUP(B229,INDIRECT($F$8),7+(O240-1)*3))</f>
        <v>0</v>
      </c>
      <c r="R240" s="1">
        <f ca="1">IF(ISERROR(F229),"",SUM(P240:Q240))</f>
        <v>0</v>
      </c>
      <c r="S240" s="1">
        <f ca="1">IF(ISERROR(F229),"",VLOOKUP(A229,INDIRECT($F$8),6+(O240-1)*3))</f>
        <v>0</v>
      </c>
      <c r="T240" s="1">
        <f ca="1">IF(ISERROR(F229),"",VLOOKUP(A229,INDIRECT($F$8),7+(O240-1)*3))</f>
        <v>100</v>
      </c>
      <c r="U240" s="1">
        <f ca="1">IF(ISERROR(F229),"",VLOOKUP(A229,INDIRECT($F$8),8+(O240-1)*3))</f>
        <v>100</v>
      </c>
      <c r="V240" s="1" t="str">
        <f ca="1">IF(ISERROR(F229),"",IF(N240=0,A240,""))</f>
        <v>CAP 009</v>
      </c>
      <c r="W240" s="1">
        <f ca="1">IF(ISERROR(F229),"",IF(ISTEXT(VLOOKUP(B229,INDIRECT($F$8),6+(O240-1)*3)),11,IF(VLOOKUP(B229,INDIRECT($F$8),6+(O240-1)*3)&lt;S240*0.3,IF(VLOOKUP(B229,INDIRECT($F$8),8+(O240-1)*3)&lt;U240*0.4,IF(AND(0.4*U240-VLOOKUP(B229,INDIRECT($F$8),8+(O240-1)*3)&lt;=5,0.3*S240-VLOOKUP(B229,INDIRECT($F$8),6+(O240-1)*3)&lt;=5),MAX(0.4*U240-VLOOKUP(B229,INDIRECT($F$8),8+(O240-1)*3),0.3*S240-VLOOKUP(B229,INDIRECT($F$8),6+(O240-1)*3)),11),IF(0.3*S240-VLOOKUP(B229,INDIRECT($F$8),6+(O240-1)*3)&lt;=5,0.3*S240-VLOOKUP(B229,INDIRECT($F$8),6+(O240-1)*3),11)),IF(VLOOKUP(B229,INDIRECT($F$8),8+(O240-1)*3)&lt;U240*0.4,IF(U240*0.4-VLOOKUP(B229,INDIRECT($F$8),8+(O240-1)*3)&lt;=5,U240*0.4-VLOOKUP(B229,INDIRECT($F$8),8+(O240-1)*3),11),0))))</f>
        <v>11</v>
      </c>
      <c r="X240" s="1" t="str">
        <f ca="1">IF(ISERROR(F229),"",IF(W240=0,"",_xlfn.TEXTJOIN("",FALSE," G+",W240," in ",A240)))</f>
        <v xml:space="preserve"> G+11 in CAP 009</v>
      </c>
    </row>
    <row r="241" spans="1:24" ht="14.25" customHeight="1" x14ac:dyDescent="0.2">
      <c r="A241" s="7" t="str">
        <f ca="1">IF(ISERROR(F229),"",VLOOKUP(C229,INDIRECT($F$8),6+(O241-1)*3,0))</f>
        <v>CAP 010</v>
      </c>
      <c r="B241" s="41" t="str">
        <f ca="1">IF(ISERROR(F229),"",VLOOKUP(D229,INDIRECT($F$8),6+(O241-1)*3-Z241,0))</f>
        <v>Minor Project</v>
      </c>
      <c r="C241" s="41"/>
      <c r="D241" s="41"/>
      <c r="E241" s="41"/>
      <c r="F241" s="7">
        <f ca="1">IF(ISERROR(F229),"",VLOOKUP(E229,INDIRECT($F$8),6+(O241-1)*3,0))</f>
        <v>2</v>
      </c>
      <c r="G241" s="42" t="str">
        <f ca="1">IF(ISERROR(F229),"",_xlfn.TEXTJOIN("/",FALSE,P241,S241))</f>
        <v>0/50</v>
      </c>
      <c r="H241" s="42"/>
      <c r="I241" s="42" t="str">
        <f ca="1">IF(ISERROR(F229),"",_xlfn.TEXTJOIN("/",FALSE,Q241,T241))</f>
        <v>0/50</v>
      </c>
      <c r="J241" s="42"/>
      <c r="K241" s="42" t="str">
        <f ca="1">IF(ISERROR(F229),"",_xlfn.TEXTJOIN("/",FALSE,R241,U241))</f>
        <v>0/100</v>
      </c>
      <c r="L241" s="42"/>
      <c r="M241" s="7" t="str">
        <f ca="1">IF(ISERROR(F229),"",IF(ISTEXT(P241),IF(P241="A","Ab",IF(P241="D","Dt",IF(P241="UFM","UFM",IF(P241="NA","")))),IF(AND(ISBLANK(P241),ISBLANK(R241)),"",IF(P241&lt;0.3*S241,"F",IF(ISBLANK(R241),"",IF(ISTEXT(R241),R241,IF(R241&gt;=0.9*U241,"O",IF(R241&gt;=0.85*U241,"A+",IF(R241&gt;=0.8*U241,"A",IF(R241&gt;=0.7*U241,"B+",IF(R241&gt;=0.6*U241,"B",IF(R241&gt;=0.5*U241,"C",IF(R241&gt;=0.4*U241,"P",IF(R241&lt;0.4*U241,"F",R241))))))))))))))</f>
        <v>F</v>
      </c>
      <c r="N241" s="8">
        <f t="shared" ca="1" si="26"/>
        <v>0</v>
      </c>
      <c r="O241">
        <f t="shared" ca="1" si="27"/>
        <v>10</v>
      </c>
      <c r="P241" s="1">
        <f ca="1">IF(ISERROR(F229),"",IF(ISTEXT(VLOOKUP(B229,INDIRECT($F$8),6+(O241-1)*3)),(VLOOKUP(B229,INDIRECT($F$8),6+(O241-1)*3)),SUM(VLOOKUP(B229,INDIRECT($F$8),6+(O241-1)*3),IF(W242,W241,0))))</f>
        <v>0</v>
      </c>
      <c r="Q241" s="1">
        <f ca="1">IF(ISERROR(F229),"",VLOOKUP(B229,INDIRECT($F$8),7+(O241-1)*3))</f>
        <v>0</v>
      </c>
      <c r="R241" s="1">
        <f ca="1">IF(ISERROR(F229),"",SUM(P241:Q241))</f>
        <v>0</v>
      </c>
      <c r="S241" s="1">
        <f ca="1">IF(ISERROR(F229),"",VLOOKUP(A229,INDIRECT($F$8),6+(O241-1)*3))</f>
        <v>50</v>
      </c>
      <c r="T241" s="1">
        <f ca="1">IF(ISERROR(F229),"",VLOOKUP(A229,INDIRECT($F$8),7+(O241-1)*3))</f>
        <v>50</v>
      </c>
      <c r="U241" s="1">
        <f ca="1">IF(ISERROR(F229),"",VLOOKUP(A229,INDIRECT($F$8),8+(O241-1)*3))</f>
        <v>100</v>
      </c>
      <c r="V241" s="1" t="str">
        <f ca="1">IF(ISERROR(F229),"",IF(N241=0,A241,""))</f>
        <v>CAP 010</v>
      </c>
      <c r="W241" s="1">
        <f ca="1">IF(ISERROR(F229),"",IF(ISTEXT(VLOOKUP(B229,INDIRECT($F$8),6+(O241-1)*3)),11,IF(VLOOKUP(B229,INDIRECT($F$8),6+(O241-1)*3)&lt;S241*0.3,IF(VLOOKUP(B229,INDIRECT($F$8),8+(O241-1)*3)&lt;U241*0.4,IF(AND(0.4*U241-VLOOKUP(B229,INDIRECT($F$8),8+(O241-1)*3)&lt;=5,0.3*S241-VLOOKUP(B229,INDIRECT($F$8),6+(O241-1)*3)&lt;=5),MAX(0.4*U241-VLOOKUP(B229,INDIRECT($F$8),8+(O241-1)*3),0.3*S241-VLOOKUP(B229,INDIRECT($F$8),6+(O241-1)*3)),11),IF(0.3*S241-VLOOKUP(B229,INDIRECT($F$8),6+(O241-1)*3)&lt;=5,0.3*S241-VLOOKUP(B229,INDIRECT($F$8),6+(O241-1)*3),11)),IF(VLOOKUP(B229,INDIRECT($F$8),8+(O241-1)*3)&lt;U241*0.4,IF(U241*0.4-VLOOKUP(B229,INDIRECT($F$8),8+(O241-1)*3)&lt;=5,U241*0.4-VLOOKUP(B229,INDIRECT($F$8),8+(O241-1)*3),11),0))))</f>
        <v>11</v>
      </c>
      <c r="X241" s="1" t="str">
        <f ca="1">IF(ISERROR(F229),"",IF(W241=0,"",_xlfn.TEXTJOIN("",FALSE," G+",W241," in ",A241)))</f>
        <v xml:space="preserve"> G+11 in CAP 010</v>
      </c>
    </row>
    <row r="242" spans="1:24" ht="14.25" customHeight="1" x14ac:dyDescent="0.2">
      <c r="A242" s="43" t="str">
        <f ca="1">IF(ISERROR(F229),"",A225)</f>
        <v>Total Credits/ Marks/ Total Grade Points</v>
      </c>
      <c r="B242" s="43"/>
      <c r="C242" s="43"/>
      <c r="D242" s="43"/>
      <c r="E242" s="43"/>
      <c r="F242" s="10">
        <f ca="1">IF(ISERROR(F229),"",SUM(F234:F241))</f>
        <v>16</v>
      </c>
      <c r="G242" s="44" t="str">
        <f ca="1">IF(ISERROR(F229),"",_xlfn.TEXTJOIN("/",TRUE,SUMIF(F234:F241,"&gt;0",P234:P241),SUMIF(F234:F241,"&gt;0",S234:S241)))</f>
        <v>0/380</v>
      </c>
      <c r="H242" s="44"/>
      <c r="I242" s="44" t="str">
        <f ca="1">IF(ISERROR(F229),"",_xlfn.TEXTJOIN("/",TRUE,SUMIF(F234:F241,"&gt;0",Q234:Q241),SUMIF(F234:F241,"&gt;0",T234:T241)))</f>
        <v>0/320</v>
      </c>
      <c r="J242" s="44"/>
      <c r="K242" s="44" t="str">
        <f ca="1">IF(ISERROR(F229),"",_xlfn.TEXTJOIN("/",TRUE,SUMIF(F234:F241,"&gt;0",R234:R241),SUMIF(F234:F241,"&gt;0",U234:U241)))</f>
        <v>0/700</v>
      </c>
      <c r="L242" s="44"/>
      <c r="M242" s="43" t="e">
        <f ca="1">IF(ISERROR(F229),"",SUMPRODUCT(N234:N241,F234:F241))</f>
        <v>#N/A</v>
      </c>
      <c r="N242" s="43"/>
      <c r="V242" s="1" t="e">
        <f ca="1">IF(ISERROR(F229),"",_xlfn.TEXTJOIN(", ",TRUE,V234:V241))</f>
        <v>#N/A</v>
      </c>
      <c r="W242" t="b">
        <f ca="1">IF(ISERROR(F229),"",IF(SUM(W234:W241)&lt;=W233,TRUE,FALSE))</f>
        <v>0</v>
      </c>
      <c r="X242" s="1" t="str">
        <f ca="1">IF(ISERROR(F229),"",_xlfn.TEXTJOIN(",",TRUE,X234:X241))</f>
        <v xml:space="preserve"> G+11 in CAT  014, G+11 in CAT 015, G+11 in Enroll No., G+11 in Enroll No., G+11 in AHT 310, G+11 in CAP 008, G+11 in CAP 009, G+11 in CAP 010</v>
      </c>
    </row>
    <row r="243" spans="1:24" ht="14.25" customHeight="1" x14ac:dyDescent="0.2">
      <c r="A243" s="43" t="str">
        <f ca="1">IF(ISERROR(F229),"",A226)</f>
        <v>Result:</v>
      </c>
      <c r="B243" s="45" t="e">
        <f ca="1">IF(ISERROR(F229),"",IF(V242="","PASS","CARRY OVER"))</f>
        <v>#N/A</v>
      </c>
      <c r="C243" s="45"/>
      <c r="D243" s="43" t="str">
        <f ca="1">IF(ISERROR(F229),"",D226)</f>
        <v>Remark:</v>
      </c>
      <c r="E243" s="45" t="e">
        <f ca="1">IF(ISERROR(F229),"",IF(V242="",IF(X242="","",X242),_xlfn.TEXTJOIN(" ",TRUE,"BACK IN",V242)))</f>
        <v>#N/A</v>
      </c>
      <c r="F243" s="45"/>
      <c r="G243" s="43" t="str">
        <f ca="1">IF(ISERROR(F229),"",G226)</f>
        <v>SGPA:</v>
      </c>
      <c r="H243" s="46" t="e">
        <f ca="1">IF(ISERROR(F229),"",M242/F242)</f>
        <v>#N/A</v>
      </c>
      <c r="I243" s="43" t="str">
        <f ca="1">IF(ISERROR(F229),"",I226)</f>
        <v>CGPA:</v>
      </c>
      <c r="J243" s="46" t="e">
        <f ca="1">IF(ISERROR(F229),"",VLOOKUP(B229,INDIRECT($F$8),12+(O241-1)*3,0))</f>
        <v>#N/A</v>
      </c>
      <c r="K243" s="45" t="str">
        <f ca="1">IF(ISERROR(F229),"",K226)</f>
        <v>Earned Credits:</v>
      </c>
      <c r="L243" s="43">
        <f ca="1">IF(ISERROR(F229),"",SUMIF(N234:N241,"&gt;0",F234:F241))</f>
        <v>0</v>
      </c>
      <c r="M243" s="45" t="str">
        <f ca="1">IF(ISERROR(F229),"",M226)</f>
        <v>Cuml. Earned Credits:</v>
      </c>
      <c r="N243" s="43" t="e">
        <f ca="1">IF(ISERROR(F229),"",VLOOKUP(B229,INDIRECT($F$8),10+(O241-1)*3,0))</f>
        <v>#N/A</v>
      </c>
    </row>
    <row r="244" spans="1:24" ht="14.25" customHeight="1" x14ac:dyDescent="0.2">
      <c r="A244" s="43"/>
      <c r="B244" s="45"/>
      <c r="C244" s="45"/>
      <c r="D244" s="43"/>
      <c r="E244" s="45"/>
      <c r="F244" s="45"/>
      <c r="G244" s="43"/>
      <c r="H244" s="46"/>
      <c r="I244" s="43"/>
      <c r="J244" s="46"/>
      <c r="K244" s="45"/>
      <c r="L244" s="43"/>
      <c r="M244" s="45"/>
      <c r="N244" s="43"/>
    </row>
    <row r="245" spans="1:24" ht="14.25" customHeight="1" x14ac:dyDescent="0.2">
      <c r="A245" s="43"/>
      <c r="B245" s="45"/>
      <c r="C245" s="45"/>
      <c r="D245" s="43"/>
      <c r="E245" s="45"/>
      <c r="F245" s="45"/>
      <c r="G245" s="43"/>
      <c r="H245" s="46"/>
      <c r="I245" s="43"/>
      <c r="J245" s="46"/>
      <c r="K245" s="45"/>
      <c r="L245" s="43"/>
      <c r="M245" s="45"/>
      <c r="N245" s="43"/>
    </row>
    <row r="246" spans="1:24" ht="14.25" customHeight="1" x14ac:dyDescent="0.2">
      <c r="A246" s="11" t="str">
        <f>A229</f>
        <v>MM</v>
      </c>
      <c r="B246" s="11">
        <f>B229+1</f>
        <v>15</v>
      </c>
      <c r="C246" s="11" t="str">
        <f>C229</f>
        <v>SC</v>
      </c>
      <c r="D246" s="11" t="str">
        <f>D229</f>
        <v>SN</v>
      </c>
      <c r="E246" s="11" t="str">
        <f>E229</f>
        <v>C</v>
      </c>
      <c r="F246" s="11" t="str">
        <f ca="1">VLOOKUP(B246,INDIRECT($F$8),4,0)</f>
        <v>MANVI UNIYAL</v>
      </c>
    </row>
    <row r="247" spans="1:24" ht="14.25" customHeight="1" x14ac:dyDescent="0.2">
      <c r="A247" s="47" t="str">
        <f ca="1">IF(ISERROR(F246),"",A230)</f>
        <v>Name:</v>
      </c>
      <c r="B247" s="47" t="str">
        <f ca="1">IFERROR(VLOOKUP(B246,INDIRECT($F$8),4,0),"")</f>
        <v>MANVI UNIYAL</v>
      </c>
      <c r="C247" s="47"/>
      <c r="D247" s="47" t="str">
        <f ca="1">IF(ISERROR(F246),"",D230)</f>
        <v>Father's Name:</v>
      </c>
      <c r="E247" s="47" t="str">
        <f ca="1">IFERROR(VLOOKUP(B246,INDIRECT($F$8),5,0),"")</f>
        <v>MANOJ UNIYAL</v>
      </c>
      <c r="F247" s="47"/>
      <c r="G247" s="47" t="str">
        <f ca="1">IF(ISERROR(F246),"",G230)</f>
        <v>University Roll No:</v>
      </c>
      <c r="H247" s="47"/>
      <c r="I247" s="48">
        <f ca="1">IFERROR(VLOOKUP(B246,INDIRECT($F$8),2,0),"")</f>
        <v>240090600015</v>
      </c>
      <c r="J247" s="48"/>
      <c r="K247" s="47" t="str">
        <f ca="1">IF(ISERROR(F246),"",K230)</f>
        <v>University Enrol. No:</v>
      </c>
      <c r="L247" s="47"/>
      <c r="M247" s="48" t="str">
        <f ca="1">IFERROR(VLOOKUP(B246,INDIRECT($F$8),3,0),"")</f>
        <v>UTU/2406100177</v>
      </c>
      <c r="N247" s="48"/>
    </row>
    <row r="248" spans="1:24" ht="14.25" customHeight="1" x14ac:dyDescent="0.2">
      <c r="A248" s="47"/>
      <c r="B248" s="47"/>
      <c r="C248" s="47"/>
      <c r="D248" s="47"/>
      <c r="E248" s="47"/>
      <c r="F248" s="47"/>
      <c r="G248" s="47"/>
      <c r="H248" s="47"/>
      <c r="I248" s="48"/>
      <c r="J248" s="48"/>
      <c r="K248" s="47"/>
      <c r="L248" s="47"/>
      <c r="M248" s="48"/>
      <c r="N248" s="48"/>
    </row>
    <row r="249" spans="1:24" ht="14.25" customHeight="1" x14ac:dyDescent="0.2">
      <c r="A249" s="45" t="str">
        <f ca="1">IF(ISERROR(F246),"",A232)</f>
        <v>Subject Code</v>
      </c>
      <c r="B249" s="45" t="str">
        <f ca="1">IF(ISERROR(F246),"",B232)</f>
        <v>Subject Name</v>
      </c>
      <c r="C249" s="45"/>
      <c r="D249" s="45"/>
      <c r="E249" s="45"/>
      <c r="F249" s="45" t="str">
        <f ca="1">IF(ISERROR(F246),"",F232)</f>
        <v>Credits</v>
      </c>
      <c r="G249" s="45" t="str">
        <f ca="1">IF(ISERROR(F246),"",G232)</f>
        <v>External Marks</v>
      </c>
      <c r="H249" s="45"/>
      <c r="I249" s="45" t="str">
        <f ca="1">IF(ISERROR(F246),"",I232)</f>
        <v>Sessional Marks</v>
      </c>
      <c r="J249" s="45"/>
      <c r="K249" s="45" t="str">
        <f ca="1">IF(ISERROR(F246),"",K232)</f>
        <v>Total Marks</v>
      </c>
      <c r="L249" s="45"/>
      <c r="M249" s="45" t="str">
        <f ca="1">IF(ISERROR(F246),"",M232)</f>
        <v>Grade</v>
      </c>
      <c r="N249" s="45" t="str">
        <f ca="1">IF(ISERROR(F246),"",N232)</f>
        <v>Grade Points</v>
      </c>
    </row>
    <row r="250" spans="1:24" ht="14.25" customHeight="1" x14ac:dyDescent="0.2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W250">
        <f ca="1">IF(ISNUMBER(MATCH($F$8,{"I","III","V","VII"},0)),10,10-INDEX(INDIRECT(_xlfn.TEXTJOIN("",TRUE,"SEM_",$G$8,"!",ADDRESS(6,4+$I$8*3+4),":",ADDRESS(5+$H$8,4+$I$8*3+4))),MATCH(INDIRECT(_xlfn.TEXTJOIN("",TRUE,"TC_",$F$8,"!",ADDRESS(ROW(I247),COLUMN(I247)))),INDIRECT(_xlfn.TEXTJOIN("",TRUE,"SEM_",$G$8,"!",ADDRESS(6,2),":",ADDRESS(5+$H$8,2))))))</f>
        <v>10</v>
      </c>
    </row>
    <row r="251" spans="1:24" ht="14.25" customHeight="1" x14ac:dyDescent="0.2">
      <c r="A251" s="7" t="str">
        <f ca="1">IF(ISERROR(F246),"",VLOOKUP(C246,INDIRECT($F$8),6+(O251-1)*3,0))</f>
        <v>CAT  014</v>
      </c>
      <c r="B251" s="41" t="str">
        <f ca="1">IF(ISERROR(F246),"",VLOOKUP(D246,INDIRECT($F$8),6+(O251-1)*3,0))</f>
        <v>Graph Theory</v>
      </c>
      <c r="C251" s="41"/>
      <c r="D251" s="41"/>
      <c r="E251" s="41"/>
      <c r="F251" s="7">
        <f ca="1">IF(ISERROR(F246),"",VLOOKUP(E246,INDIRECT($F$8),6+(O251-1)*3,0))</f>
        <v>4</v>
      </c>
      <c r="G251" s="42" t="str">
        <f ca="1">IF(ISERROR(F246),"",_xlfn.TEXTJOIN("/",FALSE,P251,S251))</f>
        <v>0/100</v>
      </c>
      <c r="H251" s="42"/>
      <c r="I251" s="42" t="str">
        <f ca="1">IF(ISERROR(F246),"",_xlfn.TEXTJOIN("/",FALSE,Q251,T251))</f>
        <v>0/50</v>
      </c>
      <c r="J251" s="42"/>
      <c r="K251" s="42" t="str">
        <f ca="1">IF(ISERROR(F246),"",_xlfn.TEXTJOIN("/",FALSE,R251,U251))</f>
        <v>0/150</v>
      </c>
      <c r="L251" s="42"/>
      <c r="M251" s="7" t="str">
        <f ca="1">IF(ISERROR(F246),"",IF(ISTEXT(P251),IF(P251="A","Ab",IF(P251="D","Dt",IF(P251="UFM","UFM",IF(P251="NA","")))),IF(AND(ISBLANK(P251),ISBLANK(R251)),"",IF(P251&lt;0.3*S251,"F",IF(ISBLANK(R251),"",IF(ISTEXT(R251),R251,IF(R251&gt;=0.9*U251,"O",IF(R251&gt;=0.85*U251,"A+",IF(R251&gt;=0.8*U251,"A",IF(R251&gt;=0.7*U251,"B+",IF(R251&gt;=0.6*U251,"B",IF(R251&gt;=0.5*U251,"C",IF(R251&gt;=0.4*U251,"P",IF(R251&lt;0.4*U251,"F",R251))))))))))))))</f>
        <v>F</v>
      </c>
      <c r="N251" s="8">
        <f t="shared" ref="N251:N258" ca="1" si="28">INDEX($Z$2:$Z$13,MATCH(M251,$Y$2:$Y$13,0))</f>
        <v>0</v>
      </c>
      <c r="O251">
        <v>1</v>
      </c>
      <c r="P251" s="1">
        <f ca="1">IF(ISERROR(F246),"",IF(ISTEXT(VLOOKUP(B246,INDIRECT($F$8),6+(O251-1)*3)),(VLOOKUP(B246,INDIRECT($F$8),6+(O251-1)*3)),SUM(VLOOKUP(B246,INDIRECT($F$8),6+(O251-1)*3),IF(W259,W251,0))))</f>
        <v>0</v>
      </c>
      <c r="Q251" s="1">
        <f ca="1">IF(ISERROR(F246),"",VLOOKUP(B246,INDIRECT($F$8),7+(O251-1)*3))</f>
        <v>0</v>
      </c>
      <c r="R251" s="1">
        <f ca="1">IF(ISERROR(F246),"",SUM(P251:Q251))</f>
        <v>0</v>
      </c>
      <c r="S251" s="1">
        <f ca="1">IF(ISERROR(F246),"",VLOOKUP(A246,INDIRECT($F$8),6+(O251-1)*3))</f>
        <v>100</v>
      </c>
      <c r="T251" s="1">
        <f ca="1">IF(ISERROR(F246),"",VLOOKUP(A246,INDIRECT($F$8),7+(O251-1)*3))</f>
        <v>50</v>
      </c>
      <c r="U251" s="1">
        <f ca="1">IF(ISERROR(F246),"",VLOOKUP(A246,INDIRECT($F$8),8+(O251-1)*3))</f>
        <v>150</v>
      </c>
      <c r="V251" s="1" t="str">
        <f ca="1">IF(ISERROR(F246),"",IF(N251=0,A251,""))</f>
        <v>CAT  014</v>
      </c>
      <c r="W251" s="1">
        <f ca="1">IF(ISERROR(F246),"",IF(ISTEXT(VLOOKUP(B246,INDIRECT($F$8),6+(O251-1)*3)),11,IF(VLOOKUP(B246,INDIRECT($F$8),6+(O251-1)*3)&lt;S251*0.3,IF(VLOOKUP(B246,INDIRECT($F$8),8+(O251-1)*3)&lt;U251*0.4,IF(AND(0.4*U251-VLOOKUP(B246,INDIRECT($F$8),8+(O251-1)*3)&lt;=5,0.3*S251-VLOOKUP(B246,INDIRECT($F$8),6+(O251-1)*3)&lt;=5),MAX(0.4*U251-VLOOKUP(B246,INDIRECT($F$8),8+(O251-1)*3),0.3*S251-VLOOKUP(B246,INDIRECT($F$8),6+(O251-1)*3)),11),IF(0.3*S251-VLOOKUP(B246,INDIRECT($F$8),6+(O251-1)*3)&lt;=5,0.3*S251-VLOOKUP(B246,INDIRECT($F$8),6+(O251-1)*3),11)),IF(VLOOKUP(B246,INDIRECT($F$8),8+(O251-1)*3)&lt;U251*0.4,IF(U251*0.4-VLOOKUP(B246,INDIRECT($F$8),8+(O251-1)*3)&lt;=5,U251*0.4-VLOOKUP(B246,INDIRECT($F$8),8+(O251-1)*3),11),0))))</f>
        <v>11</v>
      </c>
      <c r="X251" s="1" t="str">
        <f ca="1">IF(ISERROR(F246),"",IF(W251=0,"",_xlfn.TEXTJOIN("",FALSE," G+",W251," in ",A251)))</f>
        <v xml:space="preserve"> G+11 in CAT  014</v>
      </c>
    </row>
    <row r="252" spans="1:24" ht="14.25" customHeight="1" x14ac:dyDescent="0.2">
      <c r="A252" s="7" t="str">
        <f ca="1">IF(ISERROR(F246),"",VLOOKUP(C246,INDIRECT($F$8),6+(O252-1)*3,0))</f>
        <v>CAT 015</v>
      </c>
      <c r="B252" s="41" t="str">
        <f ca="1">IF(ISERROR(F246),"",VLOOKUP(D246,INDIRECT($F$8),6+(O252-1)*3,0))</f>
        <v>Software Engineering</v>
      </c>
      <c r="C252" s="41"/>
      <c r="D252" s="41"/>
      <c r="E252" s="41"/>
      <c r="F252" s="7">
        <f ca="1">IF(ISERROR(F246),"",VLOOKUP(E246,INDIRECT($F$8),6+(O252-1)*3,0))</f>
        <v>4</v>
      </c>
      <c r="G252" s="42" t="str">
        <f ca="1">IF(ISERROR(F246),"",_xlfn.TEXTJOIN("/",FALSE,P252,S252))</f>
        <v>0/100</v>
      </c>
      <c r="H252" s="42"/>
      <c r="I252" s="42" t="str">
        <f ca="1">IF(ISERROR(F246),"",_xlfn.TEXTJOIN("/",FALSE,Q252,T252))</f>
        <v>0/50</v>
      </c>
      <c r="J252" s="42"/>
      <c r="K252" s="42" t="str">
        <f ca="1">IF(ISERROR(F246),"",_xlfn.TEXTJOIN("/",FALSE,R252,U252))</f>
        <v>0/150</v>
      </c>
      <c r="L252" s="42"/>
      <c r="M252" s="7" t="str">
        <f ca="1">IF(ISERROR(F246),"",IF(ISTEXT(P252),IF(P252="A","Ab",IF(P252="D","Dt",IF(P252="UFM","UFM",IF(P252="NA","")))),IF(AND(ISBLANK(P252),ISBLANK(R252)),"",IF(P252&lt;0.3*S252,"F",IF(ISBLANK(R252),"",IF(ISTEXT(R252),R252,IF(R252&gt;=0.9*U252,"O",IF(R252&gt;=0.85*U252,"A+",IF(R252&gt;=0.8*U252,"A",IF(R252&gt;=0.7*U252,"B+",IF(R252&gt;=0.6*U252,"B",IF(R252&gt;=0.5*U252,"C",IF(R252&gt;=0.4*U252,"P",IF(R252&lt;0.4*U252,"F",R252))))))))))))))</f>
        <v>F</v>
      </c>
      <c r="N252" s="8">
        <f t="shared" ca="1" si="28"/>
        <v>0</v>
      </c>
      <c r="O252">
        <f>O251+1</f>
        <v>2</v>
      </c>
      <c r="P252" s="1">
        <f ca="1">IF(ISERROR(F246),"",IF(ISTEXT(VLOOKUP(B246,INDIRECT($F$8),6+(O252-1)*3)),(VLOOKUP(B246,INDIRECT($F$8),6+(O252-1)*3)),SUM(VLOOKUP(B246,INDIRECT($F$8),6+(O252-1)*3),IF(W259,W252,0))))</f>
        <v>0</v>
      </c>
      <c r="Q252" s="1">
        <f ca="1">IF(ISERROR(F246),"",VLOOKUP(B246,INDIRECT($F$8),7+(O252-1)*3))</f>
        <v>0</v>
      </c>
      <c r="R252" s="1">
        <f ca="1">IF(ISERROR(F246),"",SUM(P252:Q252))</f>
        <v>0</v>
      </c>
      <c r="S252" s="1">
        <f ca="1">IF(ISERROR(F246),"",VLOOKUP(A246,INDIRECT($F$8),6+(O252-1)*3))</f>
        <v>100</v>
      </c>
      <c r="T252" s="1">
        <f ca="1">IF(ISERROR(F246),"",VLOOKUP(A246,INDIRECT($F$8),7+(O252-1)*3))</f>
        <v>50</v>
      </c>
      <c r="U252" s="1">
        <f ca="1">IF(ISERROR(F246),"",VLOOKUP(A246,INDIRECT($F$8),8+(O252-1)*3))</f>
        <v>150</v>
      </c>
      <c r="V252" s="1" t="str">
        <f ca="1">IF(ISERROR(F246),"",IF(N252=0,A252,""))</f>
        <v>CAT 015</v>
      </c>
      <c r="W252" s="1">
        <f ca="1">IF(ISERROR(F246),"",IF(ISTEXT(VLOOKUP(B246,INDIRECT($F$8),6+(O252-1)*3)),11,IF(VLOOKUP(B246,INDIRECT($F$8),6+(O252-1)*3)&lt;S252*0.3,IF(VLOOKUP(B246,INDIRECT($F$8),8+(O252-1)*3)&lt;U252*0.4,IF(AND(0.4*U252-VLOOKUP(B246,INDIRECT($F$8),8+(O252-1)*3)&lt;=5,0.3*S252-VLOOKUP(B246,INDIRECT($F$8),6+(O252-1)*3)&lt;=5),MAX(0.4*U252-VLOOKUP(B246,INDIRECT($F$8),8+(O252-1)*3),0.3*S252-VLOOKUP(B246,INDIRECT($F$8),6+(O252-1)*3)),11),IF(0.3*S252-VLOOKUP(B246,INDIRECT($F$8),6+(O252-1)*3)&lt;=5,0.3*S252-VLOOKUP(B246,INDIRECT($F$8),6+(O252-1)*3),11)),IF(VLOOKUP(B246,INDIRECT($F$8),8+(O252-1)*3)&lt;U252*0.4,IF(U252*0.4-VLOOKUP(B246,INDIRECT($F$8),8+(O252-1)*3)&lt;=5,U252*0.4-VLOOKUP(B246,INDIRECT($F$8),8+(O252-1)*3),11),0))))</f>
        <v>11</v>
      </c>
      <c r="X252" s="1" t="str">
        <f ca="1">IF(ISERROR(F246),"",IF(W252=0,"",_xlfn.TEXTJOIN("",FALSE," G+",W252," in ",A252)))</f>
        <v xml:space="preserve"> G+11 in CAT 015</v>
      </c>
    </row>
    <row r="253" spans="1:24" ht="14.25" customHeight="1" x14ac:dyDescent="0.2">
      <c r="A253" s="7" t="str">
        <f ca="1">IF(ISERROR(F246),"",VLOOKUP(C246,INDIRECT($F$8),6+(O253-1)*3,0))</f>
        <v>Enroll No.</v>
      </c>
      <c r="B253" s="41">
        <f ca="1">IF(ISERROR(F246),"",VLOOKUP(D246,INDIRECT($F$8),6+(O253-1)*3,0))</f>
        <v>0</v>
      </c>
      <c r="C253" s="41"/>
      <c r="D253" s="41"/>
      <c r="E253" s="41"/>
      <c r="F253" s="7">
        <f ca="1">IF(ISERROR(F246),"",VLOOKUP(E246,INDIRECT($F$8),6+(O253-1)*3,0))</f>
        <v>0</v>
      </c>
      <c r="G253" s="42" t="str">
        <f ca="1">IF(ISERROR(F246),"",_xlfn.TEXTJOIN("/",FALSE,P253,S253))</f>
        <v>UTU/2406100177/0</v>
      </c>
      <c r="H253" s="42"/>
      <c r="I253" s="42" t="str">
        <f ca="1">IF(ISERROR(F246),"",_xlfn.TEXTJOIN("/",FALSE,Q253,T253))</f>
        <v>MANVI UNIYAL/0</v>
      </c>
      <c r="J253" s="42"/>
      <c r="K253" s="42" t="str">
        <f ca="1">IF(ISERROR(F246),"",_xlfn.TEXTJOIN("/",FALSE,R253,U253))</f>
        <v>0/0</v>
      </c>
      <c r="L253" s="42"/>
      <c r="M253" s="7" t="b">
        <f ca="1">IF(ISERROR(F246),"",IF(ISTEXT(P253),IF(P253="A","Ab",IF(P253="D","Dt",IF(P253="UFM","UFM",IF(P253="NA","")))),IF(AND(ISBLANK(P253),ISBLANK(R253)),"",IF(P253&lt;0.3*S253,"F",IF(ISBLANK(R253),"",IF(ISTEXT(R253),R253,IF(R253&gt;=0.9*U253,"O",IF(R253&gt;=0.85*U253,"A+",IF(R253&gt;=0.8*U253,"A",IF(R253&gt;=0.7*U253,"B+",IF(R253&gt;=0.6*U253,"B",IF(R253&gt;=0.5*U253,"C",IF(R253&gt;=0.4*U253,"P",IF(R253&lt;0.4*U253,"F",R253))))))))))))))</f>
        <v>0</v>
      </c>
      <c r="N253" s="8" t="e">
        <f t="shared" ca="1" si="28"/>
        <v>#N/A</v>
      </c>
      <c r="O253" t="b" cm="1">
        <f t="array" aca="1" ref="O253" ca="1">IF(NOT(ISBLANK(INDIRECT("SEM_III!L"&amp;INT((ROW(O253)-15)/17)+6))),3,IF(NOT(ISBLANK(INDIRECT("SEM_III!O"&amp;INT((ROW(O253)-15)/17)+6))),4))</f>
        <v>0</v>
      </c>
      <c r="P253" s="1" t="str">
        <f ca="1">IF(ISERROR(F246),"",IF(ISTEXT(VLOOKUP(B246,INDIRECT($F$8),6+(O253-1)*3)),(VLOOKUP(B246,INDIRECT($F$8),6+(O253-1)*3)),SUM(VLOOKUP(B246,INDIRECT($F$8),6+(O253-1)*3),IF(W259,W253,0))))</f>
        <v>UTU/2406100177</v>
      </c>
      <c r="Q253" s="1" t="str">
        <f ca="1">IF(ISERROR(F246),"",VLOOKUP(B246,INDIRECT($F$8),7+(O253-1)*3))</f>
        <v>MANVI UNIYAL</v>
      </c>
      <c r="R253" s="1">
        <f ca="1">IF(ISERROR(F246),"",SUM(P253:Q253))</f>
        <v>0</v>
      </c>
      <c r="S253" s="1">
        <f ca="1">IF(ISERROR(F246),"",VLOOKUP(A246,INDIRECT($F$8),6+(O253-1)*3))</f>
        <v>0</v>
      </c>
      <c r="T253" s="1">
        <f ca="1">IF(ISERROR(F246),"",VLOOKUP(A246,INDIRECT($F$8),7+(O253-1)*3))</f>
        <v>0</v>
      </c>
      <c r="U253" s="1">
        <f ca="1">IF(ISERROR(F246),"",VLOOKUP(A246,INDIRECT($F$8),8+(O253-1)*3))</f>
        <v>0</v>
      </c>
      <c r="V253" s="1" t="e">
        <f ca="1">IF(ISERROR(F246),"",IF(N253=0,A253,""))</f>
        <v>#N/A</v>
      </c>
      <c r="W253" s="1">
        <f ca="1">IF(ISERROR(F246),"",IF(ISTEXT(VLOOKUP(B246,INDIRECT($F$8),6+(O253-1)*3)),11,IF(VLOOKUP(B246,INDIRECT($F$8),6+(O253-1)*3)&lt;S253*0.3,IF(VLOOKUP(B246,INDIRECT($F$8),8+(O253-1)*3)&lt;U253*0.4,IF(AND(0.4*U253-VLOOKUP(B246,INDIRECT($F$8),8+(O253-1)*3)&lt;=5,0.3*S253-VLOOKUP(B246,INDIRECT($F$8),6+(O253-1)*3)&lt;=5),MAX(0.4*U253-VLOOKUP(B246,INDIRECT($F$8),8+(O253-1)*3),0.3*S253-VLOOKUP(B246,INDIRECT($F$8),6+(O253-1)*3)),11),IF(0.3*S253-VLOOKUP(B246,INDIRECT($F$8),6+(O253-1)*3)&lt;=5,0.3*S253-VLOOKUP(B246,INDIRECT($F$8),6+(O253-1)*3),11)),IF(VLOOKUP(B246,INDIRECT($F$8),8+(O253-1)*3)&lt;U253*0.4,IF(U253*0.4-VLOOKUP(B246,INDIRECT($F$8),8+(O253-1)*3)&lt;=5,U253*0.4-VLOOKUP(B246,INDIRECT($F$8),8+(O253-1)*3),11),0))))</f>
        <v>11</v>
      </c>
      <c r="X253" s="1" t="str">
        <f ca="1">IF(ISERROR(F246),"",IF(W253=0,"",_xlfn.TEXTJOIN("",FALSE," G+",W253," in ",A253)))</f>
        <v xml:space="preserve"> G+11 in Enroll No.</v>
      </c>
    </row>
    <row r="254" spans="1:24" ht="14.25" customHeight="1" x14ac:dyDescent="0.2">
      <c r="A254" s="7" t="str">
        <f ca="1">IF(ISERROR(F246),"",VLOOKUP(C246,INDIRECT($F$8),6+(O254-1)*3,0))</f>
        <v>Enroll No.</v>
      </c>
      <c r="B254" s="41">
        <f ca="1">IF(ISERROR(F246),"",VLOOKUP(D246,INDIRECT($F$8),6+(O254-1)*3,0))</f>
        <v>0</v>
      </c>
      <c r="C254" s="41"/>
      <c r="D254" s="41"/>
      <c r="E254" s="41"/>
      <c r="F254" s="7">
        <f ca="1">IF(ISERROR(F246),"",VLOOKUP(E246,INDIRECT($F$8),6+(O254-1)*3,0))</f>
        <v>0</v>
      </c>
      <c r="G254" s="42" t="str">
        <f ca="1">IF(ISERROR(F246),"",_xlfn.TEXTJOIN("/",FALSE,P254,S254))</f>
        <v>UTU/2406100177/0</v>
      </c>
      <c r="H254" s="42"/>
      <c r="I254" s="42" t="str">
        <f ca="1">IF(ISERROR(F246),"",_xlfn.TEXTJOIN("/",FALSE,Q254,T254))</f>
        <v>MANVI UNIYAL/0</v>
      </c>
      <c r="J254" s="42"/>
      <c r="K254" s="42" t="str">
        <f ca="1">IF(ISERROR(F246),"",_xlfn.TEXTJOIN("/",FALSE,R254,U254))</f>
        <v>0/0</v>
      </c>
      <c r="L254" s="42"/>
      <c r="M254" s="7" t="b">
        <f ca="1">IF(ISERROR(F246),"",IF(ISTEXT(P254),IF(P254="A","Ab",IF(P254="D","Dt",IF(P254="UFM","UFM",IF(P254="NA","")))),IF(AND(ISBLANK(P254),ISBLANK(R254)),"",IF(P254&lt;0.3*S254,"F",IF(ISBLANK(R254),"",IF(ISTEXT(R254),R254,IF(R254&gt;=0.9*U254,"O",IF(R254&gt;=0.85*U254,"A+",IF(R254&gt;=0.8*U254,"A",IF(R254&gt;=0.7*U254,"B+",IF(R254&gt;=0.6*U254,"B",IF(R254&gt;=0.5*U254,"C",IF(R254&gt;=0.4*U254,"P",IF(R254&lt;0.4*U254,"F",R254))))))))))))))</f>
        <v>0</v>
      </c>
      <c r="N254" s="8" t="e">
        <f t="shared" ca="1" si="28"/>
        <v>#N/A</v>
      </c>
      <c r="O254" t="b" cm="1">
        <f t="array" aca="1" ref="O254" ca="1">IF(NOT(ISBLANK(INDIRECT("SEM_III!R"&amp;INT((ROW(O254)-16)/17)+6))),5,IF(NOT(ISBLANK(INDIRECT("SEM_III!U"&amp;INT((ROW(O254)-16)/17)+6))),6))</f>
        <v>0</v>
      </c>
      <c r="P254" s="1" t="str">
        <f ca="1">IF(ISERROR(F246),"",IF(ISTEXT(VLOOKUP(B246,INDIRECT($F$8),6+(O254-1)*3)),(VLOOKUP(B246,INDIRECT($F$8),6+(O254-1)*3)),SUM(VLOOKUP(B246,INDIRECT($F$8),6+(O254-1)*3),IF(W259,W254,0))))</f>
        <v>UTU/2406100177</v>
      </c>
      <c r="Q254" s="1" t="str">
        <f ca="1">IF(ISERROR(F246),"",VLOOKUP(B246,INDIRECT($F$8),7+(O254-1)*3))</f>
        <v>MANVI UNIYAL</v>
      </c>
      <c r="R254" s="1">
        <f ca="1">IF(ISERROR(F246),"",SUM(P254:Q254))</f>
        <v>0</v>
      </c>
      <c r="S254" s="1">
        <f ca="1">IF(ISERROR(F246),"",VLOOKUP(A246,INDIRECT($F$8),6+(O254-1)*3))</f>
        <v>0</v>
      </c>
      <c r="T254" s="1">
        <f ca="1">IF(ISERROR(F246),"",VLOOKUP(A246,INDIRECT($F$8),7+(O254-1)*3))</f>
        <v>0</v>
      </c>
      <c r="U254" s="1">
        <f ca="1">IF(ISERROR(F246),"",VLOOKUP(A246,INDIRECT($F$8),8+(O254-1)*3))</f>
        <v>0</v>
      </c>
      <c r="V254" s="1" t="e">
        <f ca="1">IF(ISERROR(F246),"",IF(N254=0,A254,""))</f>
        <v>#N/A</v>
      </c>
      <c r="W254" s="1">
        <f ca="1">IF(ISERROR(F246),"",IF(ISTEXT(VLOOKUP(B246,INDIRECT($F$8),6+(O254-1)*3)),11,IF(VLOOKUP(B246,INDIRECT($F$8),6+(O254-1)*3)&lt;S254*0.3,IF(VLOOKUP(B246,INDIRECT($F$8),8+(O254-1)*3)&lt;U254*0.4,IF(AND(0.4*U254-VLOOKUP(B246,INDIRECT($F$8),8+(O254-1)*3)&lt;=5,0.3*S254-VLOOKUP(B246,INDIRECT($F$8),6+(O254-1)*3)&lt;=5),MAX(0.4*U254-VLOOKUP(B246,INDIRECT($F$8),8+(O254-1)*3),0.3*S254-VLOOKUP(B246,INDIRECT($F$8),6+(O254-1)*3)),11),IF(0.3*S254-VLOOKUP(B246,INDIRECT($F$8),6+(O254-1)*3)&lt;=5,0.3*S254-VLOOKUP(B246,INDIRECT($F$8),6+(O254-1)*3),11)),IF(VLOOKUP(B246,INDIRECT($F$8),8+(O254-1)*3)&lt;U254*0.4,IF(U254*0.4-VLOOKUP(B246,INDIRECT($F$8),8+(O254-1)*3)&lt;=5,U254*0.4-VLOOKUP(B246,INDIRECT($F$8),8+(O254-1)*3),11),0))))</f>
        <v>11</v>
      </c>
      <c r="X254" s="1" t="str">
        <f ca="1">IF(ISERROR(F246),"",IF(W254=0,"",_xlfn.TEXTJOIN("",FALSE," G+",W254," in ",A254)))</f>
        <v xml:space="preserve"> G+11 in Enroll No.</v>
      </c>
    </row>
    <row r="255" spans="1:24" ht="14.25" customHeight="1" x14ac:dyDescent="0.2">
      <c r="A255" s="7" t="str">
        <f ca="1">IF(ISERROR(F246),"",VLOOKUP(C246,INDIRECT($F$8),6+(O255-1)*3,0))</f>
        <v>AHT 310</v>
      </c>
      <c r="B255" s="41" t="str">
        <f ca="1">IF(ISERROR(F246),"",VLOOKUP(D246,INDIRECT($F$8),6+(O255-1)*3,0))</f>
        <v>Universal Human Value</v>
      </c>
      <c r="C255" s="41"/>
      <c r="D255" s="41"/>
      <c r="E255" s="41"/>
      <c r="F255" s="7">
        <f ca="1">IF(ISERROR(F246),"",VLOOKUP(E246,INDIRECT($F$8),6+(O255-1)*3,0))</f>
        <v>3</v>
      </c>
      <c r="G255" s="42" t="str">
        <f ca="1">IF(ISERROR(F246),"",_xlfn.TEXTJOIN("/",FALSE,P255,S255))</f>
        <v>0/100</v>
      </c>
      <c r="H255" s="42"/>
      <c r="I255" s="42" t="str">
        <f ca="1">IF(ISERROR(F246),"",_xlfn.TEXTJOIN("/",FALSE,Q255,T255))</f>
        <v>0/50</v>
      </c>
      <c r="J255" s="42"/>
      <c r="K255" s="42" t="str">
        <f ca="1">IF(ISERROR(F246),"",_xlfn.TEXTJOIN("/",FALSE,R255,U255))</f>
        <v>0/150</v>
      </c>
      <c r="L255" s="42"/>
      <c r="M255" s="7" t="str">
        <f ca="1">IF(ISERROR(F246),"",IF(ISTEXT(P255),IF(P255="A","Ab",IF(P255="D","Dt",IF(P255="UFM","UFM",IF(P255="NA","")))),IF(AND(ISBLANK(P255),ISBLANK(R255)),"",IF(P255&lt;0.3*S255,"F",IF(ISBLANK(R255),"",IF(ISTEXT(R255),R255,IF(R255&gt;=0.9*U255,"O",IF(R255&gt;=0.85*U255,"A+",IF(R255&gt;=0.8*U255,"A",IF(R255&gt;=0.7*U255,"B+",IF(R255&gt;=0.6*U255,"B",IF(R255&gt;=0.5*U255,"C",IF(R255&gt;=0.4*U255,"P",IF(R255&lt;0.4*U255,"F",R255))))))))))))))</f>
        <v>F</v>
      </c>
      <c r="N255" s="8">
        <f t="shared" ca="1" si="28"/>
        <v>0</v>
      </c>
      <c r="O255">
        <f ca="1">IF(O254&gt;0,7,"")</f>
        <v>7</v>
      </c>
      <c r="P255" s="1">
        <f ca="1">IF(ISERROR(F246),"",IF(ISTEXT(VLOOKUP(B246,INDIRECT($F$8),6+(O255-1)*3)),(VLOOKUP(B246,INDIRECT($F$8),6+(O255-1)*3)),SUM(VLOOKUP(B246,INDIRECT($F$8),6+(O255-1)*3),IF(W259,W255,0))))</f>
        <v>0</v>
      </c>
      <c r="Q255" s="1">
        <f ca="1">IF(ISERROR(F246),"",VLOOKUP(B246,INDIRECT($F$8),7+(O255-1)*3))</f>
        <v>0</v>
      </c>
      <c r="R255" s="1">
        <f ca="1">IF(ISERROR(F246),"",SUM(P255:Q255))</f>
        <v>0</v>
      </c>
      <c r="S255" s="1">
        <f ca="1">IF(ISERROR(F246),"",VLOOKUP(A246,INDIRECT($F$8),6+(O255-1)*3))</f>
        <v>100</v>
      </c>
      <c r="T255" s="1">
        <f ca="1">IF(ISERROR(F246),"",VLOOKUP(A246,INDIRECT($F$8),7+(O255-1)*3))</f>
        <v>50</v>
      </c>
      <c r="U255" s="1">
        <f ca="1">IF(ISERROR(F246),"",VLOOKUP(A246,INDIRECT($F$8),8+(O255-1)*3))</f>
        <v>150</v>
      </c>
      <c r="V255" s="1" t="str">
        <f ca="1">IF(ISERROR(F246),"",IF(N255=0,A255,""))</f>
        <v>AHT 310</v>
      </c>
      <c r="W255" s="1">
        <f ca="1">IF(ISERROR(F246),"",IF(ISTEXT(VLOOKUP(B246,INDIRECT($F$8),6+(O255-1)*3)),11,IF(VLOOKUP(B246,INDIRECT($F$8),6+(O255-1)*3)&lt;S255*0.3,IF(VLOOKUP(B246,INDIRECT($F$8),8+(O255-1)*3)&lt;U255*0.4,IF(AND(0.4*U255-VLOOKUP(B246,INDIRECT($F$8),8+(O255-1)*3)&lt;=5,0.3*S255-VLOOKUP(B246,INDIRECT($F$8),6+(O255-1)*3)&lt;=5),MAX(0.4*U255-VLOOKUP(B246,INDIRECT($F$8),8+(O255-1)*3),0.3*S255-VLOOKUP(B246,INDIRECT($F$8),6+(O255-1)*3)),11),IF(0.3*S255-VLOOKUP(B246,INDIRECT($F$8),6+(O255-1)*3)&lt;=5,0.3*S255-VLOOKUP(B246,INDIRECT($F$8),6+(O255-1)*3),11)),IF(VLOOKUP(B246,INDIRECT($F$8),8+(O255-1)*3)&lt;U255*0.4,IF(U255*0.4-VLOOKUP(B246,INDIRECT($F$8),8+(O255-1)*3)&lt;=5,U255*0.4-VLOOKUP(B246,INDIRECT($F$8),8+(O255-1)*3),11),0))))</f>
        <v>11</v>
      </c>
      <c r="X255" s="1" t="str">
        <f ca="1">IF(ISERROR(F246),"",IF(W255=0,"",_xlfn.TEXTJOIN("",FALSE," G+",W255," in ",A255)))</f>
        <v xml:space="preserve"> G+11 in AHT 310</v>
      </c>
    </row>
    <row r="256" spans="1:24" ht="14.25" customHeight="1" x14ac:dyDescent="0.2">
      <c r="A256" s="7" t="str">
        <f ca="1">IF(ISERROR(F246),"",VLOOKUP(C246,INDIRECT($F$8),6+(O256-1)*3,0))</f>
        <v>CAP 008</v>
      </c>
      <c r="B256" s="41" t="str">
        <f ca="1">IF(ISERROR(F246),"",VLOOKUP(D246,INDIRECT($F$8),6+(O256-1)*3,0))</f>
        <v>Software Engineering Lab</v>
      </c>
      <c r="C256" s="41"/>
      <c r="D256" s="41"/>
      <c r="E256" s="41"/>
      <c r="F256" s="7">
        <f ca="1">IF(ISERROR(F246),"",VLOOKUP(E246,INDIRECT($F$8),6+(O256-1)*3,0))</f>
        <v>1</v>
      </c>
      <c r="G256" s="42" t="str">
        <f ca="1">IF(ISERROR(F246),"",_xlfn.TEXTJOIN("/",FALSE,P256,S256))</f>
        <v>0/30</v>
      </c>
      <c r="H256" s="42"/>
      <c r="I256" s="42" t="str">
        <f ca="1">IF(ISERROR(F246),"",_xlfn.TEXTJOIN("/",FALSE,Q256,T256))</f>
        <v>0/20</v>
      </c>
      <c r="J256" s="42"/>
      <c r="K256" s="42" t="str">
        <f ca="1">IF(ISERROR(F246),"",_xlfn.TEXTJOIN("/",FALSE,R256,U256))</f>
        <v>0/50</v>
      </c>
      <c r="L256" s="42"/>
      <c r="M256" s="7" t="str">
        <f ca="1">IF(ISERROR(F246),"",IF(ISTEXT(P256),IF(P256="A","Ab",IF(P256="D","Dt",IF(P256="UFM","UFM",IF(P256="NA","")))),IF(AND(ISBLANK(P256),ISBLANK(R256)),"",IF(P256&lt;0.3*S256,"F",IF(ISBLANK(R256),"",IF(ISTEXT(R256),R256,IF(R256&gt;=0.9*U256,"O",IF(R256&gt;=0.85*U256,"A+",IF(R256&gt;=0.8*U256,"A",IF(R256&gt;=0.7*U256,"B+",IF(R256&gt;=0.6*U256,"B",IF(R256&gt;=0.5*U256,"C",IF(R256&gt;=0.4*U256,"P",IF(R256&lt;0.4*U256,"F",R256))))))))))))))</f>
        <v>F</v>
      </c>
      <c r="N256" s="8">
        <f t="shared" ca="1" si="28"/>
        <v>0</v>
      </c>
      <c r="O256">
        <f t="shared" ref="O256:O258" ca="1" si="29">O255+1</f>
        <v>8</v>
      </c>
      <c r="P256" s="1">
        <f ca="1">IF(ISERROR(F246),"",IF(ISTEXT(VLOOKUP(B246,INDIRECT($F$8),6+(O256-1)*3)),(VLOOKUP(B246,INDIRECT($F$8),6+(O256-1)*3)),SUM(VLOOKUP(B246,INDIRECT($F$8),6+(O256-1)*3),IF(W259,W256,0))))</f>
        <v>0</v>
      </c>
      <c r="Q256" s="1">
        <f ca="1">IF(ISERROR(F246),"",VLOOKUP(B246,INDIRECT($F$8),7+(O256-1)*3))</f>
        <v>0</v>
      </c>
      <c r="R256" s="1">
        <f ca="1">IF(ISERROR(F246),"",SUM(P256:Q256))</f>
        <v>0</v>
      </c>
      <c r="S256" s="1">
        <f ca="1">IF(ISERROR(F246),"",VLOOKUP(A246,INDIRECT($F$8),6+(O256-1)*3))</f>
        <v>30</v>
      </c>
      <c r="T256" s="1">
        <f ca="1">IF(ISERROR(F246),"",VLOOKUP(A246,INDIRECT($F$8),7+(O256-1)*3))</f>
        <v>20</v>
      </c>
      <c r="U256" s="1">
        <f ca="1">IF(ISERROR(F246),"",VLOOKUP(A246,INDIRECT($F$8),8+(O256-1)*3))</f>
        <v>50</v>
      </c>
      <c r="V256" s="1" t="str">
        <f ca="1">IF(ISERROR(F246),"",IF(N256=0,A256,""))</f>
        <v>CAP 008</v>
      </c>
      <c r="W256" s="1">
        <f ca="1">IF(ISERROR(F246),"",IF(ISTEXT(VLOOKUP(B246,INDIRECT($F$8),6+(O256-1)*3)),11,IF(VLOOKUP(B246,INDIRECT($F$8),6+(O256-1)*3)&lt;S256*0.3,IF(VLOOKUP(B246,INDIRECT($F$8),8+(O256-1)*3)&lt;U256*0.4,IF(AND(0.4*U256-VLOOKUP(B246,INDIRECT($F$8),8+(O256-1)*3)&lt;=5,0.3*S256-VLOOKUP(B246,INDIRECT($F$8),6+(O256-1)*3)&lt;=5),MAX(0.4*U256-VLOOKUP(B246,INDIRECT($F$8),8+(O256-1)*3),0.3*S256-VLOOKUP(B246,INDIRECT($F$8),6+(O256-1)*3)),11),IF(0.3*S256-VLOOKUP(B246,INDIRECT($F$8),6+(O256-1)*3)&lt;=5,0.3*S256-VLOOKUP(B246,INDIRECT($F$8),6+(O256-1)*3),11)),IF(VLOOKUP(B246,INDIRECT($F$8),8+(O256-1)*3)&lt;U256*0.4,IF(U256*0.4-VLOOKUP(B246,INDIRECT($F$8),8+(O256-1)*3)&lt;=5,U256*0.4-VLOOKUP(B246,INDIRECT($F$8),8+(O256-1)*3),11),0))))</f>
        <v>11</v>
      </c>
      <c r="X256" s="1" t="str">
        <f ca="1">IF(ISERROR(F246),"",IF(W256=0,"",_xlfn.TEXTJOIN("",FALSE," G+",W256," in ",A256)))</f>
        <v xml:space="preserve"> G+11 in CAP 008</v>
      </c>
    </row>
    <row r="257" spans="1:24" ht="14.25" customHeight="1" x14ac:dyDescent="0.2">
      <c r="A257" s="7" t="str">
        <f ca="1">IF(ISERROR(F246),"",VLOOKUP(C246,INDIRECT($F$8),6+(O257-1)*3,0))</f>
        <v>CAP 009</v>
      </c>
      <c r="B257" s="41" t="str">
        <f ca="1">IF(ISERROR(F246),"",VLOOKUP(D246,INDIRECT($F$8),6+(O257-1)*3,0))</f>
        <v>Seminar</v>
      </c>
      <c r="C257" s="41"/>
      <c r="D257" s="41"/>
      <c r="E257" s="41"/>
      <c r="F257" s="7">
        <f ca="1">IF(ISERROR(F246),"",VLOOKUP(E246,INDIRECT($F$8),6+(O257-1)*3,0))</f>
        <v>2</v>
      </c>
      <c r="G257" s="42" t="str">
        <f ca="1">IF(ISERROR(F246),"",_xlfn.TEXTJOIN("/",FALSE,P257,S257))</f>
        <v>0/0</v>
      </c>
      <c r="H257" s="42"/>
      <c r="I257" s="42" t="str">
        <f ca="1">IF(ISERROR(F246),"",_xlfn.TEXTJOIN("/",FALSE,Q257,T257))</f>
        <v>0/100</v>
      </c>
      <c r="J257" s="42"/>
      <c r="K257" s="42" t="str">
        <f ca="1">IF(ISERROR(F246),"",_xlfn.TEXTJOIN("/",FALSE,R257,U257))</f>
        <v>0/100</v>
      </c>
      <c r="L257" s="42"/>
      <c r="M257" s="7" t="str">
        <f ca="1">IF(ISERROR(F246),"",IF(ISTEXT(P257),IF(P257="A","Ab",IF(P257="D","Dt",IF(P257="UFM","UFM",IF(P257="NA","")))),IF(AND(ISBLANK(P257),ISBLANK(R257)),"",IF(P257&lt;0.3*S257,"F",IF(ISBLANK(R257),"",IF(ISTEXT(R257),R257,IF(R257&gt;=0.9*U257,"O",IF(R257&gt;=0.85*U257,"A+",IF(R257&gt;=0.8*U257,"A",IF(R257&gt;=0.7*U257,"B+",IF(R257&gt;=0.6*U257,"B",IF(R257&gt;=0.5*U257,"C",IF(R257&gt;=0.4*U257,"P",IF(R257&lt;0.4*U257,"F",R257))))))))))))))</f>
        <v>F</v>
      </c>
      <c r="N257" s="8">
        <f t="shared" ca="1" si="28"/>
        <v>0</v>
      </c>
      <c r="O257">
        <f t="shared" ca="1" si="29"/>
        <v>9</v>
      </c>
      <c r="P257" s="1">
        <f ca="1">IF(ISERROR(F246),"",IF(ISTEXT(VLOOKUP(B246,INDIRECT($F$8),6+(O257-1)*3)),(VLOOKUP(B246,INDIRECT($F$8),6+(O257-1)*3)),SUM(VLOOKUP(B246,INDIRECT($F$8),6+(O257-1)*3),IF(W259,W257,0))))</f>
        <v>0</v>
      </c>
      <c r="Q257" s="1">
        <f ca="1">IF(ISERROR(F246),"",VLOOKUP(B246,INDIRECT($F$8),7+(O257-1)*3))</f>
        <v>0</v>
      </c>
      <c r="R257" s="1">
        <f ca="1">IF(ISERROR(F246),"",SUM(P257:Q257))</f>
        <v>0</v>
      </c>
      <c r="S257" s="1">
        <f ca="1">IF(ISERROR(F246),"",VLOOKUP(A246,INDIRECT($F$8),6+(O257-1)*3))</f>
        <v>0</v>
      </c>
      <c r="T257" s="1">
        <f ca="1">IF(ISERROR(F246),"",VLOOKUP(A246,INDIRECT($F$8),7+(O257-1)*3))</f>
        <v>100</v>
      </c>
      <c r="U257" s="1">
        <f ca="1">IF(ISERROR(F246),"",VLOOKUP(A246,INDIRECT($F$8),8+(O257-1)*3))</f>
        <v>100</v>
      </c>
      <c r="V257" s="1" t="str">
        <f ca="1">IF(ISERROR(F246),"",IF(N257=0,A257,""))</f>
        <v>CAP 009</v>
      </c>
      <c r="W257" s="1">
        <f ca="1">IF(ISERROR(F246),"",IF(ISTEXT(VLOOKUP(B246,INDIRECT($F$8),6+(O257-1)*3)),11,IF(VLOOKUP(B246,INDIRECT($F$8),6+(O257-1)*3)&lt;S257*0.3,IF(VLOOKUP(B246,INDIRECT($F$8),8+(O257-1)*3)&lt;U257*0.4,IF(AND(0.4*U257-VLOOKUP(B246,INDIRECT($F$8),8+(O257-1)*3)&lt;=5,0.3*S257-VLOOKUP(B246,INDIRECT($F$8),6+(O257-1)*3)&lt;=5),MAX(0.4*U257-VLOOKUP(B246,INDIRECT($F$8),8+(O257-1)*3),0.3*S257-VLOOKUP(B246,INDIRECT($F$8),6+(O257-1)*3)),11),IF(0.3*S257-VLOOKUP(B246,INDIRECT($F$8),6+(O257-1)*3)&lt;=5,0.3*S257-VLOOKUP(B246,INDIRECT($F$8),6+(O257-1)*3),11)),IF(VLOOKUP(B246,INDIRECT($F$8),8+(O257-1)*3)&lt;U257*0.4,IF(U257*0.4-VLOOKUP(B246,INDIRECT($F$8),8+(O257-1)*3)&lt;=5,U257*0.4-VLOOKUP(B246,INDIRECT($F$8),8+(O257-1)*3),11),0))))</f>
        <v>11</v>
      </c>
      <c r="X257" s="1" t="str">
        <f ca="1">IF(ISERROR(F246),"",IF(W257=0,"",_xlfn.TEXTJOIN("",FALSE," G+",W257," in ",A257)))</f>
        <v xml:space="preserve"> G+11 in CAP 009</v>
      </c>
    </row>
    <row r="258" spans="1:24" ht="14.25" customHeight="1" x14ac:dyDescent="0.2">
      <c r="A258" s="7" t="str">
        <f ca="1">IF(ISERROR(F246),"",VLOOKUP(C246,INDIRECT($F$8),6+(O258-1)*3,0))</f>
        <v>CAP 010</v>
      </c>
      <c r="B258" s="41" t="str">
        <f ca="1">IF(ISERROR(F246),"",VLOOKUP(D246,INDIRECT($F$8),6+(O258-1)*3-Z258,0))</f>
        <v>Minor Project</v>
      </c>
      <c r="C258" s="41"/>
      <c r="D258" s="41"/>
      <c r="E258" s="41"/>
      <c r="F258" s="7">
        <f ca="1">IF(ISERROR(F246),"",VLOOKUP(E246,INDIRECT($F$8),6+(O258-1)*3,0))</f>
        <v>2</v>
      </c>
      <c r="G258" s="42" t="str">
        <f ca="1">IF(ISERROR(F246),"",_xlfn.TEXTJOIN("/",FALSE,P258,S258))</f>
        <v>0/50</v>
      </c>
      <c r="H258" s="42"/>
      <c r="I258" s="42" t="str">
        <f ca="1">IF(ISERROR(F246),"",_xlfn.TEXTJOIN("/",FALSE,Q258,T258))</f>
        <v>0/50</v>
      </c>
      <c r="J258" s="42"/>
      <c r="K258" s="42" t="str">
        <f ca="1">IF(ISERROR(F246),"",_xlfn.TEXTJOIN("/",FALSE,R258,U258))</f>
        <v>0/100</v>
      </c>
      <c r="L258" s="42"/>
      <c r="M258" s="7" t="str">
        <f ca="1">IF(ISERROR(F246),"",IF(ISTEXT(P258),IF(P258="A","Ab",IF(P258="D","Dt",IF(P258="UFM","UFM",IF(P258="NA","")))),IF(AND(ISBLANK(P258),ISBLANK(R258)),"",IF(P258&lt;0.3*S258,"F",IF(ISBLANK(R258),"",IF(ISTEXT(R258),R258,IF(R258&gt;=0.9*U258,"O",IF(R258&gt;=0.85*U258,"A+",IF(R258&gt;=0.8*U258,"A",IF(R258&gt;=0.7*U258,"B+",IF(R258&gt;=0.6*U258,"B",IF(R258&gt;=0.5*U258,"C",IF(R258&gt;=0.4*U258,"P",IF(R258&lt;0.4*U258,"F",R258))))))))))))))</f>
        <v>F</v>
      </c>
      <c r="N258" s="8">
        <f t="shared" ca="1" si="28"/>
        <v>0</v>
      </c>
      <c r="O258">
        <f t="shared" ca="1" si="29"/>
        <v>10</v>
      </c>
      <c r="P258" s="1">
        <f ca="1">IF(ISERROR(F246),"",IF(ISTEXT(VLOOKUP(B246,INDIRECT($F$8),6+(O258-1)*3)),(VLOOKUP(B246,INDIRECT($F$8),6+(O258-1)*3)),SUM(VLOOKUP(B246,INDIRECT($F$8),6+(O258-1)*3),IF(W259,W258,0))))</f>
        <v>0</v>
      </c>
      <c r="Q258" s="1">
        <f ca="1">IF(ISERROR(F246),"",VLOOKUP(B246,INDIRECT($F$8),7+(O258-1)*3))</f>
        <v>0</v>
      </c>
      <c r="R258" s="1">
        <f ca="1">IF(ISERROR(F246),"",SUM(P258:Q258))</f>
        <v>0</v>
      </c>
      <c r="S258" s="1">
        <f ca="1">IF(ISERROR(F246),"",VLOOKUP(A246,INDIRECT($F$8),6+(O258-1)*3))</f>
        <v>50</v>
      </c>
      <c r="T258" s="1">
        <f ca="1">IF(ISERROR(F246),"",VLOOKUP(A246,INDIRECT($F$8),7+(O258-1)*3))</f>
        <v>50</v>
      </c>
      <c r="U258" s="1">
        <f ca="1">IF(ISERROR(F246),"",VLOOKUP(A246,INDIRECT($F$8),8+(O258-1)*3))</f>
        <v>100</v>
      </c>
      <c r="V258" s="1" t="str">
        <f ca="1">IF(ISERROR(F246),"",IF(N258=0,A258,""))</f>
        <v>CAP 010</v>
      </c>
      <c r="W258" s="1">
        <f ca="1">IF(ISERROR(F246),"",IF(ISTEXT(VLOOKUP(B246,INDIRECT($F$8),6+(O258-1)*3)),11,IF(VLOOKUP(B246,INDIRECT($F$8),6+(O258-1)*3)&lt;S258*0.3,IF(VLOOKUP(B246,INDIRECT($F$8),8+(O258-1)*3)&lt;U258*0.4,IF(AND(0.4*U258-VLOOKUP(B246,INDIRECT($F$8),8+(O258-1)*3)&lt;=5,0.3*S258-VLOOKUP(B246,INDIRECT($F$8),6+(O258-1)*3)&lt;=5),MAX(0.4*U258-VLOOKUP(B246,INDIRECT($F$8),8+(O258-1)*3),0.3*S258-VLOOKUP(B246,INDIRECT($F$8),6+(O258-1)*3)),11),IF(0.3*S258-VLOOKUP(B246,INDIRECT($F$8),6+(O258-1)*3)&lt;=5,0.3*S258-VLOOKUP(B246,INDIRECT($F$8),6+(O258-1)*3),11)),IF(VLOOKUP(B246,INDIRECT($F$8),8+(O258-1)*3)&lt;U258*0.4,IF(U258*0.4-VLOOKUP(B246,INDIRECT($F$8),8+(O258-1)*3)&lt;=5,U258*0.4-VLOOKUP(B246,INDIRECT($F$8),8+(O258-1)*3),11),0))))</f>
        <v>11</v>
      </c>
      <c r="X258" s="1" t="str">
        <f ca="1">IF(ISERROR(F246),"",IF(W258=0,"",_xlfn.TEXTJOIN("",FALSE," G+",W258," in ",A258)))</f>
        <v xml:space="preserve"> G+11 in CAP 010</v>
      </c>
    </row>
    <row r="259" spans="1:24" ht="14.25" customHeight="1" x14ac:dyDescent="0.2">
      <c r="A259" s="43" t="str">
        <f ca="1">IF(ISERROR(F246),"",A242)</f>
        <v>Total Credits/ Marks/ Total Grade Points</v>
      </c>
      <c r="B259" s="43"/>
      <c r="C259" s="43"/>
      <c r="D259" s="43"/>
      <c r="E259" s="43"/>
      <c r="F259" s="10">
        <f ca="1">IF(ISERROR(F246),"",SUM(F251:F258))</f>
        <v>16</v>
      </c>
      <c r="G259" s="44" t="str">
        <f ca="1">IF(ISERROR(F246),"",_xlfn.TEXTJOIN("/",TRUE,SUMIF(F251:F258,"&gt;0",P251:P258),SUMIF(F251:F258,"&gt;0",S251:S258)))</f>
        <v>0/380</v>
      </c>
      <c r="H259" s="44"/>
      <c r="I259" s="44" t="str">
        <f ca="1">IF(ISERROR(F246),"",_xlfn.TEXTJOIN("/",TRUE,SUMIF(F251:F258,"&gt;0",Q251:Q258),SUMIF(F251:F258,"&gt;0",T251:T258)))</f>
        <v>0/320</v>
      </c>
      <c r="J259" s="44"/>
      <c r="K259" s="44" t="str">
        <f ca="1">IF(ISERROR(F246),"",_xlfn.TEXTJOIN("/",TRUE,SUMIF(F251:F258,"&gt;0",R251:R258),SUMIF(F251:F258,"&gt;0",U251:U258)))</f>
        <v>0/700</v>
      </c>
      <c r="L259" s="44"/>
      <c r="M259" s="43" t="e">
        <f ca="1">IF(ISERROR(F246),"",SUMPRODUCT(N251:N258,F251:F258))</f>
        <v>#N/A</v>
      </c>
      <c r="N259" s="43"/>
      <c r="V259" s="1" t="e">
        <f ca="1">IF(ISERROR(F246),"",_xlfn.TEXTJOIN(", ",TRUE,V251:V258))</f>
        <v>#N/A</v>
      </c>
      <c r="W259" t="b">
        <f ca="1">IF(ISERROR(F246),"",IF(SUM(W251:W258)&lt;=W250,TRUE,FALSE))</f>
        <v>0</v>
      </c>
      <c r="X259" s="1" t="str">
        <f ca="1">IF(ISERROR(F246),"",_xlfn.TEXTJOIN(",",TRUE,X251:X258))</f>
        <v xml:space="preserve"> G+11 in CAT  014, G+11 in CAT 015, G+11 in Enroll No., G+11 in Enroll No., G+11 in AHT 310, G+11 in CAP 008, G+11 in CAP 009, G+11 in CAP 010</v>
      </c>
    </row>
    <row r="260" spans="1:24" ht="14.25" customHeight="1" x14ac:dyDescent="0.2">
      <c r="A260" s="43" t="str">
        <f ca="1">IF(ISERROR(F246),"",A243)</f>
        <v>Result:</v>
      </c>
      <c r="B260" s="45" t="e">
        <f ca="1">IF(ISERROR(F246),"",IF(V259="","PASS","CARRY OVER"))</f>
        <v>#N/A</v>
      </c>
      <c r="C260" s="45"/>
      <c r="D260" s="43" t="str">
        <f ca="1">IF(ISERROR(F246),"",D243)</f>
        <v>Remark:</v>
      </c>
      <c r="E260" s="45" t="e">
        <f ca="1">IF(ISERROR(F246),"",IF(V259="",IF(X259="","",X259),_xlfn.TEXTJOIN(" ",TRUE,"BACK IN",V259)))</f>
        <v>#N/A</v>
      </c>
      <c r="F260" s="45"/>
      <c r="G260" s="43" t="str">
        <f ca="1">IF(ISERROR(F246),"",G243)</f>
        <v>SGPA:</v>
      </c>
      <c r="H260" s="46" t="e">
        <f ca="1">IF(ISERROR(F246),"",M259/F259)</f>
        <v>#N/A</v>
      </c>
      <c r="I260" s="43" t="str">
        <f ca="1">IF(ISERROR(F246),"",I243)</f>
        <v>CGPA:</v>
      </c>
      <c r="J260" s="46" t="e">
        <f ca="1">IF(ISERROR(F246),"",VLOOKUP(B246,INDIRECT($F$8),12+(O258-1)*3,0))</f>
        <v>#N/A</v>
      </c>
      <c r="K260" s="45" t="str">
        <f ca="1">IF(ISERROR(F246),"",K243)</f>
        <v>Earned Credits:</v>
      </c>
      <c r="L260" s="43">
        <f ca="1">IF(ISERROR(F246),"",SUMIF(N251:N258,"&gt;0",F251:F258))</f>
        <v>0</v>
      </c>
      <c r="M260" s="45" t="str">
        <f ca="1">IF(ISERROR(F246),"",M243)</f>
        <v>Cuml. Earned Credits:</v>
      </c>
      <c r="N260" s="43" t="e">
        <f ca="1">IF(ISERROR(F246),"",VLOOKUP(B246,INDIRECT($F$8),10+(O258-1)*3,0))</f>
        <v>#N/A</v>
      </c>
    </row>
    <row r="261" spans="1:24" ht="14.25" customHeight="1" x14ac:dyDescent="0.2">
      <c r="A261" s="43"/>
      <c r="B261" s="45"/>
      <c r="C261" s="45"/>
      <c r="D261" s="43"/>
      <c r="E261" s="45"/>
      <c r="F261" s="45"/>
      <c r="G261" s="43"/>
      <c r="H261" s="46"/>
      <c r="I261" s="43"/>
      <c r="J261" s="46"/>
      <c r="K261" s="45"/>
      <c r="L261" s="43"/>
      <c r="M261" s="45"/>
      <c r="N261" s="43"/>
    </row>
    <row r="262" spans="1:24" ht="14.25" customHeight="1" x14ac:dyDescent="0.2">
      <c r="A262" s="43"/>
      <c r="B262" s="45"/>
      <c r="C262" s="45"/>
      <c r="D262" s="43"/>
      <c r="E262" s="45"/>
      <c r="F262" s="45"/>
      <c r="G262" s="43"/>
      <c r="H262" s="46"/>
      <c r="I262" s="43"/>
      <c r="J262" s="46"/>
      <c r="K262" s="45"/>
      <c r="L262" s="43"/>
      <c r="M262" s="45"/>
      <c r="N262" s="43"/>
    </row>
    <row r="263" spans="1:24" ht="14.25" customHeight="1" x14ac:dyDescent="0.2">
      <c r="A263" s="11" t="str">
        <f>A246</f>
        <v>MM</v>
      </c>
      <c r="B263" s="11">
        <f>B246+1</f>
        <v>16</v>
      </c>
      <c r="C263" s="11" t="str">
        <f>C246</f>
        <v>SC</v>
      </c>
      <c r="D263" s="11" t="str">
        <f>D246</f>
        <v>SN</v>
      </c>
      <c r="E263" s="11" t="str">
        <f>E246</f>
        <v>C</v>
      </c>
      <c r="F263" s="11" t="str">
        <f ca="1">VLOOKUP(B263,INDIRECT($F$8),4,0)</f>
        <v>NEERAJ JOSHI</v>
      </c>
    </row>
    <row r="264" spans="1:24" ht="14.25" customHeight="1" x14ac:dyDescent="0.2">
      <c r="A264" s="47" t="str">
        <f ca="1">IF(ISERROR(F263),"",A247)</f>
        <v>Name:</v>
      </c>
      <c r="B264" s="47" t="str">
        <f ca="1">IFERROR(VLOOKUP(B263,INDIRECT($F$8),4,0),"")</f>
        <v>NEERAJ JOSHI</v>
      </c>
      <c r="C264" s="47"/>
      <c r="D264" s="47" t="str">
        <f ca="1">IF(ISERROR(F263),"",D247)</f>
        <v>Father's Name:</v>
      </c>
      <c r="E264" s="47" t="str">
        <f ca="1">IFERROR(VLOOKUP(B263,INDIRECT($F$8),5,0),"")</f>
        <v>PURAN CHANDRA JOSHI</v>
      </c>
      <c r="F264" s="47"/>
      <c r="G264" s="47" t="str">
        <f ca="1">IF(ISERROR(F263),"",G247)</f>
        <v>University Roll No:</v>
      </c>
      <c r="H264" s="47"/>
      <c r="I264" s="48">
        <f ca="1">IFERROR(VLOOKUP(B263,INDIRECT($F$8),2,0),"")</f>
        <v>240090600016</v>
      </c>
      <c r="J264" s="48"/>
      <c r="K264" s="47" t="str">
        <f ca="1">IF(ISERROR(F263),"",K247)</f>
        <v>University Enrol. No:</v>
      </c>
      <c r="L264" s="47"/>
      <c r="M264" s="48" t="str">
        <f ca="1">IFERROR(VLOOKUP(B263,INDIRECT($F$8),3,0),"")</f>
        <v>UTU/2406100137</v>
      </c>
      <c r="N264" s="48"/>
    </row>
    <row r="265" spans="1:24" ht="14.25" customHeight="1" x14ac:dyDescent="0.2">
      <c r="A265" s="47"/>
      <c r="B265" s="47"/>
      <c r="C265" s="47"/>
      <c r="D265" s="47"/>
      <c r="E265" s="47"/>
      <c r="F265" s="47"/>
      <c r="G265" s="47"/>
      <c r="H265" s="47"/>
      <c r="I265" s="48"/>
      <c r="J265" s="48"/>
      <c r="K265" s="47"/>
      <c r="L265" s="47"/>
      <c r="M265" s="48"/>
      <c r="N265" s="48"/>
    </row>
    <row r="266" spans="1:24" ht="14.25" customHeight="1" x14ac:dyDescent="0.2">
      <c r="A266" s="45" t="str">
        <f ca="1">IF(ISERROR(F263),"",A249)</f>
        <v>Subject Code</v>
      </c>
      <c r="B266" s="45" t="str">
        <f ca="1">IF(ISERROR(F263),"",B249)</f>
        <v>Subject Name</v>
      </c>
      <c r="C266" s="45"/>
      <c r="D266" s="45"/>
      <c r="E266" s="45"/>
      <c r="F266" s="45" t="str">
        <f ca="1">IF(ISERROR(F263),"",F249)</f>
        <v>Credits</v>
      </c>
      <c r="G266" s="45" t="str">
        <f ca="1">IF(ISERROR(F263),"",G249)</f>
        <v>External Marks</v>
      </c>
      <c r="H266" s="45"/>
      <c r="I266" s="45" t="str">
        <f ca="1">IF(ISERROR(F263),"",I249)</f>
        <v>Sessional Marks</v>
      </c>
      <c r="J266" s="45"/>
      <c r="K266" s="45" t="str">
        <f ca="1">IF(ISERROR(F263),"",K249)</f>
        <v>Total Marks</v>
      </c>
      <c r="L266" s="45"/>
      <c r="M266" s="45" t="str">
        <f ca="1">IF(ISERROR(F263),"",M249)</f>
        <v>Grade</v>
      </c>
      <c r="N266" s="45" t="str">
        <f ca="1">IF(ISERROR(F263),"",N249)</f>
        <v>Grade Points</v>
      </c>
    </row>
    <row r="267" spans="1:24" ht="14.25" customHeight="1" x14ac:dyDescent="0.2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W267">
        <f ca="1">IF(ISNUMBER(MATCH($F$8,{"I","III","V","VII"},0)),10,10-INDEX(INDIRECT(_xlfn.TEXTJOIN("",TRUE,"SEM_",$G$8,"!",ADDRESS(6,4+$I$8*3+4),":",ADDRESS(5+$H$8,4+$I$8*3+4))),MATCH(INDIRECT(_xlfn.TEXTJOIN("",TRUE,"TC_",$F$8,"!",ADDRESS(ROW(I264),COLUMN(I264)))),INDIRECT(_xlfn.TEXTJOIN("",TRUE,"SEM_",$G$8,"!",ADDRESS(6,2),":",ADDRESS(5+$H$8,2))))))</f>
        <v>10</v>
      </c>
    </row>
    <row r="268" spans="1:24" ht="14.25" customHeight="1" x14ac:dyDescent="0.2">
      <c r="A268" s="7" t="str">
        <f ca="1">IF(ISERROR(F263),"",VLOOKUP(C263,INDIRECT($F$8),6+(O268-1)*3,0))</f>
        <v>CAT  014</v>
      </c>
      <c r="B268" s="41" t="str">
        <f ca="1">IF(ISERROR(F263),"",VLOOKUP(D263,INDIRECT($F$8),6+(O268-1)*3,0))</f>
        <v>Graph Theory</v>
      </c>
      <c r="C268" s="41"/>
      <c r="D268" s="41"/>
      <c r="E268" s="41"/>
      <c r="F268" s="7">
        <f ca="1">IF(ISERROR(F263),"",VLOOKUP(E263,INDIRECT($F$8),6+(O268-1)*3,0))</f>
        <v>4</v>
      </c>
      <c r="G268" s="42" t="str">
        <f ca="1">IF(ISERROR(F263),"",_xlfn.TEXTJOIN("/",FALSE,P268,S268))</f>
        <v>0/100</v>
      </c>
      <c r="H268" s="42"/>
      <c r="I268" s="42" t="str">
        <f ca="1">IF(ISERROR(F263),"",_xlfn.TEXTJOIN("/",FALSE,Q268,T268))</f>
        <v>0/50</v>
      </c>
      <c r="J268" s="42"/>
      <c r="K268" s="42" t="str">
        <f ca="1">IF(ISERROR(F263),"",_xlfn.TEXTJOIN("/",FALSE,R268,U268))</f>
        <v>0/150</v>
      </c>
      <c r="L268" s="42"/>
      <c r="M268" s="7" t="str">
        <f ca="1">IF(ISERROR(F263),"",IF(ISTEXT(P268),IF(P268="A","Ab",IF(P268="D","Dt",IF(P268="UFM","UFM",IF(P268="NA","")))),IF(AND(ISBLANK(P268),ISBLANK(R268)),"",IF(P268&lt;0.3*S268,"F",IF(ISBLANK(R268),"",IF(ISTEXT(R268),R268,IF(R268&gt;=0.9*U268,"O",IF(R268&gt;=0.85*U268,"A+",IF(R268&gt;=0.8*U268,"A",IF(R268&gt;=0.7*U268,"B+",IF(R268&gt;=0.6*U268,"B",IF(R268&gt;=0.5*U268,"C",IF(R268&gt;=0.4*U268,"P",IF(R268&lt;0.4*U268,"F",R268))))))))))))))</f>
        <v>F</v>
      </c>
      <c r="N268" s="8">
        <f t="shared" ref="N268:N275" ca="1" si="30">INDEX($Z$2:$Z$13,MATCH(M268,$Y$2:$Y$13,0))</f>
        <v>0</v>
      </c>
      <c r="O268">
        <v>1</v>
      </c>
      <c r="P268" s="1">
        <f ca="1">IF(ISERROR(F263),"",IF(ISTEXT(VLOOKUP(B263,INDIRECT($F$8),6+(O268-1)*3)),(VLOOKUP(B263,INDIRECT($F$8),6+(O268-1)*3)),SUM(VLOOKUP(B263,INDIRECT($F$8),6+(O268-1)*3),IF(W276,W268,0))))</f>
        <v>0</v>
      </c>
      <c r="Q268" s="1">
        <f ca="1">IF(ISERROR(F263),"",VLOOKUP(B263,INDIRECT($F$8),7+(O268-1)*3))</f>
        <v>0</v>
      </c>
      <c r="R268" s="1">
        <f ca="1">IF(ISERROR(F263),"",SUM(P268:Q268))</f>
        <v>0</v>
      </c>
      <c r="S268" s="1">
        <f ca="1">IF(ISERROR(F263),"",VLOOKUP(A263,INDIRECT($F$8),6+(O268-1)*3))</f>
        <v>100</v>
      </c>
      <c r="T268" s="1">
        <f ca="1">IF(ISERROR(F263),"",VLOOKUP(A263,INDIRECT($F$8),7+(O268-1)*3))</f>
        <v>50</v>
      </c>
      <c r="U268" s="1">
        <f ca="1">IF(ISERROR(F263),"",VLOOKUP(A263,INDIRECT($F$8),8+(O268-1)*3))</f>
        <v>150</v>
      </c>
      <c r="V268" s="1" t="str">
        <f ca="1">IF(ISERROR(F263),"",IF(N268=0,A268,""))</f>
        <v>CAT  014</v>
      </c>
      <c r="W268" s="1">
        <f ca="1">IF(ISERROR(F263),"",IF(ISTEXT(VLOOKUP(B263,INDIRECT($F$8),6+(O268-1)*3)),11,IF(VLOOKUP(B263,INDIRECT($F$8),6+(O268-1)*3)&lt;S268*0.3,IF(VLOOKUP(B263,INDIRECT($F$8),8+(O268-1)*3)&lt;U268*0.4,IF(AND(0.4*U268-VLOOKUP(B263,INDIRECT($F$8),8+(O268-1)*3)&lt;=5,0.3*S268-VLOOKUP(B263,INDIRECT($F$8),6+(O268-1)*3)&lt;=5),MAX(0.4*U268-VLOOKUP(B263,INDIRECT($F$8),8+(O268-1)*3),0.3*S268-VLOOKUP(B263,INDIRECT($F$8),6+(O268-1)*3)),11),IF(0.3*S268-VLOOKUP(B263,INDIRECT($F$8),6+(O268-1)*3)&lt;=5,0.3*S268-VLOOKUP(B263,INDIRECT($F$8),6+(O268-1)*3),11)),IF(VLOOKUP(B263,INDIRECT($F$8),8+(O268-1)*3)&lt;U268*0.4,IF(U268*0.4-VLOOKUP(B263,INDIRECT($F$8),8+(O268-1)*3)&lt;=5,U268*0.4-VLOOKUP(B263,INDIRECT($F$8),8+(O268-1)*3),11),0))))</f>
        <v>11</v>
      </c>
      <c r="X268" s="1" t="str">
        <f ca="1">IF(ISERROR(F263),"",IF(W268=0,"",_xlfn.TEXTJOIN("",FALSE," G+",W268," in ",A268)))</f>
        <v xml:space="preserve"> G+11 in CAT  014</v>
      </c>
    </row>
    <row r="269" spans="1:24" ht="14.25" customHeight="1" x14ac:dyDescent="0.2">
      <c r="A269" s="7" t="str">
        <f ca="1">IF(ISERROR(F263),"",VLOOKUP(C263,INDIRECT($F$8),6+(O269-1)*3,0))</f>
        <v>CAT 015</v>
      </c>
      <c r="B269" s="41" t="str">
        <f ca="1">IF(ISERROR(F263),"",VLOOKUP(D263,INDIRECT($F$8),6+(O269-1)*3,0))</f>
        <v>Software Engineering</v>
      </c>
      <c r="C269" s="41"/>
      <c r="D269" s="41"/>
      <c r="E269" s="41"/>
      <c r="F269" s="7">
        <f ca="1">IF(ISERROR(F263),"",VLOOKUP(E263,INDIRECT($F$8),6+(O269-1)*3,0))</f>
        <v>4</v>
      </c>
      <c r="G269" s="42" t="str">
        <f ca="1">IF(ISERROR(F263),"",_xlfn.TEXTJOIN("/",FALSE,P269,S269))</f>
        <v>0/100</v>
      </c>
      <c r="H269" s="42"/>
      <c r="I269" s="42" t="str">
        <f ca="1">IF(ISERROR(F263),"",_xlfn.TEXTJOIN("/",FALSE,Q269,T269))</f>
        <v>0/50</v>
      </c>
      <c r="J269" s="42"/>
      <c r="K269" s="42" t="str">
        <f ca="1">IF(ISERROR(F263),"",_xlfn.TEXTJOIN("/",FALSE,R269,U269))</f>
        <v>0/150</v>
      </c>
      <c r="L269" s="42"/>
      <c r="M269" s="7" t="str">
        <f ca="1">IF(ISERROR(F263),"",IF(ISTEXT(P269),IF(P269="A","Ab",IF(P269="D","Dt",IF(P269="UFM","UFM",IF(P269="NA","")))),IF(AND(ISBLANK(P269),ISBLANK(R269)),"",IF(P269&lt;0.3*S269,"F",IF(ISBLANK(R269),"",IF(ISTEXT(R269),R269,IF(R269&gt;=0.9*U269,"O",IF(R269&gt;=0.85*U269,"A+",IF(R269&gt;=0.8*U269,"A",IF(R269&gt;=0.7*U269,"B+",IF(R269&gt;=0.6*U269,"B",IF(R269&gt;=0.5*U269,"C",IF(R269&gt;=0.4*U269,"P",IF(R269&lt;0.4*U269,"F",R269))))))))))))))</f>
        <v>F</v>
      </c>
      <c r="N269" s="8">
        <f t="shared" ca="1" si="30"/>
        <v>0</v>
      </c>
      <c r="O269">
        <f>O268+1</f>
        <v>2</v>
      </c>
      <c r="P269" s="1">
        <f ca="1">IF(ISERROR(F263),"",IF(ISTEXT(VLOOKUP(B263,INDIRECT($F$8),6+(O269-1)*3)),(VLOOKUP(B263,INDIRECT($F$8),6+(O269-1)*3)),SUM(VLOOKUP(B263,INDIRECT($F$8),6+(O269-1)*3),IF(W276,W269,0))))</f>
        <v>0</v>
      </c>
      <c r="Q269" s="1">
        <f ca="1">IF(ISERROR(F263),"",VLOOKUP(B263,INDIRECT($F$8),7+(O269-1)*3))</f>
        <v>0</v>
      </c>
      <c r="R269" s="1">
        <f ca="1">IF(ISERROR(F263),"",SUM(P269:Q269))</f>
        <v>0</v>
      </c>
      <c r="S269" s="1">
        <f ca="1">IF(ISERROR(F263),"",VLOOKUP(A263,INDIRECT($F$8),6+(O269-1)*3))</f>
        <v>100</v>
      </c>
      <c r="T269" s="1">
        <f ca="1">IF(ISERROR(F263),"",VLOOKUP(A263,INDIRECT($F$8),7+(O269-1)*3))</f>
        <v>50</v>
      </c>
      <c r="U269" s="1">
        <f ca="1">IF(ISERROR(F263),"",VLOOKUP(A263,INDIRECT($F$8),8+(O269-1)*3))</f>
        <v>150</v>
      </c>
      <c r="V269" s="1" t="str">
        <f ca="1">IF(ISERROR(F263),"",IF(N269=0,A269,""))</f>
        <v>CAT 015</v>
      </c>
      <c r="W269" s="1">
        <f ca="1">IF(ISERROR(F263),"",IF(ISTEXT(VLOOKUP(B263,INDIRECT($F$8),6+(O269-1)*3)),11,IF(VLOOKUP(B263,INDIRECT($F$8),6+(O269-1)*3)&lt;S269*0.3,IF(VLOOKUP(B263,INDIRECT($F$8),8+(O269-1)*3)&lt;U269*0.4,IF(AND(0.4*U269-VLOOKUP(B263,INDIRECT($F$8),8+(O269-1)*3)&lt;=5,0.3*S269-VLOOKUP(B263,INDIRECT($F$8),6+(O269-1)*3)&lt;=5),MAX(0.4*U269-VLOOKUP(B263,INDIRECT($F$8),8+(O269-1)*3),0.3*S269-VLOOKUP(B263,INDIRECT($F$8),6+(O269-1)*3)),11),IF(0.3*S269-VLOOKUP(B263,INDIRECT($F$8),6+(O269-1)*3)&lt;=5,0.3*S269-VLOOKUP(B263,INDIRECT($F$8),6+(O269-1)*3),11)),IF(VLOOKUP(B263,INDIRECT($F$8),8+(O269-1)*3)&lt;U269*0.4,IF(U269*0.4-VLOOKUP(B263,INDIRECT($F$8),8+(O269-1)*3)&lt;=5,U269*0.4-VLOOKUP(B263,INDIRECT($F$8),8+(O269-1)*3),11),0))))</f>
        <v>11</v>
      </c>
      <c r="X269" s="1" t="str">
        <f ca="1">IF(ISERROR(F263),"",IF(W269=0,"",_xlfn.TEXTJOIN("",FALSE," G+",W269," in ",A269)))</f>
        <v xml:space="preserve"> G+11 in CAT 015</v>
      </c>
    </row>
    <row r="270" spans="1:24" ht="14.25" customHeight="1" x14ac:dyDescent="0.2">
      <c r="A270" s="7" t="str">
        <f ca="1">IF(ISERROR(F263),"",VLOOKUP(C263,INDIRECT($F$8),6+(O270-1)*3,0))</f>
        <v>Enroll No.</v>
      </c>
      <c r="B270" s="41">
        <f ca="1">IF(ISERROR(F263),"",VLOOKUP(D263,INDIRECT($F$8),6+(O270-1)*3,0))</f>
        <v>0</v>
      </c>
      <c r="C270" s="41"/>
      <c r="D270" s="41"/>
      <c r="E270" s="41"/>
      <c r="F270" s="7">
        <f ca="1">IF(ISERROR(F263),"",VLOOKUP(E263,INDIRECT($F$8),6+(O270-1)*3,0))</f>
        <v>0</v>
      </c>
      <c r="G270" s="42" t="str">
        <f ca="1">IF(ISERROR(F263),"",_xlfn.TEXTJOIN("/",FALSE,P270,S270))</f>
        <v>UTU/2406100137/0</v>
      </c>
      <c r="H270" s="42"/>
      <c r="I270" s="42" t="str">
        <f ca="1">IF(ISERROR(F263),"",_xlfn.TEXTJOIN("/",FALSE,Q270,T270))</f>
        <v>NEERAJ JOSHI/0</v>
      </c>
      <c r="J270" s="42"/>
      <c r="K270" s="42" t="str">
        <f ca="1">IF(ISERROR(F263),"",_xlfn.TEXTJOIN("/",FALSE,R270,U270))</f>
        <v>0/0</v>
      </c>
      <c r="L270" s="42"/>
      <c r="M270" s="7" t="b">
        <f ca="1">IF(ISERROR(F263),"",IF(ISTEXT(P270),IF(P270="A","Ab",IF(P270="D","Dt",IF(P270="UFM","UFM",IF(P270="NA","")))),IF(AND(ISBLANK(P270),ISBLANK(R270)),"",IF(P270&lt;0.3*S270,"F",IF(ISBLANK(R270),"",IF(ISTEXT(R270),R270,IF(R270&gt;=0.9*U270,"O",IF(R270&gt;=0.85*U270,"A+",IF(R270&gt;=0.8*U270,"A",IF(R270&gt;=0.7*U270,"B+",IF(R270&gt;=0.6*U270,"B",IF(R270&gt;=0.5*U270,"C",IF(R270&gt;=0.4*U270,"P",IF(R270&lt;0.4*U270,"F",R270))))))))))))))</f>
        <v>0</v>
      </c>
      <c r="N270" s="8" t="e">
        <f t="shared" ca="1" si="30"/>
        <v>#N/A</v>
      </c>
      <c r="O270" t="b" cm="1">
        <f t="array" aca="1" ref="O270" ca="1">IF(NOT(ISBLANK(INDIRECT("SEM_III!L"&amp;INT((ROW(O270)-15)/17)+6))),3,IF(NOT(ISBLANK(INDIRECT("SEM_III!O"&amp;INT((ROW(O270)-15)/17)+6))),4))</f>
        <v>0</v>
      </c>
      <c r="P270" s="1" t="str">
        <f ca="1">IF(ISERROR(F263),"",IF(ISTEXT(VLOOKUP(B263,INDIRECT($F$8),6+(O270-1)*3)),(VLOOKUP(B263,INDIRECT($F$8),6+(O270-1)*3)),SUM(VLOOKUP(B263,INDIRECT($F$8),6+(O270-1)*3),IF(W276,W270,0))))</f>
        <v>UTU/2406100137</v>
      </c>
      <c r="Q270" s="1" t="str">
        <f ca="1">IF(ISERROR(F263),"",VLOOKUP(B263,INDIRECT($F$8),7+(O270-1)*3))</f>
        <v>NEERAJ JOSHI</v>
      </c>
      <c r="R270" s="1">
        <f ca="1">IF(ISERROR(F263),"",SUM(P270:Q270))</f>
        <v>0</v>
      </c>
      <c r="S270" s="1">
        <f ca="1">IF(ISERROR(F263),"",VLOOKUP(A263,INDIRECT($F$8),6+(O270-1)*3))</f>
        <v>0</v>
      </c>
      <c r="T270" s="1">
        <f ca="1">IF(ISERROR(F263),"",VLOOKUP(A263,INDIRECT($F$8),7+(O270-1)*3))</f>
        <v>0</v>
      </c>
      <c r="U270" s="1">
        <f ca="1">IF(ISERROR(F263),"",VLOOKUP(A263,INDIRECT($F$8),8+(O270-1)*3))</f>
        <v>0</v>
      </c>
      <c r="V270" s="1" t="e">
        <f ca="1">IF(ISERROR(F263),"",IF(N270=0,A270,""))</f>
        <v>#N/A</v>
      </c>
      <c r="W270" s="1">
        <f ca="1">IF(ISERROR(F263),"",IF(ISTEXT(VLOOKUP(B263,INDIRECT($F$8),6+(O270-1)*3)),11,IF(VLOOKUP(B263,INDIRECT($F$8),6+(O270-1)*3)&lt;S270*0.3,IF(VLOOKUP(B263,INDIRECT($F$8),8+(O270-1)*3)&lt;U270*0.4,IF(AND(0.4*U270-VLOOKUP(B263,INDIRECT($F$8),8+(O270-1)*3)&lt;=5,0.3*S270-VLOOKUP(B263,INDIRECT($F$8),6+(O270-1)*3)&lt;=5),MAX(0.4*U270-VLOOKUP(B263,INDIRECT($F$8),8+(O270-1)*3),0.3*S270-VLOOKUP(B263,INDIRECT($F$8),6+(O270-1)*3)),11),IF(0.3*S270-VLOOKUP(B263,INDIRECT($F$8),6+(O270-1)*3)&lt;=5,0.3*S270-VLOOKUP(B263,INDIRECT($F$8),6+(O270-1)*3),11)),IF(VLOOKUP(B263,INDIRECT($F$8),8+(O270-1)*3)&lt;U270*0.4,IF(U270*0.4-VLOOKUP(B263,INDIRECT($F$8),8+(O270-1)*3)&lt;=5,U270*0.4-VLOOKUP(B263,INDIRECT($F$8),8+(O270-1)*3),11),0))))</f>
        <v>11</v>
      </c>
      <c r="X270" s="1" t="str">
        <f ca="1">IF(ISERROR(F263),"",IF(W270=0,"",_xlfn.TEXTJOIN("",FALSE," G+",W270," in ",A270)))</f>
        <v xml:space="preserve"> G+11 in Enroll No.</v>
      </c>
    </row>
    <row r="271" spans="1:24" ht="14.25" customHeight="1" x14ac:dyDescent="0.2">
      <c r="A271" s="7" t="str">
        <f ca="1">IF(ISERROR(F263),"",VLOOKUP(C263,INDIRECT($F$8),6+(O271-1)*3,0))</f>
        <v>Enroll No.</v>
      </c>
      <c r="B271" s="41">
        <f ca="1">IF(ISERROR(F263),"",VLOOKUP(D263,INDIRECT($F$8),6+(O271-1)*3,0))</f>
        <v>0</v>
      </c>
      <c r="C271" s="41"/>
      <c r="D271" s="41"/>
      <c r="E271" s="41"/>
      <c r="F271" s="7">
        <f ca="1">IF(ISERROR(F263),"",VLOOKUP(E263,INDIRECT($F$8),6+(O271-1)*3,0))</f>
        <v>0</v>
      </c>
      <c r="G271" s="42" t="str">
        <f ca="1">IF(ISERROR(F263),"",_xlfn.TEXTJOIN("/",FALSE,P271,S271))</f>
        <v>UTU/2406100137/0</v>
      </c>
      <c r="H271" s="42"/>
      <c r="I271" s="42" t="str">
        <f ca="1">IF(ISERROR(F263),"",_xlfn.TEXTJOIN("/",FALSE,Q271,T271))</f>
        <v>NEERAJ JOSHI/0</v>
      </c>
      <c r="J271" s="42"/>
      <c r="K271" s="42" t="str">
        <f ca="1">IF(ISERROR(F263),"",_xlfn.TEXTJOIN("/",FALSE,R271,U271))</f>
        <v>0/0</v>
      </c>
      <c r="L271" s="42"/>
      <c r="M271" s="7" t="b">
        <f ca="1">IF(ISERROR(F263),"",IF(ISTEXT(P271),IF(P271="A","Ab",IF(P271="D","Dt",IF(P271="UFM","UFM",IF(P271="NA","")))),IF(AND(ISBLANK(P271),ISBLANK(R271)),"",IF(P271&lt;0.3*S271,"F",IF(ISBLANK(R271),"",IF(ISTEXT(R271),R271,IF(R271&gt;=0.9*U271,"O",IF(R271&gt;=0.85*U271,"A+",IF(R271&gt;=0.8*U271,"A",IF(R271&gt;=0.7*U271,"B+",IF(R271&gt;=0.6*U271,"B",IF(R271&gt;=0.5*U271,"C",IF(R271&gt;=0.4*U271,"P",IF(R271&lt;0.4*U271,"F",R271))))))))))))))</f>
        <v>0</v>
      </c>
      <c r="N271" s="8" t="e">
        <f t="shared" ca="1" si="30"/>
        <v>#N/A</v>
      </c>
      <c r="O271" t="b" cm="1">
        <f t="array" aca="1" ref="O271" ca="1">IF(NOT(ISBLANK(INDIRECT("SEM_III!R"&amp;INT((ROW(O271)-16)/17)+6))),5,IF(NOT(ISBLANK(INDIRECT("SEM_III!U"&amp;INT((ROW(O271)-16)/17)+6))),6))</f>
        <v>0</v>
      </c>
      <c r="P271" s="1" t="str">
        <f ca="1">IF(ISERROR(F263),"",IF(ISTEXT(VLOOKUP(B263,INDIRECT($F$8),6+(O271-1)*3)),(VLOOKUP(B263,INDIRECT($F$8),6+(O271-1)*3)),SUM(VLOOKUP(B263,INDIRECT($F$8),6+(O271-1)*3),IF(W276,W271,0))))</f>
        <v>UTU/2406100137</v>
      </c>
      <c r="Q271" s="1" t="str">
        <f ca="1">IF(ISERROR(F263),"",VLOOKUP(B263,INDIRECT($F$8),7+(O271-1)*3))</f>
        <v>NEERAJ JOSHI</v>
      </c>
      <c r="R271" s="1">
        <f ca="1">IF(ISERROR(F263),"",SUM(P271:Q271))</f>
        <v>0</v>
      </c>
      <c r="S271" s="1">
        <f ca="1">IF(ISERROR(F263),"",VLOOKUP(A263,INDIRECT($F$8),6+(O271-1)*3))</f>
        <v>0</v>
      </c>
      <c r="T271" s="1">
        <f ca="1">IF(ISERROR(F263),"",VLOOKUP(A263,INDIRECT($F$8),7+(O271-1)*3))</f>
        <v>0</v>
      </c>
      <c r="U271" s="1">
        <f ca="1">IF(ISERROR(F263),"",VLOOKUP(A263,INDIRECT($F$8),8+(O271-1)*3))</f>
        <v>0</v>
      </c>
      <c r="V271" s="1" t="e">
        <f ca="1">IF(ISERROR(F263),"",IF(N271=0,A271,""))</f>
        <v>#N/A</v>
      </c>
      <c r="W271" s="1">
        <f ca="1">IF(ISERROR(F263),"",IF(ISTEXT(VLOOKUP(B263,INDIRECT($F$8),6+(O271-1)*3)),11,IF(VLOOKUP(B263,INDIRECT($F$8),6+(O271-1)*3)&lt;S271*0.3,IF(VLOOKUP(B263,INDIRECT($F$8),8+(O271-1)*3)&lt;U271*0.4,IF(AND(0.4*U271-VLOOKUP(B263,INDIRECT($F$8),8+(O271-1)*3)&lt;=5,0.3*S271-VLOOKUP(B263,INDIRECT($F$8),6+(O271-1)*3)&lt;=5),MAX(0.4*U271-VLOOKUP(B263,INDIRECT($F$8),8+(O271-1)*3),0.3*S271-VLOOKUP(B263,INDIRECT($F$8),6+(O271-1)*3)),11),IF(0.3*S271-VLOOKUP(B263,INDIRECT($F$8),6+(O271-1)*3)&lt;=5,0.3*S271-VLOOKUP(B263,INDIRECT($F$8),6+(O271-1)*3),11)),IF(VLOOKUP(B263,INDIRECT($F$8),8+(O271-1)*3)&lt;U271*0.4,IF(U271*0.4-VLOOKUP(B263,INDIRECT($F$8),8+(O271-1)*3)&lt;=5,U271*0.4-VLOOKUP(B263,INDIRECT($F$8),8+(O271-1)*3),11),0))))</f>
        <v>11</v>
      </c>
      <c r="X271" s="1" t="str">
        <f ca="1">IF(ISERROR(F263),"",IF(W271=0,"",_xlfn.TEXTJOIN("",FALSE," G+",W271," in ",A271)))</f>
        <v xml:space="preserve"> G+11 in Enroll No.</v>
      </c>
    </row>
    <row r="272" spans="1:24" ht="14.25" customHeight="1" x14ac:dyDescent="0.2">
      <c r="A272" s="7" t="str">
        <f ca="1">IF(ISERROR(F263),"",VLOOKUP(C263,INDIRECT($F$8),6+(O272-1)*3,0))</f>
        <v>AHT 310</v>
      </c>
      <c r="B272" s="41" t="str">
        <f ca="1">IF(ISERROR(F263),"",VLOOKUP(D263,INDIRECT($F$8),6+(O272-1)*3,0))</f>
        <v>Universal Human Value</v>
      </c>
      <c r="C272" s="41"/>
      <c r="D272" s="41"/>
      <c r="E272" s="41"/>
      <c r="F272" s="7">
        <f ca="1">IF(ISERROR(F263),"",VLOOKUP(E263,INDIRECT($F$8),6+(O272-1)*3,0))</f>
        <v>3</v>
      </c>
      <c r="G272" s="42" t="str">
        <f ca="1">IF(ISERROR(F263),"",_xlfn.TEXTJOIN("/",FALSE,P272,S272))</f>
        <v>0/100</v>
      </c>
      <c r="H272" s="42"/>
      <c r="I272" s="42" t="str">
        <f ca="1">IF(ISERROR(F263),"",_xlfn.TEXTJOIN("/",FALSE,Q272,T272))</f>
        <v>0/50</v>
      </c>
      <c r="J272" s="42"/>
      <c r="K272" s="42" t="str">
        <f ca="1">IF(ISERROR(F263),"",_xlfn.TEXTJOIN("/",FALSE,R272,U272))</f>
        <v>0/150</v>
      </c>
      <c r="L272" s="42"/>
      <c r="M272" s="7" t="str">
        <f ca="1">IF(ISERROR(F263),"",IF(ISTEXT(P272),IF(P272="A","Ab",IF(P272="D","Dt",IF(P272="UFM","UFM",IF(P272="NA","")))),IF(AND(ISBLANK(P272),ISBLANK(R272)),"",IF(P272&lt;0.3*S272,"F",IF(ISBLANK(R272),"",IF(ISTEXT(R272),R272,IF(R272&gt;=0.9*U272,"O",IF(R272&gt;=0.85*U272,"A+",IF(R272&gt;=0.8*U272,"A",IF(R272&gt;=0.7*U272,"B+",IF(R272&gt;=0.6*U272,"B",IF(R272&gt;=0.5*U272,"C",IF(R272&gt;=0.4*U272,"P",IF(R272&lt;0.4*U272,"F",R272))))))))))))))</f>
        <v>F</v>
      </c>
      <c r="N272" s="8">
        <f t="shared" ca="1" si="30"/>
        <v>0</v>
      </c>
      <c r="O272">
        <f ca="1">IF(O271&gt;0,7,"")</f>
        <v>7</v>
      </c>
      <c r="P272" s="1">
        <f ca="1">IF(ISERROR(F263),"",IF(ISTEXT(VLOOKUP(B263,INDIRECT($F$8),6+(O272-1)*3)),(VLOOKUP(B263,INDIRECT($F$8),6+(O272-1)*3)),SUM(VLOOKUP(B263,INDIRECT($F$8),6+(O272-1)*3),IF(W276,W272,0))))</f>
        <v>0</v>
      </c>
      <c r="Q272" s="1">
        <f ca="1">IF(ISERROR(F263),"",VLOOKUP(B263,INDIRECT($F$8),7+(O272-1)*3))</f>
        <v>0</v>
      </c>
      <c r="R272" s="1">
        <f ca="1">IF(ISERROR(F263),"",SUM(P272:Q272))</f>
        <v>0</v>
      </c>
      <c r="S272" s="1">
        <f ca="1">IF(ISERROR(F263),"",VLOOKUP(A263,INDIRECT($F$8),6+(O272-1)*3))</f>
        <v>100</v>
      </c>
      <c r="T272" s="1">
        <f ca="1">IF(ISERROR(F263),"",VLOOKUP(A263,INDIRECT($F$8),7+(O272-1)*3))</f>
        <v>50</v>
      </c>
      <c r="U272" s="1">
        <f ca="1">IF(ISERROR(F263),"",VLOOKUP(A263,INDIRECT($F$8),8+(O272-1)*3))</f>
        <v>150</v>
      </c>
      <c r="V272" s="1" t="str">
        <f ca="1">IF(ISERROR(F263),"",IF(N272=0,A272,""))</f>
        <v>AHT 310</v>
      </c>
      <c r="W272" s="1">
        <f ca="1">IF(ISERROR(F263),"",IF(ISTEXT(VLOOKUP(B263,INDIRECT($F$8),6+(O272-1)*3)),11,IF(VLOOKUP(B263,INDIRECT($F$8),6+(O272-1)*3)&lt;S272*0.3,IF(VLOOKUP(B263,INDIRECT($F$8),8+(O272-1)*3)&lt;U272*0.4,IF(AND(0.4*U272-VLOOKUP(B263,INDIRECT($F$8),8+(O272-1)*3)&lt;=5,0.3*S272-VLOOKUP(B263,INDIRECT($F$8),6+(O272-1)*3)&lt;=5),MAX(0.4*U272-VLOOKUP(B263,INDIRECT($F$8),8+(O272-1)*3),0.3*S272-VLOOKUP(B263,INDIRECT($F$8),6+(O272-1)*3)),11),IF(0.3*S272-VLOOKUP(B263,INDIRECT($F$8),6+(O272-1)*3)&lt;=5,0.3*S272-VLOOKUP(B263,INDIRECT($F$8),6+(O272-1)*3),11)),IF(VLOOKUP(B263,INDIRECT($F$8),8+(O272-1)*3)&lt;U272*0.4,IF(U272*0.4-VLOOKUP(B263,INDIRECT($F$8),8+(O272-1)*3)&lt;=5,U272*0.4-VLOOKUP(B263,INDIRECT($F$8),8+(O272-1)*3),11),0))))</f>
        <v>11</v>
      </c>
      <c r="X272" s="1" t="str">
        <f ca="1">IF(ISERROR(F263),"",IF(W272=0,"",_xlfn.TEXTJOIN("",FALSE," G+",W272," in ",A272)))</f>
        <v xml:space="preserve"> G+11 in AHT 310</v>
      </c>
    </row>
    <row r="273" spans="1:24" ht="14.25" customHeight="1" x14ac:dyDescent="0.2">
      <c r="A273" s="7" t="str">
        <f ca="1">IF(ISERROR(F263),"",VLOOKUP(C263,INDIRECT($F$8),6+(O273-1)*3,0))</f>
        <v>CAP 008</v>
      </c>
      <c r="B273" s="41" t="str">
        <f ca="1">IF(ISERROR(F263),"",VLOOKUP(D263,INDIRECT($F$8),6+(O273-1)*3,0))</f>
        <v>Software Engineering Lab</v>
      </c>
      <c r="C273" s="41"/>
      <c r="D273" s="41"/>
      <c r="E273" s="41"/>
      <c r="F273" s="7">
        <f ca="1">IF(ISERROR(F263),"",VLOOKUP(E263,INDIRECT($F$8),6+(O273-1)*3,0))</f>
        <v>1</v>
      </c>
      <c r="G273" s="42" t="str">
        <f ca="1">IF(ISERROR(F263),"",_xlfn.TEXTJOIN("/",FALSE,P273,S273))</f>
        <v>0/30</v>
      </c>
      <c r="H273" s="42"/>
      <c r="I273" s="42" t="str">
        <f ca="1">IF(ISERROR(F263),"",_xlfn.TEXTJOIN("/",FALSE,Q273,T273))</f>
        <v>0/20</v>
      </c>
      <c r="J273" s="42"/>
      <c r="K273" s="42" t="str">
        <f ca="1">IF(ISERROR(F263),"",_xlfn.TEXTJOIN("/",FALSE,R273,U273))</f>
        <v>0/50</v>
      </c>
      <c r="L273" s="42"/>
      <c r="M273" s="7" t="str">
        <f ca="1">IF(ISERROR(F263),"",IF(ISTEXT(P273),IF(P273="A","Ab",IF(P273="D","Dt",IF(P273="UFM","UFM",IF(P273="NA","")))),IF(AND(ISBLANK(P273),ISBLANK(R273)),"",IF(P273&lt;0.3*S273,"F",IF(ISBLANK(R273),"",IF(ISTEXT(R273),R273,IF(R273&gt;=0.9*U273,"O",IF(R273&gt;=0.85*U273,"A+",IF(R273&gt;=0.8*U273,"A",IF(R273&gt;=0.7*U273,"B+",IF(R273&gt;=0.6*U273,"B",IF(R273&gt;=0.5*U273,"C",IF(R273&gt;=0.4*U273,"P",IF(R273&lt;0.4*U273,"F",R273))))))))))))))</f>
        <v>F</v>
      </c>
      <c r="N273" s="8">
        <f t="shared" ca="1" si="30"/>
        <v>0</v>
      </c>
      <c r="O273">
        <f t="shared" ref="O273:O275" ca="1" si="31">O272+1</f>
        <v>8</v>
      </c>
      <c r="P273" s="1">
        <f ca="1">IF(ISERROR(F263),"",IF(ISTEXT(VLOOKUP(B263,INDIRECT($F$8),6+(O273-1)*3)),(VLOOKUP(B263,INDIRECT($F$8),6+(O273-1)*3)),SUM(VLOOKUP(B263,INDIRECT($F$8),6+(O273-1)*3),IF(W276,W273,0))))</f>
        <v>0</v>
      </c>
      <c r="Q273" s="1">
        <f ca="1">IF(ISERROR(F263),"",VLOOKUP(B263,INDIRECT($F$8),7+(O273-1)*3))</f>
        <v>0</v>
      </c>
      <c r="R273" s="1">
        <f ca="1">IF(ISERROR(F263),"",SUM(P273:Q273))</f>
        <v>0</v>
      </c>
      <c r="S273" s="1">
        <f ca="1">IF(ISERROR(F263),"",VLOOKUP(A263,INDIRECT($F$8),6+(O273-1)*3))</f>
        <v>30</v>
      </c>
      <c r="T273" s="1">
        <f ca="1">IF(ISERROR(F263),"",VLOOKUP(A263,INDIRECT($F$8),7+(O273-1)*3))</f>
        <v>20</v>
      </c>
      <c r="U273" s="1">
        <f ca="1">IF(ISERROR(F263),"",VLOOKUP(A263,INDIRECT($F$8),8+(O273-1)*3))</f>
        <v>50</v>
      </c>
      <c r="V273" s="1" t="str">
        <f ca="1">IF(ISERROR(F263),"",IF(N273=0,A273,""))</f>
        <v>CAP 008</v>
      </c>
      <c r="W273" s="1">
        <f ca="1">IF(ISERROR(F263),"",IF(ISTEXT(VLOOKUP(B263,INDIRECT($F$8),6+(O273-1)*3)),11,IF(VLOOKUP(B263,INDIRECT($F$8),6+(O273-1)*3)&lt;S273*0.3,IF(VLOOKUP(B263,INDIRECT($F$8),8+(O273-1)*3)&lt;U273*0.4,IF(AND(0.4*U273-VLOOKUP(B263,INDIRECT($F$8),8+(O273-1)*3)&lt;=5,0.3*S273-VLOOKUP(B263,INDIRECT($F$8),6+(O273-1)*3)&lt;=5),MAX(0.4*U273-VLOOKUP(B263,INDIRECT($F$8),8+(O273-1)*3),0.3*S273-VLOOKUP(B263,INDIRECT($F$8),6+(O273-1)*3)),11),IF(0.3*S273-VLOOKUP(B263,INDIRECT($F$8),6+(O273-1)*3)&lt;=5,0.3*S273-VLOOKUP(B263,INDIRECT($F$8),6+(O273-1)*3),11)),IF(VLOOKUP(B263,INDIRECT($F$8),8+(O273-1)*3)&lt;U273*0.4,IF(U273*0.4-VLOOKUP(B263,INDIRECT($F$8),8+(O273-1)*3)&lt;=5,U273*0.4-VLOOKUP(B263,INDIRECT($F$8),8+(O273-1)*3),11),0))))</f>
        <v>11</v>
      </c>
      <c r="X273" s="1" t="str">
        <f ca="1">IF(ISERROR(F263),"",IF(W273=0,"",_xlfn.TEXTJOIN("",FALSE," G+",W273," in ",A273)))</f>
        <v xml:space="preserve"> G+11 in CAP 008</v>
      </c>
    </row>
    <row r="274" spans="1:24" ht="14.25" customHeight="1" x14ac:dyDescent="0.2">
      <c r="A274" s="7" t="str">
        <f ca="1">IF(ISERROR(F263),"",VLOOKUP(C263,INDIRECT($F$8),6+(O274-1)*3,0))</f>
        <v>CAP 009</v>
      </c>
      <c r="B274" s="41" t="str">
        <f ca="1">IF(ISERROR(F263),"",VLOOKUP(D263,INDIRECT($F$8),6+(O274-1)*3,0))</f>
        <v>Seminar</v>
      </c>
      <c r="C274" s="41"/>
      <c r="D274" s="41"/>
      <c r="E274" s="41"/>
      <c r="F274" s="7">
        <f ca="1">IF(ISERROR(F263),"",VLOOKUP(E263,INDIRECT($F$8),6+(O274-1)*3,0))</f>
        <v>2</v>
      </c>
      <c r="G274" s="42" t="str">
        <f ca="1">IF(ISERROR(F263),"",_xlfn.TEXTJOIN("/",FALSE,P274,S274))</f>
        <v>0/0</v>
      </c>
      <c r="H274" s="42"/>
      <c r="I274" s="42" t="str">
        <f ca="1">IF(ISERROR(F263),"",_xlfn.TEXTJOIN("/",FALSE,Q274,T274))</f>
        <v>0/100</v>
      </c>
      <c r="J274" s="42"/>
      <c r="K274" s="42" t="str">
        <f ca="1">IF(ISERROR(F263),"",_xlfn.TEXTJOIN("/",FALSE,R274,U274))</f>
        <v>0/100</v>
      </c>
      <c r="L274" s="42"/>
      <c r="M274" s="7" t="str">
        <f ca="1">IF(ISERROR(F263),"",IF(ISTEXT(P274),IF(P274="A","Ab",IF(P274="D","Dt",IF(P274="UFM","UFM",IF(P274="NA","")))),IF(AND(ISBLANK(P274),ISBLANK(R274)),"",IF(P274&lt;0.3*S274,"F",IF(ISBLANK(R274),"",IF(ISTEXT(R274),R274,IF(R274&gt;=0.9*U274,"O",IF(R274&gt;=0.85*U274,"A+",IF(R274&gt;=0.8*U274,"A",IF(R274&gt;=0.7*U274,"B+",IF(R274&gt;=0.6*U274,"B",IF(R274&gt;=0.5*U274,"C",IF(R274&gt;=0.4*U274,"P",IF(R274&lt;0.4*U274,"F",R274))))))))))))))</f>
        <v>F</v>
      </c>
      <c r="N274" s="8">
        <f t="shared" ca="1" si="30"/>
        <v>0</v>
      </c>
      <c r="O274">
        <f t="shared" ca="1" si="31"/>
        <v>9</v>
      </c>
      <c r="P274" s="1">
        <f ca="1">IF(ISERROR(F263),"",IF(ISTEXT(VLOOKUP(B263,INDIRECT($F$8),6+(O274-1)*3)),(VLOOKUP(B263,INDIRECT($F$8),6+(O274-1)*3)),SUM(VLOOKUP(B263,INDIRECT($F$8),6+(O274-1)*3),IF(W276,W274,0))))</f>
        <v>0</v>
      </c>
      <c r="Q274" s="1">
        <f ca="1">IF(ISERROR(F263),"",VLOOKUP(B263,INDIRECT($F$8),7+(O274-1)*3))</f>
        <v>0</v>
      </c>
      <c r="R274" s="1">
        <f ca="1">IF(ISERROR(F263),"",SUM(P274:Q274))</f>
        <v>0</v>
      </c>
      <c r="S274" s="1">
        <f ca="1">IF(ISERROR(F263),"",VLOOKUP(A263,INDIRECT($F$8),6+(O274-1)*3))</f>
        <v>0</v>
      </c>
      <c r="T274" s="1">
        <f ca="1">IF(ISERROR(F263),"",VLOOKUP(A263,INDIRECT($F$8),7+(O274-1)*3))</f>
        <v>100</v>
      </c>
      <c r="U274" s="1">
        <f ca="1">IF(ISERROR(F263),"",VLOOKUP(A263,INDIRECT($F$8),8+(O274-1)*3))</f>
        <v>100</v>
      </c>
      <c r="V274" s="1" t="str">
        <f ca="1">IF(ISERROR(F263),"",IF(N274=0,A274,""))</f>
        <v>CAP 009</v>
      </c>
      <c r="W274" s="1">
        <f ca="1">IF(ISERROR(F263),"",IF(ISTEXT(VLOOKUP(B263,INDIRECT($F$8),6+(O274-1)*3)),11,IF(VLOOKUP(B263,INDIRECT($F$8),6+(O274-1)*3)&lt;S274*0.3,IF(VLOOKUP(B263,INDIRECT($F$8),8+(O274-1)*3)&lt;U274*0.4,IF(AND(0.4*U274-VLOOKUP(B263,INDIRECT($F$8),8+(O274-1)*3)&lt;=5,0.3*S274-VLOOKUP(B263,INDIRECT($F$8),6+(O274-1)*3)&lt;=5),MAX(0.4*U274-VLOOKUP(B263,INDIRECT($F$8),8+(O274-1)*3),0.3*S274-VLOOKUP(B263,INDIRECT($F$8),6+(O274-1)*3)),11),IF(0.3*S274-VLOOKUP(B263,INDIRECT($F$8),6+(O274-1)*3)&lt;=5,0.3*S274-VLOOKUP(B263,INDIRECT($F$8),6+(O274-1)*3),11)),IF(VLOOKUP(B263,INDIRECT($F$8),8+(O274-1)*3)&lt;U274*0.4,IF(U274*0.4-VLOOKUP(B263,INDIRECT($F$8),8+(O274-1)*3)&lt;=5,U274*0.4-VLOOKUP(B263,INDIRECT($F$8),8+(O274-1)*3),11),0))))</f>
        <v>11</v>
      </c>
      <c r="X274" s="1" t="str">
        <f ca="1">IF(ISERROR(F263),"",IF(W274=0,"",_xlfn.TEXTJOIN("",FALSE," G+",W274," in ",A274)))</f>
        <v xml:space="preserve"> G+11 in CAP 009</v>
      </c>
    </row>
    <row r="275" spans="1:24" ht="14.25" customHeight="1" x14ac:dyDescent="0.2">
      <c r="A275" s="7" t="str">
        <f ca="1">IF(ISERROR(F263),"",VLOOKUP(C263,INDIRECT($F$8),6+(O275-1)*3,0))</f>
        <v>CAP 010</v>
      </c>
      <c r="B275" s="41" t="str">
        <f ca="1">IF(ISERROR(F263),"",VLOOKUP(D263,INDIRECT($F$8),6+(O275-1)*3-Z275,0))</f>
        <v>Minor Project</v>
      </c>
      <c r="C275" s="41"/>
      <c r="D275" s="41"/>
      <c r="E275" s="41"/>
      <c r="F275" s="7">
        <f ca="1">IF(ISERROR(F263),"",VLOOKUP(E263,INDIRECT($F$8),6+(O275-1)*3,0))</f>
        <v>2</v>
      </c>
      <c r="G275" s="42" t="str">
        <f ca="1">IF(ISERROR(F263),"",_xlfn.TEXTJOIN("/",FALSE,P275,S275))</f>
        <v>0/50</v>
      </c>
      <c r="H275" s="42"/>
      <c r="I275" s="42" t="str">
        <f ca="1">IF(ISERROR(F263),"",_xlfn.TEXTJOIN("/",FALSE,Q275,T275))</f>
        <v>0/50</v>
      </c>
      <c r="J275" s="42"/>
      <c r="K275" s="42" t="str">
        <f ca="1">IF(ISERROR(F263),"",_xlfn.TEXTJOIN("/",FALSE,R275,U275))</f>
        <v>0/100</v>
      </c>
      <c r="L275" s="42"/>
      <c r="M275" s="7" t="str">
        <f ca="1">IF(ISERROR(F263),"",IF(ISTEXT(P275),IF(P275="A","Ab",IF(P275="D","Dt",IF(P275="UFM","UFM",IF(P275="NA","")))),IF(AND(ISBLANK(P275),ISBLANK(R275)),"",IF(P275&lt;0.3*S275,"F",IF(ISBLANK(R275),"",IF(ISTEXT(R275),R275,IF(R275&gt;=0.9*U275,"O",IF(R275&gt;=0.85*U275,"A+",IF(R275&gt;=0.8*U275,"A",IF(R275&gt;=0.7*U275,"B+",IF(R275&gt;=0.6*U275,"B",IF(R275&gt;=0.5*U275,"C",IF(R275&gt;=0.4*U275,"P",IF(R275&lt;0.4*U275,"F",R275))))))))))))))</f>
        <v>F</v>
      </c>
      <c r="N275" s="8">
        <f t="shared" ca="1" si="30"/>
        <v>0</v>
      </c>
      <c r="O275">
        <f t="shared" ca="1" si="31"/>
        <v>10</v>
      </c>
      <c r="P275" s="1">
        <f ca="1">IF(ISERROR(F263),"",IF(ISTEXT(VLOOKUP(B263,INDIRECT($F$8),6+(O275-1)*3)),(VLOOKUP(B263,INDIRECT($F$8),6+(O275-1)*3)),SUM(VLOOKUP(B263,INDIRECT($F$8),6+(O275-1)*3),IF(W276,W275,0))))</f>
        <v>0</v>
      </c>
      <c r="Q275" s="1">
        <f ca="1">IF(ISERROR(F263),"",VLOOKUP(B263,INDIRECT($F$8),7+(O275-1)*3))</f>
        <v>0</v>
      </c>
      <c r="R275" s="1">
        <f ca="1">IF(ISERROR(F263),"",SUM(P275:Q275))</f>
        <v>0</v>
      </c>
      <c r="S275" s="1">
        <f ca="1">IF(ISERROR(F263),"",VLOOKUP(A263,INDIRECT($F$8),6+(O275-1)*3))</f>
        <v>50</v>
      </c>
      <c r="T275" s="1">
        <f ca="1">IF(ISERROR(F263),"",VLOOKUP(A263,INDIRECT($F$8),7+(O275-1)*3))</f>
        <v>50</v>
      </c>
      <c r="U275" s="1">
        <f ca="1">IF(ISERROR(F263),"",VLOOKUP(A263,INDIRECT($F$8),8+(O275-1)*3))</f>
        <v>100</v>
      </c>
      <c r="V275" s="1" t="str">
        <f ca="1">IF(ISERROR(F263),"",IF(N275=0,A275,""))</f>
        <v>CAP 010</v>
      </c>
      <c r="W275" s="1">
        <f ca="1">IF(ISERROR(F263),"",IF(ISTEXT(VLOOKUP(B263,INDIRECT($F$8),6+(O275-1)*3)),11,IF(VLOOKUP(B263,INDIRECT($F$8),6+(O275-1)*3)&lt;S275*0.3,IF(VLOOKUP(B263,INDIRECT($F$8),8+(O275-1)*3)&lt;U275*0.4,IF(AND(0.4*U275-VLOOKUP(B263,INDIRECT($F$8),8+(O275-1)*3)&lt;=5,0.3*S275-VLOOKUP(B263,INDIRECT($F$8),6+(O275-1)*3)&lt;=5),MAX(0.4*U275-VLOOKUP(B263,INDIRECT($F$8),8+(O275-1)*3),0.3*S275-VLOOKUP(B263,INDIRECT($F$8),6+(O275-1)*3)),11),IF(0.3*S275-VLOOKUP(B263,INDIRECT($F$8),6+(O275-1)*3)&lt;=5,0.3*S275-VLOOKUP(B263,INDIRECT($F$8),6+(O275-1)*3),11)),IF(VLOOKUP(B263,INDIRECT($F$8),8+(O275-1)*3)&lt;U275*0.4,IF(U275*0.4-VLOOKUP(B263,INDIRECT($F$8),8+(O275-1)*3)&lt;=5,U275*0.4-VLOOKUP(B263,INDIRECT($F$8),8+(O275-1)*3),11),0))))</f>
        <v>11</v>
      </c>
      <c r="X275" s="1" t="str">
        <f ca="1">IF(ISERROR(F263),"",IF(W275=0,"",_xlfn.TEXTJOIN("",FALSE," G+",W275," in ",A275)))</f>
        <v xml:space="preserve"> G+11 in CAP 010</v>
      </c>
    </row>
    <row r="276" spans="1:24" ht="14.25" customHeight="1" x14ac:dyDescent="0.2">
      <c r="A276" s="43" t="str">
        <f ca="1">IF(ISERROR(F263),"",A259)</f>
        <v>Total Credits/ Marks/ Total Grade Points</v>
      </c>
      <c r="B276" s="43"/>
      <c r="C276" s="43"/>
      <c r="D276" s="43"/>
      <c r="E276" s="43"/>
      <c r="F276" s="10">
        <f ca="1">IF(ISERROR(F263),"",SUM(F268:F275))</f>
        <v>16</v>
      </c>
      <c r="G276" s="44" t="str">
        <f ca="1">IF(ISERROR(F263),"",_xlfn.TEXTJOIN("/",TRUE,SUMIF(F268:F275,"&gt;0",P268:P275),SUMIF(F268:F275,"&gt;0",S268:S275)))</f>
        <v>0/380</v>
      </c>
      <c r="H276" s="44"/>
      <c r="I276" s="44" t="str">
        <f ca="1">IF(ISERROR(F263),"",_xlfn.TEXTJOIN("/",TRUE,SUMIF(F268:F275,"&gt;0",Q268:Q275),SUMIF(F268:F275,"&gt;0",T268:T275)))</f>
        <v>0/320</v>
      </c>
      <c r="J276" s="44"/>
      <c r="K276" s="44" t="str">
        <f ca="1">IF(ISERROR(F263),"",_xlfn.TEXTJOIN("/",TRUE,SUMIF(F268:F275,"&gt;0",R268:R275),SUMIF(F268:F275,"&gt;0",U268:U275)))</f>
        <v>0/700</v>
      </c>
      <c r="L276" s="44"/>
      <c r="M276" s="43" t="e">
        <f ca="1">IF(ISERROR(F263),"",SUMPRODUCT(N268:N275,F268:F275))</f>
        <v>#N/A</v>
      </c>
      <c r="N276" s="43"/>
      <c r="V276" s="1" t="e">
        <f ca="1">IF(ISERROR(F263),"",_xlfn.TEXTJOIN(", ",TRUE,V268:V275))</f>
        <v>#N/A</v>
      </c>
      <c r="W276" t="b">
        <f ca="1">IF(ISERROR(F263),"",IF(SUM(W268:W275)&lt;=W267,TRUE,FALSE))</f>
        <v>0</v>
      </c>
      <c r="X276" s="1" t="str">
        <f ca="1">IF(ISERROR(F263),"",_xlfn.TEXTJOIN(",",TRUE,X268:X275))</f>
        <v xml:space="preserve"> G+11 in CAT  014, G+11 in CAT 015, G+11 in Enroll No., G+11 in Enroll No., G+11 in AHT 310, G+11 in CAP 008, G+11 in CAP 009, G+11 in CAP 010</v>
      </c>
    </row>
    <row r="277" spans="1:24" ht="14.25" customHeight="1" x14ac:dyDescent="0.2">
      <c r="A277" s="43" t="str">
        <f ca="1">IF(ISERROR(F263),"",A260)</f>
        <v>Result:</v>
      </c>
      <c r="B277" s="45" t="e">
        <f ca="1">IF(ISERROR(F263),"",IF(V276="","PASS","CARRY OVER"))</f>
        <v>#N/A</v>
      </c>
      <c r="C277" s="45"/>
      <c r="D277" s="43" t="str">
        <f ca="1">IF(ISERROR(F263),"",D260)</f>
        <v>Remark:</v>
      </c>
      <c r="E277" s="45" t="e">
        <f ca="1">IF(ISERROR(F263),"",IF(V276="",IF(X276="","",X276),_xlfn.TEXTJOIN(" ",TRUE,"BACK IN",V276)))</f>
        <v>#N/A</v>
      </c>
      <c r="F277" s="45"/>
      <c r="G277" s="43" t="str">
        <f ca="1">IF(ISERROR(F263),"",G260)</f>
        <v>SGPA:</v>
      </c>
      <c r="H277" s="46" t="e">
        <f ca="1">IF(ISERROR(F263),"",M276/F276)</f>
        <v>#N/A</v>
      </c>
      <c r="I277" s="43" t="str">
        <f ca="1">IF(ISERROR(F263),"",I260)</f>
        <v>CGPA:</v>
      </c>
      <c r="J277" s="46" t="e">
        <f ca="1">IF(ISERROR(F263),"",VLOOKUP(B263,INDIRECT($F$8),12+(O275-1)*3,0))</f>
        <v>#N/A</v>
      </c>
      <c r="K277" s="45" t="str">
        <f ca="1">IF(ISERROR(F263),"",K260)</f>
        <v>Earned Credits:</v>
      </c>
      <c r="L277" s="43">
        <f ca="1">IF(ISERROR(F263),"",SUMIF(N268:N275,"&gt;0",F268:F275))</f>
        <v>0</v>
      </c>
      <c r="M277" s="45" t="str">
        <f ca="1">IF(ISERROR(F263),"",M260)</f>
        <v>Cuml. Earned Credits:</v>
      </c>
      <c r="N277" s="43" t="e">
        <f ca="1">IF(ISERROR(F263),"",VLOOKUP(B263,INDIRECT($F$8),10+(O275-1)*3,0))</f>
        <v>#N/A</v>
      </c>
    </row>
    <row r="278" spans="1:24" ht="14.25" customHeight="1" x14ac:dyDescent="0.2">
      <c r="A278" s="43"/>
      <c r="B278" s="45"/>
      <c r="C278" s="45"/>
      <c r="D278" s="43"/>
      <c r="E278" s="45"/>
      <c r="F278" s="45"/>
      <c r="G278" s="43"/>
      <c r="H278" s="46"/>
      <c r="I278" s="43"/>
      <c r="J278" s="46"/>
      <c r="K278" s="45"/>
      <c r="L278" s="43"/>
      <c r="M278" s="45"/>
      <c r="N278" s="43"/>
    </row>
    <row r="279" spans="1:24" ht="14.25" customHeight="1" x14ac:dyDescent="0.2">
      <c r="A279" s="43"/>
      <c r="B279" s="45"/>
      <c r="C279" s="45"/>
      <c r="D279" s="43"/>
      <c r="E279" s="45"/>
      <c r="F279" s="45"/>
      <c r="G279" s="43"/>
      <c r="H279" s="46"/>
      <c r="I279" s="43"/>
      <c r="J279" s="46"/>
      <c r="K279" s="45"/>
      <c r="L279" s="43"/>
      <c r="M279" s="45"/>
      <c r="N279" s="43"/>
    </row>
    <row r="280" spans="1:24" ht="14.25" customHeight="1" x14ac:dyDescent="0.2">
      <c r="A280" s="11" t="str">
        <f>A263</f>
        <v>MM</v>
      </c>
      <c r="B280" s="11">
        <f>B263+1</f>
        <v>17</v>
      </c>
      <c r="C280" s="11" t="str">
        <f>C263</f>
        <v>SC</v>
      </c>
      <c r="D280" s="11" t="str">
        <f>D263</f>
        <v>SN</v>
      </c>
      <c r="E280" s="11" t="str">
        <f>E263</f>
        <v>C</v>
      </c>
      <c r="F280" s="11" t="str">
        <f ca="1">VLOOKUP(B280,INDIRECT($F$8),4,0)</f>
        <v>PRIYANSHU BHATT</v>
      </c>
    </row>
    <row r="281" spans="1:24" ht="14.25" customHeight="1" x14ac:dyDescent="0.2">
      <c r="A281" s="47" t="str">
        <f ca="1">IF(ISERROR(F280),"",A264)</f>
        <v>Name:</v>
      </c>
      <c r="B281" s="47" t="str">
        <f ca="1">IFERROR(VLOOKUP(B280,INDIRECT($F$8),4,0),"")</f>
        <v>PRIYANSHU BHATT</v>
      </c>
      <c r="C281" s="47"/>
      <c r="D281" s="47" t="str">
        <f ca="1">IF(ISERROR(F280),"",D264)</f>
        <v>Father's Name:</v>
      </c>
      <c r="E281" s="47" t="str">
        <f ca="1">IFERROR(VLOOKUP(B280,INDIRECT($F$8),5,0),"")</f>
        <v>DINESH BHATT</v>
      </c>
      <c r="F281" s="47"/>
      <c r="G281" s="47" t="str">
        <f ca="1">IF(ISERROR(F280),"",G264)</f>
        <v>University Roll No:</v>
      </c>
      <c r="H281" s="47"/>
      <c r="I281" s="48">
        <f ca="1">IFERROR(VLOOKUP(B280,INDIRECT($F$8),2,0),"")</f>
        <v>240090600017</v>
      </c>
      <c r="J281" s="48"/>
      <c r="K281" s="47" t="str">
        <f ca="1">IF(ISERROR(F280),"",K264)</f>
        <v>University Enrol. No:</v>
      </c>
      <c r="L281" s="47"/>
      <c r="M281" s="48" t="str">
        <f ca="1">IFERROR(VLOOKUP(B280,INDIRECT($F$8),3,0),"")</f>
        <v>UTU/2406100180</v>
      </c>
      <c r="N281" s="48"/>
    </row>
    <row r="282" spans="1:24" ht="14.25" customHeight="1" x14ac:dyDescent="0.2">
      <c r="A282" s="47"/>
      <c r="B282" s="47"/>
      <c r="C282" s="47"/>
      <c r="D282" s="47"/>
      <c r="E282" s="47"/>
      <c r="F282" s="47"/>
      <c r="G282" s="47"/>
      <c r="H282" s="47"/>
      <c r="I282" s="48"/>
      <c r="J282" s="48"/>
      <c r="K282" s="47"/>
      <c r="L282" s="47"/>
      <c r="M282" s="48"/>
      <c r="N282" s="48"/>
    </row>
    <row r="283" spans="1:24" ht="14.25" customHeight="1" x14ac:dyDescent="0.2">
      <c r="A283" s="45" t="str">
        <f ca="1">IF(ISERROR(F280),"",A266)</f>
        <v>Subject Code</v>
      </c>
      <c r="B283" s="45" t="str">
        <f ca="1">IF(ISERROR(F280),"",B266)</f>
        <v>Subject Name</v>
      </c>
      <c r="C283" s="45"/>
      <c r="D283" s="45"/>
      <c r="E283" s="45"/>
      <c r="F283" s="45" t="str">
        <f ca="1">IF(ISERROR(F280),"",F266)</f>
        <v>Credits</v>
      </c>
      <c r="G283" s="45" t="str">
        <f ca="1">IF(ISERROR(F280),"",G266)</f>
        <v>External Marks</v>
      </c>
      <c r="H283" s="45"/>
      <c r="I283" s="45" t="str">
        <f ca="1">IF(ISERROR(F280),"",I266)</f>
        <v>Sessional Marks</v>
      </c>
      <c r="J283" s="45"/>
      <c r="K283" s="45" t="str">
        <f ca="1">IF(ISERROR(F280),"",K266)</f>
        <v>Total Marks</v>
      </c>
      <c r="L283" s="45"/>
      <c r="M283" s="45" t="str">
        <f ca="1">IF(ISERROR(F280),"",M266)</f>
        <v>Grade</v>
      </c>
      <c r="N283" s="45" t="str">
        <f ca="1">IF(ISERROR(F280),"",N266)</f>
        <v>Grade Points</v>
      </c>
    </row>
    <row r="284" spans="1:24" ht="14.25" customHeight="1" x14ac:dyDescent="0.2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W284">
        <f ca="1">IF(ISNUMBER(MATCH($F$8,{"I","III","V","VII"},0)),10,10-INDEX(INDIRECT(_xlfn.TEXTJOIN("",TRUE,"SEM_",$G$8,"!",ADDRESS(6,4+$I$8*3+4),":",ADDRESS(5+$H$8,4+$I$8*3+4))),MATCH(INDIRECT(_xlfn.TEXTJOIN("",TRUE,"TC_",$F$8,"!",ADDRESS(ROW(I281),COLUMN(I281)))),INDIRECT(_xlfn.TEXTJOIN("",TRUE,"SEM_",$G$8,"!",ADDRESS(6,2),":",ADDRESS(5+$H$8,2))))))</f>
        <v>10</v>
      </c>
    </row>
    <row r="285" spans="1:24" ht="14.25" customHeight="1" x14ac:dyDescent="0.2">
      <c r="A285" s="7" t="str">
        <f ca="1">IF(ISERROR(F280),"",VLOOKUP(C280,INDIRECT($F$8),6+(O285-1)*3,0))</f>
        <v>CAT  014</v>
      </c>
      <c r="B285" s="41" t="str">
        <f ca="1">IF(ISERROR(F280),"",VLOOKUP(D280,INDIRECT($F$8),6+(O285-1)*3,0))</f>
        <v>Graph Theory</v>
      </c>
      <c r="C285" s="41"/>
      <c r="D285" s="41"/>
      <c r="E285" s="41"/>
      <c r="F285" s="7">
        <f ca="1">IF(ISERROR(F280),"",VLOOKUP(E280,INDIRECT($F$8),6+(O285-1)*3,0))</f>
        <v>4</v>
      </c>
      <c r="G285" s="42" t="str">
        <f ca="1">IF(ISERROR(F280),"",_xlfn.TEXTJOIN("/",FALSE,P285,S285))</f>
        <v>0/100</v>
      </c>
      <c r="H285" s="42"/>
      <c r="I285" s="42" t="str">
        <f ca="1">IF(ISERROR(F280),"",_xlfn.TEXTJOIN("/",FALSE,Q285,T285))</f>
        <v>0/50</v>
      </c>
      <c r="J285" s="42"/>
      <c r="K285" s="42" t="str">
        <f ca="1">IF(ISERROR(F280),"",_xlfn.TEXTJOIN("/",FALSE,R285,U285))</f>
        <v>0/150</v>
      </c>
      <c r="L285" s="42"/>
      <c r="M285" s="7" t="str">
        <f ca="1">IF(ISERROR(F280),"",IF(ISTEXT(P285),IF(P285="A","Ab",IF(P285="D","Dt",IF(P285="UFM","UFM",IF(P285="NA","")))),IF(AND(ISBLANK(P285),ISBLANK(R285)),"",IF(P285&lt;0.3*S285,"F",IF(ISBLANK(R285),"",IF(ISTEXT(R285),R285,IF(R285&gt;=0.9*U285,"O",IF(R285&gt;=0.85*U285,"A+",IF(R285&gt;=0.8*U285,"A",IF(R285&gt;=0.7*U285,"B+",IF(R285&gt;=0.6*U285,"B",IF(R285&gt;=0.5*U285,"C",IF(R285&gt;=0.4*U285,"P",IF(R285&lt;0.4*U285,"F",R285))))))))))))))</f>
        <v>F</v>
      </c>
      <c r="N285" s="8">
        <f t="shared" ref="N285:N292" ca="1" si="32">INDEX($Z$2:$Z$13,MATCH(M285,$Y$2:$Y$13,0))</f>
        <v>0</v>
      </c>
      <c r="O285">
        <v>1</v>
      </c>
      <c r="P285" s="1">
        <f ca="1">IF(ISERROR(F280),"",IF(ISTEXT(VLOOKUP(B280,INDIRECT($F$8),6+(O285-1)*3)),(VLOOKUP(B280,INDIRECT($F$8),6+(O285-1)*3)),SUM(VLOOKUP(B280,INDIRECT($F$8),6+(O285-1)*3),IF(W293,W285,0))))</f>
        <v>0</v>
      </c>
      <c r="Q285" s="1">
        <f ca="1">IF(ISERROR(F280),"",VLOOKUP(B280,INDIRECT($F$8),7+(O285-1)*3))</f>
        <v>0</v>
      </c>
      <c r="R285" s="1">
        <f ca="1">IF(ISERROR(F280),"",SUM(P285:Q285))</f>
        <v>0</v>
      </c>
      <c r="S285" s="1">
        <f ca="1">IF(ISERROR(F280),"",VLOOKUP(A280,INDIRECT($F$8),6+(O285-1)*3))</f>
        <v>100</v>
      </c>
      <c r="T285" s="1">
        <f ca="1">IF(ISERROR(F280),"",VLOOKUP(A280,INDIRECT($F$8),7+(O285-1)*3))</f>
        <v>50</v>
      </c>
      <c r="U285" s="1">
        <f ca="1">IF(ISERROR(F280),"",VLOOKUP(A280,INDIRECT($F$8),8+(O285-1)*3))</f>
        <v>150</v>
      </c>
      <c r="V285" s="1" t="str">
        <f ca="1">IF(ISERROR(F280),"",IF(N285=0,A285,""))</f>
        <v>CAT  014</v>
      </c>
      <c r="W285" s="1">
        <f ca="1">IF(ISERROR(F280),"",IF(ISTEXT(VLOOKUP(B280,INDIRECT($F$8),6+(O285-1)*3)),11,IF(VLOOKUP(B280,INDIRECT($F$8),6+(O285-1)*3)&lt;S285*0.3,IF(VLOOKUP(B280,INDIRECT($F$8),8+(O285-1)*3)&lt;U285*0.4,IF(AND(0.4*U285-VLOOKUP(B280,INDIRECT($F$8),8+(O285-1)*3)&lt;=5,0.3*S285-VLOOKUP(B280,INDIRECT($F$8),6+(O285-1)*3)&lt;=5),MAX(0.4*U285-VLOOKUP(B280,INDIRECT($F$8),8+(O285-1)*3),0.3*S285-VLOOKUP(B280,INDIRECT($F$8),6+(O285-1)*3)),11),IF(0.3*S285-VLOOKUP(B280,INDIRECT($F$8),6+(O285-1)*3)&lt;=5,0.3*S285-VLOOKUP(B280,INDIRECT($F$8),6+(O285-1)*3),11)),IF(VLOOKUP(B280,INDIRECT($F$8),8+(O285-1)*3)&lt;U285*0.4,IF(U285*0.4-VLOOKUP(B280,INDIRECT($F$8),8+(O285-1)*3)&lt;=5,U285*0.4-VLOOKUP(B280,INDIRECT($F$8),8+(O285-1)*3),11),0))))</f>
        <v>11</v>
      </c>
      <c r="X285" s="1" t="str">
        <f ca="1">IF(ISERROR(F280),"",IF(W285=0,"",_xlfn.TEXTJOIN("",FALSE," G+",W285," in ",A285)))</f>
        <v xml:space="preserve"> G+11 in CAT  014</v>
      </c>
    </row>
    <row r="286" spans="1:24" ht="14.25" customHeight="1" x14ac:dyDescent="0.2">
      <c r="A286" s="7" t="str">
        <f ca="1">IF(ISERROR(F280),"",VLOOKUP(C280,INDIRECT($F$8),6+(O286-1)*3,0))</f>
        <v>CAT 015</v>
      </c>
      <c r="B286" s="41" t="str">
        <f ca="1">IF(ISERROR(F280),"",VLOOKUP(D280,INDIRECT($F$8),6+(O286-1)*3,0))</f>
        <v>Software Engineering</v>
      </c>
      <c r="C286" s="41"/>
      <c r="D286" s="41"/>
      <c r="E286" s="41"/>
      <c r="F286" s="7">
        <f ca="1">IF(ISERROR(F280),"",VLOOKUP(E280,INDIRECT($F$8),6+(O286-1)*3,0))</f>
        <v>4</v>
      </c>
      <c r="G286" s="42" t="str">
        <f ca="1">IF(ISERROR(F280),"",_xlfn.TEXTJOIN("/",FALSE,P286,S286))</f>
        <v>0/100</v>
      </c>
      <c r="H286" s="42"/>
      <c r="I286" s="42" t="str">
        <f ca="1">IF(ISERROR(F280),"",_xlfn.TEXTJOIN("/",FALSE,Q286,T286))</f>
        <v>0/50</v>
      </c>
      <c r="J286" s="42"/>
      <c r="K286" s="42" t="str">
        <f ca="1">IF(ISERROR(F280),"",_xlfn.TEXTJOIN("/",FALSE,R286,U286))</f>
        <v>0/150</v>
      </c>
      <c r="L286" s="42"/>
      <c r="M286" s="7" t="str">
        <f ca="1">IF(ISERROR(F280),"",IF(ISTEXT(P286),IF(P286="A","Ab",IF(P286="D","Dt",IF(P286="UFM","UFM",IF(P286="NA","")))),IF(AND(ISBLANK(P286),ISBLANK(R286)),"",IF(P286&lt;0.3*S286,"F",IF(ISBLANK(R286),"",IF(ISTEXT(R286),R286,IF(R286&gt;=0.9*U286,"O",IF(R286&gt;=0.85*U286,"A+",IF(R286&gt;=0.8*U286,"A",IF(R286&gt;=0.7*U286,"B+",IF(R286&gt;=0.6*U286,"B",IF(R286&gt;=0.5*U286,"C",IF(R286&gt;=0.4*U286,"P",IF(R286&lt;0.4*U286,"F",R286))))))))))))))</f>
        <v>F</v>
      </c>
      <c r="N286" s="8">
        <f t="shared" ca="1" si="32"/>
        <v>0</v>
      </c>
      <c r="O286">
        <f>O285+1</f>
        <v>2</v>
      </c>
      <c r="P286" s="1">
        <f ca="1">IF(ISERROR(F280),"",IF(ISTEXT(VLOOKUP(B280,INDIRECT($F$8),6+(O286-1)*3)),(VLOOKUP(B280,INDIRECT($F$8),6+(O286-1)*3)),SUM(VLOOKUP(B280,INDIRECT($F$8),6+(O286-1)*3),IF(W293,W286,0))))</f>
        <v>0</v>
      </c>
      <c r="Q286" s="1">
        <f ca="1">IF(ISERROR(F280),"",VLOOKUP(B280,INDIRECT($F$8),7+(O286-1)*3))</f>
        <v>0</v>
      </c>
      <c r="R286" s="1">
        <f ca="1">IF(ISERROR(F280),"",SUM(P286:Q286))</f>
        <v>0</v>
      </c>
      <c r="S286" s="1">
        <f ca="1">IF(ISERROR(F280),"",VLOOKUP(A280,INDIRECT($F$8),6+(O286-1)*3))</f>
        <v>100</v>
      </c>
      <c r="T286" s="1">
        <f ca="1">IF(ISERROR(F280),"",VLOOKUP(A280,INDIRECT($F$8),7+(O286-1)*3))</f>
        <v>50</v>
      </c>
      <c r="U286" s="1">
        <f ca="1">IF(ISERROR(F280),"",VLOOKUP(A280,INDIRECT($F$8),8+(O286-1)*3))</f>
        <v>150</v>
      </c>
      <c r="V286" s="1" t="str">
        <f ca="1">IF(ISERROR(F280),"",IF(N286=0,A286,""))</f>
        <v>CAT 015</v>
      </c>
      <c r="W286" s="1">
        <f ca="1">IF(ISERROR(F280),"",IF(ISTEXT(VLOOKUP(B280,INDIRECT($F$8),6+(O286-1)*3)),11,IF(VLOOKUP(B280,INDIRECT($F$8),6+(O286-1)*3)&lt;S286*0.3,IF(VLOOKUP(B280,INDIRECT($F$8),8+(O286-1)*3)&lt;U286*0.4,IF(AND(0.4*U286-VLOOKUP(B280,INDIRECT($F$8),8+(O286-1)*3)&lt;=5,0.3*S286-VLOOKUP(B280,INDIRECT($F$8),6+(O286-1)*3)&lt;=5),MAX(0.4*U286-VLOOKUP(B280,INDIRECT($F$8),8+(O286-1)*3),0.3*S286-VLOOKUP(B280,INDIRECT($F$8),6+(O286-1)*3)),11),IF(0.3*S286-VLOOKUP(B280,INDIRECT($F$8),6+(O286-1)*3)&lt;=5,0.3*S286-VLOOKUP(B280,INDIRECT($F$8),6+(O286-1)*3),11)),IF(VLOOKUP(B280,INDIRECT($F$8),8+(O286-1)*3)&lt;U286*0.4,IF(U286*0.4-VLOOKUP(B280,INDIRECT($F$8),8+(O286-1)*3)&lt;=5,U286*0.4-VLOOKUP(B280,INDIRECT($F$8),8+(O286-1)*3),11),0))))</f>
        <v>11</v>
      </c>
      <c r="X286" s="1" t="str">
        <f ca="1">IF(ISERROR(F280),"",IF(W286=0,"",_xlfn.TEXTJOIN("",FALSE," G+",W286," in ",A286)))</f>
        <v xml:space="preserve"> G+11 in CAT 015</v>
      </c>
    </row>
    <row r="287" spans="1:24" ht="14.25" customHeight="1" x14ac:dyDescent="0.2">
      <c r="A287" s="7" t="str">
        <f ca="1">IF(ISERROR(F280),"",VLOOKUP(C280,INDIRECT($F$8),6+(O287-1)*3,0))</f>
        <v>Enroll No.</v>
      </c>
      <c r="B287" s="41">
        <f ca="1">IF(ISERROR(F280),"",VLOOKUP(D280,INDIRECT($F$8),6+(O287-1)*3,0))</f>
        <v>0</v>
      </c>
      <c r="C287" s="41"/>
      <c r="D287" s="41"/>
      <c r="E287" s="41"/>
      <c r="F287" s="7">
        <f ca="1">IF(ISERROR(F280),"",VLOOKUP(E280,INDIRECT($F$8),6+(O287-1)*3,0))</f>
        <v>0</v>
      </c>
      <c r="G287" s="42" t="str">
        <f ca="1">IF(ISERROR(F280),"",_xlfn.TEXTJOIN("/",FALSE,P287,S287))</f>
        <v>UTU/2406100180/0</v>
      </c>
      <c r="H287" s="42"/>
      <c r="I287" s="42" t="str">
        <f ca="1">IF(ISERROR(F280),"",_xlfn.TEXTJOIN("/",FALSE,Q287,T287))</f>
        <v>PRIYANSHU BHATT/0</v>
      </c>
      <c r="J287" s="42"/>
      <c r="K287" s="42" t="str">
        <f ca="1">IF(ISERROR(F280),"",_xlfn.TEXTJOIN("/",FALSE,R287,U287))</f>
        <v>0/0</v>
      </c>
      <c r="L287" s="42"/>
      <c r="M287" s="7" t="b">
        <f ca="1">IF(ISERROR(F280),"",IF(ISTEXT(P287),IF(P287="A","Ab",IF(P287="D","Dt",IF(P287="UFM","UFM",IF(P287="NA","")))),IF(AND(ISBLANK(P287),ISBLANK(R287)),"",IF(P287&lt;0.3*S287,"F",IF(ISBLANK(R287),"",IF(ISTEXT(R287),R287,IF(R287&gt;=0.9*U287,"O",IF(R287&gt;=0.85*U287,"A+",IF(R287&gt;=0.8*U287,"A",IF(R287&gt;=0.7*U287,"B+",IF(R287&gt;=0.6*U287,"B",IF(R287&gt;=0.5*U287,"C",IF(R287&gt;=0.4*U287,"P",IF(R287&lt;0.4*U287,"F",R287))))))))))))))</f>
        <v>0</v>
      </c>
      <c r="N287" s="8" t="e">
        <f t="shared" ca="1" si="32"/>
        <v>#N/A</v>
      </c>
      <c r="O287" t="b" cm="1">
        <f t="array" aca="1" ref="O287" ca="1">IF(NOT(ISBLANK(INDIRECT("SEM_III!L"&amp;INT((ROW(O287)-15)/17)+6))),3,IF(NOT(ISBLANK(INDIRECT("SEM_III!O"&amp;INT((ROW(O287)-15)/17)+6))),4))</f>
        <v>0</v>
      </c>
      <c r="P287" s="1" t="str">
        <f ca="1">IF(ISERROR(F280),"",IF(ISTEXT(VLOOKUP(B280,INDIRECT($F$8),6+(O287-1)*3)),(VLOOKUP(B280,INDIRECT($F$8),6+(O287-1)*3)),SUM(VLOOKUP(B280,INDIRECT($F$8),6+(O287-1)*3),IF(W293,W287,0))))</f>
        <v>UTU/2406100180</v>
      </c>
      <c r="Q287" s="1" t="str">
        <f ca="1">IF(ISERROR(F280),"",VLOOKUP(B280,INDIRECT($F$8),7+(O287-1)*3))</f>
        <v>PRIYANSHU BHATT</v>
      </c>
      <c r="R287" s="1">
        <f ca="1">IF(ISERROR(F280),"",SUM(P287:Q287))</f>
        <v>0</v>
      </c>
      <c r="S287" s="1">
        <f ca="1">IF(ISERROR(F280),"",VLOOKUP(A280,INDIRECT($F$8),6+(O287-1)*3))</f>
        <v>0</v>
      </c>
      <c r="T287" s="1">
        <f ca="1">IF(ISERROR(F280),"",VLOOKUP(A280,INDIRECT($F$8),7+(O287-1)*3))</f>
        <v>0</v>
      </c>
      <c r="U287" s="1">
        <f ca="1">IF(ISERROR(F280),"",VLOOKUP(A280,INDIRECT($F$8),8+(O287-1)*3))</f>
        <v>0</v>
      </c>
      <c r="V287" s="1" t="e">
        <f ca="1">IF(ISERROR(F280),"",IF(N287=0,A287,""))</f>
        <v>#N/A</v>
      </c>
      <c r="W287" s="1">
        <f ca="1">IF(ISERROR(F280),"",IF(ISTEXT(VLOOKUP(B280,INDIRECT($F$8),6+(O287-1)*3)),11,IF(VLOOKUP(B280,INDIRECT($F$8),6+(O287-1)*3)&lt;S287*0.3,IF(VLOOKUP(B280,INDIRECT($F$8),8+(O287-1)*3)&lt;U287*0.4,IF(AND(0.4*U287-VLOOKUP(B280,INDIRECT($F$8),8+(O287-1)*3)&lt;=5,0.3*S287-VLOOKUP(B280,INDIRECT($F$8),6+(O287-1)*3)&lt;=5),MAX(0.4*U287-VLOOKUP(B280,INDIRECT($F$8),8+(O287-1)*3),0.3*S287-VLOOKUP(B280,INDIRECT($F$8),6+(O287-1)*3)),11),IF(0.3*S287-VLOOKUP(B280,INDIRECT($F$8),6+(O287-1)*3)&lt;=5,0.3*S287-VLOOKUP(B280,INDIRECT($F$8),6+(O287-1)*3),11)),IF(VLOOKUP(B280,INDIRECT($F$8),8+(O287-1)*3)&lt;U287*0.4,IF(U287*0.4-VLOOKUP(B280,INDIRECT($F$8),8+(O287-1)*3)&lt;=5,U287*0.4-VLOOKUP(B280,INDIRECT($F$8),8+(O287-1)*3),11),0))))</f>
        <v>11</v>
      </c>
      <c r="X287" s="1" t="str">
        <f ca="1">IF(ISERROR(F280),"",IF(W287=0,"",_xlfn.TEXTJOIN("",FALSE," G+",W287," in ",A287)))</f>
        <v xml:space="preserve"> G+11 in Enroll No.</v>
      </c>
    </row>
    <row r="288" spans="1:24" ht="14.25" customHeight="1" x14ac:dyDescent="0.2">
      <c r="A288" s="7" t="str">
        <f ca="1">IF(ISERROR(F280),"",VLOOKUP(C280,INDIRECT($F$8),6+(O288-1)*3,0))</f>
        <v>Enroll No.</v>
      </c>
      <c r="B288" s="41">
        <f ca="1">IF(ISERROR(F280),"",VLOOKUP(D280,INDIRECT($F$8),6+(O288-1)*3,0))</f>
        <v>0</v>
      </c>
      <c r="C288" s="41"/>
      <c r="D288" s="41"/>
      <c r="E288" s="41"/>
      <c r="F288" s="7">
        <f ca="1">IF(ISERROR(F280),"",VLOOKUP(E280,INDIRECT($F$8),6+(O288-1)*3,0))</f>
        <v>0</v>
      </c>
      <c r="G288" s="42" t="str">
        <f ca="1">IF(ISERROR(F280),"",_xlfn.TEXTJOIN("/",FALSE,P288,S288))</f>
        <v>UTU/2406100180/0</v>
      </c>
      <c r="H288" s="42"/>
      <c r="I288" s="42" t="str">
        <f ca="1">IF(ISERROR(F280),"",_xlfn.TEXTJOIN("/",FALSE,Q288,T288))</f>
        <v>PRIYANSHU BHATT/0</v>
      </c>
      <c r="J288" s="42"/>
      <c r="K288" s="42" t="str">
        <f ca="1">IF(ISERROR(F280),"",_xlfn.TEXTJOIN("/",FALSE,R288,U288))</f>
        <v>0/0</v>
      </c>
      <c r="L288" s="42"/>
      <c r="M288" s="7" t="b">
        <f ca="1">IF(ISERROR(F280),"",IF(ISTEXT(P288),IF(P288="A","Ab",IF(P288="D","Dt",IF(P288="UFM","UFM",IF(P288="NA","")))),IF(AND(ISBLANK(P288),ISBLANK(R288)),"",IF(P288&lt;0.3*S288,"F",IF(ISBLANK(R288),"",IF(ISTEXT(R288),R288,IF(R288&gt;=0.9*U288,"O",IF(R288&gt;=0.85*U288,"A+",IF(R288&gt;=0.8*U288,"A",IF(R288&gt;=0.7*U288,"B+",IF(R288&gt;=0.6*U288,"B",IF(R288&gt;=0.5*U288,"C",IF(R288&gt;=0.4*U288,"P",IF(R288&lt;0.4*U288,"F",R288))))))))))))))</f>
        <v>0</v>
      </c>
      <c r="N288" s="8" t="e">
        <f t="shared" ca="1" si="32"/>
        <v>#N/A</v>
      </c>
      <c r="O288" t="b" cm="1">
        <f t="array" aca="1" ref="O288" ca="1">IF(NOT(ISBLANK(INDIRECT("SEM_III!R"&amp;INT((ROW(O288)-16)/17)+6))),5,IF(NOT(ISBLANK(INDIRECT("SEM_III!U"&amp;INT((ROW(O288)-16)/17)+6))),6))</f>
        <v>0</v>
      </c>
      <c r="P288" s="1" t="str">
        <f ca="1">IF(ISERROR(F280),"",IF(ISTEXT(VLOOKUP(B280,INDIRECT($F$8),6+(O288-1)*3)),(VLOOKUP(B280,INDIRECT($F$8),6+(O288-1)*3)),SUM(VLOOKUP(B280,INDIRECT($F$8),6+(O288-1)*3),IF(W293,W288,0))))</f>
        <v>UTU/2406100180</v>
      </c>
      <c r="Q288" s="1" t="str">
        <f ca="1">IF(ISERROR(F280),"",VLOOKUP(B280,INDIRECT($F$8),7+(O288-1)*3))</f>
        <v>PRIYANSHU BHATT</v>
      </c>
      <c r="R288" s="1">
        <f ca="1">IF(ISERROR(F280),"",SUM(P288:Q288))</f>
        <v>0</v>
      </c>
      <c r="S288" s="1">
        <f ca="1">IF(ISERROR(F280),"",VLOOKUP(A280,INDIRECT($F$8),6+(O288-1)*3))</f>
        <v>0</v>
      </c>
      <c r="T288" s="1">
        <f ca="1">IF(ISERROR(F280),"",VLOOKUP(A280,INDIRECT($F$8),7+(O288-1)*3))</f>
        <v>0</v>
      </c>
      <c r="U288" s="1">
        <f ca="1">IF(ISERROR(F280),"",VLOOKUP(A280,INDIRECT($F$8),8+(O288-1)*3))</f>
        <v>0</v>
      </c>
      <c r="V288" s="1" t="e">
        <f ca="1">IF(ISERROR(F280),"",IF(N288=0,A288,""))</f>
        <v>#N/A</v>
      </c>
      <c r="W288" s="1">
        <f ca="1">IF(ISERROR(F280),"",IF(ISTEXT(VLOOKUP(B280,INDIRECT($F$8),6+(O288-1)*3)),11,IF(VLOOKUP(B280,INDIRECT($F$8),6+(O288-1)*3)&lt;S288*0.3,IF(VLOOKUP(B280,INDIRECT($F$8),8+(O288-1)*3)&lt;U288*0.4,IF(AND(0.4*U288-VLOOKUP(B280,INDIRECT($F$8),8+(O288-1)*3)&lt;=5,0.3*S288-VLOOKUP(B280,INDIRECT($F$8),6+(O288-1)*3)&lt;=5),MAX(0.4*U288-VLOOKUP(B280,INDIRECT($F$8),8+(O288-1)*3),0.3*S288-VLOOKUP(B280,INDIRECT($F$8),6+(O288-1)*3)),11),IF(0.3*S288-VLOOKUP(B280,INDIRECT($F$8),6+(O288-1)*3)&lt;=5,0.3*S288-VLOOKUP(B280,INDIRECT($F$8),6+(O288-1)*3),11)),IF(VLOOKUP(B280,INDIRECT($F$8),8+(O288-1)*3)&lt;U288*0.4,IF(U288*0.4-VLOOKUP(B280,INDIRECT($F$8),8+(O288-1)*3)&lt;=5,U288*0.4-VLOOKUP(B280,INDIRECT($F$8),8+(O288-1)*3),11),0))))</f>
        <v>11</v>
      </c>
      <c r="X288" s="1" t="str">
        <f ca="1">IF(ISERROR(F280),"",IF(W288=0,"",_xlfn.TEXTJOIN("",FALSE," G+",W288," in ",A288)))</f>
        <v xml:space="preserve"> G+11 in Enroll No.</v>
      </c>
    </row>
    <row r="289" spans="1:24" ht="14.25" customHeight="1" x14ac:dyDescent="0.2">
      <c r="A289" s="7" t="str">
        <f ca="1">IF(ISERROR(F280),"",VLOOKUP(C280,INDIRECT($F$8),6+(O289-1)*3,0))</f>
        <v>AHT 310</v>
      </c>
      <c r="B289" s="41" t="str">
        <f ca="1">IF(ISERROR(F280),"",VLOOKUP(D280,INDIRECT($F$8),6+(O289-1)*3,0))</f>
        <v>Universal Human Value</v>
      </c>
      <c r="C289" s="41"/>
      <c r="D289" s="41"/>
      <c r="E289" s="41"/>
      <c r="F289" s="7">
        <f ca="1">IF(ISERROR(F280),"",VLOOKUP(E280,INDIRECT($F$8),6+(O289-1)*3,0))</f>
        <v>3</v>
      </c>
      <c r="G289" s="42" t="str">
        <f ca="1">IF(ISERROR(F280),"",_xlfn.TEXTJOIN("/",FALSE,P289,S289))</f>
        <v>0/100</v>
      </c>
      <c r="H289" s="42"/>
      <c r="I289" s="42" t="str">
        <f ca="1">IF(ISERROR(F280),"",_xlfn.TEXTJOIN("/",FALSE,Q289,T289))</f>
        <v>0/50</v>
      </c>
      <c r="J289" s="42"/>
      <c r="K289" s="42" t="str">
        <f ca="1">IF(ISERROR(F280),"",_xlfn.TEXTJOIN("/",FALSE,R289,U289))</f>
        <v>0/150</v>
      </c>
      <c r="L289" s="42"/>
      <c r="M289" s="7" t="str">
        <f ca="1">IF(ISERROR(F280),"",IF(ISTEXT(P289),IF(P289="A","Ab",IF(P289="D","Dt",IF(P289="UFM","UFM",IF(P289="NA","")))),IF(AND(ISBLANK(P289),ISBLANK(R289)),"",IF(P289&lt;0.3*S289,"F",IF(ISBLANK(R289),"",IF(ISTEXT(R289),R289,IF(R289&gt;=0.9*U289,"O",IF(R289&gt;=0.85*U289,"A+",IF(R289&gt;=0.8*U289,"A",IF(R289&gt;=0.7*U289,"B+",IF(R289&gt;=0.6*U289,"B",IF(R289&gt;=0.5*U289,"C",IF(R289&gt;=0.4*U289,"P",IF(R289&lt;0.4*U289,"F",R289))))))))))))))</f>
        <v>F</v>
      </c>
      <c r="N289" s="8">
        <f t="shared" ca="1" si="32"/>
        <v>0</v>
      </c>
      <c r="O289">
        <f ca="1">IF(O288&gt;0,7,"")</f>
        <v>7</v>
      </c>
      <c r="P289" s="1">
        <f ca="1">IF(ISERROR(F280),"",IF(ISTEXT(VLOOKUP(B280,INDIRECT($F$8),6+(O289-1)*3)),(VLOOKUP(B280,INDIRECT($F$8),6+(O289-1)*3)),SUM(VLOOKUP(B280,INDIRECT($F$8),6+(O289-1)*3),IF(W293,W289,0))))</f>
        <v>0</v>
      </c>
      <c r="Q289" s="1">
        <f ca="1">IF(ISERROR(F280),"",VLOOKUP(B280,INDIRECT($F$8),7+(O289-1)*3))</f>
        <v>0</v>
      </c>
      <c r="R289" s="1">
        <f ca="1">IF(ISERROR(F280),"",SUM(P289:Q289))</f>
        <v>0</v>
      </c>
      <c r="S289" s="1">
        <f ca="1">IF(ISERROR(F280),"",VLOOKUP(A280,INDIRECT($F$8),6+(O289-1)*3))</f>
        <v>100</v>
      </c>
      <c r="T289" s="1">
        <f ca="1">IF(ISERROR(F280),"",VLOOKUP(A280,INDIRECT($F$8),7+(O289-1)*3))</f>
        <v>50</v>
      </c>
      <c r="U289" s="1">
        <f ca="1">IF(ISERROR(F280),"",VLOOKUP(A280,INDIRECT($F$8),8+(O289-1)*3))</f>
        <v>150</v>
      </c>
      <c r="V289" s="1" t="str">
        <f ca="1">IF(ISERROR(F280),"",IF(N289=0,A289,""))</f>
        <v>AHT 310</v>
      </c>
      <c r="W289" s="1">
        <f ca="1">IF(ISERROR(F280),"",IF(ISTEXT(VLOOKUP(B280,INDIRECT($F$8),6+(O289-1)*3)),11,IF(VLOOKUP(B280,INDIRECT($F$8),6+(O289-1)*3)&lt;S289*0.3,IF(VLOOKUP(B280,INDIRECT($F$8),8+(O289-1)*3)&lt;U289*0.4,IF(AND(0.4*U289-VLOOKUP(B280,INDIRECT($F$8),8+(O289-1)*3)&lt;=5,0.3*S289-VLOOKUP(B280,INDIRECT($F$8),6+(O289-1)*3)&lt;=5),MAX(0.4*U289-VLOOKUP(B280,INDIRECT($F$8),8+(O289-1)*3),0.3*S289-VLOOKUP(B280,INDIRECT($F$8),6+(O289-1)*3)),11),IF(0.3*S289-VLOOKUP(B280,INDIRECT($F$8),6+(O289-1)*3)&lt;=5,0.3*S289-VLOOKUP(B280,INDIRECT($F$8),6+(O289-1)*3),11)),IF(VLOOKUP(B280,INDIRECT($F$8),8+(O289-1)*3)&lt;U289*0.4,IF(U289*0.4-VLOOKUP(B280,INDIRECT($F$8),8+(O289-1)*3)&lt;=5,U289*0.4-VLOOKUP(B280,INDIRECT($F$8),8+(O289-1)*3),11),0))))</f>
        <v>11</v>
      </c>
      <c r="X289" s="1" t="str">
        <f ca="1">IF(ISERROR(F280),"",IF(W289=0,"",_xlfn.TEXTJOIN("",FALSE," G+",W289," in ",A289)))</f>
        <v xml:space="preserve"> G+11 in AHT 310</v>
      </c>
    </row>
    <row r="290" spans="1:24" ht="14.25" customHeight="1" x14ac:dyDescent="0.2">
      <c r="A290" s="7" t="str">
        <f ca="1">IF(ISERROR(F280),"",VLOOKUP(C280,INDIRECT($F$8),6+(O290-1)*3,0))</f>
        <v>CAP 008</v>
      </c>
      <c r="B290" s="41" t="str">
        <f ca="1">IF(ISERROR(F280),"",VLOOKUP(D280,INDIRECT($F$8),6+(O290-1)*3,0))</f>
        <v>Software Engineering Lab</v>
      </c>
      <c r="C290" s="41"/>
      <c r="D290" s="41"/>
      <c r="E290" s="41"/>
      <c r="F290" s="7">
        <f ca="1">IF(ISERROR(F280),"",VLOOKUP(E280,INDIRECT($F$8),6+(O290-1)*3,0))</f>
        <v>1</v>
      </c>
      <c r="G290" s="42" t="str">
        <f ca="1">IF(ISERROR(F280),"",_xlfn.TEXTJOIN("/",FALSE,P290,S290))</f>
        <v>0/30</v>
      </c>
      <c r="H290" s="42"/>
      <c r="I290" s="42" t="str">
        <f ca="1">IF(ISERROR(F280),"",_xlfn.TEXTJOIN("/",FALSE,Q290,T290))</f>
        <v>0/20</v>
      </c>
      <c r="J290" s="42"/>
      <c r="K290" s="42" t="str">
        <f ca="1">IF(ISERROR(F280),"",_xlfn.TEXTJOIN("/",FALSE,R290,U290))</f>
        <v>0/50</v>
      </c>
      <c r="L290" s="42"/>
      <c r="M290" s="7" t="str">
        <f ca="1">IF(ISERROR(F280),"",IF(ISTEXT(P290),IF(P290="A","Ab",IF(P290="D","Dt",IF(P290="UFM","UFM",IF(P290="NA","")))),IF(AND(ISBLANK(P290),ISBLANK(R290)),"",IF(P290&lt;0.3*S290,"F",IF(ISBLANK(R290),"",IF(ISTEXT(R290),R290,IF(R290&gt;=0.9*U290,"O",IF(R290&gt;=0.85*U290,"A+",IF(R290&gt;=0.8*U290,"A",IF(R290&gt;=0.7*U290,"B+",IF(R290&gt;=0.6*U290,"B",IF(R290&gt;=0.5*U290,"C",IF(R290&gt;=0.4*U290,"P",IF(R290&lt;0.4*U290,"F",R290))))))))))))))</f>
        <v>F</v>
      </c>
      <c r="N290" s="8">
        <f t="shared" ca="1" si="32"/>
        <v>0</v>
      </c>
      <c r="O290">
        <f t="shared" ref="O290:O292" ca="1" si="33">O289+1</f>
        <v>8</v>
      </c>
      <c r="P290" s="1">
        <f ca="1">IF(ISERROR(F280),"",IF(ISTEXT(VLOOKUP(B280,INDIRECT($F$8),6+(O290-1)*3)),(VLOOKUP(B280,INDIRECT($F$8),6+(O290-1)*3)),SUM(VLOOKUP(B280,INDIRECT($F$8),6+(O290-1)*3),IF(W293,W290,0))))</f>
        <v>0</v>
      </c>
      <c r="Q290" s="1">
        <f ca="1">IF(ISERROR(F280),"",VLOOKUP(B280,INDIRECT($F$8),7+(O290-1)*3))</f>
        <v>0</v>
      </c>
      <c r="R290" s="1">
        <f ca="1">IF(ISERROR(F280),"",SUM(P290:Q290))</f>
        <v>0</v>
      </c>
      <c r="S290" s="1">
        <f ca="1">IF(ISERROR(F280),"",VLOOKUP(A280,INDIRECT($F$8),6+(O290-1)*3))</f>
        <v>30</v>
      </c>
      <c r="T290" s="1">
        <f ca="1">IF(ISERROR(F280),"",VLOOKUP(A280,INDIRECT($F$8),7+(O290-1)*3))</f>
        <v>20</v>
      </c>
      <c r="U290" s="1">
        <f ca="1">IF(ISERROR(F280),"",VLOOKUP(A280,INDIRECT($F$8),8+(O290-1)*3))</f>
        <v>50</v>
      </c>
      <c r="V290" s="1" t="str">
        <f ca="1">IF(ISERROR(F280),"",IF(N290=0,A290,""))</f>
        <v>CAP 008</v>
      </c>
      <c r="W290" s="1">
        <f ca="1">IF(ISERROR(F280),"",IF(ISTEXT(VLOOKUP(B280,INDIRECT($F$8),6+(O290-1)*3)),11,IF(VLOOKUP(B280,INDIRECT($F$8),6+(O290-1)*3)&lt;S290*0.3,IF(VLOOKUP(B280,INDIRECT($F$8),8+(O290-1)*3)&lt;U290*0.4,IF(AND(0.4*U290-VLOOKUP(B280,INDIRECT($F$8),8+(O290-1)*3)&lt;=5,0.3*S290-VLOOKUP(B280,INDIRECT($F$8),6+(O290-1)*3)&lt;=5),MAX(0.4*U290-VLOOKUP(B280,INDIRECT($F$8),8+(O290-1)*3),0.3*S290-VLOOKUP(B280,INDIRECT($F$8),6+(O290-1)*3)),11),IF(0.3*S290-VLOOKUP(B280,INDIRECT($F$8),6+(O290-1)*3)&lt;=5,0.3*S290-VLOOKUP(B280,INDIRECT($F$8),6+(O290-1)*3),11)),IF(VLOOKUP(B280,INDIRECT($F$8),8+(O290-1)*3)&lt;U290*0.4,IF(U290*0.4-VLOOKUP(B280,INDIRECT($F$8),8+(O290-1)*3)&lt;=5,U290*0.4-VLOOKUP(B280,INDIRECT($F$8),8+(O290-1)*3),11),0))))</f>
        <v>11</v>
      </c>
      <c r="X290" s="1" t="str">
        <f ca="1">IF(ISERROR(F280),"",IF(W290=0,"",_xlfn.TEXTJOIN("",FALSE," G+",W290," in ",A290)))</f>
        <v xml:space="preserve"> G+11 in CAP 008</v>
      </c>
    </row>
    <row r="291" spans="1:24" ht="14.25" customHeight="1" x14ac:dyDescent="0.2">
      <c r="A291" s="7" t="str">
        <f ca="1">IF(ISERROR(F280),"",VLOOKUP(C280,INDIRECT($F$8),6+(O291-1)*3,0))</f>
        <v>CAP 009</v>
      </c>
      <c r="B291" s="41" t="str">
        <f ca="1">IF(ISERROR(F280),"",VLOOKUP(D280,INDIRECT($F$8),6+(O291-1)*3,0))</f>
        <v>Seminar</v>
      </c>
      <c r="C291" s="41"/>
      <c r="D291" s="41"/>
      <c r="E291" s="41"/>
      <c r="F291" s="7">
        <f ca="1">IF(ISERROR(F280),"",VLOOKUP(E280,INDIRECT($F$8),6+(O291-1)*3,0))</f>
        <v>2</v>
      </c>
      <c r="G291" s="42" t="str">
        <f ca="1">IF(ISERROR(F280),"",_xlfn.TEXTJOIN("/",FALSE,P291,S291))</f>
        <v>0/0</v>
      </c>
      <c r="H291" s="42"/>
      <c r="I291" s="42" t="str">
        <f ca="1">IF(ISERROR(F280),"",_xlfn.TEXTJOIN("/",FALSE,Q291,T291))</f>
        <v>0/100</v>
      </c>
      <c r="J291" s="42"/>
      <c r="K291" s="42" t="str">
        <f ca="1">IF(ISERROR(F280),"",_xlfn.TEXTJOIN("/",FALSE,R291,U291))</f>
        <v>0/100</v>
      </c>
      <c r="L291" s="42"/>
      <c r="M291" s="7" t="str">
        <f ca="1">IF(ISERROR(F280),"",IF(ISTEXT(P291),IF(P291="A","Ab",IF(P291="D","Dt",IF(P291="UFM","UFM",IF(P291="NA","")))),IF(AND(ISBLANK(P291),ISBLANK(R291)),"",IF(P291&lt;0.3*S291,"F",IF(ISBLANK(R291),"",IF(ISTEXT(R291),R291,IF(R291&gt;=0.9*U291,"O",IF(R291&gt;=0.85*U291,"A+",IF(R291&gt;=0.8*U291,"A",IF(R291&gt;=0.7*U291,"B+",IF(R291&gt;=0.6*U291,"B",IF(R291&gt;=0.5*U291,"C",IF(R291&gt;=0.4*U291,"P",IF(R291&lt;0.4*U291,"F",R291))))))))))))))</f>
        <v>F</v>
      </c>
      <c r="N291" s="8">
        <f t="shared" ca="1" si="32"/>
        <v>0</v>
      </c>
      <c r="O291">
        <f t="shared" ca="1" si="33"/>
        <v>9</v>
      </c>
      <c r="P291" s="1">
        <f ca="1">IF(ISERROR(F280),"",IF(ISTEXT(VLOOKUP(B280,INDIRECT($F$8),6+(O291-1)*3)),(VLOOKUP(B280,INDIRECT($F$8),6+(O291-1)*3)),SUM(VLOOKUP(B280,INDIRECT($F$8),6+(O291-1)*3),IF(W293,W291,0))))</f>
        <v>0</v>
      </c>
      <c r="Q291" s="1">
        <f ca="1">IF(ISERROR(F280),"",VLOOKUP(B280,INDIRECT($F$8),7+(O291-1)*3))</f>
        <v>0</v>
      </c>
      <c r="R291" s="1">
        <f ca="1">IF(ISERROR(F280),"",SUM(P291:Q291))</f>
        <v>0</v>
      </c>
      <c r="S291" s="1">
        <f ca="1">IF(ISERROR(F280),"",VLOOKUP(A280,INDIRECT($F$8),6+(O291-1)*3))</f>
        <v>0</v>
      </c>
      <c r="T291" s="1">
        <f ca="1">IF(ISERROR(F280),"",VLOOKUP(A280,INDIRECT($F$8),7+(O291-1)*3))</f>
        <v>100</v>
      </c>
      <c r="U291" s="1">
        <f ca="1">IF(ISERROR(F280),"",VLOOKUP(A280,INDIRECT($F$8),8+(O291-1)*3))</f>
        <v>100</v>
      </c>
      <c r="V291" s="1" t="str">
        <f ca="1">IF(ISERROR(F280),"",IF(N291=0,A291,""))</f>
        <v>CAP 009</v>
      </c>
      <c r="W291" s="1">
        <f ca="1">IF(ISERROR(F280),"",IF(ISTEXT(VLOOKUP(B280,INDIRECT($F$8),6+(O291-1)*3)),11,IF(VLOOKUP(B280,INDIRECT($F$8),6+(O291-1)*3)&lt;S291*0.3,IF(VLOOKUP(B280,INDIRECT($F$8),8+(O291-1)*3)&lt;U291*0.4,IF(AND(0.4*U291-VLOOKUP(B280,INDIRECT($F$8),8+(O291-1)*3)&lt;=5,0.3*S291-VLOOKUP(B280,INDIRECT($F$8),6+(O291-1)*3)&lt;=5),MAX(0.4*U291-VLOOKUP(B280,INDIRECT($F$8),8+(O291-1)*3),0.3*S291-VLOOKUP(B280,INDIRECT($F$8),6+(O291-1)*3)),11),IF(0.3*S291-VLOOKUP(B280,INDIRECT($F$8),6+(O291-1)*3)&lt;=5,0.3*S291-VLOOKUP(B280,INDIRECT($F$8),6+(O291-1)*3),11)),IF(VLOOKUP(B280,INDIRECT($F$8),8+(O291-1)*3)&lt;U291*0.4,IF(U291*0.4-VLOOKUP(B280,INDIRECT($F$8),8+(O291-1)*3)&lt;=5,U291*0.4-VLOOKUP(B280,INDIRECT($F$8),8+(O291-1)*3),11),0))))</f>
        <v>11</v>
      </c>
      <c r="X291" s="1" t="str">
        <f ca="1">IF(ISERROR(F280),"",IF(W291=0,"",_xlfn.TEXTJOIN("",FALSE," G+",W291," in ",A291)))</f>
        <v xml:space="preserve"> G+11 in CAP 009</v>
      </c>
    </row>
    <row r="292" spans="1:24" ht="14.25" customHeight="1" x14ac:dyDescent="0.2">
      <c r="A292" s="7" t="str">
        <f ca="1">IF(ISERROR(F280),"",VLOOKUP(C280,INDIRECT($F$8),6+(O292-1)*3,0))</f>
        <v>CAP 010</v>
      </c>
      <c r="B292" s="41" t="str">
        <f ca="1">IF(ISERROR(F280),"",VLOOKUP(D280,INDIRECT($F$8),6+(O292-1)*3-Z292,0))</f>
        <v>Minor Project</v>
      </c>
      <c r="C292" s="41"/>
      <c r="D292" s="41"/>
      <c r="E292" s="41"/>
      <c r="F292" s="7">
        <f ca="1">IF(ISERROR(F280),"",VLOOKUP(E280,INDIRECT($F$8),6+(O292-1)*3,0))</f>
        <v>2</v>
      </c>
      <c r="G292" s="42" t="str">
        <f ca="1">IF(ISERROR(F280),"",_xlfn.TEXTJOIN("/",FALSE,P292,S292))</f>
        <v>0/50</v>
      </c>
      <c r="H292" s="42"/>
      <c r="I292" s="42" t="str">
        <f ca="1">IF(ISERROR(F280),"",_xlfn.TEXTJOIN("/",FALSE,Q292,T292))</f>
        <v>0/50</v>
      </c>
      <c r="J292" s="42"/>
      <c r="K292" s="42" t="str">
        <f ca="1">IF(ISERROR(F280),"",_xlfn.TEXTJOIN("/",FALSE,R292,U292))</f>
        <v>0/100</v>
      </c>
      <c r="L292" s="42"/>
      <c r="M292" s="7" t="str">
        <f ca="1">IF(ISERROR(F280),"",IF(ISTEXT(P292),IF(P292="A","Ab",IF(P292="D","Dt",IF(P292="UFM","UFM",IF(P292="NA","")))),IF(AND(ISBLANK(P292),ISBLANK(R292)),"",IF(P292&lt;0.3*S292,"F",IF(ISBLANK(R292),"",IF(ISTEXT(R292),R292,IF(R292&gt;=0.9*U292,"O",IF(R292&gt;=0.85*U292,"A+",IF(R292&gt;=0.8*U292,"A",IF(R292&gt;=0.7*U292,"B+",IF(R292&gt;=0.6*U292,"B",IF(R292&gt;=0.5*U292,"C",IF(R292&gt;=0.4*U292,"P",IF(R292&lt;0.4*U292,"F",R292))))))))))))))</f>
        <v>F</v>
      </c>
      <c r="N292" s="8">
        <f t="shared" ca="1" si="32"/>
        <v>0</v>
      </c>
      <c r="O292">
        <f t="shared" ca="1" si="33"/>
        <v>10</v>
      </c>
      <c r="P292" s="1">
        <f ca="1">IF(ISERROR(F280),"",IF(ISTEXT(VLOOKUP(B280,INDIRECT($F$8),6+(O292-1)*3)),(VLOOKUP(B280,INDIRECT($F$8),6+(O292-1)*3)),SUM(VLOOKUP(B280,INDIRECT($F$8),6+(O292-1)*3),IF(W293,W292,0))))</f>
        <v>0</v>
      </c>
      <c r="Q292" s="1">
        <f ca="1">IF(ISERROR(F280),"",VLOOKUP(B280,INDIRECT($F$8),7+(O292-1)*3))</f>
        <v>0</v>
      </c>
      <c r="R292" s="1">
        <f ca="1">IF(ISERROR(F280),"",SUM(P292:Q292))</f>
        <v>0</v>
      </c>
      <c r="S292" s="1">
        <f ca="1">IF(ISERROR(F280),"",VLOOKUP(A280,INDIRECT($F$8),6+(O292-1)*3))</f>
        <v>50</v>
      </c>
      <c r="T292" s="1">
        <f ca="1">IF(ISERROR(F280),"",VLOOKUP(A280,INDIRECT($F$8),7+(O292-1)*3))</f>
        <v>50</v>
      </c>
      <c r="U292" s="1">
        <f ca="1">IF(ISERROR(F280),"",VLOOKUP(A280,INDIRECT($F$8),8+(O292-1)*3))</f>
        <v>100</v>
      </c>
      <c r="V292" s="1" t="str">
        <f ca="1">IF(ISERROR(F280),"",IF(N292=0,A292,""))</f>
        <v>CAP 010</v>
      </c>
      <c r="W292" s="1">
        <f ca="1">IF(ISERROR(F280),"",IF(ISTEXT(VLOOKUP(B280,INDIRECT($F$8),6+(O292-1)*3)),11,IF(VLOOKUP(B280,INDIRECT($F$8),6+(O292-1)*3)&lt;S292*0.3,IF(VLOOKUP(B280,INDIRECT($F$8),8+(O292-1)*3)&lt;U292*0.4,IF(AND(0.4*U292-VLOOKUP(B280,INDIRECT($F$8),8+(O292-1)*3)&lt;=5,0.3*S292-VLOOKUP(B280,INDIRECT($F$8),6+(O292-1)*3)&lt;=5),MAX(0.4*U292-VLOOKUP(B280,INDIRECT($F$8),8+(O292-1)*3),0.3*S292-VLOOKUP(B280,INDIRECT($F$8),6+(O292-1)*3)),11),IF(0.3*S292-VLOOKUP(B280,INDIRECT($F$8),6+(O292-1)*3)&lt;=5,0.3*S292-VLOOKUP(B280,INDIRECT($F$8),6+(O292-1)*3),11)),IF(VLOOKUP(B280,INDIRECT($F$8),8+(O292-1)*3)&lt;U292*0.4,IF(U292*0.4-VLOOKUP(B280,INDIRECT($F$8),8+(O292-1)*3)&lt;=5,U292*0.4-VLOOKUP(B280,INDIRECT($F$8),8+(O292-1)*3),11),0))))</f>
        <v>11</v>
      </c>
      <c r="X292" s="1" t="str">
        <f ca="1">IF(ISERROR(F280),"",IF(W292=0,"",_xlfn.TEXTJOIN("",FALSE," G+",W292," in ",A292)))</f>
        <v xml:space="preserve"> G+11 in CAP 010</v>
      </c>
    </row>
    <row r="293" spans="1:24" ht="14.25" customHeight="1" x14ac:dyDescent="0.2">
      <c r="A293" s="43" t="str">
        <f ca="1">IF(ISERROR(F280),"",A276)</f>
        <v>Total Credits/ Marks/ Total Grade Points</v>
      </c>
      <c r="B293" s="43"/>
      <c r="C293" s="43"/>
      <c r="D293" s="43"/>
      <c r="E293" s="43"/>
      <c r="F293" s="10">
        <f ca="1">IF(ISERROR(F280),"",SUM(F285:F292))</f>
        <v>16</v>
      </c>
      <c r="G293" s="44" t="str">
        <f ca="1">IF(ISERROR(F280),"",_xlfn.TEXTJOIN("/",TRUE,SUMIF(F285:F292,"&gt;0",P285:P292),SUMIF(F285:F292,"&gt;0",S285:S292)))</f>
        <v>0/380</v>
      </c>
      <c r="H293" s="44"/>
      <c r="I293" s="44" t="str">
        <f ca="1">IF(ISERROR(F280),"",_xlfn.TEXTJOIN("/",TRUE,SUMIF(F285:F292,"&gt;0",Q285:Q292),SUMIF(F285:F292,"&gt;0",T285:T292)))</f>
        <v>0/320</v>
      </c>
      <c r="J293" s="44"/>
      <c r="K293" s="44" t="str">
        <f ca="1">IF(ISERROR(F280),"",_xlfn.TEXTJOIN("/",TRUE,SUMIF(F285:F292,"&gt;0",R285:R292),SUMIF(F285:F292,"&gt;0",U285:U292)))</f>
        <v>0/700</v>
      </c>
      <c r="L293" s="44"/>
      <c r="M293" s="43" t="e">
        <f ca="1">IF(ISERROR(F280),"",SUMPRODUCT(N285:N292,F285:F292))</f>
        <v>#N/A</v>
      </c>
      <c r="N293" s="43"/>
      <c r="V293" s="1" t="e">
        <f ca="1">IF(ISERROR(F280),"",_xlfn.TEXTJOIN(", ",TRUE,V285:V292))</f>
        <v>#N/A</v>
      </c>
      <c r="W293" t="b">
        <f ca="1">IF(ISERROR(F280),"",IF(SUM(W285:W292)&lt;=W284,TRUE,FALSE))</f>
        <v>0</v>
      </c>
      <c r="X293" s="1" t="str">
        <f ca="1">IF(ISERROR(F280),"",_xlfn.TEXTJOIN(",",TRUE,X285:X292))</f>
        <v xml:space="preserve"> G+11 in CAT  014, G+11 in CAT 015, G+11 in Enroll No., G+11 in Enroll No., G+11 in AHT 310, G+11 in CAP 008, G+11 in CAP 009, G+11 in CAP 010</v>
      </c>
    </row>
    <row r="294" spans="1:24" ht="14.25" customHeight="1" x14ac:dyDescent="0.2">
      <c r="A294" s="43" t="str">
        <f ca="1">IF(ISERROR(F280),"",A277)</f>
        <v>Result:</v>
      </c>
      <c r="B294" s="45" t="e">
        <f ca="1">IF(ISERROR(F280),"",IF(V293="","PASS","CARRY OVER"))</f>
        <v>#N/A</v>
      </c>
      <c r="C294" s="45"/>
      <c r="D294" s="43" t="str">
        <f ca="1">IF(ISERROR(F280),"",D277)</f>
        <v>Remark:</v>
      </c>
      <c r="E294" s="45" t="e">
        <f ca="1">IF(ISERROR(F280),"",IF(V293="",IF(X293="","",X293),_xlfn.TEXTJOIN(" ",TRUE,"BACK IN",V293)))</f>
        <v>#N/A</v>
      </c>
      <c r="F294" s="45"/>
      <c r="G294" s="43" t="str">
        <f ca="1">IF(ISERROR(F280),"",G277)</f>
        <v>SGPA:</v>
      </c>
      <c r="H294" s="46" t="e">
        <f ca="1">IF(ISERROR(F280),"",M293/F293)</f>
        <v>#N/A</v>
      </c>
      <c r="I294" s="43" t="str">
        <f ca="1">IF(ISERROR(F280),"",I277)</f>
        <v>CGPA:</v>
      </c>
      <c r="J294" s="46" t="e">
        <f ca="1">IF(ISERROR(F280),"",VLOOKUP(B280,INDIRECT($F$8),12+(O292-1)*3,0))</f>
        <v>#N/A</v>
      </c>
      <c r="K294" s="45" t="str">
        <f ca="1">IF(ISERROR(F280),"",K277)</f>
        <v>Earned Credits:</v>
      </c>
      <c r="L294" s="43">
        <f ca="1">IF(ISERROR(F280),"",SUMIF(N285:N292,"&gt;0",F285:F292))</f>
        <v>0</v>
      </c>
      <c r="M294" s="45" t="str">
        <f ca="1">IF(ISERROR(F280),"",M277)</f>
        <v>Cuml. Earned Credits:</v>
      </c>
      <c r="N294" s="43" t="e">
        <f ca="1">IF(ISERROR(F280),"",VLOOKUP(B280,INDIRECT($F$8),10+(O292-1)*3,0))</f>
        <v>#N/A</v>
      </c>
    </row>
    <row r="295" spans="1:24" ht="14.25" customHeight="1" x14ac:dyDescent="0.2">
      <c r="A295" s="43"/>
      <c r="B295" s="45"/>
      <c r="C295" s="45"/>
      <c r="D295" s="43"/>
      <c r="E295" s="45"/>
      <c r="F295" s="45"/>
      <c r="G295" s="43"/>
      <c r="H295" s="46"/>
      <c r="I295" s="43"/>
      <c r="J295" s="46"/>
      <c r="K295" s="45"/>
      <c r="L295" s="43"/>
      <c r="M295" s="45"/>
      <c r="N295" s="43"/>
    </row>
    <row r="296" spans="1:24" ht="14.25" customHeight="1" x14ac:dyDescent="0.2">
      <c r="A296" s="43"/>
      <c r="B296" s="45"/>
      <c r="C296" s="45"/>
      <c r="D296" s="43"/>
      <c r="E296" s="45"/>
      <c r="F296" s="45"/>
      <c r="G296" s="43"/>
      <c r="H296" s="46"/>
      <c r="I296" s="43"/>
      <c r="J296" s="46"/>
      <c r="K296" s="45"/>
      <c r="L296" s="43"/>
      <c r="M296" s="45"/>
      <c r="N296" s="43"/>
    </row>
    <row r="297" spans="1:24" ht="14.25" customHeight="1" x14ac:dyDescent="0.2">
      <c r="A297" s="11" t="str">
        <f>A280</f>
        <v>MM</v>
      </c>
      <c r="B297" s="11">
        <f>B280+1</f>
        <v>18</v>
      </c>
      <c r="C297" s="11" t="str">
        <f>C280</f>
        <v>SC</v>
      </c>
      <c r="D297" s="11" t="str">
        <f>D280</f>
        <v>SN</v>
      </c>
      <c r="E297" s="11" t="str">
        <f>E280</f>
        <v>C</v>
      </c>
      <c r="F297" s="11" t="str">
        <f ca="1">VLOOKUP(B297,INDIRECT($F$8),4,0)</f>
        <v>PRIYANSHU DHYANI</v>
      </c>
    </row>
    <row r="298" spans="1:24" ht="14.25" customHeight="1" x14ac:dyDescent="0.2">
      <c r="A298" s="47" t="str">
        <f ca="1">IF(ISERROR(F297),"",A281)</f>
        <v>Name:</v>
      </c>
      <c r="B298" s="47" t="str">
        <f ca="1">IFERROR(VLOOKUP(B297,INDIRECT($F$8),4,0),"")</f>
        <v>PRIYANSHU DHYANI</v>
      </c>
      <c r="C298" s="47"/>
      <c r="D298" s="47" t="str">
        <f ca="1">IF(ISERROR(F297),"",D281)</f>
        <v>Father's Name:</v>
      </c>
      <c r="E298" s="47" t="str">
        <f ca="1">IFERROR(VLOOKUP(B297,INDIRECT($F$8),5,0),"")</f>
        <v>RAMESH CHANDRA DHYANI</v>
      </c>
      <c r="F298" s="47"/>
      <c r="G298" s="47" t="str">
        <f ca="1">IF(ISERROR(F297),"",G281)</f>
        <v>University Roll No:</v>
      </c>
      <c r="H298" s="47"/>
      <c r="I298" s="48">
        <f ca="1">IFERROR(VLOOKUP(B297,INDIRECT($F$8),2,0),"")</f>
        <v>240090600018</v>
      </c>
      <c r="J298" s="48"/>
      <c r="K298" s="47" t="str">
        <f ca="1">IF(ISERROR(F297),"",K281)</f>
        <v>University Enrol. No:</v>
      </c>
      <c r="L298" s="47"/>
      <c r="M298" s="48" t="str">
        <f ca="1">IFERROR(VLOOKUP(B297,INDIRECT($F$8),3,0),"")</f>
        <v>UTU/2406100171</v>
      </c>
      <c r="N298" s="48"/>
    </row>
    <row r="299" spans="1:24" ht="14.25" customHeight="1" x14ac:dyDescent="0.2">
      <c r="A299" s="47"/>
      <c r="B299" s="47"/>
      <c r="C299" s="47"/>
      <c r="D299" s="47"/>
      <c r="E299" s="47"/>
      <c r="F299" s="47"/>
      <c r="G299" s="47"/>
      <c r="H299" s="47"/>
      <c r="I299" s="48"/>
      <c r="J299" s="48"/>
      <c r="K299" s="47"/>
      <c r="L299" s="47"/>
      <c r="M299" s="48"/>
      <c r="N299" s="48"/>
    </row>
    <row r="300" spans="1:24" ht="14.25" customHeight="1" x14ac:dyDescent="0.2">
      <c r="A300" s="45" t="str">
        <f ca="1">IF(ISERROR(F297),"",A283)</f>
        <v>Subject Code</v>
      </c>
      <c r="B300" s="45" t="str">
        <f ca="1">IF(ISERROR(F297),"",B283)</f>
        <v>Subject Name</v>
      </c>
      <c r="C300" s="45"/>
      <c r="D300" s="45"/>
      <c r="E300" s="45"/>
      <c r="F300" s="45" t="str">
        <f ca="1">IF(ISERROR(F297),"",F283)</f>
        <v>Credits</v>
      </c>
      <c r="G300" s="45" t="str">
        <f ca="1">IF(ISERROR(F297),"",G283)</f>
        <v>External Marks</v>
      </c>
      <c r="H300" s="45"/>
      <c r="I300" s="45" t="str">
        <f ca="1">IF(ISERROR(F297),"",I283)</f>
        <v>Sessional Marks</v>
      </c>
      <c r="J300" s="45"/>
      <c r="K300" s="45" t="str">
        <f ca="1">IF(ISERROR(F297),"",K283)</f>
        <v>Total Marks</v>
      </c>
      <c r="L300" s="45"/>
      <c r="M300" s="45" t="str">
        <f ca="1">IF(ISERROR(F297),"",M283)</f>
        <v>Grade</v>
      </c>
      <c r="N300" s="45" t="str">
        <f ca="1">IF(ISERROR(F297),"",N283)</f>
        <v>Grade Points</v>
      </c>
    </row>
    <row r="301" spans="1:24" ht="14.25" customHeight="1" x14ac:dyDescent="0.2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W301">
        <f ca="1">IF(ISNUMBER(MATCH($F$8,{"I","III","V","VII"},0)),10,10-INDEX(INDIRECT(_xlfn.TEXTJOIN("",TRUE,"SEM_",$G$8,"!",ADDRESS(6,4+$I$8*3+4),":",ADDRESS(5+$H$8,4+$I$8*3+4))),MATCH(INDIRECT(_xlfn.TEXTJOIN("",TRUE,"TC_",$F$8,"!",ADDRESS(ROW(I298),COLUMN(I298)))),INDIRECT(_xlfn.TEXTJOIN("",TRUE,"SEM_",$G$8,"!",ADDRESS(6,2),":",ADDRESS(5+$H$8,2))))))</f>
        <v>10</v>
      </c>
    </row>
    <row r="302" spans="1:24" ht="14.25" customHeight="1" x14ac:dyDescent="0.2">
      <c r="A302" s="7" t="str">
        <f ca="1">IF(ISERROR(F297),"",VLOOKUP(C297,INDIRECT($F$8),6+(O302-1)*3,0))</f>
        <v>CAT  014</v>
      </c>
      <c r="B302" s="41" t="str">
        <f ca="1">IF(ISERROR(F297),"",VLOOKUP(D297,INDIRECT($F$8),6+(O302-1)*3,0))</f>
        <v>Graph Theory</v>
      </c>
      <c r="C302" s="41"/>
      <c r="D302" s="41"/>
      <c r="E302" s="41"/>
      <c r="F302" s="7">
        <f ca="1">IF(ISERROR(F297),"",VLOOKUP(E297,INDIRECT($F$8),6+(O302-1)*3,0))</f>
        <v>4</v>
      </c>
      <c r="G302" s="42" t="str">
        <f ca="1">IF(ISERROR(F297),"",_xlfn.TEXTJOIN("/",FALSE,P302,S302))</f>
        <v>0/100</v>
      </c>
      <c r="H302" s="42"/>
      <c r="I302" s="42" t="str">
        <f ca="1">IF(ISERROR(F297),"",_xlfn.TEXTJOIN("/",FALSE,Q302,T302))</f>
        <v>0/50</v>
      </c>
      <c r="J302" s="42"/>
      <c r="K302" s="42" t="str">
        <f ca="1">IF(ISERROR(F297),"",_xlfn.TEXTJOIN("/",FALSE,R302,U302))</f>
        <v>0/150</v>
      </c>
      <c r="L302" s="42"/>
      <c r="M302" s="7" t="str">
        <f ca="1">IF(ISERROR(F297),"",IF(ISTEXT(P302),IF(P302="A","Ab",IF(P302="D","Dt",IF(P302="UFM","UFM",IF(P302="NA","")))),IF(AND(ISBLANK(P302),ISBLANK(R302)),"",IF(P302&lt;0.3*S302,"F",IF(ISBLANK(R302),"",IF(ISTEXT(R302),R302,IF(R302&gt;=0.9*U302,"O",IF(R302&gt;=0.85*U302,"A+",IF(R302&gt;=0.8*U302,"A",IF(R302&gt;=0.7*U302,"B+",IF(R302&gt;=0.6*U302,"B",IF(R302&gt;=0.5*U302,"C",IF(R302&gt;=0.4*U302,"P",IF(R302&lt;0.4*U302,"F",R302))))))))))))))</f>
        <v>F</v>
      </c>
      <c r="N302" s="8">
        <f t="shared" ref="N302:N309" ca="1" si="34">INDEX($Z$2:$Z$13,MATCH(M302,$Y$2:$Y$13,0))</f>
        <v>0</v>
      </c>
      <c r="O302">
        <v>1</v>
      </c>
      <c r="P302" s="1">
        <f ca="1">IF(ISERROR(F297),"",IF(ISTEXT(VLOOKUP(B297,INDIRECT($F$8),6+(O302-1)*3)),(VLOOKUP(B297,INDIRECT($F$8),6+(O302-1)*3)),SUM(VLOOKUP(B297,INDIRECT($F$8),6+(O302-1)*3),IF(W310,W302,0))))</f>
        <v>0</v>
      </c>
      <c r="Q302" s="1">
        <f ca="1">IF(ISERROR(F297),"",VLOOKUP(B297,INDIRECT($F$8),7+(O302-1)*3))</f>
        <v>0</v>
      </c>
      <c r="R302" s="1">
        <f ca="1">IF(ISERROR(F297),"",SUM(P302:Q302))</f>
        <v>0</v>
      </c>
      <c r="S302" s="1">
        <f ca="1">IF(ISERROR(F297),"",VLOOKUP(A297,INDIRECT($F$8),6+(O302-1)*3))</f>
        <v>100</v>
      </c>
      <c r="T302" s="1">
        <f ca="1">IF(ISERROR(F297),"",VLOOKUP(A297,INDIRECT($F$8),7+(O302-1)*3))</f>
        <v>50</v>
      </c>
      <c r="U302" s="1">
        <f ca="1">IF(ISERROR(F297),"",VLOOKUP(A297,INDIRECT($F$8),8+(O302-1)*3))</f>
        <v>150</v>
      </c>
      <c r="V302" s="1" t="str">
        <f ca="1">IF(ISERROR(F297),"",IF(N302=0,A302,""))</f>
        <v>CAT  014</v>
      </c>
      <c r="W302" s="1">
        <f ca="1">IF(ISERROR(F297),"",IF(ISTEXT(VLOOKUP(B297,INDIRECT($F$8),6+(O302-1)*3)),11,IF(VLOOKUP(B297,INDIRECT($F$8),6+(O302-1)*3)&lt;S302*0.3,IF(VLOOKUP(B297,INDIRECT($F$8),8+(O302-1)*3)&lt;U302*0.4,IF(AND(0.4*U302-VLOOKUP(B297,INDIRECT($F$8),8+(O302-1)*3)&lt;=5,0.3*S302-VLOOKUP(B297,INDIRECT($F$8),6+(O302-1)*3)&lt;=5),MAX(0.4*U302-VLOOKUP(B297,INDIRECT($F$8),8+(O302-1)*3),0.3*S302-VLOOKUP(B297,INDIRECT($F$8),6+(O302-1)*3)),11),IF(0.3*S302-VLOOKUP(B297,INDIRECT($F$8),6+(O302-1)*3)&lt;=5,0.3*S302-VLOOKUP(B297,INDIRECT($F$8),6+(O302-1)*3),11)),IF(VLOOKUP(B297,INDIRECT($F$8),8+(O302-1)*3)&lt;U302*0.4,IF(U302*0.4-VLOOKUP(B297,INDIRECT($F$8),8+(O302-1)*3)&lt;=5,U302*0.4-VLOOKUP(B297,INDIRECT($F$8),8+(O302-1)*3),11),0))))</f>
        <v>11</v>
      </c>
      <c r="X302" s="1" t="str">
        <f ca="1">IF(ISERROR(F297),"",IF(W302=0,"",_xlfn.TEXTJOIN("",FALSE," G+",W302," in ",A302)))</f>
        <v xml:space="preserve"> G+11 in CAT  014</v>
      </c>
    </row>
    <row r="303" spans="1:24" ht="14.25" customHeight="1" x14ac:dyDescent="0.2">
      <c r="A303" s="7" t="str">
        <f ca="1">IF(ISERROR(F297),"",VLOOKUP(C297,INDIRECT($F$8),6+(O303-1)*3,0))</f>
        <v>CAT 015</v>
      </c>
      <c r="B303" s="41" t="str">
        <f ca="1">IF(ISERROR(F297),"",VLOOKUP(D297,INDIRECT($F$8),6+(O303-1)*3,0))</f>
        <v>Software Engineering</v>
      </c>
      <c r="C303" s="41"/>
      <c r="D303" s="41"/>
      <c r="E303" s="41"/>
      <c r="F303" s="7">
        <f ca="1">IF(ISERROR(F297),"",VLOOKUP(E297,INDIRECT($F$8),6+(O303-1)*3,0))</f>
        <v>4</v>
      </c>
      <c r="G303" s="42" t="str">
        <f ca="1">IF(ISERROR(F297),"",_xlfn.TEXTJOIN("/",FALSE,P303,S303))</f>
        <v>0/100</v>
      </c>
      <c r="H303" s="42"/>
      <c r="I303" s="42" t="str">
        <f ca="1">IF(ISERROR(F297),"",_xlfn.TEXTJOIN("/",FALSE,Q303,T303))</f>
        <v>0/50</v>
      </c>
      <c r="J303" s="42"/>
      <c r="K303" s="42" t="str">
        <f ca="1">IF(ISERROR(F297),"",_xlfn.TEXTJOIN("/",FALSE,R303,U303))</f>
        <v>0/150</v>
      </c>
      <c r="L303" s="42"/>
      <c r="M303" s="7" t="str">
        <f ca="1">IF(ISERROR(F297),"",IF(ISTEXT(P303),IF(P303="A","Ab",IF(P303="D","Dt",IF(P303="UFM","UFM",IF(P303="NA","")))),IF(AND(ISBLANK(P303),ISBLANK(R303)),"",IF(P303&lt;0.3*S303,"F",IF(ISBLANK(R303),"",IF(ISTEXT(R303),R303,IF(R303&gt;=0.9*U303,"O",IF(R303&gt;=0.85*U303,"A+",IF(R303&gt;=0.8*U303,"A",IF(R303&gt;=0.7*U303,"B+",IF(R303&gt;=0.6*U303,"B",IF(R303&gt;=0.5*U303,"C",IF(R303&gt;=0.4*U303,"P",IF(R303&lt;0.4*U303,"F",R303))))))))))))))</f>
        <v>F</v>
      </c>
      <c r="N303" s="8">
        <f t="shared" ca="1" si="34"/>
        <v>0</v>
      </c>
      <c r="O303">
        <f>O302+1</f>
        <v>2</v>
      </c>
      <c r="P303" s="1">
        <f ca="1">IF(ISERROR(F297),"",IF(ISTEXT(VLOOKUP(B297,INDIRECT($F$8),6+(O303-1)*3)),(VLOOKUP(B297,INDIRECT($F$8),6+(O303-1)*3)),SUM(VLOOKUP(B297,INDIRECT($F$8),6+(O303-1)*3),IF(W310,W303,0))))</f>
        <v>0</v>
      </c>
      <c r="Q303" s="1">
        <f ca="1">IF(ISERROR(F297),"",VLOOKUP(B297,INDIRECT($F$8),7+(O303-1)*3))</f>
        <v>0</v>
      </c>
      <c r="R303" s="1">
        <f ca="1">IF(ISERROR(F297),"",SUM(P303:Q303))</f>
        <v>0</v>
      </c>
      <c r="S303" s="1">
        <f ca="1">IF(ISERROR(F297),"",VLOOKUP(A297,INDIRECT($F$8),6+(O303-1)*3))</f>
        <v>100</v>
      </c>
      <c r="T303" s="1">
        <f ca="1">IF(ISERROR(F297),"",VLOOKUP(A297,INDIRECT($F$8),7+(O303-1)*3))</f>
        <v>50</v>
      </c>
      <c r="U303" s="1">
        <f ca="1">IF(ISERROR(F297),"",VLOOKUP(A297,INDIRECT($F$8),8+(O303-1)*3))</f>
        <v>150</v>
      </c>
      <c r="V303" s="1" t="str">
        <f ca="1">IF(ISERROR(F297),"",IF(N303=0,A303,""))</f>
        <v>CAT 015</v>
      </c>
      <c r="W303" s="1">
        <f ca="1">IF(ISERROR(F297),"",IF(ISTEXT(VLOOKUP(B297,INDIRECT($F$8),6+(O303-1)*3)),11,IF(VLOOKUP(B297,INDIRECT($F$8),6+(O303-1)*3)&lt;S303*0.3,IF(VLOOKUP(B297,INDIRECT($F$8),8+(O303-1)*3)&lt;U303*0.4,IF(AND(0.4*U303-VLOOKUP(B297,INDIRECT($F$8),8+(O303-1)*3)&lt;=5,0.3*S303-VLOOKUP(B297,INDIRECT($F$8),6+(O303-1)*3)&lt;=5),MAX(0.4*U303-VLOOKUP(B297,INDIRECT($F$8),8+(O303-1)*3),0.3*S303-VLOOKUP(B297,INDIRECT($F$8),6+(O303-1)*3)),11),IF(0.3*S303-VLOOKUP(B297,INDIRECT($F$8),6+(O303-1)*3)&lt;=5,0.3*S303-VLOOKUP(B297,INDIRECT($F$8),6+(O303-1)*3),11)),IF(VLOOKUP(B297,INDIRECT($F$8),8+(O303-1)*3)&lt;U303*0.4,IF(U303*0.4-VLOOKUP(B297,INDIRECT($F$8),8+(O303-1)*3)&lt;=5,U303*0.4-VLOOKUP(B297,INDIRECT($F$8),8+(O303-1)*3),11),0))))</f>
        <v>11</v>
      </c>
      <c r="X303" s="1" t="str">
        <f ca="1">IF(ISERROR(F297),"",IF(W303=0,"",_xlfn.TEXTJOIN("",FALSE," G+",W303," in ",A303)))</f>
        <v xml:space="preserve"> G+11 in CAT 015</v>
      </c>
    </row>
    <row r="304" spans="1:24" ht="14.25" customHeight="1" x14ac:dyDescent="0.2">
      <c r="A304" s="7" t="str">
        <f ca="1">IF(ISERROR(F297),"",VLOOKUP(C297,INDIRECT($F$8),6+(O304-1)*3,0))</f>
        <v>Enroll No.</v>
      </c>
      <c r="B304" s="41">
        <f ca="1">IF(ISERROR(F297),"",VLOOKUP(D297,INDIRECT($F$8),6+(O304-1)*3,0))</f>
        <v>0</v>
      </c>
      <c r="C304" s="41"/>
      <c r="D304" s="41"/>
      <c r="E304" s="41"/>
      <c r="F304" s="7">
        <f ca="1">IF(ISERROR(F297),"",VLOOKUP(E297,INDIRECT($F$8),6+(O304-1)*3,0))</f>
        <v>0</v>
      </c>
      <c r="G304" s="42" t="str">
        <f ca="1">IF(ISERROR(F297),"",_xlfn.TEXTJOIN("/",FALSE,P304,S304))</f>
        <v>UTU/2406100171/0</v>
      </c>
      <c r="H304" s="42"/>
      <c r="I304" s="42" t="str">
        <f ca="1">IF(ISERROR(F297),"",_xlfn.TEXTJOIN("/",FALSE,Q304,T304))</f>
        <v>PRIYANSHU DHYANI/0</v>
      </c>
      <c r="J304" s="42"/>
      <c r="K304" s="42" t="str">
        <f ca="1">IF(ISERROR(F297),"",_xlfn.TEXTJOIN("/",FALSE,R304,U304))</f>
        <v>0/0</v>
      </c>
      <c r="L304" s="42"/>
      <c r="M304" s="7" t="b">
        <f ca="1">IF(ISERROR(F297),"",IF(ISTEXT(P304),IF(P304="A","Ab",IF(P304="D","Dt",IF(P304="UFM","UFM",IF(P304="NA","")))),IF(AND(ISBLANK(P304),ISBLANK(R304)),"",IF(P304&lt;0.3*S304,"F",IF(ISBLANK(R304),"",IF(ISTEXT(R304),R304,IF(R304&gt;=0.9*U304,"O",IF(R304&gt;=0.85*U304,"A+",IF(R304&gt;=0.8*U304,"A",IF(R304&gt;=0.7*U304,"B+",IF(R304&gt;=0.6*U304,"B",IF(R304&gt;=0.5*U304,"C",IF(R304&gt;=0.4*U304,"P",IF(R304&lt;0.4*U304,"F",R304))))))))))))))</f>
        <v>0</v>
      </c>
      <c r="N304" s="8" t="e">
        <f t="shared" ca="1" si="34"/>
        <v>#N/A</v>
      </c>
      <c r="O304" t="b" cm="1">
        <f t="array" aca="1" ref="O304" ca="1">IF(NOT(ISBLANK(INDIRECT("SEM_III!L"&amp;INT((ROW(O304)-15)/17)+6))),3,IF(NOT(ISBLANK(INDIRECT("SEM_III!O"&amp;INT((ROW(O304)-15)/17)+6))),4))</f>
        <v>0</v>
      </c>
      <c r="P304" s="1" t="str">
        <f ca="1">IF(ISERROR(F297),"",IF(ISTEXT(VLOOKUP(B297,INDIRECT($F$8),6+(O304-1)*3)),(VLOOKUP(B297,INDIRECT($F$8),6+(O304-1)*3)),SUM(VLOOKUP(B297,INDIRECT($F$8),6+(O304-1)*3),IF(W310,W304,0))))</f>
        <v>UTU/2406100171</v>
      </c>
      <c r="Q304" s="1" t="str">
        <f ca="1">IF(ISERROR(F297),"",VLOOKUP(B297,INDIRECT($F$8),7+(O304-1)*3))</f>
        <v>PRIYANSHU DHYANI</v>
      </c>
      <c r="R304" s="1">
        <f ca="1">IF(ISERROR(F297),"",SUM(P304:Q304))</f>
        <v>0</v>
      </c>
      <c r="S304" s="1">
        <f ca="1">IF(ISERROR(F297),"",VLOOKUP(A297,INDIRECT($F$8),6+(O304-1)*3))</f>
        <v>0</v>
      </c>
      <c r="T304" s="1">
        <f ca="1">IF(ISERROR(F297),"",VLOOKUP(A297,INDIRECT($F$8),7+(O304-1)*3))</f>
        <v>0</v>
      </c>
      <c r="U304" s="1">
        <f ca="1">IF(ISERROR(F297),"",VLOOKUP(A297,INDIRECT($F$8),8+(O304-1)*3))</f>
        <v>0</v>
      </c>
      <c r="V304" s="1" t="e">
        <f ca="1">IF(ISERROR(F297),"",IF(N304=0,A304,""))</f>
        <v>#N/A</v>
      </c>
      <c r="W304" s="1">
        <f ca="1">IF(ISERROR(F297),"",IF(ISTEXT(VLOOKUP(B297,INDIRECT($F$8),6+(O304-1)*3)),11,IF(VLOOKUP(B297,INDIRECT($F$8),6+(O304-1)*3)&lt;S304*0.3,IF(VLOOKUP(B297,INDIRECT($F$8),8+(O304-1)*3)&lt;U304*0.4,IF(AND(0.4*U304-VLOOKUP(B297,INDIRECT($F$8),8+(O304-1)*3)&lt;=5,0.3*S304-VLOOKUP(B297,INDIRECT($F$8),6+(O304-1)*3)&lt;=5),MAX(0.4*U304-VLOOKUP(B297,INDIRECT($F$8),8+(O304-1)*3),0.3*S304-VLOOKUP(B297,INDIRECT($F$8),6+(O304-1)*3)),11),IF(0.3*S304-VLOOKUP(B297,INDIRECT($F$8),6+(O304-1)*3)&lt;=5,0.3*S304-VLOOKUP(B297,INDIRECT($F$8),6+(O304-1)*3),11)),IF(VLOOKUP(B297,INDIRECT($F$8),8+(O304-1)*3)&lt;U304*0.4,IF(U304*0.4-VLOOKUP(B297,INDIRECT($F$8),8+(O304-1)*3)&lt;=5,U304*0.4-VLOOKUP(B297,INDIRECT($F$8),8+(O304-1)*3),11),0))))</f>
        <v>11</v>
      </c>
      <c r="X304" s="1" t="str">
        <f ca="1">IF(ISERROR(F297),"",IF(W304=0,"",_xlfn.TEXTJOIN("",FALSE," G+",W304," in ",A304)))</f>
        <v xml:space="preserve"> G+11 in Enroll No.</v>
      </c>
    </row>
    <row r="305" spans="1:24" ht="14.25" customHeight="1" x14ac:dyDescent="0.2">
      <c r="A305" s="7" t="str">
        <f ca="1">IF(ISERROR(F297),"",VLOOKUP(C297,INDIRECT($F$8),6+(O305-1)*3,0))</f>
        <v>Enroll No.</v>
      </c>
      <c r="B305" s="41">
        <f ca="1">IF(ISERROR(F297),"",VLOOKUP(D297,INDIRECT($F$8),6+(O305-1)*3,0))</f>
        <v>0</v>
      </c>
      <c r="C305" s="41"/>
      <c r="D305" s="41"/>
      <c r="E305" s="41"/>
      <c r="F305" s="7">
        <f ca="1">IF(ISERROR(F297),"",VLOOKUP(E297,INDIRECT($F$8),6+(O305-1)*3,0))</f>
        <v>0</v>
      </c>
      <c r="G305" s="42" t="str">
        <f ca="1">IF(ISERROR(F297),"",_xlfn.TEXTJOIN("/",FALSE,P305,S305))</f>
        <v>UTU/2406100171/0</v>
      </c>
      <c r="H305" s="42"/>
      <c r="I305" s="42" t="str">
        <f ca="1">IF(ISERROR(F297),"",_xlfn.TEXTJOIN("/",FALSE,Q305,T305))</f>
        <v>PRIYANSHU DHYANI/0</v>
      </c>
      <c r="J305" s="42"/>
      <c r="K305" s="42" t="str">
        <f ca="1">IF(ISERROR(F297),"",_xlfn.TEXTJOIN("/",FALSE,R305,U305))</f>
        <v>0/0</v>
      </c>
      <c r="L305" s="42"/>
      <c r="M305" s="7" t="b">
        <f ca="1">IF(ISERROR(F297),"",IF(ISTEXT(P305),IF(P305="A","Ab",IF(P305="D","Dt",IF(P305="UFM","UFM",IF(P305="NA","")))),IF(AND(ISBLANK(P305),ISBLANK(R305)),"",IF(P305&lt;0.3*S305,"F",IF(ISBLANK(R305),"",IF(ISTEXT(R305),R305,IF(R305&gt;=0.9*U305,"O",IF(R305&gt;=0.85*U305,"A+",IF(R305&gt;=0.8*U305,"A",IF(R305&gt;=0.7*U305,"B+",IF(R305&gt;=0.6*U305,"B",IF(R305&gt;=0.5*U305,"C",IF(R305&gt;=0.4*U305,"P",IF(R305&lt;0.4*U305,"F",R305))))))))))))))</f>
        <v>0</v>
      </c>
      <c r="N305" s="8" t="e">
        <f t="shared" ca="1" si="34"/>
        <v>#N/A</v>
      </c>
      <c r="O305" t="b" cm="1">
        <f t="array" aca="1" ref="O305" ca="1">IF(NOT(ISBLANK(INDIRECT("SEM_III!R"&amp;INT((ROW(O305)-16)/17)+6))),5,IF(NOT(ISBLANK(INDIRECT("SEM_III!U"&amp;INT((ROW(O305)-16)/17)+6))),6))</f>
        <v>0</v>
      </c>
      <c r="P305" s="1" t="str">
        <f ca="1">IF(ISERROR(F297),"",IF(ISTEXT(VLOOKUP(B297,INDIRECT($F$8),6+(O305-1)*3)),(VLOOKUP(B297,INDIRECT($F$8),6+(O305-1)*3)),SUM(VLOOKUP(B297,INDIRECT($F$8),6+(O305-1)*3),IF(W310,W305,0))))</f>
        <v>UTU/2406100171</v>
      </c>
      <c r="Q305" s="1" t="str">
        <f ca="1">IF(ISERROR(F297),"",VLOOKUP(B297,INDIRECT($F$8),7+(O305-1)*3))</f>
        <v>PRIYANSHU DHYANI</v>
      </c>
      <c r="R305" s="1">
        <f ca="1">IF(ISERROR(F297),"",SUM(P305:Q305))</f>
        <v>0</v>
      </c>
      <c r="S305" s="1">
        <f ca="1">IF(ISERROR(F297),"",VLOOKUP(A297,INDIRECT($F$8),6+(O305-1)*3))</f>
        <v>0</v>
      </c>
      <c r="T305" s="1">
        <f ca="1">IF(ISERROR(F297),"",VLOOKUP(A297,INDIRECT($F$8),7+(O305-1)*3))</f>
        <v>0</v>
      </c>
      <c r="U305" s="1">
        <f ca="1">IF(ISERROR(F297),"",VLOOKUP(A297,INDIRECT($F$8),8+(O305-1)*3))</f>
        <v>0</v>
      </c>
      <c r="V305" s="1" t="e">
        <f ca="1">IF(ISERROR(F297),"",IF(N305=0,A305,""))</f>
        <v>#N/A</v>
      </c>
      <c r="W305" s="1">
        <f ca="1">IF(ISERROR(F297),"",IF(ISTEXT(VLOOKUP(B297,INDIRECT($F$8),6+(O305-1)*3)),11,IF(VLOOKUP(B297,INDIRECT($F$8),6+(O305-1)*3)&lt;S305*0.3,IF(VLOOKUP(B297,INDIRECT($F$8),8+(O305-1)*3)&lt;U305*0.4,IF(AND(0.4*U305-VLOOKUP(B297,INDIRECT($F$8),8+(O305-1)*3)&lt;=5,0.3*S305-VLOOKUP(B297,INDIRECT($F$8),6+(O305-1)*3)&lt;=5),MAX(0.4*U305-VLOOKUP(B297,INDIRECT($F$8),8+(O305-1)*3),0.3*S305-VLOOKUP(B297,INDIRECT($F$8),6+(O305-1)*3)),11),IF(0.3*S305-VLOOKUP(B297,INDIRECT($F$8),6+(O305-1)*3)&lt;=5,0.3*S305-VLOOKUP(B297,INDIRECT($F$8),6+(O305-1)*3),11)),IF(VLOOKUP(B297,INDIRECT($F$8),8+(O305-1)*3)&lt;U305*0.4,IF(U305*0.4-VLOOKUP(B297,INDIRECT($F$8),8+(O305-1)*3)&lt;=5,U305*0.4-VLOOKUP(B297,INDIRECT($F$8),8+(O305-1)*3),11),0))))</f>
        <v>11</v>
      </c>
      <c r="X305" s="1" t="str">
        <f ca="1">IF(ISERROR(F297),"",IF(W305=0,"",_xlfn.TEXTJOIN("",FALSE," G+",W305," in ",A305)))</f>
        <v xml:space="preserve"> G+11 in Enroll No.</v>
      </c>
    </row>
    <row r="306" spans="1:24" ht="14.25" customHeight="1" x14ac:dyDescent="0.2">
      <c r="A306" s="7" t="str">
        <f ca="1">IF(ISERROR(F297),"",VLOOKUP(C297,INDIRECT($F$8),6+(O306-1)*3,0))</f>
        <v>AHT 310</v>
      </c>
      <c r="B306" s="41" t="str">
        <f ca="1">IF(ISERROR(F297),"",VLOOKUP(D297,INDIRECT($F$8),6+(O306-1)*3,0))</f>
        <v>Universal Human Value</v>
      </c>
      <c r="C306" s="41"/>
      <c r="D306" s="41"/>
      <c r="E306" s="41"/>
      <c r="F306" s="7">
        <f ca="1">IF(ISERROR(F297),"",VLOOKUP(E297,INDIRECT($F$8),6+(O306-1)*3,0))</f>
        <v>3</v>
      </c>
      <c r="G306" s="42" t="str">
        <f ca="1">IF(ISERROR(F297),"",_xlfn.TEXTJOIN("/",FALSE,P306,S306))</f>
        <v>0/100</v>
      </c>
      <c r="H306" s="42"/>
      <c r="I306" s="42" t="str">
        <f ca="1">IF(ISERROR(F297),"",_xlfn.TEXTJOIN("/",FALSE,Q306,T306))</f>
        <v>0/50</v>
      </c>
      <c r="J306" s="42"/>
      <c r="K306" s="42" t="str">
        <f ca="1">IF(ISERROR(F297),"",_xlfn.TEXTJOIN("/",FALSE,R306,U306))</f>
        <v>0/150</v>
      </c>
      <c r="L306" s="42"/>
      <c r="M306" s="7" t="str">
        <f ca="1">IF(ISERROR(F297),"",IF(ISTEXT(P306),IF(P306="A","Ab",IF(P306="D","Dt",IF(P306="UFM","UFM",IF(P306="NA","")))),IF(AND(ISBLANK(P306),ISBLANK(R306)),"",IF(P306&lt;0.3*S306,"F",IF(ISBLANK(R306),"",IF(ISTEXT(R306),R306,IF(R306&gt;=0.9*U306,"O",IF(R306&gt;=0.85*U306,"A+",IF(R306&gt;=0.8*U306,"A",IF(R306&gt;=0.7*U306,"B+",IF(R306&gt;=0.6*U306,"B",IF(R306&gt;=0.5*U306,"C",IF(R306&gt;=0.4*U306,"P",IF(R306&lt;0.4*U306,"F",R306))))))))))))))</f>
        <v>F</v>
      </c>
      <c r="N306" s="8">
        <f t="shared" ca="1" si="34"/>
        <v>0</v>
      </c>
      <c r="O306">
        <f ca="1">IF(O305&gt;0,7,"")</f>
        <v>7</v>
      </c>
      <c r="P306" s="1">
        <f ca="1">IF(ISERROR(F297),"",IF(ISTEXT(VLOOKUP(B297,INDIRECT($F$8),6+(O306-1)*3)),(VLOOKUP(B297,INDIRECT($F$8),6+(O306-1)*3)),SUM(VLOOKUP(B297,INDIRECT($F$8),6+(O306-1)*3),IF(W310,W306,0))))</f>
        <v>0</v>
      </c>
      <c r="Q306" s="1">
        <f ca="1">IF(ISERROR(F297),"",VLOOKUP(B297,INDIRECT($F$8),7+(O306-1)*3))</f>
        <v>0</v>
      </c>
      <c r="R306" s="1">
        <f ca="1">IF(ISERROR(F297),"",SUM(P306:Q306))</f>
        <v>0</v>
      </c>
      <c r="S306" s="1">
        <f ca="1">IF(ISERROR(F297),"",VLOOKUP(A297,INDIRECT($F$8),6+(O306-1)*3))</f>
        <v>100</v>
      </c>
      <c r="T306" s="1">
        <f ca="1">IF(ISERROR(F297),"",VLOOKUP(A297,INDIRECT($F$8),7+(O306-1)*3))</f>
        <v>50</v>
      </c>
      <c r="U306" s="1">
        <f ca="1">IF(ISERROR(F297),"",VLOOKUP(A297,INDIRECT($F$8),8+(O306-1)*3))</f>
        <v>150</v>
      </c>
      <c r="V306" s="1" t="str">
        <f ca="1">IF(ISERROR(F297),"",IF(N306=0,A306,""))</f>
        <v>AHT 310</v>
      </c>
      <c r="W306" s="1">
        <f ca="1">IF(ISERROR(F297),"",IF(ISTEXT(VLOOKUP(B297,INDIRECT($F$8),6+(O306-1)*3)),11,IF(VLOOKUP(B297,INDIRECT($F$8),6+(O306-1)*3)&lt;S306*0.3,IF(VLOOKUP(B297,INDIRECT($F$8),8+(O306-1)*3)&lt;U306*0.4,IF(AND(0.4*U306-VLOOKUP(B297,INDIRECT($F$8),8+(O306-1)*3)&lt;=5,0.3*S306-VLOOKUP(B297,INDIRECT($F$8),6+(O306-1)*3)&lt;=5),MAX(0.4*U306-VLOOKUP(B297,INDIRECT($F$8),8+(O306-1)*3),0.3*S306-VLOOKUP(B297,INDIRECT($F$8),6+(O306-1)*3)),11),IF(0.3*S306-VLOOKUP(B297,INDIRECT($F$8),6+(O306-1)*3)&lt;=5,0.3*S306-VLOOKUP(B297,INDIRECT($F$8),6+(O306-1)*3),11)),IF(VLOOKUP(B297,INDIRECT($F$8),8+(O306-1)*3)&lt;U306*0.4,IF(U306*0.4-VLOOKUP(B297,INDIRECT($F$8),8+(O306-1)*3)&lt;=5,U306*0.4-VLOOKUP(B297,INDIRECT($F$8),8+(O306-1)*3),11),0))))</f>
        <v>11</v>
      </c>
      <c r="X306" s="1" t="str">
        <f ca="1">IF(ISERROR(F297),"",IF(W306=0,"",_xlfn.TEXTJOIN("",FALSE," G+",W306," in ",A306)))</f>
        <v xml:space="preserve"> G+11 in AHT 310</v>
      </c>
    </row>
    <row r="307" spans="1:24" ht="14.25" customHeight="1" x14ac:dyDescent="0.2">
      <c r="A307" s="7" t="str">
        <f ca="1">IF(ISERROR(F297),"",VLOOKUP(C297,INDIRECT($F$8),6+(O307-1)*3,0))</f>
        <v>CAP 008</v>
      </c>
      <c r="B307" s="41" t="str">
        <f ca="1">IF(ISERROR(F297),"",VLOOKUP(D297,INDIRECT($F$8),6+(O307-1)*3,0))</f>
        <v>Software Engineering Lab</v>
      </c>
      <c r="C307" s="41"/>
      <c r="D307" s="41"/>
      <c r="E307" s="41"/>
      <c r="F307" s="7">
        <f ca="1">IF(ISERROR(F297),"",VLOOKUP(E297,INDIRECT($F$8),6+(O307-1)*3,0))</f>
        <v>1</v>
      </c>
      <c r="G307" s="42" t="str">
        <f ca="1">IF(ISERROR(F297),"",_xlfn.TEXTJOIN("/",FALSE,P307,S307))</f>
        <v>0/30</v>
      </c>
      <c r="H307" s="42"/>
      <c r="I307" s="42" t="str">
        <f ca="1">IF(ISERROR(F297),"",_xlfn.TEXTJOIN("/",FALSE,Q307,T307))</f>
        <v>0/20</v>
      </c>
      <c r="J307" s="42"/>
      <c r="K307" s="42" t="str">
        <f ca="1">IF(ISERROR(F297),"",_xlfn.TEXTJOIN("/",FALSE,R307,U307))</f>
        <v>0/50</v>
      </c>
      <c r="L307" s="42"/>
      <c r="M307" s="7" t="str">
        <f ca="1">IF(ISERROR(F297),"",IF(ISTEXT(P307),IF(P307="A","Ab",IF(P307="D","Dt",IF(P307="UFM","UFM",IF(P307="NA","")))),IF(AND(ISBLANK(P307),ISBLANK(R307)),"",IF(P307&lt;0.3*S307,"F",IF(ISBLANK(R307),"",IF(ISTEXT(R307),R307,IF(R307&gt;=0.9*U307,"O",IF(R307&gt;=0.85*U307,"A+",IF(R307&gt;=0.8*U307,"A",IF(R307&gt;=0.7*U307,"B+",IF(R307&gt;=0.6*U307,"B",IF(R307&gt;=0.5*U307,"C",IF(R307&gt;=0.4*U307,"P",IF(R307&lt;0.4*U307,"F",R307))))))))))))))</f>
        <v>F</v>
      </c>
      <c r="N307" s="8">
        <f t="shared" ca="1" si="34"/>
        <v>0</v>
      </c>
      <c r="O307">
        <f t="shared" ref="O307:O309" ca="1" si="35">O306+1</f>
        <v>8</v>
      </c>
      <c r="P307" s="1">
        <f ca="1">IF(ISERROR(F297),"",IF(ISTEXT(VLOOKUP(B297,INDIRECT($F$8),6+(O307-1)*3)),(VLOOKUP(B297,INDIRECT($F$8),6+(O307-1)*3)),SUM(VLOOKUP(B297,INDIRECT($F$8),6+(O307-1)*3),IF(W310,W307,0))))</f>
        <v>0</v>
      </c>
      <c r="Q307" s="1">
        <f ca="1">IF(ISERROR(F297),"",VLOOKUP(B297,INDIRECT($F$8),7+(O307-1)*3))</f>
        <v>0</v>
      </c>
      <c r="R307" s="1">
        <f ca="1">IF(ISERROR(F297),"",SUM(P307:Q307))</f>
        <v>0</v>
      </c>
      <c r="S307" s="1">
        <f ca="1">IF(ISERROR(F297),"",VLOOKUP(A297,INDIRECT($F$8),6+(O307-1)*3))</f>
        <v>30</v>
      </c>
      <c r="T307" s="1">
        <f ca="1">IF(ISERROR(F297),"",VLOOKUP(A297,INDIRECT($F$8),7+(O307-1)*3))</f>
        <v>20</v>
      </c>
      <c r="U307" s="1">
        <f ca="1">IF(ISERROR(F297),"",VLOOKUP(A297,INDIRECT($F$8),8+(O307-1)*3))</f>
        <v>50</v>
      </c>
      <c r="V307" s="1" t="str">
        <f ca="1">IF(ISERROR(F297),"",IF(N307=0,A307,""))</f>
        <v>CAP 008</v>
      </c>
      <c r="W307" s="1">
        <f ca="1">IF(ISERROR(F297),"",IF(ISTEXT(VLOOKUP(B297,INDIRECT($F$8),6+(O307-1)*3)),11,IF(VLOOKUP(B297,INDIRECT($F$8),6+(O307-1)*3)&lt;S307*0.3,IF(VLOOKUP(B297,INDIRECT($F$8),8+(O307-1)*3)&lt;U307*0.4,IF(AND(0.4*U307-VLOOKUP(B297,INDIRECT($F$8),8+(O307-1)*3)&lt;=5,0.3*S307-VLOOKUP(B297,INDIRECT($F$8),6+(O307-1)*3)&lt;=5),MAX(0.4*U307-VLOOKUP(B297,INDIRECT($F$8),8+(O307-1)*3),0.3*S307-VLOOKUP(B297,INDIRECT($F$8),6+(O307-1)*3)),11),IF(0.3*S307-VLOOKUP(B297,INDIRECT($F$8),6+(O307-1)*3)&lt;=5,0.3*S307-VLOOKUP(B297,INDIRECT($F$8),6+(O307-1)*3),11)),IF(VLOOKUP(B297,INDIRECT($F$8),8+(O307-1)*3)&lt;U307*0.4,IF(U307*0.4-VLOOKUP(B297,INDIRECT($F$8),8+(O307-1)*3)&lt;=5,U307*0.4-VLOOKUP(B297,INDIRECT($F$8),8+(O307-1)*3),11),0))))</f>
        <v>11</v>
      </c>
      <c r="X307" s="1" t="str">
        <f ca="1">IF(ISERROR(F297),"",IF(W307=0,"",_xlfn.TEXTJOIN("",FALSE," G+",W307," in ",A307)))</f>
        <v xml:space="preserve"> G+11 in CAP 008</v>
      </c>
    </row>
    <row r="308" spans="1:24" ht="14.25" customHeight="1" x14ac:dyDescent="0.2">
      <c r="A308" s="7" t="str">
        <f ca="1">IF(ISERROR(F297),"",VLOOKUP(C297,INDIRECT($F$8),6+(O308-1)*3,0))</f>
        <v>CAP 009</v>
      </c>
      <c r="B308" s="41" t="str">
        <f ca="1">IF(ISERROR(F297),"",VLOOKUP(D297,INDIRECT($F$8),6+(O308-1)*3,0))</f>
        <v>Seminar</v>
      </c>
      <c r="C308" s="41"/>
      <c r="D308" s="41"/>
      <c r="E308" s="41"/>
      <c r="F308" s="7">
        <f ca="1">IF(ISERROR(F297),"",VLOOKUP(E297,INDIRECT($F$8),6+(O308-1)*3,0))</f>
        <v>2</v>
      </c>
      <c r="G308" s="42" t="str">
        <f ca="1">IF(ISERROR(F297),"",_xlfn.TEXTJOIN("/",FALSE,P308,S308))</f>
        <v>0/0</v>
      </c>
      <c r="H308" s="42"/>
      <c r="I308" s="42" t="str">
        <f ca="1">IF(ISERROR(F297),"",_xlfn.TEXTJOIN("/",FALSE,Q308,T308))</f>
        <v>0/100</v>
      </c>
      <c r="J308" s="42"/>
      <c r="K308" s="42" t="str">
        <f ca="1">IF(ISERROR(F297),"",_xlfn.TEXTJOIN("/",FALSE,R308,U308))</f>
        <v>0/100</v>
      </c>
      <c r="L308" s="42"/>
      <c r="M308" s="7" t="str">
        <f ca="1">IF(ISERROR(F297),"",IF(ISTEXT(P308),IF(P308="A","Ab",IF(P308="D","Dt",IF(P308="UFM","UFM",IF(P308="NA","")))),IF(AND(ISBLANK(P308),ISBLANK(R308)),"",IF(P308&lt;0.3*S308,"F",IF(ISBLANK(R308),"",IF(ISTEXT(R308),R308,IF(R308&gt;=0.9*U308,"O",IF(R308&gt;=0.85*U308,"A+",IF(R308&gt;=0.8*U308,"A",IF(R308&gt;=0.7*U308,"B+",IF(R308&gt;=0.6*U308,"B",IF(R308&gt;=0.5*U308,"C",IF(R308&gt;=0.4*U308,"P",IF(R308&lt;0.4*U308,"F",R308))))))))))))))</f>
        <v>F</v>
      </c>
      <c r="N308" s="8">
        <f t="shared" ca="1" si="34"/>
        <v>0</v>
      </c>
      <c r="O308">
        <f t="shared" ca="1" si="35"/>
        <v>9</v>
      </c>
      <c r="P308" s="1">
        <f ca="1">IF(ISERROR(F297),"",IF(ISTEXT(VLOOKUP(B297,INDIRECT($F$8),6+(O308-1)*3)),(VLOOKUP(B297,INDIRECT($F$8),6+(O308-1)*3)),SUM(VLOOKUP(B297,INDIRECT($F$8),6+(O308-1)*3),IF(W310,W308,0))))</f>
        <v>0</v>
      </c>
      <c r="Q308" s="1">
        <f ca="1">IF(ISERROR(F297),"",VLOOKUP(B297,INDIRECT($F$8),7+(O308-1)*3))</f>
        <v>0</v>
      </c>
      <c r="R308" s="1">
        <f ca="1">IF(ISERROR(F297),"",SUM(P308:Q308))</f>
        <v>0</v>
      </c>
      <c r="S308" s="1">
        <f ca="1">IF(ISERROR(F297),"",VLOOKUP(A297,INDIRECT($F$8),6+(O308-1)*3))</f>
        <v>0</v>
      </c>
      <c r="T308" s="1">
        <f ca="1">IF(ISERROR(F297),"",VLOOKUP(A297,INDIRECT($F$8),7+(O308-1)*3))</f>
        <v>100</v>
      </c>
      <c r="U308" s="1">
        <f ca="1">IF(ISERROR(F297),"",VLOOKUP(A297,INDIRECT($F$8),8+(O308-1)*3))</f>
        <v>100</v>
      </c>
      <c r="V308" s="1" t="str">
        <f ca="1">IF(ISERROR(F297),"",IF(N308=0,A308,""))</f>
        <v>CAP 009</v>
      </c>
      <c r="W308" s="1">
        <f ca="1">IF(ISERROR(F297),"",IF(ISTEXT(VLOOKUP(B297,INDIRECT($F$8),6+(O308-1)*3)),11,IF(VLOOKUP(B297,INDIRECT($F$8),6+(O308-1)*3)&lt;S308*0.3,IF(VLOOKUP(B297,INDIRECT($F$8),8+(O308-1)*3)&lt;U308*0.4,IF(AND(0.4*U308-VLOOKUP(B297,INDIRECT($F$8),8+(O308-1)*3)&lt;=5,0.3*S308-VLOOKUP(B297,INDIRECT($F$8),6+(O308-1)*3)&lt;=5),MAX(0.4*U308-VLOOKUP(B297,INDIRECT($F$8),8+(O308-1)*3),0.3*S308-VLOOKUP(B297,INDIRECT($F$8),6+(O308-1)*3)),11),IF(0.3*S308-VLOOKUP(B297,INDIRECT($F$8),6+(O308-1)*3)&lt;=5,0.3*S308-VLOOKUP(B297,INDIRECT($F$8),6+(O308-1)*3),11)),IF(VLOOKUP(B297,INDIRECT($F$8),8+(O308-1)*3)&lt;U308*0.4,IF(U308*0.4-VLOOKUP(B297,INDIRECT($F$8),8+(O308-1)*3)&lt;=5,U308*0.4-VLOOKUP(B297,INDIRECT($F$8),8+(O308-1)*3),11),0))))</f>
        <v>11</v>
      </c>
      <c r="X308" s="1" t="str">
        <f ca="1">IF(ISERROR(F297),"",IF(W308=0,"",_xlfn.TEXTJOIN("",FALSE," G+",W308," in ",A308)))</f>
        <v xml:space="preserve"> G+11 in CAP 009</v>
      </c>
    </row>
    <row r="309" spans="1:24" ht="14.25" customHeight="1" x14ac:dyDescent="0.2">
      <c r="A309" s="7" t="str">
        <f ca="1">IF(ISERROR(F297),"",VLOOKUP(C297,INDIRECT($F$8),6+(O309-1)*3,0))</f>
        <v>CAP 010</v>
      </c>
      <c r="B309" s="41" t="str">
        <f ca="1">IF(ISERROR(F297),"",VLOOKUP(D297,INDIRECT($F$8),6+(O309-1)*3-Z309,0))</f>
        <v>Minor Project</v>
      </c>
      <c r="C309" s="41"/>
      <c r="D309" s="41"/>
      <c r="E309" s="41"/>
      <c r="F309" s="7">
        <f ca="1">IF(ISERROR(F297),"",VLOOKUP(E297,INDIRECT($F$8),6+(O309-1)*3,0))</f>
        <v>2</v>
      </c>
      <c r="G309" s="42" t="str">
        <f ca="1">IF(ISERROR(F297),"",_xlfn.TEXTJOIN("/",FALSE,P309,S309))</f>
        <v>0/50</v>
      </c>
      <c r="H309" s="42"/>
      <c r="I309" s="42" t="str">
        <f ca="1">IF(ISERROR(F297),"",_xlfn.TEXTJOIN("/",FALSE,Q309,T309))</f>
        <v>0/50</v>
      </c>
      <c r="J309" s="42"/>
      <c r="K309" s="42" t="str">
        <f ca="1">IF(ISERROR(F297),"",_xlfn.TEXTJOIN("/",FALSE,R309,U309))</f>
        <v>0/100</v>
      </c>
      <c r="L309" s="42"/>
      <c r="M309" s="7" t="str">
        <f ca="1">IF(ISERROR(F297),"",IF(ISTEXT(P309),IF(P309="A","Ab",IF(P309="D","Dt",IF(P309="UFM","UFM",IF(P309="NA","")))),IF(AND(ISBLANK(P309),ISBLANK(R309)),"",IF(P309&lt;0.3*S309,"F",IF(ISBLANK(R309),"",IF(ISTEXT(R309),R309,IF(R309&gt;=0.9*U309,"O",IF(R309&gt;=0.85*U309,"A+",IF(R309&gt;=0.8*U309,"A",IF(R309&gt;=0.7*U309,"B+",IF(R309&gt;=0.6*U309,"B",IF(R309&gt;=0.5*U309,"C",IF(R309&gt;=0.4*U309,"P",IF(R309&lt;0.4*U309,"F",R309))))))))))))))</f>
        <v>F</v>
      </c>
      <c r="N309" s="8">
        <f t="shared" ca="1" si="34"/>
        <v>0</v>
      </c>
      <c r="O309">
        <f t="shared" ca="1" si="35"/>
        <v>10</v>
      </c>
      <c r="P309" s="1">
        <f ca="1">IF(ISERROR(F297),"",IF(ISTEXT(VLOOKUP(B297,INDIRECT($F$8),6+(O309-1)*3)),(VLOOKUP(B297,INDIRECT($F$8),6+(O309-1)*3)),SUM(VLOOKUP(B297,INDIRECT($F$8),6+(O309-1)*3),IF(W310,W309,0))))</f>
        <v>0</v>
      </c>
      <c r="Q309" s="1">
        <f ca="1">IF(ISERROR(F297),"",VLOOKUP(B297,INDIRECT($F$8),7+(O309-1)*3))</f>
        <v>0</v>
      </c>
      <c r="R309" s="1">
        <f ca="1">IF(ISERROR(F297),"",SUM(P309:Q309))</f>
        <v>0</v>
      </c>
      <c r="S309" s="1">
        <f ca="1">IF(ISERROR(F297),"",VLOOKUP(A297,INDIRECT($F$8),6+(O309-1)*3))</f>
        <v>50</v>
      </c>
      <c r="T309" s="1">
        <f ca="1">IF(ISERROR(F297),"",VLOOKUP(A297,INDIRECT($F$8),7+(O309-1)*3))</f>
        <v>50</v>
      </c>
      <c r="U309" s="1">
        <f ca="1">IF(ISERROR(F297),"",VLOOKUP(A297,INDIRECT($F$8),8+(O309-1)*3))</f>
        <v>100</v>
      </c>
      <c r="V309" s="1" t="str">
        <f ca="1">IF(ISERROR(F297),"",IF(N309=0,A309,""))</f>
        <v>CAP 010</v>
      </c>
      <c r="W309" s="1">
        <f ca="1">IF(ISERROR(F297),"",IF(ISTEXT(VLOOKUP(B297,INDIRECT($F$8),6+(O309-1)*3)),11,IF(VLOOKUP(B297,INDIRECT($F$8),6+(O309-1)*3)&lt;S309*0.3,IF(VLOOKUP(B297,INDIRECT($F$8),8+(O309-1)*3)&lt;U309*0.4,IF(AND(0.4*U309-VLOOKUP(B297,INDIRECT($F$8),8+(O309-1)*3)&lt;=5,0.3*S309-VLOOKUP(B297,INDIRECT($F$8),6+(O309-1)*3)&lt;=5),MAX(0.4*U309-VLOOKUP(B297,INDIRECT($F$8),8+(O309-1)*3),0.3*S309-VLOOKUP(B297,INDIRECT($F$8),6+(O309-1)*3)),11),IF(0.3*S309-VLOOKUP(B297,INDIRECT($F$8),6+(O309-1)*3)&lt;=5,0.3*S309-VLOOKUP(B297,INDIRECT($F$8),6+(O309-1)*3),11)),IF(VLOOKUP(B297,INDIRECT($F$8),8+(O309-1)*3)&lt;U309*0.4,IF(U309*0.4-VLOOKUP(B297,INDIRECT($F$8),8+(O309-1)*3)&lt;=5,U309*0.4-VLOOKUP(B297,INDIRECT($F$8),8+(O309-1)*3),11),0))))</f>
        <v>11</v>
      </c>
      <c r="X309" s="1" t="str">
        <f ca="1">IF(ISERROR(F297),"",IF(W309=0,"",_xlfn.TEXTJOIN("",FALSE," G+",W309," in ",A309)))</f>
        <v xml:space="preserve"> G+11 in CAP 010</v>
      </c>
    </row>
    <row r="310" spans="1:24" ht="14.25" customHeight="1" x14ac:dyDescent="0.2">
      <c r="A310" s="43" t="str">
        <f ca="1">IF(ISERROR(F297),"",A293)</f>
        <v>Total Credits/ Marks/ Total Grade Points</v>
      </c>
      <c r="B310" s="43"/>
      <c r="C310" s="43"/>
      <c r="D310" s="43"/>
      <c r="E310" s="43"/>
      <c r="F310" s="10">
        <f ca="1">IF(ISERROR(F297),"",SUM(F302:F309))</f>
        <v>16</v>
      </c>
      <c r="G310" s="44" t="str">
        <f ca="1">IF(ISERROR(F297),"",_xlfn.TEXTJOIN("/",TRUE,SUMIF(F302:F309,"&gt;0",P302:P309),SUMIF(F302:F309,"&gt;0",S302:S309)))</f>
        <v>0/380</v>
      </c>
      <c r="H310" s="44"/>
      <c r="I310" s="44" t="str">
        <f ca="1">IF(ISERROR(F297),"",_xlfn.TEXTJOIN("/",TRUE,SUMIF(F302:F309,"&gt;0",Q302:Q309),SUMIF(F302:F309,"&gt;0",T302:T309)))</f>
        <v>0/320</v>
      </c>
      <c r="J310" s="44"/>
      <c r="K310" s="44" t="str">
        <f ca="1">IF(ISERROR(F297),"",_xlfn.TEXTJOIN("/",TRUE,SUMIF(F302:F309,"&gt;0",R302:R309),SUMIF(F302:F309,"&gt;0",U302:U309)))</f>
        <v>0/700</v>
      </c>
      <c r="L310" s="44"/>
      <c r="M310" s="43" t="e">
        <f ca="1">IF(ISERROR(F297),"",SUMPRODUCT(N302:N309,F302:F309))</f>
        <v>#N/A</v>
      </c>
      <c r="N310" s="43"/>
      <c r="V310" s="1" t="e">
        <f ca="1">IF(ISERROR(F297),"",_xlfn.TEXTJOIN(", ",TRUE,V302:V309))</f>
        <v>#N/A</v>
      </c>
      <c r="W310" t="b">
        <f ca="1">IF(ISERROR(F297),"",IF(SUM(W302:W309)&lt;=W301,TRUE,FALSE))</f>
        <v>0</v>
      </c>
      <c r="X310" s="1" t="str">
        <f ca="1">IF(ISERROR(F297),"",_xlfn.TEXTJOIN(",",TRUE,X302:X309))</f>
        <v xml:space="preserve"> G+11 in CAT  014, G+11 in CAT 015, G+11 in Enroll No., G+11 in Enroll No., G+11 in AHT 310, G+11 in CAP 008, G+11 in CAP 009, G+11 in CAP 010</v>
      </c>
    </row>
    <row r="311" spans="1:24" ht="14.25" customHeight="1" x14ac:dyDescent="0.2">
      <c r="A311" s="43" t="str">
        <f ca="1">IF(ISERROR(F297),"",A294)</f>
        <v>Result:</v>
      </c>
      <c r="B311" s="45" t="e">
        <f ca="1">IF(ISERROR(F297),"",IF(V310="","PASS","CARRY OVER"))</f>
        <v>#N/A</v>
      </c>
      <c r="C311" s="45"/>
      <c r="D311" s="43" t="str">
        <f ca="1">IF(ISERROR(F297),"",D294)</f>
        <v>Remark:</v>
      </c>
      <c r="E311" s="45" t="e">
        <f ca="1">IF(ISERROR(F297),"",IF(V310="",IF(X310="","",X310),_xlfn.TEXTJOIN(" ",TRUE,"BACK IN",V310)))</f>
        <v>#N/A</v>
      </c>
      <c r="F311" s="45"/>
      <c r="G311" s="43" t="str">
        <f ca="1">IF(ISERROR(F297),"",G294)</f>
        <v>SGPA:</v>
      </c>
      <c r="H311" s="46" t="e">
        <f ca="1">IF(ISERROR(F297),"",M310/F310)</f>
        <v>#N/A</v>
      </c>
      <c r="I311" s="43" t="str">
        <f ca="1">IF(ISERROR(F297),"",I294)</f>
        <v>CGPA:</v>
      </c>
      <c r="J311" s="46" t="e">
        <f ca="1">IF(ISERROR(F297),"",VLOOKUP(B297,INDIRECT($F$8),12+(O309-1)*3,0))</f>
        <v>#N/A</v>
      </c>
      <c r="K311" s="45" t="str">
        <f ca="1">IF(ISERROR(F297),"",K294)</f>
        <v>Earned Credits:</v>
      </c>
      <c r="L311" s="43">
        <f ca="1">IF(ISERROR(F297),"",SUMIF(N302:N309,"&gt;0",F302:F309))</f>
        <v>0</v>
      </c>
      <c r="M311" s="45" t="str">
        <f ca="1">IF(ISERROR(F297),"",M294)</f>
        <v>Cuml. Earned Credits:</v>
      </c>
      <c r="N311" s="43" t="e">
        <f ca="1">IF(ISERROR(F297),"",VLOOKUP(B297,INDIRECT($F$8),10+(O309-1)*3,0))</f>
        <v>#N/A</v>
      </c>
    </row>
    <row r="312" spans="1:24" ht="14.25" customHeight="1" x14ac:dyDescent="0.2">
      <c r="A312" s="43"/>
      <c r="B312" s="45"/>
      <c r="C312" s="45"/>
      <c r="D312" s="43"/>
      <c r="E312" s="45"/>
      <c r="F312" s="45"/>
      <c r="G312" s="43"/>
      <c r="H312" s="46"/>
      <c r="I312" s="43"/>
      <c r="J312" s="46"/>
      <c r="K312" s="45"/>
      <c r="L312" s="43"/>
      <c r="M312" s="45"/>
      <c r="N312" s="43"/>
    </row>
    <row r="313" spans="1:24" ht="14.25" customHeight="1" x14ac:dyDescent="0.2">
      <c r="A313" s="43"/>
      <c r="B313" s="45"/>
      <c r="C313" s="45"/>
      <c r="D313" s="43"/>
      <c r="E313" s="45"/>
      <c r="F313" s="45"/>
      <c r="G313" s="43"/>
      <c r="H313" s="46"/>
      <c r="I313" s="43"/>
      <c r="J313" s="46"/>
      <c r="K313" s="45"/>
      <c r="L313" s="43"/>
      <c r="M313" s="45"/>
      <c r="N313" s="43"/>
    </row>
    <row r="314" spans="1:24" ht="14.25" customHeight="1" x14ac:dyDescent="0.2">
      <c r="A314" s="11" t="str">
        <f>A297</f>
        <v>MM</v>
      </c>
      <c r="B314" s="11">
        <f>B297+1</f>
        <v>19</v>
      </c>
      <c r="C314" s="11" t="str">
        <f>C297</f>
        <v>SC</v>
      </c>
      <c r="D314" s="11" t="str">
        <f>D297</f>
        <v>SN</v>
      </c>
      <c r="E314" s="11" t="str">
        <f>E297</f>
        <v>C</v>
      </c>
      <c r="F314" s="11" t="str">
        <f ca="1">VLOOKUP(B314,INDIRECT($F$8),4,0)</f>
        <v>SEJAL SINGH</v>
      </c>
    </row>
    <row r="315" spans="1:24" ht="14.25" customHeight="1" x14ac:dyDescent="0.2">
      <c r="A315" s="47" t="str">
        <f ca="1">IF(ISERROR(F314),"",A298)</f>
        <v>Name:</v>
      </c>
      <c r="B315" s="47" t="str">
        <f ca="1">IFERROR(VLOOKUP(B314,INDIRECT($F$8),4,0),"")</f>
        <v>SEJAL SINGH</v>
      </c>
      <c r="C315" s="47"/>
      <c r="D315" s="47" t="str">
        <f ca="1">IF(ISERROR(F314),"",D298)</f>
        <v>Father's Name:</v>
      </c>
      <c r="E315" s="47" t="str">
        <f ca="1">IFERROR(VLOOKUP(B314,INDIRECT($F$8),5,0),"")</f>
        <v>SHEESH RAM SINGH</v>
      </c>
      <c r="F315" s="47"/>
      <c r="G315" s="47" t="str">
        <f ca="1">IF(ISERROR(F314),"",G298)</f>
        <v>University Roll No:</v>
      </c>
      <c r="H315" s="47"/>
      <c r="I315" s="48">
        <f ca="1">IFERROR(VLOOKUP(B314,INDIRECT($F$8),2,0),"")</f>
        <v>240090600019</v>
      </c>
      <c r="J315" s="48"/>
      <c r="K315" s="47" t="str">
        <f ca="1">IF(ISERROR(F314),"",K298)</f>
        <v>University Enrol. No:</v>
      </c>
      <c r="L315" s="47"/>
      <c r="M315" s="48" t="str">
        <f ca="1">IFERROR(VLOOKUP(B314,INDIRECT($F$8),3,0),"")</f>
        <v>UTU/2406100169</v>
      </c>
      <c r="N315" s="48"/>
    </row>
    <row r="316" spans="1:24" ht="14.25" customHeight="1" x14ac:dyDescent="0.2">
      <c r="A316" s="47"/>
      <c r="B316" s="47"/>
      <c r="C316" s="47"/>
      <c r="D316" s="47"/>
      <c r="E316" s="47"/>
      <c r="F316" s="47"/>
      <c r="G316" s="47"/>
      <c r="H316" s="47"/>
      <c r="I316" s="48"/>
      <c r="J316" s="48"/>
      <c r="K316" s="47"/>
      <c r="L316" s="47"/>
      <c r="M316" s="48"/>
      <c r="N316" s="48"/>
    </row>
    <row r="317" spans="1:24" ht="14.25" customHeight="1" x14ac:dyDescent="0.2">
      <c r="A317" s="45" t="str">
        <f ca="1">IF(ISERROR(F314),"",A300)</f>
        <v>Subject Code</v>
      </c>
      <c r="B317" s="45" t="str">
        <f ca="1">IF(ISERROR(F314),"",B300)</f>
        <v>Subject Name</v>
      </c>
      <c r="C317" s="45"/>
      <c r="D317" s="45"/>
      <c r="E317" s="45"/>
      <c r="F317" s="45" t="str">
        <f ca="1">IF(ISERROR(F314),"",F300)</f>
        <v>Credits</v>
      </c>
      <c r="G317" s="45" t="str">
        <f ca="1">IF(ISERROR(F314),"",G300)</f>
        <v>External Marks</v>
      </c>
      <c r="H317" s="45"/>
      <c r="I317" s="45" t="str">
        <f ca="1">IF(ISERROR(F314),"",I300)</f>
        <v>Sessional Marks</v>
      </c>
      <c r="J317" s="45"/>
      <c r="K317" s="45" t="str">
        <f ca="1">IF(ISERROR(F314),"",K300)</f>
        <v>Total Marks</v>
      </c>
      <c r="L317" s="45"/>
      <c r="M317" s="45" t="str">
        <f ca="1">IF(ISERROR(F314),"",M300)</f>
        <v>Grade</v>
      </c>
      <c r="N317" s="45" t="str">
        <f ca="1">IF(ISERROR(F314),"",N300)</f>
        <v>Grade Points</v>
      </c>
    </row>
    <row r="318" spans="1:24" ht="14.25" customHeight="1" x14ac:dyDescent="0.2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W318">
        <f ca="1">IF(ISNUMBER(MATCH($F$8,{"I","III","V","VII"},0)),10,10-INDEX(INDIRECT(_xlfn.TEXTJOIN("",TRUE,"SEM_",$G$8,"!",ADDRESS(6,4+$I$8*3+4),":",ADDRESS(5+$H$8,4+$I$8*3+4))),MATCH(INDIRECT(_xlfn.TEXTJOIN("",TRUE,"TC_",$F$8,"!",ADDRESS(ROW(I315),COLUMN(I315)))),INDIRECT(_xlfn.TEXTJOIN("",TRUE,"SEM_",$G$8,"!",ADDRESS(6,2),":",ADDRESS(5+$H$8,2))))))</f>
        <v>10</v>
      </c>
    </row>
    <row r="319" spans="1:24" ht="14.25" customHeight="1" x14ac:dyDescent="0.2">
      <c r="A319" s="7" t="str">
        <f ca="1">IF(ISERROR(F314),"",VLOOKUP(C314,INDIRECT($F$8),6+(O319-1)*3,0))</f>
        <v>CAT  014</v>
      </c>
      <c r="B319" s="41" t="str">
        <f ca="1">IF(ISERROR(F314),"",VLOOKUP(D314,INDIRECT($F$8),6+(O319-1)*3,0))</f>
        <v>Graph Theory</v>
      </c>
      <c r="C319" s="41"/>
      <c r="D319" s="41"/>
      <c r="E319" s="41"/>
      <c r="F319" s="7">
        <f ca="1">IF(ISERROR(F314),"",VLOOKUP(E314,INDIRECT($F$8),6+(O319-1)*3,0))</f>
        <v>4</v>
      </c>
      <c r="G319" s="42" t="str">
        <f ca="1">IF(ISERROR(F314),"",_xlfn.TEXTJOIN("/",FALSE,P319,S319))</f>
        <v>0/100</v>
      </c>
      <c r="H319" s="42"/>
      <c r="I319" s="42" t="str">
        <f ca="1">IF(ISERROR(F314),"",_xlfn.TEXTJOIN("/",FALSE,Q319,T319))</f>
        <v>0/50</v>
      </c>
      <c r="J319" s="42"/>
      <c r="K319" s="42" t="str">
        <f ca="1">IF(ISERROR(F314),"",_xlfn.TEXTJOIN("/",FALSE,R319,U319))</f>
        <v>0/150</v>
      </c>
      <c r="L319" s="42"/>
      <c r="M319" s="7" t="str">
        <f ca="1">IF(ISERROR(F314),"",IF(ISTEXT(P319),IF(P319="A","Ab",IF(P319="D","Dt",IF(P319="UFM","UFM",IF(P319="NA","")))),IF(AND(ISBLANK(P319),ISBLANK(R319)),"",IF(P319&lt;0.3*S319,"F",IF(ISBLANK(R319),"",IF(ISTEXT(R319),R319,IF(R319&gt;=0.9*U319,"O",IF(R319&gt;=0.85*U319,"A+",IF(R319&gt;=0.8*U319,"A",IF(R319&gt;=0.7*U319,"B+",IF(R319&gt;=0.6*U319,"B",IF(R319&gt;=0.5*U319,"C",IF(R319&gt;=0.4*U319,"P",IF(R319&lt;0.4*U319,"F",R319))))))))))))))</f>
        <v>F</v>
      </c>
      <c r="N319" s="8">
        <f t="shared" ref="N319:N326" ca="1" si="36">INDEX($Z$2:$Z$13,MATCH(M319,$Y$2:$Y$13,0))</f>
        <v>0</v>
      </c>
      <c r="O319">
        <v>1</v>
      </c>
      <c r="P319" s="1">
        <f ca="1">IF(ISERROR(F314),"",IF(ISTEXT(VLOOKUP(B314,INDIRECT($F$8),6+(O319-1)*3)),(VLOOKUP(B314,INDIRECT($F$8),6+(O319-1)*3)),SUM(VLOOKUP(B314,INDIRECT($F$8),6+(O319-1)*3),IF(W327,W319,0))))</f>
        <v>0</v>
      </c>
      <c r="Q319" s="1">
        <f ca="1">IF(ISERROR(F314),"",VLOOKUP(B314,INDIRECT($F$8),7+(O319-1)*3))</f>
        <v>0</v>
      </c>
      <c r="R319" s="1">
        <f ca="1">IF(ISERROR(F314),"",SUM(P319:Q319))</f>
        <v>0</v>
      </c>
      <c r="S319" s="1">
        <f ca="1">IF(ISERROR(F314),"",VLOOKUP(A314,INDIRECT($F$8),6+(O319-1)*3))</f>
        <v>100</v>
      </c>
      <c r="T319" s="1">
        <f ca="1">IF(ISERROR(F314),"",VLOOKUP(A314,INDIRECT($F$8),7+(O319-1)*3))</f>
        <v>50</v>
      </c>
      <c r="U319" s="1">
        <f ca="1">IF(ISERROR(F314),"",VLOOKUP(A314,INDIRECT($F$8),8+(O319-1)*3))</f>
        <v>150</v>
      </c>
      <c r="V319" s="1" t="str">
        <f ca="1">IF(ISERROR(F314),"",IF(N319=0,A319,""))</f>
        <v>CAT  014</v>
      </c>
      <c r="W319" s="1">
        <f ca="1">IF(ISERROR(F314),"",IF(ISTEXT(VLOOKUP(B314,INDIRECT($F$8),6+(O319-1)*3)),11,IF(VLOOKUP(B314,INDIRECT($F$8),6+(O319-1)*3)&lt;S319*0.3,IF(VLOOKUP(B314,INDIRECT($F$8),8+(O319-1)*3)&lt;U319*0.4,IF(AND(0.4*U319-VLOOKUP(B314,INDIRECT($F$8),8+(O319-1)*3)&lt;=5,0.3*S319-VLOOKUP(B314,INDIRECT($F$8),6+(O319-1)*3)&lt;=5),MAX(0.4*U319-VLOOKUP(B314,INDIRECT($F$8),8+(O319-1)*3),0.3*S319-VLOOKUP(B314,INDIRECT($F$8),6+(O319-1)*3)),11),IF(0.3*S319-VLOOKUP(B314,INDIRECT($F$8),6+(O319-1)*3)&lt;=5,0.3*S319-VLOOKUP(B314,INDIRECT($F$8),6+(O319-1)*3),11)),IF(VLOOKUP(B314,INDIRECT($F$8),8+(O319-1)*3)&lt;U319*0.4,IF(U319*0.4-VLOOKUP(B314,INDIRECT($F$8),8+(O319-1)*3)&lt;=5,U319*0.4-VLOOKUP(B314,INDIRECT($F$8),8+(O319-1)*3),11),0))))</f>
        <v>11</v>
      </c>
      <c r="X319" s="1" t="str">
        <f ca="1">IF(ISERROR(F314),"",IF(W319=0,"",_xlfn.TEXTJOIN("",FALSE," G+",W319," in ",A319)))</f>
        <v xml:space="preserve"> G+11 in CAT  014</v>
      </c>
    </row>
    <row r="320" spans="1:24" ht="14.25" customHeight="1" x14ac:dyDescent="0.2">
      <c r="A320" s="7" t="str">
        <f ca="1">IF(ISERROR(F314),"",VLOOKUP(C314,INDIRECT($F$8),6+(O320-1)*3,0))</f>
        <v>CAT 015</v>
      </c>
      <c r="B320" s="41" t="str">
        <f ca="1">IF(ISERROR(F314),"",VLOOKUP(D314,INDIRECT($F$8),6+(O320-1)*3,0))</f>
        <v>Software Engineering</v>
      </c>
      <c r="C320" s="41"/>
      <c r="D320" s="41"/>
      <c r="E320" s="41"/>
      <c r="F320" s="7">
        <f ca="1">IF(ISERROR(F314),"",VLOOKUP(E314,INDIRECT($F$8),6+(O320-1)*3,0))</f>
        <v>4</v>
      </c>
      <c r="G320" s="42" t="str">
        <f ca="1">IF(ISERROR(F314),"",_xlfn.TEXTJOIN("/",FALSE,P320,S320))</f>
        <v>0/100</v>
      </c>
      <c r="H320" s="42"/>
      <c r="I320" s="42" t="str">
        <f ca="1">IF(ISERROR(F314),"",_xlfn.TEXTJOIN("/",FALSE,Q320,T320))</f>
        <v>0/50</v>
      </c>
      <c r="J320" s="42"/>
      <c r="K320" s="42" t="str">
        <f ca="1">IF(ISERROR(F314),"",_xlfn.TEXTJOIN("/",FALSE,R320,U320))</f>
        <v>0/150</v>
      </c>
      <c r="L320" s="42"/>
      <c r="M320" s="7" t="str">
        <f ca="1">IF(ISERROR(F314),"",IF(ISTEXT(P320),IF(P320="A","Ab",IF(P320="D","Dt",IF(P320="UFM","UFM",IF(P320="NA","")))),IF(AND(ISBLANK(P320),ISBLANK(R320)),"",IF(P320&lt;0.3*S320,"F",IF(ISBLANK(R320),"",IF(ISTEXT(R320),R320,IF(R320&gt;=0.9*U320,"O",IF(R320&gt;=0.85*U320,"A+",IF(R320&gt;=0.8*U320,"A",IF(R320&gt;=0.7*U320,"B+",IF(R320&gt;=0.6*U320,"B",IF(R320&gt;=0.5*U320,"C",IF(R320&gt;=0.4*U320,"P",IF(R320&lt;0.4*U320,"F",R320))))))))))))))</f>
        <v>F</v>
      </c>
      <c r="N320" s="8">
        <f t="shared" ca="1" si="36"/>
        <v>0</v>
      </c>
      <c r="O320">
        <f>O319+1</f>
        <v>2</v>
      </c>
      <c r="P320" s="1">
        <f ca="1">IF(ISERROR(F314),"",IF(ISTEXT(VLOOKUP(B314,INDIRECT($F$8),6+(O320-1)*3)),(VLOOKUP(B314,INDIRECT($F$8),6+(O320-1)*3)),SUM(VLOOKUP(B314,INDIRECT($F$8),6+(O320-1)*3),IF(W327,W320,0))))</f>
        <v>0</v>
      </c>
      <c r="Q320" s="1">
        <f ca="1">IF(ISERROR(F314),"",VLOOKUP(B314,INDIRECT($F$8),7+(O320-1)*3))</f>
        <v>0</v>
      </c>
      <c r="R320" s="1">
        <f ca="1">IF(ISERROR(F314),"",SUM(P320:Q320))</f>
        <v>0</v>
      </c>
      <c r="S320" s="1">
        <f ca="1">IF(ISERROR(F314),"",VLOOKUP(A314,INDIRECT($F$8),6+(O320-1)*3))</f>
        <v>100</v>
      </c>
      <c r="T320" s="1">
        <f ca="1">IF(ISERROR(F314),"",VLOOKUP(A314,INDIRECT($F$8),7+(O320-1)*3))</f>
        <v>50</v>
      </c>
      <c r="U320" s="1">
        <f ca="1">IF(ISERROR(F314),"",VLOOKUP(A314,INDIRECT($F$8),8+(O320-1)*3))</f>
        <v>150</v>
      </c>
      <c r="V320" s="1" t="str">
        <f ca="1">IF(ISERROR(F314),"",IF(N320=0,A320,""))</f>
        <v>CAT 015</v>
      </c>
      <c r="W320" s="1">
        <f ca="1">IF(ISERROR(F314),"",IF(ISTEXT(VLOOKUP(B314,INDIRECT($F$8),6+(O320-1)*3)),11,IF(VLOOKUP(B314,INDIRECT($F$8),6+(O320-1)*3)&lt;S320*0.3,IF(VLOOKUP(B314,INDIRECT($F$8),8+(O320-1)*3)&lt;U320*0.4,IF(AND(0.4*U320-VLOOKUP(B314,INDIRECT($F$8),8+(O320-1)*3)&lt;=5,0.3*S320-VLOOKUP(B314,INDIRECT($F$8),6+(O320-1)*3)&lt;=5),MAX(0.4*U320-VLOOKUP(B314,INDIRECT($F$8),8+(O320-1)*3),0.3*S320-VLOOKUP(B314,INDIRECT($F$8),6+(O320-1)*3)),11),IF(0.3*S320-VLOOKUP(B314,INDIRECT($F$8),6+(O320-1)*3)&lt;=5,0.3*S320-VLOOKUP(B314,INDIRECT($F$8),6+(O320-1)*3),11)),IF(VLOOKUP(B314,INDIRECT($F$8),8+(O320-1)*3)&lt;U320*0.4,IF(U320*0.4-VLOOKUP(B314,INDIRECT($F$8),8+(O320-1)*3)&lt;=5,U320*0.4-VLOOKUP(B314,INDIRECT($F$8),8+(O320-1)*3),11),0))))</f>
        <v>11</v>
      </c>
      <c r="X320" s="1" t="str">
        <f ca="1">IF(ISERROR(F314),"",IF(W320=0,"",_xlfn.TEXTJOIN("",FALSE," G+",W320," in ",A320)))</f>
        <v xml:space="preserve"> G+11 in CAT 015</v>
      </c>
    </row>
    <row r="321" spans="1:24" ht="14.25" customHeight="1" x14ac:dyDescent="0.2">
      <c r="A321" s="7" t="str">
        <f ca="1">IF(ISERROR(F314),"",VLOOKUP(C314,INDIRECT($F$8),6+(O321-1)*3,0))</f>
        <v>Enroll No.</v>
      </c>
      <c r="B321" s="41">
        <f ca="1">IF(ISERROR(F314),"",VLOOKUP(D314,INDIRECT($F$8),6+(O321-1)*3,0))</f>
        <v>0</v>
      </c>
      <c r="C321" s="41"/>
      <c r="D321" s="41"/>
      <c r="E321" s="41"/>
      <c r="F321" s="7">
        <f ca="1">IF(ISERROR(F314),"",VLOOKUP(E314,INDIRECT($F$8),6+(O321-1)*3,0))</f>
        <v>0</v>
      </c>
      <c r="G321" s="42" t="str">
        <f ca="1">IF(ISERROR(F314),"",_xlfn.TEXTJOIN("/",FALSE,P321,S321))</f>
        <v>UTU/2406100169/0</v>
      </c>
      <c r="H321" s="42"/>
      <c r="I321" s="42" t="str">
        <f ca="1">IF(ISERROR(F314),"",_xlfn.TEXTJOIN("/",FALSE,Q321,T321))</f>
        <v>SEJAL SINGH/0</v>
      </c>
      <c r="J321" s="42"/>
      <c r="K321" s="42" t="str">
        <f ca="1">IF(ISERROR(F314),"",_xlfn.TEXTJOIN("/",FALSE,R321,U321))</f>
        <v>0/0</v>
      </c>
      <c r="L321" s="42"/>
      <c r="M321" s="7" t="b">
        <f ca="1">IF(ISERROR(F314),"",IF(ISTEXT(P321),IF(P321="A","Ab",IF(P321="D","Dt",IF(P321="UFM","UFM",IF(P321="NA","")))),IF(AND(ISBLANK(P321),ISBLANK(R321)),"",IF(P321&lt;0.3*S321,"F",IF(ISBLANK(R321),"",IF(ISTEXT(R321),R321,IF(R321&gt;=0.9*U321,"O",IF(R321&gt;=0.85*U321,"A+",IF(R321&gt;=0.8*U321,"A",IF(R321&gt;=0.7*U321,"B+",IF(R321&gt;=0.6*U321,"B",IF(R321&gt;=0.5*U321,"C",IF(R321&gt;=0.4*U321,"P",IF(R321&lt;0.4*U321,"F",R321))))))))))))))</f>
        <v>0</v>
      </c>
      <c r="N321" s="8" t="e">
        <f t="shared" ca="1" si="36"/>
        <v>#N/A</v>
      </c>
      <c r="O321" t="b" cm="1">
        <f t="array" aca="1" ref="O321" ca="1">IF(NOT(ISBLANK(INDIRECT("SEM_III!L"&amp;INT((ROW(O321)-15)/17)+6))),3,IF(NOT(ISBLANK(INDIRECT("SEM_III!O"&amp;INT((ROW(O321)-15)/17)+6))),4))</f>
        <v>0</v>
      </c>
      <c r="P321" s="1" t="str">
        <f ca="1">IF(ISERROR(F314),"",IF(ISTEXT(VLOOKUP(B314,INDIRECT($F$8),6+(O321-1)*3)),(VLOOKUP(B314,INDIRECT($F$8),6+(O321-1)*3)),SUM(VLOOKUP(B314,INDIRECT($F$8),6+(O321-1)*3),IF(W327,W321,0))))</f>
        <v>UTU/2406100169</v>
      </c>
      <c r="Q321" s="1" t="str">
        <f ca="1">IF(ISERROR(F314),"",VLOOKUP(B314,INDIRECT($F$8),7+(O321-1)*3))</f>
        <v>SEJAL SINGH</v>
      </c>
      <c r="R321" s="1">
        <f ca="1">IF(ISERROR(F314),"",SUM(P321:Q321))</f>
        <v>0</v>
      </c>
      <c r="S321" s="1">
        <f ca="1">IF(ISERROR(F314),"",VLOOKUP(A314,INDIRECT($F$8),6+(O321-1)*3))</f>
        <v>0</v>
      </c>
      <c r="T321" s="1">
        <f ca="1">IF(ISERROR(F314),"",VLOOKUP(A314,INDIRECT($F$8),7+(O321-1)*3))</f>
        <v>0</v>
      </c>
      <c r="U321" s="1">
        <f ca="1">IF(ISERROR(F314),"",VLOOKUP(A314,INDIRECT($F$8),8+(O321-1)*3))</f>
        <v>0</v>
      </c>
      <c r="V321" s="1" t="e">
        <f ca="1">IF(ISERROR(F314),"",IF(N321=0,A321,""))</f>
        <v>#N/A</v>
      </c>
      <c r="W321" s="1">
        <f ca="1">IF(ISERROR(F314),"",IF(ISTEXT(VLOOKUP(B314,INDIRECT($F$8),6+(O321-1)*3)),11,IF(VLOOKUP(B314,INDIRECT($F$8),6+(O321-1)*3)&lt;S321*0.3,IF(VLOOKUP(B314,INDIRECT($F$8),8+(O321-1)*3)&lt;U321*0.4,IF(AND(0.4*U321-VLOOKUP(B314,INDIRECT($F$8),8+(O321-1)*3)&lt;=5,0.3*S321-VLOOKUP(B314,INDIRECT($F$8),6+(O321-1)*3)&lt;=5),MAX(0.4*U321-VLOOKUP(B314,INDIRECT($F$8),8+(O321-1)*3),0.3*S321-VLOOKUP(B314,INDIRECT($F$8),6+(O321-1)*3)),11),IF(0.3*S321-VLOOKUP(B314,INDIRECT($F$8),6+(O321-1)*3)&lt;=5,0.3*S321-VLOOKUP(B314,INDIRECT($F$8),6+(O321-1)*3),11)),IF(VLOOKUP(B314,INDIRECT($F$8),8+(O321-1)*3)&lt;U321*0.4,IF(U321*0.4-VLOOKUP(B314,INDIRECT($F$8),8+(O321-1)*3)&lt;=5,U321*0.4-VLOOKUP(B314,INDIRECT($F$8),8+(O321-1)*3),11),0))))</f>
        <v>11</v>
      </c>
      <c r="X321" s="1" t="str">
        <f ca="1">IF(ISERROR(F314),"",IF(W321=0,"",_xlfn.TEXTJOIN("",FALSE," G+",W321," in ",A321)))</f>
        <v xml:space="preserve"> G+11 in Enroll No.</v>
      </c>
    </row>
    <row r="322" spans="1:24" ht="14.25" customHeight="1" x14ac:dyDescent="0.2">
      <c r="A322" s="7" t="str">
        <f ca="1">IF(ISERROR(F314),"",VLOOKUP(C314,INDIRECT($F$8),6+(O322-1)*3,0))</f>
        <v>Enroll No.</v>
      </c>
      <c r="B322" s="41">
        <f ca="1">IF(ISERROR(F314),"",VLOOKUP(D314,INDIRECT($F$8),6+(O322-1)*3,0))</f>
        <v>0</v>
      </c>
      <c r="C322" s="41"/>
      <c r="D322" s="41"/>
      <c r="E322" s="41"/>
      <c r="F322" s="7">
        <f ca="1">IF(ISERROR(F314),"",VLOOKUP(E314,INDIRECT($F$8),6+(O322-1)*3,0))</f>
        <v>0</v>
      </c>
      <c r="G322" s="42" t="str">
        <f ca="1">IF(ISERROR(F314),"",_xlfn.TEXTJOIN("/",FALSE,P322,S322))</f>
        <v>UTU/2406100169/0</v>
      </c>
      <c r="H322" s="42"/>
      <c r="I322" s="42" t="str">
        <f ca="1">IF(ISERROR(F314),"",_xlfn.TEXTJOIN("/",FALSE,Q322,T322))</f>
        <v>SEJAL SINGH/0</v>
      </c>
      <c r="J322" s="42"/>
      <c r="K322" s="42" t="str">
        <f ca="1">IF(ISERROR(F314),"",_xlfn.TEXTJOIN("/",FALSE,R322,U322))</f>
        <v>0/0</v>
      </c>
      <c r="L322" s="42"/>
      <c r="M322" s="7" t="b">
        <f ca="1">IF(ISERROR(F314),"",IF(ISTEXT(P322),IF(P322="A","Ab",IF(P322="D","Dt",IF(P322="UFM","UFM",IF(P322="NA","")))),IF(AND(ISBLANK(P322),ISBLANK(R322)),"",IF(P322&lt;0.3*S322,"F",IF(ISBLANK(R322),"",IF(ISTEXT(R322),R322,IF(R322&gt;=0.9*U322,"O",IF(R322&gt;=0.85*U322,"A+",IF(R322&gt;=0.8*U322,"A",IF(R322&gt;=0.7*U322,"B+",IF(R322&gt;=0.6*U322,"B",IF(R322&gt;=0.5*U322,"C",IF(R322&gt;=0.4*U322,"P",IF(R322&lt;0.4*U322,"F",R322))))))))))))))</f>
        <v>0</v>
      </c>
      <c r="N322" s="8" t="e">
        <f t="shared" ca="1" si="36"/>
        <v>#N/A</v>
      </c>
      <c r="O322" t="b" cm="1">
        <f t="array" aca="1" ref="O322" ca="1">IF(NOT(ISBLANK(INDIRECT("SEM_III!R"&amp;INT((ROW(O322)-16)/17)+6))),5,IF(NOT(ISBLANK(INDIRECT("SEM_III!U"&amp;INT((ROW(O322)-16)/17)+6))),6))</f>
        <v>0</v>
      </c>
      <c r="P322" s="1" t="str">
        <f ca="1">IF(ISERROR(F314),"",IF(ISTEXT(VLOOKUP(B314,INDIRECT($F$8),6+(O322-1)*3)),(VLOOKUP(B314,INDIRECT($F$8),6+(O322-1)*3)),SUM(VLOOKUP(B314,INDIRECT($F$8),6+(O322-1)*3),IF(W327,W322,0))))</f>
        <v>UTU/2406100169</v>
      </c>
      <c r="Q322" s="1" t="str">
        <f ca="1">IF(ISERROR(F314),"",VLOOKUP(B314,INDIRECT($F$8),7+(O322-1)*3))</f>
        <v>SEJAL SINGH</v>
      </c>
      <c r="R322" s="1">
        <f ca="1">IF(ISERROR(F314),"",SUM(P322:Q322))</f>
        <v>0</v>
      </c>
      <c r="S322" s="1">
        <f ca="1">IF(ISERROR(F314),"",VLOOKUP(A314,INDIRECT($F$8),6+(O322-1)*3))</f>
        <v>0</v>
      </c>
      <c r="T322" s="1">
        <f ca="1">IF(ISERROR(F314),"",VLOOKUP(A314,INDIRECT($F$8),7+(O322-1)*3))</f>
        <v>0</v>
      </c>
      <c r="U322" s="1">
        <f ca="1">IF(ISERROR(F314),"",VLOOKUP(A314,INDIRECT($F$8),8+(O322-1)*3))</f>
        <v>0</v>
      </c>
      <c r="V322" s="1" t="e">
        <f ca="1">IF(ISERROR(F314),"",IF(N322=0,A322,""))</f>
        <v>#N/A</v>
      </c>
      <c r="W322" s="1">
        <f ca="1">IF(ISERROR(F314),"",IF(ISTEXT(VLOOKUP(B314,INDIRECT($F$8),6+(O322-1)*3)),11,IF(VLOOKUP(B314,INDIRECT($F$8),6+(O322-1)*3)&lt;S322*0.3,IF(VLOOKUP(B314,INDIRECT($F$8),8+(O322-1)*3)&lt;U322*0.4,IF(AND(0.4*U322-VLOOKUP(B314,INDIRECT($F$8),8+(O322-1)*3)&lt;=5,0.3*S322-VLOOKUP(B314,INDIRECT($F$8),6+(O322-1)*3)&lt;=5),MAX(0.4*U322-VLOOKUP(B314,INDIRECT($F$8),8+(O322-1)*3),0.3*S322-VLOOKUP(B314,INDIRECT($F$8),6+(O322-1)*3)),11),IF(0.3*S322-VLOOKUP(B314,INDIRECT($F$8),6+(O322-1)*3)&lt;=5,0.3*S322-VLOOKUP(B314,INDIRECT($F$8),6+(O322-1)*3),11)),IF(VLOOKUP(B314,INDIRECT($F$8),8+(O322-1)*3)&lt;U322*0.4,IF(U322*0.4-VLOOKUP(B314,INDIRECT($F$8),8+(O322-1)*3)&lt;=5,U322*0.4-VLOOKUP(B314,INDIRECT($F$8),8+(O322-1)*3),11),0))))</f>
        <v>11</v>
      </c>
      <c r="X322" s="1" t="str">
        <f ca="1">IF(ISERROR(F314),"",IF(W322=0,"",_xlfn.TEXTJOIN("",FALSE," G+",W322," in ",A322)))</f>
        <v xml:space="preserve"> G+11 in Enroll No.</v>
      </c>
    </row>
    <row r="323" spans="1:24" ht="14.25" customHeight="1" x14ac:dyDescent="0.2">
      <c r="A323" s="7" t="str">
        <f ca="1">IF(ISERROR(F314),"",VLOOKUP(C314,INDIRECT($F$8),6+(O323-1)*3,0))</f>
        <v>AHT 310</v>
      </c>
      <c r="B323" s="41" t="str">
        <f ca="1">IF(ISERROR(F314),"",VLOOKUP(D314,INDIRECT($F$8),6+(O323-1)*3,0))</f>
        <v>Universal Human Value</v>
      </c>
      <c r="C323" s="41"/>
      <c r="D323" s="41"/>
      <c r="E323" s="41"/>
      <c r="F323" s="7">
        <f ca="1">IF(ISERROR(F314),"",VLOOKUP(E314,INDIRECT($F$8),6+(O323-1)*3,0))</f>
        <v>3</v>
      </c>
      <c r="G323" s="42" t="str">
        <f ca="1">IF(ISERROR(F314),"",_xlfn.TEXTJOIN("/",FALSE,P323,S323))</f>
        <v>0/100</v>
      </c>
      <c r="H323" s="42"/>
      <c r="I323" s="42" t="str">
        <f ca="1">IF(ISERROR(F314),"",_xlfn.TEXTJOIN("/",FALSE,Q323,T323))</f>
        <v>0/50</v>
      </c>
      <c r="J323" s="42"/>
      <c r="K323" s="42" t="str">
        <f ca="1">IF(ISERROR(F314),"",_xlfn.TEXTJOIN("/",FALSE,R323,U323))</f>
        <v>0/150</v>
      </c>
      <c r="L323" s="42"/>
      <c r="M323" s="7" t="str">
        <f ca="1">IF(ISERROR(F314),"",IF(ISTEXT(P323),IF(P323="A","Ab",IF(P323="D","Dt",IF(P323="UFM","UFM",IF(P323="NA","")))),IF(AND(ISBLANK(P323),ISBLANK(R323)),"",IF(P323&lt;0.3*S323,"F",IF(ISBLANK(R323),"",IF(ISTEXT(R323),R323,IF(R323&gt;=0.9*U323,"O",IF(R323&gt;=0.85*U323,"A+",IF(R323&gt;=0.8*U323,"A",IF(R323&gt;=0.7*U323,"B+",IF(R323&gt;=0.6*U323,"B",IF(R323&gt;=0.5*U323,"C",IF(R323&gt;=0.4*U323,"P",IF(R323&lt;0.4*U323,"F",R323))))))))))))))</f>
        <v>F</v>
      </c>
      <c r="N323" s="8">
        <f t="shared" ca="1" si="36"/>
        <v>0</v>
      </c>
      <c r="O323">
        <f ca="1">IF(O322&gt;0,7,"")</f>
        <v>7</v>
      </c>
      <c r="P323" s="1">
        <f ca="1">IF(ISERROR(F314),"",IF(ISTEXT(VLOOKUP(B314,INDIRECT($F$8),6+(O323-1)*3)),(VLOOKUP(B314,INDIRECT($F$8),6+(O323-1)*3)),SUM(VLOOKUP(B314,INDIRECT($F$8),6+(O323-1)*3),IF(W327,W323,0))))</f>
        <v>0</v>
      </c>
      <c r="Q323" s="1">
        <f ca="1">IF(ISERROR(F314),"",VLOOKUP(B314,INDIRECT($F$8),7+(O323-1)*3))</f>
        <v>0</v>
      </c>
      <c r="R323" s="1">
        <f ca="1">IF(ISERROR(F314),"",SUM(P323:Q323))</f>
        <v>0</v>
      </c>
      <c r="S323" s="1">
        <f ca="1">IF(ISERROR(F314),"",VLOOKUP(A314,INDIRECT($F$8),6+(O323-1)*3))</f>
        <v>100</v>
      </c>
      <c r="T323" s="1">
        <f ca="1">IF(ISERROR(F314),"",VLOOKUP(A314,INDIRECT($F$8),7+(O323-1)*3))</f>
        <v>50</v>
      </c>
      <c r="U323" s="1">
        <f ca="1">IF(ISERROR(F314),"",VLOOKUP(A314,INDIRECT($F$8),8+(O323-1)*3))</f>
        <v>150</v>
      </c>
      <c r="V323" s="1" t="str">
        <f ca="1">IF(ISERROR(F314),"",IF(N323=0,A323,""))</f>
        <v>AHT 310</v>
      </c>
      <c r="W323" s="1">
        <f ca="1">IF(ISERROR(F314),"",IF(ISTEXT(VLOOKUP(B314,INDIRECT($F$8),6+(O323-1)*3)),11,IF(VLOOKUP(B314,INDIRECT($F$8),6+(O323-1)*3)&lt;S323*0.3,IF(VLOOKUP(B314,INDIRECT($F$8),8+(O323-1)*3)&lt;U323*0.4,IF(AND(0.4*U323-VLOOKUP(B314,INDIRECT($F$8),8+(O323-1)*3)&lt;=5,0.3*S323-VLOOKUP(B314,INDIRECT($F$8),6+(O323-1)*3)&lt;=5),MAX(0.4*U323-VLOOKUP(B314,INDIRECT($F$8),8+(O323-1)*3),0.3*S323-VLOOKUP(B314,INDIRECT($F$8),6+(O323-1)*3)),11),IF(0.3*S323-VLOOKUP(B314,INDIRECT($F$8),6+(O323-1)*3)&lt;=5,0.3*S323-VLOOKUP(B314,INDIRECT($F$8),6+(O323-1)*3),11)),IF(VLOOKUP(B314,INDIRECT($F$8),8+(O323-1)*3)&lt;U323*0.4,IF(U323*0.4-VLOOKUP(B314,INDIRECT($F$8),8+(O323-1)*3)&lt;=5,U323*0.4-VLOOKUP(B314,INDIRECT($F$8),8+(O323-1)*3),11),0))))</f>
        <v>11</v>
      </c>
      <c r="X323" s="1" t="str">
        <f ca="1">IF(ISERROR(F314),"",IF(W323=0,"",_xlfn.TEXTJOIN("",FALSE," G+",W323," in ",A323)))</f>
        <v xml:space="preserve"> G+11 in AHT 310</v>
      </c>
    </row>
    <row r="324" spans="1:24" ht="14.25" customHeight="1" x14ac:dyDescent="0.2">
      <c r="A324" s="7" t="str">
        <f ca="1">IF(ISERROR(F314),"",VLOOKUP(C314,INDIRECT($F$8),6+(O324-1)*3,0))</f>
        <v>CAP 008</v>
      </c>
      <c r="B324" s="41" t="str">
        <f ca="1">IF(ISERROR(F314),"",VLOOKUP(D314,INDIRECT($F$8),6+(O324-1)*3,0))</f>
        <v>Software Engineering Lab</v>
      </c>
      <c r="C324" s="41"/>
      <c r="D324" s="41"/>
      <c r="E324" s="41"/>
      <c r="F324" s="7">
        <f ca="1">IF(ISERROR(F314),"",VLOOKUP(E314,INDIRECT($F$8),6+(O324-1)*3,0))</f>
        <v>1</v>
      </c>
      <c r="G324" s="42" t="str">
        <f ca="1">IF(ISERROR(F314),"",_xlfn.TEXTJOIN("/",FALSE,P324,S324))</f>
        <v>0/30</v>
      </c>
      <c r="H324" s="42"/>
      <c r="I324" s="42" t="str">
        <f ca="1">IF(ISERROR(F314),"",_xlfn.TEXTJOIN("/",FALSE,Q324,T324))</f>
        <v>0/20</v>
      </c>
      <c r="J324" s="42"/>
      <c r="K324" s="42" t="str">
        <f ca="1">IF(ISERROR(F314),"",_xlfn.TEXTJOIN("/",FALSE,R324,U324))</f>
        <v>0/50</v>
      </c>
      <c r="L324" s="42"/>
      <c r="M324" s="7" t="str">
        <f ca="1">IF(ISERROR(F314),"",IF(ISTEXT(P324),IF(P324="A","Ab",IF(P324="D","Dt",IF(P324="UFM","UFM",IF(P324="NA","")))),IF(AND(ISBLANK(P324),ISBLANK(R324)),"",IF(P324&lt;0.3*S324,"F",IF(ISBLANK(R324),"",IF(ISTEXT(R324),R324,IF(R324&gt;=0.9*U324,"O",IF(R324&gt;=0.85*U324,"A+",IF(R324&gt;=0.8*U324,"A",IF(R324&gt;=0.7*U324,"B+",IF(R324&gt;=0.6*U324,"B",IF(R324&gt;=0.5*U324,"C",IF(R324&gt;=0.4*U324,"P",IF(R324&lt;0.4*U324,"F",R324))))))))))))))</f>
        <v>F</v>
      </c>
      <c r="N324" s="8">
        <f t="shared" ca="1" si="36"/>
        <v>0</v>
      </c>
      <c r="O324">
        <f t="shared" ref="O324:O326" ca="1" si="37">O323+1</f>
        <v>8</v>
      </c>
      <c r="P324" s="1">
        <f ca="1">IF(ISERROR(F314),"",IF(ISTEXT(VLOOKUP(B314,INDIRECT($F$8),6+(O324-1)*3)),(VLOOKUP(B314,INDIRECT($F$8),6+(O324-1)*3)),SUM(VLOOKUP(B314,INDIRECT($F$8),6+(O324-1)*3),IF(W327,W324,0))))</f>
        <v>0</v>
      </c>
      <c r="Q324" s="1">
        <f ca="1">IF(ISERROR(F314),"",VLOOKUP(B314,INDIRECT($F$8),7+(O324-1)*3))</f>
        <v>0</v>
      </c>
      <c r="R324" s="1">
        <f ca="1">IF(ISERROR(F314),"",SUM(P324:Q324))</f>
        <v>0</v>
      </c>
      <c r="S324" s="1">
        <f ca="1">IF(ISERROR(F314),"",VLOOKUP(A314,INDIRECT($F$8),6+(O324-1)*3))</f>
        <v>30</v>
      </c>
      <c r="T324" s="1">
        <f ca="1">IF(ISERROR(F314),"",VLOOKUP(A314,INDIRECT($F$8),7+(O324-1)*3))</f>
        <v>20</v>
      </c>
      <c r="U324" s="1">
        <f ca="1">IF(ISERROR(F314),"",VLOOKUP(A314,INDIRECT($F$8),8+(O324-1)*3))</f>
        <v>50</v>
      </c>
      <c r="V324" s="1" t="str">
        <f ca="1">IF(ISERROR(F314),"",IF(N324=0,A324,""))</f>
        <v>CAP 008</v>
      </c>
      <c r="W324" s="1">
        <f ca="1">IF(ISERROR(F314),"",IF(ISTEXT(VLOOKUP(B314,INDIRECT($F$8),6+(O324-1)*3)),11,IF(VLOOKUP(B314,INDIRECT($F$8),6+(O324-1)*3)&lt;S324*0.3,IF(VLOOKUP(B314,INDIRECT($F$8),8+(O324-1)*3)&lt;U324*0.4,IF(AND(0.4*U324-VLOOKUP(B314,INDIRECT($F$8),8+(O324-1)*3)&lt;=5,0.3*S324-VLOOKUP(B314,INDIRECT($F$8),6+(O324-1)*3)&lt;=5),MAX(0.4*U324-VLOOKUP(B314,INDIRECT($F$8),8+(O324-1)*3),0.3*S324-VLOOKUP(B314,INDIRECT($F$8),6+(O324-1)*3)),11),IF(0.3*S324-VLOOKUP(B314,INDIRECT($F$8),6+(O324-1)*3)&lt;=5,0.3*S324-VLOOKUP(B314,INDIRECT($F$8),6+(O324-1)*3),11)),IF(VLOOKUP(B314,INDIRECT($F$8),8+(O324-1)*3)&lt;U324*0.4,IF(U324*0.4-VLOOKUP(B314,INDIRECT($F$8),8+(O324-1)*3)&lt;=5,U324*0.4-VLOOKUP(B314,INDIRECT($F$8),8+(O324-1)*3),11),0))))</f>
        <v>11</v>
      </c>
      <c r="X324" s="1" t="str">
        <f ca="1">IF(ISERROR(F314),"",IF(W324=0,"",_xlfn.TEXTJOIN("",FALSE," G+",W324," in ",A324)))</f>
        <v xml:space="preserve"> G+11 in CAP 008</v>
      </c>
    </row>
    <row r="325" spans="1:24" ht="14.25" customHeight="1" x14ac:dyDescent="0.2">
      <c r="A325" s="7" t="str">
        <f ca="1">IF(ISERROR(F314),"",VLOOKUP(C314,INDIRECT($F$8),6+(O325-1)*3,0))</f>
        <v>CAP 009</v>
      </c>
      <c r="B325" s="41" t="str">
        <f ca="1">IF(ISERROR(F314),"",VLOOKUP(D314,INDIRECT($F$8),6+(O325-1)*3,0))</f>
        <v>Seminar</v>
      </c>
      <c r="C325" s="41"/>
      <c r="D325" s="41"/>
      <c r="E325" s="41"/>
      <c r="F325" s="7">
        <f ca="1">IF(ISERROR(F314),"",VLOOKUP(E314,INDIRECT($F$8),6+(O325-1)*3,0))</f>
        <v>2</v>
      </c>
      <c r="G325" s="42" t="str">
        <f ca="1">IF(ISERROR(F314),"",_xlfn.TEXTJOIN("/",FALSE,P325,S325))</f>
        <v>0/0</v>
      </c>
      <c r="H325" s="42"/>
      <c r="I325" s="42" t="str">
        <f ca="1">IF(ISERROR(F314),"",_xlfn.TEXTJOIN("/",FALSE,Q325,T325))</f>
        <v>0/100</v>
      </c>
      <c r="J325" s="42"/>
      <c r="K325" s="42" t="str">
        <f ca="1">IF(ISERROR(F314),"",_xlfn.TEXTJOIN("/",FALSE,R325,U325))</f>
        <v>0/100</v>
      </c>
      <c r="L325" s="42"/>
      <c r="M325" s="7" t="str">
        <f ca="1">IF(ISERROR(F314),"",IF(ISTEXT(P325),IF(P325="A","Ab",IF(P325="D","Dt",IF(P325="UFM","UFM",IF(P325="NA","")))),IF(AND(ISBLANK(P325),ISBLANK(R325)),"",IF(P325&lt;0.3*S325,"F",IF(ISBLANK(R325),"",IF(ISTEXT(R325),R325,IF(R325&gt;=0.9*U325,"O",IF(R325&gt;=0.85*U325,"A+",IF(R325&gt;=0.8*U325,"A",IF(R325&gt;=0.7*U325,"B+",IF(R325&gt;=0.6*U325,"B",IF(R325&gt;=0.5*U325,"C",IF(R325&gt;=0.4*U325,"P",IF(R325&lt;0.4*U325,"F",R325))))))))))))))</f>
        <v>F</v>
      </c>
      <c r="N325" s="8">
        <f t="shared" ca="1" si="36"/>
        <v>0</v>
      </c>
      <c r="O325">
        <f t="shared" ca="1" si="37"/>
        <v>9</v>
      </c>
      <c r="P325" s="1">
        <f ca="1">IF(ISERROR(F314),"",IF(ISTEXT(VLOOKUP(B314,INDIRECT($F$8),6+(O325-1)*3)),(VLOOKUP(B314,INDIRECT($F$8),6+(O325-1)*3)),SUM(VLOOKUP(B314,INDIRECT($F$8),6+(O325-1)*3),IF(W327,W325,0))))</f>
        <v>0</v>
      </c>
      <c r="Q325" s="1">
        <f ca="1">IF(ISERROR(F314),"",VLOOKUP(B314,INDIRECT($F$8),7+(O325-1)*3))</f>
        <v>0</v>
      </c>
      <c r="R325" s="1">
        <f ca="1">IF(ISERROR(F314),"",SUM(P325:Q325))</f>
        <v>0</v>
      </c>
      <c r="S325" s="1">
        <f ca="1">IF(ISERROR(F314),"",VLOOKUP(A314,INDIRECT($F$8),6+(O325-1)*3))</f>
        <v>0</v>
      </c>
      <c r="T325" s="1">
        <f ca="1">IF(ISERROR(F314),"",VLOOKUP(A314,INDIRECT($F$8),7+(O325-1)*3))</f>
        <v>100</v>
      </c>
      <c r="U325" s="1">
        <f ca="1">IF(ISERROR(F314),"",VLOOKUP(A314,INDIRECT($F$8),8+(O325-1)*3))</f>
        <v>100</v>
      </c>
      <c r="V325" s="1" t="str">
        <f ca="1">IF(ISERROR(F314),"",IF(N325=0,A325,""))</f>
        <v>CAP 009</v>
      </c>
      <c r="W325" s="1">
        <f ca="1">IF(ISERROR(F314),"",IF(ISTEXT(VLOOKUP(B314,INDIRECT($F$8),6+(O325-1)*3)),11,IF(VLOOKUP(B314,INDIRECT($F$8),6+(O325-1)*3)&lt;S325*0.3,IF(VLOOKUP(B314,INDIRECT($F$8),8+(O325-1)*3)&lt;U325*0.4,IF(AND(0.4*U325-VLOOKUP(B314,INDIRECT($F$8),8+(O325-1)*3)&lt;=5,0.3*S325-VLOOKUP(B314,INDIRECT($F$8),6+(O325-1)*3)&lt;=5),MAX(0.4*U325-VLOOKUP(B314,INDIRECT($F$8),8+(O325-1)*3),0.3*S325-VLOOKUP(B314,INDIRECT($F$8),6+(O325-1)*3)),11),IF(0.3*S325-VLOOKUP(B314,INDIRECT($F$8),6+(O325-1)*3)&lt;=5,0.3*S325-VLOOKUP(B314,INDIRECT($F$8),6+(O325-1)*3),11)),IF(VLOOKUP(B314,INDIRECT($F$8),8+(O325-1)*3)&lt;U325*0.4,IF(U325*0.4-VLOOKUP(B314,INDIRECT($F$8),8+(O325-1)*3)&lt;=5,U325*0.4-VLOOKUP(B314,INDIRECT($F$8),8+(O325-1)*3),11),0))))</f>
        <v>11</v>
      </c>
      <c r="X325" s="1" t="str">
        <f ca="1">IF(ISERROR(F314),"",IF(W325=0,"",_xlfn.TEXTJOIN("",FALSE," G+",W325," in ",A325)))</f>
        <v xml:space="preserve"> G+11 in CAP 009</v>
      </c>
    </row>
    <row r="326" spans="1:24" ht="14.25" customHeight="1" x14ac:dyDescent="0.2">
      <c r="A326" s="7" t="str">
        <f ca="1">IF(ISERROR(F314),"",VLOOKUP(C314,INDIRECT($F$8),6+(O326-1)*3,0))</f>
        <v>CAP 010</v>
      </c>
      <c r="B326" s="41" t="str">
        <f ca="1">IF(ISERROR(F314),"",VLOOKUP(D314,INDIRECT($F$8),6+(O326-1)*3-Z326,0))</f>
        <v>Minor Project</v>
      </c>
      <c r="C326" s="41"/>
      <c r="D326" s="41"/>
      <c r="E326" s="41"/>
      <c r="F326" s="7">
        <f ca="1">IF(ISERROR(F314),"",VLOOKUP(E314,INDIRECT($F$8),6+(O326-1)*3,0))</f>
        <v>2</v>
      </c>
      <c r="G326" s="42" t="str">
        <f ca="1">IF(ISERROR(F314),"",_xlfn.TEXTJOIN("/",FALSE,P326,S326))</f>
        <v>0/50</v>
      </c>
      <c r="H326" s="42"/>
      <c r="I326" s="42" t="str">
        <f ca="1">IF(ISERROR(F314),"",_xlfn.TEXTJOIN("/",FALSE,Q326,T326))</f>
        <v>0/50</v>
      </c>
      <c r="J326" s="42"/>
      <c r="K326" s="42" t="str">
        <f ca="1">IF(ISERROR(F314),"",_xlfn.TEXTJOIN("/",FALSE,R326,U326))</f>
        <v>0/100</v>
      </c>
      <c r="L326" s="42"/>
      <c r="M326" s="7" t="str">
        <f ca="1">IF(ISERROR(F314),"",IF(ISTEXT(P326),IF(P326="A","Ab",IF(P326="D","Dt",IF(P326="UFM","UFM",IF(P326="NA","")))),IF(AND(ISBLANK(P326),ISBLANK(R326)),"",IF(P326&lt;0.3*S326,"F",IF(ISBLANK(R326),"",IF(ISTEXT(R326),R326,IF(R326&gt;=0.9*U326,"O",IF(R326&gt;=0.85*U326,"A+",IF(R326&gt;=0.8*U326,"A",IF(R326&gt;=0.7*U326,"B+",IF(R326&gt;=0.6*U326,"B",IF(R326&gt;=0.5*U326,"C",IF(R326&gt;=0.4*U326,"P",IF(R326&lt;0.4*U326,"F",R326))))))))))))))</f>
        <v>F</v>
      </c>
      <c r="N326" s="8">
        <f t="shared" ca="1" si="36"/>
        <v>0</v>
      </c>
      <c r="O326">
        <f t="shared" ca="1" si="37"/>
        <v>10</v>
      </c>
      <c r="P326" s="1">
        <f ca="1">IF(ISERROR(F314),"",IF(ISTEXT(VLOOKUP(B314,INDIRECT($F$8),6+(O326-1)*3)),(VLOOKUP(B314,INDIRECT($F$8),6+(O326-1)*3)),SUM(VLOOKUP(B314,INDIRECT($F$8),6+(O326-1)*3),IF(W327,W326,0))))</f>
        <v>0</v>
      </c>
      <c r="Q326" s="1">
        <f ca="1">IF(ISERROR(F314),"",VLOOKUP(B314,INDIRECT($F$8),7+(O326-1)*3))</f>
        <v>0</v>
      </c>
      <c r="R326" s="1">
        <f ca="1">IF(ISERROR(F314),"",SUM(P326:Q326))</f>
        <v>0</v>
      </c>
      <c r="S326" s="1">
        <f ca="1">IF(ISERROR(F314),"",VLOOKUP(A314,INDIRECT($F$8),6+(O326-1)*3))</f>
        <v>50</v>
      </c>
      <c r="T326" s="1">
        <f ca="1">IF(ISERROR(F314),"",VLOOKUP(A314,INDIRECT($F$8),7+(O326-1)*3))</f>
        <v>50</v>
      </c>
      <c r="U326" s="1">
        <f ca="1">IF(ISERROR(F314),"",VLOOKUP(A314,INDIRECT($F$8),8+(O326-1)*3))</f>
        <v>100</v>
      </c>
      <c r="V326" s="1" t="str">
        <f ca="1">IF(ISERROR(F314),"",IF(N326=0,A326,""))</f>
        <v>CAP 010</v>
      </c>
      <c r="W326" s="1">
        <f ca="1">IF(ISERROR(F314),"",IF(ISTEXT(VLOOKUP(B314,INDIRECT($F$8),6+(O326-1)*3)),11,IF(VLOOKUP(B314,INDIRECT($F$8),6+(O326-1)*3)&lt;S326*0.3,IF(VLOOKUP(B314,INDIRECT($F$8),8+(O326-1)*3)&lt;U326*0.4,IF(AND(0.4*U326-VLOOKUP(B314,INDIRECT($F$8),8+(O326-1)*3)&lt;=5,0.3*S326-VLOOKUP(B314,INDIRECT($F$8),6+(O326-1)*3)&lt;=5),MAX(0.4*U326-VLOOKUP(B314,INDIRECT($F$8),8+(O326-1)*3),0.3*S326-VLOOKUP(B314,INDIRECT($F$8),6+(O326-1)*3)),11),IF(0.3*S326-VLOOKUP(B314,INDIRECT($F$8),6+(O326-1)*3)&lt;=5,0.3*S326-VLOOKUP(B314,INDIRECT($F$8),6+(O326-1)*3),11)),IF(VLOOKUP(B314,INDIRECT($F$8),8+(O326-1)*3)&lt;U326*0.4,IF(U326*0.4-VLOOKUP(B314,INDIRECT($F$8),8+(O326-1)*3)&lt;=5,U326*0.4-VLOOKUP(B314,INDIRECT($F$8),8+(O326-1)*3),11),0))))</f>
        <v>11</v>
      </c>
      <c r="X326" s="1" t="str">
        <f ca="1">IF(ISERROR(F314),"",IF(W326=0,"",_xlfn.TEXTJOIN("",FALSE," G+",W326," in ",A326)))</f>
        <v xml:space="preserve"> G+11 in CAP 010</v>
      </c>
    </row>
    <row r="327" spans="1:24" ht="14.25" customHeight="1" x14ac:dyDescent="0.2">
      <c r="A327" s="43" t="str">
        <f ca="1">IF(ISERROR(F314),"",A310)</f>
        <v>Total Credits/ Marks/ Total Grade Points</v>
      </c>
      <c r="B327" s="43"/>
      <c r="C327" s="43"/>
      <c r="D327" s="43"/>
      <c r="E327" s="43"/>
      <c r="F327" s="10">
        <f ca="1">IF(ISERROR(F314),"",SUM(F319:F326))</f>
        <v>16</v>
      </c>
      <c r="G327" s="44" t="str">
        <f ca="1">IF(ISERROR(F314),"",_xlfn.TEXTJOIN("/",TRUE,SUMIF(F319:F326,"&gt;0",P319:P326),SUMIF(F319:F326,"&gt;0",S319:S326)))</f>
        <v>0/380</v>
      </c>
      <c r="H327" s="44"/>
      <c r="I327" s="44" t="str">
        <f ca="1">IF(ISERROR(F314),"",_xlfn.TEXTJOIN("/",TRUE,SUMIF(F319:F326,"&gt;0",Q319:Q326),SUMIF(F319:F326,"&gt;0",T319:T326)))</f>
        <v>0/320</v>
      </c>
      <c r="J327" s="44"/>
      <c r="K327" s="44" t="str">
        <f ca="1">IF(ISERROR(F314),"",_xlfn.TEXTJOIN("/",TRUE,SUMIF(F319:F326,"&gt;0",R319:R326),SUMIF(F319:F326,"&gt;0",U319:U326)))</f>
        <v>0/700</v>
      </c>
      <c r="L327" s="44"/>
      <c r="M327" s="43" t="e">
        <f ca="1">IF(ISERROR(F314),"",SUMPRODUCT(N319:N326,F319:F326))</f>
        <v>#N/A</v>
      </c>
      <c r="N327" s="43"/>
      <c r="V327" s="1" t="e">
        <f ca="1">IF(ISERROR(F314),"",_xlfn.TEXTJOIN(", ",TRUE,V319:V326))</f>
        <v>#N/A</v>
      </c>
      <c r="W327" t="b">
        <f ca="1">IF(ISERROR(F314),"",IF(SUM(W319:W326)&lt;=W318,TRUE,FALSE))</f>
        <v>0</v>
      </c>
      <c r="X327" s="1" t="str">
        <f ca="1">IF(ISERROR(F314),"",_xlfn.TEXTJOIN(",",TRUE,X319:X326))</f>
        <v xml:space="preserve"> G+11 in CAT  014, G+11 in CAT 015, G+11 in Enroll No., G+11 in Enroll No., G+11 in AHT 310, G+11 in CAP 008, G+11 in CAP 009, G+11 in CAP 010</v>
      </c>
    </row>
    <row r="328" spans="1:24" ht="14.25" customHeight="1" x14ac:dyDescent="0.2">
      <c r="A328" s="43" t="str">
        <f ca="1">IF(ISERROR(F314),"",A311)</f>
        <v>Result:</v>
      </c>
      <c r="B328" s="45" t="e">
        <f ca="1">IF(ISERROR(F314),"",IF(V327="","PASS","CARRY OVER"))</f>
        <v>#N/A</v>
      </c>
      <c r="C328" s="45"/>
      <c r="D328" s="43" t="str">
        <f ca="1">IF(ISERROR(F314),"",D311)</f>
        <v>Remark:</v>
      </c>
      <c r="E328" s="45" t="e">
        <f ca="1">IF(ISERROR(F314),"",IF(V327="",IF(X327="","",X327),_xlfn.TEXTJOIN(" ",TRUE,"BACK IN",V327)))</f>
        <v>#N/A</v>
      </c>
      <c r="F328" s="45"/>
      <c r="G328" s="43" t="str">
        <f ca="1">IF(ISERROR(F314),"",G311)</f>
        <v>SGPA:</v>
      </c>
      <c r="H328" s="46" t="e">
        <f ca="1">IF(ISERROR(F314),"",M327/F327)</f>
        <v>#N/A</v>
      </c>
      <c r="I328" s="43" t="str">
        <f ca="1">IF(ISERROR(F314),"",I311)</f>
        <v>CGPA:</v>
      </c>
      <c r="J328" s="46" t="e">
        <f ca="1">IF(ISERROR(F314),"",VLOOKUP(B314,INDIRECT($F$8),12+(O326-1)*3,0))</f>
        <v>#N/A</v>
      </c>
      <c r="K328" s="45" t="str">
        <f ca="1">IF(ISERROR(F314),"",K311)</f>
        <v>Earned Credits:</v>
      </c>
      <c r="L328" s="43">
        <f ca="1">IF(ISERROR(F314),"",SUMIF(N319:N326,"&gt;0",F319:F326))</f>
        <v>0</v>
      </c>
      <c r="M328" s="45" t="str">
        <f ca="1">IF(ISERROR(F314),"",M311)</f>
        <v>Cuml. Earned Credits:</v>
      </c>
      <c r="N328" s="43" t="e">
        <f ca="1">IF(ISERROR(F314),"",VLOOKUP(B314,INDIRECT($F$8),10+(O326-1)*3,0))</f>
        <v>#N/A</v>
      </c>
    </row>
    <row r="329" spans="1:24" ht="14.25" customHeight="1" x14ac:dyDescent="0.2">
      <c r="A329" s="43"/>
      <c r="B329" s="45"/>
      <c r="C329" s="45"/>
      <c r="D329" s="43"/>
      <c r="E329" s="45"/>
      <c r="F329" s="45"/>
      <c r="G329" s="43"/>
      <c r="H329" s="46"/>
      <c r="I329" s="43"/>
      <c r="J329" s="46"/>
      <c r="K329" s="45"/>
      <c r="L329" s="43"/>
      <c r="M329" s="45"/>
      <c r="N329" s="43"/>
    </row>
    <row r="330" spans="1:24" ht="14.25" customHeight="1" x14ac:dyDescent="0.2">
      <c r="A330" s="43"/>
      <c r="B330" s="45"/>
      <c r="C330" s="45"/>
      <c r="D330" s="43"/>
      <c r="E330" s="45"/>
      <c r="F330" s="45"/>
      <c r="G330" s="43"/>
      <c r="H330" s="46"/>
      <c r="I330" s="43"/>
      <c r="J330" s="46"/>
      <c r="K330" s="45"/>
      <c r="L330" s="43"/>
      <c r="M330" s="45"/>
      <c r="N330" s="43"/>
    </row>
    <row r="331" spans="1:24" ht="14.25" customHeight="1" x14ac:dyDescent="0.2">
      <c r="A331" s="11" t="str">
        <f>A314</f>
        <v>MM</v>
      </c>
      <c r="B331" s="11">
        <f>B314+1</f>
        <v>20</v>
      </c>
      <c r="C331" s="11" t="str">
        <f>C314</f>
        <v>SC</v>
      </c>
      <c r="D331" s="11" t="str">
        <f>D314</f>
        <v>SN</v>
      </c>
      <c r="E331" s="11" t="str">
        <f>E314</f>
        <v>C</v>
      </c>
      <c r="F331" s="11" t="str">
        <f ca="1">VLOOKUP(B331,INDIRECT($F$8),4,0)</f>
        <v>SHARAD NIJWALA</v>
      </c>
    </row>
    <row r="332" spans="1:24" ht="14.25" customHeight="1" x14ac:dyDescent="0.2">
      <c r="A332" s="47" t="str">
        <f ca="1">IF(ISERROR(F331),"",A315)</f>
        <v>Name:</v>
      </c>
      <c r="B332" s="47" t="str">
        <f ca="1">IFERROR(VLOOKUP(B331,INDIRECT($F$8),4,0),"")</f>
        <v>SHARAD NIJWALA</v>
      </c>
      <c r="C332" s="47"/>
      <c r="D332" s="47" t="str">
        <f ca="1">IF(ISERROR(F331),"",D315)</f>
        <v>Father's Name:</v>
      </c>
      <c r="E332" s="47" t="str">
        <f ca="1">IFERROR(VLOOKUP(B331,INDIRECT($F$8),5,0),"")</f>
        <v>VIJAYANT SINGH</v>
      </c>
      <c r="F332" s="47"/>
      <c r="G332" s="47" t="str">
        <f ca="1">IF(ISERROR(F331),"",G315)</f>
        <v>University Roll No:</v>
      </c>
      <c r="H332" s="47"/>
      <c r="I332" s="48">
        <f ca="1">IFERROR(VLOOKUP(B331,INDIRECT($F$8),2,0),"")</f>
        <v>240090600020</v>
      </c>
      <c r="J332" s="48"/>
      <c r="K332" s="47" t="str">
        <f ca="1">IF(ISERROR(F331),"",K315)</f>
        <v>University Enrol. No:</v>
      </c>
      <c r="L332" s="47"/>
      <c r="M332" s="48" t="str">
        <f ca="1">IFERROR(VLOOKUP(B331,INDIRECT($F$8),3,0),"")</f>
        <v>UTU/2406100196</v>
      </c>
      <c r="N332" s="48"/>
    </row>
    <row r="333" spans="1:24" ht="14.25" customHeight="1" x14ac:dyDescent="0.2">
      <c r="A333" s="47"/>
      <c r="B333" s="47"/>
      <c r="C333" s="47"/>
      <c r="D333" s="47"/>
      <c r="E333" s="47"/>
      <c r="F333" s="47"/>
      <c r="G333" s="47"/>
      <c r="H333" s="47"/>
      <c r="I333" s="48"/>
      <c r="J333" s="48"/>
      <c r="K333" s="47"/>
      <c r="L333" s="47"/>
      <c r="M333" s="48"/>
      <c r="N333" s="48"/>
    </row>
    <row r="334" spans="1:24" ht="14.25" customHeight="1" x14ac:dyDescent="0.2">
      <c r="A334" s="45" t="str">
        <f ca="1">IF(ISERROR(F331),"",A317)</f>
        <v>Subject Code</v>
      </c>
      <c r="B334" s="45" t="str">
        <f ca="1">IF(ISERROR(F331),"",B317)</f>
        <v>Subject Name</v>
      </c>
      <c r="C334" s="45"/>
      <c r="D334" s="45"/>
      <c r="E334" s="45"/>
      <c r="F334" s="45" t="str">
        <f ca="1">IF(ISERROR(F331),"",F317)</f>
        <v>Credits</v>
      </c>
      <c r="G334" s="45" t="str">
        <f ca="1">IF(ISERROR(F331),"",G317)</f>
        <v>External Marks</v>
      </c>
      <c r="H334" s="45"/>
      <c r="I334" s="45" t="str">
        <f ca="1">IF(ISERROR(F331),"",I317)</f>
        <v>Sessional Marks</v>
      </c>
      <c r="J334" s="45"/>
      <c r="K334" s="45" t="str">
        <f ca="1">IF(ISERROR(F331),"",K317)</f>
        <v>Total Marks</v>
      </c>
      <c r="L334" s="45"/>
      <c r="M334" s="45" t="str">
        <f ca="1">IF(ISERROR(F331),"",M317)</f>
        <v>Grade</v>
      </c>
      <c r="N334" s="45" t="str">
        <f ca="1">IF(ISERROR(F331),"",N317)</f>
        <v>Grade Points</v>
      </c>
    </row>
    <row r="335" spans="1:24" ht="14.25" customHeight="1" x14ac:dyDescent="0.2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W335">
        <f ca="1">IF(ISNUMBER(MATCH($F$8,{"I","III","V","VII"},0)),10,10-INDEX(INDIRECT(_xlfn.TEXTJOIN("",TRUE,"SEM_",$G$8,"!",ADDRESS(6,4+$I$8*3+4),":",ADDRESS(5+$H$8,4+$I$8*3+4))),MATCH(INDIRECT(_xlfn.TEXTJOIN("",TRUE,"TC_",$F$8,"!",ADDRESS(ROW(I332),COLUMN(I332)))),INDIRECT(_xlfn.TEXTJOIN("",TRUE,"SEM_",$G$8,"!",ADDRESS(6,2),":",ADDRESS(5+$H$8,2))))))</f>
        <v>10</v>
      </c>
    </row>
    <row r="336" spans="1:24" ht="14.25" customHeight="1" x14ac:dyDescent="0.2">
      <c r="A336" s="7" t="str">
        <f ca="1">IF(ISERROR(F331),"",VLOOKUP(C331,INDIRECT($F$8),6+(O336-1)*3,0))</f>
        <v>CAT  014</v>
      </c>
      <c r="B336" s="41" t="str">
        <f ca="1">IF(ISERROR(F331),"",VLOOKUP(D331,INDIRECT($F$8),6+(O336-1)*3,0))</f>
        <v>Graph Theory</v>
      </c>
      <c r="C336" s="41"/>
      <c r="D336" s="41"/>
      <c r="E336" s="41"/>
      <c r="F336" s="7">
        <f ca="1">IF(ISERROR(F331),"",VLOOKUP(E331,INDIRECT($F$8),6+(O336-1)*3,0))</f>
        <v>4</v>
      </c>
      <c r="G336" s="42" t="str">
        <f ca="1">IF(ISERROR(F331),"",_xlfn.TEXTJOIN("/",FALSE,P336,S336))</f>
        <v>0/100</v>
      </c>
      <c r="H336" s="42"/>
      <c r="I336" s="42" t="str">
        <f ca="1">IF(ISERROR(F331),"",_xlfn.TEXTJOIN("/",FALSE,Q336,T336))</f>
        <v>0/50</v>
      </c>
      <c r="J336" s="42"/>
      <c r="K336" s="42" t="str">
        <f ca="1">IF(ISERROR(F331),"",_xlfn.TEXTJOIN("/",FALSE,R336,U336))</f>
        <v>0/150</v>
      </c>
      <c r="L336" s="42"/>
      <c r="M336" s="7" t="str">
        <f ca="1">IF(ISERROR(F331),"",IF(ISTEXT(P336),IF(P336="A","Ab",IF(P336="D","Dt",IF(P336="UFM","UFM",IF(P336="NA","")))),IF(AND(ISBLANK(P336),ISBLANK(R336)),"",IF(P336&lt;0.3*S336,"F",IF(ISBLANK(R336),"",IF(ISTEXT(R336),R336,IF(R336&gt;=0.9*U336,"O",IF(R336&gt;=0.85*U336,"A+",IF(R336&gt;=0.8*U336,"A",IF(R336&gt;=0.7*U336,"B+",IF(R336&gt;=0.6*U336,"B",IF(R336&gt;=0.5*U336,"C",IF(R336&gt;=0.4*U336,"P",IF(R336&lt;0.4*U336,"F",R336))))))))))))))</f>
        <v>F</v>
      </c>
      <c r="N336" s="8">
        <f t="shared" ref="N336:N343" ca="1" si="38">INDEX($Z$2:$Z$13,MATCH(M336,$Y$2:$Y$13,0))</f>
        <v>0</v>
      </c>
      <c r="O336">
        <v>1</v>
      </c>
      <c r="P336" s="1">
        <f ca="1">IF(ISERROR(F331),"",IF(ISTEXT(VLOOKUP(B331,INDIRECT($F$8),6+(O336-1)*3)),(VLOOKUP(B331,INDIRECT($F$8),6+(O336-1)*3)),SUM(VLOOKUP(B331,INDIRECT($F$8),6+(O336-1)*3),IF(W344,W336,0))))</f>
        <v>0</v>
      </c>
      <c r="Q336" s="1">
        <f ca="1">IF(ISERROR(F331),"",VLOOKUP(B331,INDIRECT($F$8),7+(O336-1)*3))</f>
        <v>0</v>
      </c>
      <c r="R336" s="1">
        <f ca="1">IF(ISERROR(F331),"",SUM(P336:Q336))</f>
        <v>0</v>
      </c>
      <c r="S336" s="1">
        <f ca="1">IF(ISERROR(F331),"",VLOOKUP(A331,INDIRECT($F$8),6+(O336-1)*3))</f>
        <v>100</v>
      </c>
      <c r="T336" s="1">
        <f ca="1">IF(ISERROR(F331),"",VLOOKUP(A331,INDIRECT($F$8),7+(O336-1)*3))</f>
        <v>50</v>
      </c>
      <c r="U336" s="1">
        <f ca="1">IF(ISERROR(F331),"",VLOOKUP(A331,INDIRECT($F$8),8+(O336-1)*3))</f>
        <v>150</v>
      </c>
      <c r="V336" s="1" t="str">
        <f ca="1">IF(ISERROR(F331),"",IF(N336=0,A336,""))</f>
        <v>CAT  014</v>
      </c>
      <c r="W336" s="1">
        <f ca="1">IF(ISERROR(F331),"",IF(ISTEXT(VLOOKUP(B331,INDIRECT($F$8),6+(O336-1)*3)),11,IF(VLOOKUP(B331,INDIRECT($F$8),6+(O336-1)*3)&lt;S336*0.3,IF(VLOOKUP(B331,INDIRECT($F$8),8+(O336-1)*3)&lt;U336*0.4,IF(AND(0.4*U336-VLOOKUP(B331,INDIRECT($F$8),8+(O336-1)*3)&lt;=5,0.3*S336-VLOOKUP(B331,INDIRECT($F$8),6+(O336-1)*3)&lt;=5),MAX(0.4*U336-VLOOKUP(B331,INDIRECT($F$8),8+(O336-1)*3),0.3*S336-VLOOKUP(B331,INDIRECT($F$8),6+(O336-1)*3)),11),IF(0.3*S336-VLOOKUP(B331,INDIRECT($F$8),6+(O336-1)*3)&lt;=5,0.3*S336-VLOOKUP(B331,INDIRECT($F$8),6+(O336-1)*3),11)),IF(VLOOKUP(B331,INDIRECT($F$8),8+(O336-1)*3)&lt;U336*0.4,IF(U336*0.4-VLOOKUP(B331,INDIRECT($F$8),8+(O336-1)*3)&lt;=5,U336*0.4-VLOOKUP(B331,INDIRECT($F$8),8+(O336-1)*3),11),0))))</f>
        <v>11</v>
      </c>
      <c r="X336" s="1" t="str">
        <f ca="1">IF(ISERROR(F331),"",IF(W336=0,"",_xlfn.TEXTJOIN("",FALSE," G+",W336," in ",A336)))</f>
        <v xml:space="preserve"> G+11 in CAT  014</v>
      </c>
    </row>
    <row r="337" spans="1:24" ht="14.25" customHeight="1" x14ac:dyDescent="0.2">
      <c r="A337" s="7" t="str">
        <f ca="1">IF(ISERROR(F331),"",VLOOKUP(C331,INDIRECT($F$8),6+(O337-1)*3,0))</f>
        <v>CAT 015</v>
      </c>
      <c r="B337" s="41" t="str">
        <f ca="1">IF(ISERROR(F331),"",VLOOKUP(D331,INDIRECT($F$8),6+(O337-1)*3,0))</f>
        <v>Software Engineering</v>
      </c>
      <c r="C337" s="41"/>
      <c r="D337" s="41"/>
      <c r="E337" s="41"/>
      <c r="F337" s="7">
        <f ca="1">IF(ISERROR(F331),"",VLOOKUP(E331,INDIRECT($F$8),6+(O337-1)*3,0))</f>
        <v>4</v>
      </c>
      <c r="G337" s="42" t="str">
        <f ca="1">IF(ISERROR(F331),"",_xlfn.TEXTJOIN("/",FALSE,P337,S337))</f>
        <v>0/100</v>
      </c>
      <c r="H337" s="42"/>
      <c r="I337" s="42" t="str">
        <f ca="1">IF(ISERROR(F331),"",_xlfn.TEXTJOIN("/",FALSE,Q337,T337))</f>
        <v>0/50</v>
      </c>
      <c r="J337" s="42"/>
      <c r="K337" s="42" t="str">
        <f ca="1">IF(ISERROR(F331),"",_xlfn.TEXTJOIN("/",FALSE,R337,U337))</f>
        <v>0/150</v>
      </c>
      <c r="L337" s="42"/>
      <c r="M337" s="7" t="str">
        <f ca="1">IF(ISERROR(F331),"",IF(ISTEXT(P337),IF(P337="A","Ab",IF(P337="D","Dt",IF(P337="UFM","UFM",IF(P337="NA","")))),IF(AND(ISBLANK(P337),ISBLANK(R337)),"",IF(P337&lt;0.3*S337,"F",IF(ISBLANK(R337),"",IF(ISTEXT(R337),R337,IF(R337&gt;=0.9*U337,"O",IF(R337&gt;=0.85*U337,"A+",IF(R337&gt;=0.8*U337,"A",IF(R337&gt;=0.7*U337,"B+",IF(R337&gt;=0.6*U337,"B",IF(R337&gt;=0.5*U337,"C",IF(R337&gt;=0.4*U337,"P",IF(R337&lt;0.4*U337,"F",R337))))))))))))))</f>
        <v>F</v>
      </c>
      <c r="N337" s="8">
        <f t="shared" ca="1" si="38"/>
        <v>0</v>
      </c>
      <c r="O337">
        <f>O336+1</f>
        <v>2</v>
      </c>
      <c r="P337" s="1">
        <f ca="1">IF(ISERROR(F331),"",IF(ISTEXT(VLOOKUP(B331,INDIRECT($F$8),6+(O337-1)*3)),(VLOOKUP(B331,INDIRECT($F$8),6+(O337-1)*3)),SUM(VLOOKUP(B331,INDIRECT($F$8),6+(O337-1)*3),IF(W344,W337,0))))</f>
        <v>0</v>
      </c>
      <c r="Q337" s="1">
        <f ca="1">IF(ISERROR(F331),"",VLOOKUP(B331,INDIRECT($F$8),7+(O337-1)*3))</f>
        <v>0</v>
      </c>
      <c r="R337" s="1">
        <f ca="1">IF(ISERROR(F331),"",SUM(P337:Q337))</f>
        <v>0</v>
      </c>
      <c r="S337" s="1">
        <f ca="1">IF(ISERROR(F331),"",VLOOKUP(A331,INDIRECT($F$8),6+(O337-1)*3))</f>
        <v>100</v>
      </c>
      <c r="T337" s="1">
        <f ca="1">IF(ISERROR(F331),"",VLOOKUP(A331,INDIRECT($F$8),7+(O337-1)*3))</f>
        <v>50</v>
      </c>
      <c r="U337" s="1">
        <f ca="1">IF(ISERROR(F331),"",VLOOKUP(A331,INDIRECT($F$8),8+(O337-1)*3))</f>
        <v>150</v>
      </c>
      <c r="V337" s="1" t="str">
        <f ca="1">IF(ISERROR(F331),"",IF(N337=0,A337,""))</f>
        <v>CAT 015</v>
      </c>
      <c r="W337" s="1">
        <f ca="1">IF(ISERROR(F331),"",IF(ISTEXT(VLOOKUP(B331,INDIRECT($F$8),6+(O337-1)*3)),11,IF(VLOOKUP(B331,INDIRECT($F$8),6+(O337-1)*3)&lt;S337*0.3,IF(VLOOKUP(B331,INDIRECT($F$8),8+(O337-1)*3)&lt;U337*0.4,IF(AND(0.4*U337-VLOOKUP(B331,INDIRECT($F$8),8+(O337-1)*3)&lt;=5,0.3*S337-VLOOKUP(B331,INDIRECT($F$8),6+(O337-1)*3)&lt;=5),MAX(0.4*U337-VLOOKUP(B331,INDIRECT($F$8),8+(O337-1)*3),0.3*S337-VLOOKUP(B331,INDIRECT($F$8),6+(O337-1)*3)),11),IF(0.3*S337-VLOOKUP(B331,INDIRECT($F$8),6+(O337-1)*3)&lt;=5,0.3*S337-VLOOKUP(B331,INDIRECT($F$8),6+(O337-1)*3),11)),IF(VLOOKUP(B331,INDIRECT($F$8),8+(O337-1)*3)&lt;U337*0.4,IF(U337*0.4-VLOOKUP(B331,INDIRECT($F$8),8+(O337-1)*3)&lt;=5,U337*0.4-VLOOKUP(B331,INDIRECT($F$8),8+(O337-1)*3),11),0))))</f>
        <v>11</v>
      </c>
      <c r="X337" s="1" t="str">
        <f ca="1">IF(ISERROR(F331),"",IF(W337=0,"",_xlfn.TEXTJOIN("",FALSE," G+",W337," in ",A337)))</f>
        <v xml:space="preserve"> G+11 in CAT 015</v>
      </c>
    </row>
    <row r="338" spans="1:24" ht="14.25" customHeight="1" x14ac:dyDescent="0.2">
      <c r="A338" s="7" t="str">
        <f ca="1">IF(ISERROR(F331),"",VLOOKUP(C331,INDIRECT($F$8),6+(O338-1)*3,0))</f>
        <v>Enroll No.</v>
      </c>
      <c r="B338" s="41">
        <f ca="1">IF(ISERROR(F331),"",VLOOKUP(D331,INDIRECT($F$8),6+(O338-1)*3,0))</f>
        <v>0</v>
      </c>
      <c r="C338" s="41"/>
      <c r="D338" s="41"/>
      <c r="E338" s="41"/>
      <c r="F338" s="7">
        <f ca="1">IF(ISERROR(F331),"",VLOOKUP(E331,INDIRECT($F$8),6+(O338-1)*3,0))</f>
        <v>0</v>
      </c>
      <c r="G338" s="42" t="str">
        <f ca="1">IF(ISERROR(F331),"",_xlfn.TEXTJOIN("/",FALSE,P338,S338))</f>
        <v>UTU/2406100196/0</v>
      </c>
      <c r="H338" s="42"/>
      <c r="I338" s="42" t="str">
        <f ca="1">IF(ISERROR(F331),"",_xlfn.TEXTJOIN("/",FALSE,Q338,T338))</f>
        <v>SHARAD NIJWALA/0</v>
      </c>
      <c r="J338" s="42"/>
      <c r="K338" s="42" t="str">
        <f ca="1">IF(ISERROR(F331),"",_xlfn.TEXTJOIN("/",FALSE,R338,U338))</f>
        <v>0/0</v>
      </c>
      <c r="L338" s="42"/>
      <c r="M338" s="7" t="b">
        <f ca="1">IF(ISERROR(F331),"",IF(ISTEXT(P338),IF(P338="A","Ab",IF(P338="D","Dt",IF(P338="UFM","UFM",IF(P338="NA","")))),IF(AND(ISBLANK(P338),ISBLANK(R338)),"",IF(P338&lt;0.3*S338,"F",IF(ISBLANK(R338),"",IF(ISTEXT(R338),R338,IF(R338&gt;=0.9*U338,"O",IF(R338&gt;=0.85*U338,"A+",IF(R338&gt;=0.8*U338,"A",IF(R338&gt;=0.7*U338,"B+",IF(R338&gt;=0.6*U338,"B",IF(R338&gt;=0.5*U338,"C",IF(R338&gt;=0.4*U338,"P",IF(R338&lt;0.4*U338,"F",R338))))))))))))))</f>
        <v>0</v>
      </c>
      <c r="N338" s="8" t="e">
        <f t="shared" ca="1" si="38"/>
        <v>#N/A</v>
      </c>
      <c r="O338" t="b" cm="1">
        <f t="array" aca="1" ref="O338" ca="1">IF(NOT(ISBLANK(INDIRECT("SEM_III!L"&amp;INT((ROW(O338)-15)/17)+6))),3,IF(NOT(ISBLANK(INDIRECT("SEM_III!O"&amp;INT((ROW(O338)-15)/17)+6))),4))</f>
        <v>0</v>
      </c>
      <c r="P338" s="1" t="str">
        <f ca="1">IF(ISERROR(F331),"",IF(ISTEXT(VLOOKUP(B331,INDIRECT($F$8),6+(O338-1)*3)),(VLOOKUP(B331,INDIRECT($F$8),6+(O338-1)*3)),SUM(VLOOKUP(B331,INDIRECT($F$8),6+(O338-1)*3),IF(W344,W338,0))))</f>
        <v>UTU/2406100196</v>
      </c>
      <c r="Q338" s="1" t="str">
        <f ca="1">IF(ISERROR(F331),"",VLOOKUP(B331,INDIRECT($F$8),7+(O338-1)*3))</f>
        <v>SHARAD NIJWALA</v>
      </c>
      <c r="R338" s="1">
        <f ca="1">IF(ISERROR(F331),"",SUM(P338:Q338))</f>
        <v>0</v>
      </c>
      <c r="S338" s="1">
        <f ca="1">IF(ISERROR(F331),"",VLOOKUP(A331,INDIRECT($F$8),6+(O338-1)*3))</f>
        <v>0</v>
      </c>
      <c r="T338" s="1">
        <f ca="1">IF(ISERROR(F331),"",VLOOKUP(A331,INDIRECT($F$8),7+(O338-1)*3))</f>
        <v>0</v>
      </c>
      <c r="U338" s="1">
        <f ca="1">IF(ISERROR(F331),"",VLOOKUP(A331,INDIRECT($F$8),8+(O338-1)*3))</f>
        <v>0</v>
      </c>
      <c r="V338" s="1" t="e">
        <f ca="1">IF(ISERROR(F331),"",IF(N338=0,A338,""))</f>
        <v>#N/A</v>
      </c>
      <c r="W338" s="1">
        <f ca="1">IF(ISERROR(F331),"",IF(ISTEXT(VLOOKUP(B331,INDIRECT($F$8),6+(O338-1)*3)),11,IF(VLOOKUP(B331,INDIRECT($F$8),6+(O338-1)*3)&lt;S338*0.3,IF(VLOOKUP(B331,INDIRECT($F$8),8+(O338-1)*3)&lt;U338*0.4,IF(AND(0.4*U338-VLOOKUP(B331,INDIRECT($F$8),8+(O338-1)*3)&lt;=5,0.3*S338-VLOOKUP(B331,INDIRECT($F$8),6+(O338-1)*3)&lt;=5),MAX(0.4*U338-VLOOKUP(B331,INDIRECT($F$8),8+(O338-1)*3),0.3*S338-VLOOKUP(B331,INDIRECT($F$8),6+(O338-1)*3)),11),IF(0.3*S338-VLOOKUP(B331,INDIRECT($F$8),6+(O338-1)*3)&lt;=5,0.3*S338-VLOOKUP(B331,INDIRECT($F$8),6+(O338-1)*3),11)),IF(VLOOKUP(B331,INDIRECT($F$8),8+(O338-1)*3)&lt;U338*0.4,IF(U338*0.4-VLOOKUP(B331,INDIRECT($F$8),8+(O338-1)*3)&lt;=5,U338*0.4-VLOOKUP(B331,INDIRECT($F$8),8+(O338-1)*3),11),0))))</f>
        <v>11</v>
      </c>
      <c r="X338" s="1" t="str">
        <f ca="1">IF(ISERROR(F331),"",IF(W338=0,"",_xlfn.TEXTJOIN("",FALSE," G+",W338," in ",A338)))</f>
        <v xml:space="preserve"> G+11 in Enroll No.</v>
      </c>
    </row>
    <row r="339" spans="1:24" ht="14.25" customHeight="1" x14ac:dyDescent="0.2">
      <c r="A339" s="7" t="str">
        <f ca="1">IF(ISERROR(F331),"",VLOOKUP(C331,INDIRECT($F$8),6+(O339-1)*3,0))</f>
        <v>Enroll No.</v>
      </c>
      <c r="B339" s="41">
        <f ca="1">IF(ISERROR(F331),"",VLOOKUP(D331,INDIRECT($F$8),6+(O339-1)*3,0))</f>
        <v>0</v>
      </c>
      <c r="C339" s="41"/>
      <c r="D339" s="41"/>
      <c r="E339" s="41"/>
      <c r="F339" s="7">
        <f ca="1">IF(ISERROR(F331),"",VLOOKUP(E331,INDIRECT($F$8),6+(O339-1)*3,0))</f>
        <v>0</v>
      </c>
      <c r="G339" s="42" t="str">
        <f ca="1">IF(ISERROR(F331),"",_xlfn.TEXTJOIN("/",FALSE,P339,S339))</f>
        <v>UTU/2406100196/0</v>
      </c>
      <c r="H339" s="42"/>
      <c r="I339" s="42" t="str">
        <f ca="1">IF(ISERROR(F331),"",_xlfn.TEXTJOIN("/",FALSE,Q339,T339))</f>
        <v>SHARAD NIJWALA/0</v>
      </c>
      <c r="J339" s="42"/>
      <c r="K339" s="42" t="str">
        <f ca="1">IF(ISERROR(F331),"",_xlfn.TEXTJOIN("/",FALSE,R339,U339))</f>
        <v>0/0</v>
      </c>
      <c r="L339" s="42"/>
      <c r="M339" s="7" t="b">
        <f ca="1">IF(ISERROR(F331),"",IF(ISTEXT(P339),IF(P339="A","Ab",IF(P339="D","Dt",IF(P339="UFM","UFM",IF(P339="NA","")))),IF(AND(ISBLANK(P339),ISBLANK(R339)),"",IF(P339&lt;0.3*S339,"F",IF(ISBLANK(R339),"",IF(ISTEXT(R339),R339,IF(R339&gt;=0.9*U339,"O",IF(R339&gt;=0.85*U339,"A+",IF(R339&gt;=0.8*U339,"A",IF(R339&gt;=0.7*U339,"B+",IF(R339&gt;=0.6*U339,"B",IF(R339&gt;=0.5*U339,"C",IF(R339&gt;=0.4*U339,"P",IF(R339&lt;0.4*U339,"F",R339))))))))))))))</f>
        <v>0</v>
      </c>
      <c r="N339" s="8" t="e">
        <f t="shared" ca="1" si="38"/>
        <v>#N/A</v>
      </c>
      <c r="O339" t="b" cm="1">
        <f t="array" aca="1" ref="O339" ca="1">IF(NOT(ISBLANK(INDIRECT("SEM_III!R"&amp;INT((ROW(O339)-16)/17)+6))),5,IF(NOT(ISBLANK(INDIRECT("SEM_III!U"&amp;INT((ROW(O339)-16)/17)+6))),6))</f>
        <v>0</v>
      </c>
      <c r="P339" s="1" t="str">
        <f ca="1">IF(ISERROR(F331),"",IF(ISTEXT(VLOOKUP(B331,INDIRECT($F$8),6+(O339-1)*3)),(VLOOKUP(B331,INDIRECT($F$8),6+(O339-1)*3)),SUM(VLOOKUP(B331,INDIRECT($F$8),6+(O339-1)*3),IF(W344,W339,0))))</f>
        <v>UTU/2406100196</v>
      </c>
      <c r="Q339" s="1" t="str">
        <f ca="1">IF(ISERROR(F331),"",VLOOKUP(B331,INDIRECT($F$8),7+(O339-1)*3))</f>
        <v>SHARAD NIJWALA</v>
      </c>
      <c r="R339" s="1">
        <f ca="1">IF(ISERROR(F331),"",SUM(P339:Q339))</f>
        <v>0</v>
      </c>
      <c r="S339" s="1">
        <f ca="1">IF(ISERROR(F331),"",VLOOKUP(A331,INDIRECT($F$8),6+(O339-1)*3))</f>
        <v>0</v>
      </c>
      <c r="T339" s="1">
        <f ca="1">IF(ISERROR(F331),"",VLOOKUP(A331,INDIRECT($F$8),7+(O339-1)*3))</f>
        <v>0</v>
      </c>
      <c r="U339" s="1">
        <f ca="1">IF(ISERROR(F331),"",VLOOKUP(A331,INDIRECT($F$8),8+(O339-1)*3))</f>
        <v>0</v>
      </c>
      <c r="V339" s="1" t="e">
        <f ca="1">IF(ISERROR(F331),"",IF(N339=0,A339,""))</f>
        <v>#N/A</v>
      </c>
      <c r="W339" s="1">
        <f ca="1">IF(ISERROR(F331),"",IF(ISTEXT(VLOOKUP(B331,INDIRECT($F$8),6+(O339-1)*3)),11,IF(VLOOKUP(B331,INDIRECT($F$8),6+(O339-1)*3)&lt;S339*0.3,IF(VLOOKUP(B331,INDIRECT($F$8),8+(O339-1)*3)&lt;U339*0.4,IF(AND(0.4*U339-VLOOKUP(B331,INDIRECT($F$8),8+(O339-1)*3)&lt;=5,0.3*S339-VLOOKUP(B331,INDIRECT($F$8),6+(O339-1)*3)&lt;=5),MAX(0.4*U339-VLOOKUP(B331,INDIRECT($F$8),8+(O339-1)*3),0.3*S339-VLOOKUP(B331,INDIRECT($F$8),6+(O339-1)*3)),11),IF(0.3*S339-VLOOKUP(B331,INDIRECT($F$8),6+(O339-1)*3)&lt;=5,0.3*S339-VLOOKUP(B331,INDIRECT($F$8),6+(O339-1)*3),11)),IF(VLOOKUP(B331,INDIRECT($F$8),8+(O339-1)*3)&lt;U339*0.4,IF(U339*0.4-VLOOKUP(B331,INDIRECT($F$8),8+(O339-1)*3)&lt;=5,U339*0.4-VLOOKUP(B331,INDIRECT($F$8),8+(O339-1)*3),11),0))))</f>
        <v>11</v>
      </c>
      <c r="X339" s="1" t="str">
        <f ca="1">IF(ISERROR(F331),"",IF(W339=0,"",_xlfn.TEXTJOIN("",FALSE," G+",W339," in ",A339)))</f>
        <v xml:space="preserve"> G+11 in Enroll No.</v>
      </c>
    </row>
    <row r="340" spans="1:24" ht="14.25" customHeight="1" x14ac:dyDescent="0.2">
      <c r="A340" s="7" t="str">
        <f ca="1">IF(ISERROR(F331),"",VLOOKUP(C331,INDIRECT($F$8),6+(O340-1)*3,0))</f>
        <v>AHT 310</v>
      </c>
      <c r="B340" s="41" t="str">
        <f ca="1">IF(ISERROR(F331),"",VLOOKUP(D331,INDIRECT($F$8),6+(O340-1)*3,0))</f>
        <v>Universal Human Value</v>
      </c>
      <c r="C340" s="41"/>
      <c r="D340" s="41"/>
      <c r="E340" s="41"/>
      <c r="F340" s="7">
        <f ca="1">IF(ISERROR(F331),"",VLOOKUP(E331,INDIRECT($F$8),6+(O340-1)*3,0))</f>
        <v>3</v>
      </c>
      <c r="G340" s="42" t="str">
        <f ca="1">IF(ISERROR(F331),"",_xlfn.TEXTJOIN("/",FALSE,P340,S340))</f>
        <v>0/100</v>
      </c>
      <c r="H340" s="42"/>
      <c r="I340" s="42" t="str">
        <f ca="1">IF(ISERROR(F331),"",_xlfn.TEXTJOIN("/",FALSE,Q340,T340))</f>
        <v>0/50</v>
      </c>
      <c r="J340" s="42"/>
      <c r="K340" s="42" t="str">
        <f ca="1">IF(ISERROR(F331),"",_xlfn.TEXTJOIN("/",FALSE,R340,U340))</f>
        <v>0/150</v>
      </c>
      <c r="L340" s="42"/>
      <c r="M340" s="7" t="str">
        <f ca="1">IF(ISERROR(F331),"",IF(ISTEXT(P340),IF(P340="A","Ab",IF(P340="D","Dt",IF(P340="UFM","UFM",IF(P340="NA","")))),IF(AND(ISBLANK(P340),ISBLANK(R340)),"",IF(P340&lt;0.3*S340,"F",IF(ISBLANK(R340),"",IF(ISTEXT(R340),R340,IF(R340&gt;=0.9*U340,"O",IF(R340&gt;=0.85*U340,"A+",IF(R340&gt;=0.8*U340,"A",IF(R340&gt;=0.7*U340,"B+",IF(R340&gt;=0.6*U340,"B",IF(R340&gt;=0.5*U340,"C",IF(R340&gt;=0.4*U340,"P",IF(R340&lt;0.4*U340,"F",R340))))))))))))))</f>
        <v>F</v>
      </c>
      <c r="N340" s="8">
        <f t="shared" ca="1" si="38"/>
        <v>0</v>
      </c>
      <c r="O340">
        <f ca="1">IF(O339&gt;0,7,"")</f>
        <v>7</v>
      </c>
      <c r="P340" s="1">
        <f ca="1">IF(ISERROR(F331),"",IF(ISTEXT(VLOOKUP(B331,INDIRECT($F$8),6+(O340-1)*3)),(VLOOKUP(B331,INDIRECT($F$8),6+(O340-1)*3)),SUM(VLOOKUP(B331,INDIRECT($F$8),6+(O340-1)*3),IF(W344,W340,0))))</f>
        <v>0</v>
      </c>
      <c r="Q340" s="1">
        <f ca="1">IF(ISERROR(F331),"",VLOOKUP(B331,INDIRECT($F$8),7+(O340-1)*3))</f>
        <v>0</v>
      </c>
      <c r="R340" s="1">
        <f ca="1">IF(ISERROR(F331),"",SUM(P340:Q340))</f>
        <v>0</v>
      </c>
      <c r="S340" s="1">
        <f ca="1">IF(ISERROR(F331),"",VLOOKUP(A331,INDIRECT($F$8),6+(O340-1)*3))</f>
        <v>100</v>
      </c>
      <c r="T340" s="1">
        <f ca="1">IF(ISERROR(F331),"",VLOOKUP(A331,INDIRECT($F$8),7+(O340-1)*3))</f>
        <v>50</v>
      </c>
      <c r="U340" s="1">
        <f ca="1">IF(ISERROR(F331),"",VLOOKUP(A331,INDIRECT($F$8),8+(O340-1)*3))</f>
        <v>150</v>
      </c>
      <c r="V340" s="1" t="str">
        <f ca="1">IF(ISERROR(F331),"",IF(N340=0,A340,""))</f>
        <v>AHT 310</v>
      </c>
      <c r="W340" s="1">
        <f ca="1">IF(ISERROR(F331),"",IF(ISTEXT(VLOOKUP(B331,INDIRECT($F$8),6+(O340-1)*3)),11,IF(VLOOKUP(B331,INDIRECT($F$8),6+(O340-1)*3)&lt;S340*0.3,IF(VLOOKUP(B331,INDIRECT($F$8),8+(O340-1)*3)&lt;U340*0.4,IF(AND(0.4*U340-VLOOKUP(B331,INDIRECT($F$8),8+(O340-1)*3)&lt;=5,0.3*S340-VLOOKUP(B331,INDIRECT($F$8),6+(O340-1)*3)&lt;=5),MAX(0.4*U340-VLOOKUP(B331,INDIRECT($F$8),8+(O340-1)*3),0.3*S340-VLOOKUP(B331,INDIRECT($F$8),6+(O340-1)*3)),11),IF(0.3*S340-VLOOKUP(B331,INDIRECT($F$8),6+(O340-1)*3)&lt;=5,0.3*S340-VLOOKUP(B331,INDIRECT($F$8),6+(O340-1)*3),11)),IF(VLOOKUP(B331,INDIRECT($F$8),8+(O340-1)*3)&lt;U340*0.4,IF(U340*0.4-VLOOKUP(B331,INDIRECT($F$8),8+(O340-1)*3)&lt;=5,U340*0.4-VLOOKUP(B331,INDIRECT($F$8),8+(O340-1)*3),11),0))))</f>
        <v>11</v>
      </c>
      <c r="X340" s="1" t="str">
        <f ca="1">IF(ISERROR(F331),"",IF(W340=0,"",_xlfn.TEXTJOIN("",FALSE," G+",W340," in ",A340)))</f>
        <v xml:space="preserve"> G+11 in AHT 310</v>
      </c>
    </row>
    <row r="341" spans="1:24" ht="14.25" customHeight="1" x14ac:dyDescent="0.2">
      <c r="A341" s="7" t="str">
        <f ca="1">IF(ISERROR(F331),"",VLOOKUP(C331,INDIRECT($F$8),6+(O341-1)*3,0))</f>
        <v>CAP 008</v>
      </c>
      <c r="B341" s="41" t="str">
        <f ca="1">IF(ISERROR(F331),"",VLOOKUP(D331,INDIRECT($F$8),6+(O341-1)*3,0))</f>
        <v>Software Engineering Lab</v>
      </c>
      <c r="C341" s="41"/>
      <c r="D341" s="41"/>
      <c r="E341" s="41"/>
      <c r="F341" s="7">
        <f ca="1">IF(ISERROR(F331),"",VLOOKUP(E331,INDIRECT($F$8),6+(O341-1)*3,0))</f>
        <v>1</v>
      </c>
      <c r="G341" s="42" t="str">
        <f ca="1">IF(ISERROR(F331),"",_xlfn.TEXTJOIN("/",FALSE,P341,S341))</f>
        <v>0/30</v>
      </c>
      <c r="H341" s="42"/>
      <c r="I341" s="42" t="str">
        <f ca="1">IF(ISERROR(F331),"",_xlfn.TEXTJOIN("/",FALSE,Q341,T341))</f>
        <v>0/20</v>
      </c>
      <c r="J341" s="42"/>
      <c r="K341" s="42" t="str">
        <f ca="1">IF(ISERROR(F331),"",_xlfn.TEXTJOIN("/",FALSE,R341,U341))</f>
        <v>0/50</v>
      </c>
      <c r="L341" s="42"/>
      <c r="M341" s="7" t="str">
        <f ca="1">IF(ISERROR(F331),"",IF(ISTEXT(P341),IF(P341="A","Ab",IF(P341="D","Dt",IF(P341="UFM","UFM",IF(P341="NA","")))),IF(AND(ISBLANK(P341),ISBLANK(R341)),"",IF(P341&lt;0.3*S341,"F",IF(ISBLANK(R341),"",IF(ISTEXT(R341),R341,IF(R341&gt;=0.9*U341,"O",IF(R341&gt;=0.85*U341,"A+",IF(R341&gt;=0.8*U341,"A",IF(R341&gt;=0.7*U341,"B+",IF(R341&gt;=0.6*U341,"B",IF(R341&gt;=0.5*U341,"C",IF(R341&gt;=0.4*U341,"P",IF(R341&lt;0.4*U341,"F",R341))))))))))))))</f>
        <v>F</v>
      </c>
      <c r="N341" s="8">
        <f t="shared" ca="1" si="38"/>
        <v>0</v>
      </c>
      <c r="O341">
        <f t="shared" ref="O341:O343" ca="1" si="39">O340+1</f>
        <v>8</v>
      </c>
      <c r="P341" s="1">
        <f ca="1">IF(ISERROR(F331),"",IF(ISTEXT(VLOOKUP(B331,INDIRECT($F$8),6+(O341-1)*3)),(VLOOKUP(B331,INDIRECT($F$8),6+(O341-1)*3)),SUM(VLOOKUP(B331,INDIRECT($F$8),6+(O341-1)*3),IF(W344,W341,0))))</f>
        <v>0</v>
      </c>
      <c r="Q341" s="1">
        <f ca="1">IF(ISERROR(F331),"",VLOOKUP(B331,INDIRECT($F$8),7+(O341-1)*3))</f>
        <v>0</v>
      </c>
      <c r="R341" s="1">
        <f ca="1">IF(ISERROR(F331),"",SUM(P341:Q341))</f>
        <v>0</v>
      </c>
      <c r="S341" s="1">
        <f ca="1">IF(ISERROR(F331),"",VLOOKUP(A331,INDIRECT($F$8),6+(O341-1)*3))</f>
        <v>30</v>
      </c>
      <c r="T341" s="1">
        <f ca="1">IF(ISERROR(F331),"",VLOOKUP(A331,INDIRECT($F$8),7+(O341-1)*3))</f>
        <v>20</v>
      </c>
      <c r="U341" s="1">
        <f ca="1">IF(ISERROR(F331),"",VLOOKUP(A331,INDIRECT($F$8),8+(O341-1)*3))</f>
        <v>50</v>
      </c>
      <c r="V341" s="1" t="str">
        <f ca="1">IF(ISERROR(F331),"",IF(N341=0,A341,""))</f>
        <v>CAP 008</v>
      </c>
      <c r="W341" s="1">
        <f ca="1">IF(ISERROR(F331),"",IF(ISTEXT(VLOOKUP(B331,INDIRECT($F$8),6+(O341-1)*3)),11,IF(VLOOKUP(B331,INDIRECT($F$8),6+(O341-1)*3)&lt;S341*0.3,IF(VLOOKUP(B331,INDIRECT($F$8),8+(O341-1)*3)&lt;U341*0.4,IF(AND(0.4*U341-VLOOKUP(B331,INDIRECT($F$8),8+(O341-1)*3)&lt;=5,0.3*S341-VLOOKUP(B331,INDIRECT($F$8),6+(O341-1)*3)&lt;=5),MAX(0.4*U341-VLOOKUP(B331,INDIRECT($F$8),8+(O341-1)*3),0.3*S341-VLOOKUP(B331,INDIRECT($F$8),6+(O341-1)*3)),11),IF(0.3*S341-VLOOKUP(B331,INDIRECT($F$8),6+(O341-1)*3)&lt;=5,0.3*S341-VLOOKUP(B331,INDIRECT($F$8),6+(O341-1)*3),11)),IF(VLOOKUP(B331,INDIRECT($F$8),8+(O341-1)*3)&lt;U341*0.4,IF(U341*0.4-VLOOKUP(B331,INDIRECT($F$8),8+(O341-1)*3)&lt;=5,U341*0.4-VLOOKUP(B331,INDIRECT($F$8),8+(O341-1)*3),11),0))))</f>
        <v>11</v>
      </c>
      <c r="X341" s="1" t="str">
        <f ca="1">IF(ISERROR(F331),"",IF(W341=0,"",_xlfn.TEXTJOIN("",FALSE," G+",W341," in ",A341)))</f>
        <v xml:space="preserve"> G+11 in CAP 008</v>
      </c>
    </row>
    <row r="342" spans="1:24" ht="14.25" customHeight="1" x14ac:dyDescent="0.2">
      <c r="A342" s="7" t="str">
        <f ca="1">IF(ISERROR(F331),"",VLOOKUP(C331,INDIRECT($F$8),6+(O342-1)*3,0))</f>
        <v>CAP 009</v>
      </c>
      <c r="B342" s="41" t="str">
        <f ca="1">IF(ISERROR(F331),"",VLOOKUP(D331,INDIRECT($F$8),6+(O342-1)*3,0))</f>
        <v>Seminar</v>
      </c>
      <c r="C342" s="41"/>
      <c r="D342" s="41"/>
      <c r="E342" s="41"/>
      <c r="F342" s="7">
        <f ca="1">IF(ISERROR(F331),"",VLOOKUP(E331,INDIRECT($F$8),6+(O342-1)*3,0))</f>
        <v>2</v>
      </c>
      <c r="G342" s="42" t="str">
        <f ca="1">IF(ISERROR(F331),"",_xlfn.TEXTJOIN("/",FALSE,P342,S342))</f>
        <v>0/0</v>
      </c>
      <c r="H342" s="42"/>
      <c r="I342" s="42" t="str">
        <f ca="1">IF(ISERROR(F331),"",_xlfn.TEXTJOIN("/",FALSE,Q342,T342))</f>
        <v>0/100</v>
      </c>
      <c r="J342" s="42"/>
      <c r="K342" s="42" t="str">
        <f ca="1">IF(ISERROR(F331),"",_xlfn.TEXTJOIN("/",FALSE,R342,U342))</f>
        <v>0/100</v>
      </c>
      <c r="L342" s="42"/>
      <c r="M342" s="7" t="str">
        <f ca="1">IF(ISERROR(F331),"",IF(ISTEXT(P342),IF(P342="A","Ab",IF(P342="D","Dt",IF(P342="UFM","UFM",IF(P342="NA","")))),IF(AND(ISBLANK(P342),ISBLANK(R342)),"",IF(P342&lt;0.3*S342,"F",IF(ISBLANK(R342),"",IF(ISTEXT(R342),R342,IF(R342&gt;=0.9*U342,"O",IF(R342&gt;=0.85*U342,"A+",IF(R342&gt;=0.8*U342,"A",IF(R342&gt;=0.7*U342,"B+",IF(R342&gt;=0.6*U342,"B",IF(R342&gt;=0.5*U342,"C",IF(R342&gt;=0.4*U342,"P",IF(R342&lt;0.4*U342,"F",R342))))))))))))))</f>
        <v>F</v>
      </c>
      <c r="N342" s="8">
        <f t="shared" ca="1" si="38"/>
        <v>0</v>
      </c>
      <c r="O342">
        <f t="shared" ca="1" si="39"/>
        <v>9</v>
      </c>
      <c r="P342" s="1">
        <f ca="1">IF(ISERROR(F331),"",IF(ISTEXT(VLOOKUP(B331,INDIRECT($F$8),6+(O342-1)*3)),(VLOOKUP(B331,INDIRECT($F$8),6+(O342-1)*3)),SUM(VLOOKUP(B331,INDIRECT($F$8),6+(O342-1)*3),IF(W344,W342,0))))</f>
        <v>0</v>
      </c>
      <c r="Q342" s="1">
        <f ca="1">IF(ISERROR(F331),"",VLOOKUP(B331,INDIRECT($F$8),7+(O342-1)*3))</f>
        <v>0</v>
      </c>
      <c r="R342" s="1">
        <f ca="1">IF(ISERROR(F331),"",SUM(P342:Q342))</f>
        <v>0</v>
      </c>
      <c r="S342" s="1">
        <f ca="1">IF(ISERROR(F331),"",VLOOKUP(A331,INDIRECT($F$8),6+(O342-1)*3))</f>
        <v>0</v>
      </c>
      <c r="T342" s="1">
        <f ca="1">IF(ISERROR(F331),"",VLOOKUP(A331,INDIRECT($F$8),7+(O342-1)*3))</f>
        <v>100</v>
      </c>
      <c r="U342" s="1">
        <f ca="1">IF(ISERROR(F331),"",VLOOKUP(A331,INDIRECT($F$8),8+(O342-1)*3))</f>
        <v>100</v>
      </c>
      <c r="V342" s="1" t="str">
        <f ca="1">IF(ISERROR(F331),"",IF(N342=0,A342,""))</f>
        <v>CAP 009</v>
      </c>
      <c r="W342" s="1">
        <f ca="1">IF(ISERROR(F331),"",IF(ISTEXT(VLOOKUP(B331,INDIRECT($F$8),6+(O342-1)*3)),11,IF(VLOOKUP(B331,INDIRECT($F$8),6+(O342-1)*3)&lt;S342*0.3,IF(VLOOKUP(B331,INDIRECT($F$8),8+(O342-1)*3)&lt;U342*0.4,IF(AND(0.4*U342-VLOOKUP(B331,INDIRECT($F$8),8+(O342-1)*3)&lt;=5,0.3*S342-VLOOKUP(B331,INDIRECT($F$8),6+(O342-1)*3)&lt;=5),MAX(0.4*U342-VLOOKUP(B331,INDIRECT($F$8),8+(O342-1)*3),0.3*S342-VLOOKUP(B331,INDIRECT($F$8),6+(O342-1)*3)),11),IF(0.3*S342-VLOOKUP(B331,INDIRECT($F$8),6+(O342-1)*3)&lt;=5,0.3*S342-VLOOKUP(B331,INDIRECT($F$8),6+(O342-1)*3),11)),IF(VLOOKUP(B331,INDIRECT($F$8),8+(O342-1)*3)&lt;U342*0.4,IF(U342*0.4-VLOOKUP(B331,INDIRECT($F$8),8+(O342-1)*3)&lt;=5,U342*0.4-VLOOKUP(B331,INDIRECT($F$8),8+(O342-1)*3),11),0))))</f>
        <v>11</v>
      </c>
      <c r="X342" s="1" t="str">
        <f ca="1">IF(ISERROR(F331),"",IF(W342=0,"",_xlfn.TEXTJOIN("",FALSE," G+",W342," in ",A342)))</f>
        <v xml:space="preserve"> G+11 in CAP 009</v>
      </c>
    </row>
    <row r="343" spans="1:24" ht="14.25" customHeight="1" x14ac:dyDescent="0.2">
      <c r="A343" s="7" t="str">
        <f ca="1">IF(ISERROR(F331),"",VLOOKUP(C331,INDIRECT($F$8),6+(O343-1)*3,0))</f>
        <v>CAP 010</v>
      </c>
      <c r="B343" s="41" t="str">
        <f ca="1">IF(ISERROR(F331),"",VLOOKUP(D331,INDIRECT($F$8),6+(O343-1)*3-Z343,0))</f>
        <v>Minor Project</v>
      </c>
      <c r="C343" s="41"/>
      <c r="D343" s="41"/>
      <c r="E343" s="41"/>
      <c r="F343" s="7">
        <f ca="1">IF(ISERROR(F331),"",VLOOKUP(E331,INDIRECT($F$8),6+(O343-1)*3,0))</f>
        <v>2</v>
      </c>
      <c r="G343" s="42" t="str">
        <f ca="1">IF(ISERROR(F331),"",_xlfn.TEXTJOIN("/",FALSE,P343,S343))</f>
        <v>0/50</v>
      </c>
      <c r="H343" s="42"/>
      <c r="I343" s="42" t="str">
        <f ca="1">IF(ISERROR(F331),"",_xlfn.TEXTJOIN("/",FALSE,Q343,T343))</f>
        <v>0/50</v>
      </c>
      <c r="J343" s="42"/>
      <c r="K343" s="42" t="str">
        <f ca="1">IF(ISERROR(F331),"",_xlfn.TEXTJOIN("/",FALSE,R343,U343))</f>
        <v>0/100</v>
      </c>
      <c r="L343" s="42"/>
      <c r="M343" s="7" t="str">
        <f ca="1">IF(ISERROR(F331),"",IF(ISTEXT(P343),IF(P343="A","Ab",IF(P343="D","Dt",IF(P343="UFM","UFM",IF(P343="NA","")))),IF(AND(ISBLANK(P343),ISBLANK(R343)),"",IF(P343&lt;0.3*S343,"F",IF(ISBLANK(R343),"",IF(ISTEXT(R343),R343,IF(R343&gt;=0.9*U343,"O",IF(R343&gt;=0.85*U343,"A+",IF(R343&gt;=0.8*U343,"A",IF(R343&gt;=0.7*U343,"B+",IF(R343&gt;=0.6*U343,"B",IF(R343&gt;=0.5*U343,"C",IF(R343&gt;=0.4*U343,"P",IF(R343&lt;0.4*U343,"F",R343))))))))))))))</f>
        <v>F</v>
      </c>
      <c r="N343" s="8">
        <f t="shared" ca="1" si="38"/>
        <v>0</v>
      </c>
      <c r="O343">
        <f t="shared" ca="1" si="39"/>
        <v>10</v>
      </c>
      <c r="P343" s="1">
        <f ca="1">IF(ISERROR(F331),"",IF(ISTEXT(VLOOKUP(B331,INDIRECT($F$8),6+(O343-1)*3)),(VLOOKUP(B331,INDIRECT($F$8),6+(O343-1)*3)),SUM(VLOOKUP(B331,INDIRECT($F$8),6+(O343-1)*3),IF(W344,W343,0))))</f>
        <v>0</v>
      </c>
      <c r="Q343" s="1">
        <f ca="1">IF(ISERROR(F331),"",VLOOKUP(B331,INDIRECT($F$8),7+(O343-1)*3))</f>
        <v>0</v>
      </c>
      <c r="R343" s="1">
        <f ca="1">IF(ISERROR(F331),"",SUM(P343:Q343))</f>
        <v>0</v>
      </c>
      <c r="S343" s="1">
        <f ca="1">IF(ISERROR(F331),"",VLOOKUP(A331,INDIRECT($F$8),6+(O343-1)*3))</f>
        <v>50</v>
      </c>
      <c r="T343" s="1">
        <f ca="1">IF(ISERROR(F331),"",VLOOKUP(A331,INDIRECT($F$8),7+(O343-1)*3))</f>
        <v>50</v>
      </c>
      <c r="U343" s="1">
        <f ca="1">IF(ISERROR(F331),"",VLOOKUP(A331,INDIRECT($F$8),8+(O343-1)*3))</f>
        <v>100</v>
      </c>
      <c r="V343" s="1" t="str">
        <f ca="1">IF(ISERROR(F331),"",IF(N343=0,A343,""))</f>
        <v>CAP 010</v>
      </c>
      <c r="W343" s="1">
        <f ca="1">IF(ISERROR(F331),"",IF(ISTEXT(VLOOKUP(B331,INDIRECT($F$8),6+(O343-1)*3)),11,IF(VLOOKUP(B331,INDIRECT($F$8),6+(O343-1)*3)&lt;S343*0.3,IF(VLOOKUP(B331,INDIRECT($F$8),8+(O343-1)*3)&lt;U343*0.4,IF(AND(0.4*U343-VLOOKUP(B331,INDIRECT($F$8),8+(O343-1)*3)&lt;=5,0.3*S343-VLOOKUP(B331,INDIRECT($F$8),6+(O343-1)*3)&lt;=5),MAX(0.4*U343-VLOOKUP(B331,INDIRECT($F$8),8+(O343-1)*3),0.3*S343-VLOOKUP(B331,INDIRECT($F$8),6+(O343-1)*3)),11),IF(0.3*S343-VLOOKUP(B331,INDIRECT($F$8),6+(O343-1)*3)&lt;=5,0.3*S343-VLOOKUP(B331,INDIRECT($F$8),6+(O343-1)*3),11)),IF(VLOOKUP(B331,INDIRECT($F$8),8+(O343-1)*3)&lt;U343*0.4,IF(U343*0.4-VLOOKUP(B331,INDIRECT($F$8),8+(O343-1)*3)&lt;=5,U343*0.4-VLOOKUP(B331,INDIRECT($F$8),8+(O343-1)*3),11),0))))</f>
        <v>11</v>
      </c>
      <c r="X343" s="1" t="str">
        <f ca="1">IF(ISERROR(F331),"",IF(W343=0,"",_xlfn.TEXTJOIN("",FALSE," G+",W343," in ",A343)))</f>
        <v xml:space="preserve"> G+11 in CAP 010</v>
      </c>
    </row>
    <row r="344" spans="1:24" ht="14.25" customHeight="1" x14ac:dyDescent="0.2">
      <c r="A344" s="43" t="str">
        <f ca="1">IF(ISERROR(F331),"",A327)</f>
        <v>Total Credits/ Marks/ Total Grade Points</v>
      </c>
      <c r="B344" s="43"/>
      <c r="C344" s="43"/>
      <c r="D344" s="43"/>
      <c r="E344" s="43"/>
      <c r="F344" s="10">
        <f ca="1">IF(ISERROR(F331),"",SUM(F336:F343))</f>
        <v>16</v>
      </c>
      <c r="G344" s="44" t="str">
        <f ca="1">IF(ISERROR(F331),"",_xlfn.TEXTJOIN("/",TRUE,SUMIF(F336:F343,"&gt;0",P336:P343),SUMIF(F336:F343,"&gt;0",S336:S343)))</f>
        <v>0/380</v>
      </c>
      <c r="H344" s="44"/>
      <c r="I344" s="44" t="str">
        <f ca="1">IF(ISERROR(F331),"",_xlfn.TEXTJOIN("/",TRUE,SUMIF(F336:F343,"&gt;0",Q336:Q343),SUMIF(F336:F343,"&gt;0",T336:T343)))</f>
        <v>0/320</v>
      </c>
      <c r="J344" s="44"/>
      <c r="K344" s="44" t="str">
        <f ca="1">IF(ISERROR(F331),"",_xlfn.TEXTJOIN("/",TRUE,SUMIF(F336:F343,"&gt;0",R336:R343),SUMIF(F336:F343,"&gt;0",U336:U343)))</f>
        <v>0/700</v>
      </c>
      <c r="L344" s="44"/>
      <c r="M344" s="43" t="e">
        <f ca="1">IF(ISERROR(F331),"",SUMPRODUCT(N336:N343,F336:F343))</f>
        <v>#N/A</v>
      </c>
      <c r="N344" s="43"/>
      <c r="V344" s="1" t="e">
        <f ca="1">IF(ISERROR(F331),"",_xlfn.TEXTJOIN(", ",TRUE,V336:V343))</f>
        <v>#N/A</v>
      </c>
      <c r="W344" t="b">
        <f ca="1">IF(ISERROR(F331),"",IF(SUM(W336:W343)&lt;=W335,TRUE,FALSE))</f>
        <v>0</v>
      </c>
      <c r="X344" s="1" t="str">
        <f ca="1">IF(ISERROR(F331),"",_xlfn.TEXTJOIN(",",TRUE,X336:X343))</f>
        <v xml:space="preserve"> G+11 in CAT  014, G+11 in CAT 015, G+11 in Enroll No., G+11 in Enroll No., G+11 in AHT 310, G+11 in CAP 008, G+11 in CAP 009, G+11 in CAP 010</v>
      </c>
    </row>
    <row r="345" spans="1:24" ht="14.25" customHeight="1" x14ac:dyDescent="0.2">
      <c r="A345" s="43" t="str">
        <f ca="1">IF(ISERROR(F331),"",A328)</f>
        <v>Result:</v>
      </c>
      <c r="B345" s="45" t="e">
        <f ca="1">IF(ISERROR(F331),"",IF(V344="","PASS","CARRY OVER"))</f>
        <v>#N/A</v>
      </c>
      <c r="C345" s="45"/>
      <c r="D345" s="43" t="str">
        <f ca="1">IF(ISERROR(F331),"",D328)</f>
        <v>Remark:</v>
      </c>
      <c r="E345" s="45" t="e">
        <f ca="1">IF(ISERROR(F331),"",IF(V344="",IF(X344="","",X344),_xlfn.TEXTJOIN(" ",TRUE,"BACK IN",V344)))</f>
        <v>#N/A</v>
      </c>
      <c r="F345" s="45"/>
      <c r="G345" s="43" t="str">
        <f ca="1">IF(ISERROR(F331),"",G328)</f>
        <v>SGPA:</v>
      </c>
      <c r="H345" s="46" t="e">
        <f ca="1">IF(ISERROR(F331),"",M344/F344)</f>
        <v>#N/A</v>
      </c>
      <c r="I345" s="43" t="str">
        <f ca="1">IF(ISERROR(F331),"",I328)</f>
        <v>CGPA:</v>
      </c>
      <c r="J345" s="46" t="e">
        <f ca="1">IF(ISERROR(F331),"",VLOOKUP(B331,INDIRECT($F$8),12+(O343-1)*3,0))</f>
        <v>#N/A</v>
      </c>
      <c r="K345" s="45" t="str">
        <f ca="1">IF(ISERROR(F331),"",K328)</f>
        <v>Earned Credits:</v>
      </c>
      <c r="L345" s="43">
        <f ca="1">IF(ISERROR(F331),"",SUMIF(N336:N343,"&gt;0",F336:F343))</f>
        <v>0</v>
      </c>
      <c r="M345" s="45" t="str">
        <f ca="1">IF(ISERROR(F331),"",M328)</f>
        <v>Cuml. Earned Credits:</v>
      </c>
      <c r="N345" s="43" t="e">
        <f ca="1">IF(ISERROR(F331),"",VLOOKUP(B331,INDIRECT($F$8),10+(O343-1)*3,0))</f>
        <v>#N/A</v>
      </c>
    </row>
    <row r="346" spans="1:24" ht="14.25" customHeight="1" x14ac:dyDescent="0.2">
      <c r="A346" s="43"/>
      <c r="B346" s="45"/>
      <c r="C346" s="45"/>
      <c r="D346" s="43"/>
      <c r="E346" s="45"/>
      <c r="F346" s="45"/>
      <c r="G346" s="43"/>
      <c r="H346" s="46"/>
      <c r="I346" s="43"/>
      <c r="J346" s="46"/>
      <c r="K346" s="45"/>
      <c r="L346" s="43"/>
      <c r="M346" s="45"/>
      <c r="N346" s="43"/>
    </row>
    <row r="347" spans="1:24" ht="14.25" customHeight="1" x14ac:dyDescent="0.2">
      <c r="A347" s="43"/>
      <c r="B347" s="45"/>
      <c r="C347" s="45"/>
      <c r="D347" s="43"/>
      <c r="E347" s="45"/>
      <c r="F347" s="45"/>
      <c r="G347" s="43"/>
      <c r="H347" s="46"/>
      <c r="I347" s="43"/>
      <c r="J347" s="46"/>
      <c r="K347" s="45"/>
      <c r="L347" s="43"/>
      <c r="M347" s="45"/>
      <c r="N347" s="43"/>
    </row>
    <row r="348" spans="1:24" ht="14.25" customHeight="1" x14ac:dyDescent="0.2">
      <c r="A348" s="11" t="str">
        <f>A331</f>
        <v>MM</v>
      </c>
      <c r="B348" s="11">
        <f>B331+1</f>
        <v>21</v>
      </c>
      <c r="C348" s="11" t="str">
        <f>C331</f>
        <v>SC</v>
      </c>
      <c r="D348" s="11" t="str">
        <f>D331</f>
        <v>SN</v>
      </c>
      <c r="E348" s="11" t="str">
        <f>E331</f>
        <v>C</v>
      </c>
      <c r="F348" s="11" t="str">
        <f ca="1">VLOOKUP(B348,INDIRECT($F$8),4,0)</f>
        <v>SHIKHA</v>
      </c>
    </row>
    <row r="349" spans="1:24" ht="14.25" customHeight="1" x14ac:dyDescent="0.2">
      <c r="A349" s="47" t="str">
        <f ca="1">IF(ISERROR(F348),"",A332)</f>
        <v>Name:</v>
      </c>
      <c r="B349" s="47" t="str">
        <f ca="1">IFERROR(VLOOKUP(B348,INDIRECT($F$8),4,0),"")</f>
        <v>SHIKHA</v>
      </c>
      <c r="C349" s="47"/>
      <c r="D349" s="47" t="str">
        <f ca="1">IF(ISERROR(F348),"",D332)</f>
        <v>Father's Name:</v>
      </c>
      <c r="E349" s="47" t="str">
        <f ca="1">IFERROR(VLOOKUP(B348,INDIRECT($F$8),5,0),"")</f>
        <v>UPENDRA SINGH SEMWAL</v>
      </c>
      <c r="F349" s="47"/>
      <c r="G349" s="47" t="str">
        <f ca="1">IF(ISERROR(F348),"",G332)</f>
        <v>University Roll No:</v>
      </c>
      <c r="H349" s="47"/>
      <c r="I349" s="48">
        <f ca="1">IFERROR(VLOOKUP(B348,INDIRECT($F$8),2,0),"")</f>
        <v>240090600021</v>
      </c>
      <c r="J349" s="48"/>
      <c r="K349" s="47" t="str">
        <f ca="1">IF(ISERROR(F348),"",K332)</f>
        <v>University Enrol. No:</v>
      </c>
      <c r="L349" s="47"/>
      <c r="M349" s="48" t="str">
        <f ca="1">IFERROR(VLOOKUP(B348,INDIRECT($F$8),3,0),"")</f>
        <v>UTU/2406100176</v>
      </c>
      <c r="N349" s="48"/>
    </row>
    <row r="350" spans="1:24" ht="14.25" customHeight="1" x14ac:dyDescent="0.2">
      <c r="A350" s="47"/>
      <c r="B350" s="47"/>
      <c r="C350" s="47"/>
      <c r="D350" s="47"/>
      <c r="E350" s="47"/>
      <c r="F350" s="47"/>
      <c r="G350" s="47"/>
      <c r="H350" s="47"/>
      <c r="I350" s="48"/>
      <c r="J350" s="48"/>
      <c r="K350" s="47"/>
      <c r="L350" s="47"/>
      <c r="M350" s="48"/>
      <c r="N350" s="48"/>
    </row>
    <row r="351" spans="1:24" ht="14.25" customHeight="1" x14ac:dyDescent="0.2">
      <c r="A351" s="45" t="str">
        <f ca="1">IF(ISERROR(F348),"",A334)</f>
        <v>Subject Code</v>
      </c>
      <c r="B351" s="45" t="str">
        <f ca="1">IF(ISERROR(F348),"",B334)</f>
        <v>Subject Name</v>
      </c>
      <c r="C351" s="45"/>
      <c r="D351" s="45"/>
      <c r="E351" s="45"/>
      <c r="F351" s="45" t="str">
        <f ca="1">IF(ISERROR(F348),"",F334)</f>
        <v>Credits</v>
      </c>
      <c r="G351" s="45" t="str">
        <f ca="1">IF(ISERROR(F348),"",G334)</f>
        <v>External Marks</v>
      </c>
      <c r="H351" s="45"/>
      <c r="I351" s="45" t="str">
        <f ca="1">IF(ISERROR(F348),"",I334)</f>
        <v>Sessional Marks</v>
      </c>
      <c r="J351" s="45"/>
      <c r="K351" s="45" t="str">
        <f ca="1">IF(ISERROR(F348),"",K334)</f>
        <v>Total Marks</v>
      </c>
      <c r="L351" s="45"/>
      <c r="M351" s="45" t="str">
        <f ca="1">IF(ISERROR(F348),"",M334)</f>
        <v>Grade</v>
      </c>
      <c r="N351" s="45" t="str">
        <f ca="1">IF(ISERROR(F348),"",N334)</f>
        <v>Grade Points</v>
      </c>
    </row>
    <row r="352" spans="1:24" ht="14.25" customHeight="1" x14ac:dyDescent="0.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W352">
        <f ca="1">IF(ISNUMBER(MATCH($F$8,{"I","III","V","VII"},0)),10,10-INDEX(INDIRECT(_xlfn.TEXTJOIN("",TRUE,"SEM_",$G$8,"!",ADDRESS(6,4+$I$8*3+4),":",ADDRESS(5+$H$8,4+$I$8*3+4))),MATCH(INDIRECT(_xlfn.TEXTJOIN("",TRUE,"TC_",$F$8,"!",ADDRESS(ROW(I349),COLUMN(I349)))),INDIRECT(_xlfn.TEXTJOIN("",TRUE,"SEM_",$G$8,"!",ADDRESS(6,2),":",ADDRESS(5+$H$8,2))))))</f>
        <v>10</v>
      </c>
    </row>
    <row r="353" spans="1:24" ht="14.25" customHeight="1" x14ac:dyDescent="0.2">
      <c r="A353" s="7" t="str">
        <f ca="1">IF(ISERROR(F348),"",VLOOKUP(C348,INDIRECT($F$8),6+(O353-1)*3,0))</f>
        <v>CAT  014</v>
      </c>
      <c r="B353" s="41" t="str">
        <f ca="1">IF(ISERROR(F348),"",VLOOKUP(D348,INDIRECT($F$8),6+(O353-1)*3,0))</f>
        <v>Graph Theory</v>
      </c>
      <c r="C353" s="41"/>
      <c r="D353" s="41"/>
      <c r="E353" s="41"/>
      <c r="F353" s="7">
        <f ca="1">IF(ISERROR(F348),"",VLOOKUP(E348,INDIRECT($F$8),6+(O353-1)*3,0))</f>
        <v>4</v>
      </c>
      <c r="G353" s="42" t="str">
        <f ca="1">IF(ISERROR(F348),"",_xlfn.TEXTJOIN("/",FALSE,P353,S353))</f>
        <v>0/100</v>
      </c>
      <c r="H353" s="42"/>
      <c r="I353" s="42" t="str">
        <f ca="1">IF(ISERROR(F348),"",_xlfn.TEXTJOIN("/",FALSE,Q353,T353))</f>
        <v>0/50</v>
      </c>
      <c r="J353" s="42"/>
      <c r="K353" s="42" t="str">
        <f ca="1">IF(ISERROR(F348),"",_xlfn.TEXTJOIN("/",FALSE,R353,U353))</f>
        <v>0/150</v>
      </c>
      <c r="L353" s="42"/>
      <c r="M353" s="7" t="str">
        <f ca="1">IF(ISERROR(F348),"",IF(ISTEXT(P353),IF(P353="A","Ab",IF(P353="D","Dt",IF(P353="UFM","UFM",IF(P353="NA","")))),IF(AND(ISBLANK(P353),ISBLANK(R353)),"",IF(P353&lt;0.3*S353,"F",IF(ISBLANK(R353),"",IF(ISTEXT(R353),R353,IF(R353&gt;=0.9*U353,"O",IF(R353&gt;=0.85*U353,"A+",IF(R353&gt;=0.8*U353,"A",IF(R353&gt;=0.7*U353,"B+",IF(R353&gt;=0.6*U353,"B",IF(R353&gt;=0.5*U353,"C",IF(R353&gt;=0.4*U353,"P",IF(R353&lt;0.4*U353,"F",R353))))))))))))))</f>
        <v>F</v>
      </c>
      <c r="N353" s="8">
        <f t="shared" ref="N353:N360" ca="1" si="40">INDEX($Z$2:$Z$13,MATCH(M353,$Y$2:$Y$13,0))</f>
        <v>0</v>
      </c>
      <c r="O353">
        <v>1</v>
      </c>
      <c r="P353" s="1">
        <f ca="1">IF(ISERROR(F348),"",IF(ISTEXT(VLOOKUP(B348,INDIRECT($F$8),6+(O353-1)*3)),(VLOOKUP(B348,INDIRECT($F$8),6+(O353-1)*3)),SUM(VLOOKUP(B348,INDIRECT($F$8),6+(O353-1)*3),IF(W361,W353,0))))</f>
        <v>0</v>
      </c>
      <c r="Q353" s="1">
        <f ca="1">IF(ISERROR(F348),"",VLOOKUP(B348,INDIRECT($F$8),7+(O353-1)*3))</f>
        <v>0</v>
      </c>
      <c r="R353" s="1">
        <f ca="1">IF(ISERROR(F348),"",SUM(P353:Q353))</f>
        <v>0</v>
      </c>
      <c r="S353" s="1">
        <f ca="1">IF(ISERROR(F348),"",VLOOKUP(A348,INDIRECT($F$8),6+(O353-1)*3))</f>
        <v>100</v>
      </c>
      <c r="T353" s="1">
        <f ca="1">IF(ISERROR(F348),"",VLOOKUP(A348,INDIRECT($F$8),7+(O353-1)*3))</f>
        <v>50</v>
      </c>
      <c r="U353" s="1">
        <f ca="1">IF(ISERROR(F348),"",VLOOKUP(A348,INDIRECT($F$8),8+(O353-1)*3))</f>
        <v>150</v>
      </c>
      <c r="V353" s="1" t="str">
        <f ca="1">IF(ISERROR(F348),"",IF(N353=0,A353,""))</f>
        <v>CAT  014</v>
      </c>
      <c r="W353" s="1">
        <f ca="1">IF(ISERROR(F348),"",IF(ISTEXT(VLOOKUP(B348,INDIRECT($F$8),6+(O353-1)*3)),11,IF(VLOOKUP(B348,INDIRECT($F$8),6+(O353-1)*3)&lt;S353*0.3,IF(VLOOKUP(B348,INDIRECT($F$8),8+(O353-1)*3)&lt;U353*0.4,IF(AND(0.4*U353-VLOOKUP(B348,INDIRECT($F$8),8+(O353-1)*3)&lt;=5,0.3*S353-VLOOKUP(B348,INDIRECT($F$8),6+(O353-1)*3)&lt;=5),MAX(0.4*U353-VLOOKUP(B348,INDIRECT($F$8),8+(O353-1)*3),0.3*S353-VLOOKUP(B348,INDIRECT($F$8),6+(O353-1)*3)),11),IF(0.3*S353-VLOOKUP(B348,INDIRECT($F$8),6+(O353-1)*3)&lt;=5,0.3*S353-VLOOKUP(B348,INDIRECT($F$8),6+(O353-1)*3),11)),IF(VLOOKUP(B348,INDIRECT($F$8),8+(O353-1)*3)&lt;U353*0.4,IF(U353*0.4-VLOOKUP(B348,INDIRECT($F$8),8+(O353-1)*3)&lt;=5,U353*0.4-VLOOKUP(B348,INDIRECT($F$8),8+(O353-1)*3),11),0))))</f>
        <v>11</v>
      </c>
      <c r="X353" s="1" t="str">
        <f ca="1">IF(ISERROR(F348),"",IF(W353=0,"",_xlfn.TEXTJOIN("",FALSE," G+",W353," in ",A353)))</f>
        <v xml:space="preserve"> G+11 in CAT  014</v>
      </c>
    </row>
    <row r="354" spans="1:24" ht="14.25" customHeight="1" x14ac:dyDescent="0.2">
      <c r="A354" s="7" t="str">
        <f ca="1">IF(ISERROR(F348),"",VLOOKUP(C348,INDIRECT($F$8),6+(O354-1)*3,0))</f>
        <v>CAT 015</v>
      </c>
      <c r="B354" s="41" t="str">
        <f ca="1">IF(ISERROR(F348),"",VLOOKUP(D348,INDIRECT($F$8),6+(O354-1)*3,0))</f>
        <v>Software Engineering</v>
      </c>
      <c r="C354" s="41"/>
      <c r="D354" s="41"/>
      <c r="E354" s="41"/>
      <c r="F354" s="7">
        <f ca="1">IF(ISERROR(F348),"",VLOOKUP(E348,INDIRECT($F$8),6+(O354-1)*3,0))</f>
        <v>4</v>
      </c>
      <c r="G354" s="42" t="str">
        <f ca="1">IF(ISERROR(F348),"",_xlfn.TEXTJOIN("/",FALSE,P354,S354))</f>
        <v>0/100</v>
      </c>
      <c r="H354" s="42"/>
      <c r="I354" s="42" t="str">
        <f ca="1">IF(ISERROR(F348),"",_xlfn.TEXTJOIN("/",FALSE,Q354,T354))</f>
        <v>0/50</v>
      </c>
      <c r="J354" s="42"/>
      <c r="K354" s="42" t="str">
        <f ca="1">IF(ISERROR(F348),"",_xlfn.TEXTJOIN("/",FALSE,R354,U354))</f>
        <v>0/150</v>
      </c>
      <c r="L354" s="42"/>
      <c r="M354" s="7" t="str">
        <f ca="1">IF(ISERROR(F348),"",IF(ISTEXT(P354),IF(P354="A","Ab",IF(P354="D","Dt",IF(P354="UFM","UFM",IF(P354="NA","")))),IF(AND(ISBLANK(P354),ISBLANK(R354)),"",IF(P354&lt;0.3*S354,"F",IF(ISBLANK(R354),"",IF(ISTEXT(R354),R354,IF(R354&gt;=0.9*U354,"O",IF(R354&gt;=0.85*U354,"A+",IF(R354&gt;=0.8*U354,"A",IF(R354&gt;=0.7*U354,"B+",IF(R354&gt;=0.6*U354,"B",IF(R354&gt;=0.5*U354,"C",IF(R354&gt;=0.4*U354,"P",IF(R354&lt;0.4*U354,"F",R354))))))))))))))</f>
        <v>F</v>
      </c>
      <c r="N354" s="8">
        <f t="shared" ca="1" si="40"/>
        <v>0</v>
      </c>
      <c r="O354">
        <f>O353+1</f>
        <v>2</v>
      </c>
      <c r="P354" s="1">
        <f ca="1">IF(ISERROR(F348),"",IF(ISTEXT(VLOOKUP(B348,INDIRECT($F$8),6+(O354-1)*3)),(VLOOKUP(B348,INDIRECT($F$8),6+(O354-1)*3)),SUM(VLOOKUP(B348,INDIRECT($F$8),6+(O354-1)*3),IF(W361,W354,0))))</f>
        <v>0</v>
      </c>
      <c r="Q354" s="1">
        <f ca="1">IF(ISERROR(F348),"",VLOOKUP(B348,INDIRECT($F$8),7+(O354-1)*3))</f>
        <v>0</v>
      </c>
      <c r="R354" s="1">
        <f ca="1">IF(ISERROR(F348),"",SUM(P354:Q354))</f>
        <v>0</v>
      </c>
      <c r="S354" s="1">
        <f ca="1">IF(ISERROR(F348),"",VLOOKUP(A348,INDIRECT($F$8),6+(O354-1)*3))</f>
        <v>100</v>
      </c>
      <c r="T354" s="1">
        <f ca="1">IF(ISERROR(F348),"",VLOOKUP(A348,INDIRECT($F$8),7+(O354-1)*3))</f>
        <v>50</v>
      </c>
      <c r="U354" s="1">
        <f ca="1">IF(ISERROR(F348),"",VLOOKUP(A348,INDIRECT($F$8),8+(O354-1)*3))</f>
        <v>150</v>
      </c>
      <c r="V354" s="1" t="str">
        <f ca="1">IF(ISERROR(F348),"",IF(N354=0,A354,""))</f>
        <v>CAT 015</v>
      </c>
      <c r="W354" s="1">
        <f ca="1">IF(ISERROR(F348),"",IF(ISTEXT(VLOOKUP(B348,INDIRECT($F$8),6+(O354-1)*3)),11,IF(VLOOKUP(B348,INDIRECT($F$8),6+(O354-1)*3)&lt;S354*0.3,IF(VLOOKUP(B348,INDIRECT($F$8),8+(O354-1)*3)&lt;U354*0.4,IF(AND(0.4*U354-VLOOKUP(B348,INDIRECT($F$8),8+(O354-1)*3)&lt;=5,0.3*S354-VLOOKUP(B348,INDIRECT($F$8),6+(O354-1)*3)&lt;=5),MAX(0.4*U354-VLOOKUP(B348,INDIRECT($F$8),8+(O354-1)*3),0.3*S354-VLOOKUP(B348,INDIRECT($F$8),6+(O354-1)*3)),11),IF(0.3*S354-VLOOKUP(B348,INDIRECT($F$8),6+(O354-1)*3)&lt;=5,0.3*S354-VLOOKUP(B348,INDIRECT($F$8),6+(O354-1)*3),11)),IF(VLOOKUP(B348,INDIRECT($F$8),8+(O354-1)*3)&lt;U354*0.4,IF(U354*0.4-VLOOKUP(B348,INDIRECT($F$8),8+(O354-1)*3)&lt;=5,U354*0.4-VLOOKUP(B348,INDIRECT($F$8),8+(O354-1)*3),11),0))))</f>
        <v>11</v>
      </c>
      <c r="X354" s="1" t="str">
        <f ca="1">IF(ISERROR(F348),"",IF(W354=0,"",_xlfn.TEXTJOIN("",FALSE," G+",W354," in ",A354)))</f>
        <v xml:space="preserve"> G+11 in CAT 015</v>
      </c>
    </row>
    <row r="355" spans="1:24" ht="14.25" customHeight="1" x14ac:dyDescent="0.2">
      <c r="A355" s="7" t="str">
        <f ca="1">IF(ISERROR(F348),"",VLOOKUP(C348,INDIRECT($F$8),6+(O355-1)*3,0))</f>
        <v>Enroll No.</v>
      </c>
      <c r="B355" s="41">
        <f ca="1">IF(ISERROR(F348),"",VLOOKUP(D348,INDIRECT($F$8),6+(O355-1)*3,0))</f>
        <v>0</v>
      </c>
      <c r="C355" s="41"/>
      <c r="D355" s="41"/>
      <c r="E355" s="41"/>
      <c r="F355" s="7">
        <f ca="1">IF(ISERROR(F348),"",VLOOKUP(E348,INDIRECT($F$8),6+(O355-1)*3,0))</f>
        <v>0</v>
      </c>
      <c r="G355" s="42" t="str">
        <f ca="1">IF(ISERROR(F348),"",_xlfn.TEXTJOIN("/",FALSE,P355,S355))</f>
        <v>UTU/2406100176/0</v>
      </c>
      <c r="H355" s="42"/>
      <c r="I355" s="42" t="str">
        <f ca="1">IF(ISERROR(F348),"",_xlfn.TEXTJOIN("/",FALSE,Q355,T355))</f>
        <v>SHIKHA/0</v>
      </c>
      <c r="J355" s="42"/>
      <c r="K355" s="42" t="str">
        <f ca="1">IF(ISERROR(F348),"",_xlfn.TEXTJOIN("/",FALSE,R355,U355))</f>
        <v>0/0</v>
      </c>
      <c r="L355" s="42"/>
      <c r="M355" s="7" t="b">
        <f ca="1">IF(ISERROR(F348),"",IF(ISTEXT(P355),IF(P355="A","Ab",IF(P355="D","Dt",IF(P355="UFM","UFM",IF(P355="NA","")))),IF(AND(ISBLANK(P355),ISBLANK(R355)),"",IF(P355&lt;0.3*S355,"F",IF(ISBLANK(R355),"",IF(ISTEXT(R355),R355,IF(R355&gt;=0.9*U355,"O",IF(R355&gt;=0.85*U355,"A+",IF(R355&gt;=0.8*U355,"A",IF(R355&gt;=0.7*U355,"B+",IF(R355&gt;=0.6*U355,"B",IF(R355&gt;=0.5*U355,"C",IF(R355&gt;=0.4*U355,"P",IF(R355&lt;0.4*U355,"F",R355))))))))))))))</f>
        <v>0</v>
      </c>
      <c r="N355" s="8" t="e">
        <f t="shared" ca="1" si="40"/>
        <v>#N/A</v>
      </c>
      <c r="O355" t="b" cm="1">
        <f t="array" aca="1" ref="O355" ca="1">IF(NOT(ISBLANK(INDIRECT("SEM_III!L"&amp;INT((ROW(O355)-15)/17)+6))),3,IF(NOT(ISBLANK(INDIRECT("SEM_III!O"&amp;INT((ROW(O355)-15)/17)+6))),4))</f>
        <v>0</v>
      </c>
      <c r="P355" s="1" t="str">
        <f ca="1">IF(ISERROR(F348),"",IF(ISTEXT(VLOOKUP(B348,INDIRECT($F$8),6+(O355-1)*3)),(VLOOKUP(B348,INDIRECT($F$8),6+(O355-1)*3)),SUM(VLOOKUP(B348,INDIRECT($F$8),6+(O355-1)*3),IF(W361,W355,0))))</f>
        <v>UTU/2406100176</v>
      </c>
      <c r="Q355" s="1" t="str">
        <f ca="1">IF(ISERROR(F348),"",VLOOKUP(B348,INDIRECT($F$8),7+(O355-1)*3))</f>
        <v>SHIKHA</v>
      </c>
      <c r="R355" s="1">
        <f ca="1">IF(ISERROR(F348),"",SUM(P355:Q355))</f>
        <v>0</v>
      </c>
      <c r="S355" s="1">
        <f ca="1">IF(ISERROR(F348),"",VLOOKUP(A348,INDIRECT($F$8),6+(O355-1)*3))</f>
        <v>0</v>
      </c>
      <c r="T355" s="1">
        <f ca="1">IF(ISERROR(F348),"",VLOOKUP(A348,INDIRECT($F$8),7+(O355-1)*3))</f>
        <v>0</v>
      </c>
      <c r="U355" s="1">
        <f ca="1">IF(ISERROR(F348),"",VLOOKUP(A348,INDIRECT($F$8),8+(O355-1)*3))</f>
        <v>0</v>
      </c>
      <c r="V355" s="1" t="e">
        <f ca="1">IF(ISERROR(F348),"",IF(N355=0,A355,""))</f>
        <v>#N/A</v>
      </c>
      <c r="W355" s="1">
        <f ca="1">IF(ISERROR(F348),"",IF(ISTEXT(VLOOKUP(B348,INDIRECT($F$8),6+(O355-1)*3)),11,IF(VLOOKUP(B348,INDIRECT($F$8),6+(O355-1)*3)&lt;S355*0.3,IF(VLOOKUP(B348,INDIRECT($F$8),8+(O355-1)*3)&lt;U355*0.4,IF(AND(0.4*U355-VLOOKUP(B348,INDIRECT($F$8),8+(O355-1)*3)&lt;=5,0.3*S355-VLOOKUP(B348,INDIRECT($F$8),6+(O355-1)*3)&lt;=5),MAX(0.4*U355-VLOOKUP(B348,INDIRECT($F$8),8+(O355-1)*3),0.3*S355-VLOOKUP(B348,INDIRECT($F$8),6+(O355-1)*3)),11),IF(0.3*S355-VLOOKUP(B348,INDIRECT($F$8),6+(O355-1)*3)&lt;=5,0.3*S355-VLOOKUP(B348,INDIRECT($F$8),6+(O355-1)*3),11)),IF(VLOOKUP(B348,INDIRECT($F$8),8+(O355-1)*3)&lt;U355*0.4,IF(U355*0.4-VLOOKUP(B348,INDIRECT($F$8),8+(O355-1)*3)&lt;=5,U355*0.4-VLOOKUP(B348,INDIRECT($F$8),8+(O355-1)*3),11),0))))</f>
        <v>11</v>
      </c>
      <c r="X355" s="1" t="str">
        <f ca="1">IF(ISERROR(F348),"",IF(W355=0,"",_xlfn.TEXTJOIN("",FALSE," G+",W355," in ",A355)))</f>
        <v xml:space="preserve"> G+11 in Enroll No.</v>
      </c>
    </row>
    <row r="356" spans="1:24" ht="14.25" customHeight="1" x14ac:dyDescent="0.2">
      <c r="A356" s="7" t="str">
        <f ca="1">IF(ISERROR(F348),"",VLOOKUP(C348,INDIRECT($F$8),6+(O356-1)*3,0))</f>
        <v>Enroll No.</v>
      </c>
      <c r="B356" s="41">
        <f ca="1">IF(ISERROR(F348),"",VLOOKUP(D348,INDIRECT($F$8),6+(O356-1)*3,0))</f>
        <v>0</v>
      </c>
      <c r="C356" s="41"/>
      <c r="D356" s="41"/>
      <c r="E356" s="41"/>
      <c r="F356" s="7">
        <f ca="1">IF(ISERROR(F348),"",VLOOKUP(E348,INDIRECT($F$8),6+(O356-1)*3,0))</f>
        <v>0</v>
      </c>
      <c r="G356" s="42" t="str">
        <f ca="1">IF(ISERROR(F348),"",_xlfn.TEXTJOIN("/",FALSE,P356,S356))</f>
        <v>UTU/2406100176/0</v>
      </c>
      <c r="H356" s="42"/>
      <c r="I356" s="42" t="str">
        <f ca="1">IF(ISERROR(F348),"",_xlfn.TEXTJOIN("/",FALSE,Q356,T356))</f>
        <v>SHIKHA/0</v>
      </c>
      <c r="J356" s="42"/>
      <c r="K356" s="42" t="str">
        <f ca="1">IF(ISERROR(F348),"",_xlfn.TEXTJOIN("/",FALSE,R356,U356))</f>
        <v>0/0</v>
      </c>
      <c r="L356" s="42"/>
      <c r="M356" s="7" t="b">
        <f ca="1">IF(ISERROR(F348),"",IF(ISTEXT(P356),IF(P356="A","Ab",IF(P356="D","Dt",IF(P356="UFM","UFM",IF(P356="NA","")))),IF(AND(ISBLANK(P356),ISBLANK(R356)),"",IF(P356&lt;0.3*S356,"F",IF(ISBLANK(R356),"",IF(ISTEXT(R356),R356,IF(R356&gt;=0.9*U356,"O",IF(R356&gt;=0.85*U356,"A+",IF(R356&gt;=0.8*U356,"A",IF(R356&gt;=0.7*U356,"B+",IF(R356&gt;=0.6*U356,"B",IF(R356&gt;=0.5*U356,"C",IF(R356&gt;=0.4*U356,"P",IF(R356&lt;0.4*U356,"F",R356))))))))))))))</f>
        <v>0</v>
      </c>
      <c r="N356" s="8" t="e">
        <f t="shared" ca="1" si="40"/>
        <v>#N/A</v>
      </c>
      <c r="O356" t="b" cm="1">
        <f t="array" aca="1" ref="O356" ca="1">IF(NOT(ISBLANK(INDIRECT("SEM_III!R"&amp;INT((ROW(O356)-16)/17)+6))),5,IF(NOT(ISBLANK(INDIRECT("SEM_III!U"&amp;INT((ROW(O356)-16)/17)+6))),6))</f>
        <v>0</v>
      </c>
      <c r="P356" s="1" t="str">
        <f ca="1">IF(ISERROR(F348),"",IF(ISTEXT(VLOOKUP(B348,INDIRECT($F$8),6+(O356-1)*3)),(VLOOKUP(B348,INDIRECT($F$8),6+(O356-1)*3)),SUM(VLOOKUP(B348,INDIRECT($F$8),6+(O356-1)*3),IF(W361,W356,0))))</f>
        <v>UTU/2406100176</v>
      </c>
      <c r="Q356" s="1" t="str">
        <f ca="1">IF(ISERROR(F348),"",VLOOKUP(B348,INDIRECT($F$8),7+(O356-1)*3))</f>
        <v>SHIKHA</v>
      </c>
      <c r="R356" s="1">
        <f ca="1">IF(ISERROR(F348),"",SUM(P356:Q356))</f>
        <v>0</v>
      </c>
      <c r="S356" s="1">
        <f ca="1">IF(ISERROR(F348),"",VLOOKUP(A348,INDIRECT($F$8),6+(O356-1)*3))</f>
        <v>0</v>
      </c>
      <c r="T356" s="1">
        <f ca="1">IF(ISERROR(F348),"",VLOOKUP(A348,INDIRECT($F$8),7+(O356-1)*3))</f>
        <v>0</v>
      </c>
      <c r="U356" s="1">
        <f ca="1">IF(ISERROR(F348),"",VLOOKUP(A348,INDIRECT($F$8),8+(O356-1)*3))</f>
        <v>0</v>
      </c>
      <c r="V356" s="1" t="e">
        <f ca="1">IF(ISERROR(F348),"",IF(N356=0,A356,""))</f>
        <v>#N/A</v>
      </c>
      <c r="W356" s="1">
        <f ca="1">IF(ISERROR(F348),"",IF(ISTEXT(VLOOKUP(B348,INDIRECT($F$8),6+(O356-1)*3)),11,IF(VLOOKUP(B348,INDIRECT($F$8),6+(O356-1)*3)&lt;S356*0.3,IF(VLOOKUP(B348,INDIRECT($F$8),8+(O356-1)*3)&lt;U356*0.4,IF(AND(0.4*U356-VLOOKUP(B348,INDIRECT($F$8),8+(O356-1)*3)&lt;=5,0.3*S356-VLOOKUP(B348,INDIRECT($F$8),6+(O356-1)*3)&lt;=5),MAX(0.4*U356-VLOOKUP(B348,INDIRECT($F$8),8+(O356-1)*3),0.3*S356-VLOOKUP(B348,INDIRECT($F$8),6+(O356-1)*3)),11),IF(0.3*S356-VLOOKUP(B348,INDIRECT($F$8),6+(O356-1)*3)&lt;=5,0.3*S356-VLOOKUP(B348,INDIRECT($F$8),6+(O356-1)*3),11)),IF(VLOOKUP(B348,INDIRECT($F$8),8+(O356-1)*3)&lt;U356*0.4,IF(U356*0.4-VLOOKUP(B348,INDIRECT($F$8),8+(O356-1)*3)&lt;=5,U356*0.4-VLOOKUP(B348,INDIRECT($F$8),8+(O356-1)*3),11),0))))</f>
        <v>11</v>
      </c>
      <c r="X356" s="1" t="str">
        <f ca="1">IF(ISERROR(F348),"",IF(W356=0,"",_xlfn.TEXTJOIN("",FALSE," G+",W356," in ",A356)))</f>
        <v xml:space="preserve"> G+11 in Enroll No.</v>
      </c>
    </row>
    <row r="357" spans="1:24" ht="14.25" customHeight="1" x14ac:dyDescent="0.2">
      <c r="A357" s="7" t="str">
        <f ca="1">IF(ISERROR(F348),"",VLOOKUP(C348,INDIRECT($F$8),6+(O357-1)*3,0))</f>
        <v>AHT 310</v>
      </c>
      <c r="B357" s="41" t="str">
        <f ca="1">IF(ISERROR(F348),"",VLOOKUP(D348,INDIRECT($F$8),6+(O357-1)*3,0))</f>
        <v>Universal Human Value</v>
      </c>
      <c r="C357" s="41"/>
      <c r="D357" s="41"/>
      <c r="E357" s="41"/>
      <c r="F357" s="7">
        <f ca="1">IF(ISERROR(F348),"",VLOOKUP(E348,INDIRECT($F$8),6+(O357-1)*3,0))</f>
        <v>3</v>
      </c>
      <c r="G357" s="42" t="str">
        <f ca="1">IF(ISERROR(F348),"",_xlfn.TEXTJOIN("/",FALSE,P357,S357))</f>
        <v>0/100</v>
      </c>
      <c r="H357" s="42"/>
      <c r="I357" s="42" t="str">
        <f ca="1">IF(ISERROR(F348),"",_xlfn.TEXTJOIN("/",FALSE,Q357,T357))</f>
        <v>0/50</v>
      </c>
      <c r="J357" s="42"/>
      <c r="K357" s="42" t="str">
        <f ca="1">IF(ISERROR(F348),"",_xlfn.TEXTJOIN("/",FALSE,R357,U357))</f>
        <v>0/150</v>
      </c>
      <c r="L357" s="42"/>
      <c r="M357" s="7" t="str">
        <f ca="1">IF(ISERROR(F348),"",IF(ISTEXT(P357),IF(P357="A","Ab",IF(P357="D","Dt",IF(P357="UFM","UFM",IF(P357="NA","")))),IF(AND(ISBLANK(P357),ISBLANK(R357)),"",IF(P357&lt;0.3*S357,"F",IF(ISBLANK(R357),"",IF(ISTEXT(R357),R357,IF(R357&gt;=0.9*U357,"O",IF(R357&gt;=0.85*U357,"A+",IF(R357&gt;=0.8*U357,"A",IF(R357&gt;=0.7*U357,"B+",IF(R357&gt;=0.6*U357,"B",IF(R357&gt;=0.5*U357,"C",IF(R357&gt;=0.4*U357,"P",IF(R357&lt;0.4*U357,"F",R357))))))))))))))</f>
        <v>F</v>
      </c>
      <c r="N357" s="8">
        <f t="shared" ca="1" si="40"/>
        <v>0</v>
      </c>
      <c r="O357">
        <f ca="1">IF(O356&gt;0,7,"")</f>
        <v>7</v>
      </c>
      <c r="P357" s="1">
        <f ca="1">IF(ISERROR(F348),"",IF(ISTEXT(VLOOKUP(B348,INDIRECT($F$8),6+(O357-1)*3)),(VLOOKUP(B348,INDIRECT($F$8),6+(O357-1)*3)),SUM(VLOOKUP(B348,INDIRECT($F$8),6+(O357-1)*3),IF(W361,W357,0))))</f>
        <v>0</v>
      </c>
      <c r="Q357" s="1">
        <f ca="1">IF(ISERROR(F348),"",VLOOKUP(B348,INDIRECT($F$8),7+(O357-1)*3))</f>
        <v>0</v>
      </c>
      <c r="R357" s="1">
        <f ca="1">IF(ISERROR(F348),"",SUM(P357:Q357))</f>
        <v>0</v>
      </c>
      <c r="S357" s="1">
        <f ca="1">IF(ISERROR(F348),"",VLOOKUP(A348,INDIRECT($F$8),6+(O357-1)*3))</f>
        <v>100</v>
      </c>
      <c r="T357" s="1">
        <f ca="1">IF(ISERROR(F348),"",VLOOKUP(A348,INDIRECT($F$8),7+(O357-1)*3))</f>
        <v>50</v>
      </c>
      <c r="U357" s="1">
        <f ca="1">IF(ISERROR(F348),"",VLOOKUP(A348,INDIRECT($F$8),8+(O357-1)*3))</f>
        <v>150</v>
      </c>
      <c r="V357" s="1" t="str">
        <f ca="1">IF(ISERROR(F348),"",IF(N357=0,A357,""))</f>
        <v>AHT 310</v>
      </c>
      <c r="W357" s="1">
        <f ca="1">IF(ISERROR(F348),"",IF(ISTEXT(VLOOKUP(B348,INDIRECT($F$8),6+(O357-1)*3)),11,IF(VLOOKUP(B348,INDIRECT($F$8),6+(O357-1)*3)&lt;S357*0.3,IF(VLOOKUP(B348,INDIRECT($F$8),8+(O357-1)*3)&lt;U357*0.4,IF(AND(0.4*U357-VLOOKUP(B348,INDIRECT($F$8),8+(O357-1)*3)&lt;=5,0.3*S357-VLOOKUP(B348,INDIRECT($F$8),6+(O357-1)*3)&lt;=5),MAX(0.4*U357-VLOOKUP(B348,INDIRECT($F$8),8+(O357-1)*3),0.3*S357-VLOOKUP(B348,INDIRECT($F$8),6+(O357-1)*3)),11),IF(0.3*S357-VLOOKUP(B348,INDIRECT($F$8),6+(O357-1)*3)&lt;=5,0.3*S357-VLOOKUP(B348,INDIRECT($F$8),6+(O357-1)*3),11)),IF(VLOOKUP(B348,INDIRECT($F$8),8+(O357-1)*3)&lt;U357*0.4,IF(U357*0.4-VLOOKUP(B348,INDIRECT($F$8),8+(O357-1)*3)&lt;=5,U357*0.4-VLOOKUP(B348,INDIRECT($F$8),8+(O357-1)*3),11),0))))</f>
        <v>11</v>
      </c>
      <c r="X357" s="1" t="str">
        <f ca="1">IF(ISERROR(F348),"",IF(W357=0,"",_xlfn.TEXTJOIN("",FALSE," G+",W357," in ",A357)))</f>
        <v xml:space="preserve"> G+11 in AHT 310</v>
      </c>
    </row>
    <row r="358" spans="1:24" ht="14.25" customHeight="1" x14ac:dyDescent="0.2">
      <c r="A358" s="7" t="str">
        <f ca="1">IF(ISERROR(F348),"",VLOOKUP(C348,INDIRECT($F$8),6+(O358-1)*3,0))</f>
        <v>CAP 008</v>
      </c>
      <c r="B358" s="41" t="str">
        <f ca="1">IF(ISERROR(F348),"",VLOOKUP(D348,INDIRECT($F$8),6+(O358-1)*3,0))</f>
        <v>Software Engineering Lab</v>
      </c>
      <c r="C358" s="41"/>
      <c r="D358" s="41"/>
      <c r="E358" s="41"/>
      <c r="F358" s="7">
        <f ca="1">IF(ISERROR(F348),"",VLOOKUP(E348,INDIRECT($F$8),6+(O358-1)*3,0))</f>
        <v>1</v>
      </c>
      <c r="G358" s="42" t="str">
        <f ca="1">IF(ISERROR(F348),"",_xlfn.TEXTJOIN("/",FALSE,P358,S358))</f>
        <v>0/30</v>
      </c>
      <c r="H358" s="42"/>
      <c r="I358" s="42" t="str">
        <f ca="1">IF(ISERROR(F348),"",_xlfn.TEXTJOIN("/",FALSE,Q358,T358))</f>
        <v>0/20</v>
      </c>
      <c r="J358" s="42"/>
      <c r="K358" s="42" t="str">
        <f ca="1">IF(ISERROR(F348),"",_xlfn.TEXTJOIN("/",FALSE,R358,U358))</f>
        <v>0/50</v>
      </c>
      <c r="L358" s="42"/>
      <c r="M358" s="7" t="str">
        <f ca="1">IF(ISERROR(F348),"",IF(ISTEXT(P358),IF(P358="A","Ab",IF(P358="D","Dt",IF(P358="UFM","UFM",IF(P358="NA","")))),IF(AND(ISBLANK(P358),ISBLANK(R358)),"",IF(P358&lt;0.3*S358,"F",IF(ISBLANK(R358),"",IF(ISTEXT(R358),R358,IF(R358&gt;=0.9*U358,"O",IF(R358&gt;=0.85*U358,"A+",IF(R358&gt;=0.8*U358,"A",IF(R358&gt;=0.7*U358,"B+",IF(R358&gt;=0.6*U358,"B",IF(R358&gt;=0.5*U358,"C",IF(R358&gt;=0.4*U358,"P",IF(R358&lt;0.4*U358,"F",R358))))))))))))))</f>
        <v>F</v>
      </c>
      <c r="N358" s="8">
        <f t="shared" ca="1" si="40"/>
        <v>0</v>
      </c>
      <c r="O358">
        <f t="shared" ref="O358:O360" ca="1" si="41">O357+1</f>
        <v>8</v>
      </c>
      <c r="P358" s="1">
        <f ca="1">IF(ISERROR(F348),"",IF(ISTEXT(VLOOKUP(B348,INDIRECT($F$8),6+(O358-1)*3)),(VLOOKUP(B348,INDIRECT($F$8),6+(O358-1)*3)),SUM(VLOOKUP(B348,INDIRECT($F$8),6+(O358-1)*3),IF(W361,W358,0))))</f>
        <v>0</v>
      </c>
      <c r="Q358" s="1">
        <f ca="1">IF(ISERROR(F348),"",VLOOKUP(B348,INDIRECT($F$8),7+(O358-1)*3))</f>
        <v>0</v>
      </c>
      <c r="R358" s="1">
        <f ca="1">IF(ISERROR(F348),"",SUM(P358:Q358))</f>
        <v>0</v>
      </c>
      <c r="S358" s="1">
        <f ca="1">IF(ISERROR(F348),"",VLOOKUP(A348,INDIRECT($F$8),6+(O358-1)*3))</f>
        <v>30</v>
      </c>
      <c r="T358" s="1">
        <f ca="1">IF(ISERROR(F348),"",VLOOKUP(A348,INDIRECT($F$8),7+(O358-1)*3))</f>
        <v>20</v>
      </c>
      <c r="U358" s="1">
        <f ca="1">IF(ISERROR(F348),"",VLOOKUP(A348,INDIRECT($F$8),8+(O358-1)*3))</f>
        <v>50</v>
      </c>
      <c r="V358" s="1" t="str">
        <f ca="1">IF(ISERROR(F348),"",IF(N358=0,A358,""))</f>
        <v>CAP 008</v>
      </c>
      <c r="W358" s="1">
        <f ca="1">IF(ISERROR(F348),"",IF(ISTEXT(VLOOKUP(B348,INDIRECT($F$8),6+(O358-1)*3)),11,IF(VLOOKUP(B348,INDIRECT($F$8),6+(O358-1)*3)&lt;S358*0.3,IF(VLOOKUP(B348,INDIRECT($F$8),8+(O358-1)*3)&lt;U358*0.4,IF(AND(0.4*U358-VLOOKUP(B348,INDIRECT($F$8),8+(O358-1)*3)&lt;=5,0.3*S358-VLOOKUP(B348,INDIRECT($F$8),6+(O358-1)*3)&lt;=5),MAX(0.4*U358-VLOOKUP(B348,INDIRECT($F$8),8+(O358-1)*3),0.3*S358-VLOOKUP(B348,INDIRECT($F$8),6+(O358-1)*3)),11),IF(0.3*S358-VLOOKUP(B348,INDIRECT($F$8),6+(O358-1)*3)&lt;=5,0.3*S358-VLOOKUP(B348,INDIRECT($F$8),6+(O358-1)*3),11)),IF(VLOOKUP(B348,INDIRECT($F$8),8+(O358-1)*3)&lt;U358*0.4,IF(U358*0.4-VLOOKUP(B348,INDIRECT($F$8),8+(O358-1)*3)&lt;=5,U358*0.4-VLOOKUP(B348,INDIRECT($F$8),8+(O358-1)*3),11),0))))</f>
        <v>11</v>
      </c>
      <c r="X358" s="1" t="str">
        <f ca="1">IF(ISERROR(F348),"",IF(W358=0,"",_xlfn.TEXTJOIN("",FALSE," G+",W358," in ",A358)))</f>
        <v xml:space="preserve"> G+11 in CAP 008</v>
      </c>
    </row>
    <row r="359" spans="1:24" ht="14.25" customHeight="1" x14ac:dyDescent="0.2">
      <c r="A359" s="7" t="str">
        <f ca="1">IF(ISERROR(F348),"",VLOOKUP(C348,INDIRECT($F$8),6+(O359-1)*3,0))</f>
        <v>CAP 009</v>
      </c>
      <c r="B359" s="41" t="str">
        <f ca="1">IF(ISERROR(F348),"",VLOOKUP(D348,INDIRECT($F$8),6+(O359-1)*3,0))</f>
        <v>Seminar</v>
      </c>
      <c r="C359" s="41"/>
      <c r="D359" s="41"/>
      <c r="E359" s="41"/>
      <c r="F359" s="7">
        <f ca="1">IF(ISERROR(F348),"",VLOOKUP(E348,INDIRECT($F$8),6+(O359-1)*3,0))</f>
        <v>2</v>
      </c>
      <c r="G359" s="42" t="str">
        <f ca="1">IF(ISERROR(F348),"",_xlfn.TEXTJOIN("/",FALSE,P359,S359))</f>
        <v>0/0</v>
      </c>
      <c r="H359" s="42"/>
      <c r="I359" s="42" t="str">
        <f ca="1">IF(ISERROR(F348),"",_xlfn.TEXTJOIN("/",FALSE,Q359,T359))</f>
        <v>0/100</v>
      </c>
      <c r="J359" s="42"/>
      <c r="K359" s="42" t="str">
        <f ca="1">IF(ISERROR(F348),"",_xlfn.TEXTJOIN("/",FALSE,R359,U359))</f>
        <v>0/100</v>
      </c>
      <c r="L359" s="42"/>
      <c r="M359" s="7" t="str">
        <f ca="1">IF(ISERROR(F348),"",IF(ISTEXT(P359),IF(P359="A","Ab",IF(P359="D","Dt",IF(P359="UFM","UFM",IF(P359="NA","")))),IF(AND(ISBLANK(P359),ISBLANK(R359)),"",IF(P359&lt;0.3*S359,"F",IF(ISBLANK(R359),"",IF(ISTEXT(R359),R359,IF(R359&gt;=0.9*U359,"O",IF(R359&gt;=0.85*U359,"A+",IF(R359&gt;=0.8*U359,"A",IF(R359&gt;=0.7*U359,"B+",IF(R359&gt;=0.6*U359,"B",IF(R359&gt;=0.5*U359,"C",IF(R359&gt;=0.4*U359,"P",IF(R359&lt;0.4*U359,"F",R359))))))))))))))</f>
        <v>F</v>
      </c>
      <c r="N359" s="8">
        <f t="shared" ca="1" si="40"/>
        <v>0</v>
      </c>
      <c r="O359">
        <f t="shared" ca="1" si="41"/>
        <v>9</v>
      </c>
      <c r="P359" s="1">
        <f ca="1">IF(ISERROR(F348),"",IF(ISTEXT(VLOOKUP(B348,INDIRECT($F$8),6+(O359-1)*3)),(VLOOKUP(B348,INDIRECT($F$8),6+(O359-1)*3)),SUM(VLOOKUP(B348,INDIRECT($F$8),6+(O359-1)*3),IF(W361,W359,0))))</f>
        <v>0</v>
      </c>
      <c r="Q359" s="1">
        <f ca="1">IF(ISERROR(F348),"",VLOOKUP(B348,INDIRECT($F$8),7+(O359-1)*3))</f>
        <v>0</v>
      </c>
      <c r="R359" s="1">
        <f ca="1">IF(ISERROR(F348),"",SUM(P359:Q359))</f>
        <v>0</v>
      </c>
      <c r="S359" s="1">
        <f ca="1">IF(ISERROR(F348),"",VLOOKUP(A348,INDIRECT($F$8),6+(O359-1)*3))</f>
        <v>0</v>
      </c>
      <c r="T359" s="1">
        <f ca="1">IF(ISERROR(F348),"",VLOOKUP(A348,INDIRECT($F$8),7+(O359-1)*3))</f>
        <v>100</v>
      </c>
      <c r="U359" s="1">
        <f ca="1">IF(ISERROR(F348),"",VLOOKUP(A348,INDIRECT($F$8),8+(O359-1)*3))</f>
        <v>100</v>
      </c>
      <c r="V359" s="1" t="str">
        <f ca="1">IF(ISERROR(F348),"",IF(N359=0,A359,""))</f>
        <v>CAP 009</v>
      </c>
      <c r="W359" s="1">
        <f ca="1">IF(ISERROR(F348),"",IF(ISTEXT(VLOOKUP(B348,INDIRECT($F$8),6+(O359-1)*3)),11,IF(VLOOKUP(B348,INDIRECT($F$8),6+(O359-1)*3)&lt;S359*0.3,IF(VLOOKUP(B348,INDIRECT($F$8),8+(O359-1)*3)&lt;U359*0.4,IF(AND(0.4*U359-VLOOKUP(B348,INDIRECT($F$8),8+(O359-1)*3)&lt;=5,0.3*S359-VLOOKUP(B348,INDIRECT($F$8),6+(O359-1)*3)&lt;=5),MAX(0.4*U359-VLOOKUP(B348,INDIRECT($F$8),8+(O359-1)*3),0.3*S359-VLOOKUP(B348,INDIRECT($F$8),6+(O359-1)*3)),11),IF(0.3*S359-VLOOKUP(B348,INDIRECT($F$8),6+(O359-1)*3)&lt;=5,0.3*S359-VLOOKUP(B348,INDIRECT($F$8),6+(O359-1)*3),11)),IF(VLOOKUP(B348,INDIRECT($F$8),8+(O359-1)*3)&lt;U359*0.4,IF(U359*0.4-VLOOKUP(B348,INDIRECT($F$8),8+(O359-1)*3)&lt;=5,U359*0.4-VLOOKUP(B348,INDIRECT($F$8),8+(O359-1)*3),11),0))))</f>
        <v>11</v>
      </c>
      <c r="X359" s="1" t="str">
        <f ca="1">IF(ISERROR(F348),"",IF(W359=0,"",_xlfn.TEXTJOIN("",FALSE," G+",W359," in ",A359)))</f>
        <v xml:space="preserve"> G+11 in CAP 009</v>
      </c>
    </row>
    <row r="360" spans="1:24" ht="14.25" customHeight="1" x14ac:dyDescent="0.2">
      <c r="A360" s="7" t="str">
        <f ca="1">IF(ISERROR(F348),"",VLOOKUP(C348,INDIRECT($F$8),6+(O360-1)*3,0))</f>
        <v>CAP 010</v>
      </c>
      <c r="B360" s="41" t="str">
        <f ca="1">IF(ISERROR(F348),"",VLOOKUP(D348,INDIRECT($F$8),6+(O360-1)*3-Z360,0))</f>
        <v>Minor Project</v>
      </c>
      <c r="C360" s="41"/>
      <c r="D360" s="41"/>
      <c r="E360" s="41"/>
      <c r="F360" s="7">
        <f ca="1">IF(ISERROR(F348),"",VLOOKUP(E348,INDIRECT($F$8),6+(O360-1)*3,0))</f>
        <v>2</v>
      </c>
      <c r="G360" s="42" t="str">
        <f ca="1">IF(ISERROR(F348),"",_xlfn.TEXTJOIN("/",FALSE,P360,S360))</f>
        <v>0/50</v>
      </c>
      <c r="H360" s="42"/>
      <c r="I360" s="42" t="str">
        <f ca="1">IF(ISERROR(F348),"",_xlfn.TEXTJOIN("/",FALSE,Q360,T360))</f>
        <v>0/50</v>
      </c>
      <c r="J360" s="42"/>
      <c r="K360" s="42" t="str">
        <f ca="1">IF(ISERROR(F348),"",_xlfn.TEXTJOIN("/",FALSE,R360,U360))</f>
        <v>0/100</v>
      </c>
      <c r="L360" s="42"/>
      <c r="M360" s="7" t="str">
        <f ca="1">IF(ISERROR(F348),"",IF(ISTEXT(P360),IF(P360="A","Ab",IF(P360="D","Dt",IF(P360="UFM","UFM",IF(P360="NA","")))),IF(AND(ISBLANK(P360),ISBLANK(R360)),"",IF(P360&lt;0.3*S360,"F",IF(ISBLANK(R360),"",IF(ISTEXT(R360),R360,IF(R360&gt;=0.9*U360,"O",IF(R360&gt;=0.85*U360,"A+",IF(R360&gt;=0.8*U360,"A",IF(R360&gt;=0.7*U360,"B+",IF(R360&gt;=0.6*U360,"B",IF(R360&gt;=0.5*U360,"C",IF(R360&gt;=0.4*U360,"P",IF(R360&lt;0.4*U360,"F",R360))))))))))))))</f>
        <v>F</v>
      </c>
      <c r="N360" s="8">
        <f t="shared" ca="1" si="40"/>
        <v>0</v>
      </c>
      <c r="O360">
        <f t="shared" ca="1" si="41"/>
        <v>10</v>
      </c>
      <c r="P360" s="1">
        <f ca="1">IF(ISERROR(F348),"",IF(ISTEXT(VLOOKUP(B348,INDIRECT($F$8),6+(O360-1)*3)),(VLOOKUP(B348,INDIRECT($F$8),6+(O360-1)*3)),SUM(VLOOKUP(B348,INDIRECT($F$8),6+(O360-1)*3),IF(W361,W360,0))))</f>
        <v>0</v>
      </c>
      <c r="Q360" s="1">
        <f ca="1">IF(ISERROR(F348),"",VLOOKUP(B348,INDIRECT($F$8),7+(O360-1)*3))</f>
        <v>0</v>
      </c>
      <c r="R360" s="1">
        <f ca="1">IF(ISERROR(F348),"",SUM(P360:Q360))</f>
        <v>0</v>
      </c>
      <c r="S360" s="1">
        <f ca="1">IF(ISERROR(F348),"",VLOOKUP(A348,INDIRECT($F$8),6+(O360-1)*3))</f>
        <v>50</v>
      </c>
      <c r="T360" s="1">
        <f ca="1">IF(ISERROR(F348),"",VLOOKUP(A348,INDIRECT($F$8),7+(O360-1)*3))</f>
        <v>50</v>
      </c>
      <c r="U360" s="1">
        <f ca="1">IF(ISERROR(F348),"",VLOOKUP(A348,INDIRECT($F$8),8+(O360-1)*3))</f>
        <v>100</v>
      </c>
      <c r="V360" s="1" t="str">
        <f ca="1">IF(ISERROR(F348),"",IF(N360=0,A360,""))</f>
        <v>CAP 010</v>
      </c>
      <c r="W360" s="1">
        <f ca="1">IF(ISERROR(F348),"",IF(ISTEXT(VLOOKUP(B348,INDIRECT($F$8),6+(O360-1)*3)),11,IF(VLOOKUP(B348,INDIRECT($F$8),6+(O360-1)*3)&lt;S360*0.3,IF(VLOOKUP(B348,INDIRECT($F$8),8+(O360-1)*3)&lt;U360*0.4,IF(AND(0.4*U360-VLOOKUP(B348,INDIRECT($F$8),8+(O360-1)*3)&lt;=5,0.3*S360-VLOOKUP(B348,INDIRECT($F$8),6+(O360-1)*3)&lt;=5),MAX(0.4*U360-VLOOKUP(B348,INDIRECT($F$8),8+(O360-1)*3),0.3*S360-VLOOKUP(B348,INDIRECT($F$8),6+(O360-1)*3)),11),IF(0.3*S360-VLOOKUP(B348,INDIRECT($F$8),6+(O360-1)*3)&lt;=5,0.3*S360-VLOOKUP(B348,INDIRECT($F$8),6+(O360-1)*3),11)),IF(VLOOKUP(B348,INDIRECT($F$8),8+(O360-1)*3)&lt;U360*0.4,IF(U360*0.4-VLOOKUP(B348,INDIRECT($F$8),8+(O360-1)*3)&lt;=5,U360*0.4-VLOOKUP(B348,INDIRECT($F$8),8+(O360-1)*3),11),0))))</f>
        <v>11</v>
      </c>
      <c r="X360" s="1" t="str">
        <f ca="1">IF(ISERROR(F348),"",IF(W360=0,"",_xlfn.TEXTJOIN("",FALSE," G+",W360," in ",A360)))</f>
        <v xml:space="preserve"> G+11 in CAP 010</v>
      </c>
    </row>
    <row r="361" spans="1:24" ht="14.25" customHeight="1" x14ac:dyDescent="0.2">
      <c r="A361" s="43" t="str">
        <f ca="1">IF(ISERROR(F348),"",A344)</f>
        <v>Total Credits/ Marks/ Total Grade Points</v>
      </c>
      <c r="B361" s="43"/>
      <c r="C361" s="43"/>
      <c r="D361" s="43"/>
      <c r="E361" s="43"/>
      <c r="F361" s="10">
        <f ca="1">IF(ISERROR(F348),"",SUM(F353:F360))</f>
        <v>16</v>
      </c>
      <c r="G361" s="44" t="str">
        <f ca="1">IF(ISERROR(F348),"",_xlfn.TEXTJOIN("/",TRUE,SUMIF(F353:F360,"&gt;0",P353:P360),SUMIF(F353:F360,"&gt;0",S353:S360)))</f>
        <v>0/380</v>
      </c>
      <c r="H361" s="44"/>
      <c r="I361" s="44" t="str">
        <f ca="1">IF(ISERROR(F348),"",_xlfn.TEXTJOIN("/",TRUE,SUMIF(F353:F360,"&gt;0",Q353:Q360),SUMIF(F353:F360,"&gt;0",T353:T360)))</f>
        <v>0/320</v>
      </c>
      <c r="J361" s="44"/>
      <c r="K361" s="44" t="str">
        <f ca="1">IF(ISERROR(F348),"",_xlfn.TEXTJOIN("/",TRUE,SUMIF(F353:F360,"&gt;0",R353:R360),SUMIF(F353:F360,"&gt;0",U353:U360)))</f>
        <v>0/700</v>
      </c>
      <c r="L361" s="44"/>
      <c r="M361" s="43" t="e">
        <f ca="1">IF(ISERROR(F348),"",SUMPRODUCT(N353:N360,F353:F360))</f>
        <v>#N/A</v>
      </c>
      <c r="N361" s="43"/>
      <c r="V361" s="1" t="e">
        <f ca="1">IF(ISERROR(F348),"",_xlfn.TEXTJOIN(", ",TRUE,V353:V360))</f>
        <v>#N/A</v>
      </c>
      <c r="W361" t="b">
        <f ca="1">IF(ISERROR(F348),"",IF(SUM(W353:W360)&lt;=W352,TRUE,FALSE))</f>
        <v>0</v>
      </c>
      <c r="X361" s="1" t="str">
        <f ca="1">IF(ISERROR(F348),"",_xlfn.TEXTJOIN(",",TRUE,X353:X360))</f>
        <v xml:space="preserve"> G+11 in CAT  014, G+11 in CAT 015, G+11 in Enroll No., G+11 in Enroll No., G+11 in AHT 310, G+11 in CAP 008, G+11 in CAP 009, G+11 in CAP 010</v>
      </c>
    </row>
    <row r="362" spans="1:24" ht="14.25" customHeight="1" x14ac:dyDescent="0.2">
      <c r="A362" s="43" t="str">
        <f ca="1">IF(ISERROR(F348),"",A345)</f>
        <v>Result:</v>
      </c>
      <c r="B362" s="45" t="e">
        <f ca="1">IF(ISERROR(F348),"",IF(V361="","PASS","CARRY OVER"))</f>
        <v>#N/A</v>
      </c>
      <c r="C362" s="45"/>
      <c r="D362" s="43" t="str">
        <f ca="1">IF(ISERROR(F348),"",D345)</f>
        <v>Remark:</v>
      </c>
      <c r="E362" s="45" t="e">
        <f ca="1">IF(ISERROR(F348),"",IF(V361="",IF(X361="","",X361),_xlfn.TEXTJOIN(" ",TRUE,"BACK IN",V361)))</f>
        <v>#N/A</v>
      </c>
      <c r="F362" s="45"/>
      <c r="G362" s="43" t="str">
        <f ca="1">IF(ISERROR(F348),"",G345)</f>
        <v>SGPA:</v>
      </c>
      <c r="H362" s="46" t="e">
        <f ca="1">IF(ISERROR(F348),"",M361/F361)</f>
        <v>#N/A</v>
      </c>
      <c r="I362" s="43" t="str">
        <f ca="1">IF(ISERROR(F348),"",I345)</f>
        <v>CGPA:</v>
      </c>
      <c r="J362" s="46" t="e">
        <f ca="1">IF(ISERROR(F348),"",VLOOKUP(B348,INDIRECT($F$8),12+(O360-1)*3,0))</f>
        <v>#N/A</v>
      </c>
      <c r="K362" s="45" t="str">
        <f ca="1">IF(ISERROR(F348),"",K345)</f>
        <v>Earned Credits:</v>
      </c>
      <c r="L362" s="43">
        <f ca="1">IF(ISERROR(F348),"",SUMIF(N353:N360,"&gt;0",F353:F360))</f>
        <v>0</v>
      </c>
      <c r="M362" s="45" t="str">
        <f ca="1">IF(ISERROR(F348),"",M345)</f>
        <v>Cuml. Earned Credits:</v>
      </c>
      <c r="N362" s="43" t="e">
        <f ca="1">IF(ISERROR(F348),"",VLOOKUP(B348,INDIRECT($F$8),10+(O360-1)*3,0))</f>
        <v>#N/A</v>
      </c>
    </row>
    <row r="363" spans="1:24" ht="14.25" customHeight="1" x14ac:dyDescent="0.2">
      <c r="A363" s="43"/>
      <c r="B363" s="45"/>
      <c r="C363" s="45"/>
      <c r="D363" s="43"/>
      <c r="E363" s="45"/>
      <c r="F363" s="45"/>
      <c r="G363" s="43"/>
      <c r="H363" s="46"/>
      <c r="I363" s="43"/>
      <c r="J363" s="46"/>
      <c r="K363" s="45"/>
      <c r="L363" s="43"/>
      <c r="M363" s="45"/>
      <c r="N363" s="43"/>
    </row>
    <row r="364" spans="1:24" ht="14.25" customHeight="1" x14ac:dyDescent="0.2">
      <c r="A364" s="43"/>
      <c r="B364" s="45"/>
      <c r="C364" s="45"/>
      <c r="D364" s="43"/>
      <c r="E364" s="45"/>
      <c r="F364" s="45"/>
      <c r="G364" s="43"/>
      <c r="H364" s="46"/>
      <c r="I364" s="43"/>
      <c r="J364" s="46"/>
      <c r="K364" s="45"/>
      <c r="L364" s="43"/>
      <c r="M364" s="45"/>
      <c r="N364" s="43"/>
    </row>
    <row r="365" spans="1:24" ht="14.25" customHeight="1" x14ac:dyDescent="0.2">
      <c r="A365" s="11" t="str">
        <f>A348</f>
        <v>MM</v>
      </c>
      <c r="B365" s="11">
        <f>B348+1</f>
        <v>22</v>
      </c>
      <c r="C365" s="11" t="str">
        <f>C348</f>
        <v>SC</v>
      </c>
      <c r="D365" s="11" t="str">
        <f>D348</f>
        <v>SN</v>
      </c>
      <c r="E365" s="11" t="str">
        <f>E348</f>
        <v>C</v>
      </c>
      <c r="F365" s="11" t="str">
        <f ca="1">VLOOKUP(B365,INDIRECT($F$8),4,0)</f>
        <v>SHIVANI BHATT</v>
      </c>
    </row>
    <row r="366" spans="1:24" ht="14.25" customHeight="1" x14ac:dyDescent="0.2">
      <c r="A366" s="47" t="str">
        <f ca="1">IF(ISERROR(F365),"",A349)</f>
        <v>Name:</v>
      </c>
      <c r="B366" s="47" t="str">
        <f ca="1">IFERROR(VLOOKUP(B365,INDIRECT($F$8),4,0),"")</f>
        <v>SHIVANI BHATT</v>
      </c>
      <c r="C366" s="47"/>
      <c r="D366" s="47" t="str">
        <f ca="1">IF(ISERROR(F365),"",D349)</f>
        <v>Father's Name:</v>
      </c>
      <c r="E366" s="47" t="str">
        <f ca="1">IFERROR(VLOOKUP(B365,INDIRECT($F$8),5,0),"")</f>
        <v>RAVINDRA BHATT</v>
      </c>
      <c r="F366" s="47"/>
      <c r="G366" s="47" t="str">
        <f ca="1">IF(ISERROR(F365),"",G349)</f>
        <v>University Roll No:</v>
      </c>
      <c r="H366" s="47"/>
      <c r="I366" s="48">
        <f ca="1">IFERROR(VLOOKUP(B365,INDIRECT($F$8),2,0),"")</f>
        <v>240090600022</v>
      </c>
      <c r="J366" s="48"/>
      <c r="K366" s="47" t="str">
        <f ca="1">IF(ISERROR(F365),"",K349)</f>
        <v>University Enrol. No:</v>
      </c>
      <c r="L366" s="47"/>
      <c r="M366" s="48" t="str">
        <f ca="1">IFERROR(VLOOKUP(B365,INDIRECT($F$8),3,0),"")</f>
        <v>UTU/2406100168</v>
      </c>
      <c r="N366" s="48"/>
    </row>
    <row r="367" spans="1:24" ht="14.25" customHeight="1" x14ac:dyDescent="0.2">
      <c r="A367" s="47"/>
      <c r="B367" s="47"/>
      <c r="C367" s="47"/>
      <c r="D367" s="47"/>
      <c r="E367" s="47"/>
      <c r="F367" s="47"/>
      <c r="G367" s="47"/>
      <c r="H367" s="47"/>
      <c r="I367" s="48"/>
      <c r="J367" s="48"/>
      <c r="K367" s="47"/>
      <c r="L367" s="47"/>
      <c r="M367" s="48"/>
      <c r="N367" s="48"/>
    </row>
    <row r="368" spans="1:24" ht="14.25" customHeight="1" x14ac:dyDescent="0.2">
      <c r="A368" s="45" t="str">
        <f ca="1">IF(ISERROR(F365),"",A351)</f>
        <v>Subject Code</v>
      </c>
      <c r="B368" s="45" t="str">
        <f ca="1">IF(ISERROR(F365),"",B351)</f>
        <v>Subject Name</v>
      </c>
      <c r="C368" s="45"/>
      <c r="D368" s="45"/>
      <c r="E368" s="45"/>
      <c r="F368" s="45" t="str">
        <f ca="1">IF(ISERROR(F365),"",F351)</f>
        <v>Credits</v>
      </c>
      <c r="G368" s="45" t="str">
        <f ca="1">IF(ISERROR(F365),"",G351)</f>
        <v>External Marks</v>
      </c>
      <c r="H368" s="45"/>
      <c r="I368" s="45" t="str">
        <f ca="1">IF(ISERROR(F365),"",I351)</f>
        <v>Sessional Marks</v>
      </c>
      <c r="J368" s="45"/>
      <c r="K368" s="45" t="str">
        <f ca="1">IF(ISERROR(F365),"",K351)</f>
        <v>Total Marks</v>
      </c>
      <c r="L368" s="45"/>
      <c r="M368" s="45" t="str">
        <f ca="1">IF(ISERROR(F365),"",M351)</f>
        <v>Grade</v>
      </c>
      <c r="N368" s="45" t="str">
        <f ca="1">IF(ISERROR(F365),"",N351)</f>
        <v>Grade Points</v>
      </c>
    </row>
    <row r="369" spans="1:24" ht="14.25" customHeight="1" x14ac:dyDescent="0.2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4.25" customHeight="1" x14ac:dyDescent="0.2">
      <c r="A370" s="7" t="str">
        <f ca="1">IF(ISERROR(F365),"",VLOOKUP(C365,INDIRECT($F$8),6+(O370-1)*3,0))</f>
        <v>CAT  014</v>
      </c>
      <c r="B370" s="41" t="str">
        <f ca="1">IF(ISERROR(F365),"",VLOOKUP(D365,INDIRECT($F$8),6+(O370-1)*3,0))</f>
        <v>Graph Theory</v>
      </c>
      <c r="C370" s="41"/>
      <c r="D370" s="41"/>
      <c r="E370" s="41"/>
      <c r="F370" s="7">
        <f ca="1">IF(ISERROR(F365),"",VLOOKUP(E365,INDIRECT($F$8),6+(O370-1)*3,0))</f>
        <v>4</v>
      </c>
      <c r="G370" s="42" t="str">
        <f ca="1">IF(ISERROR(F365),"",_xlfn.TEXTJOIN("/",FALSE,P370,S370))</f>
        <v>0/100</v>
      </c>
      <c r="H370" s="42"/>
      <c r="I370" s="42" t="str">
        <f ca="1">IF(ISERROR(F365),"",_xlfn.TEXTJOIN("/",FALSE,Q370,T370))</f>
        <v>0/50</v>
      </c>
      <c r="J370" s="42"/>
      <c r="K370" s="42" t="str">
        <f ca="1">IF(ISERROR(F365),"",_xlfn.TEXTJOIN("/",FALSE,R370,U370))</f>
        <v>0/150</v>
      </c>
      <c r="L370" s="42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*U370,"O",IF(R370&gt;=0.85*U370,"A+",IF(R370&gt;=0.8*U370,"A",IF(R370&gt;=0.7*U370,"B+",IF(R370&gt;=0.6*U370,"B",IF(R370&gt;=0.5*U370,"C",IF(R370&gt;=0.4*U370,"P",IF(R370&lt;0.4*U370,"F",R370))))))))))))))</f>
        <v>F</v>
      </c>
      <c r="N370" s="8">
        <f t="shared" ref="N370:N377" ca="1" si="42">INDEX($Z$2:$Z$13,MATCH(M370,$Y$2:$Y$13,0))</f>
        <v>0</v>
      </c>
      <c r="O370">
        <v>1</v>
      </c>
      <c r="P370" s="1">
        <f ca="1">IF(ISERROR(F365),"",IF(ISTEXT(VLOOKUP(B365,INDIRECT($F$8),6+(O370-1)*3)),(VLOOKUP(B365,INDIRECT($F$8),6+(O370-1)*3)),SUM(VLOOKUP(B365,INDIRECT($F$8),6+(O370-1)*3),IF(W378,W370,0))))</f>
        <v>0</v>
      </c>
      <c r="Q370" s="1">
        <f ca="1">IF(ISERROR(F365),"",VLOOKUP(B365,INDIRECT($F$8),7+(O370-1)*3))</f>
        <v>0</v>
      </c>
      <c r="R370" s="1">
        <f ca="1">IF(ISERROR(F365),"",SUM(P370:Q370))</f>
        <v>0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>CAT  014</v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11</v>
      </c>
      <c r="X370" s="1" t="str">
        <f ca="1">IF(ISERROR(F365),"",IF(W370=0,"",_xlfn.TEXTJOIN("",FALSE," G+",W370," in ",A370)))</f>
        <v xml:space="preserve"> G+11 in CAT  014</v>
      </c>
    </row>
    <row r="371" spans="1:24" ht="14.25" customHeight="1" x14ac:dyDescent="0.2">
      <c r="A371" s="7" t="str">
        <f ca="1">IF(ISERROR(F365),"",VLOOKUP(C365,INDIRECT($F$8),6+(O371-1)*3,0))</f>
        <v>CAT 015</v>
      </c>
      <c r="B371" s="41" t="str">
        <f ca="1">IF(ISERROR(F365),"",VLOOKUP(D365,INDIRECT($F$8),6+(O371-1)*3,0))</f>
        <v>Software Engineering</v>
      </c>
      <c r="C371" s="41"/>
      <c r="D371" s="41"/>
      <c r="E371" s="41"/>
      <c r="F371" s="7">
        <f ca="1">IF(ISERROR(F365),"",VLOOKUP(E365,INDIRECT($F$8),6+(O371-1)*3,0))</f>
        <v>4</v>
      </c>
      <c r="G371" s="42" t="str">
        <f ca="1">IF(ISERROR(F365),"",_xlfn.TEXTJOIN("/",FALSE,P371,S371))</f>
        <v>0/100</v>
      </c>
      <c r="H371" s="42"/>
      <c r="I371" s="42" t="str">
        <f ca="1">IF(ISERROR(F365),"",_xlfn.TEXTJOIN("/",FALSE,Q371,T371))</f>
        <v>0/50</v>
      </c>
      <c r="J371" s="42"/>
      <c r="K371" s="42" t="str">
        <f ca="1">IF(ISERROR(F365),"",_xlfn.TEXTJOIN("/",FALSE,R371,U371))</f>
        <v>0/150</v>
      </c>
      <c r="L371" s="42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*U371,"O",IF(R371&gt;=0.85*U371,"A+",IF(R371&gt;=0.8*U371,"A",IF(R371&gt;=0.7*U371,"B+",IF(R371&gt;=0.6*U371,"B",IF(R371&gt;=0.5*U371,"C",IF(R371&gt;=0.4*U371,"P",IF(R371&lt;0.4*U371,"F",R371))))))))))))))</f>
        <v>F</v>
      </c>
      <c r="N371" s="8">
        <f t="shared" ca="1" si="42"/>
        <v>0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IF(ISERROR(F365),"",IF(ISTEXT(VLOOKUP(B365,INDIRECT($F$8),6+(O371-1)*3)),(VLOOKUP(B365,INDIRECT($F$8),6+(O371-1)*3)),SUM(VLOOKUP(B365,INDIRECT($F$8),6+(O371-1)*3),IF(W378,W371,0))))</f>
        <v>0</v>
      </c>
      <c r="Q371" s="1">
        <f ca="1">IF(ISERROR(F365),"",VLOOKUP(B365,INDIRECT($F$8),7+(O371-1)*3))</f>
        <v>0</v>
      </c>
      <c r="R371" s="1">
        <f ca="1">IF(ISERROR(F365),"",SUM(P371:Q371))</f>
        <v>0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>CAT 015</v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11</v>
      </c>
      <c r="X371" s="1" t="str">
        <f ca="1">IF(ISERROR(F365),"",IF(W371=0,"",_xlfn.TEXTJOIN("",FALSE," G+",W371," in ",A371)))</f>
        <v xml:space="preserve"> G+11 in CAT 015</v>
      </c>
    </row>
    <row r="372" spans="1:24" ht="14.25" customHeight="1" x14ac:dyDescent="0.2">
      <c r="A372" s="7" t="str">
        <f ca="1">IF(ISERROR(F365),"",VLOOKUP(C365,INDIRECT($F$8),6+(O372-1)*3,0))</f>
        <v>Enroll No.</v>
      </c>
      <c r="B372" s="41">
        <f ca="1">IF(ISERROR(F365),"",VLOOKUP(D365,INDIRECT($F$8),6+(O372-1)*3,0))</f>
        <v>0</v>
      </c>
      <c r="C372" s="41"/>
      <c r="D372" s="41"/>
      <c r="E372" s="41"/>
      <c r="F372" s="7">
        <f ca="1">IF(ISERROR(F365),"",VLOOKUP(E365,INDIRECT($F$8),6+(O372-1)*3,0))</f>
        <v>0</v>
      </c>
      <c r="G372" s="42" t="str">
        <f ca="1">IF(ISERROR(F365),"",_xlfn.TEXTJOIN("/",FALSE,P372,S372))</f>
        <v>UTU/2406100168/0</v>
      </c>
      <c r="H372" s="42"/>
      <c r="I372" s="42" t="str">
        <f ca="1">IF(ISERROR(F365),"",_xlfn.TEXTJOIN("/",FALSE,Q372,T372))</f>
        <v>SHIVANI BHATT/0</v>
      </c>
      <c r="J372" s="42"/>
      <c r="K372" s="42" t="str">
        <f ca="1">IF(ISERROR(F365),"",_xlfn.TEXTJOIN("/",FALSE,R372,U372))</f>
        <v>0/0</v>
      </c>
      <c r="L372" s="42"/>
      <c r="M372" s="7" t="b">
        <f ca="1">IF(ISERROR(F365),"",IF(ISTEXT(P372),IF(P372="A","Ab",IF(P372="D","Dt",IF(P372="UFM","UFM",IF(P372="NA","")))),IF(AND(ISBLANK(P372),ISBLANK(R372)),"",IF(P372&lt;0.3*S372,"F",IF(ISBLANK(R372),"",IF(ISTEXT(R372),R372,IF(R372&gt;=0.9*U372,"O",IF(R372&gt;=0.85*U372,"A+",IF(R372&gt;=0.8*U372,"A",IF(R372&gt;=0.7*U372,"B+",IF(R372&gt;=0.6*U372,"B",IF(R372&gt;=0.5*U372,"C",IF(R372&gt;=0.4*U372,"P",IF(R372&lt;0.4*U372,"F",R372))))))))))))))</f>
        <v>0</v>
      </c>
      <c r="N372" s="8" t="e">
        <f t="shared" ca="1" si="42"/>
        <v>#N/A</v>
      </c>
      <c r="O372" t="b" cm="1">
        <f t="array" aca="1" ref="O372" ca="1">IF(NOT(ISBLANK(INDIRECT("SEM_III!L"&amp;INT((ROW(O372)-15)/17)+6))),3,IF(NOT(ISBLANK(INDIRECT("SEM_III!O"&amp;INT((ROW(O372)-15)/17)+6))),4))</f>
        <v>0</v>
      </c>
      <c r="P372" s="1" t="str">
        <f ca="1">IF(ISERROR(F365),"",IF(ISTEXT(VLOOKUP(B365,INDIRECT($F$8),6+(O372-1)*3)),(VLOOKUP(B365,INDIRECT($F$8),6+(O372-1)*3)),SUM(VLOOKUP(B365,INDIRECT($F$8),6+(O372-1)*3),IF(W378,W372,0))))</f>
        <v>UTU/2406100168</v>
      </c>
      <c r="Q372" s="1" t="str">
        <f ca="1">IF(ISERROR(F365),"",VLOOKUP(B365,INDIRECT($F$8),7+(O372-1)*3))</f>
        <v>SHIVANI BHATT</v>
      </c>
      <c r="R372" s="1">
        <f ca="1">IF(ISERROR(F365),"",SUM(P372:Q372))</f>
        <v>0</v>
      </c>
      <c r="S372" s="1">
        <f ca="1">IF(ISERROR(F365),"",VLOOKUP(A365,INDIRECT($F$8),6+(O372-1)*3))</f>
        <v>0</v>
      </c>
      <c r="T372" s="1">
        <f ca="1">IF(ISERROR(F365),"",VLOOKUP(A365,INDIRECT($F$8),7+(O372-1)*3))</f>
        <v>0</v>
      </c>
      <c r="U372" s="1">
        <f ca="1">IF(ISERROR(F365),"",VLOOKUP(A365,INDIRECT($F$8),8+(O372-1)*3))</f>
        <v>0</v>
      </c>
      <c r="V372" s="1" t="e">
        <f ca="1">IF(ISERROR(F365),"",IF(N372=0,A372,""))</f>
        <v>#N/A</v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11</v>
      </c>
      <c r="X372" s="1" t="str">
        <f ca="1">IF(ISERROR(F365),"",IF(W372=0,"",_xlfn.TEXTJOIN("",FALSE," G+",W372," in ",A372)))</f>
        <v xml:space="preserve"> G+11 in Enroll No.</v>
      </c>
    </row>
    <row r="373" spans="1:24" ht="14.25" customHeight="1" x14ac:dyDescent="0.2">
      <c r="A373" s="7" t="str">
        <f ca="1">IF(ISERROR(F365),"",VLOOKUP(C365,INDIRECT($F$8),6+(O373-1)*3,0))</f>
        <v>Enroll No.</v>
      </c>
      <c r="B373" s="41">
        <f ca="1">IF(ISERROR(F365),"",VLOOKUP(D365,INDIRECT($F$8),6+(O373-1)*3,0))</f>
        <v>0</v>
      </c>
      <c r="C373" s="41"/>
      <c r="D373" s="41"/>
      <c r="E373" s="41"/>
      <c r="F373" s="7">
        <f ca="1">IF(ISERROR(F365),"",VLOOKUP(E365,INDIRECT($F$8),6+(O373-1)*3,0))</f>
        <v>0</v>
      </c>
      <c r="G373" s="42" t="str">
        <f ca="1">IF(ISERROR(F365),"",_xlfn.TEXTJOIN("/",FALSE,P373,S373))</f>
        <v>UTU/2406100168/0</v>
      </c>
      <c r="H373" s="42"/>
      <c r="I373" s="42" t="str">
        <f ca="1">IF(ISERROR(F365),"",_xlfn.TEXTJOIN("/",FALSE,Q373,T373))</f>
        <v>SHIVANI BHATT/0</v>
      </c>
      <c r="J373" s="42"/>
      <c r="K373" s="42" t="str">
        <f ca="1">IF(ISERROR(F365),"",_xlfn.TEXTJOIN("/",FALSE,R373,U373))</f>
        <v>0/0</v>
      </c>
      <c r="L373" s="42"/>
      <c r="M373" s="7" t="b">
        <f ca="1">IF(ISERROR(F365),"",IF(ISTEXT(P373),IF(P373="A","Ab",IF(P373="D","Dt",IF(P373="UFM","UFM",IF(P373="NA","")))),IF(AND(ISBLANK(P373),ISBLANK(R373)),"",IF(P373&lt;0.3*S373,"F",IF(ISBLANK(R373),"",IF(ISTEXT(R373),R373,IF(R373&gt;=0.9*U373,"O",IF(R373&gt;=0.85*U373,"A+",IF(R373&gt;=0.8*U373,"A",IF(R373&gt;=0.7*U373,"B+",IF(R373&gt;=0.6*U373,"B",IF(R373&gt;=0.5*U373,"C",IF(R373&gt;=0.4*U373,"P",IF(R373&lt;0.4*U373,"F",R373))))))))))))))</f>
        <v>0</v>
      </c>
      <c r="N373" s="8" t="e">
        <f t="shared" ca="1" si="42"/>
        <v>#N/A</v>
      </c>
      <c r="O373" t="b" cm="1">
        <f t="array" aca="1" ref="O373" ca="1">IF(NOT(ISBLANK(INDIRECT("SEM_III!R"&amp;INT((ROW(O373)-16)/17)+6))),5,IF(NOT(ISBLANK(INDIRECT("SEM_III!U"&amp;INT((ROW(O373)-16)/17)+6))),6))</f>
        <v>0</v>
      </c>
      <c r="P373" s="1" t="str">
        <f ca="1">IF(ISERROR(F365),"",IF(ISTEXT(VLOOKUP(B365,INDIRECT($F$8),6+(O373-1)*3)),(VLOOKUP(B365,INDIRECT($F$8),6+(O373-1)*3)),SUM(VLOOKUP(B365,INDIRECT($F$8),6+(O373-1)*3),IF(W378,W373,0))))</f>
        <v>UTU/2406100168</v>
      </c>
      <c r="Q373" s="1" t="str">
        <f ca="1">IF(ISERROR(F365),"",VLOOKUP(B365,INDIRECT($F$8),7+(O373-1)*3))</f>
        <v>SHIVANI BHATT</v>
      </c>
      <c r="R373" s="1">
        <f ca="1">IF(ISERROR(F365),"",SUM(P373:Q373))</f>
        <v>0</v>
      </c>
      <c r="S373" s="1">
        <f ca="1">IF(ISERROR(F365),"",VLOOKUP(A365,INDIRECT($F$8),6+(O373-1)*3))</f>
        <v>0</v>
      </c>
      <c r="T373" s="1">
        <f ca="1">IF(ISERROR(F365),"",VLOOKUP(A365,INDIRECT($F$8),7+(O373-1)*3))</f>
        <v>0</v>
      </c>
      <c r="U373" s="1">
        <f ca="1">IF(ISERROR(F365),"",VLOOKUP(A365,INDIRECT($F$8),8+(O373-1)*3))</f>
        <v>0</v>
      </c>
      <c r="V373" s="1" t="e">
        <f ca="1">IF(ISERROR(F365),"",IF(N373=0,A373,""))</f>
        <v>#N/A</v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11</v>
      </c>
      <c r="X373" s="1" t="str">
        <f ca="1">IF(ISERROR(F365),"",IF(W373=0,"",_xlfn.TEXTJOIN("",FALSE," G+",W373," in ",A373)))</f>
        <v xml:space="preserve"> G+11 in Enroll No.</v>
      </c>
    </row>
    <row r="374" spans="1:24" ht="14.25" customHeight="1" x14ac:dyDescent="0.2">
      <c r="A374" s="7" t="str">
        <f ca="1">IF(ISERROR(F365),"",VLOOKUP(C365,INDIRECT($F$8),6+(O374-1)*3,0))</f>
        <v>AHT 310</v>
      </c>
      <c r="B374" s="41" t="str">
        <f ca="1">IF(ISERROR(F365),"",VLOOKUP(D365,INDIRECT($F$8),6+(O374-1)*3,0))</f>
        <v>Universal Human Value</v>
      </c>
      <c r="C374" s="41"/>
      <c r="D374" s="41"/>
      <c r="E374" s="41"/>
      <c r="F374" s="7">
        <f ca="1">IF(ISERROR(F365),"",VLOOKUP(E365,INDIRECT($F$8),6+(O374-1)*3,0))</f>
        <v>3</v>
      </c>
      <c r="G374" s="42" t="str">
        <f ca="1">IF(ISERROR(F365),"",_xlfn.TEXTJOIN("/",FALSE,P374,S374))</f>
        <v>0/100</v>
      </c>
      <c r="H374" s="42"/>
      <c r="I374" s="42" t="str">
        <f ca="1">IF(ISERROR(F365),"",_xlfn.TEXTJOIN("/",FALSE,Q374,T374))</f>
        <v>0/50</v>
      </c>
      <c r="J374" s="42"/>
      <c r="K374" s="42" t="str">
        <f ca="1">IF(ISERROR(F365),"",_xlfn.TEXTJOIN("/",FALSE,R374,U374))</f>
        <v>0/150</v>
      </c>
      <c r="L374" s="42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*U374,"O",IF(R374&gt;=0.85*U374,"A+",IF(R374&gt;=0.8*U374,"A",IF(R374&gt;=0.7*U374,"B+",IF(R374&gt;=0.6*U374,"B",IF(R374&gt;=0.5*U374,"C",IF(R374&gt;=0.4*U374,"P",IF(R374&lt;0.4*U374,"F",R374))))))))))))))</f>
        <v>F</v>
      </c>
      <c r="N374" s="8">
        <f t="shared" ca="1" si="42"/>
        <v>0</v>
      </c>
      <c r="O374">
        <f ca="1">IF(O373&gt;0,7,"")</f>
        <v>7</v>
      </c>
      <c r="P374" s="1">
        <f ca="1">IF(ISERROR(F365),"",IF(ISTEXT(VLOOKUP(B365,INDIRECT($F$8),6+(O374-1)*3)),(VLOOKUP(B365,INDIRECT($F$8),6+(O374-1)*3)),SUM(VLOOKUP(B365,INDIRECT($F$8),6+(O374-1)*3),IF(W378,W374,0))))</f>
        <v>0</v>
      </c>
      <c r="Q374" s="1">
        <f ca="1">IF(ISERROR(F365),"",VLOOKUP(B365,INDIRECT($F$8),7+(O374-1)*3))</f>
        <v>0</v>
      </c>
      <c r="R374" s="1">
        <f ca="1">IF(ISERROR(F365),"",SUM(P374:Q374))</f>
        <v>0</v>
      </c>
      <c r="S374" s="1">
        <f ca="1">IF(ISERROR(F365),"",VLOOKUP(A365,INDIRECT($F$8),6+(O374-1)*3))</f>
        <v>100</v>
      </c>
      <c r="T374" s="1">
        <f ca="1">IF(ISERROR(F365),"",VLOOKUP(A365,INDIRECT($F$8),7+(O374-1)*3))</f>
        <v>50</v>
      </c>
      <c r="U374" s="1">
        <f ca="1">IF(ISERROR(F365),"",VLOOKUP(A365,INDIRECT($F$8),8+(O374-1)*3))</f>
        <v>150</v>
      </c>
      <c r="V374" s="1" t="str">
        <f ca="1">IF(ISERROR(F365),"",IF(N374=0,A374,""))</f>
        <v>AHT 310</v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11</v>
      </c>
      <c r="X374" s="1" t="str">
        <f ca="1">IF(ISERROR(F365),"",IF(W374=0,"",_xlfn.TEXTJOIN("",FALSE," G+",W374," in ",A374)))</f>
        <v xml:space="preserve"> G+11 in AHT 310</v>
      </c>
    </row>
    <row r="375" spans="1:24" ht="14.25" customHeight="1" x14ac:dyDescent="0.2">
      <c r="A375" s="7" t="str">
        <f ca="1">IF(ISERROR(F365),"",VLOOKUP(C365,INDIRECT($F$8),6+(O375-1)*3,0))</f>
        <v>CAP 008</v>
      </c>
      <c r="B375" s="41" t="str">
        <f ca="1">IF(ISERROR(F365),"",VLOOKUP(D365,INDIRECT($F$8),6+(O375-1)*3,0))</f>
        <v>Software Engineering Lab</v>
      </c>
      <c r="C375" s="41"/>
      <c r="D375" s="41"/>
      <c r="E375" s="41"/>
      <c r="F375" s="7">
        <f ca="1">IF(ISERROR(F365),"",VLOOKUP(E365,INDIRECT($F$8),6+(O375-1)*3,0))</f>
        <v>1</v>
      </c>
      <c r="G375" s="42" t="str">
        <f ca="1">IF(ISERROR(F365),"",_xlfn.TEXTJOIN("/",FALSE,P375,S375))</f>
        <v>0/30</v>
      </c>
      <c r="H375" s="42"/>
      <c r="I375" s="42" t="str">
        <f ca="1">IF(ISERROR(F365),"",_xlfn.TEXTJOIN("/",FALSE,Q375,T375))</f>
        <v>0/20</v>
      </c>
      <c r="J375" s="42"/>
      <c r="K375" s="42" t="str">
        <f ca="1">IF(ISERROR(F365),"",_xlfn.TEXTJOIN("/",FALSE,R375,U375))</f>
        <v>0/50</v>
      </c>
      <c r="L375" s="42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*U375,"O",IF(R375&gt;=0.85*U375,"A+",IF(R375&gt;=0.8*U375,"A",IF(R375&gt;=0.7*U375,"B+",IF(R375&gt;=0.6*U375,"B",IF(R375&gt;=0.5*U375,"C",IF(R375&gt;=0.4*U375,"P",IF(R375&lt;0.4*U375,"F",R375))))))))))))))</f>
        <v>F</v>
      </c>
      <c r="N375" s="8">
        <f t="shared" ca="1" si="42"/>
        <v>0</v>
      </c>
      <c r="O375">
        <f t="shared" ref="O375:O377" ca="1" si="43">O374+1</f>
        <v>8</v>
      </c>
      <c r="P375" s="1">
        <f ca="1">IF(ISERROR(F365),"",IF(ISTEXT(VLOOKUP(B365,INDIRECT($F$8),6+(O375-1)*3)),(VLOOKUP(B365,INDIRECT($F$8),6+(O375-1)*3)),SUM(VLOOKUP(B365,INDIRECT($F$8),6+(O375-1)*3),IF(W378,W375,0))))</f>
        <v>0</v>
      </c>
      <c r="Q375" s="1">
        <f ca="1">IF(ISERROR(F365),"",VLOOKUP(B365,INDIRECT($F$8),7+(O375-1)*3))</f>
        <v>0</v>
      </c>
      <c r="R375" s="1">
        <f ca="1">IF(ISERROR(F365),"",SUM(P375:Q375))</f>
        <v>0</v>
      </c>
      <c r="S375" s="1">
        <f ca="1">IF(ISERROR(F365),"",VLOOKUP(A365,INDIRECT($F$8),6+(O375-1)*3))</f>
        <v>30</v>
      </c>
      <c r="T375" s="1">
        <f ca="1">IF(ISERROR(F365),"",VLOOKUP(A365,INDIRECT($F$8),7+(O375-1)*3))</f>
        <v>20</v>
      </c>
      <c r="U375" s="1">
        <f ca="1">IF(ISERROR(F365),"",VLOOKUP(A365,INDIRECT($F$8),8+(O375-1)*3))</f>
        <v>50</v>
      </c>
      <c r="V375" s="1" t="str">
        <f ca="1">IF(ISERROR(F365),"",IF(N375=0,A375,""))</f>
        <v>CAP 008</v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11</v>
      </c>
      <c r="X375" s="1" t="str">
        <f ca="1">IF(ISERROR(F365),"",IF(W375=0,"",_xlfn.TEXTJOIN("",FALSE," G+",W375," in ",A375)))</f>
        <v xml:space="preserve"> G+11 in CAP 008</v>
      </c>
    </row>
    <row r="376" spans="1:24" ht="14.25" customHeight="1" x14ac:dyDescent="0.2">
      <c r="A376" s="7" t="str">
        <f ca="1">IF(ISERROR(F365),"",VLOOKUP(C365,INDIRECT($F$8),6+(O376-1)*3,0))</f>
        <v>CAP 009</v>
      </c>
      <c r="B376" s="41" t="str">
        <f ca="1">IF(ISERROR(F365),"",VLOOKUP(D365,INDIRECT($F$8),6+(O376-1)*3,0))</f>
        <v>Seminar</v>
      </c>
      <c r="C376" s="41"/>
      <c r="D376" s="41"/>
      <c r="E376" s="41"/>
      <c r="F376" s="7">
        <f ca="1">IF(ISERROR(F365),"",VLOOKUP(E365,INDIRECT($F$8),6+(O376-1)*3,0))</f>
        <v>2</v>
      </c>
      <c r="G376" s="42" t="str">
        <f ca="1">IF(ISERROR(F365),"",_xlfn.TEXTJOIN("/",FALSE,P376,S376))</f>
        <v>0/0</v>
      </c>
      <c r="H376" s="42"/>
      <c r="I376" s="42" t="str">
        <f ca="1">IF(ISERROR(F365),"",_xlfn.TEXTJOIN("/",FALSE,Q376,T376))</f>
        <v>0/100</v>
      </c>
      <c r="J376" s="42"/>
      <c r="K376" s="42" t="str">
        <f ca="1">IF(ISERROR(F365),"",_xlfn.TEXTJOIN("/",FALSE,R376,U376))</f>
        <v>0/100</v>
      </c>
      <c r="L376" s="42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*U376,"O",IF(R376&gt;=0.85*U376,"A+",IF(R376&gt;=0.8*U376,"A",IF(R376&gt;=0.7*U376,"B+",IF(R376&gt;=0.6*U376,"B",IF(R376&gt;=0.5*U376,"C",IF(R376&gt;=0.4*U376,"P",IF(R376&lt;0.4*U376,"F",R376))))))))))))))</f>
        <v>F</v>
      </c>
      <c r="N376" s="8">
        <f t="shared" ca="1" si="42"/>
        <v>0</v>
      </c>
      <c r="O376">
        <f t="shared" ca="1" si="43"/>
        <v>9</v>
      </c>
      <c r="P376" s="1">
        <f ca="1">IF(ISERROR(F365),"",IF(ISTEXT(VLOOKUP(B365,INDIRECT($F$8),6+(O376-1)*3)),(VLOOKUP(B365,INDIRECT($F$8),6+(O376-1)*3)),SUM(VLOOKUP(B365,INDIRECT($F$8),6+(O376-1)*3),IF(W378,W376,0))))</f>
        <v>0</v>
      </c>
      <c r="Q376" s="1">
        <f ca="1">IF(ISERROR(F365),"",VLOOKUP(B365,INDIRECT($F$8),7+(O376-1)*3))</f>
        <v>0</v>
      </c>
      <c r="R376" s="1">
        <f ca="1">IF(ISERROR(F365),"",SUM(P376:Q376))</f>
        <v>0</v>
      </c>
      <c r="S376" s="1">
        <f ca="1">IF(ISERROR(F365),"",VLOOKUP(A365,INDIRECT($F$8),6+(O376-1)*3))</f>
        <v>0</v>
      </c>
      <c r="T376" s="1">
        <f ca="1">IF(ISERROR(F365),"",VLOOKUP(A365,INDIRECT($F$8),7+(O376-1)*3))</f>
        <v>100</v>
      </c>
      <c r="U376" s="1">
        <f ca="1">IF(ISERROR(F365),"",VLOOKUP(A365,INDIRECT($F$8),8+(O376-1)*3))</f>
        <v>100</v>
      </c>
      <c r="V376" s="1" t="str">
        <f ca="1">IF(ISERROR(F365),"",IF(N376=0,A376,""))</f>
        <v>CAP 009</v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11</v>
      </c>
      <c r="X376" s="1" t="str">
        <f ca="1">IF(ISERROR(F365),"",IF(W376=0,"",_xlfn.TEXTJOIN("",FALSE," G+",W376," in ",A376)))</f>
        <v xml:space="preserve"> G+11 in CAP 009</v>
      </c>
    </row>
    <row r="377" spans="1:24" ht="14.25" customHeight="1" x14ac:dyDescent="0.2">
      <c r="A377" s="7" t="str">
        <f ca="1">IF(ISERROR(F365),"",VLOOKUP(C365,INDIRECT($F$8),6+(O377-1)*3,0))</f>
        <v>CAP 010</v>
      </c>
      <c r="B377" s="41" t="str">
        <f ca="1">IF(ISERROR(F365),"",VLOOKUP(D365,INDIRECT($F$8),6+(O377-1)*3-Z377,0))</f>
        <v>Minor Project</v>
      </c>
      <c r="C377" s="41"/>
      <c r="D377" s="41"/>
      <c r="E377" s="41"/>
      <c r="F377" s="7">
        <f ca="1">IF(ISERROR(F365),"",VLOOKUP(E365,INDIRECT($F$8),6+(O377-1)*3,0))</f>
        <v>2</v>
      </c>
      <c r="G377" s="42" t="str">
        <f ca="1">IF(ISERROR(F365),"",_xlfn.TEXTJOIN("/",FALSE,P377,S377))</f>
        <v>0/50</v>
      </c>
      <c r="H377" s="42"/>
      <c r="I377" s="42" t="str">
        <f ca="1">IF(ISERROR(F365),"",_xlfn.TEXTJOIN("/",FALSE,Q377,T377))</f>
        <v>0/50</v>
      </c>
      <c r="J377" s="42"/>
      <c r="K377" s="42" t="str">
        <f ca="1">IF(ISERROR(F365),"",_xlfn.TEXTJOIN("/",FALSE,R377,U377))</f>
        <v>0/100</v>
      </c>
      <c r="L377" s="42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*U377,"O",IF(R377&gt;=0.85*U377,"A+",IF(R377&gt;=0.8*U377,"A",IF(R377&gt;=0.7*U377,"B+",IF(R377&gt;=0.6*U377,"B",IF(R377&gt;=0.5*U377,"C",IF(R377&gt;=0.4*U377,"P",IF(R377&lt;0.4*U377,"F",R377))))))))))))))</f>
        <v>F</v>
      </c>
      <c r="N377" s="8">
        <f t="shared" ca="1" si="42"/>
        <v>0</v>
      </c>
      <c r="O377">
        <f t="shared" ca="1" si="43"/>
        <v>10</v>
      </c>
      <c r="P377" s="1">
        <f ca="1">IF(ISERROR(F365),"",IF(ISTEXT(VLOOKUP(B365,INDIRECT($F$8),6+(O377-1)*3)),(VLOOKUP(B365,INDIRECT($F$8),6+(O377-1)*3)),SUM(VLOOKUP(B365,INDIRECT($F$8),6+(O377-1)*3),IF(W378,W377,0))))</f>
        <v>0</v>
      </c>
      <c r="Q377" s="1">
        <f ca="1">IF(ISERROR(F365),"",VLOOKUP(B365,INDIRECT($F$8),7+(O377-1)*3))</f>
        <v>0</v>
      </c>
      <c r="R377" s="1">
        <f ca="1">IF(ISERROR(F365),"",SUM(P377:Q377))</f>
        <v>0</v>
      </c>
      <c r="S377" s="1">
        <f ca="1">IF(ISERROR(F365),"",VLOOKUP(A365,INDIRECT($F$8),6+(O377-1)*3))</f>
        <v>50</v>
      </c>
      <c r="T377" s="1">
        <f ca="1">IF(ISERROR(F365),"",VLOOKUP(A365,INDIRECT($F$8),7+(O377-1)*3))</f>
        <v>50</v>
      </c>
      <c r="U377" s="1">
        <f ca="1">IF(ISERROR(F365),"",VLOOKUP(A365,INDIRECT($F$8),8+(O377-1)*3))</f>
        <v>100</v>
      </c>
      <c r="V377" s="1" t="str">
        <f ca="1">IF(ISERROR(F365),"",IF(N377=0,A377,""))</f>
        <v>CAP 010</v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11</v>
      </c>
      <c r="X377" s="1" t="str">
        <f ca="1">IF(ISERROR(F365),"",IF(W377=0,"",_xlfn.TEXTJOIN("",FALSE," G+",W377," in ",A377)))</f>
        <v xml:space="preserve"> G+11 in CAP 010</v>
      </c>
    </row>
    <row r="378" spans="1:24" ht="14.25" customHeight="1" x14ac:dyDescent="0.2">
      <c r="A378" s="43" t="str">
        <f ca="1">IF(ISERROR(F365),"",A361)</f>
        <v>Total Credits/ Marks/ Total Grade Points</v>
      </c>
      <c r="B378" s="43"/>
      <c r="C378" s="43"/>
      <c r="D378" s="43"/>
      <c r="E378" s="43"/>
      <c r="F378" s="10">
        <f ca="1">IF(ISERROR(F365),"",SUM(F370:F377))</f>
        <v>16</v>
      </c>
      <c r="G378" s="44" t="str">
        <f ca="1">IF(ISERROR(F365),"",_xlfn.TEXTJOIN("/",TRUE,SUMIF(F370:F377,"&gt;0",P370:P377),SUMIF(F370:F377,"&gt;0",S370:S377)))</f>
        <v>0/380</v>
      </c>
      <c r="H378" s="44"/>
      <c r="I378" s="44" t="str">
        <f ca="1">IF(ISERROR(F365),"",_xlfn.TEXTJOIN("/",TRUE,SUMIF(F370:F377,"&gt;0",Q370:Q377),SUMIF(F370:F377,"&gt;0",T370:T377)))</f>
        <v>0/320</v>
      </c>
      <c r="J378" s="44"/>
      <c r="K378" s="44" t="str">
        <f ca="1">IF(ISERROR(F365),"",_xlfn.TEXTJOIN("/",TRUE,SUMIF(F370:F377,"&gt;0",R370:R377),SUMIF(F370:F377,"&gt;0",U370:U377)))</f>
        <v>0/700</v>
      </c>
      <c r="L378" s="44"/>
      <c r="M378" s="43" t="e">
        <f ca="1">IF(ISERROR(F365),"",SUMPRODUCT(N370:N377,F370:F377))</f>
        <v>#N/A</v>
      </c>
      <c r="N378" s="43"/>
      <c r="V378" s="1" t="e">
        <f ca="1">IF(ISERROR(F365),"",_xlfn.TEXTJOIN(", ",TRUE,V370:V377))</f>
        <v>#N/A</v>
      </c>
      <c r="W378" t="b">
        <f ca="1">IF(ISERROR(F365),"",IF(SUM(W370:W377)&lt;=W369,TRUE,FALSE))</f>
        <v>0</v>
      </c>
      <c r="X378" s="1" t="str">
        <f ca="1">IF(ISERROR(F365),"",_xlfn.TEXTJOIN(",",TRUE,X370:X377))</f>
        <v xml:space="preserve"> G+11 in CAT  014, G+11 in CAT 015, G+11 in Enroll No., G+11 in Enroll No., G+11 in AHT 310, G+11 in CAP 008, G+11 in CAP 009, G+11 in CAP 010</v>
      </c>
    </row>
    <row r="379" spans="1:24" ht="14.25" customHeight="1" x14ac:dyDescent="0.2">
      <c r="A379" s="43" t="str">
        <f ca="1">IF(ISERROR(F365),"",A362)</f>
        <v>Result:</v>
      </c>
      <c r="B379" s="45" t="e">
        <f ca="1">IF(ISERROR(F365),"",IF(V378="","PASS","CARRY OVER"))</f>
        <v>#N/A</v>
      </c>
      <c r="C379" s="45"/>
      <c r="D379" s="43" t="str">
        <f ca="1">IF(ISERROR(F365),"",D362)</f>
        <v>Remark:</v>
      </c>
      <c r="E379" s="45" t="e">
        <f ca="1">IF(ISERROR(F365),"",IF(V378="",IF(X378="","",X378),_xlfn.TEXTJOIN(" ",TRUE,"BACK IN",V378)))</f>
        <v>#N/A</v>
      </c>
      <c r="F379" s="45"/>
      <c r="G379" s="43" t="str">
        <f ca="1">IF(ISERROR(F365),"",G362)</f>
        <v>SGPA:</v>
      </c>
      <c r="H379" s="46" t="e">
        <f ca="1">IF(ISERROR(F365),"",M378/F378)</f>
        <v>#N/A</v>
      </c>
      <c r="I379" s="43" t="str">
        <f ca="1">IF(ISERROR(F365),"",I362)</f>
        <v>CGPA:</v>
      </c>
      <c r="J379" s="46" t="e">
        <f ca="1">IF(ISERROR(F365),"",VLOOKUP(B365,INDIRECT($F$8),12+(O377-1)*3,0))</f>
        <v>#N/A</v>
      </c>
      <c r="K379" s="45" t="str">
        <f ca="1">IF(ISERROR(F365),"",K362)</f>
        <v>Earned Credits:</v>
      </c>
      <c r="L379" s="43">
        <f ca="1">IF(ISERROR(F365),"",SUMIF(N370:N377,"&gt;0",F370:F377))</f>
        <v>0</v>
      </c>
      <c r="M379" s="45" t="str">
        <f ca="1">IF(ISERROR(F365),"",M362)</f>
        <v>Cuml. Earned Credits:</v>
      </c>
      <c r="N379" s="43" t="e">
        <f ca="1">IF(ISERROR(F365),"",VLOOKUP(B365,INDIRECT($F$8),10+(O377-1)*3,0))</f>
        <v>#N/A</v>
      </c>
    </row>
    <row r="380" spans="1:24" ht="14.25" customHeight="1" x14ac:dyDescent="0.2">
      <c r="A380" s="43"/>
      <c r="B380" s="45"/>
      <c r="C380" s="45"/>
      <c r="D380" s="43"/>
      <c r="E380" s="45"/>
      <c r="F380" s="45"/>
      <c r="G380" s="43"/>
      <c r="H380" s="46"/>
      <c r="I380" s="43"/>
      <c r="J380" s="46"/>
      <c r="K380" s="45"/>
      <c r="L380" s="43"/>
      <c r="M380" s="45"/>
      <c r="N380" s="43"/>
    </row>
    <row r="381" spans="1:24" ht="14.25" customHeight="1" x14ac:dyDescent="0.2">
      <c r="A381" s="43"/>
      <c r="B381" s="45"/>
      <c r="C381" s="45"/>
      <c r="D381" s="43"/>
      <c r="E381" s="45"/>
      <c r="F381" s="45"/>
      <c r="G381" s="43"/>
      <c r="H381" s="46"/>
      <c r="I381" s="43"/>
      <c r="J381" s="46"/>
      <c r="K381" s="45"/>
      <c r="L381" s="43"/>
      <c r="M381" s="45"/>
      <c r="N381" s="43"/>
    </row>
    <row r="382" spans="1:24" ht="14.25" customHeight="1" x14ac:dyDescent="0.2">
      <c r="A382" s="11" t="str">
        <f>A365</f>
        <v>MM</v>
      </c>
      <c r="B382" s="11">
        <f>B365+1</f>
        <v>23</v>
      </c>
      <c r="C382" s="11" t="str">
        <f>C365</f>
        <v>SC</v>
      </c>
      <c r="D382" s="11" t="str">
        <f>D365</f>
        <v>SN</v>
      </c>
      <c r="E382" s="11" t="str">
        <f>E365</f>
        <v>C</v>
      </c>
      <c r="F382" s="11" t="str">
        <f ca="1">VLOOKUP(B382,INDIRECT($F$8),4,0)</f>
        <v>SHRIYANSHU DHYANI</v>
      </c>
    </row>
    <row r="383" spans="1:24" ht="14.25" customHeight="1" x14ac:dyDescent="0.2">
      <c r="A383" s="47" t="str">
        <f ca="1">IF(ISERROR(F382),"",A366)</f>
        <v>Name:</v>
      </c>
      <c r="B383" s="47" t="str">
        <f ca="1">IFERROR(VLOOKUP(B382,INDIRECT($F$8),4,0),"")</f>
        <v>SHRIYANSHU DHYANI</v>
      </c>
      <c r="C383" s="47"/>
      <c r="D383" s="47" t="str">
        <f ca="1">IF(ISERROR(F382),"",D366)</f>
        <v>Father's Name:</v>
      </c>
      <c r="E383" s="47" t="str">
        <f ca="1">IFERROR(VLOOKUP(B382,INDIRECT($F$8),5,0),"")</f>
        <v>LUV KUMAR DHYANI</v>
      </c>
      <c r="F383" s="47"/>
      <c r="G383" s="47" t="str">
        <f ca="1">IF(ISERROR(F382),"",G366)</f>
        <v>University Roll No:</v>
      </c>
      <c r="H383" s="47"/>
      <c r="I383" s="48">
        <f ca="1">IFERROR(VLOOKUP(B382,INDIRECT($F$8),2,0),"")</f>
        <v>240090600023</v>
      </c>
      <c r="J383" s="48"/>
      <c r="K383" s="47" t="str">
        <f ca="1">IF(ISERROR(F382),"",K366)</f>
        <v>University Enrol. No:</v>
      </c>
      <c r="L383" s="47"/>
      <c r="M383" s="48" t="str">
        <f ca="1">IFERROR(VLOOKUP(B382,INDIRECT($F$8),3,0),"")</f>
        <v>UTU/2406100184</v>
      </c>
      <c r="N383" s="48"/>
    </row>
    <row r="384" spans="1:24" ht="14.25" customHeight="1" x14ac:dyDescent="0.2">
      <c r="A384" s="47"/>
      <c r="B384" s="47"/>
      <c r="C384" s="47"/>
      <c r="D384" s="47"/>
      <c r="E384" s="47"/>
      <c r="F384" s="47"/>
      <c r="G384" s="47"/>
      <c r="H384" s="47"/>
      <c r="I384" s="48"/>
      <c r="J384" s="48"/>
      <c r="K384" s="47"/>
      <c r="L384" s="47"/>
      <c r="M384" s="48"/>
      <c r="N384" s="48"/>
    </row>
    <row r="385" spans="1:24" ht="14.25" customHeight="1" x14ac:dyDescent="0.2">
      <c r="A385" s="45" t="str">
        <f ca="1">IF(ISERROR(F382),"",A368)</f>
        <v>Subject Code</v>
      </c>
      <c r="B385" s="45" t="str">
        <f ca="1">IF(ISERROR(F382),"",B368)</f>
        <v>Subject Name</v>
      </c>
      <c r="C385" s="45"/>
      <c r="D385" s="45"/>
      <c r="E385" s="45"/>
      <c r="F385" s="45" t="str">
        <f ca="1">IF(ISERROR(F382),"",F368)</f>
        <v>Credits</v>
      </c>
      <c r="G385" s="45" t="str">
        <f ca="1">IF(ISERROR(F382),"",G368)</f>
        <v>External Marks</v>
      </c>
      <c r="H385" s="45"/>
      <c r="I385" s="45" t="str">
        <f ca="1">IF(ISERROR(F382),"",I368)</f>
        <v>Sessional Marks</v>
      </c>
      <c r="J385" s="45"/>
      <c r="K385" s="45" t="str">
        <f ca="1">IF(ISERROR(F382),"",K368)</f>
        <v>Total Marks</v>
      </c>
      <c r="L385" s="45"/>
      <c r="M385" s="45" t="str">
        <f ca="1">IF(ISERROR(F382),"",M368)</f>
        <v>Grade</v>
      </c>
      <c r="N385" s="45" t="str">
        <f ca="1">IF(ISERROR(F382),"",N368)</f>
        <v>Grade Points</v>
      </c>
    </row>
    <row r="386" spans="1:24" ht="14.25" customHeight="1" x14ac:dyDescent="0.2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W386">
        <f ca="1">IF(ISNUMBER(MATCH($F$8,{"I","III","V","VII"},0)),10,10-INDEX(INDIRECT(_xlfn.TEXTJOIN("",TRUE,"SEM_",$G$8,"!",ADDRESS(6,4+$I$8*3+4),":",ADDRESS(5+$H$8,4+$I$8*3+4))),MATCH(INDIRECT(_xlfn.TEXTJOIN("",TRUE,"TC_",$F$8,"!",ADDRESS(ROW(I383),COLUMN(I383)))),INDIRECT(_xlfn.TEXTJOIN("",TRUE,"SEM_",$G$8,"!",ADDRESS(6,2),":",ADDRESS(5+$H$8,2))))))</f>
        <v>10</v>
      </c>
    </row>
    <row r="387" spans="1:24" ht="14.25" customHeight="1" x14ac:dyDescent="0.2">
      <c r="A387" s="7" t="str">
        <f ca="1">IF(ISERROR(F382),"",VLOOKUP(C382,INDIRECT($F$8),6+(O387-1)*3,0))</f>
        <v>CAT  014</v>
      </c>
      <c r="B387" s="41" t="str">
        <f ca="1">IF(ISERROR(F382),"",VLOOKUP(D382,INDIRECT($F$8),6+(O387-1)*3,0))</f>
        <v>Graph Theory</v>
      </c>
      <c r="C387" s="41"/>
      <c r="D387" s="41"/>
      <c r="E387" s="41"/>
      <c r="F387" s="7">
        <f ca="1">IF(ISERROR(F382),"",VLOOKUP(E382,INDIRECT($F$8),6+(O387-1)*3,0))</f>
        <v>4</v>
      </c>
      <c r="G387" s="42" t="str">
        <f ca="1">IF(ISERROR(F382),"",_xlfn.TEXTJOIN("/",FALSE,P387,S387))</f>
        <v>0/100</v>
      </c>
      <c r="H387" s="42"/>
      <c r="I387" s="42" t="str">
        <f ca="1">IF(ISERROR(F382),"",_xlfn.TEXTJOIN("/",FALSE,Q387,T387))</f>
        <v>0/50</v>
      </c>
      <c r="J387" s="42"/>
      <c r="K387" s="42" t="str">
        <f ca="1">IF(ISERROR(F382),"",_xlfn.TEXTJOIN("/",FALSE,R387,U387))</f>
        <v>0/150</v>
      </c>
      <c r="L387" s="42"/>
      <c r="M387" s="7" t="str">
        <f ca="1">IF(ISERROR(F382),"",IF(ISTEXT(P387),IF(P387="A","Ab",IF(P387="D","Dt",IF(P387="UFM","UFM",IF(P387="NA","")))),IF(AND(ISBLANK(P387),ISBLANK(R387)),"",IF(P387&lt;0.3*S387,"F",IF(ISBLANK(R387),"",IF(ISTEXT(R387),R387,IF(R387&gt;=0.9*U387,"O",IF(R387&gt;=0.85*U387,"A+",IF(R387&gt;=0.8*U387,"A",IF(R387&gt;=0.7*U387,"B+",IF(R387&gt;=0.6*U387,"B",IF(R387&gt;=0.5*U387,"C",IF(R387&gt;=0.4*U387,"P",IF(R387&lt;0.4*U387,"F",R387))))))))))))))</f>
        <v>F</v>
      </c>
      <c r="N387" s="8">
        <f t="shared" ref="N387:N394" ca="1" si="44">INDEX($Z$2:$Z$13,MATCH(M387,$Y$2:$Y$13,0))</f>
        <v>0</v>
      </c>
      <c r="O387">
        <v>1</v>
      </c>
      <c r="P387" s="1">
        <f ca="1">IF(ISERROR(F382),"",IF(ISTEXT(VLOOKUP(B382,INDIRECT($F$8),6+(O387-1)*3)),(VLOOKUP(B382,INDIRECT($F$8),6+(O387-1)*3)),SUM(VLOOKUP(B382,INDIRECT($F$8),6+(O387-1)*3),IF(W395,W387,0))))</f>
        <v>0</v>
      </c>
      <c r="Q387" s="1">
        <f ca="1">IF(ISERROR(F382),"",VLOOKUP(B382,INDIRECT($F$8),7+(O387-1)*3))</f>
        <v>0</v>
      </c>
      <c r="R387" s="1">
        <f ca="1">IF(ISERROR(F382),"",SUM(P387:Q387))</f>
        <v>0</v>
      </c>
      <c r="S387" s="1">
        <f ca="1">IF(ISERROR(F382),"",VLOOKUP(A382,INDIRECT($F$8),6+(O387-1)*3))</f>
        <v>100</v>
      </c>
      <c r="T387" s="1">
        <f ca="1">IF(ISERROR(F382),"",VLOOKUP(A382,INDIRECT($F$8),7+(O387-1)*3))</f>
        <v>50</v>
      </c>
      <c r="U387" s="1">
        <f ca="1">IF(ISERROR(F382),"",VLOOKUP(A382,INDIRECT($F$8),8+(O387-1)*3))</f>
        <v>150</v>
      </c>
      <c r="V387" s="1" t="str">
        <f ca="1">IF(ISERROR(F382),"",IF(N387=0,A387,""))</f>
        <v>CAT  014</v>
      </c>
      <c r="W387" s="1">
        <f ca="1">IF(ISERROR(F382),"",IF(ISTEXT(VLOOKUP(B382,INDIRECT($F$8),6+(O387-1)*3)),11,IF(VLOOKUP(B382,INDIRECT($F$8),6+(O387-1)*3)&lt;S387*0.3,IF(VLOOKUP(B382,INDIRECT($F$8),8+(O387-1)*3)&lt;U387*0.4,IF(AND(0.4*U387-VLOOKUP(B382,INDIRECT($F$8),8+(O387-1)*3)&lt;=5,0.3*S387-VLOOKUP(B382,INDIRECT($F$8),6+(O387-1)*3)&lt;=5),MAX(0.4*U387-VLOOKUP(B382,INDIRECT($F$8),8+(O387-1)*3),0.3*S387-VLOOKUP(B382,INDIRECT($F$8),6+(O387-1)*3)),11),IF(0.3*S387-VLOOKUP(B382,INDIRECT($F$8),6+(O387-1)*3)&lt;=5,0.3*S387-VLOOKUP(B382,INDIRECT($F$8),6+(O387-1)*3),11)),IF(VLOOKUP(B382,INDIRECT($F$8),8+(O387-1)*3)&lt;U387*0.4,IF(U387*0.4-VLOOKUP(B382,INDIRECT($F$8),8+(O387-1)*3)&lt;=5,U387*0.4-VLOOKUP(B382,INDIRECT($F$8),8+(O387-1)*3),11),0))))</f>
        <v>11</v>
      </c>
      <c r="X387" s="1" t="str">
        <f ca="1">IF(ISERROR(F382),"",IF(W387=0,"",_xlfn.TEXTJOIN("",FALSE," G+",W387," in ",A387)))</f>
        <v xml:space="preserve"> G+11 in CAT  014</v>
      </c>
    </row>
    <row r="388" spans="1:24" ht="14.25" customHeight="1" x14ac:dyDescent="0.2">
      <c r="A388" s="7" t="str">
        <f ca="1">IF(ISERROR(F382),"",VLOOKUP(C382,INDIRECT($F$8),6+(O388-1)*3,0))</f>
        <v>CAT 015</v>
      </c>
      <c r="B388" s="41" t="str">
        <f ca="1">IF(ISERROR(F382),"",VLOOKUP(D382,INDIRECT($F$8),6+(O388-1)*3,0))</f>
        <v>Software Engineering</v>
      </c>
      <c r="C388" s="41"/>
      <c r="D388" s="41"/>
      <c r="E388" s="41"/>
      <c r="F388" s="7">
        <f ca="1">IF(ISERROR(F382),"",VLOOKUP(E382,INDIRECT($F$8),6+(O388-1)*3,0))</f>
        <v>4</v>
      </c>
      <c r="G388" s="42" t="str">
        <f ca="1">IF(ISERROR(F382),"",_xlfn.TEXTJOIN("/",FALSE,P388,S388))</f>
        <v>0/100</v>
      </c>
      <c r="H388" s="42"/>
      <c r="I388" s="42" t="str">
        <f ca="1">IF(ISERROR(F382),"",_xlfn.TEXTJOIN("/",FALSE,Q388,T388))</f>
        <v>0/50</v>
      </c>
      <c r="J388" s="42"/>
      <c r="K388" s="42" t="str">
        <f ca="1">IF(ISERROR(F382),"",_xlfn.TEXTJOIN("/",FALSE,R388,U388))</f>
        <v>0/150</v>
      </c>
      <c r="L388" s="42"/>
      <c r="M388" s="7" t="str">
        <f ca="1">IF(ISERROR(F382),"",IF(ISTEXT(P388),IF(P388="A","Ab",IF(P388="D","Dt",IF(P388="UFM","UFM",IF(P388="NA","")))),IF(AND(ISBLANK(P388),ISBLANK(R388)),"",IF(P388&lt;0.3*S388,"F",IF(ISBLANK(R388),"",IF(ISTEXT(R388),R388,IF(R388&gt;=0.9*U388,"O",IF(R388&gt;=0.85*U388,"A+",IF(R388&gt;=0.8*U388,"A",IF(R388&gt;=0.7*U388,"B+",IF(R388&gt;=0.6*U388,"B",IF(R388&gt;=0.5*U388,"C",IF(R388&gt;=0.4*U388,"P",IF(R388&lt;0.4*U388,"F",R388))))))))))))))</f>
        <v>F</v>
      </c>
      <c r="N388" s="8">
        <f t="shared" ca="1" si="44"/>
        <v>0</v>
      </c>
      <c r="O388">
        <f>O387+1</f>
        <v>2</v>
      </c>
      <c r="P388" s="1">
        <f ca="1">IF(ISERROR(F382),"",IF(ISTEXT(VLOOKUP(B382,INDIRECT($F$8),6+(O388-1)*3)),(VLOOKUP(B382,INDIRECT($F$8),6+(O388-1)*3)),SUM(VLOOKUP(B382,INDIRECT($F$8),6+(O388-1)*3),IF(W395,W388,0))))</f>
        <v>0</v>
      </c>
      <c r="Q388" s="1">
        <f ca="1">IF(ISERROR(F382),"",VLOOKUP(B382,INDIRECT($F$8),7+(O388-1)*3))</f>
        <v>0</v>
      </c>
      <c r="R388" s="1">
        <f ca="1">IF(ISERROR(F382),"",SUM(P388:Q388))</f>
        <v>0</v>
      </c>
      <c r="S388" s="1">
        <f ca="1">IF(ISERROR(F382),"",VLOOKUP(A382,INDIRECT($F$8),6+(O388-1)*3))</f>
        <v>100</v>
      </c>
      <c r="T388" s="1">
        <f ca="1">IF(ISERROR(F382),"",VLOOKUP(A382,INDIRECT($F$8),7+(O388-1)*3))</f>
        <v>50</v>
      </c>
      <c r="U388" s="1">
        <f ca="1">IF(ISERROR(F382),"",VLOOKUP(A382,INDIRECT($F$8),8+(O388-1)*3))</f>
        <v>150</v>
      </c>
      <c r="V388" s="1" t="str">
        <f ca="1">IF(ISERROR(F382),"",IF(N388=0,A388,""))</f>
        <v>CAT 015</v>
      </c>
      <c r="W388" s="1">
        <f ca="1">IF(ISERROR(F382),"",IF(ISTEXT(VLOOKUP(B382,INDIRECT($F$8),6+(O388-1)*3)),11,IF(VLOOKUP(B382,INDIRECT($F$8),6+(O388-1)*3)&lt;S388*0.3,IF(VLOOKUP(B382,INDIRECT($F$8),8+(O388-1)*3)&lt;U388*0.4,IF(AND(0.4*U388-VLOOKUP(B382,INDIRECT($F$8),8+(O388-1)*3)&lt;=5,0.3*S388-VLOOKUP(B382,INDIRECT($F$8),6+(O388-1)*3)&lt;=5),MAX(0.4*U388-VLOOKUP(B382,INDIRECT($F$8),8+(O388-1)*3),0.3*S388-VLOOKUP(B382,INDIRECT($F$8),6+(O388-1)*3)),11),IF(0.3*S388-VLOOKUP(B382,INDIRECT($F$8),6+(O388-1)*3)&lt;=5,0.3*S388-VLOOKUP(B382,INDIRECT($F$8),6+(O388-1)*3),11)),IF(VLOOKUP(B382,INDIRECT($F$8),8+(O388-1)*3)&lt;U388*0.4,IF(U388*0.4-VLOOKUP(B382,INDIRECT($F$8),8+(O388-1)*3)&lt;=5,U388*0.4-VLOOKUP(B382,INDIRECT($F$8),8+(O388-1)*3),11),0))))</f>
        <v>11</v>
      </c>
      <c r="X388" s="1" t="str">
        <f ca="1">IF(ISERROR(F382),"",IF(W388=0,"",_xlfn.TEXTJOIN("",FALSE," G+",W388," in ",A388)))</f>
        <v xml:space="preserve"> G+11 in CAT 015</v>
      </c>
    </row>
    <row r="389" spans="1:24" ht="14.25" customHeight="1" x14ac:dyDescent="0.2">
      <c r="A389" s="7" t="str">
        <f ca="1">IF(ISERROR(F382),"",VLOOKUP(C382,INDIRECT($F$8),6+(O389-1)*3,0))</f>
        <v>Enroll No.</v>
      </c>
      <c r="B389" s="41">
        <f ca="1">IF(ISERROR(F382),"",VLOOKUP(D382,INDIRECT($F$8),6+(O389-1)*3,0))</f>
        <v>0</v>
      </c>
      <c r="C389" s="41"/>
      <c r="D389" s="41"/>
      <c r="E389" s="41"/>
      <c r="F389" s="7">
        <f ca="1">IF(ISERROR(F382),"",VLOOKUP(E382,INDIRECT($F$8),6+(O389-1)*3,0))</f>
        <v>0</v>
      </c>
      <c r="G389" s="42" t="str">
        <f ca="1">IF(ISERROR(F382),"",_xlfn.TEXTJOIN("/",FALSE,P389,S389))</f>
        <v>UTU/2406100184/0</v>
      </c>
      <c r="H389" s="42"/>
      <c r="I389" s="42" t="str">
        <f ca="1">IF(ISERROR(F382),"",_xlfn.TEXTJOIN("/",FALSE,Q389,T389))</f>
        <v>SHRIYANSHU DHYANI/0</v>
      </c>
      <c r="J389" s="42"/>
      <c r="K389" s="42" t="str">
        <f ca="1">IF(ISERROR(F382),"",_xlfn.TEXTJOIN("/",FALSE,R389,U389))</f>
        <v>0/0</v>
      </c>
      <c r="L389" s="42"/>
      <c r="M389" s="7" t="b">
        <f ca="1">IF(ISERROR(F382),"",IF(ISTEXT(P389),IF(P389="A","Ab",IF(P389="D","Dt",IF(P389="UFM","UFM",IF(P389="NA","")))),IF(AND(ISBLANK(P389),ISBLANK(R389)),"",IF(P389&lt;0.3*S389,"F",IF(ISBLANK(R389),"",IF(ISTEXT(R389),R389,IF(R389&gt;=0.9*U389,"O",IF(R389&gt;=0.85*U389,"A+",IF(R389&gt;=0.8*U389,"A",IF(R389&gt;=0.7*U389,"B+",IF(R389&gt;=0.6*U389,"B",IF(R389&gt;=0.5*U389,"C",IF(R389&gt;=0.4*U389,"P",IF(R389&lt;0.4*U389,"F",R389))))))))))))))</f>
        <v>0</v>
      </c>
      <c r="N389" s="8" t="e">
        <f t="shared" ca="1" si="44"/>
        <v>#N/A</v>
      </c>
      <c r="O389" t="b" cm="1">
        <f t="array" aca="1" ref="O389" ca="1">IF(NOT(ISBLANK(INDIRECT("SEM_III!L"&amp;INT((ROW(O389)-15)/17)+6))),3,IF(NOT(ISBLANK(INDIRECT("SEM_III!O"&amp;INT((ROW(O389)-15)/17)+6))),4))</f>
        <v>0</v>
      </c>
      <c r="P389" s="1" t="str">
        <f ca="1">IF(ISERROR(F382),"",IF(ISTEXT(VLOOKUP(B382,INDIRECT($F$8),6+(O389-1)*3)),(VLOOKUP(B382,INDIRECT($F$8),6+(O389-1)*3)),SUM(VLOOKUP(B382,INDIRECT($F$8),6+(O389-1)*3),IF(W395,W389,0))))</f>
        <v>UTU/2406100184</v>
      </c>
      <c r="Q389" s="1" t="str">
        <f ca="1">IF(ISERROR(F382),"",VLOOKUP(B382,INDIRECT($F$8),7+(O389-1)*3))</f>
        <v>SHRIYANSHU DHYANI</v>
      </c>
      <c r="R389" s="1">
        <f ca="1">IF(ISERROR(F382),"",SUM(P389:Q389))</f>
        <v>0</v>
      </c>
      <c r="S389" s="1">
        <f ca="1">IF(ISERROR(F382),"",VLOOKUP(A382,INDIRECT($F$8),6+(O389-1)*3))</f>
        <v>0</v>
      </c>
      <c r="T389" s="1">
        <f ca="1">IF(ISERROR(F382),"",VLOOKUP(A382,INDIRECT($F$8),7+(O389-1)*3))</f>
        <v>0</v>
      </c>
      <c r="U389" s="1">
        <f ca="1">IF(ISERROR(F382),"",VLOOKUP(A382,INDIRECT($F$8),8+(O389-1)*3))</f>
        <v>0</v>
      </c>
      <c r="V389" s="1" t="e">
        <f ca="1">IF(ISERROR(F382),"",IF(N389=0,A389,""))</f>
        <v>#N/A</v>
      </c>
      <c r="W389" s="1">
        <f ca="1">IF(ISERROR(F382),"",IF(ISTEXT(VLOOKUP(B382,INDIRECT($F$8),6+(O389-1)*3)),11,IF(VLOOKUP(B382,INDIRECT($F$8),6+(O389-1)*3)&lt;S389*0.3,IF(VLOOKUP(B382,INDIRECT($F$8),8+(O389-1)*3)&lt;U389*0.4,IF(AND(0.4*U389-VLOOKUP(B382,INDIRECT($F$8),8+(O389-1)*3)&lt;=5,0.3*S389-VLOOKUP(B382,INDIRECT($F$8),6+(O389-1)*3)&lt;=5),MAX(0.4*U389-VLOOKUP(B382,INDIRECT($F$8),8+(O389-1)*3),0.3*S389-VLOOKUP(B382,INDIRECT($F$8),6+(O389-1)*3)),11),IF(0.3*S389-VLOOKUP(B382,INDIRECT($F$8),6+(O389-1)*3)&lt;=5,0.3*S389-VLOOKUP(B382,INDIRECT($F$8),6+(O389-1)*3),11)),IF(VLOOKUP(B382,INDIRECT($F$8),8+(O389-1)*3)&lt;U389*0.4,IF(U389*0.4-VLOOKUP(B382,INDIRECT($F$8),8+(O389-1)*3)&lt;=5,U389*0.4-VLOOKUP(B382,INDIRECT($F$8),8+(O389-1)*3),11),0))))</f>
        <v>11</v>
      </c>
      <c r="X389" s="1" t="str">
        <f ca="1">IF(ISERROR(F382),"",IF(W389=0,"",_xlfn.TEXTJOIN("",FALSE," G+",W389," in ",A389)))</f>
        <v xml:space="preserve"> G+11 in Enroll No.</v>
      </c>
    </row>
    <row r="390" spans="1:24" ht="14.25" customHeight="1" x14ac:dyDescent="0.2">
      <c r="A390" s="7" t="str">
        <f ca="1">IF(ISERROR(F382),"",VLOOKUP(C382,INDIRECT($F$8),6+(O390-1)*3,0))</f>
        <v>Enroll No.</v>
      </c>
      <c r="B390" s="41">
        <f ca="1">IF(ISERROR(F382),"",VLOOKUP(D382,INDIRECT($F$8),6+(O390-1)*3,0))</f>
        <v>0</v>
      </c>
      <c r="C390" s="41"/>
      <c r="D390" s="41"/>
      <c r="E390" s="41"/>
      <c r="F390" s="7">
        <f ca="1">IF(ISERROR(F382),"",VLOOKUP(E382,INDIRECT($F$8),6+(O390-1)*3,0))</f>
        <v>0</v>
      </c>
      <c r="G390" s="42" t="str">
        <f ca="1">IF(ISERROR(F382),"",_xlfn.TEXTJOIN("/",FALSE,P390,S390))</f>
        <v>UTU/2406100184/0</v>
      </c>
      <c r="H390" s="42"/>
      <c r="I390" s="42" t="str">
        <f ca="1">IF(ISERROR(F382),"",_xlfn.TEXTJOIN("/",FALSE,Q390,T390))</f>
        <v>SHRIYANSHU DHYANI/0</v>
      </c>
      <c r="J390" s="42"/>
      <c r="K390" s="42" t="str">
        <f ca="1">IF(ISERROR(F382),"",_xlfn.TEXTJOIN("/",FALSE,R390,U390))</f>
        <v>0/0</v>
      </c>
      <c r="L390" s="42"/>
      <c r="M390" s="7" t="b">
        <f ca="1">IF(ISERROR(F382),"",IF(ISTEXT(P390),IF(P390="A","Ab",IF(P390="D","Dt",IF(P390="UFM","UFM",IF(P390="NA","")))),IF(AND(ISBLANK(P390),ISBLANK(R390)),"",IF(P390&lt;0.3*S390,"F",IF(ISBLANK(R390),"",IF(ISTEXT(R390),R390,IF(R390&gt;=0.9*U390,"O",IF(R390&gt;=0.85*U390,"A+",IF(R390&gt;=0.8*U390,"A",IF(R390&gt;=0.7*U390,"B+",IF(R390&gt;=0.6*U390,"B",IF(R390&gt;=0.5*U390,"C",IF(R390&gt;=0.4*U390,"P",IF(R390&lt;0.4*U390,"F",R390))))))))))))))</f>
        <v>0</v>
      </c>
      <c r="N390" s="8" t="e">
        <f t="shared" ca="1" si="44"/>
        <v>#N/A</v>
      </c>
      <c r="O390" t="b" cm="1">
        <f t="array" aca="1" ref="O390" ca="1">IF(NOT(ISBLANK(INDIRECT("SEM_III!R"&amp;INT((ROW(O390)-16)/17)+6))),5,IF(NOT(ISBLANK(INDIRECT("SEM_III!U"&amp;INT((ROW(O390)-16)/17)+6))),6))</f>
        <v>0</v>
      </c>
      <c r="P390" s="1" t="str">
        <f ca="1">IF(ISERROR(F382),"",IF(ISTEXT(VLOOKUP(B382,INDIRECT($F$8),6+(O390-1)*3)),(VLOOKUP(B382,INDIRECT($F$8),6+(O390-1)*3)),SUM(VLOOKUP(B382,INDIRECT($F$8),6+(O390-1)*3),IF(W395,W390,0))))</f>
        <v>UTU/2406100184</v>
      </c>
      <c r="Q390" s="1" t="str">
        <f ca="1">IF(ISERROR(F382),"",VLOOKUP(B382,INDIRECT($F$8),7+(O390-1)*3))</f>
        <v>SHRIYANSHU DHYANI</v>
      </c>
      <c r="R390" s="1">
        <f ca="1">IF(ISERROR(F382),"",SUM(P390:Q390))</f>
        <v>0</v>
      </c>
      <c r="S390" s="1">
        <f ca="1">IF(ISERROR(F382),"",VLOOKUP(A382,INDIRECT($F$8),6+(O390-1)*3))</f>
        <v>0</v>
      </c>
      <c r="T390" s="1">
        <f ca="1">IF(ISERROR(F382),"",VLOOKUP(A382,INDIRECT($F$8),7+(O390-1)*3))</f>
        <v>0</v>
      </c>
      <c r="U390" s="1">
        <f ca="1">IF(ISERROR(F382),"",VLOOKUP(A382,INDIRECT($F$8),8+(O390-1)*3))</f>
        <v>0</v>
      </c>
      <c r="V390" s="1" t="e">
        <f ca="1">IF(ISERROR(F382),"",IF(N390=0,A390,""))</f>
        <v>#N/A</v>
      </c>
      <c r="W390" s="1">
        <f ca="1">IF(ISERROR(F382),"",IF(ISTEXT(VLOOKUP(B382,INDIRECT($F$8),6+(O390-1)*3)),11,IF(VLOOKUP(B382,INDIRECT($F$8),6+(O390-1)*3)&lt;S390*0.3,IF(VLOOKUP(B382,INDIRECT($F$8),8+(O390-1)*3)&lt;U390*0.4,IF(AND(0.4*U390-VLOOKUP(B382,INDIRECT($F$8),8+(O390-1)*3)&lt;=5,0.3*S390-VLOOKUP(B382,INDIRECT($F$8),6+(O390-1)*3)&lt;=5),MAX(0.4*U390-VLOOKUP(B382,INDIRECT($F$8),8+(O390-1)*3),0.3*S390-VLOOKUP(B382,INDIRECT($F$8),6+(O390-1)*3)),11),IF(0.3*S390-VLOOKUP(B382,INDIRECT($F$8),6+(O390-1)*3)&lt;=5,0.3*S390-VLOOKUP(B382,INDIRECT($F$8),6+(O390-1)*3),11)),IF(VLOOKUP(B382,INDIRECT($F$8),8+(O390-1)*3)&lt;U390*0.4,IF(U390*0.4-VLOOKUP(B382,INDIRECT($F$8),8+(O390-1)*3)&lt;=5,U390*0.4-VLOOKUP(B382,INDIRECT($F$8),8+(O390-1)*3),11),0))))</f>
        <v>11</v>
      </c>
      <c r="X390" s="1" t="str">
        <f ca="1">IF(ISERROR(F382),"",IF(W390=0,"",_xlfn.TEXTJOIN("",FALSE," G+",W390," in ",A390)))</f>
        <v xml:space="preserve"> G+11 in Enroll No.</v>
      </c>
    </row>
    <row r="391" spans="1:24" ht="14.25" customHeight="1" x14ac:dyDescent="0.2">
      <c r="A391" s="7" t="str">
        <f ca="1">IF(ISERROR(F382),"",VLOOKUP(C382,INDIRECT($F$8),6+(O391-1)*3,0))</f>
        <v>AHT 310</v>
      </c>
      <c r="B391" s="41" t="str">
        <f ca="1">IF(ISERROR(F382),"",VLOOKUP(D382,INDIRECT($F$8),6+(O391-1)*3,0))</f>
        <v>Universal Human Value</v>
      </c>
      <c r="C391" s="41"/>
      <c r="D391" s="41"/>
      <c r="E391" s="41"/>
      <c r="F391" s="7">
        <f ca="1">IF(ISERROR(F382),"",VLOOKUP(E382,INDIRECT($F$8),6+(O391-1)*3,0))</f>
        <v>3</v>
      </c>
      <c r="G391" s="42" t="str">
        <f ca="1">IF(ISERROR(F382),"",_xlfn.TEXTJOIN("/",FALSE,P391,S391))</f>
        <v>0/100</v>
      </c>
      <c r="H391" s="42"/>
      <c r="I391" s="42" t="str">
        <f ca="1">IF(ISERROR(F382),"",_xlfn.TEXTJOIN("/",FALSE,Q391,T391))</f>
        <v>0/50</v>
      </c>
      <c r="J391" s="42"/>
      <c r="K391" s="42" t="str">
        <f ca="1">IF(ISERROR(F382),"",_xlfn.TEXTJOIN("/",FALSE,R391,U391))</f>
        <v>0/150</v>
      </c>
      <c r="L391" s="42"/>
      <c r="M391" s="7" t="str">
        <f ca="1">IF(ISERROR(F382),"",IF(ISTEXT(P391),IF(P391="A","Ab",IF(P391="D","Dt",IF(P391="UFM","UFM",IF(P391="NA","")))),IF(AND(ISBLANK(P391),ISBLANK(R391)),"",IF(P391&lt;0.3*S391,"F",IF(ISBLANK(R391),"",IF(ISTEXT(R391),R391,IF(R391&gt;=0.9*U391,"O",IF(R391&gt;=0.85*U391,"A+",IF(R391&gt;=0.8*U391,"A",IF(R391&gt;=0.7*U391,"B+",IF(R391&gt;=0.6*U391,"B",IF(R391&gt;=0.5*U391,"C",IF(R391&gt;=0.4*U391,"P",IF(R391&lt;0.4*U391,"F",R391))))))))))))))</f>
        <v>F</v>
      </c>
      <c r="N391" s="8">
        <f t="shared" ca="1" si="44"/>
        <v>0</v>
      </c>
      <c r="O391">
        <f ca="1">IF(O390&gt;0,7,"")</f>
        <v>7</v>
      </c>
      <c r="P391" s="1">
        <f ca="1">IF(ISERROR(F382),"",IF(ISTEXT(VLOOKUP(B382,INDIRECT($F$8),6+(O391-1)*3)),(VLOOKUP(B382,INDIRECT($F$8),6+(O391-1)*3)),SUM(VLOOKUP(B382,INDIRECT($F$8),6+(O391-1)*3),IF(W395,W391,0))))</f>
        <v>0</v>
      </c>
      <c r="Q391" s="1">
        <f ca="1">IF(ISERROR(F382),"",VLOOKUP(B382,INDIRECT($F$8),7+(O391-1)*3))</f>
        <v>0</v>
      </c>
      <c r="R391" s="1">
        <f ca="1">IF(ISERROR(F382),"",SUM(P391:Q391))</f>
        <v>0</v>
      </c>
      <c r="S391" s="1">
        <f ca="1">IF(ISERROR(F382),"",VLOOKUP(A382,INDIRECT($F$8),6+(O391-1)*3))</f>
        <v>100</v>
      </c>
      <c r="T391" s="1">
        <f ca="1">IF(ISERROR(F382),"",VLOOKUP(A382,INDIRECT($F$8),7+(O391-1)*3))</f>
        <v>50</v>
      </c>
      <c r="U391" s="1">
        <f ca="1">IF(ISERROR(F382),"",VLOOKUP(A382,INDIRECT($F$8),8+(O391-1)*3))</f>
        <v>150</v>
      </c>
      <c r="V391" s="1" t="str">
        <f ca="1">IF(ISERROR(F382),"",IF(N391=0,A391,""))</f>
        <v>AHT 310</v>
      </c>
      <c r="W391" s="1">
        <f ca="1">IF(ISERROR(F382),"",IF(ISTEXT(VLOOKUP(B382,INDIRECT($F$8),6+(O391-1)*3)),11,IF(VLOOKUP(B382,INDIRECT($F$8),6+(O391-1)*3)&lt;S391*0.3,IF(VLOOKUP(B382,INDIRECT($F$8),8+(O391-1)*3)&lt;U391*0.4,IF(AND(0.4*U391-VLOOKUP(B382,INDIRECT($F$8),8+(O391-1)*3)&lt;=5,0.3*S391-VLOOKUP(B382,INDIRECT($F$8),6+(O391-1)*3)&lt;=5),MAX(0.4*U391-VLOOKUP(B382,INDIRECT($F$8),8+(O391-1)*3),0.3*S391-VLOOKUP(B382,INDIRECT($F$8),6+(O391-1)*3)),11),IF(0.3*S391-VLOOKUP(B382,INDIRECT($F$8),6+(O391-1)*3)&lt;=5,0.3*S391-VLOOKUP(B382,INDIRECT($F$8),6+(O391-1)*3),11)),IF(VLOOKUP(B382,INDIRECT($F$8),8+(O391-1)*3)&lt;U391*0.4,IF(U391*0.4-VLOOKUP(B382,INDIRECT($F$8),8+(O391-1)*3)&lt;=5,U391*0.4-VLOOKUP(B382,INDIRECT($F$8),8+(O391-1)*3),11),0))))</f>
        <v>11</v>
      </c>
      <c r="X391" s="1" t="str">
        <f ca="1">IF(ISERROR(F382),"",IF(W391=0,"",_xlfn.TEXTJOIN("",FALSE," G+",W391," in ",A391)))</f>
        <v xml:space="preserve"> G+11 in AHT 310</v>
      </c>
    </row>
    <row r="392" spans="1:24" ht="14.25" customHeight="1" x14ac:dyDescent="0.2">
      <c r="A392" s="7" t="str">
        <f ca="1">IF(ISERROR(F382),"",VLOOKUP(C382,INDIRECT($F$8),6+(O392-1)*3,0))</f>
        <v>CAP 008</v>
      </c>
      <c r="B392" s="41" t="str">
        <f ca="1">IF(ISERROR(F382),"",VLOOKUP(D382,INDIRECT($F$8),6+(O392-1)*3,0))</f>
        <v>Software Engineering Lab</v>
      </c>
      <c r="C392" s="41"/>
      <c r="D392" s="41"/>
      <c r="E392" s="41"/>
      <c r="F392" s="7">
        <f ca="1">IF(ISERROR(F382),"",VLOOKUP(E382,INDIRECT($F$8),6+(O392-1)*3,0))</f>
        <v>1</v>
      </c>
      <c r="G392" s="42" t="str">
        <f ca="1">IF(ISERROR(F382),"",_xlfn.TEXTJOIN("/",FALSE,P392,S392))</f>
        <v>0/30</v>
      </c>
      <c r="H392" s="42"/>
      <c r="I392" s="42" t="str">
        <f ca="1">IF(ISERROR(F382),"",_xlfn.TEXTJOIN("/",FALSE,Q392,T392))</f>
        <v>0/20</v>
      </c>
      <c r="J392" s="42"/>
      <c r="K392" s="42" t="str">
        <f ca="1">IF(ISERROR(F382),"",_xlfn.TEXTJOIN("/",FALSE,R392,U392))</f>
        <v>0/50</v>
      </c>
      <c r="L392" s="42"/>
      <c r="M392" s="7" t="str">
        <f ca="1">IF(ISERROR(F382),"",IF(ISTEXT(P392),IF(P392="A","Ab",IF(P392="D","Dt",IF(P392="UFM","UFM",IF(P392="NA","")))),IF(AND(ISBLANK(P392),ISBLANK(R392)),"",IF(P392&lt;0.3*S392,"F",IF(ISBLANK(R392),"",IF(ISTEXT(R392),R392,IF(R392&gt;=0.9*U392,"O",IF(R392&gt;=0.85*U392,"A+",IF(R392&gt;=0.8*U392,"A",IF(R392&gt;=0.7*U392,"B+",IF(R392&gt;=0.6*U392,"B",IF(R392&gt;=0.5*U392,"C",IF(R392&gt;=0.4*U392,"P",IF(R392&lt;0.4*U392,"F",R392))))))))))))))</f>
        <v>F</v>
      </c>
      <c r="N392" s="8">
        <f t="shared" ca="1" si="44"/>
        <v>0</v>
      </c>
      <c r="O392">
        <f t="shared" ref="O392:O394" ca="1" si="45">O391+1</f>
        <v>8</v>
      </c>
      <c r="P392" s="1">
        <f ca="1">IF(ISERROR(F382),"",IF(ISTEXT(VLOOKUP(B382,INDIRECT($F$8),6+(O392-1)*3)),(VLOOKUP(B382,INDIRECT($F$8),6+(O392-1)*3)),SUM(VLOOKUP(B382,INDIRECT($F$8),6+(O392-1)*3),IF(W395,W392,0))))</f>
        <v>0</v>
      </c>
      <c r="Q392" s="1">
        <f ca="1">IF(ISERROR(F382),"",VLOOKUP(B382,INDIRECT($F$8),7+(O392-1)*3))</f>
        <v>0</v>
      </c>
      <c r="R392" s="1">
        <f ca="1">IF(ISERROR(F382),"",SUM(P392:Q392))</f>
        <v>0</v>
      </c>
      <c r="S392" s="1">
        <f ca="1">IF(ISERROR(F382),"",VLOOKUP(A382,INDIRECT($F$8),6+(O392-1)*3))</f>
        <v>30</v>
      </c>
      <c r="T392" s="1">
        <f ca="1">IF(ISERROR(F382),"",VLOOKUP(A382,INDIRECT($F$8),7+(O392-1)*3))</f>
        <v>20</v>
      </c>
      <c r="U392" s="1">
        <f ca="1">IF(ISERROR(F382),"",VLOOKUP(A382,INDIRECT($F$8),8+(O392-1)*3))</f>
        <v>50</v>
      </c>
      <c r="V392" s="1" t="str">
        <f ca="1">IF(ISERROR(F382),"",IF(N392=0,A392,""))</f>
        <v>CAP 008</v>
      </c>
      <c r="W392" s="1">
        <f ca="1">IF(ISERROR(F382),"",IF(ISTEXT(VLOOKUP(B382,INDIRECT($F$8),6+(O392-1)*3)),11,IF(VLOOKUP(B382,INDIRECT($F$8),6+(O392-1)*3)&lt;S392*0.3,IF(VLOOKUP(B382,INDIRECT($F$8),8+(O392-1)*3)&lt;U392*0.4,IF(AND(0.4*U392-VLOOKUP(B382,INDIRECT($F$8),8+(O392-1)*3)&lt;=5,0.3*S392-VLOOKUP(B382,INDIRECT($F$8),6+(O392-1)*3)&lt;=5),MAX(0.4*U392-VLOOKUP(B382,INDIRECT($F$8),8+(O392-1)*3),0.3*S392-VLOOKUP(B382,INDIRECT($F$8),6+(O392-1)*3)),11),IF(0.3*S392-VLOOKUP(B382,INDIRECT($F$8),6+(O392-1)*3)&lt;=5,0.3*S392-VLOOKUP(B382,INDIRECT($F$8),6+(O392-1)*3),11)),IF(VLOOKUP(B382,INDIRECT($F$8),8+(O392-1)*3)&lt;U392*0.4,IF(U392*0.4-VLOOKUP(B382,INDIRECT($F$8),8+(O392-1)*3)&lt;=5,U392*0.4-VLOOKUP(B382,INDIRECT($F$8),8+(O392-1)*3),11),0))))</f>
        <v>11</v>
      </c>
      <c r="X392" s="1" t="str">
        <f ca="1">IF(ISERROR(F382),"",IF(W392=0,"",_xlfn.TEXTJOIN("",FALSE," G+",W392," in ",A392)))</f>
        <v xml:space="preserve"> G+11 in CAP 008</v>
      </c>
    </row>
    <row r="393" spans="1:24" ht="14.25" customHeight="1" x14ac:dyDescent="0.2">
      <c r="A393" s="7" t="str">
        <f ca="1">IF(ISERROR(F382),"",VLOOKUP(C382,INDIRECT($F$8),6+(O393-1)*3,0))</f>
        <v>CAP 009</v>
      </c>
      <c r="B393" s="41" t="str">
        <f ca="1">IF(ISERROR(F382),"",VLOOKUP(D382,INDIRECT($F$8),6+(O393-1)*3,0))</f>
        <v>Seminar</v>
      </c>
      <c r="C393" s="41"/>
      <c r="D393" s="41"/>
      <c r="E393" s="41"/>
      <c r="F393" s="7">
        <f ca="1">IF(ISERROR(F382),"",VLOOKUP(E382,INDIRECT($F$8),6+(O393-1)*3,0))</f>
        <v>2</v>
      </c>
      <c r="G393" s="42" t="str">
        <f ca="1">IF(ISERROR(F382),"",_xlfn.TEXTJOIN("/",FALSE,P393,S393))</f>
        <v>0/0</v>
      </c>
      <c r="H393" s="42"/>
      <c r="I393" s="42" t="str">
        <f ca="1">IF(ISERROR(F382),"",_xlfn.TEXTJOIN("/",FALSE,Q393,T393))</f>
        <v>0/100</v>
      </c>
      <c r="J393" s="42"/>
      <c r="K393" s="42" t="str">
        <f ca="1">IF(ISERROR(F382),"",_xlfn.TEXTJOIN("/",FALSE,R393,U393))</f>
        <v>0/100</v>
      </c>
      <c r="L393" s="42"/>
      <c r="M393" s="7" t="str">
        <f ca="1">IF(ISERROR(F382),"",IF(ISTEXT(P393),IF(P393="A","Ab",IF(P393="D","Dt",IF(P393="UFM","UFM",IF(P393="NA","")))),IF(AND(ISBLANK(P393),ISBLANK(R393)),"",IF(P393&lt;0.3*S393,"F",IF(ISBLANK(R393),"",IF(ISTEXT(R393),R393,IF(R393&gt;=0.9*U393,"O",IF(R393&gt;=0.85*U393,"A+",IF(R393&gt;=0.8*U393,"A",IF(R393&gt;=0.7*U393,"B+",IF(R393&gt;=0.6*U393,"B",IF(R393&gt;=0.5*U393,"C",IF(R393&gt;=0.4*U393,"P",IF(R393&lt;0.4*U393,"F",R393))))))))))))))</f>
        <v>F</v>
      </c>
      <c r="N393" s="8">
        <f t="shared" ca="1" si="44"/>
        <v>0</v>
      </c>
      <c r="O393">
        <f t="shared" ca="1" si="45"/>
        <v>9</v>
      </c>
      <c r="P393" s="1">
        <f ca="1">IF(ISERROR(F382),"",IF(ISTEXT(VLOOKUP(B382,INDIRECT($F$8),6+(O393-1)*3)),(VLOOKUP(B382,INDIRECT($F$8),6+(O393-1)*3)),SUM(VLOOKUP(B382,INDIRECT($F$8),6+(O393-1)*3),IF(W395,W393,0))))</f>
        <v>0</v>
      </c>
      <c r="Q393" s="1">
        <f ca="1">IF(ISERROR(F382),"",VLOOKUP(B382,INDIRECT($F$8),7+(O393-1)*3))</f>
        <v>0</v>
      </c>
      <c r="R393" s="1">
        <f ca="1">IF(ISERROR(F382),"",SUM(P393:Q393))</f>
        <v>0</v>
      </c>
      <c r="S393" s="1">
        <f ca="1">IF(ISERROR(F382),"",VLOOKUP(A382,INDIRECT($F$8),6+(O393-1)*3))</f>
        <v>0</v>
      </c>
      <c r="T393" s="1">
        <f ca="1">IF(ISERROR(F382),"",VLOOKUP(A382,INDIRECT($F$8),7+(O393-1)*3))</f>
        <v>100</v>
      </c>
      <c r="U393" s="1">
        <f ca="1">IF(ISERROR(F382),"",VLOOKUP(A382,INDIRECT($F$8),8+(O393-1)*3))</f>
        <v>100</v>
      </c>
      <c r="V393" s="1" t="str">
        <f ca="1">IF(ISERROR(F382),"",IF(N393=0,A393,""))</f>
        <v>CAP 009</v>
      </c>
      <c r="W393" s="1">
        <f ca="1">IF(ISERROR(F382),"",IF(ISTEXT(VLOOKUP(B382,INDIRECT($F$8),6+(O393-1)*3)),11,IF(VLOOKUP(B382,INDIRECT($F$8),6+(O393-1)*3)&lt;S393*0.3,IF(VLOOKUP(B382,INDIRECT($F$8),8+(O393-1)*3)&lt;U393*0.4,IF(AND(0.4*U393-VLOOKUP(B382,INDIRECT($F$8),8+(O393-1)*3)&lt;=5,0.3*S393-VLOOKUP(B382,INDIRECT($F$8),6+(O393-1)*3)&lt;=5),MAX(0.4*U393-VLOOKUP(B382,INDIRECT($F$8),8+(O393-1)*3),0.3*S393-VLOOKUP(B382,INDIRECT($F$8),6+(O393-1)*3)),11),IF(0.3*S393-VLOOKUP(B382,INDIRECT($F$8),6+(O393-1)*3)&lt;=5,0.3*S393-VLOOKUP(B382,INDIRECT($F$8),6+(O393-1)*3),11)),IF(VLOOKUP(B382,INDIRECT($F$8),8+(O393-1)*3)&lt;U393*0.4,IF(U393*0.4-VLOOKUP(B382,INDIRECT($F$8),8+(O393-1)*3)&lt;=5,U393*0.4-VLOOKUP(B382,INDIRECT($F$8),8+(O393-1)*3),11),0))))</f>
        <v>11</v>
      </c>
      <c r="X393" s="1" t="str">
        <f ca="1">IF(ISERROR(F382),"",IF(W393=0,"",_xlfn.TEXTJOIN("",FALSE," G+",W393," in ",A393)))</f>
        <v xml:space="preserve"> G+11 in CAP 009</v>
      </c>
    </row>
    <row r="394" spans="1:24" ht="14.25" customHeight="1" x14ac:dyDescent="0.2">
      <c r="A394" s="7" t="str">
        <f ca="1">IF(ISERROR(F382),"",VLOOKUP(C382,INDIRECT($F$8),6+(O394-1)*3,0))</f>
        <v>CAP 010</v>
      </c>
      <c r="B394" s="41" t="str">
        <f ca="1">IF(ISERROR(F382),"",VLOOKUP(D382,INDIRECT($F$8),6+(O394-1)*3-Z394,0))</f>
        <v>Minor Project</v>
      </c>
      <c r="C394" s="41"/>
      <c r="D394" s="41"/>
      <c r="E394" s="41"/>
      <c r="F394" s="7">
        <f ca="1">IF(ISERROR(F382),"",VLOOKUP(E382,INDIRECT($F$8),6+(O394-1)*3,0))</f>
        <v>2</v>
      </c>
      <c r="G394" s="42" t="str">
        <f ca="1">IF(ISERROR(F382),"",_xlfn.TEXTJOIN("/",FALSE,P394,S394))</f>
        <v>0/50</v>
      </c>
      <c r="H394" s="42"/>
      <c r="I394" s="42" t="str">
        <f ca="1">IF(ISERROR(F382),"",_xlfn.TEXTJOIN("/",FALSE,Q394,T394))</f>
        <v>0/50</v>
      </c>
      <c r="J394" s="42"/>
      <c r="K394" s="42" t="str">
        <f ca="1">IF(ISERROR(F382),"",_xlfn.TEXTJOIN("/",FALSE,R394,U394))</f>
        <v>0/100</v>
      </c>
      <c r="L394" s="42"/>
      <c r="M394" s="7" t="str">
        <f ca="1">IF(ISERROR(F382),"",IF(ISTEXT(P394),IF(P394="A","Ab",IF(P394="D","Dt",IF(P394="UFM","UFM",IF(P394="NA","")))),IF(AND(ISBLANK(P394),ISBLANK(R394)),"",IF(P394&lt;0.3*S394,"F",IF(ISBLANK(R394),"",IF(ISTEXT(R394),R394,IF(R394&gt;=0.9*U394,"O",IF(R394&gt;=0.85*U394,"A+",IF(R394&gt;=0.8*U394,"A",IF(R394&gt;=0.7*U394,"B+",IF(R394&gt;=0.6*U394,"B",IF(R394&gt;=0.5*U394,"C",IF(R394&gt;=0.4*U394,"P",IF(R394&lt;0.4*U394,"F",R394))))))))))))))</f>
        <v>F</v>
      </c>
      <c r="N394" s="8">
        <f t="shared" ca="1" si="44"/>
        <v>0</v>
      </c>
      <c r="O394">
        <f t="shared" ca="1" si="45"/>
        <v>10</v>
      </c>
      <c r="P394" s="1">
        <f ca="1">IF(ISERROR(F382),"",IF(ISTEXT(VLOOKUP(B382,INDIRECT($F$8),6+(O394-1)*3)),(VLOOKUP(B382,INDIRECT($F$8),6+(O394-1)*3)),SUM(VLOOKUP(B382,INDIRECT($F$8),6+(O394-1)*3),IF(W395,W394,0))))</f>
        <v>0</v>
      </c>
      <c r="Q394" s="1">
        <f ca="1">IF(ISERROR(F382),"",VLOOKUP(B382,INDIRECT($F$8),7+(O394-1)*3))</f>
        <v>0</v>
      </c>
      <c r="R394" s="1">
        <f ca="1">IF(ISERROR(F382),"",SUM(P394:Q394))</f>
        <v>0</v>
      </c>
      <c r="S394" s="1">
        <f ca="1">IF(ISERROR(F382),"",VLOOKUP(A382,INDIRECT($F$8),6+(O394-1)*3))</f>
        <v>50</v>
      </c>
      <c r="T394" s="1">
        <f ca="1">IF(ISERROR(F382),"",VLOOKUP(A382,INDIRECT($F$8),7+(O394-1)*3))</f>
        <v>50</v>
      </c>
      <c r="U394" s="1">
        <f ca="1">IF(ISERROR(F382),"",VLOOKUP(A382,INDIRECT($F$8),8+(O394-1)*3))</f>
        <v>100</v>
      </c>
      <c r="V394" s="1" t="str">
        <f ca="1">IF(ISERROR(F382),"",IF(N394=0,A394,""))</f>
        <v>CAP 010</v>
      </c>
      <c r="W394" s="1">
        <f ca="1">IF(ISERROR(F382),"",IF(ISTEXT(VLOOKUP(B382,INDIRECT($F$8),6+(O394-1)*3)),11,IF(VLOOKUP(B382,INDIRECT($F$8),6+(O394-1)*3)&lt;S394*0.3,IF(VLOOKUP(B382,INDIRECT($F$8),8+(O394-1)*3)&lt;U394*0.4,IF(AND(0.4*U394-VLOOKUP(B382,INDIRECT($F$8),8+(O394-1)*3)&lt;=5,0.3*S394-VLOOKUP(B382,INDIRECT($F$8),6+(O394-1)*3)&lt;=5),MAX(0.4*U394-VLOOKUP(B382,INDIRECT($F$8),8+(O394-1)*3),0.3*S394-VLOOKUP(B382,INDIRECT($F$8),6+(O394-1)*3)),11),IF(0.3*S394-VLOOKUP(B382,INDIRECT($F$8),6+(O394-1)*3)&lt;=5,0.3*S394-VLOOKUP(B382,INDIRECT($F$8),6+(O394-1)*3),11)),IF(VLOOKUP(B382,INDIRECT($F$8),8+(O394-1)*3)&lt;U394*0.4,IF(U394*0.4-VLOOKUP(B382,INDIRECT($F$8),8+(O394-1)*3)&lt;=5,U394*0.4-VLOOKUP(B382,INDIRECT($F$8),8+(O394-1)*3),11),0))))</f>
        <v>11</v>
      </c>
      <c r="X394" s="1" t="str">
        <f ca="1">IF(ISERROR(F382),"",IF(W394=0,"",_xlfn.TEXTJOIN("",FALSE," G+",W394," in ",A394)))</f>
        <v xml:space="preserve"> G+11 in CAP 010</v>
      </c>
    </row>
    <row r="395" spans="1:24" ht="14.25" customHeight="1" x14ac:dyDescent="0.2">
      <c r="A395" s="43" t="str">
        <f ca="1">IF(ISERROR(F382),"",A378)</f>
        <v>Total Credits/ Marks/ Total Grade Points</v>
      </c>
      <c r="B395" s="43"/>
      <c r="C395" s="43"/>
      <c r="D395" s="43"/>
      <c r="E395" s="43"/>
      <c r="F395" s="10">
        <f ca="1">IF(ISERROR(F382),"",SUM(F387:F394))</f>
        <v>16</v>
      </c>
      <c r="G395" s="44" t="str">
        <f ca="1">IF(ISERROR(F382),"",_xlfn.TEXTJOIN("/",TRUE,SUMIF(F387:F394,"&gt;0",P387:P394),SUMIF(F387:F394,"&gt;0",S387:S394)))</f>
        <v>0/380</v>
      </c>
      <c r="H395" s="44"/>
      <c r="I395" s="44" t="str">
        <f ca="1">IF(ISERROR(F382),"",_xlfn.TEXTJOIN("/",TRUE,SUMIF(F387:F394,"&gt;0",Q387:Q394),SUMIF(F387:F394,"&gt;0",T387:T394)))</f>
        <v>0/320</v>
      </c>
      <c r="J395" s="44"/>
      <c r="K395" s="44" t="str">
        <f ca="1">IF(ISERROR(F382),"",_xlfn.TEXTJOIN("/",TRUE,SUMIF(F387:F394,"&gt;0",R387:R394),SUMIF(F387:F394,"&gt;0",U387:U394)))</f>
        <v>0/700</v>
      </c>
      <c r="L395" s="44"/>
      <c r="M395" s="43" t="e">
        <f ca="1">IF(ISERROR(F382),"",SUMPRODUCT(N387:N394,F387:F394))</f>
        <v>#N/A</v>
      </c>
      <c r="N395" s="43"/>
      <c r="V395" s="1" t="e">
        <f ca="1">IF(ISERROR(F382),"",_xlfn.TEXTJOIN(", ",TRUE,V387:V394))</f>
        <v>#N/A</v>
      </c>
      <c r="W395" t="b">
        <f ca="1">IF(ISERROR(F382),"",IF(SUM(W387:W394)&lt;=W386,TRUE,FALSE))</f>
        <v>0</v>
      </c>
      <c r="X395" s="1" t="str">
        <f ca="1">IF(ISERROR(F382),"",_xlfn.TEXTJOIN(",",TRUE,X387:X394))</f>
        <v xml:space="preserve"> G+11 in CAT  014, G+11 in CAT 015, G+11 in Enroll No., G+11 in Enroll No., G+11 in AHT 310, G+11 in CAP 008, G+11 in CAP 009, G+11 in CAP 010</v>
      </c>
    </row>
    <row r="396" spans="1:24" ht="14.25" customHeight="1" x14ac:dyDescent="0.2">
      <c r="A396" s="43" t="str">
        <f ca="1">IF(ISERROR(F382),"",A379)</f>
        <v>Result:</v>
      </c>
      <c r="B396" s="45" t="e">
        <f ca="1">IF(ISERROR(F382),"",IF(V395="","PASS","CARRY OVER"))</f>
        <v>#N/A</v>
      </c>
      <c r="C396" s="45"/>
      <c r="D396" s="43" t="str">
        <f ca="1">IF(ISERROR(F382),"",D379)</f>
        <v>Remark:</v>
      </c>
      <c r="E396" s="45" t="e">
        <f ca="1">IF(ISERROR(F382),"",IF(V395="",IF(X395="","",X395),_xlfn.TEXTJOIN(" ",TRUE,"BACK IN",V395)))</f>
        <v>#N/A</v>
      </c>
      <c r="F396" s="45"/>
      <c r="G396" s="43" t="str">
        <f ca="1">IF(ISERROR(F382),"",G379)</f>
        <v>SGPA:</v>
      </c>
      <c r="H396" s="46" t="e">
        <f ca="1">IF(ISERROR(F382),"",M395/F395)</f>
        <v>#N/A</v>
      </c>
      <c r="I396" s="43" t="str">
        <f ca="1">IF(ISERROR(F382),"",I379)</f>
        <v>CGPA:</v>
      </c>
      <c r="J396" s="46" t="e">
        <f ca="1">IF(ISERROR(F382),"",VLOOKUP(B382,INDIRECT($F$8),12+(O394-1)*3,0))</f>
        <v>#N/A</v>
      </c>
      <c r="K396" s="45" t="str">
        <f ca="1">IF(ISERROR(F382),"",K379)</f>
        <v>Earned Credits:</v>
      </c>
      <c r="L396" s="43">
        <f ca="1">IF(ISERROR(F382),"",SUMIF(N387:N394,"&gt;0",F387:F394))</f>
        <v>0</v>
      </c>
      <c r="M396" s="45" t="str">
        <f ca="1">IF(ISERROR(F382),"",M379)</f>
        <v>Cuml. Earned Credits:</v>
      </c>
      <c r="N396" s="43" t="e">
        <f ca="1">IF(ISERROR(F382),"",VLOOKUP(B382,INDIRECT($F$8),10+(O394-1)*3,0))</f>
        <v>#N/A</v>
      </c>
    </row>
    <row r="397" spans="1:24" ht="14.25" customHeight="1" x14ac:dyDescent="0.2">
      <c r="A397" s="43"/>
      <c r="B397" s="45"/>
      <c r="C397" s="45"/>
      <c r="D397" s="43"/>
      <c r="E397" s="45"/>
      <c r="F397" s="45"/>
      <c r="G397" s="43"/>
      <c r="H397" s="46"/>
      <c r="I397" s="43"/>
      <c r="J397" s="46"/>
      <c r="K397" s="45"/>
      <c r="L397" s="43"/>
      <c r="M397" s="45"/>
      <c r="N397" s="43"/>
    </row>
    <row r="398" spans="1:24" ht="14.25" customHeight="1" x14ac:dyDescent="0.2">
      <c r="A398" s="43"/>
      <c r="B398" s="45"/>
      <c r="C398" s="45"/>
      <c r="D398" s="43"/>
      <c r="E398" s="45"/>
      <c r="F398" s="45"/>
      <c r="G398" s="43"/>
      <c r="H398" s="46"/>
      <c r="I398" s="43"/>
      <c r="J398" s="46"/>
      <c r="K398" s="45"/>
      <c r="L398" s="43"/>
      <c r="M398" s="45"/>
      <c r="N398" s="43"/>
    </row>
    <row r="399" spans="1:24" ht="14.25" customHeight="1" x14ac:dyDescent="0.2">
      <c r="A399" s="11" t="str">
        <f>A382</f>
        <v>MM</v>
      </c>
      <c r="B399" s="11">
        <f>B382+1</f>
        <v>24</v>
      </c>
      <c r="C399" s="11" t="str">
        <f>C382</f>
        <v>SC</v>
      </c>
      <c r="D399" s="11" t="str">
        <f>D382</f>
        <v>SN</v>
      </c>
      <c r="E399" s="11" t="str">
        <f>E382</f>
        <v>C</v>
      </c>
      <c r="F399" s="11" t="str">
        <f ca="1">VLOOKUP(B399,INDIRECT($F$8),4,0)</f>
        <v>SIDDHARTH PATWAL</v>
      </c>
    </row>
    <row r="400" spans="1:24" ht="14.25" customHeight="1" x14ac:dyDescent="0.2">
      <c r="A400" s="47" t="str">
        <f ca="1">IF(ISERROR(F399),"",A383)</f>
        <v>Name:</v>
      </c>
      <c r="B400" s="47" t="str">
        <f ca="1">IFERROR(VLOOKUP(B399,INDIRECT($F$8),4,0),"")</f>
        <v>SIDDHARTH PATWAL</v>
      </c>
      <c r="C400" s="47"/>
      <c r="D400" s="47" t="str">
        <f ca="1">IF(ISERROR(F399),"",D383)</f>
        <v>Father's Name:</v>
      </c>
      <c r="E400" s="47" t="str">
        <f ca="1">IFERROR(VLOOKUP(B399,INDIRECT($F$8),5,0),"")</f>
        <v>MANOJ PATWAL</v>
      </c>
      <c r="F400" s="47"/>
      <c r="G400" s="47" t="str">
        <f ca="1">IF(ISERROR(F399),"",G383)</f>
        <v>University Roll No:</v>
      </c>
      <c r="H400" s="47"/>
      <c r="I400" s="48">
        <f ca="1">IFERROR(VLOOKUP(B399,INDIRECT($F$8),2,0),"")</f>
        <v>240090600024</v>
      </c>
      <c r="J400" s="48"/>
      <c r="K400" s="47" t="str">
        <f ca="1">IF(ISERROR(F399),"",K383)</f>
        <v>University Enrol. No:</v>
      </c>
      <c r="L400" s="47"/>
      <c r="M400" s="48" t="str">
        <f ca="1">IFERROR(VLOOKUP(B399,INDIRECT($F$8),3,0),"")</f>
        <v>UTU/2406100190</v>
      </c>
      <c r="N400" s="48"/>
    </row>
    <row r="401" spans="1:24" ht="14.25" customHeight="1" x14ac:dyDescent="0.2">
      <c r="A401" s="47"/>
      <c r="B401" s="47"/>
      <c r="C401" s="47"/>
      <c r="D401" s="47"/>
      <c r="E401" s="47"/>
      <c r="F401" s="47"/>
      <c r="G401" s="47"/>
      <c r="H401" s="47"/>
      <c r="I401" s="48"/>
      <c r="J401" s="48"/>
      <c r="K401" s="47"/>
      <c r="L401" s="47"/>
      <c r="M401" s="48"/>
      <c r="N401" s="48"/>
    </row>
    <row r="402" spans="1:24" ht="14.25" customHeight="1" x14ac:dyDescent="0.2">
      <c r="A402" s="45" t="str">
        <f ca="1">IF(ISERROR(F399),"",A385)</f>
        <v>Subject Code</v>
      </c>
      <c r="B402" s="45" t="str">
        <f ca="1">IF(ISERROR(F399),"",B385)</f>
        <v>Subject Name</v>
      </c>
      <c r="C402" s="45"/>
      <c r="D402" s="45"/>
      <c r="E402" s="45"/>
      <c r="F402" s="45" t="str">
        <f ca="1">IF(ISERROR(F399),"",F385)</f>
        <v>Credits</v>
      </c>
      <c r="G402" s="45" t="str">
        <f ca="1">IF(ISERROR(F399),"",G385)</f>
        <v>External Marks</v>
      </c>
      <c r="H402" s="45"/>
      <c r="I402" s="45" t="str">
        <f ca="1">IF(ISERROR(F399),"",I385)</f>
        <v>Sessional Marks</v>
      </c>
      <c r="J402" s="45"/>
      <c r="K402" s="45" t="str">
        <f ca="1">IF(ISERROR(F399),"",K385)</f>
        <v>Total Marks</v>
      </c>
      <c r="L402" s="45"/>
      <c r="M402" s="45" t="str">
        <f ca="1">IF(ISERROR(F399),"",M385)</f>
        <v>Grade</v>
      </c>
      <c r="N402" s="45" t="str">
        <f ca="1">IF(ISERROR(F399),"",N385)</f>
        <v>Grade Points</v>
      </c>
    </row>
    <row r="403" spans="1:24" ht="14.25" customHeight="1" x14ac:dyDescent="0.2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W403">
        <f ca="1">IF(ISNUMBER(MATCH($F$8,{"I","III","V","VII"},0)),10,10-INDEX(INDIRECT(_xlfn.TEXTJOIN("",TRUE,"SEM_",$G$8,"!",ADDRESS(6,4+$I$8*3+4),":",ADDRESS(5+$H$8,4+$I$8*3+4))),MATCH(INDIRECT(_xlfn.TEXTJOIN("",TRUE,"TC_",$F$8,"!",ADDRESS(ROW(I400),COLUMN(I400)))),INDIRECT(_xlfn.TEXTJOIN("",TRUE,"SEM_",$G$8,"!",ADDRESS(6,2),":",ADDRESS(5+$H$8,2))))))</f>
        <v>10</v>
      </c>
    </row>
    <row r="404" spans="1:24" ht="14.25" customHeight="1" x14ac:dyDescent="0.2">
      <c r="A404" s="7" t="str">
        <f ca="1">IF(ISERROR(F399),"",VLOOKUP(C399,INDIRECT($F$8),6+(O404-1)*3,0))</f>
        <v>CAT  014</v>
      </c>
      <c r="B404" s="41" t="str">
        <f ca="1">IF(ISERROR(F399),"",VLOOKUP(D399,INDIRECT($F$8),6+(O404-1)*3,0))</f>
        <v>Graph Theory</v>
      </c>
      <c r="C404" s="41"/>
      <c r="D404" s="41"/>
      <c r="E404" s="41"/>
      <c r="F404" s="7">
        <f ca="1">IF(ISERROR(F399),"",VLOOKUP(E399,INDIRECT($F$8),6+(O404-1)*3,0))</f>
        <v>4</v>
      </c>
      <c r="G404" s="42" t="str">
        <f ca="1">IF(ISERROR(F399),"",_xlfn.TEXTJOIN("/",FALSE,P404,S404))</f>
        <v>0/100</v>
      </c>
      <c r="H404" s="42"/>
      <c r="I404" s="42" t="str">
        <f ca="1">IF(ISERROR(F399),"",_xlfn.TEXTJOIN("/",FALSE,Q404,T404))</f>
        <v>0/50</v>
      </c>
      <c r="J404" s="42"/>
      <c r="K404" s="42" t="str">
        <f ca="1">IF(ISERROR(F399),"",_xlfn.TEXTJOIN("/",FALSE,R404,U404))</f>
        <v>0/150</v>
      </c>
      <c r="L404" s="42"/>
      <c r="M404" s="7" t="str">
        <f ca="1">IF(ISERROR(F399),"",IF(ISTEXT(P404),IF(P404="A","Ab",IF(P404="D","Dt",IF(P404="UFM","UFM",IF(P404="NA","")))),IF(AND(ISBLANK(P404),ISBLANK(R404)),"",IF(P404&lt;0.3*S404,"F",IF(ISBLANK(R404),"",IF(ISTEXT(R404),R404,IF(R404&gt;=0.9*U404,"O",IF(R404&gt;=0.85*U404,"A+",IF(R404&gt;=0.8*U404,"A",IF(R404&gt;=0.7*U404,"B+",IF(R404&gt;=0.6*U404,"B",IF(R404&gt;=0.5*U404,"C",IF(R404&gt;=0.4*U404,"P",IF(R404&lt;0.4*U404,"F",R404))))))))))))))</f>
        <v>F</v>
      </c>
      <c r="N404" s="8">
        <f t="shared" ref="N404:N411" ca="1" si="46">INDEX($Z$2:$Z$13,MATCH(M404,$Y$2:$Y$13,0))</f>
        <v>0</v>
      </c>
      <c r="O404">
        <v>1</v>
      </c>
      <c r="P404" s="1">
        <f ca="1">IF(ISERROR(F399),"",IF(ISTEXT(VLOOKUP(B399,INDIRECT($F$8),6+(O404-1)*3)),(VLOOKUP(B399,INDIRECT($F$8),6+(O404-1)*3)),SUM(VLOOKUP(B399,INDIRECT($F$8),6+(O404-1)*3),IF(W412,W404,0))))</f>
        <v>0</v>
      </c>
      <c r="Q404" s="1">
        <f ca="1">IF(ISERROR(F399),"",VLOOKUP(B399,INDIRECT($F$8),7+(O404-1)*3))</f>
        <v>0</v>
      </c>
      <c r="R404" s="1">
        <f ca="1">IF(ISERROR(F399),"",SUM(P404:Q404))</f>
        <v>0</v>
      </c>
      <c r="S404" s="1">
        <f ca="1">IF(ISERROR(F399),"",VLOOKUP(A399,INDIRECT($F$8),6+(O404-1)*3))</f>
        <v>100</v>
      </c>
      <c r="T404" s="1">
        <f ca="1">IF(ISERROR(F399),"",VLOOKUP(A399,INDIRECT($F$8),7+(O404-1)*3))</f>
        <v>50</v>
      </c>
      <c r="U404" s="1">
        <f ca="1">IF(ISERROR(F399),"",VLOOKUP(A399,INDIRECT($F$8),8+(O404-1)*3))</f>
        <v>150</v>
      </c>
      <c r="V404" s="1" t="str">
        <f ca="1">IF(ISERROR(F399),"",IF(N404=0,A404,""))</f>
        <v>CAT  014</v>
      </c>
      <c r="W404" s="1">
        <f ca="1">IF(ISERROR(F399),"",IF(ISTEXT(VLOOKUP(B399,INDIRECT($F$8),6+(O404-1)*3)),11,IF(VLOOKUP(B399,INDIRECT($F$8),6+(O404-1)*3)&lt;S404*0.3,IF(VLOOKUP(B399,INDIRECT($F$8),8+(O404-1)*3)&lt;U404*0.4,IF(AND(0.4*U404-VLOOKUP(B399,INDIRECT($F$8),8+(O404-1)*3)&lt;=5,0.3*S404-VLOOKUP(B399,INDIRECT($F$8),6+(O404-1)*3)&lt;=5),MAX(0.4*U404-VLOOKUP(B399,INDIRECT($F$8),8+(O404-1)*3),0.3*S404-VLOOKUP(B399,INDIRECT($F$8),6+(O404-1)*3)),11),IF(0.3*S404-VLOOKUP(B399,INDIRECT($F$8),6+(O404-1)*3)&lt;=5,0.3*S404-VLOOKUP(B399,INDIRECT($F$8),6+(O404-1)*3),11)),IF(VLOOKUP(B399,INDIRECT($F$8),8+(O404-1)*3)&lt;U404*0.4,IF(U404*0.4-VLOOKUP(B399,INDIRECT($F$8),8+(O404-1)*3)&lt;=5,U404*0.4-VLOOKUP(B399,INDIRECT($F$8),8+(O404-1)*3),11),0))))</f>
        <v>11</v>
      </c>
      <c r="X404" s="1" t="str">
        <f ca="1">IF(ISERROR(F399),"",IF(W404=0,"",_xlfn.TEXTJOIN("",FALSE," G+",W404," in ",A404)))</f>
        <v xml:space="preserve"> G+11 in CAT  014</v>
      </c>
    </row>
    <row r="405" spans="1:24" ht="14.25" customHeight="1" x14ac:dyDescent="0.2">
      <c r="A405" s="7" t="str">
        <f ca="1">IF(ISERROR(F399),"",VLOOKUP(C399,INDIRECT($F$8),6+(O405-1)*3,0))</f>
        <v>CAT 015</v>
      </c>
      <c r="B405" s="41" t="str">
        <f ca="1">IF(ISERROR(F399),"",VLOOKUP(D399,INDIRECT($F$8),6+(O405-1)*3,0))</f>
        <v>Software Engineering</v>
      </c>
      <c r="C405" s="41"/>
      <c r="D405" s="41"/>
      <c r="E405" s="41"/>
      <c r="F405" s="7">
        <f ca="1">IF(ISERROR(F399),"",VLOOKUP(E399,INDIRECT($F$8),6+(O405-1)*3,0))</f>
        <v>4</v>
      </c>
      <c r="G405" s="42" t="str">
        <f ca="1">IF(ISERROR(F399),"",_xlfn.TEXTJOIN("/",FALSE,P405,S405))</f>
        <v>0/100</v>
      </c>
      <c r="H405" s="42"/>
      <c r="I405" s="42" t="str">
        <f ca="1">IF(ISERROR(F399),"",_xlfn.TEXTJOIN("/",FALSE,Q405,T405))</f>
        <v>0/50</v>
      </c>
      <c r="J405" s="42"/>
      <c r="K405" s="42" t="str">
        <f ca="1">IF(ISERROR(F399),"",_xlfn.TEXTJOIN("/",FALSE,R405,U405))</f>
        <v>0/150</v>
      </c>
      <c r="L405" s="42"/>
      <c r="M405" s="7" t="str">
        <f ca="1">IF(ISERROR(F399),"",IF(ISTEXT(P405),IF(P405="A","Ab",IF(P405="D","Dt",IF(P405="UFM","UFM",IF(P405="NA","")))),IF(AND(ISBLANK(P405),ISBLANK(R405)),"",IF(P405&lt;0.3*S405,"F",IF(ISBLANK(R405),"",IF(ISTEXT(R405),R405,IF(R405&gt;=0.9*U405,"O",IF(R405&gt;=0.85*U405,"A+",IF(R405&gt;=0.8*U405,"A",IF(R405&gt;=0.7*U405,"B+",IF(R405&gt;=0.6*U405,"B",IF(R405&gt;=0.5*U405,"C",IF(R405&gt;=0.4*U405,"P",IF(R405&lt;0.4*U405,"F",R405))))))))))))))</f>
        <v>F</v>
      </c>
      <c r="N405" s="8">
        <f t="shared" ca="1" si="46"/>
        <v>0</v>
      </c>
      <c r="O405">
        <f>O404+1</f>
        <v>2</v>
      </c>
      <c r="P405" s="1">
        <f ca="1">IF(ISERROR(F399),"",IF(ISTEXT(VLOOKUP(B399,INDIRECT($F$8),6+(O405-1)*3)),(VLOOKUP(B399,INDIRECT($F$8),6+(O405-1)*3)),SUM(VLOOKUP(B399,INDIRECT($F$8),6+(O405-1)*3),IF(W412,W405,0))))</f>
        <v>0</v>
      </c>
      <c r="Q405" s="1">
        <f ca="1">IF(ISERROR(F399),"",VLOOKUP(B399,INDIRECT($F$8),7+(O405-1)*3))</f>
        <v>0</v>
      </c>
      <c r="R405" s="1">
        <f ca="1">IF(ISERROR(F399),"",SUM(P405:Q405))</f>
        <v>0</v>
      </c>
      <c r="S405" s="1">
        <f ca="1">IF(ISERROR(F399),"",VLOOKUP(A399,INDIRECT($F$8),6+(O405-1)*3))</f>
        <v>100</v>
      </c>
      <c r="T405" s="1">
        <f ca="1">IF(ISERROR(F399),"",VLOOKUP(A399,INDIRECT($F$8),7+(O405-1)*3))</f>
        <v>50</v>
      </c>
      <c r="U405" s="1">
        <f ca="1">IF(ISERROR(F399),"",VLOOKUP(A399,INDIRECT($F$8),8+(O405-1)*3))</f>
        <v>150</v>
      </c>
      <c r="V405" s="1" t="str">
        <f ca="1">IF(ISERROR(F399),"",IF(N405=0,A405,""))</f>
        <v>CAT 015</v>
      </c>
      <c r="W405" s="1">
        <f ca="1">IF(ISERROR(F399),"",IF(ISTEXT(VLOOKUP(B399,INDIRECT($F$8),6+(O405-1)*3)),11,IF(VLOOKUP(B399,INDIRECT($F$8),6+(O405-1)*3)&lt;S405*0.3,IF(VLOOKUP(B399,INDIRECT($F$8),8+(O405-1)*3)&lt;U405*0.4,IF(AND(0.4*U405-VLOOKUP(B399,INDIRECT($F$8),8+(O405-1)*3)&lt;=5,0.3*S405-VLOOKUP(B399,INDIRECT($F$8),6+(O405-1)*3)&lt;=5),MAX(0.4*U405-VLOOKUP(B399,INDIRECT($F$8),8+(O405-1)*3),0.3*S405-VLOOKUP(B399,INDIRECT($F$8),6+(O405-1)*3)),11),IF(0.3*S405-VLOOKUP(B399,INDIRECT($F$8),6+(O405-1)*3)&lt;=5,0.3*S405-VLOOKUP(B399,INDIRECT($F$8),6+(O405-1)*3),11)),IF(VLOOKUP(B399,INDIRECT($F$8),8+(O405-1)*3)&lt;U405*0.4,IF(U405*0.4-VLOOKUP(B399,INDIRECT($F$8),8+(O405-1)*3)&lt;=5,U405*0.4-VLOOKUP(B399,INDIRECT($F$8),8+(O405-1)*3),11),0))))</f>
        <v>11</v>
      </c>
      <c r="X405" s="1" t="str">
        <f ca="1">IF(ISERROR(F399),"",IF(W405=0,"",_xlfn.TEXTJOIN("",FALSE," G+",W405," in ",A405)))</f>
        <v xml:space="preserve"> G+11 in CAT 015</v>
      </c>
    </row>
    <row r="406" spans="1:24" ht="14.25" customHeight="1" x14ac:dyDescent="0.2">
      <c r="A406" s="7" t="str">
        <f ca="1">IF(ISERROR(F399),"",VLOOKUP(C399,INDIRECT($F$8),6+(O406-1)*3,0))</f>
        <v>Enroll No.</v>
      </c>
      <c r="B406" s="41">
        <f ca="1">IF(ISERROR(F399),"",VLOOKUP(D399,INDIRECT($F$8),6+(O406-1)*3,0))</f>
        <v>0</v>
      </c>
      <c r="C406" s="41"/>
      <c r="D406" s="41"/>
      <c r="E406" s="41"/>
      <c r="F406" s="7">
        <f ca="1">IF(ISERROR(F399),"",VLOOKUP(E399,INDIRECT($F$8),6+(O406-1)*3,0))</f>
        <v>0</v>
      </c>
      <c r="G406" s="42" t="str">
        <f ca="1">IF(ISERROR(F399),"",_xlfn.TEXTJOIN("/",FALSE,P406,S406))</f>
        <v>UTU/2406100190/0</v>
      </c>
      <c r="H406" s="42"/>
      <c r="I406" s="42" t="str">
        <f ca="1">IF(ISERROR(F399),"",_xlfn.TEXTJOIN("/",FALSE,Q406,T406))</f>
        <v>SIDDHARTH PATWAL/0</v>
      </c>
      <c r="J406" s="42"/>
      <c r="K406" s="42" t="str">
        <f ca="1">IF(ISERROR(F399),"",_xlfn.TEXTJOIN("/",FALSE,R406,U406))</f>
        <v>0/0</v>
      </c>
      <c r="L406" s="42"/>
      <c r="M406" s="7" t="b">
        <f ca="1">IF(ISERROR(F399),"",IF(ISTEXT(P406),IF(P406="A","Ab",IF(P406="D","Dt",IF(P406="UFM","UFM",IF(P406="NA","")))),IF(AND(ISBLANK(P406),ISBLANK(R406)),"",IF(P406&lt;0.3*S406,"F",IF(ISBLANK(R406),"",IF(ISTEXT(R406),R406,IF(R406&gt;=0.9*U406,"O",IF(R406&gt;=0.85*U406,"A+",IF(R406&gt;=0.8*U406,"A",IF(R406&gt;=0.7*U406,"B+",IF(R406&gt;=0.6*U406,"B",IF(R406&gt;=0.5*U406,"C",IF(R406&gt;=0.4*U406,"P",IF(R406&lt;0.4*U406,"F",R406))))))))))))))</f>
        <v>0</v>
      </c>
      <c r="N406" s="8" t="e">
        <f t="shared" ca="1" si="46"/>
        <v>#N/A</v>
      </c>
      <c r="O406" t="b" cm="1">
        <f t="array" aca="1" ref="O406" ca="1">IF(NOT(ISBLANK(INDIRECT("SEM_III!L"&amp;INT((ROW(O406)-15)/17)+6))),3,IF(NOT(ISBLANK(INDIRECT("SEM_III!O"&amp;INT((ROW(O406)-15)/17)+6))),4))</f>
        <v>0</v>
      </c>
      <c r="P406" s="1" t="str">
        <f ca="1">IF(ISERROR(F399),"",IF(ISTEXT(VLOOKUP(B399,INDIRECT($F$8),6+(O406-1)*3)),(VLOOKUP(B399,INDIRECT($F$8),6+(O406-1)*3)),SUM(VLOOKUP(B399,INDIRECT($F$8),6+(O406-1)*3),IF(W412,W406,0))))</f>
        <v>UTU/2406100190</v>
      </c>
      <c r="Q406" s="1" t="str">
        <f ca="1">IF(ISERROR(F399),"",VLOOKUP(B399,INDIRECT($F$8),7+(O406-1)*3))</f>
        <v>SIDDHARTH PATWAL</v>
      </c>
      <c r="R406" s="1">
        <f ca="1">IF(ISERROR(F399),"",SUM(P406:Q406))</f>
        <v>0</v>
      </c>
      <c r="S406" s="1">
        <f ca="1">IF(ISERROR(F399),"",VLOOKUP(A399,INDIRECT($F$8),6+(O406-1)*3))</f>
        <v>0</v>
      </c>
      <c r="T406" s="1">
        <f ca="1">IF(ISERROR(F399),"",VLOOKUP(A399,INDIRECT($F$8),7+(O406-1)*3))</f>
        <v>0</v>
      </c>
      <c r="U406" s="1">
        <f ca="1">IF(ISERROR(F399),"",VLOOKUP(A399,INDIRECT($F$8),8+(O406-1)*3))</f>
        <v>0</v>
      </c>
      <c r="V406" s="1" t="e">
        <f ca="1">IF(ISERROR(F399),"",IF(N406=0,A406,""))</f>
        <v>#N/A</v>
      </c>
      <c r="W406" s="1">
        <f ca="1">IF(ISERROR(F399),"",IF(ISTEXT(VLOOKUP(B399,INDIRECT($F$8),6+(O406-1)*3)),11,IF(VLOOKUP(B399,INDIRECT($F$8),6+(O406-1)*3)&lt;S406*0.3,IF(VLOOKUP(B399,INDIRECT($F$8),8+(O406-1)*3)&lt;U406*0.4,IF(AND(0.4*U406-VLOOKUP(B399,INDIRECT($F$8),8+(O406-1)*3)&lt;=5,0.3*S406-VLOOKUP(B399,INDIRECT($F$8),6+(O406-1)*3)&lt;=5),MAX(0.4*U406-VLOOKUP(B399,INDIRECT($F$8),8+(O406-1)*3),0.3*S406-VLOOKUP(B399,INDIRECT($F$8),6+(O406-1)*3)),11),IF(0.3*S406-VLOOKUP(B399,INDIRECT($F$8),6+(O406-1)*3)&lt;=5,0.3*S406-VLOOKUP(B399,INDIRECT($F$8),6+(O406-1)*3),11)),IF(VLOOKUP(B399,INDIRECT($F$8),8+(O406-1)*3)&lt;U406*0.4,IF(U406*0.4-VLOOKUP(B399,INDIRECT($F$8),8+(O406-1)*3)&lt;=5,U406*0.4-VLOOKUP(B399,INDIRECT($F$8),8+(O406-1)*3),11),0))))</f>
        <v>11</v>
      </c>
      <c r="X406" s="1" t="str">
        <f ca="1">IF(ISERROR(F399),"",IF(W406=0,"",_xlfn.TEXTJOIN("",FALSE," G+",W406," in ",A406)))</f>
        <v xml:space="preserve"> G+11 in Enroll No.</v>
      </c>
    </row>
    <row r="407" spans="1:24" ht="14.25" customHeight="1" x14ac:dyDescent="0.2">
      <c r="A407" s="7" t="str">
        <f ca="1">IF(ISERROR(F399),"",VLOOKUP(C399,INDIRECT($F$8),6+(O407-1)*3,0))</f>
        <v>Enroll No.</v>
      </c>
      <c r="B407" s="41">
        <f ca="1">IF(ISERROR(F399),"",VLOOKUP(D399,INDIRECT($F$8),6+(O407-1)*3,0))</f>
        <v>0</v>
      </c>
      <c r="C407" s="41"/>
      <c r="D407" s="41"/>
      <c r="E407" s="41"/>
      <c r="F407" s="7">
        <f ca="1">IF(ISERROR(F399),"",VLOOKUP(E399,INDIRECT($F$8),6+(O407-1)*3,0))</f>
        <v>0</v>
      </c>
      <c r="G407" s="42" t="str">
        <f ca="1">IF(ISERROR(F399),"",_xlfn.TEXTJOIN("/",FALSE,P407,S407))</f>
        <v>UTU/2406100190/0</v>
      </c>
      <c r="H407" s="42"/>
      <c r="I407" s="42" t="str">
        <f ca="1">IF(ISERROR(F399),"",_xlfn.TEXTJOIN("/",FALSE,Q407,T407))</f>
        <v>SIDDHARTH PATWAL/0</v>
      </c>
      <c r="J407" s="42"/>
      <c r="K407" s="42" t="str">
        <f ca="1">IF(ISERROR(F399),"",_xlfn.TEXTJOIN("/",FALSE,R407,U407))</f>
        <v>0/0</v>
      </c>
      <c r="L407" s="42"/>
      <c r="M407" s="7" t="b">
        <f ca="1">IF(ISERROR(F399),"",IF(ISTEXT(P407),IF(P407="A","Ab",IF(P407="D","Dt",IF(P407="UFM","UFM",IF(P407="NA","")))),IF(AND(ISBLANK(P407),ISBLANK(R407)),"",IF(P407&lt;0.3*S407,"F",IF(ISBLANK(R407),"",IF(ISTEXT(R407),R407,IF(R407&gt;=0.9*U407,"O",IF(R407&gt;=0.85*U407,"A+",IF(R407&gt;=0.8*U407,"A",IF(R407&gt;=0.7*U407,"B+",IF(R407&gt;=0.6*U407,"B",IF(R407&gt;=0.5*U407,"C",IF(R407&gt;=0.4*U407,"P",IF(R407&lt;0.4*U407,"F",R407))))))))))))))</f>
        <v>0</v>
      </c>
      <c r="N407" s="8" t="e">
        <f t="shared" ca="1" si="46"/>
        <v>#N/A</v>
      </c>
      <c r="O407" t="b" cm="1">
        <f t="array" aca="1" ref="O407" ca="1">IF(NOT(ISBLANK(INDIRECT("SEM_III!R"&amp;INT((ROW(O407)-16)/17)+6))),5,IF(NOT(ISBLANK(INDIRECT("SEM_III!U"&amp;INT((ROW(O407)-16)/17)+6))),6))</f>
        <v>0</v>
      </c>
      <c r="P407" s="1" t="str">
        <f ca="1">IF(ISERROR(F399),"",IF(ISTEXT(VLOOKUP(B399,INDIRECT($F$8),6+(O407-1)*3)),(VLOOKUP(B399,INDIRECT($F$8),6+(O407-1)*3)),SUM(VLOOKUP(B399,INDIRECT($F$8),6+(O407-1)*3),IF(W412,W407,0))))</f>
        <v>UTU/2406100190</v>
      </c>
      <c r="Q407" s="1" t="str">
        <f ca="1">IF(ISERROR(F399),"",VLOOKUP(B399,INDIRECT($F$8),7+(O407-1)*3))</f>
        <v>SIDDHARTH PATWAL</v>
      </c>
      <c r="R407" s="1">
        <f ca="1">IF(ISERROR(F399),"",SUM(P407:Q407))</f>
        <v>0</v>
      </c>
      <c r="S407" s="1">
        <f ca="1">IF(ISERROR(F399),"",VLOOKUP(A399,INDIRECT($F$8),6+(O407-1)*3))</f>
        <v>0</v>
      </c>
      <c r="T407" s="1">
        <f ca="1">IF(ISERROR(F399),"",VLOOKUP(A399,INDIRECT($F$8),7+(O407-1)*3))</f>
        <v>0</v>
      </c>
      <c r="U407" s="1">
        <f ca="1">IF(ISERROR(F399),"",VLOOKUP(A399,INDIRECT($F$8),8+(O407-1)*3))</f>
        <v>0</v>
      </c>
      <c r="V407" s="1" t="e">
        <f ca="1">IF(ISERROR(F399),"",IF(N407=0,A407,""))</f>
        <v>#N/A</v>
      </c>
      <c r="W407" s="1">
        <f ca="1">IF(ISERROR(F399),"",IF(ISTEXT(VLOOKUP(B399,INDIRECT($F$8),6+(O407-1)*3)),11,IF(VLOOKUP(B399,INDIRECT($F$8),6+(O407-1)*3)&lt;S407*0.3,IF(VLOOKUP(B399,INDIRECT($F$8),8+(O407-1)*3)&lt;U407*0.4,IF(AND(0.4*U407-VLOOKUP(B399,INDIRECT($F$8),8+(O407-1)*3)&lt;=5,0.3*S407-VLOOKUP(B399,INDIRECT($F$8),6+(O407-1)*3)&lt;=5),MAX(0.4*U407-VLOOKUP(B399,INDIRECT($F$8),8+(O407-1)*3),0.3*S407-VLOOKUP(B399,INDIRECT($F$8),6+(O407-1)*3)),11),IF(0.3*S407-VLOOKUP(B399,INDIRECT($F$8),6+(O407-1)*3)&lt;=5,0.3*S407-VLOOKUP(B399,INDIRECT($F$8),6+(O407-1)*3),11)),IF(VLOOKUP(B399,INDIRECT($F$8),8+(O407-1)*3)&lt;U407*0.4,IF(U407*0.4-VLOOKUP(B399,INDIRECT($F$8),8+(O407-1)*3)&lt;=5,U407*0.4-VLOOKUP(B399,INDIRECT($F$8),8+(O407-1)*3),11),0))))</f>
        <v>11</v>
      </c>
      <c r="X407" s="1" t="str">
        <f ca="1">IF(ISERROR(F399),"",IF(W407=0,"",_xlfn.TEXTJOIN("",FALSE," G+",W407," in ",A407)))</f>
        <v xml:space="preserve"> G+11 in Enroll No.</v>
      </c>
    </row>
    <row r="408" spans="1:24" ht="14.25" customHeight="1" x14ac:dyDescent="0.2">
      <c r="A408" s="7" t="str">
        <f ca="1">IF(ISERROR(F399),"",VLOOKUP(C399,INDIRECT($F$8),6+(O408-1)*3,0))</f>
        <v>AHT 310</v>
      </c>
      <c r="B408" s="41" t="str">
        <f ca="1">IF(ISERROR(F399),"",VLOOKUP(D399,INDIRECT($F$8),6+(O408-1)*3,0))</f>
        <v>Universal Human Value</v>
      </c>
      <c r="C408" s="41"/>
      <c r="D408" s="41"/>
      <c r="E408" s="41"/>
      <c r="F408" s="7">
        <f ca="1">IF(ISERROR(F399),"",VLOOKUP(E399,INDIRECT($F$8),6+(O408-1)*3,0))</f>
        <v>3</v>
      </c>
      <c r="G408" s="42" t="str">
        <f ca="1">IF(ISERROR(F399),"",_xlfn.TEXTJOIN("/",FALSE,P408,S408))</f>
        <v>0/100</v>
      </c>
      <c r="H408" s="42"/>
      <c r="I408" s="42" t="str">
        <f ca="1">IF(ISERROR(F399),"",_xlfn.TEXTJOIN("/",FALSE,Q408,T408))</f>
        <v>0/50</v>
      </c>
      <c r="J408" s="42"/>
      <c r="K408" s="42" t="str">
        <f ca="1">IF(ISERROR(F399),"",_xlfn.TEXTJOIN("/",FALSE,R408,U408))</f>
        <v>0/150</v>
      </c>
      <c r="L408" s="42"/>
      <c r="M408" s="7" t="str">
        <f ca="1">IF(ISERROR(F399),"",IF(ISTEXT(P408),IF(P408="A","Ab",IF(P408="D","Dt",IF(P408="UFM","UFM",IF(P408="NA","")))),IF(AND(ISBLANK(P408),ISBLANK(R408)),"",IF(P408&lt;0.3*S408,"F",IF(ISBLANK(R408),"",IF(ISTEXT(R408),R408,IF(R408&gt;=0.9*U408,"O",IF(R408&gt;=0.85*U408,"A+",IF(R408&gt;=0.8*U408,"A",IF(R408&gt;=0.7*U408,"B+",IF(R408&gt;=0.6*U408,"B",IF(R408&gt;=0.5*U408,"C",IF(R408&gt;=0.4*U408,"P",IF(R408&lt;0.4*U408,"F",R408))))))))))))))</f>
        <v>F</v>
      </c>
      <c r="N408" s="8">
        <f t="shared" ca="1" si="46"/>
        <v>0</v>
      </c>
      <c r="O408">
        <f ca="1">IF(O407&gt;0,7,"")</f>
        <v>7</v>
      </c>
      <c r="P408" s="1">
        <f ca="1">IF(ISERROR(F399),"",IF(ISTEXT(VLOOKUP(B399,INDIRECT($F$8),6+(O408-1)*3)),(VLOOKUP(B399,INDIRECT($F$8),6+(O408-1)*3)),SUM(VLOOKUP(B399,INDIRECT($F$8),6+(O408-1)*3),IF(W412,W408,0))))</f>
        <v>0</v>
      </c>
      <c r="Q408" s="1">
        <f ca="1">IF(ISERROR(F399),"",VLOOKUP(B399,INDIRECT($F$8),7+(O408-1)*3))</f>
        <v>0</v>
      </c>
      <c r="R408" s="1">
        <f ca="1">IF(ISERROR(F399),"",SUM(P408:Q408))</f>
        <v>0</v>
      </c>
      <c r="S408" s="1">
        <f ca="1">IF(ISERROR(F399),"",VLOOKUP(A399,INDIRECT($F$8),6+(O408-1)*3))</f>
        <v>100</v>
      </c>
      <c r="T408" s="1">
        <f ca="1">IF(ISERROR(F399),"",VLOOKUP(A399,INDIRECT($F$8),7+(O408-1)*3))</f>
        <v>50</v>
      </c>
      <c r="U408" s="1">
        <f ca="1">IF(ISERROR(F399),"",VLOOKUP(A399,INDIRECT($F$8),8+(O408-1)*3))</f>
        <v>150</v>
      </c>
      <c r="V408" s="1" t="str">
        <f ca="1">IF(ISERROR(F399),"",IF(N408=0,A408,""))</f>
        <v>AHT 310</v>
      </c>
      <c r="W408" s="1">
        <f ca="1">IF(ISERROR(F399),"",IF(ISTEXT(VLOOKUP(B399,INDIRECT($F$8),6+(O408-1)*3)),11,IF(VLOOKUP(B399,INDIRECT($F$8),6+(O408-1)*3)&lt;S408*0.3,IF(VLOOKUP(B399,INDIRECT($F$8),8+(O408-1)*3)&lt;U408*0.4,IF(AND(0.4*U408-VLOOKUP(B399,INDIRECT($F$8),8+(O408-1)*3)&lt;=5,0.3*S408-VLOOKUP(B399,INDIRECT($F$8),6+(O408-1)*3)&lt;=5),MAX(0.4*U408-VLOOKUP(B399,INDIRECT($F$8),8+(O408-1)*3),0.3*S408-VLOOKUP(B399,INDIRECT($F$8),6+(O408-1)*3)),11),IF(0.3*S408-VLOOKUP(B399,INDIRECT($F$8),6+(O408-1)*3)&lt;=5,0.3*S408-VLOOKUP(B399,INDIRECT($F$8),6+(O408-1)*3),11)),IF(VLOOKUP(B399,INDIRECT($F$8),8+(O408-1)*3)&lt;U408*0.4,IF(U408*0.4-VLOOKUP(B399,INDIRECT($F$8),8+(O408-1)*3)&lt;=5,U408*0.4-VLOOKUP(B399,INDIRECT($F$8),8+(O408-1)*3),11),0))))</f>
        <v>11</v>
      </c>
      <c r="X408" s="1" t="str">
        <f ca="1">IF(ISERROR(F399),"",IF(W408=0,"",_xlfn.TEXTJOIN("",FALSE," G+",W408," in ",A408)))</f>
        <v xml:space="preserve"> G+11 in AHT 310</v>
      </c>
    </row>
    <row r="409" spans="1:24" ht="14.25" customHeight="1" x14ac:dyDescent="0.2">
      <c r="A409" s="7" t="str">
        <f ca="1">IF(ISERROR(F399),"",VLOOKUP(C399,INDIRECT($F$8),6+(O409-1)*3,0))</f>
        <v>CAP 008</v>
      </c>
      <c r="B409" s="41" t="str">
        <f ca="1">IF(ISERROR(F399),"",VLOOKUP(D399,INDIRECT($F$8),6+(O409-1)*3,0))</f>
        <v>Software Engineering Lab</v>
      </c>
      <c r="C409" s="41"/>
      <c r="D409" s="41"/>
      <c r="E409" s="41"/>
      <c r="F409" s="7">
        <f ca="1">IF(ISERROR(F399),"",VLOOKUP(E399,INDIRECT($F$8),6+(O409-1)*3,0))</f>
        <v>1</v>
      </c>
      <c r="G409" s="42" t="str">
        <f ca="1">IF(ISERROR(F399),"",_xlfn.TEXTJOIN("/",FALSE,P409,S409))</f>
        <v>0/30</v>
      </c>
      <c r="H409" s="42"/>
      <c r="I409" s="42" t="str">
        <f ca="1">IF(ISERROR(F399),"",_xlfn.TEXTJOIN("/",FALSE,Q409,T409))</f>
        <v>0/20</v>
      </c>
      <c r="J409" s="42"/>
      <c r="K409" s="42" t="str">
        <f ca="1">IF(ISERROR(F399),"",_xlfn.TEXTJOIN("/",FALSE,R409,U409))</f>
        <v>0/50</v>
      </c>
      <c r="L409" s="42"/>
      <c r="M409" s="7" t="str">
        <f ca="1">IF(ISERROR(F399),"",IF(ISTEXT(P409),IF(P409="A","Ab",IF(P409="D","Dt",IF(P409="UFM","UFM",IF(P409="NA","")))),IF(AND(ISBLANK(P409),ISBLANK(R409)),"",IF(P409&lt;0.3*S409,"F",IF(ISBLANK(R409),"",IF(ISTEXT(R409),R409,IF(R409&gt;=0.9*U409,"O",IF(R409&gt;=0.85*U409,"A+",IF(R409&gt;=0.8*U409,"A",IF(R409&gt;=0.7*U409,"B+",IF(R409&gt;=0.6*U409,"B",IF(R409&gt;=0.5*U409,"C",IF(R409&gt;=0.4*U409,"P",IF(R409&lt;0.4*U409,"F",R409))))))))))))))</f>
        <v>F</v>
      </c>
      <c r="N409" s="8">
        <f t="shared" ca="1" si="46"/>
        <v>0</v>
      </c>
      <c r="O409">
        <f t="shared" ref="O409:O411" ca="1" si="47">O408+1</f>
        <v>8</v>
      </c>
      <c r="P409" s="1">
        <f ca="1">IF(ISERROR(F399),"",IF(ISTEXT(VLOOKUP(B399,INDIRECT($F$8),6+(O409-1)*3)),(VLOOKUP(B399,INDIRECT($F$8),6+(O409-1)*3)),SUM(VLOOKUP(B399,INDIRECT($F$8),6+(O409-1)*3),IF(W412,W409,0))))</f>
        <v>0</v>
      </c>
      <c r="Q409" s="1">
        <f ca="1">IF(ISERROR(F399),"",VLOOKUP(B399,INDIRECT($F$8),7+(O409-1)*3))</f>
        <v>0</v>
      </c>
      <c r="R409" s="1">
        <f ca="1">IF(ISERROR(F399),"",SUM(P409:Q409))</f>
        <v>0</v>
      </c>
      <c r="S409" s="1">
        <f ca="1">IF(ISERROR(F399),"",VLOOKUP(A399,INDIRECT($F$8),6+(O409-1)*3))</f>
        <v>30</v>
      </c>
      <c r="T409" s="1">
        <f ca="1">IF(ISERROR(F399),"",VLOOKUP(A399,INDIRECT($F$8),7+(O409-1)*3))</f>
        <v>20</v>
      </c>
      <c r="U409" s="1">
        <f ca="1">IF(ISERROR(F399),"",VLOOKUP(A399,INDIRECT($F$8),8+(O409-1)*3))</f>
        <v>50</v>
      </c>
      <c r="V409" s="1" t="str">
        <f ca="1">IF(ISERROR(F399),"",IF(N409=0,A409,""))</f>
        <v>CAP 008</v>
      </c>
      <c r="W409" s="1">
        <f ca="1">IF(ISERROR(F399),"",IF(ISTEXT(VLOOKUP(B399,INDIRECT($F$8),6+(O409-1)*3)),11,IF(VLOOKUP(B399,INDIRECT($F$8),6+(O409-1)*3)&lt;S409*0.3,IF(VLOOKUP(B399,INDIRECT($F$8),8+(O409-1)*3)&lt;U409*0.4,IF(AND(0.4*U409-VLOOKUP(B399,INDIRECT($F$8),8+(O409-1)*3)&lt;=5,0.3*S409-VLOOKUP(B399,INDIRECT($F$8),6+(O409-1)*3)&lt;=5),MAX(0.4*U409-VLOOKUP(B399,INDIRECT($F$8),8+(O409-1)*3),0.3*S409-VLOOKUP(B399,INDIRECT($F$8),6+(O409-1)*3)),11),IF(0.3*S409-VLOOKUP(B399,INDIRECT($F$8),6+(O409-1)*3)&lt;=5,0.3*S409-VLOOKUP(B399,INDIRECT($F$8),6+(O409-1)*3),11)),IF(VLOOKUP(B399,INDIRECT($F$8),8+(O409-1)*3)&lt;U409*0.4,IF(U409*0.4-VLOOKUP(B399,INDIRECT($F$8),8+(O409-1)*3)&lt;=5,U409*0.4-VLOOKUP(B399,INDIRECT($F$8),8+(O409-1)*3),11),0))))</f>
        <v>11</v>
      </c>
      <c r="X409" s="1" t="str">
        <f ca="1">IF(ISERROR(F399),"",IF(W409=0,"",_xlfn.TEXTJOIN("",FALSE," G+",W409," in ",A409)))</f>
        <v xml:space="preserve"> G+11 in CAP 008</v>
      </c>
    </row>
    <row r="410" spans="1:24" ht="14.25" customHeight="1" x14ac:dyDescent="0.2">
      <c r="A410" s="7" t="str">
        <f ca="1">IF(ISERROR(F399),"",VLOOKUP(C399,INDIRECT($F$8),6+(O410-1)*3,0))</f>
        <v>CAP 009</v>
      </c>
      <c r="B410" s="41" t="str">
        <f ca="1">IF(ISERROR(F399),"",VLOOKUP(D399,INDIRECT($F$8),6+(O410-1)*3,0))</f>
        <v>Seminar</v>
      </c>
      <c r="C410" s="41"/>
      <c r="D410" s="41"/>
      <c r="E410" s="41"/>
      <c r="F410" s="7">
        <f ca="1">IF(ISERROR(F399),"",VLOOKUP(E399,INDIRECT($F$8),6+(O410-1)*3,0))</f>
        <v>2</v>
      </c>
      <c r="G410" s="42" t="str">
        <f ca="1">IF(ISERROR(F399),"",_xlfn.TEXTJOIN("/",FALSE,P410,S410))</f>
        <v>0/0</v>
      </c>
      <c r="H410" s="42"/>
      <c r="I410" s="42" t="str">
        <f ca="1">IF(ISERROR(F399),"",_xlfn.TEXTJOIN("/",FALSE,Q410,T410))</f>
        <v>0/100</v>
      </c>
      <c r="J410" s="42"/>
      <c r="K410" s="42" t="str">
        <f ca="1">IF(ISERROR(F399),"",_xlfn.TEXTJOIN("/",FALSE,R410,U410))</f>
        <v>0/100</v>
      </c>
      <c r="L410" s="42"/>
      <c r="M410" s="7" t="str">
        <f ca="1">IF(ISERROR(F399),"",IF(ISTEXT(P410),IF(P410="A","Ab",IF(P410="D","Dt",IF(P410="UFM","UFM",IF(P410="NA","")))),IF(AND(ISBLANK(P410),ISBLANK(R410)),"",IF(P410&lt;0.3*S410,"F",IF(ISBLANK(R410),"",IF(ISTEXT(R410),R410,IF(R410&gt;=0.9*U410,"O",IF(R410&gt;=0.85*U410,"A+",IF(R410&gt;=0.8*U410,"A",IF(R410&gt;=0.7*U410,"B+",IF(R410&gt;=0.6*U410,"B",IF(R410&gt;=0.5*U410,"C",IF(R410&gt;=0.4*U410,"P",IF(R410&lt;0.4*U410,"F",R410))))))))))))))</f>
        <v>F</v>
      </c>
      <c r="N410" s="8">
        <f t="shared" ca="1" si="46"/>
        <v>0</v>
      </c>
      <c r="O410">
        <f t="shared" ca="1" si="47"/>
        <v>9</v>
      </c>
      <c r="P410" s="1">
        <f ca="1">IF(ISERROR(F399),"",IF(ISTEXT(VLOOKUP(B399,INDIRECT($F$8),6+(O410-1)*3)),(VLOOKUP(B399,INDIRECT($F$8),6+(O410-1)*3)),SUM(VLOOKUP(B399,INDIRECT($F$8),6+(O410-1)*3),IF(W412,W410,0))))</f>
        <v>0</v>
      </c>
      <c r="Q410" s="1">
        <f ca="1">IF(ISERROR(F399),"",VLOOKUP(B399,INDIRECT($F$8),7+(O410-1)*3))</f>
        <v>0</v>
      </c>
      <c r="R410" s="1">
        <f ca="1">IF(ISERROR(F399),"",SUM(P410:Q410))</f>
        <v>0</v>
      </c>
      <c r="S410" s="1">
        <f ca="1">IF(ISERROR(F399),"",VLOOKUP(A399,INDIRECT($F$8),6+(O410-1)*3))</f>
        <v>0</v>
      </c>
      <c r="T410" s="1">
        <f ca="1">IF(ISERROR(F399),"",VLOOKUP(A399,INDIRECT($F$8),7+(O410-1)*3))</f>
        <v>100</v>
      </c>
      <c r="U410" s="1">
        <f ca="1">IF(ISERROR(F399),"",VLOOKUP(A399,INDIRECT($F$8),8+(O410-1)*3))</f>
        <v>100</v>
      </c>
      <c r="V410" s="1" t="str">
        <f ca="1">IF(ISERROR(F399),"",IF(N410=0,A410,""))</f>
        <v>CAP 009</v>
      </c>
      <c r="W410" s="1">
        <f ca="1">IF(ISERROR(F399),"",IF(ISTEXT(VLOOKUP(B399,INDIRECT($F$8),6+(O410-1)*3)),11,IF(VLOOKUP(B399,INDIRECT($F$8),6+(O410-1)*3)&lt;S410*0.3,IF(VLOOKUP(B399,INDIRECT($F$8),8+(O410-1)*3)&lt;U410*0.4,IF(AND(0.4*U410-VLOOKUP(B399,INDIRECT($F$8),8+(O410-1)*3)&lt;=5,0.3*S410-VLOOKUP(B399,INDIRECT($F$8),6+(O410-1)*3)&lt;=5),MAX(0.4*U410-VLOOKUP(B399,INDIRECT($F$8),8+(O410-1)*3),0.3*S410-VLOOKUP(B399,INDIRECT($F$8),6+(O410-1)*3)),11),IF(0.3*S410-VLOOKUP(B399,INDIRECT($F$8),6+(O410-1)*3)&lt;=5,0.3*S410-VLOOKUP(B399,INDIRECT($F$8),6+(O410-1)*3),11)),IF(VLOOKUP(B399,INDIRECT($F$8),8+(O410-1)*3)&lt;U410*0.4,IF(U410*0.4-VLOOKUP(B399,INDIRECT($F$8),8+(O410-1)*3)&lt;=5,U410*0.4-VLOOKUP(B399,INDIRECT($F$8),8+(O410-1)*3),11),0))))</f>
        <v>11</v>
      </c>
      <c r="X410" s="1" t="str">
        <f ca="1">IF(ISERROR(F399),"",IF(W410=0,"",_xlfn.TEXTJOIN("",FALSE," G+",W410," in ",A410)))</f>
        <v xml:space="preserve"> G+11 in CAP 009</v>
      </c>
    </row>
    <row r="411" spans="1:24" ht="14.25" customHeight="1" x14ac:dyDescent="0.2">
      <c r="A411" s="7" t="str">
        <f ca="1">IF(ISERROR(F399),"",VLOOKUP(C399,INDIRECT($F$8),6+(O411-1)*3,0))</f>
        <v>CAP 010</v>
      </c>
      <c r="B411" s="41" t="str">
        <f ca="1">IF(ISERROR(F399),"",VLOOKUP(D399,INDIRECT($F$8),6+(O411-1)*3-Z411,0))</f>
        <v>Minor Project</v>
      </c>
      <c r="C411" s="41"/>
      <c r="D411" s="41"/>
      <c r="E411" s="41"/>
      <c r="F411" s="7">
        <f ca="1">IF(ISERROR(F399),"",VLOOKUP(E399,INDIRECT($F$8),6+(O411-1)*3,0))</f>
        <v>2</v>
      </c>
      <c r="G411" s="42" t="str">
        <f ca="1">IF(ISERROR(F399),"",_xlfn.TEXTJOIN("/",FALSE,P411,S411))</f>
        <v>0/50</v>
      </c>
      <c r="H411" s="42"/>
      <c r="I411" s="42" t="str">
        <f ca="1">IF(ISERROR(F399),"",_xlfn.TEXTJOIN("/",FALSE,Q411,T411))</f>
        <v>0/50</v>
      </c>
      <c r="J411" s="42"/>
      <c r="K411" s="42" t="str">
        <f ca="1">IF(ISERROR(F399),"",_xlfn.TEXTJOIN("/",FALSE,R411,U411))</f>
        <v>0/100</v>
      </c>
      <c r="L411" s="42"/>
      <c r="M411" s="7" t="str">
        <f ca="1">IF(ISERROR(F399),"",IF(ISTEXT(P411),IF(P411="A","Ab",IF(P411="D","Dt",IF(P411="UFM","UFM",IF(P411="NA","")))),IF(AND(ISBLANK(P411),ISBLANK(R411)),"",IF(P411&lt;0.3*S411,"F",IF(ISBLANK(R411),"",IF(ISTEXT(R411),R411,IF(R411&gt;=0.9*U411,"O",IF(R411&gt;=0.85*U411,"A+",IF(R411&gt;=0.8*U411,"A",IF(R411&gt;=0.7*U411,"B+",IF(R411&gt;=0.6*U411,"B",IF(R411&gt;=0.5*U411,"C",IF(R411&gt;=0.4*U411,"P",IF(R411&lt;0.4*U411,"F",R411))))))))))))))</f>
        <v>F</v>
      </c>
      <c r="N411" s="8">
        <f t="shared" ca="1" si="46"/>
        <v>0</v>
      </c>
      <c r="O411">
        <f t="shared" ca="1" si="47"/>
        <v>10</v>
      </c>
      <c r="P411" s="1">
        <f ca="1">IF(ISERROR(F399),"",IF(ISTEXT(VLOOKUP(B399,INDIRECT($F$8),6+(O411-1)*3)),(VLOOKUP(B399,INDIRECT($F$8),6+(O411-1)*3)),SUM(VLOOKUP(B399,INDIRECT($F$8),6+(O411-1)*3),IF(W412,W411,0))))</f>
        <v>0</v>
      </c>
      <c r="Q411" s="1">
        <f ca="1">IF(ISERROR(F399),"",VLOOKUP(B399,INDIRECT($F$8),7+(O411-1)*3))</f>
        <v>0</v>
      </c>
      <c r="R411" s="1">
        <f ca="1">IF(ISERROR(F399),"",SUM(P411:Q411))</f>
        <v>0</v>
      </c>
      <c r="S411" s="1">
        <f ca="1">IF(ISERROR(F399),"",VLOOKUP(A399,INDIRECT($F$8),6+(O411-1)*3))</f>
        <v>50</v>
      </c>
      <c r="T411" s="1">
        <f ca="1">IF(ISERROR(F399),"",VLOOKUP(A399,INDIRECT($F$8),7+(O411-1)*3))</f>
        <v>50</v>
      </c>
      <c r="U411" s="1">
        <f ca="1">IF(ISERROR(F399),"",VLOOKUP(A399,INDIRECT($F$8),8+(O411-1)*3))</f>
        <v>100</v>
      </c>
      <c r="V411" s="1" t="str">
        <f ca="1">IF(ISERROR(F399),"",IF(N411=0,A411,""))</f>
        <v>CAP 010</v>
      </c>
      <c r="W411" s="1">
        <f ca="1">IF(ISERROR(F399),"",IF(ISTEXT(VLOOKUP(B399,INDIRECT($F$8),6+(O411-1)*3)),11,IF(VLOOKUP(B399,INDIRECT($F$8),6+(O411-1)*3)&lt;S411*0.3,IF(VLOOKUP(B399,INDIRECT($F$8),8+(O411-1)*3)&lt;U411*0.4,IF(AND(0.4*U411-VLOOKUP(B399,INDIRECT($F$8),8+(O411-1)*3)&lt;=5,0.3*S411-VLOOKUP(B399,INDIRECT($F$8),6+(O411-1)*3)&lt;=5),MAX(0.4*U411-VLOOKUP(B399,INDIRECT($F$8),8+(O411-1)*3),0.3*S411-VLOOKUP(B399,INDIRECT($F$8),6+(O411-1)*3)),11),IF(0.3*S411-VLOOKUP(B399,INDIRECT($F$8),6+(O411-1)*3)&lt;=5,0.3*S411-VLOOKUP(B399,INDIRECT($F$8),6+(O411-1)*3),11)),IF(VLOOKUP(B399,INDIRECT($F$8),8+(O411-1)*3)&lt;U411*0.4,IF(U411*0.4-VLOOKUP(B399,INDIRECT($F$8),8+(O411-1)*3)&lt;=5,U411*0.4-VLOOKUP(B399,INDIRECT($F$8),8+(O411-1)*3),11),0))))</f>
        <v>11</v>
      </c>
      <c r="X411" s="1" t="str">
        <f ca="1">IF(ISERROR(F399),"",IF(W411=0,"",_xlfn.TEXTJOIN("",FALSE," G+",W411," in ",A411)))</f>
        <v xml:space="preserve"> G+11 in CAP 010</v>
      </c>
    </row>
    <row r="412" spans="1:24" ht="14.25" customHeight="1" x14ac:dyDescent="0.2">
      <c r="A412" s="43" t="str">
        <f ca="1">IF(ISERROR(F399),"",A395)</f>
        <v>Total Credits/ Marks/ Total Grade Points</v>
      </c>
      <c r="B412" s="43"/>
      <c r="C412" s="43"/>
      <c r="D412" s="43"/>
      <c r="E412" s="43"/>
      <c r="F412" s="10">
        <f ca="1">IF(ISERROR(F399),"",SUM(F404:F411))</f>
        <v>16</v>
      </c>
      <c r="G412" s="44" t="str">
        <f ca="1">IF(ISERROR(F399),"",_xlfn.TEXTJOIN("/",TRUE,SUMIF(F404:F411,"&gt;0",P404:P411),SUMIF(F404:F411,"&gt;0",S404:S411)))</f>
        <v>0/380</v>
      </c>
      <c r="H412" s="44"/>
      <c r="I412" s="44" t="str">
        <f ca="1">IF(ISERROR(F399),"",_xlfn.TEXTJOIN("/",TRUE,SUMIF(F404:F411,"&gt;0",Q404:Q411),SUMIF(F404:F411,"&gt;0",T404:T411)))</f>
        <v>0/320</v>
      </c>
      <c r="J412" s="44"/>
      <c r="K412" s="44" t="str">
        <f ca="1">IF(ISERROR(F399),"",_xlfn.TEXTJOIN("/",TRUE,SUMIF(F404:F411,"&gt;0",R404:R411),SUMIF(F404:F411,"&gt;0",U404:U411)))</f>
        <v>0/700</v>
      </c>
      <c r="L412" s="44"/>
      <c r="M412" s="43" t="e">
        <f ca="1">IF(ISERROR(F399),"",SUMPRODUCT(N404:N411,F404:F411))</f>
        <v>#N/A</v>
      </c>
      <c r="N412" s="43"/>
      <c r="V412" s="1" t="e">
        <f ca="1">IF(ISERROR(F399),"",_xlfn.TEXTJOIN(", ",TRUE,V404:V411))</f>
        <v>#N/A</v>
      </c>
      <c r="W412" t="b">
        <f ca="1">IF(ISERROR(F399),"",IF(SUM(W404:W411)&lt;=W403,TRUE,FALSE))</f>
        <v>0</v>
      </c>
      <c r="X412" s="1" t="str">
        <f ca="1">IF(ISERROR(F399),"",_xlfn.TEXTJOIN(",",TRUE,X404:X411))</f>
        <v xml:space="preserve"> G+11 in CAT  014, G+11 in CAT 015, G+11 in Enroll No., G+11 in Enroll No., G+11 in AHT 310, G+11 in CAP 008, G+11 in CAP 009, G+11 in CAP 010</v>
      </c>
    </row>
    <row r="413" spans="1:24" ht="14.25" customHeight="1" x14ac:dyDescent="0.2">
      <c r="A413" s="43" t="str">
        <f ca="1">IF(ISERROR(F399),"",A396)</f>
        <v>Result:</v>
      </c>
      <c r="B413" s="45" t="e">
        <f ca="1">IF(ISERROR(F399),"",IF(V412="","PASS","CARRY OVER"))</f>
        <v>#N/A</v>
      </c>
      <c r="C413" s="45"/>
      <c r="D413" s="43" t="str">
        <f ca="1">IF(ISERROR(F399),"",D396)</f>
        <v>Remark:</v>
      </c>
      <c r="E413" s="45" t="e">
        <f ca="1">IF(ISERROR(F399),"",IF(V412="",IF(X412="","",X412),_xlfn.TEXTJOIN(" ",TRUE,"BACK IN",V412)))</f>
        <v>#N/A</v>
      </c>
      <c r="F413" s="45"/>
      <c r="G413" s="43" t="str">
        <f ca="1">IF(ISERROR(F399),"",G396)</f>
        <v>SGPA:</v>
      </c>
      <c r="H413" s="46" t="e">
        <f ca="1">IF(ISERROR(F399),"",M412/F412)</f>
        <v>#N/A</v>
      </c>
      <c r="I413" s="43" t="str">
        <f ca="1">IF(ISERROR(F399),"",I396)</f>
        <v>CGPA:</v>
      </c>
      <c r="J413" s="46" t="e">
        <f ca="1">IF(ISERROR(F399),"",VLOOKUP(B399,INDIRECT($F$8),12+(O411-1)*3,0))</f>
        <v>#N/A</v>
      </c>
      <c r="K413" s="45" t="str">
        <f ca="1">IF(ISERROR(F399),"",K396)</f>
        <v>Earned Credits:</v>
      </c>
      <c r="L413" s="43">
        <f ca="1">IF(ISERROR(F399),"",SUMIF(N404:N411,"&gt;0",F404:F411))</f>
        <v>0</v>
      </c>
      <c r="M413" s="45" t="str">
        <f ca="1">IF(ISERROR(F399),"",M396)</f>
        <v>Cuml. Earned Credits:</v>
      </c>
      <c r="N413" s="43" t="e">
        <f ca="1">IF(ISERROR(F399),"",VLOOKUP(B399,INDIRECT($F$8),10+(O411-1)*3,0))</f>
        <v>#N/A</v>
      </c>
    </row>
    <row r="414" spans="1:24" ht="14.25" customHeight="1" x14ac:dyDescent="0.2">
      <c r="A414" s="43"/>
      <c r="B414" s="45"/>
      <c r="C414" s="45"/>
      <c r="D414" s="43"/>
      <c r="E414" s="45"/>
      <c r="F414" s="45"/>
      <c r="G414" s="43"/>
      <c r="H414" s="46"/>
      <c r="I414" s="43"/>
      <c r="J414" s="46"/>
      <c r="K414" s="45"/>
      <c r="L414" s="43"/>
      <c r="M414" s="45"/>
      <c r="N414" s="43"/>
    </row>
    <row r="415" spans="1:24" ht="14.25" customHeight="1" x14ac:dyDescent="0.2">
      <c r="A415" s="43"/>
      <c r="B415" s="45"/>
      <c r="C415" s="45"/>
      <c r="D415" s="43"/>
      <c r="E415" s="45"/>
      <c r="F415" s="45"/>
      <c r="G415" s="43"/>
      <c r="H415" s="46"/>
      <c r="I415" s="43"/>
      <c r="J415" s="46"/>
      <c r="K415" s="45"/>
      <c r="L415" s="43"/>
      <c r="M415" s="45"/>
      <c r="N415" s="43"/>
    </row>
    <row r="416" spans="1:24" ht="14.25" customHeight="1" x14ac:dyDescent="0.2">
      <c r="A416" s="11" t="str">
        <f>A399</f>
        <v>MM</v>
      </c>
      <c r="B416" s="11">
        <f>B399+1</f>
        <v>25</v>
      </c>
      <c r="C416" s="11" t="str">
        <f>C399</f>
        <v>SC</v>
      </c>
      <c r="D416" s="11" t="str">
        <f>D399</f>
        <v>SN</v>
      </c>
      <c r="E416" s="11" t="str">
        <f>E399</f>
        <v>C</v>
      </c>
      <c r="F416" s="11" t="str">
        <f ca="1">VLOOKUP(B416,INDIRECT($F$8),4,0)</f>
        <v>SURAJ SINGH BISHT</v>
      </c>
    </row>
    <row r="417" spans="1:24" ht="14.25" customHeight="1" x14ac:dyDescent="0.2">
      <c r="A417" s="47" t="str">
        <f ca="1">IF(ISERROR(F416),"",A400)</f>
        <v>Name:</v>
      </c>
      <c r="B417" s="47" t="str">
        <f ca="1">IFERROR(VLOOKUP(B416,INDIRECT($F$8),4,0),"")</f>
        <v>SURAJ SINGH BISHT</v>
      </c>
      <c r="C417" s="47"/>
      <c r="D417" s="47" t="str">
        <f ca="1">IF(ISERROR(F416),"",D400)</f>
        <v>Father's Name:</v>
      </c>
      <c r="E417" s="47" t="str">
        <f ca="1">IFERROR(VLOOKUP(B416,INDIRECT($F$8),5,0),"")</f>
        <v>KHUSHAL SINGH</v>
      </c>
      <c r="F417" s="47"/>
      <c r="G417" s="47" t="str">
        <f ca="1">IF(ISERROR(F416),"",G400)</f>
        <v>University Roll No:</v>
      </c>
      <c r="H417" s="47"/>
      <c r="I417" s="48">
        <f ca="1">IFERROR(VLOOKUP(B416,INDIRECT($F$8),2,0),"")</f>
        <v>240090600025</v>
      </c>
      <c r="J417" s="48"/>
      <c r="K417" s="47" t="str">
        <f ca="1">IF(ISERROR(F416),"",K400)</f>
        <v>University Enrol. No:</v>
      </c>
      <c r="L417" s="47"/>
      <c r="M417" s="48" t="str">
        <f ca="1">IFERROR(VLOOKUP(B416,INDIRECT($F$8),3,0),"")</f>
        <v>UTU/2406100189</v>
      </c>
      <c r="N417" s="48"/>
    </row>
    <row r="418" spans="1:24" ht="14.25" customHeight="1" x14ac:dyDescent="0.2">
      <c r="A418" s="47"/>
      <c r="B418" s="47"/>
      <c r="C418" s="47"/>
      <c r="D418" s="47"/>
      <c r="E418" s="47"/>
      <c r="F418" s="47"/>
      <c r="G418" s="47"/>
      <c r="H418" s="47"/>
      <c r="I418" s="48"/>
      <c r="J418" s="48"/>
      <c r="K418" s="47"/>
      <c r="L418" s="47"/>
      <c r="M418" s="48"/>
      <c r="N418" s="48"/>
    </row>
    <row r="419" spans="1:24" ht="14.25" customHeight="1" x14ac:dyDescent="0.2">
      <c r="A419" s="45" t="str">
        <f ca="1">IF(ISERROR(F416),"",A402)</f>
        <v>Subject Code</v>
      </c>
      <c r="B419" s="45" t="str">
        <f ca="1">IF(ISERROR(F416),"",B402)</f>
        <v>Subject Name</v>
      </c>
      <c r="C419" s="45"/>
      <c r="D419" s="45"/>
      <c r="E419" s="45"/>
      <c r="F419" s="45" t="str">
        <f ca="1">IF(ISERROR(F416),"",F402)</f>
        <v>Credits</v>
      </c>
      <c r="G419" s="45" t="str">
        <f ca="1">IF(ISERROR(F416),"",G402)</f>
        <v>External Marks</v>
      </c>
      <c r="H419" s="45"/>
      <c r="I419" s="45" t="str">
        <f ca="1">IF(ISERROR(F416),"",I402)</f>
        <v>Sessional Marks</v>
      </c>
      <c r="J419" s="45"/>
      <c r="K419" s="45" t="str">
        <f ca="1">IF(ISERROR(F416),"",K402)</f>
        <v>Total Marks</v>
      </c>
      <c r="L419" s="45"/>
      <c r="M419" s="45" t="str">
        <f ca="1">IF(ISERROR(F416),"",M402)</f>
        <v>Grade</v>
      </c>
      <c r="N419" s="45" t="str">
        <f ca="1">IF(ISERROR(F416),"",N402)</f>
        <v>Grade Points</v>
      </c>
    </row>
    <row r="420" spans="1:24" ht="14.25" customHeight="1" x14ac:dyDescent="0.2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W420">
        <f ca="1">IF(ISNUMBER(MATCH($F$8,{"I","III","V","VII"},0)),10,10-INDEX(INDIRECT(_xlfn.TEXTJOIN("",TRUE,"SEM_",$G$8,"!",ADDRESS(6,4+$I$8*3+4),":",ADDRESS(5+$H$8,4+$I$8*3+4))),MATCH(INDIRECT(_xlfn.TEXTJOIN("",TRUE,"TC_",$F$8,"!",ADDRESS(ROW(I417),COLUMN(I417)))),INDIRECT(_xlfn.TEXTJOIN("",TRUE,"SEM_",$G$8,"!",ADDRESS(6,2),":",ADDRESS(5+$H$8,2))))))</f>
        <v>10</v>
      </c>
    </row>
    <row r="421" spans="1:24" ht="14.25" customHeight="1" x14ac:dyDescent="0.2">
      <c r="A421" s="7" t="str">
        <f ca="1">IF(ISERROR(F416),"",VLOOKUP(C416,INDIRECT($F$8),6+(O421-1)*3,0))</f>
        <v>CAT  014</v>
      </c>
      <c r="B421" s="41" t="str">
        <f ca="1">IF(ISERROR(F416),"",VLOOKUP(D416,INDIRECT($F$8),6+(O421-1)*3,0))</f>
        <v>Graph Theory</v>
      </c>
      <c r="C421" s="41"/>
      <c r="D421" s="41"/>
      <c r="E421" s="41"/>
      <c r="F421" s="7">
        <f ca="1">IF(ISERROR(F416),"",VLOOKUP(E416,INDIRECT($F$8),6+(O421-1)*3,0))</f>
        <v>4</v>
      </c>
      <c r="G421" s="42" t="str">
        <f ca="1">IF(ISERROR(F416),"",_xlfn.TEXTJOIN("/",FALSE,P421,S421))</f>
        <v>0/100</v>
      </c>
      <c r="H421" s="42"/>
      <c r="I421" s="42" t="str">
        <f ca="1">IF(ISERROR(F416),"",_xlfn.TEXTJOIN("/",FALSE,Q421,T421))</f>
        <v>0/50</v>
      </c>
      <c r="J421" s="42"/>
      <c r="K421" s="42" t="str">
        <f ca="1">IF(ISERROR(F416),"",_xlfn.TEXTJOIN("/",FALSE,R421,U421))</f>
        <v>0/150</v>
      </c>
      <c r="L421" s="42"/>
      <c r="M421" s="7" t="str">
        <f ca="1">IF(ISERROR(F416),"",IF(ISTEXT(P421),IF(P421="A","Ab",IF(P421="D","Dt",IF(P421="UFM","UFM",IF(P421="NA","")))),IF(AND(ISBLANK(P421),ISBLANK(R421)),"",IF(P421&lt;0.3*S421,"F",IF(ISBLANK(R421),"",IF(ISTEXT(R421),R421,IF(R421&gt;=0.9*U421,"O",IF(R421&gt;=0.85*U421,"A+",IF(R421&gt;=0.8*U421,"A",IF(R421&gt;=0.7*U421,"B+",IF(R421&gt;=0.6*U421,"B",IF(R421&gt;=0.5*U421,"C",IF(R421&gt;=0.4*U421,"P",IF(R421&lt;0.4*U421,"F",R421))))))))))))))</f>
        <v>F</v>
      </c>
      <c r="N421" s="8">
        <f t="shared" ref="N421:N428" ca="1" si="48">INDEX($Z$2:$Z$13,MATCH(M421,$Y$2:$Y$13,0))</f>
        <v>0</v>
      </c>
      <c r="O421">
        <v>1</v>
      </c>
      <c r="P421" s="1">
        <f ca="1">IF(ISERROR(F416),"",IF(ISTEXT(VLOOKUP(B416,INDIRECT($F$8),6+(O421-1)*3)),(VLOOKUP(B416,INDIRECT($F$8),6+(O421-1)*3)),SUM(VLOOKUP(B416,INDIRECT($F$8),6+(O421-1)*3),IF(W429,W421,0))))</f>
        <v>0</v>
      </c>
      <c r="Q421" s="1">
        <f ca="1">IF(ISERROR(F416),"",VLOOKUP(B416,INDIRECT($F$8),7+(O421-1)*3))</f>
        <v>0</v>
      </c>
      <c r="R421" s="1">
        <f ca="1">IF(ISERROR(F416),"",SUM(P421:Q421))</f>
        <v>0</v>
      </c>
      <c r="S421" s="1">
        <f ca="1">IF(ISERROR(F416),"",VLOOKUP(A416,INDIRECT($F$8),6+(O421-1)*3))</f>
        <v>100</v>
      </c>
      <c r="T421" s="1">
        <f ca="1">IF(ISERROR(F416),"",VLOOKUP(A416,INDIRECT($F$8),7+(O421-1)*3))</f>
        <v>50</v>
      </c>
      <c r="U421" s="1">
        <f ca="1">IF(ISERROR(F416),"",VLOOKUP(A416,INDIRECT($F$8),8+(O421-1)*3))</f>
        <v>150</v>
      </c>
      <c r="V421" s="1" t="str">
        <f ca="1">IF(ISERROR(F416),"",IF(N421=0,A421,""))</f>
        <v>CAT  014</v>
      </c>
      <c r="W421" s="1">
        <f ca="1">IF(ISERROR(F416),"",IF(ISTEXT(VLOOKUP(B416,INDIRECT($F$8),6+(O421-1)*3)),11,IF(VLOOKUP(B416,INDIRECT($F$8),6+(O421-1)*3)&lt;S421*0.3,IF(VLOOKUP(B416,INDIRECT($F$8),8+(O421-1)*3)&lt;U421*0.4,IF(AND(0.4*U421-VLOOKUP(B416,INDIRECT($F$8),8+(O421-1)*3)&lt;=5,0.3*S421-VLOOKUP(B416,INDIRECT($F$8),6+(O421-1)*3)&lt;=5),MAX(0.4*U421-VLOOKUP(B416,INDIRECT($F$8),8+(O421-1)*3),0.3*S421-VLOOKUP(B416,INDIRECT($F$8),6+(O421-1)*3)),11),IF(0.3*S421-VLOOKUP(B416,INDIRECT($F$8),6+(O421-1)*3)&lt;=5,0.3*S421-VLOOKUP(B416,INDIRECT($F$8),6+(O421-1)*3),11)),IF(VLOOKUP(B416,INDIRECT($F$8),8+(O421-1)*3)&lt;U421*0.4,IF(U421*0.4-VLOOKUP(B416,INDIRECT($F$8),8+(O421-1)*3)&lt;=5,U421*0.4-VLOOKUP(B416,INDIRECT($F$8),8+(O421-1)*3),11),0))))</f>
        <v>11</v>
      </c>
      <c r="X421" s="1" t="str">
        <f ca="1">IF(ISERROR(F416),"",IF(W421=0,"",_xlfn.TEXTJOIN("",FALSE," G+",W421," in ",A421)))</f>
        <v xml:space="preserve"> G+11 in CAT  014</v>
      </c>
    </row>
    <row r="422" spans="1:24" ht="14.25" customHeight="1" x14ac:dyDescent="0.2">
      <c r="A422" s="7" t="str">
        <f ca="1">IF(ISERROR(F416),"",VLOOKUP(C416,INDIRECT($F$8),6+(O422-1)*3,0))</f>
        <v>CAT 015</v>
      </c>
      <c r="B422" s="41" t="str">
        <f ca="1">IF(ISERROR(F416),"",VLOOKUP(D416,INDIRECT($F$8),6+(O422-1)*3,0))</f>
        <v>Software Engineering</v>
      </c>
      <c r="C422" s="41"/>
      <c r="D422" s="41"/>
      <c r="E422" s="41"/>
      <c r="F422" s="7">
        <f ca="1">IF(ISERROR(F416),"",VLOOKUP(E416,INDIRECT($F$8),6+(O422-1)*3,0))</f>
        <v>4</v>
      </c>
      <c r="G422" s="42" t="str">
        <f ca="1">IF(ISERROR(F416),"",_xlfn.TEXTJOIN("/",FALSE,P422,S422))</f>
        <v>0/100</v>
      </c>
      <c r="H422" s="42"/>
      <c r="I422" s="42" t="str">
        <f ca="1">IF(ISERROR(F416),"",_xlfn.TEXTJOIN("/",FALSE,Q422,T422))</f>
        <v>0/50</v>
      </c>
      <c r="J422" s="42"/>
      <c r="K422" s="42" t="str">
        <f ca="1">IF(ISERROR(F416),"",_xlfn.TEXTJOIN("/",FALSE,R422,U422))</f>
        <v>0/150</v>
      </c>
      <c r="L422" s="42"/>
      <c r="M422" s="7" t="str">
        <f ca="1">IF(ISERROR(F416),"",IF(ISTEXT(P422),IF(P422="A","Ab",IF(P422="D","Dt",IF(P422="UFM","UFM",IF(P422="NA","")))),IF(AND(ISBLANK(P422),ISBLANK(R422)),"",IF(P422&lt;0.3*S422,"F",IF(ISBLANK(R422),"",IF(ISTEXT(R422),R422,IF(R422&gt;=0.9*U422,"O",IF(R422&gt;=0.85*U422,"A+",IF(R422&gt;=0.8*U422,"A",IF(R422&gt;=0.7*U422,"B+",IF(R422&gt;=0.6*U422,"B",IF(R422&gt;=0.5*U422,"C",IF(R422&gt;=0.4*U422,"P",IF(R422&lt;0.4*U422,"F",R422))))))))))))))</f>
        <v>F</v>
      </c>
      <c r="N422" s="8">
        <f t="shared" ca="1" si="48"/>
        <v>0</v>
      </c>
      <c r="O422">
        <f>O421+1</f>
        <v>2</v>
      </c>
      <c r="P422" s="1">
        <f ca="1">IF(ISERROR(F416),"",IF(ISTEXT(VLOOKUP(B416,INDIRECT($F$8),6+(O422-1)*3)),(VLOOKUP(B416,INDIRECT($F$8),6+(O422-1)*3)),SUM(VLOOKUP(B416,INDIRECT($F$8),6+(O422-1)*3),IF(W429,W422,0))))</f>
        <v>0</v>
      </c>
      <c r="Q422" s="1">
        <f ca="1">IF(ISERROR(F416),"",VLOOKUP(B416,INDIRECT($F$8),7+(O422-1)*3))</f>
        <v>0</v>
      </c>
      <c r="R422" s="1">
        <f ca="1">IF(ISERROR(F416),"",SUM(P422:Q422))</f>
        <v>0</v>
      </c>
      <c r="S422" s="1">
        <f ca="1">IF(ISERROR(F416),"",VLOOKUP(A416,INDIRECT($F$8),6+(O422-1)*3))</f>
        <v>100</v>
      </c>
      <c r="T422" s="1">
        <f ca="1">IF(ISERROR(F416),"",VLOOKUP(A416,INDIRECT($F$8),7+(O422-1)*3))</f>
        <v>50</v>
      </c>
      <c r="U422" s="1">
        <f ca="1">IF(ISERROR(F416),"",VLOOKUP(A416,INDIRECT($F$8),8+(O422-1)*3))</f>
        <v>150</v>
      </c>
      <c r="V422" s="1" t="str">
        <f ca="1">IF(ISERROR(F416),"",IF(N422=0,A422,""))</f>
        <v>CAT 015</v>
      </c>
      <c r="W422" s="1">
        <f ca="1">IF(ISERROR(F416),"",IF(ISTEXT(VLOOKUP(B416,INDIRECT($F$8),6+(O422-1)*3)),11,IF(VLOOKUP(B416,INDIRECT($F$8),6+(O422-1)*3)&lt;S422*0.3,IF(VLOOKUP(B416,INDIRECT($F$8),8+(O422-1)*3)&lt;U422*0.4,IF(AND(0.4*U422-VLOOKUP(B416,INDIRECT($F$8),8+(O422-1)*3)&lt;=5,0.3*S422-VLOOKUP(B416,INDIRECT($F$8),6+(O422-1)*3)&lt;=5),MAX(0.4*U422-VLOOKUP(B416,INDIRECT($F$8),8+(O422-1)*3),0.3*S422-VLOOKUP(B416,INDIRECT($F$8),6+(O422-1)*3)),11),IF(0.3*S422-VLOOKUP(B416,INDIRECT($F$8),6+(O422-1)*3)&lt;=5,0.3*S422-VLOOKUP(B416,INDIRECT($F$8),6+(O422-1)*3),11)),IF(VLOOKUP(B416,INDIRECT($F$8),8+(O422-1)*3)&lt;U422*0.4,IF(U422*0.4-VLOOKUP(B416,INDIRECT($F$8),8+(O422-1)*3)&lt;=5,U422*0.4-VLOOKUP(B416,INDIRECT($F$8),8+(O422-1)*3),11),0))))</f>
        <v>11</v>
      </c>
      <c r="X422" s="1" t="str">
        <f ca="1">IF(ISERROR(F416),"",IF(W422=0,"",_xlfn.TEXTJOIN("",FALSE," G+",W422," in ",A422)))</f>
        <v xml:space="preserve"> G+11 in CAT 015</v>
      </c>
    </row>
    <row r="423" spans="1:24" ht="14.25" customHeight="1" x14ac:dyDescent="0.2">
      <c r="A423" s="7" t="str">
        <f ca="1">IF(ISERROR(F416),"",VLOOKUP(C416,INDIRECT($F$8),6+(O423-1)*3,0))</f>
        <v>Enroll No.</v>
      </c>
      <c r="B423" s="41">
        <f ca="1">IF(ISERROR(F416),"",VLOOKUP(D416,INDIRECT($F$8),6+(O423-1)*3,0))</f>
        <v>0</v>
      </c>
      <c r="C423" s="41"/>
      <c r="D423" s="41"/>
      <c r="E423" s="41"/>
      <c r="F423" s="7">
        <f ca="1">IF(ISERROR(F416),"",VLOOKUP(E416,INDIRECT($F$8),6+(O423-1)*3,0))</f>
        <v>0</v>
      </c>
      <c r="G423" s="42" t="str">
        <f ca="1">IF(ISERROR(F416),"",_xlfn.TEXTJOIN("/",FALSE,P423,S423))</f>
        <v>UTU/2406100189/0</v>
      </c>
      <c r="H423" s="42"/>
      <c r="I423" s="42" t="str">
        <f ca="1">IF(ISERROR(F416),"",_xlfn.TEXTJOIN("/",FALSE,Q423,T423))</f>
        <v>SURAJ SINGH BISHT/0</v>
      </c>
      <c r="J423" s="42"/>
      <c r="K423" s="42" t="str">
        <f ca="1">IF(ISERROR(F416),"",_xlfn.TEXTJOIN("/",FALSE,R423,U423))</f>
        <v>0/0</v>
      </c>
      <c r="L423" s="42"/>
      <c r="M423" s="7" t="b">
        <f ca="1">IF(ISERROR(F416),"",IF(ISTEXT(P423),IF(P423="A","Ab",IF(P423="D","Dt",IF(P423="UFM","UFM",IF(P423="NA","")))),IF(AND(ISBLANK(P423),ISBLANK(R423)),"",IF(P423&lt;0.3*S423,"F",IF(ISBLANK(R423),"",IF(ISTEXT(R423),R423,IF(R423&gt;=0.9*U423,"O",IF(R423&gt;=0.85*U423,"A+",IF(R423&gt;=0.8*U423,"A",IF(R423&gt;=0.7*U423,"B+",IF(R423&gt;=0.6*U423,"B",IF(R423&gt;=0.5*U423,"C",IF(R423&gt;=0.4*U423,"P",IF(R423&lt;0.4*U423,"F",R423))))))))))))))</f>
        <v>0</v>
      </c>
      <c r="N423" s="8" t="e">
        <f t="shared" ca="1" si="48"/>
        <v>#N/A</v>
      </c>
      <c r="O423" t="b" cm="1">
        <f t="array" aca="1" ref="O423" ca="1">IF(NOT(ISBLANK(INDIRECT("SEM_III!L"&amp;INT((ROW(O423)-15)/17)+6))),3,IF(NOT(ISBLANK(INDIRECT("SEM_III!O"&amp;INT((ROW(O423)-15)/17)+6))),4))</f>
        <v>0</v>
      </c>
      <c r="P423" s="1" t="str">
        <f ca="1">IF(ISERROR(F416),"",IF(ISTEXT(VLOOKUP(B416,INDIRECT($F$8),6+(O423-1)*3)),(VLOOKUP(B416,INDIRECT($F$8),6+(O423-1)*3)),SUM(VLOOKUP(B416,INDIRECT($F$8),6+(O423-1)*3),IF(W429,W423,0))))</f>
        <v>UTU/2406100189</v>
      </c>
      <c r="Q423" s="1" t="str">
        <f ca="1">IF(ISERROR(F416),"",VLOOKUP(B416,INDIRECT($F$8),7+(O423-1)*3))</f>
        <v>SURAJ SINGH BISHT</v>
      </c>
      <c r="R423" s="1">
        <f ca="1">IF(ISERROR(F416),"",SUM(P423:Q423))</f>
        <v>0</v>
      </c>
      <c r="S423" s="1">
        <f ca="1">IF(ISERROR(F416),"",VLOOKUP(A416,INDIRECT($F$8),6+(O423-1)*3))</f>
        <v>0</v>
      </c>
      <c r="T423" s="1">
        <f ca="1">IF(ISERROR(F416),"",VLOOKUP(A416,INDIRECT($F$8),7+(O423-1)*3))</f>
        <v>0</v>
      </c>
      <c r="U423" s="1">
        <f ca="1">IF(ISERROR(F416),"",VLOOKUP(A416,INDIRECT($F$8),8+(O423-1)*3))</f>
        <v>0</v>
      </c>
      <c r="V423" s="1" t="e">
        <f ca="1">IF(ISERROR(F416),"",IF(N423=0,A423,""))</f>
        <v>#N/A</v>
      </c>
      <c r="W423" s="1">
        <f ca="1">IF(ISERROR(F416),"",IF(ISTEXT(VLOOKUP(B416,INDIRECT($F$8),6+(O423-1)*3)),11,IF(VLOOKUP(B416,INDIRECT($F$8),6+(O423-1)*3)&lt;S423*0.3,IF(VLOOKUP(B416,INDIRECT($F$8),8+(O423-1)*3)&lt;U423*0.4,IF(AND(0.4*U423-VLOOKUP(B416,INDIRECT($F$8),8+(O423-1)*3)&lt;=5,0.3*S423-VLOOKUP(B416,INDIRECT($F$8),6+(O423-1)*3)&lt;=5),MAX(0.4*U423-VLOOKUP(B416,INDIRECT($F$8),8+(O423-1)*3),0.3*S423-VLOOKUP(B416,INDIRECT($F$8),6+(O423-1)*3)),11),IF(0.3*S423-VLOOKUP(B416,INDIRECT($F$8),6+(O423-1)*3)&lt;=5,0.3*S423-VLOOKUP(B416,INDIRECT($F$8),6+(O423-1)*3),11)),IF(VLOOKUP(B416,INDIRECT($F$8),8+(O423-1)*3)&lt;U423*0.4,IF(U423*0.4-VLOOKUP(B416,INDIRECT($F$8),8+(O423-1)*3)&lt;=5,U423*0.4-VLOOKUP(B416,INDIRECT($F$8),8+(O423-1)*3),11),0))))</f>
        <v>11</v>
      </c>
      <c r="X423" s="1" t="str">
        <f ca="1">IF(ISERROR(F416),"",IF(W423=0,"",_xlfn.TEXTJOIN("",FALSE," G+",W423," in ",A423)))</f>
        <v xml:space="preserve"> G+11 in Enroll No.</v>
      </c>
    </row>
    <row r="424" spans="1:24" ht="14.25" customHeight="1" x14ac:dyDescent="0.2">
      <c r="A424" s="7" t="str">
        <f ca="1">IF(ISERROR(F416),"",VLOOKUP(C416,INDIRECT($F$8),6+(O424-1)*3,0))</f>
        <v>Enroll No.</v>
      </c>
      <c r="B424" s="41">
        <f ca="1">IF(ISERROR(F416),"",VLOOKUP(D416,INDIRECT($F$8),6+(O424-1)*3,0))</f>
        <v>0</v>
      </c>
      <c r="C424" s="41"/>
      <c r="D424" s="41"/>
      <c r="E424" s="41"/>
      <c r="F424" s="7">
        <f ca="1">IF(ISERROR(F416),"",VLOOKUP(E416,INDIRECT($F$8),6+(O424-1)*3,0))</f>
        <v>0</v>
      </c>
      <c r="G424" s="42" t="str">
        <f ca="1">IF(ISERROR(F416),"",_xlfn.TEXTJOIN("/",FALSE,P424,S424))</f>
        <v>UTU/2406100189/0</v>
      </c>
      <c r="H424" s="42"/>
      <c r="I424" s="42" t="str">
        <f ca="1">IF(ISERROR(F416),"",_xlfn.TEXTJOIN("/",FALSE,Q424,T424))</f>
        <v>SURAJ SINGH BISHT/0</v>
      </c>
      <c r="J424" s="42"/>
      <c r="K424" s="42" t="str">
        <f ca="1">IF(ISERROR(F416),"",_xlfn.TEXTJOIN("/",FALSE,R424,U424))</f>
        <v>0/0</v>
      </c>
      <c r="L424" s="42"/>
      <c r="M424" s="7" t="b">
        <f ca="1">IF(ISERROR(F416),"",IF(ISTEXT(P424),IF(P424="A","Ab",IF(P424="D","Dt",IF(P424="UFM","UFM",IF(P424="NA","")))),IF(AND(ISBLANK(P424),ISBLANK(R424)),"",IF(P424&lt;0.3*S424,"F",IF(ISBLANK(R424),"",IF(ISTEXT(R424),R424,IF(R424&gt;=0.9*U424,"O",IF(R424&gt;=0.85*U424,"A+",IF(R424&gt;=0.8*U424,"A",IF(R424&gt;=0.7*U424,"B+",IF(R424&gt;=0.6*U424,"B",IF(R424&gt;=0.5*U424,"C",IF(R424&gt;=0.4*U424,"P",IF(R424&lt;0.4*U424,"F",R424))))))))))))))</f>
        <v>0</v>
      </c>
      <c r="N424" s="8" t="e">
        <f t="shared" ca="1" si="48"/>
        <v>#N/A</v>
      </c>
      <c r="O424" t="b" cm="1">
        <f t="array" aca="1" ref="O424" ca="1">IF(NOT(ISBLANK(INDIRECT("SEM_III!R"&amp;INT((ROW(O424)-16)/17)+6))),5,IF(NOT(ISBLANK(INDIRECT("SEM_III!U"&amp;INT((ROW(O424)-16)/17)+6))),6))</f>
        <v>0</v>
      </c>
      <c r="P424" s="1" t="str">
        <f ca="1">IF(ISERROR(F416),"",IF(ISTEXT(VLOOKUP(B416,INDIRECT($F$8),6+(O424-1)*3)),(VLOOKUP(B416,INDIRECT($F$8),6+(O424-1)*3)),SUM(VLOOKUP(B416,INDIRECT($F$8),6+(O424-1)*3),IF(W429,W424,0))))</f>
        <v>UTU/2406100189</v>
      </c>
      <c r="Q424" s="1" t="str">
        <f ca="1">IF(ISERROR(F416),"",VLOOKUP(B416,INDIRECT($F$8),7+(O424-1)*3))</f>
        <v>SURAJ SINGH BISHT</v>
      </c>
      <c r="R424" s="1">
        <f ca="1">IF(ISERROR(F416),"",SUM(P424:Q424))</f>
        <v>0</v>
      </c>
      <c r="S424" s="1">
        <f ca="1">IF(ISERROR(F416),"",VLOOKUP(A416,INDIRECT($F$8),6+(O424-1)*3))</f>
        <v>0</v>
      </c>
      <c r="T424" s="1">
        <f ca="1">IF(ISERROR(F416),"",VLOOKUP(A416,INDIRECT($F$8),7+(O424-1)*3))</f>
        <v>0</v>
      </c>
      <c r="U424" s="1">
        <f ca="1">IF(ISERROR(F416),"",VLOOKUP(A416,INDIRECT($F$8),8+(O424-1)*3))</f>
        <v>0</v>
      </c>
      <c r="V424" s="1" t="e">
        <f ca="1">IF(ISERROR(F416),"",IF(N424=0,A424,""))</f>
        <v>#N/A</v>
      </c>
      <c r="W424" s="1">
        <f ca="1">IF(ISERROR(F416),"",IF(ISTEXT(VLOOKUP(B416,INDIRECT($F$8),6+(O424-1)*3)),11,IF(VLOOKUP(B416,INDIRECT($F$8),6+(O424-1)*3)&lt;S424*0.3,IF(VLOOKUP(B416,INDIRECT($F$8),8+(O424-1)*3)&lt;U424*0.4,IF(AND(0.4*U424-VLOOKUP(B416,INDIRECT($F$8),8+(O424-1)*3)&lt;=5,0.3*S424-VLOOKUP(B416,INDIRECT($F$8),6+(O424-1)*3)&lt;=5),MAX(0.4*U424-VLOOKUP(B416,INDIRECT($F$8),8+(O424-1)*3),0.3*S424-VLOOKUP(B416,INDIRECT($F$8),6+(O424-1)*3)),11),IF(0.3*S424-VLOOKUP(B416,INDIRECT($F$8),6+(O424-1)*3)&lt;=5,0.3*S424-VLOOKUP(B416,INDIRECT($F$8),6+(O424-1)*3),11)),IF(VLOOKUP(B416,INDIRECT($F$8),8+(O424-1)*3)&lt;U424*0.4,IF(U424*0.4-VLOOKUP(B416,INDIRECT($F$8),8+(O424-1)*3)&lt;=5,U424*0.4-VLOOKUP(B416,INDIRECT($F$8),8+(O424-1)*3),11),0))))</f>
        <v>11</v>
      </c>
      <c r="X424" s="1" t="str">
        <f ca="1">IF(ISERROR(F416),"",IF(W424=0,"",_xlfn.TEXTJOIN("",FALSE," G+",W424," in ",A424)))</f>
        <v xml:space="preserve"> G+11 in Enroll No.</v>
      </c>
    </row>
    <row r="425" spans="1:24" ht="14.25" customHeight="1" x14ac:dyDescent="0.2">
      <c r="A425" s="7" t="str">
        <f ca="1">IF(ISERROR(F416),"",VLOOKUP(C416,INDIRECT($F$8),6+(O425-1)*3,0))</f>
        <v>AHT 310</v>
      </c>
      <c r="B425" s="41" t="str">
        <f ca="1">IF(ISERROR(F416),"",VLOOKUP(D416,INDIRECT($F$8),6+(O425-1)*3,0))</f>
        <v>Universal Human Value</v>
      </c>
      <c r="C425" s="41"/>
      <c r="D425" s="41"/>
      <c r="E425" s="41"/>
      <c r="F425" s="7">
        <f ca="1">IF(ISERROR(F416),"",VLOOKUP(E416,INDIRECT($F$8),6+(O425-1)*3,0))</f>
        <v>3</v>
      </c>
      <c r="G425" s="42" t="str">
        <f ca="1">IF(ISERROR(F416),"",_xlfn.TEXTJOIN("/",FALSE,P425,S425))</f>
        <v>0/100</v>
      </c>
      <c r="H425" s="42"/>
      <c r="I425" s="42" t="str">
        <f ca="1">IF(ISERROR(F416),"",_xlfn.TEXTJOIN("/",FALSE,Q425,T425))</f>
        <v>0/50</v>
      </c>
      <c r="J425" s="42"/>
      <c r="K425" s="42" t="str">
        <f ca="1">IF(ISERROR(F416),"",_xlfn.TEXTJOIN("/",FALSE,R425,U425))</f>
        <v>0/150</v>
      </c>
      <c r="L425" s="42"/>
      <c r="M425" s="7" t="str">
        <f ca="1">IF(ISERROR(F416),"",IF(ISTEXT(P425),IF(P425="A","Ab",IF(P425="D","Dt",IF(P425="UFM","UFM",IF(P425="NA","")))),IF(AND(ISBLANK(P425),ISBLANK(R425)),"",IF(P425&lt;0.3*S425,"F",IF(ISBLANK(R425),"",IF(ISTEXT(R425),R425,IF(R425&gt;=0.9*U425,"O",IF(R425&gt;=0.85*U425,"A+",IF(R425&gt;=0.8*U425,"A",IF(R425&gt;=0.7*U425,"B+",IF(R425&gt;=0.6*U425,"B",IF(R425&gt;=0.5*U425,"C",IF(R425&gt;=0.4*U425,"P",IF(R425&lt;0.4*U425,"F",R425))))))))))))))</f>
        <v>F</v>
      </c>
      <c r="N425" s="8">
        <f t="shared" ca="1" si="48"/>
        <v>0</v>
      </c>
      <c r="O425">
        <f ca="1">IF(O424&gt;0,7,"")</f>
        <v>7</v>
      </c>
      <c r="P425" s="1">
        <f ca="1">IF(ISERROR(F416),"",IF(ISTEXT(VLOOKUP(B416,INDIRECT($F$8),6+(O425-1)*3)),(VLOOKUP(B416,INDIRECT($F$8),6+(O425-1)*3)),SUM(VLOOKUP(B416,INDIRECT($F$8),6+(O425-1)*3),IF(W429,W425,0))))</f>
        <v>0</v>
      </c>
      <c r="Q425" s="1">
        <f ca="1">IF(ISERROR(F416),"",VLOOKUP(B416,INDIRECT($F$8),7+(O425-1)*3))</f>
        <v>0</v>
      </c>
      <c r="R425" s="1">
        <f ca="1">IF(ISERROR(F416),"",SUM(P425:Q425))</f>
        <v>0</v>
      </c>
      <c r="S425" s="1">
        <f ca="1">IF(ISERROR(F416),"",VLOOKUP(A416,INDIRECT($F$8),6+(O425-1)*3))</f>
        <v>100</v>
      </c>
      <c r="T425" s="1">
        <f ca="1">IF(ISERROR(F416),"",VLOOKUP(A416,INDIRECT($F$8),7+(O425-1)*3))</f>
        <v>50</v>
      </c>
      <c r="U425" s="1">
        <f ca="1">IF(ISERROR(F416),"",VLOOKUP(A416,INDIRECT($F$8),8+(O425-1)*3))</f>
        <v>150</v>
      </c>
      <c r="V425" s="1" t="str">
        <f ca="1">IF(ISERROR(F416),"",IF(N425=0,A425,""))</f>
        <v>AHT 310</v>
      </c>
      <c r="W425" s="1">
        <f ca="1">IF(ISERROR(F416),"",IF(ISTEXT(VLOOKUP(B416,INDIRECT($F$8),6+(O425-1)*3)),11,IF(VLOOKUP(B416,INDIRECT($F$8),6+(O425-1)*3)&lt;S425*0.3,IF(VLOOKUP(B416,INDIRECT($F$8),8+(O425-1)*3)&lt;U425*0.4,IF(AND(0.4*U425-VLOOKUP(B416,INDIRECT($F$8),8+(O425-1)*3)&lt;=5,0.3*S425-VLOOKUP(B416,INDIRECT($F$8),6+(O425-1)*3)&lt;=5),MAX(0.4*U425-VLOOKUP(B416,INDIRECT($F$8),8+(O425-1)*3),0.3*S425-VLOOKUP(B416,INDIRECT($F$8),6+(O425-1)*3)),11),IF(0.3*S425-VLOOKUP(B416,INDIRECT($F$8),6+(O425-1)*3)&lt;=5,0.3*S425-VLOOKUP(B416,INDIRECT($F$8),6+(O425-1)*3),11)),IF(VLOOKUP(B416,INDIRECT($F$8),8+(O425-1)*3)&lt;U425*0.4,IF(U425*0.4-VLOOKUP(B416,INDIRECT($F$8),8+(O425-1)*3)&lt;=5,U425*0.4-VLOOKUP(B416,INDIRECT($F$8),8+(O425-1)*3),11),0))))</f>
        <v>11</v>
      </c>
      <c r="X425" s="1" t="str">
        <f ca="1">IF(ISERROR(F416),"",IF(W425=0,"",_xlfn.TEXTJOIN("",FALSE," G+",W425," in ",A425)))</f>
        <v xml:space="preserve"> G+11 in AHT 310</v>
      </c>
    </row>
    <row r="426" spans="1:24" ht="14.25" customHeight="1" x14ac:dyDescent="0.2">
      <c r="A426" s="7" t="str">
        <f ca="1">IF(ISERROR(F416),"",VLOOKUP(C416,INDIRECT($F$8),6+(O426-1)*3,0))</f>
        <v>CAP 008</v>
      </c>
      <c r="B426" s="41" t="str">
        <f ca="1">IF(ISERROR(F416),"",VLOOKUP(D416,INDIRECT($F$8),6+(O426-1)*3,0))</f>
        <v>Software Engineering Lab</v>
      </c>
      <c r="C426" s="41"/>
      <c r="D426" s="41"/>
      <c r="E426" s="41"/>
      <c r="F426" s="7">
        <f ca="1">IF(ISERROR(F416),"",VLOOKUP(E416,INDIRECT($F$8),6+(O426-1)*3,0))</f>
        <v>1</v>
      </c>
      <c r="G426" s="42" t="str">
        <f ca="1">IF(ISERROR(F416),"",_xlfn.TEXTJOIN("/",FALSE,P426,S426))</f>
        <v>0/30</v>
      </c>
      <c r="H426" s="42"/>
      <c r="I426" s="42" t="str">
        <f ca="1">IF(ISERROR(F416),"",_xlfn.TEXTJOIN("/",FALSE,Q426,T426))</f>
        <v>0/20</v>
      </c>
      <c r="J426" s="42"/>
      <c r="K426" s="42" t="str">
        <f ca="1">IF(ISERROR(F416),"",_xlfn.TEXTJOIN("/",FALSE,R426,U426))</f>
        <v>0/50</v>
      </c>
      <c r="L426" s="42"/>
      <c r="M426" s="7" t="str">
        <f ca="1">IF(ISERROR(F416),"",IF(ISTEXT(P426),IF(P426="A","Ab",IF(P426="D","Dt",IF(P426="UFM","UFM",IF(P426="NA","")))),IF(AND(ISBLANK(P426),ISBLANK(R426)),"",IF(P426&lt;0.3*S426,"F",IF(ISBLANK(R426),"",IF(ISTEXT(R426),R426,IF(R426&gt;=0.9*U426,"O",IF(R426&gt;=0.85*U426,"A+",IF(R426&gt;=0.8*U426,"A",IF(R426&gt;=0.7*U426,"B+",IF(R426&gt;=0.6*U426,"B",IF(R426&gt;=0.5*U426,"C",IF(R426&gt;=0.4*U426,"P",IF(R426&lt;0.4*U426,"F",R426))))))))))))))</f>
        <v>F</v>
      </c>
      <c r="N426" s="8">
        <f t="shared" ca="1" si="48"/>
        <v>0</v>
      </c>
      <c r="O426">
        <f t="shared" ref="O426:O428" ca="1" si="49">O425+1</f>
        <v>8</v>
      </c>
      <c r="P426" s="1">
        <f ca="1">IF(ISERROR(F416),"",IF(ISTEXT(VLOOKUP(B416,INDIRECT($F$8),6+(O426-1)*3)),(VLOOKUP(B416,INDIRECT($F$8),6+(O426-1)*3)),SUM(VLOOKUP(B416,INDIRECT($F$8),6+(O426-1)*3),IF(W429,W426,0))))</f>
        <v>0</v>
      </c>
      <c r="Q426" s="1">
        <f ca="1">IF(ISERROR(F416),"",VLOOKUP(B416,INDIRECT($F$8),7+(O426-1)*3))</f>
        <v>0</v>
      </c>
      <c r="R426" s="1">
        <f ca="1">IF(ISERROR(F416),"",SUM(P426:Q426))</f>
        <v>0</v>
      </c>
      <c r="S426" s="1">
        <f ca="1">IF(ISERROR(F416),"",VLOOKUP(A416,INDIRECT($F$8),6+(O426-1)*3))</f>
        <v>30</v>
      </c>
      <c r="T426" s="1">
        <f ca="1">IF(ISERROR(F416),"",VLOOKUP(A416,INDIRECT($F$8),7+(O426-1)*3))</f>
        <v>20</v>
      </c>
      <c r="U426" s="1">
        <f ca="1">IF(ISERROR(F416),"",VLOOKUP(A416,INDIRECT($F$8),8+(O426-1)*3))</f>
        <v>50</v>
      </c>
      <c r="V426" s="1" t="str">
        <f ca="1">IF(ISERROR(F416),"",IF(N426=0,A426,""))</f>
        <v>CAP 008</v>
      </c>
      <c r="W426" s="1">
        <f ca="1">IF(ISERROR(F416),"",IF(ISTEXT(VLOOKUP(B416,INDIRECT($F$8),6+(O426-1)*3)),11,IF(VLOOKUP(B416,INDIRECT($F$8),6+(O426-1)*3)&lt;S426*0.3,IF(VLOOKUP(B416,INDIRECT($F$8),8+(O426-1)*3)&lt;U426*0.4,IF(AND(0.4*U426-VLOOKUP(B416,INDIRECT($F$8),8+(O426-1)*3)&lt;=5,0.3*S426-VLOOKUP(B416,INDIRECT($F$8),6+(O426-1)*3)&lt;=5),MAX(0.4*U426-VLOOKUP(B416,INDIRECT($F$8),8+(O426-1)*3),0.3*S426-VLOOKUP(B416,INDIRECT($F$8),6+(O426-1)*3)),11),IF(0.3*S426-VLOOKUP(B416,INDIRECT($F$8),6+(O426-1)*3)&lt;=5,0.3*S426-VLOOKUP(B416,INDIRECT($F$8),6+(O426-1)*3),11)),IF(VLOOKUP(B416,INDIRECT($F$8),8+(O426-1)*3)&lt;U426*0.4,IF(U426*0.4-VLOOKUP(B416,INDIRECT($F$8),8+(O426-1)*3)&lt;=5,U426*0.4-VLOOKUP(B416,INDIRECT($F$8),8+(O426-1)*3),11),0))))</f>
        <v>11</v>
      </c>
      <c r="X426" s="1" t="str">
        <f ca="1">IF(ISERROR(F416),"",IF(W426=0,"",_xlfn.TEXTJOIN("",FALSE," G+",W426," in ",A426)))</f>
        <v xml:space="preserve"> G+11 in CAP 008</v>
      </c>
    </row>
    <row r="427" spans="1:24" ht="14.25" customHeight="1" x14ac:dyDescent="0.2">
      <c r="A427" s="7" t="str">
        <f ca="1">IF(ISERROR(F416),"",VLOOKUP(C416,INDIRECT($F$8),6+(O427-1)*3,0))</f>
        <v>CAP 009</v>
      </c>
      <c r="B427" s="41" t="str">
        <f ca="1">IF(ISERROR(F416),"",VLOOKUP(D416,INDIRECT($F$8),6+(O427-1)*3,0))</f>
        <v>Seminar</v>
      </c>
      <c r="C427" s="41"/>
      <c r="D427" s="41"/>
      <c r="E427" s="41"/>
      <c r="F427" s="7">
        <f ca="1">IF(ISERROR(F416),"",VLOOKUP(E416,INDIRECT($F$8),6+(O427-1)*3,0))</f>
        <v>2</v>
      </c>
      <c r="G427" s="42" t="str">
        <f ca="1">IF(ISERROR(F416),"",_xlfn.TEXTJOIN("/",FALSE,P427,S427))</f>
        <v>0/0</v>
      </c>
      <c r="H427" s="42"/>
      <c r="I427" s="42" t="str">
        <f ca="1">IF(ISERROR(F416),"",_xlfn.TEXTJOIN("/",FALSE,Q427,T427))</f>
        <v>0/100</v>
      </c>
      <c r="J427" s="42"/>
      <c r="K427" s="42" t="str">
        <f ca="1">IF(ISERROR(F416),"",_xlfn.TEXTJOIN("/",FALSE,R427,U427))</f>
        <v>0/100</v>
      </c>
      <c r="L427" s="42"/>
      <c r="M427" s="7" t="str">
        <f ca="1">IF(ISERROR(F416),"",IF(ISTEXT(P427),IF(P427="A","Ab",IF(P427="D","Dt",IF(P427="UFM","UFM",IF(P427="NA","")))),IF(AND(ISBLANK(P427),ISBLANK(R427)),"",IF(P427&lt;0.3*S427,"F",IF(ISBLANK(R427),"",IF(ISTEXT(R427),R427,IF(R427&gt;=0.9*U427,"O",IF(R427&gt;=0.85*U427,"A+",IF(R427&gt;=0.8*U427,"A",IF(R427&gt;=0.7*U427,"B+",IF(R427&gt;=0.6*U427,"B",IF(R427&gt;=0.5*U427,"C",IF(R427&gt;=0.4*U427,"P",IF(R427&lt;0.4*U427,"F",R427))))))))))))))</f>
        <v>F</v>
      </c>
      <c r="N427" s="8">
        <f t="shared" ca="1" si="48"/>
        <v>0</v>
      </c>
      <c r="O427">
        <f t="shared" ca="1" si="49"/>
        <v>9</v>
      </c>
      <c r="P427" s="1">
        <f ca="1">IF(ISERROR(F416),"",IF(ISTEXT(VLOOKUP(B416,INDIRECT($F$8),6+(O427-1)*3)),(VLOOKUP(B416,INDIRECT($F$8),6+(O427-1)*3)),SUM(VLOOKUP(B416,INDIRECT($F$8),6+(O427-1)*3),IF(W429,W427,0))))</f>
        <v>0</v>
      </c>
      <c r="Q427" s="1">
        <f ca="1">IF(ISERROR(F416),"",VLOOKUP(B416,INDIRECT($F$8),7+(O427-1)*3))</f>
        <v>0</v>
      </c>
      <c r="R427" s="1">
        <f ca="1">IF(ISERROR(F416),"",SUM(P427:Q427))</f>
        <v>0</v>
      </c>
      <c r="S427" s="1">
        <f ca="1">IF(ISERROR(F416),"",VLOOKUP(A416,INDIRECT($F$8),6+(O427-1)*3))</f>
        <v>0</v>
      </c>
      <c r="T427" s="1">
        <f ca="1">IF(ISERROR(F416),"",VLOOKUP(A416,INDIRECT($F$8),7+(O427-1)*3))</f>
        <v>100</v>
      </c>
      <c r="U427" s="1">
        <f ca="1">IF(ISERROR(F416),"",VLOOKUP(A416,INDIRECT($F$8),8+(O427-1)*3))</f>
        <v>100</v>
      </c>
      <c r="V427" s="1" t="str">
        <f ca="1">IF(ISERROR(F416),"",IF(N427=0,A427,""))</f>
        <v>CAP 009</v>
      </c>
      <c r="W427" s="1">
        <f ca="1">IF(ISERROR(F416),"",IF(ISTEXT(VLOOKUP(B416,INDIRECT($F$8),6+(O427-1)*3)),11,IF(VLOOKUP(B416,INDIRECT($F$8),6+(O427-1)*3)&lt;S427*0.3,IF(VLOOKUP(B416,INDIRECT($F$8),8+(O427-1)*3)&lt;U427*0.4,IF(AND(0.4*U427-VLOOKUP(B416,INDIRECT($F$8),8+(O427-1)*3)&lt;=5,0.3*S427-VLOOKUP(B416,INDIRECT($F$8),6+(O427-1)*3)&lt;=5),MAX(0.4*U427-VLOOKUP(B416,INDIRECT($F$8),8+(O427-1)*3),0.3*S427-VLOOKUP(B416,INDIRECT($F$8),6+(O427-1)*3)),11),IF(0.3*S427-VLOOKUP(B416,INDIRECT($F$8),6+(O427-1)*3)&lt;=5,0.3*S427-VLOOKUP(B416,INDIRECT($F$8),6+(O427-1)*3),11)),IF(VLOOKUP(B416,INDIRECT($F$8),8+(O427-1)*3)&lt;U427*0.4,IF(U427*0.4-VLOOKUP(B416,INDIRECT($F$8),8+(O427-1)*3)&lt;=5,U427*0.4-VLOOKUP(B416,INDIRECT($F$8),8+(O427-1)*3),11),0))))</f>
        <v>11</v>
      </c>
      <c r="X427" s="1" t="str">
        <f ca="1">IF(ISERROR(F416),"",IF(W427=0,"",_xlfn.TEXTJOIN("",FALSE," G+",W427," in ",A427)))</f>
        <v xml:space="preserve"> G+11 in CAP 009</v>
      </c>
    </row>
    <row r="428" spans="1:24" ht="14.25" customHeight="1" x14ac:dyDescent="0.2">
      <c r="A428" s="7" t="str">
        <f ca="1">IF(ISERROR(F416),"",VLOOKUP(C416,INDIRECT($F$8),6+(O428-1)*3,0))</f>
        <v>CAP 010</v>
      </c>
      <c r="B428" s="41" t="str">
        <f ca="1">IF(ISERROR(F416),"",VLOOKUP(D416,INDIRECT($F$8),6+(O428-1)*3-Z428,0))</f>
        <v>Minor Project</v>
      </c>
      <c r="C428" s="41"/>
      <c r="D428" s="41"/>
      <c r="E428" s="41"/>
      <c r="F428" s="7">
        <f ca="1">IF(ISERROR(F416),"",VLOOKUP(E416,INDIRECT($F$8),6+(O428-1)*3,0))</f>
        <v>2</v>
      </c>
      <c r="G428" s="42" t="str">
        <f ca="1">IF(ISERROR(F416),"",_xlfn.TEXTJOIN("/",FALSE,P428,S428))</f>
        <v>0/50</v>
      </c>
      <c r="H428" s="42"/>
      <c r="I428" s="42" t="str">
        <f ca="1">IF(ISERROR(F416),"",_xlfn.TEXTJOIN("/",FALSE,Q428,T428))</f>
        <v>0/50</v>
      </c>
      <c r="J428" s="42"/>
      <c r="K428" s="42" t="str">
        <f ca="1">IF(ISERROR(F416),"",_xlfn.TEXTJOIN("/",FALSE,R428,U428))</f>
        <v>0/100</v>
      </c>
      <c r="L428" s="42"/>
      <c r="M428" s="7" t="str">
        <f ca="1">IF(ISERROR(F416),"",IF(ISTEXT(P428),IF(P428="A","Ab",IF(P428="D","Dt",IF(P428="UFM","UFM",IF(P428="NA","")))),IF(AND(ISBLANK(P428),ISBLANK(R428)),"",IF(P428&lt;0.3*S428,"F",IF(ISBLANK(R428),"",IF(ISTEXT(R428),R428,IF(R428&gt;=0.9*U428,"O",IF(R428&gt;=0.85*U428,"A+",IF(R428&gt;=0.8*U428,"A",IF(R428&gt;=0.7*U428,"B+",IF(R428&gt;=0.6*U428,"B",IF(R428&gt;=0.5*U428,"C",IF(R428&gt;=0.4*U428,"P",IF(R428&lt;0.4*U428,"F",R428))))))))))))))</f>
        <v>F</v>
      </c>
      <c r="N428" s="8">
        <f t="shared" ca="1" si="48"/>
        <v>0</v>
      </c>
      <c r="O428">
        <f t="shared" ca="1" si="49"/>
        <v>10</v>
      </c>
      <c r="P428" s="1">
        <f ca="1">IF(ISERROR(F416),"",IF(ISTEXT(VLOOKUP(B416,INDIRECT($F$8),6+(O428-1)*3)),(VLOOKUP(B416,INDIRECT($F$8),6+(O428-1)*3)),SUM(VLOOKUP(B416,INDIRECT($F$8),6+(O428-1)*3),IF(W429,W428,0))))</f>
        <v>0</v>
      </c>
      <c r="Q428" s="1">
        <f ca="1">IF(ISERROR(F416),"",VLOOKUP(B416,INDIRECT($F$8),7+(O428-1)*3))</f>
        <v>0</v>
      </c>
      <c r="R428" s="1">
        <f ca="1">IF(ISERROR(F416),"",SUM(P428:Q428))</f>
        <v>0</v>
      </c>
      <c r="S428" s="1">
        <f ca="1">IF(ISERROR(F416),"",VLOOKUP(A416,INDIRECT($F$8),6+(O428-1)*3))</f>
        <v>50</v>
      </c>
      <c r="T428" s="1">
        <f ca="1">IF(ISERROR(F416),"",VLOOKUP(A416,INDIRECT($F$8),7+(O428-1)*3))</f>
        <v>50</v>
      </c>
      <c r="U428" s="1">
        <f ca="1">IF(ISERROR(F416),"",VLOOKUP(A416,INDIRECT($F$8),8+(O428-1)*3))</f>
        <v>100</v>
      </c>
      <c r="V428" s="1" t="str">
        <f ca="1">IF(ISERROR(F416),"",IF(N428=0,A428,""))</f>
        <v>CAP 010</v>
      </c>
      <c r="W428" s="1">
        <f ca="1">IF(ISERROR(F416),"",IF(ISTEXT(VLOOKUP(B416,INDIRECT($F$8),6+(O428-1)*3)),11,IF(VLOOKUP(B416,INDIRECT($F$8),6+(O428-1)*3)&lt;S428*0.3,IF(VLOOKUP(B416,INDIRECT($F$8),8+(O428-1)*3)&lt;U428*0.4,IF(AND(0.4*U428-VLOOKUP(B416,INDIRECT($F$8),8+(O428-1)*3)&lt;=5,0.3*S428-VLOOKUP(B416,INDIRECT($F$8),6+(O428-1)*3)&lt;=5),MAX(0.4*U428-VLOOKUP(B416,INDIRECT($F$8),8+(O428-1)*3),0.3*S428-VLOOKUP(B416,INDIRECT($F$8),6+(O428-1)*3)),11),IF(0.3*S428-VLOOKUP(B416,INDIRECT($F$8),6+(O428-1)*3)&lt;=5,0.3*S428-VLOOKUP(B416,INDIRECT($F$8),6+(O428-1)*3),11)),IF(VLOOKUP(B416,INDIRECT($F$8),8+(O428-1)*3)&lt;U428*0.4,IF(U428*0.4-VLOOKUP(B416,INDIRECT($F$8),8+(O428-1)*3)&lt;=5,U428*0.4-VLOOKUP(B416,INDIRECT($F$8),8+(O428-1)*3),11),0))))</f>
        <v>11</v>
      </c>
      <c r="X428" s="1" t="str">
        <f ca="1">IF(ISERROR(F416),"",IF(W428=0,"",_xlfn.TEXTJOIN("",FALSE," G+",W428," in ",A428)))</f>
        <v xml:space="preserve"> G+11 in CAP 010</v>
      </c>
    </row>
    <row r="429" spans="1:24" ht="14.25" customHeight="1" x14ac:dyDescent="0.2">
      <c r="A429" s="43" t="str">
        <f ca="1">IF(ISERROR(F416),"",A412)</f>
        <v>Total Credits/ Marks/ Total Grade Points</v>
      </c>
      <c r="B429" s="43"/>
      <c r="C429" s="43"/>
      <c r="D429" s="43"/>
      <c r="E429" s="43"/>
      <c r="F429" s="10">
        <f ca="1">IF(ISERROR(F416),"",SUM(F421:F428))</f>
        <v>16</v>
      </c>
      <c r="G429" s="44" t="str">
        <f ca="1">IF(ISERROR(F416),"",_xlfn.TEXTJOIN("/",TRUE,SUMIF(F421:F428,"&gt;0",P421:P428),SUMIF(F421:F428,"&gt;0",S421:S428)))</f>
        <v>0/380</v>
      </c>
      <c r="H429" s="44"/>
      <c r="I429" s="44" t="str">
        <f ca="1">IF(ISERROR(F416),"",_xlfn.TEXTJOIN("/",TRUE,SUMIF(F421:F428,"&gt;0",Q421:Q428),SUMIF(F421:F428,"&gt;0",T421:T428)))</f>
        <v>0/320</v>
      </c>
      <c r="J429" s="44"/>
      <c r="K429" s="44" t="str">
        <f ca="1">IF(ISERROR(F416),"",_xlfn.TEXTJOIN("/",TRUE,SUMIF(F421:F428,"&gt;0",R421:R428),SUMIF(F421:F428,"&gt;0",U421:U428)))</f>
        <v>0/700</v>
      </c>
      <c r="L429" s="44"/>
      <c r="M429" s="43" t="e">
        <f ca="1">IF(ISERROR(F416),"",SUMPRODUCT(N421:N428,F421:F428))</f>
        <v>#N/A</v>
      </c>
      <c r="N429" s="43"/>
      <c r="V429" s="1" t="e">
        <f ca="1">IF(ISERROR(F416),"",_xlfn.TEXTJOIN(", ",TRUE,V421:V428))</f>
        <v>#N/A</v>
      </c>
      <c r="W429" t="b">
        <f ca="1">IF(ISERROR(F416),"",IF(SUM(W421:W428)&lt;=W420,TRUE,FALSE))</f>
        <v>0</v>
      </c>
      <c r="X429" s="1" t="str">
        <f ca="1">IF(ISERROR(F416),"",_xlfn.TEXTJOIN(",",TRUE,X421:X428))</f>
        <v xml:space="preserve"> G+11 in CAT  014, G+11 in CAT 015, G+11 in Enroll No., G+11 in Enroll No., G+11 in AHT 310, G+11 in CAP 008, G+11 in CAP 009, G+11 in CAP 010</v>
      </c>
    </row>
    <row r="430" spans="1:24" ht="14.25" customHeight="1" x14ac:dyDescent="0.2">
      <c r="A430" s="43" t="str">
        <f ca="1">IF(ISERROR(F416),"",A413)</f>
        <v>Result:</v>
      </c>
      <c r="B430" s="45" t="e">
        <f ca="1">IF(ISERROR(F416),"",IF(V429="","PASS","CARRY OVER"))</f>
        <v>#N/A</v>
      </c>
      <c r="C430" s="45"/>
      <c r="D430" s="43" t="str">
        <f ca="1">IF(ISERROR(F416),"",D413)</f>
        <v>Remark:</v>
      </c>
      <c r="E430" s="45" t="e">
        <f ca="1">IF(ISERROR(F416),"",IF(V429="",IF(X429="","",X429),_xlfn.TEXTJOIN(" ",TRUE,"BACK IN",V429)))</f>
        <v>#N/A</v>
      </c>
      <c r="F430" s="45"/>
      <c r="G430" s="43" t="str">
        <f ca="1">IF(ISERROR(F416),"",G413)</f>
        <v>SGPA:</v>
      </c>
      <c r="H430" s="46" t="e">
        <f ca="1">IF(ISERROR(F416),"",M429/F429)</f>
        <v>#N/A</v>
      </c>
      <c r="I430" s="43" t="str">
        <f ca="1">IF(ISERROR(F416),"",I413)</f>
        <v>CGPA:</v>
      </c>
      <c r="J430" s="46" t="e">
        <f ca="1">IF(ISERROR(F416),"",VLOOKUP(B416,INDIRECT($F$8),12+(O428-1)*3,0))</f>
        <v>#N/A</v>
      </c>
      <c r="K430" s="45" t="str">
        <f ca="1">IF(ISERROR(F416),"",K413)</f>
        <v>Earned Credits:</v>
      </c>
      <c r="L430" s="43">
        <f ca="1">IF(ISERROR(F416),"",SUMIF(N421:N428,"&gt;0",F421:F428))</f>
        <v>0</v>
      </c>
      <c r="M430" s="45" t="str">
        <f ca="1">IF(ISERROR(F416),"",M413)</f>
        <v>Cuml. Earned Credits:</v>
      </c>
      <c r="N430" s="43" t="e">
        <f ca="1">IF(ISERROR(F416),"",VLOOKUP(B416,INDIRECT($F$8),10+(O428-1)*3,0))</f>
        <v>#N/A</v>
      </c>
    </row>
    <row r="431" spans="1:24" ht="14.25" customHeight="1" x14ac:dyDescent="0.2">
      <c r="A431" s="43"/>
      <c r="B431" s="45"/>
      <c r="C431" s="45"/>
      <c r="D431" s="43"/>
      <c r="E431" s="45"/>
      <c r="F431" s="45"/>
      <c r="G431" s="43"/>
      <c r="H431" s="46"/>
      <c r="I431" s="43"/>
      <c r="J431" s="46"/>
      <c r="K431" s="45"/>
      <c r="L431" s="43"/>
      <c r="M431" s="45"/>
      <c r="N431" s="43"/>
    </row>
    <row r="432" spans="1:24" ht="14.25" customHeight="1" x14ac:dyDescent="0.2">
      <c r="A432" s="43"/>
      <c r="B432" s="45"/>
      <c r="C432" s="45"/>
      <c r="D432" s="43"/>
      <c r="E432" s="45"/>
      <c r="F432" s="45"/>
      <c r="G432" s="43"/>
      <c r="H432" s="46"/>
      <c r="I432" s="43"/>
      <c r="J432" s="46"/>
      <c r="K432" s="45"/>
      <c r="L432" s="43"/>
      <c r="M432" s="45"/>
      <c r="N432" s="43"/>
    </row>
    <row r="433" spans="1:24" ht="14.25" customHeight="1" x14ac:dyDescent="0.2">
      <c r="A433" s="11" t="str">
        <f>A416</f>
        <v>MM</v>
      </c>
      <c r="B433" s="11">
        <f>B416+1</f>
        <v>26</v>
      </c>
      <c r="C433" s="11" t="str">
        <f>C416</f>
        <v>SC</v>
      </c>
      <c r="D433" s="11" t="str">
        <f>D416</f>
        <v>SN</v>
      </c>
      <c r="E433" s="11" t="str">
        <f>E416</f>
        <v>C</v>
      </c>
      <c r="F433" s="11" t="e">
        <f ca="1">VLOOKUP(B433,INDIRECT($F$8),4,0)</f>
        <v>#N/A</v>
      </c>
    </row>
    <row r="434" spans="1:24" ht="14.25" customHeight="1" x14ac:dyDescent="0.2">
      <c r="A434" s="47" t="str">
        <f ca="1">IF(ISERROR(F433),"",A417)</f>
        <v/>
      </c>
      <c r="B434" s="47" t="str">
        <f ca="1">IFERROR(VLOOKUP(B433,INDIRECT($F$8),4,0),"")</f>
        <v/>
      </c>
      <c r="C434" s="47"/>
      <c r="D434" s="47" t="str">
        <f ca="1">IF(ISERROR(F433),"",D417)</f>
        <v/>
      </c>
      <c r="E434" s="47" t="str">
        <f ca="1">IFERROR(VLOOKUP(B433,INDIRECT($F$8),5,0),"")</f>
        <v/>
      </c>
      <c r="F434" s="47"/>
      <c r="G434" s="47" t="str">
        <f ca="1">IF(ISERROR(F433),"",G417)</f>
        <v/>
      </c>
      <c r="H434" s="47"/>
      <c r="I434" s="48" t="str">
        <f ca="1">IFERROR(VLOOKUP(B433,INDIRECT($F$8),2,0),"")</f>
        <v/>
      </c>
      <c r="J434" s="48"/>
      <c r="K434" s="47" t="str">
        <f ca="1">IF(ISERROR(F433),"",K417)</f>
        <v/>
      </c>
      <c r="L434" s="47"/>
      <c r="M434" s="48" t="str">
        <f ca="1">IFERROR(VLOOKUP(B433,INDIRECT($F$8),3,0),"")</f>
        <v/>
      </c>
      <c r="N434" s="48"/>
    </row>
    <row r="435" spans="1:24" ht="14.25" customHeight="1" x14ac:dyDescent="0.2">
      <c r="A435" s="47"/>
      <c r="B435" s="47"/>
      <c r="C435" s="47"/>
      <c r="D435" s="47"/>
      <c r="E435" s="47"/>
      <c r="F435" s="47"/>
      <c r="G435" s="47"/>
      <c r="H435" s="47"/>
      <c r="I435" s="48"/>
      <c r="J435" s="48"/>
      <c r="K435" s="47"/>
      <c r="L435" s="47"/>
      <c r="M435" s="48"/>
      <c r="N435" s="48"/>
    </row>
    <row r="436" spans="1:24" ht="14.25" customHeight="1" x14ac:dyDescent="0.2">
      <c r="A436" s="45" t="str">
        <f ca="1">IF(ISERROR(F433),"",A419)</f>
        <v/>
      </c>
      <c r="B436" s="45" t="str">
        <f ca="1">IF(ISERROR(F433),"",B419)</f>
        <v/>
      </c>
      <c r="C436" s="45"/>
      <c r="D436" s="45"/>
      <c r="E436" s="45"/>
      <c r="F436" s="45" t="str">
        <f ca="1">IF(ISERROR(F433),"",F419)</f>
        <v/>
      </c>
      <c r="G436" s="45" t="str">
        <f ca="1">IF(ISERROR(F433),"",G419)</f>
        <v/>
      </c>
      <c r="H436" s="45"/>
      <c r="I436" s="45" t="str">
        <f ca="1">IF(ISERROR(F433),"",I419)</f>
        <v/>
      </c>
      <c r="J436" s="45"/>
      <c r="K436" s="45" t="str">
        <f ca="1">IF(ISERROR(F433),"",K419)</f>
        <v/>
      </c>
      <c r="L436" s="45"/>
      <c r="M436" s="45" t="str">
        <f ca="1">IF(ISERROR(F433),"",M419)</f>
        <v/>
      </c>
      <c r="N436" s="45" t="str">
        <f ca="1">IF(ISERROR(F433),"",N419)</f>
        <v/>
      </c>
    </row>
    <row r="437" spans="1:24" ht="14.25" customHeight="1" x14ac:dyDescent="0.2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W437">
        <f ca="1">IF(ISNUMBER(MATCH($F$8,{"I","III","V","VII"},0)),10,10-INDEX(INDIRECT(_xlfn.TEXTJOIN("",TRUE,"SEM_",$G$8,"!",ADDRESS(6,4+$I$8*3+4),":",ADDRESS(5+$H$8,4+$I$8*3+4))),MATCH(INDIRECT(_xlfn.TEXTJOIN("",TRUE,"TC_",$F$8,"!",ADDRESS(ROW(I434),COLUMN(I434)))),INDIRECT(_xlfn.TEXTJOIN("",TRUE,"SEM_",$G$8,"!",ADDRESS(6,2),":",ADDRESS(5+$H$8,2))))))</f>
        <v>10</v>
      </c>
    </row>
    <row r="438" spans="1:24" ht="14.25" customHeight="1" x14ac:dyDescent="0.2">
      <c r="A438" s="7" t="str">
        <f ca="1">IF(ISERROR(F433),"",VLOOKUP(C433,INDIRECT($F$8),6+(O438-1)*3,0))</f>
        <v/>
      </c>
      <c r="B438" s="41" t="str">
        <f ca="1">IF(ISERROR(F433),"",VLOOKUP(D433,INDIRECT($F$8),6+(O438-1)*3,0))</f>
        <v/>
      </c>
      <c r="C438" s="41"/>
      <c r="D438" s="41"/>
      <c r="E438" s="41"/>
      <c r="F438" s="7" t="str">
        <f ca="1">IF(ISERROR(F433),"",VLOOKUP(E433,INDIRECT($F$8),6+(O438-1)*3,0))</f>
        <v/>
      </c>
      <c r="G438" s="42" t="str">
        <f ca="1">IF(ISERROR(F433),"",_xlfn.TEXTJOIN("/",FALSE,P438,S438))</f>
        <v/>
      </c>
      <c r="H438" s="42"/>
      <c r="I438" s="42" t="str">
        <f ca="1">IF(ISERROR(F433),"",_xlfn.TEXTJOIN("/",FALSE,Q438,T438))</f>
        <v/>
      </c>
      <c r="J438" s="42"/>
      <c r="K438" s="42" t="str">
        <f ca="1">IF(ISERROR(F433),"",_xlfn.TEXTJOIN("/",FALSE,R438,U438))</f>
        <v/>
      </c>
      <c r="L438" s="42"/>
      <c r="M438" s="7" t="str">
        <f ca="1">IF(ISERROR(F433),"",IF(ISTEXT(P438),IF(P438="A","Ab",IF(P438="D","Dt",IF(P438="UFM","UFM",IF(P438="NA","")))),IF(AND(ISBLANK(P438),ISBLANK(R438)),"",IF(P438&lt;0.3*S438,"F",IF(ISBLANK(R438),"",IF(ISTEXT(R438),R438,IF(R438&gt;=0.9*U438,"O",IF(R438&gt;=0.85*U438,"A+",IF(R438&gt;=0.8*U438,"A",IF(R438&gt;=0.7*U438,"B+",IF(R438&gt;=0.6*U438,"B",IF(R438&gt;=0.5*U438,"C",IF(R438&gt;=0.4*U438,"P",IF(R438&lt;0.4*U438,"F",R438))))))))))))))</f>
        <v/>
      </c>
      <c r="N438" s="8" t="str">
        <f t="shared" ref="N438:N445" ca="1" si="50">INDEX($Z$2:$Z$13,MATCH(M438,$Y$2:$Y$13,0))</f>
        <v/>
      </c>
      <c r="O438">
        <v>1</v>
      </c>
      <c r="P438" s="1" t="str">
        <f ca="1">IF(ISERROR(F433),"",IF(ISTEXT(VLOOKUP(B433,INDIRECT($F$8),6+(O438-1)*3)),(VLOOKUP(B433,INDIRECT($F$8),6+(O438-1)*3)),SUM(VLOOKUP(B433,INDIRECT($F$8),6+(O438-1)*3),IF(W446,W438,0))))</f>
        <v/>
      </c>
      <c r="Q438" s="1" t="str">
        <f ca="1">IF(ISERROR(F433),"",VLOOKUP(B433,INDIRECT($F$8),7+(O438-1)*3))</f>
        <v/>
      </c>
      <c r="R438" s="1" t="str">
        <f ca="1">IF(ISERROR(F433),"",SUM(P438:Q438))</f>
        <v/>
      </c>
      <c r="S438" s="1" t="str">
        <f ca="1">IF(ISERROR(F433),"",VLOOKUP(A433,INDIRECT($F$8),6+(O438-1)*3))</f>
        <v/>
      </c>
      <c r="T438" s="1" t="str">
        <f ca="1">IF(ISERROR(F433),"",VLOOKUP(A433,INDIRECT($F$8),7+(O438-1)*3))</f>
        <v/>
      </c>
      <c r="U438" s="1" t="str">
        <f ca="1">IF(ISERROR(F433),"",VLOOKUP(A433,INDIRECT($F$8),8+(O438-1)*3))</f>
        <v/>
      </c>
      <c r="V438" s="1" t="str">
        <f ca="1">IF(ISERROR(F433),"",IF(N438=0,A438,""))</f>
        <v/>
      </c>
      <c r="W438" s="1" t="str">
        <f ca="1">IF(ISERROR(F433),"",IF(ISTEXT(VLOOKUP(B433,INDIRECT($F$8),6+(O438-1)*3)),11,IF(VLOOKUP(B433,INDIRECT($F$8),6+(O438-1)*3)&lt;S438*0.3,IF(VLOOKUP(B433,INDIRECT($F$8),8+(O438-1)*3)&lt;U438*0.4,IF(AND(0.4*U438-VLOOKUP(B433,INDIRECT($F$8),8+(O438-1)*3)&lt;=5,0.3*S438-VLOOKUP(B433,INDIRECT($F$8),6+(O438-1)*3)&lt;=5),MAX(0.4*U438-VLOOKUP(B433,INDIRECT($F$8),8+(O438-1)*3),0.3*S438-VLOOKUP(B433,INDIRECT($F$8),6+(O438-1)*3)),11),IF(0.3*S438-VLOOKUP(B433,INDIRECT($F$8),6+(O438-1)*3)&lt;=5,0.3*S438-VLOOKUP(B433,INDIRECT($F$8),6+(O438-1)*3),11)),IF(VLOOKUP(B433,INDIRECT($F$8),8+(O438-1)*3)&lt;U438*0.4,IF(U438*0.4-VLOOKUP(B433,INDIRECT($F$8),8+(O438-1)*3)&lt;=5,U438*0.4-VLOOKUP(B433,INDIRECT($F$8),8+(O438-1)*3),11),0))))</f>
        <v/>
      </c>
      <c r="X438" s="1" t="str">
        <f ca="1">IF(ISERROR(F433),"",IF(W438=0,"",_xlfn.TEXTJOIN("",FALSE," G+",W438," in ",A438)))</f>
        <v/>
      </c>
    </row>
    <row r="439" spans="1:24" ht="14.25" customHeight="1" x14ac:dyDescent="0.2">
      <c r="A439" s="7" t="str">
        <f ca="1">IF(ISERROR(F433),"",VLOOKUP(C433,INDIRECT($F$8),6+(O439-1)*3,0))</f>
        <v/>
      </c>
      <c r="B439" s="41" t="str">
        <f ca="1">IF(ISERROR(F433),"",VLOOKUP(D433,INDIRECT($F$8),6+(O439-1)*3,0))</f>
        <v/>
      </c>
      <c r="C439" s="41"/>
      <c r="D439" s="41"/>
      <c r="E439" s="41"/>
      <c r="F439" s="7" t="str">
        <f ca="1">IF(ISERROR(F433),"",VLOOKUP(E433,INDIRECT($F$8),6+(O439-1)*3,0))</f>
        <v/>
      </c>
      <c r="G439" s="42" t="str">
        <f ca="1">IF(ISERROR(F433),"",_xlfn.TEXTJOIN("/",FALSE,P439,S439))</f>
        <v/>
      </c>
      <c r="H439" s="42"/>
      <c r="I439" s="42" t="str">
        <f ca="1">IF(ISERROR(F433),"",_xlfn.TEXTJOIN("/",FALSE,Q439,T439))</f>
        <v/>
      </c>
      <c r="J439" s="42"/>
      <c r="K439" s="42" t="str">
        <f ca="1">IF(ISERROR(F433),"",_xlfn.TEXTJOIN("/",FALSE,R439,U439))</f>
        <v/>
      </c>
      <c r="L439" s="42"/>
      <c r="M439" s="7" t="str">
        <f ca="1">IF(ISERROR(F433),"",IF(ISTEXT(P439),IF(P439="A","Ab",IF(P439="D","Dt",IF(P439="UFM","UFM",IF(P439="NA","")))),IF(AND(ISBLANK(P439),ISBLANK(R439)),"",IF(P439&lt;0.3*S439,"F",IF(ISBLANK(R439),"",IF(ISTEXT(R439),R439,IF(R439&gt;=0.9*U439,"O",IF(R439&gt;=0.85*U439,"A+",IF(R439&gt;=0.8*U439,"A",IF(R439&gt;=0.7*U439,"B+",IF(R439&gt;=0.6*U439,"B",IF(R439&gt;=0.5*U439,"C",IF(R439&gt;=0.4*U439,"P",IF(R439&lt;0.4*U439,"F",R439))))))))))))))</f>
        <v/>
      </c>
      <c r="N439" s="8" t="str">
        <f t="shared" ca="1" si="50"/>
        <v/>
      </c>
      <c r="O439">
        <f>O438+1</f>
        <v>2</v>
      </c>
      <c r="P439" s="1" t="str">
        <f ca="1">IF(ISERROR(F433),"",IF(ISTEXT(VLOOKUP(B433,INDIRECT($F$8),6+(O439-1)*3)),(VLOOKUP(B433,INDIRECT($F$8),6+(O439-1)*3)),SUM(VLOOKUP(B433,INDIRECT($F$8),6+(O439-1)*3),IF(W446,W439,0))))</f>
        <v/>
      </c>
      <c r="Q439" s="1" t="str">
        <f ca="1">IF(ISERROR(F433),"",VLOOKUP(B433,INDIRECT($F$8),7+(O439-1)*3))</f>
        <v/>
      </c>
      <c r="R439" s="1" t="str">
        <f ca="1">IF(ISERROR(F433),"",SUM(P439:Q439))</f>
        <v/>
      </c>
      <c r="S439" s="1" t="str">
        <f ca="1">IF(ISERROR(F433),"",VLOOKUP(A433,INDIRECT($F$8),6+(O439-1)*3))</f>
        <v/>
      </c>
      <c r="T439" s="1" t="str">
        <f ca="1">IF(ISERROR(F433),"",VLOOKUP(A433,INDIRECT($F$8),7+(O439-1)*3))</f>
        <v/>
      </c>
      <c r="U439" s="1" t="str">
        <f ca="1">IF(ISERROR(F433),"",VLOOKUP(A433,INDIRECT($F$8),8+(O439-1)*3))</f>
        <v/>
      </c>
      <c r="V439" s="1" t="str">
        <f ca="1">IF(ISERROR(F433),"",IF(N439=0,A439,""))</f>
        <v/>
      </c>
      <c r="W439" s="1" t="str">
        <f ca="1">IF(ISERROR(F433),"",IF(ISTEXT(VLOOKUP(B433,INDIRECT($F$8),6+(O439-1)*3)),11,IF(VLOOKUP(B433,INDIRECT($F$8),6+(O439-1)*3)&lt;S439*0.3,IF(VLOOKUP(B433,INDIRECT($F$8),8+(O439-1)*3)&lt;U439*0.4,IF(AND(0.4*U439-VLOOKUP(B433,INDIRECT($F$8),8+(O439-1)*3)&lt;=5,0.3*S439-VLOOKUP(B433,INDIRECT($F$8),6+(O439-1)*3)&lt;=5),MAX(0.4*U439-VLOOKUP(B433,INDIRECT($F$8),8+(O439-1)*3),0.3*S439-VLOOKUP(B433,INDIRECT($F$8),6+(O439-1)*3)),11),IF(0.3*S439-VLOOKUP(B433,INDIRECT($F$8),6+(O439-1)*3)&lt;=5,0.3*S439-VLOOKUP(B433,INDIRECT($F$8),6+(O439-1)*3),11)),IF(VLOOKUP(B433,INDIRECT($F$8),8+(O439-1)*3)&lt;U439*0.4,IF(U439*0.4-VLOOKUP(B433,INDIRECT($F$8),8+(O439-1)*3)&lt;=5,U439*0.4-VLOOKUP(B433,INDIRECT($F$8),8+(O439-1)*3),11),0))))</f>
        <v/>
      </c>
      <c r="X439" s="1" t="str">
        <f ca="1">IF(ISERROR(F433),"",IF(W439=0,"",_xlfn.TEXTJOIN("",FALSE," G+",W439," in ",A439)))</f>
        <v/>
      </c>
    </row>
    <row r="440" spans="1:24" ht="14.25" customHeight="1" x14ac:dyDescent="0.2">
      <c r="A440" s="7" t="str">
        <f ca="1">IF(ISERROR(F433),"",VLOOKUP(C433,INDIRECT($F$8),6+(O440-1)*3,0))</f>
        <v/>
      </c>
      <c r="B440" s="41" t="str">
        <f ca="1">IF(ISERROR(F433),"",VLOOKUP(D433,INDIRECT($F$8),6+(O440-1)*3,0))</f>
        <v/>
      </c>
      <c r="C440" s="41"/>
      <c r="D440" s="41"/>
      <c r="E440" s="41"/>
      <c r="F440" s="7" t="str">
        <f ca="1">IF(ISERROR(F433),"",VLOOKUP(E433,INDIRECT($F$8),6+(O440-1)*3,0))</f>
        <v/>
      </c>
      <c r="G440" s="42" t="str">
        <f ca="1">IF(ISERROR(F433),"",_xlfn.TEXTJOIN("/",FALSE,P440,S440))</f>
        <v/>
      </c>
      <c r="H440" s="42"/>
      <c r="I440" s="42" t="str">
        <f ca="1">IF(ISERROR(F433),"",_xlfn.TEXTJOIN("/",FALSE,Q440,T440))</f>
        <v/>
      </c>
      <c r="J440" s="42"/>
      <c r="K440" s="42" t="str">
        <f ca="1">IF(ISERROR(F433),"",_xlfn.TEXTJOIN("/",FALSE,R440,U440))</f>
        <v/>
      </c>
      <c r="L440" s="42"/>
      <c r="M440" s="7" t="str">
        <f ca="1">IF(ISERROR(F433),"",IF(ISTEXT(P440),IF(P440="A","Ab",IF(P440="D","Dt",IF(P440="UFM","UFM",IF(P440="NA","")))),IF(AND(ISBLANK(P440),ISBLANK(R440)),"",IF(P440&lt;0.3*S440,"F",IF(ISBLANK(R440),"",IF(ISTEXT(R440),R440,IF(R440&gt;=0.9*U440,"O",IF(R440&gt;=0.85*U440,"A+",IF(R440&gt;=0.8*U440,"A",IF(R440&gt;=0.7*U440,"B+",IF(R440&gt;=0.6*U440,"B",IF(R440&gt;=0.5*U440,"C",IF(R440&gt;=0.4*U440,"P",IF(R440&lt;0.4*U440,"F",R440))))))))))))))</f>
        <v/>
      </c>
      <c r="N440" s="8" t="str">
        <f t="shared" ca="1" si="50"/>
        <v/>
      </c>
      <c r="O440" t="b" cm="1">
        <f t="array" aca="1" ref="O440" ca="1">IF(NOT(ISBLANK(INDIRECT("SEM_III!L"&amp;INT((ROW(O440)-15)/17)+6))),3,IF(NOT(ISBLANK(INDIRECT("SEM_III!O"&amp;INT((ROW(O440)-15)/17)+6))),4))</f>
        <v>0</v>
      </c>
      <c r="P440" s="1" t="str">
        <f ca="1">IF(ISERROR(F433),"",IF(ISTEXT(VLOOKUP(B433,INDIRECT($F$8),6+(O440-1)*3)),(VLOOKUP(B433,INDIRECT($F$8),6+(O440-1)*3)),SUM(VLOOKUP(B433,INDIRECT($F$8),6+(O440-1)*3),IF(W446,W440,0))))</f>
        <v/>
      </c>
      <c r="Q440" s="1" t="str">
        <f ca="1">IF(ISERROR(F433),"",VLOOKUP(B433,INDIRECT($F$8),7+(O440-1)*3))</f>
        <v/>
      </c>
      <c r="R440" s="1" t="str">
        <f ca="1">IF(ISERROR(F433),"",SUM(P440:Q440))</f>
        <v/>
      </c>
      <c r="S440" s="1" t="str">
        <f ca="1">IF(ISERROR(F433),"",VLOOKUP(A433,INDIRECT($F$8),6+(O440-1)*3))</f>
        <v/>
      </c>
      <c r="T440" s="1" t="str">
        <f ca="1">IF(ISERROR(F433),"",VLOOKUP(A433,INDIRECT($F$8),7+(O440-1)*3))</f>
        <v/>
      </c>
      <c r="U440" s="1" t="str">
        <f ca="1">IF(ISERROR(F433),"",VLOOKUP(A433,INDIRECT($F$8),8+(O440-1)*3))</f>
        <v/>
      </c>
      <c r="V440" s="1" t="str">
        <f ca="1">IF(ISERROR(F433),"",IF(N440=0,A440,""))</f>
        <v/>
      </c>
      <c r="W440" s="1" t="str">
        <f ca="1">IF(ISERROR(F433),"",IF(ISTEXT(VLOOKUP(B433,INDIRECT($F$8),6+(O440-1)*3)),11,IF(VLOOKUP(B433,INDIRECT($F$8),6+(O440-1)*3)&lt;S440*0.3,IF(VLOOKUP(B433,INDIRECT($F$8),8+(O440-1)*3)&lt;U440*0.4,IF(AND(0.4*U440-VLOOKUP(B433,INDIRECT($F$8),8+(O440-1)*3)&lt;=5,0.3*S440-VLOOKUP(B433,INDIRECT($F$8),6+(O440-1)*3)&lt;=5),MAX(0.4*U440-VLOOKUP(B433,INDIRECT($F$8),8+(O440-1)*3),0.3*S440-VLOOKUP(B433,INDIRECT($F$8),6+(O440-1)*3)),11),IF(0.3*S440-VLOOKUP(B433,INDIRECT($F$8),6+(O440-1)*3)&lt;=5,0.3*S440-VLOOKUP(B433,INDIRECT($F$8),6+(O440-1)*3),11)),IF(VLOOKUP(B433,INDIRECT($F$8),8+(O440-1)*3)&lt;U440*0.4,IF(U440*0.4-VLOOKUP(B433,INDIRECT($F$8),8+(O440-1)*3)&lt;=5,U440*0.4-VLOOKUP(B433,INDIRECT($F$8),8+(O440-1)*3),11),0))))</f>
        <v/>
      </c>
      <c r="X440" s="1" t="str">
        <f ca="1">IF(ISERROR(F433),"",IF(W440=0,"",_xlfn.TEXTJOIN("",FALSE," G+",W440," in ",A440)))</f>
        <v/>
      </c>
    </row>
    <row r="441" spans="1:24" ht="14.25" customHeight="1" x14ac:dyDescent="0.2">
      <c r="A441" s="7" t="str">
        <f ca="1">IF(ISERROR(F433),"",VLOOKUP(C433,INDIRECT($F$8),6+(O441-1)*3,0))</f>
        <v/>
      </c>
      <c r="B441" s="41" t="str">
        <f ca="1">IF(ISERROR(F433),"",VLOOKUP(D433,INDIRECT($F$8),6+(O441-1)*3,0))</f>
        <v/>
      </c>
      <c r="C441" s="41"/>
      <c r="D441" s="41"/>
      <c r="E441" s="41"/>
      <c r="F441" s="7" t="str">
        <f ca="1">IF(ISERROR(F433),"",VLOOKUP(E433,INDIRECT($F$8),6+(O441-1)*3,0))</f>
        <v/>
      </c>
      <c r="G441" s="42" t="str">
        <f ca="1">IF(ISERROR(F433),"",_xlfn.TEXTJOIN("/",FALSE,P441,S441))</f>
        <v/>
      </c>
      <c r="H441" s="42"/>
      <c r="I441" s="42" t="str">
        <f ca="1">IF(ISERROR(F433),"",_xlfn.TEXTJOIN("/",FALSE,Q441,T441))</f>
        <v/>
      </c>
      <c r="J441" s="42"/>
      <c r="K441" s="42" t="str">
        <f ca="1">IF(ISERROR(F433),"",_xlfn.TEXTJOIN("/",FALSE,R441,U441))</f>
        <v/>
      </c>
      <c r="L441" s="42"/>
      <c r="M441" s="7" t="str">
        <f ca="1">IF(ISERROR(F433),"",IF(ISTEXT(P441),IF(P441="A","Ab",IF(P441="D","Dt",IF(P441="UFM","UFM",IF(P441="NA","")))),IF(AND(ISBLANK(P441),ISBLANK(R441)),"",IF(P441&lt;0.3*S441,"F",IF(ISBLANK(R441),"",IF(ISTEXT(R441),R441,IF(R441&gt;=0.9*U441,"O",IF(R441&gt;=0.85*U441,"A+",IF(R441&gt;=0.8*U441,"A",IF(R441&gt;=0.7*U441,"B+",IF(R441&gt;=0.6*U441,"B",IF(R441&gt;=0.5*U441,"C",IF(R441&gt;=0.4*U441,"P",IF(R441&lt;0.4*U441,"F",R441))))))))))))))</f>
        <v/>
      </c>
      <c r="N441" s="8" t="str">
        <f t="shared" ca="1" si="50"/>
        <v/>
      </c>
      <c r="O441" t="b" cm="1">
        <f t="array" aca="1" ref="O441" ca="1">IF(NOT(ISBLANK(INDIRECT("SEM_III!R"&amp;INT((ROW(O441)-16)/17)+6))),5,IF(NOT(ISBLANK(INDIRECT("SEM_III!U"&amp;INT((ROW(O441)-16)/17)+6))),6))</f>
        <v>0</v>
      </c>
      <c r="P441" s="1" t="str">
        <f ca="1">IF(ISERROR(F433),"",IF(ISTEXT(VLOOKUP(B433,INDIRECT($F$8),6+(O441-1)*3)),(VLOOKUP(B433,INDIRECT($F$8),6+(O441-1)*3)),SUM(VLOOKUP(B433,INDIRECT($F$8),6+(O441-1)*3),IF(W446,W441,0))))</f>
        <v/>
      </c>
      <c r="Q441" s="1" t="str">
        <f ca="1">IF(ISERROR(F433),"",VLOOKUP(B433,INDIRECT($F$8),7+(O441-1)*3))</f>
        <v/>
      </c>
      <c r="R441" s="1" t="str">
        <f ca="1">IF(ISERROR(F433),"",SUM(P441:Q441))</f>
        <v/>
      </c>
      <c r="S441" s="1" t="str">
        <f ca="1">IF(ISERROR(F433),"",VLOOKUP(A433,INDIRECT($F$8),6+(O441-1)*3))</f>
        <v/>
      </c>
      <c r="T441" s="1" t="str">
        <f ca="1">IF(ISERROR(F433),"",VLOOKUP(A433,INDIRECT($F$8),7+(O441-1)*3))</f>
        <v/>
      </c>
      <c r="U441" s="1" t="str">
        <f ca="1">IF(ISERROR(F433),"",VLOOKUP(A433,INDIRECT($F$8),8+(O441-1)*3))</f>
        <v/>
      </c>
      <c r="V441" s="1" t="str">
        <f ca="1">IF(ISERROR(F433),"",IF(N441=0,A441,""))</f>
        <v/>
      </c>
      <c r="W441" s="1" t="str">
        <f ca="1">IF(ISERROR(F433),"",IF(ISTEXT(VLOOKUP(B433,INDIRECT($F$8),6+(O441-1)*3)),11,IF(VLOOKUP(B433,INDIRECT($F$8),6+(O441-1)*3)&lt;S441*0.3,IF(VLOOKUP(B433,INDIRECT($F$8),8+(O441-1)*3)&lt;U441*0.4,IF(AND(0.4*U441-VLOOKUP(B433,INDIRECT($F$8),8+(O441-1)*3)&lt;=5,0.3*S441-VLOOKUP(B433,INDIRECT($F$8),6+(O441-1)*3)&lt;=5),MAX(0.4*U441-VLOOKUP(B433,INDIRECT($F$8),8+(O441-1)*3),0.3*S441-VLOOKUP(B433,INDIRECT($F$8),6+(O441-1)*3)),11),IF(0.3*S441-VLOOKUP(B433,INDIRECT($F$8),6+(O441-1)*3)&lt;=5,0.3*S441-VLOOKUP(B433,INDIRECT($F$8),6+(O441-1)*3),11)),IF(VLOOKUP(B433,INDIRECT($F$8),8+(O441-1)*3)&lt;U441*0.4,IF(U441*0.4-VLOOKUP(B433,INDIRECT($F$8),8+(O441-1)*3)&lt;=5,U441*0.4-VLOOKUP(B433,INDIRECT($F$8),8+(O441-1)*3),11),0))))</f>
        <v/>
      </c>
      <c r="X441" s="1" t="str">
        <f ca="1">IF(ISERROR(F433),"",IF(W441=0,"",_xlfn.TEXTJOIN("",FALSE," G+",W441," in ",A441)))</f>
        <v/>
      </c>
    </row>
    <row r="442" spans="1:24" ht="14.25" customHeight="1" x14ac:dyDescent="0.2">
      <c r="A442" s="7" t="str">
        <f ca="1">IF(ISERROR(F433),"",VLOOKUP(C433,INDIRECT($F$8),6+(O442-1)*3,0))</f>
        <v/>
      </c>
      <c r="B442" s="41" t="str">
        <f ca="1">IF(ISERROR(F433),"",VLOOKUP(D433,INDIRECT($F$8),6+(O442-1)*3,0))</f>
        <v/>
      </c>
      <c r="C442" s="41"/>
      <c r="D442" s="41"/>
      <c r="E442" s="41"/>
      <c r="F442" s="7" t="str">
        <f ca="1">IF(ISERROR(F433),"",VLOOKUP(E433,INDIRECT($F$8),6+(O442-1)*3,0))</f>
        <v/>
      </c>
      <c r="G442" s="42" t="str">
        <f ca="1">IF(ISERROR(F433),"",_xlfn.TEXTJOIN("/",FALSE,P442,S442))</f>
        <v/>
      </c>
      <c r="H442" s="42"/>
      <c r="I442" s="42" t="str">
        <f ca="1">IF(ISERROR(F433),"",_xlfn.TEXTJOIN("/",FALSE,Q442,T442))</f>
        <v/>
      </c>
      <c r="J442" s="42"/>
      <c r="K442" s="42" t="str">
        <f ca="1">IF(ISERROR(F433),"",_xlfn.TEXTJOIN("/",FALSE,R442,U442))</f>
        <v/>
      </c>
      <c r="L442" s="42"/>
      <c r="M442" s="7" t="str">
        <f ca="1">IF(ISERROR(F433),"",IF(ISTEXT(P442),IF(P442="A","Ab",IF(P442="D","Dt",IF(P442="UFM","UFM",IF(P442="NA","")))),IF(AND(ISBLANK(P442),ISBLANK(R442)),"",IF(P442&lt;0.3*S442,"F",IF(ISBLANK(R442),"",IF(ISTEXT(R442),R442,IF(R442&gt;=0.9*U442,"O",IF(R442&gt;=0.85*U442,"A+",IF(R442&gt;=0.8*U442,"A",IF(R442&gt;=0.7*U442,"B+",IF(R442&gt;=0.6*U442,"B",IF(R442&gt;=0.5*U442,"C",IF(R442&gt;=0.4*U442,"P",IF(R442&lt;0.4*U442,"F",R442))))))))))))))</f>
        <v/>
      </c>
      <c r="N442" s="8" t="str">
        <f t="shared" ca="1" si="50"/>
        <v/>
      </c>
      <c r="O442">
        <f ca="1">IF(O441&gt;0,7,"")</f>
        <v>7</v>
      </c>
      <c r="P442" s="1" t="str">
        <f ca="1">IF(ISERROR(F433),"",IF(ISTEXT(VLOOKUP(B433,INDIRECT($F$8),6+(O442-1)*3)),(VLOOKUP(B433,INDIRECT($F$8),6+(O442-1)*3)),SUM(VLOOKUP(B433,INDIRECT($F$8),6+(O442-1)*3),IF(W446,W442,0))))</f>
        <v/>
      </c>
      <c r="Q442" s="1" t="str">
        <f ca="1">IF(ISERROR(F433),"",VLOOKUP(B433,INDIRECT($F$8),7+(O442-1)*3))</f>
        <v/>
      </c>
      <c r="R442" s="1" t="str">
        <f ca="1">IF(ISERROR(F433),"",SUM(P442:Q442))</f>
        <v/>
      </c>
      <c r="S442" s="1" t="str">
        <f ca="1">IF(ISERROR(F433),"",VLOOKUP(A433,INDIRECT($F$8),6+(O442-1)*3))</f>
        <v/>
      </c>
      <c r="T442" s="1" t="str">
        <f ca="1">IF(ISERROR(F433),"",VLOOKUP(A433,INDIRECT($F$8),7+(O442-1)*3))</f>
        <v/>
      </c>
      <c r="U442" s="1" t="str">
        <f ca="1">IF(ISERROR(F433),"",VLOOKUP(A433,INDIRECT($F$8),8+(O442-1)*3))</f>
        <v/>
      </c>
      <c r="V442" s="1" t="str">
        <f ca="1">IF(ISERROR(F433),"",IF(N442=0,A442,""))</f>
        <v/>
      </c>
      <c r="W442" s="1" t="str">
        <f ca="1">IF(ISERROR(F433),"",IF(ISTEXT(VLOOKUP(B433,INDIRECT($F$8),6+(O442-1)*3)),11,IF(VLOOKUP(B433,INDIRECT($F$8),6+(O442-1)*3)&lt;S442*0.3,IF(VLOOKUP(B433,INDIRECT($F$8),8+(O442-1)*3)&lt;U442*0.4,IF(AND(0.4*U442-VLOOKUP(B433,INDIRECT($F$8),8+(O442-1)*3)&lt;=5,0.3*S442-VLOOKUP(B433,INDIRECT($F$8),6+(O442-1)*3)&lt;=5),MAX(0.4*U442-VLOOKUP(B433,INDIRECT($F$8),8+(O442-1)*3),0.3*S442-VLOOKUP(B433,INDIRECT($F$8),6+(O442-1)*3)),11),IF(0.3*S442-VLOOKUP(B433,INDIRECT($F$8),6+(O442-1)*3)&lt;=5,0.3*S442-VLOOKUP(B433,INDIRECT($F$8),6+(O442-1)*3),11)),IF(VLOOKUP(B433,INDIRECT($F$8),8+(O442-1)*3)&lt;U442*0.4,IF(U442*0.4-VLOOKUP(B433,INDIRECT($F$8),8+(O442-1)*3)&lt;=5,U442*0.4-VLOOKUP(B433,INDIRECT($F$8),8+(O442-1)*3),11),0))))</f>
        <v/>
      </c>
      <c r="X442" s="1" t="str">
        <f ca="1">IF(ISERROR(F433),"",IF(W442=0,"",_xlfn.TEXTJOIN("",FALSE," G+",W442," in ",A442)))</f>
        <v/>
      </c>
    </row>
    <row r="443" spans="1:24" ht="14.25" customHeight="1" x14ac:dyDescent="0.2">
      <c r="A443" s="7" t="str">
        <f ca="1">IF(ISERROR(F433),"",VLOOKUP(C433,INDIRECT($F$8),6+(O443-1)*3,0))</f>
        <v/>
      </c>
      <c r="B443" s="41" t="str">
        <f ca="1">IF(ISERROR(F433),"",VLOOKUP(D433,INDIRECT($F$8),6+(O443-1)*3,0))</f>
        <v/>
      </c>
      <c r="C443" s="41"/>
      <c r="D443" s="41"/>
      <c r="E443" s="41"/>
      <c r="F443" s="7" t="str">
        <f ca="1">IF(ISERROR(F433),"",VLOOKUP(E433,INDIRECT($F$8),6+(O443-1)*3,0))</f>
        <v/>
      </c>
      <c r="G443" s="42" t="str">
        <f ca="1">IF(ISERROR(F433),"",_xlfn.TEXTJOIN("/",FALSE,P443,S443))</f>
        <v/>
      </c>
      <c r="H443" s="42"/>
      <c r="I443" s="42" t="str">
        <f ca="1">IF(ISERROR(F433),"",_xlfn.TEXTJOIN("/",FALSE,Q443,T443))</f>
        <v/>
      </c>
      <c r="J443" s="42"/>
      <c r="K443" s="42" t="str">
        <f ca="1">IF(ISERROR(F433),"",_xlfn.TEXTJOIN("/",FALSE,R443,U443))</f>
        <v/>
      </c>
      <c r="L443" s="42"/>
      <c r="M443" s="7" t="str">
        <f ca="1">IF(ISERROR(F433),"",IF(ISTEXT(P443),IF(P443="A","Ab",IF(P443="D","Dt",IF(P443="UFM","UFM",IF(P443="NA","")))),IF(AND(ISBLANK(P443),ISBLANK(R443)),"",IF(P443&lt;0.3*S443,"F",IF(ISBLANK(R443),"",IF(ISTEXT(R443),R443,IF(R443&gt;=0.9*U443,"O",IF(R443&gt;=0.85*U443,"A+",IF(R443&gt;=0.8*U443,"A",IF(R443&gt;=0.7*U443,"B+",IF(R443&gt;=0.6*U443,"B",IF(R443&gt;=0.5*U443,"C",IF(R443&gt;=0.4*U443,"P",IF(R443&lt;0.4*U443,"F",R443))))))))))))))</f>
        <v/>
      </c>
      <c r="N443" s="8" t="str">
        <f t="shared" ca="1" si="50"/>
        <v/>
      </c>
      <c r="O443">
        <f t="shared" ref="O443:O445" ca="1" si="51">O442+1</f>
        <v>8</v>
      </c>
      <c r="P443" s="1" t="str">
        <f ca="1">IF(ISERROR(F433),"",IF(ISTEXT(VLOOKUP(B433,INDIRECT($F$8),6+(O443-1)*3)),(VLOOKUP(B433,INDIRECT($F$8),6+(O443-1)*3)),SUM(VLOOKUP(B433,INDIRECT($F$8),6+(O443-1)*3),IF(W446,W443,0))))</f>
        <v/>
      </c>
      <c r="Q443" s="1" t="str">
        <f ca="1">IF(ISERROR(F433),"",VLOOKUP(B433,INDIRECT($F$8),7+(O443-1)*3))</f>
        <v/>
      </c>
      <c r="R443" s="1" t="str">
        <f ca="1">IF(ISERROR(F433),"",SUM(P443:Q443))</f>
        <v/>
      </c>
      <c r="S443" s="1" t="str">
        <f ca="1">IF(ISERROR(F433),"",VLOOKUP(A433,INDIRECT($F$8),6+(O443-1)*3))</f>
        <v/>
      </c>
      <c r="T443" s="1" t="str">
        <f ca="1">IF(ISERROR(F433),"",VLOOKUP(A433,INDIRECT($F$8),7+(O443-1)*3))</f>
        <v/>
      </c>
      <c r="U443" s="1" t="str">
        <f ca="1">IF(ISERROR(F433),"",VLOOKUP(A433,INDIRECT($F$8),8+(O443-1)*3))</f>
        <v/>
      </c>
      <c r="V443" s="1" t="str">
        <f ca="1">IF(ISERROR(F433),"",IF(N443=0,A443,""))</f>
        <v/>
      </c>
      <c r="W443" s="1" t="str">
        <f ca="1">IF(ISERROR(F433),"",IF(ISTEXT(VLOOKUP(B433,INDIRECT($F$8),6+(O443-1)*3)),11,IF(VLOOKUP(B433,INDIRECT($F$8),6+(O443-1)*3)&lt;S443*0.3,IF(VLOOKUP(B433,INDIRECT($F$8),8+(O443-1)*3)&lt;U443*0.4,IF(AND(0.4*U443-VLOOKUP(B433,INDIRECT($F$8),8+(O443-1)*3)&lt;=5,0.3*S443-VLOOKUP(B433,INDIRECT($F$8),6+(O443-1)*3)&lt;=5),MAX(0.4*U443-VLOOKUP(B433,INDIRECT($F$8),8+(O443-1)*3),0.3*S443-VLOOKUP(B433,INDIRECT($F$8),6+(O443-1)*3)),11),IF(0.3*S443-VLOOKUP(B433,INDIRECT($F$8),6+(O443-1)*3)&lt;=5,0.3*S443-VLOOKUP(B433,INDIRECT($F$8),6+(O443-1)*3),11)),IF(VLOOKUP(B433,INDIRECT($F$8),8+(O443-1)*3)&lt;U443*0.4,IF(U443*0.4-VLOOKUP(B433,INDIRECT($F$8),8+(O443-1)*3)&lt;=5,U443*0.4-VLOOKUP(B433,INDIRECT($F$8),8+(O443-1)*3),11),0))))</f>
        <v/>
      </c>
      <c r="X443" s="1" t="str">
        <f ca="1">IF(ISERROR(F433),"",IF(W443=0,"",_xlfn.TEXTJOIN("",FALSE," G+",W443," in ",A443)))</f>
        <v/>
      </c>
    </row>
    <row r="444" spans="1:24" ht="14.25" customHeight="1" x14ac:dyDescent="0.2">
      <c r="A444" s="7" t="str">
        <f ca="1">IF(ISERROR(F433),"",VLOOKUP(C433,INDIRECT($F$8),6+(O444-1)*3,0))</f>
        <v/>
      </c>
      <c r="B444" s="41" t="str">
        <f ca="1">IF(ISERROR(F433),"",VLOOKUP(D433,INDIRECT($F$8),6+(O444-1)*3,0))</f>
        <v/>
      </c>
      <c r="C444" s="41"/>
      <c r="D444" s="41"/>
      <c r="E444" s="41"/>
      <c r="F444" s="7" t="str">
        <f ca="1">IF(ISERROR(F433),"",VLOOKUP(E433,INDIRECT($F$8),6+(O444-1)*3,0))</f>
        <v/>
      </c>
      <c r="G444" s="42" t="str">
        <f ca="1">IF(ISERROR(F433),"",_xlfn.TEXTJOIN("/",FALSE,P444,S444))</f>
        <v/>
      </c>
      <c r="H444" s="42"/>
      <c r="I444" s="42" t="str">
        <f ca="1">IF(ISERROR(F433),"",_xlfn.TEXTJOIN("/",FALSE,Q444,T444))</f>
        <v/>
      </c>
      <c r="J444" s="42"/>
      <c r="K444" s="42" t="str">
        <f ca="1">IF(ISERROR(F433),"",_xlfn.TEXTJOIN("/",FALSE,R444,U444))</f>
        <v/>
      </c>
      <c r="L444" s="42"/>
      <c r="M444" s="7" t="str">
        <f ca="1">IF(ISERROR(F433),"",IF(ISTEXT(P444),IF(P444="A","Ab",IF(P444="D","Dt",IF(P444="UFM","UFM",IF(P444="NA","")))),IF(AND(ISBLANK(P444),ISBLANK(R444)),"",IF(P444&lt;0.3*S444,"F",IF(ISBLANK(R444),"",IF(ISTEXT(R444),R444,IF(R444&gt;=0.9*U444,"O",IF(R444&gt;=0.85*U444,"A+",IF(R444&gt;=0.8*U444,"A",IF(R444&gt;=0.7*U444,"B+",IF(R444&gt;=0.6*U444,"B",IF(R444&gt;=0.5*U444,"C",IF(R444&gt;=0.4*U444,"P",IF(R444&lt;0.4*U444,"F",R444))))))))))))))</f>
        <v/>
      </c>
      <c r="N444" s="8" t="str">
        <f t="shared" ca="1" si="50"/>
        <v/>
      </c>
      <c r="O444">
        <f t="shared" ca="1" si="51"/>
        <v>9</v>
      </c>
      <c r="P444" s="1" t="str">
        <f ca="1">IF(ISERROR(F433),"",IF(ISTEXT(VLOOKUP(B433,INDIRECT($F$8),6+(O444-1)*3)),(VLOOKUP(B433,INDIRECT($F$8),6+(O444-1)*3)),SUM(VLOOKUP(B433,INDIRECT($F$8),6+(O444-1)*3),IF(W446,W444,0))))</f>
        <v/>
      </c>
      <c r="Q444" s="1" t="str">
        <f ca="1">IF(ISERROR(F433),"",VLOOKUP(B433,INDIRECT($F$8),7+(O444-1)*3))</f>
        <v/>
      </c>
      <c r="R444" s="1" t="str">
        <f ca="1">IF(ISERROR(F433),"",SUM(P444:Q444))</f>
        <v/>
      </c>
      <c r="S444" s="1" t="str">
        <f ca="1">IF(ISERROR(F433),"",VLOOKUP(A433,INDIRECT($F$8),6+(O444-1)*3))</f>
        <v/>
      </c>
      <c r="T444" s="1" t="str">
        <f ca="1">IF(ISERROR(F433),"",VLOOKUP(A433,INDIRECT($F$8),7+(O444-1)*3))</f>
        <v/>
      </c>
      <c r="U444" s="1" t="str">
        <f ca="1">IF(ISERROR(F433),"",VLOOKUP(A433,INDIRECT($F$8),8+(O444-1)*3))</f>
        <v/>
      </c>
      <c r="V444" s="1" t="str">
        <f ca="1">IF(ISERROR(F433),"",IF(N444=0,A444,""))</f>
        <v/>
      </c>
      <c r="W444" s="1" t="str">
        <f ca="1">IF(ISERROR(F433),"",IF(ISTEXT(VLOOKUP(B433,INDIRECT($F$8),6+(O444-1)*3)),11,IF(VLOOKUP(B433,INDIRECT($F$8),6+(O444-1)*3)&lt;S444*0.3,IF(VLOOKUP(B433,INDIRECT($F$8),8+(O444-1)*3)&lt;U444*0.4,IF(AND(0.4*U444-VLOOKUP(B433,INDIRECT($F$8),8+(O444-1)*3)&lt;=5,0.3*S444-VLOOKUP(B433,INDIRECT($F$8),6+(O444-1)*3)&lt;=5),MAX(0.4*U444-VLOOKUP(B433,INDIRECT($F$8),8+(O444-1)*3),0.3*S444-VLOOKUP(B433,INDIRECT($F$8),6+(O444-1)*3)),11),IF(0.3*S444-VLOOKUP(B433,INDIRECT($F$8),6+(O444-1)*3)&lt;=5,0.3*S444-VLOOKUP(B433,INDIRECT($F$8),6+(O444-1)*3),11)),IF(VLOOKUP(B433,INDIRECT($F$8),8+(O444-1)*3)&lt;U444*0.4,IF(U444*0.4-VLOOKUP(B433,INDIRECT($F$8),8+(O444-1)*3)&lt;=5,U444*0.4-VLOOKUP(B433,INDIRECT($F$8),8+(O444-1)*3),11),0))))</f>
        <v/>
      </c>
      <c r="X444" s="1" t="str">
        <f ca="1">IF(ISERROR(F433),"",IF(W444=0,"",_xlfn.TEXTJOIN("",FALSE," G+",W444," in ",A444)))</f>
        <v/>
      </c>
    </row>
    <row r="445" spans="1:24" ht="14.25" customHeight="1" x14ac:dyDescent="0.2">
      <c r="A445" s="7" t="str">
        <f ca="1">IF(ISERROR(F433),"",VLOOKUP(C433,INDIRECT($F$8),6+(O445-1)*3,0))</f>
        <v/>
      </c>
      <c r="B445" s="41" t="str">
        <f ca="1">IF(ISERROR(F433),"",VLOOKUP(D433,INDIRECT($F$8),6+(O445-1)*3-Z445,0))</f>
        <v/>
      </c>
      <c r="C445" s="41"/>
      <c r="D445" s="41"/>
      <c r="E445" s="41"/>
      <c r="F445" s="7" t="str">
        <f ca="1">IF(ISERROR(F433),"",VLOOKUP(E433,INDIRECT($F$8),6+(O445-1)*3,0))</f>
        <v/>
      </c>
      <c r="G445" s="42" t="str">
        <f ca="1">IF(ISERROR(F433),"",_xlfn.TEXTJOIN("/",FALSE,P445,S445))</f>
        <v/>
      </c>
      <c r="H445" s="42"/>
      <c r="I445" s="42" t="str">
        <f ca="1">IF(ISERROR(F433),"",_xlfn.TEXTJOIN("/",FALSE,Q445,T445))</f>
        <v/>
      </c>
      <c r="J445" s="42"/>
      <c r="K445" s="42" t="str">
        <f ca="1">IF(ISERROR(F433),"",_xlfn.TEXTJOIN("/",FALSE,R445,U445))</f>
        <v/>
      </c>
      <c r="L445" s="42"/>
      <c r="M445" s="7" t="str">
        <f ca="1">IF(ISERROR(F433),"",IF(ISTEXT(P445),IF(P445="A","Ab",IF(P445="D","Dt",IF(P445="UFM","UFM",IF(P445="NA","")))),IF(AND(ISBLANK(P445),ISBLANK(R445)),"",IF(P445&lt;0.3*S445,"F",IF(ISBLANK(R445),"",IF(ISTEXT(R445),R445,IF(R445&gt;=0.9*U445,"O",IF(R445&gt;=0.85*U445,"A+",IF(R445&gt;=0.8*U445,"A",IF(R445&gt;=0.7*U445,"B+",IF(R445&gt;=0.6*U445,"B",IF(R445&gt;=0.5*U445,"C",IF(R445&gt;=0.4*U445,"P",IF(R445&lt;0.4*U445,"F",R445))))))))))))))</f>
        <v/>
      </c>
      <c r="N445" s="8" t="str">
        <f t="shared" ca="1" si="50"/>
        <v/>
      </c>
      <c r="O445">
        <f t="shared" ca="1" si="51"/>
        <v>10</v>
      </c>
      <c r="P445" s="1" t="str">
        <f ca="1">IF(ISERROR(F433),"",IF(ISTEXT(VLOOKUP(B433,INDIRECT($F$8),6+(O445-1)*3)),(VLOOKUP(B433,INDIRECT($F$8),6+(O445-1)*3)),SUM(VLOOKUP(B433,INDIRECT($F$8),6+(O445-1)*3),IF(W446,W445,0))))</f>
        <v/>
      </c>
      <c r="Q445" s="1" t="str">
        <f ca="1">IF(ISERROR(F433),"",VLOOKUP(B433,INDIRECT($F$8),7+(O445-1)*3))</f>
        <v/>
      </c>
      <c r="R445" s="1" t="str">
        <f ca="1">IF(ISERROR(F433),"",SUM(P445:Q445))</f>
        <v/>
      </c>
      <c r="S445" s="1" t="str">
        <f ca="1">IF(ISERROR(F433),"",VLOOKUP(A433,INDIRECT($F$8),6+(O445-1)*3))</f>
        <v/>
      </c>
      <c r="T445" s="1" t="str">
        <f ca="1">IF(ISERROR(F433),"",VLOOKUP(A433,INDIRECT($F$8),7+(O445-1)*3))</f>
        <v/>
      </c>
      <c r="U445" s="1" t="str">
        <f ca="1">IF(ISERROR(F433),"",VLOOKUP(A433,INDIRECT($F$8),8+(O445-1)*3))</f>
        <v/>
      </c>
      <c r="V445" s="1" t="str">
        <f ca="1">IF(ISERROR(F433),"",IF(N445=0,A445,""))</f>
        <v/>
      </c>
      <c r="W445" s="1" t="str">
        <f ca="1">IF(ISERROR(F433),"",IF(ISTEXT(VLOOKUP(B433,INDIRECT($F$8),6+(O445-1)*3)),11,IF(VLOOKUP(B433,INDIRECT($F$8),6+(O445-1)*3)&lt;S445*0.3,IF(VLOOKUP(B433,INDIRECT($F$8),8+(O445-1)*3)&lt;U445*0.4,IF(AND(0.4*U445-VLOOKUP(B433,INDIRECT($F$8),8+(O445-1)*3)&lt;=5,0.3*S445-VLOOKUP(B433,INDIRECT($F$8),6+(O445-1)*3)&lt;=5),MAX(0.4*U445-VLOOKUP(B433,INDIRECT($F$8),8+(O445-1)*3),0.3*S445-VLOOKUP(B433,INDIRECT($F$8),6+(O445-1)*3)),11),IF(0.3*S445-VLOOKUP(B433,INDIRECT($F$8),6+(O445-1)*3)&lt;=5,0.3*S445-VLOOKUP(B433,INDIRECT($F$8),6+(O445-1)*3),11)),IF(VLOOKUP(B433,INDIRECT($F$8),8+(O445-1)*3)&lt;U445*0.4,IF(U445*0.4-VLOOKUP(B433,INDIRECT($F$8),8+(O445-1)*3)&lt;=5,U445*0.4-VLOOKUP(B433,INDIRECT($F$8),8+(O445-1)*3),11),0))))</f>
        <v/>
      </c>
      <c r="X445" s="1" t="str">
        <f ca="1">IF(ISERROR(F433),"",IF(W445=0,"",_xlfn.TEXTJOIN("",FALSE," G+",W445," in ",A445)))</f>
        <v/>
      </c>
    </row>
    <row r="446" spans="1:24" ht="14.25" customHeight="1" x14ac:dyDescent="0.2">
      <c r="A446" s="43" t="str">
        <f ca="1">IF(ISERROR(F433),"",A429)</f>
        <v/>
      </c>
      <c r="B446" s="43"/>
      <c r="C446" s="43"/>
      <c r="D446" s="43"/>
      <c r="E446" s="43"/>
      <c r="F446" s="10" t="str">
        <f ca="1">IF(ISERROR(F433),"",SUM(F438:F445))</f>
        <v/>
      </c>
      <c r="G446" s="44" t="str">
        <f ca="1">IF(ISERROR(F433),"",_xlfn.TEXTJOIN("/",TRUE,SUMIF(F438:F445,"&gt;0",P438:P445),SUMIF(F438:F445,"&gt;0",S438:S445)))</f>
        <v/>
      </c>
      <c r="H446" s="44"/>
      <c r="I446" s="44" t="str">
        <f ca="1">IF(ISERROR(F433),"",_xlfn.TEXTJOIN("/",TRUE,SUMIF(F438:F445,"&gt;0",Q438:Q445),SUMIF(F438:F445,"&gt;0",T438:T445)))</f>
        <v/>
      </c>
      <c r="J446" s="44"/>
      <c r="K446" s="44" t="str">
        <f ca="1">IF(ISERROR(F433),"",_xlfn.TEXTJOIN("/",TRUE,SUMIF(F438:F445,"&gt;0",R438:R445),SUMIF(F438:F445,"&gt;0",U438:U445)))</f>
        <v/>
      </c>
      <c r="L446" s="44"/>
      <c r="M446" s="43" t="str">
        <f ca="1">IF(ISERROR(F433),"",SUMPRODUCT(N438:N445,F438:F445))</f>
        <v/>
      </c>
      <c r="N446" s="43"/>
      <c r="V446" s="1" t="str">
        <f ca="1">IF(ISERROR(F433),"",_xlfn.TEXTJOIN(", ",TRUE,V438:V445))</f>
        <v/>
      </c>
      <c r="W446" t="str">
        <f ca="1">IF(ISERROR(F433),"",IF(SUM(W438:W445)&lt;=W437,TRUE,FALSE))</f>
        <v/>
      </c>
      <c r="X446" s="1" t="str">
        <f ca="1">IF(ISERROR(F433),"",_xlfn.TEXTJOIN(",",TRUE,X438:X445))</f>
        <v/>
      </c>
    </row>
    <row r="447" spans="1:24" ht="14.25" customHeight="1" x14ac:dyDescent="0.2">
      <c r="A447" s="43" t="str">
        <f ca="1">IF(ISERROR(F433),"",A430)</f>
        <v/>
      </c>
      <c r="B447" s="45" t="str">
        <f ca="1">IF(ISERROR(F433),"",IF(V446="","PASS","CARRY OVER"))</f>
        <v/>
      </c>
      <c r="C447" s="45"/>
      <c r="D447" s="43" t="str">
        <f ca="1">IF(ISERROR(F433),"",D430)</f>
        <v/>
      </c>
      <c r="E447" s="45" t="str">
        <f ca="1">IF(ISERROR(F433),"",IF(V446="",IF(X446="","",X446),_xlfn.TEXTJOIN(" ",TRUE,"BACK IN",V446)))</f>
        <v/>
      </c>
      <c r="F447" s="45"/>
      <c r="G447" s="43" t="str">
        <f ca="1">IF(ISERROR(F433),"",G430)</f>
        <v/>
      </c>
      <c r="H447" s="46" t="str">
        <f ca="1">IF(ISERROR(F433),"",M446/F446)</f>
        <v/>
      </c>
      <c r="I447" s="43" t="str">
        <f ca="1">IF(ISERROR(F433),"",I430)</f>
        <v/>
      </c>
      <c r="J447" s="46" t="str">
        <f ca="1">IF(ISERROR(F433),"",VLOOKUP(B433,INDIRECT($F$8),12+(O445-1)*3,0))</f>
        <v/>
      </c>
      <c r="K447" s="45" t="str">
        <f ca="1">IF(ISERROR(F433),"",K430)</f>
        <v/>
      </c>
      <c r="L447" s="43" t="str">
        <f ca="1">IF(ISERROR(F433),"",SUMIF(N438:N445,"&gt;0",F438:F445))</f>
        <v/>
      </c>
      <c r="M447" s="45" t="str">
        <f ca="1">IF(ISERROR(F433),"",M430)</f>
        <v/>
      </c>
      <c r="N447" s="43" t="str">
        <f ca="1">IF(ISERROR(F433),"",VLOOKUP(B433,INDIRECT($F$8),10+(O445-1)*3,0))</f>
        <v/>
      </c>
    </row>
    <row r="448" spans="1:24" ht="14.25" customHeight="1" x14ac:dyDescent="0.2">
      <c r="A448" s="43"/>
      <c r="B448" s="45"/>
      <c r="C448" s="45"/>
      <c r="D448" s="43"/>
      <c r="E448" s="45"/>
      <c r="F448" s="45"/>
      <c r="G448" s="43"/>
      <c r="H448" s="46"/>
      <c r="I448" s="43"/>
      <c r="J448" s="46"/>
      <c r="K448" s="45"/>
      <c r="L448" s="43"/>
      <c r="M448" s="45"/>
      <c r="N448" s="43"/>
    </row>
    <row r="449" spans="1:24" ht="14.25" customHeight="1" x14ac:dyDescent="0.2">
      <c r="A449" s="43"/>
      <c r="B449" s="45"/>
      <c r="C449" s="45"/>
      <c r="D449" s="43"/>
      <c r="E449" s="45"/>
      <c r="F449" s="45"/>
      <c r="G449" s="43"/>
      <c r="H449" s="46"/>
      <c r="I449" s="43"/>
      <c r="J449" s="46"/>
      <c r="K449" s="45"/>
      <c r="L449" s="43"/>
      <c r="M449" s="45"/>
      <c r="N449" s="43"/>
    </row>
    <row r="450" spans="1:24" ht="14.25" customHeight="1" x14ac:dyDescent="0.2">
      <c r="A450" s="11" t="str">
        <f>A433</f>
        <v>MM</v>
      </c>
      <c r="B450" s="11">
        <f>B433+1</f>
        <v>27</v>
      </c>
      <c r="C450" s="11" t="str">
        <f>C433</f>
        <v>SC</v>
      </c>
      <c r="D450" s="11" t="str">
        <f>D433</f>
        <v>SN</v>
      </c>
      <c r="E450" s="11" t="str">
        <f>E433</f>
        <v>C</v>
      </c>
      <c r="F450" s="11" t="e">
        <f ca="1">VLOOKUP(B450,INDIRECT($F$8),4,0)</f>
        <v>#N/A</v>
      </c>
    </row>
    <row r="451" spans="1:24" ht="14.25" customHeight="1" x14ac:dyDescent="0.2">
      <c r="A451" s="47" t="str">
        <f ca="1">IF(ISERROR(F450),"",A434)</f>
        <v/>
      </c>
      <c r="B451" s="47" t="str">
        <f ca="1">IFERROR(VLOOKUP(B450,INDIRECT($F$8),4,0),"")</f>
        <v/>
      </c>
      <c r="C451" s="47"/>
      <c r="D451" s="47" t="str">
        <f ca="1">IF(ISERROR(F450),"",D434)</f>
        <v/>
      </c>
      <c r="E451" s="47" t="str">
        <f ca="1">IFERROR(VLOOKUP(B450,INDIRECT($F$8),5,0),"")</f>
        <v/>
      </c>
      <c r="F451" s="47"/>
      <c r="G451" s="47" t="str">
        <f ca="1">IF(ISERROR(F450),"",G434)</f>
        <v/>
      </c>
      <c r="H451" s="47"/>
      <c r="I451" s="48" t="str">
        <f ca="1">IFERROR(VLOOKUP(B450,INDIRECT($F$8),2,0),"")</f>
        <v/>
      </c>
      <c r="J451" s="48"/>
      <c r="K451" s="47" t="str">
        <f ca="1">IF(ISERROR(F450),"",K434)</f>
        <v/>
      </c>
      <c r="L451" s="47"/>
      <c r="M451" s="48" t="str">
        <f ca="1">IFERROR(VLOOKUP(B450,INDIRECT($F$8),3,0),"")</f>
        <v/>
      </c>
      <c r="N451" s="48"/>
    </row>
    <row r="452" spans="1:24" ht="14.25" customHeight="1" x14ac:dyDescent="0.2">
      <c r="A452" s="47"/>
      <c r="B452" s="47"/>
      <c r="C452" s="47"/>
      <c r="D452" s="47"/>
      <c r="E452" s="47"/>
      <c r="F452" s="47"/>
      <c r="G452" s="47"/>
      <c r="H452" s="47"/>
      <c r="I452" s="48"/>
      <c r="J452" s="48"/>
      <c r="K452" s="47"/>
      <c r="L452" s="47"/>
      <c r="M452" s="48"/>
      <c r="N452" s="48"/>
    </row>
    <row r="453" spans="1:24" ht="14.25" customHeight="1" x14ac:dyDescent="0.2">
      <c r="A453" s="45" t="str">
        <f ca="1">IF(ISERROR(F450),"",A436)</f>
        <v/>
      </c>
      <c r="B453" s="45" t="str">
        <f ca="1">IF(ISERROR(F450),"",B436)</f>
        <v/>
      </c>
      <c r="C453" s="45"/>
      <c r="D453" s="45"/>
      <c r="E453" s="45"/>
      <c r="F453" s="45" t="str">
        <f ca="1">IF(ISERROR(F450),"",F436)</f>
        <v/>
      </c>
      <c r="G453" s="45" t="str">
        <f ca="1">IF(ISERROR(F450),"",G436)</f>
        <v/>
      </c>
      <c r="H453" s="45"/>
      <c r="I453" s="45" t="str">
        <f ca="1">IF(ISERROR(F450),"",I436)</f>
        <v/>
      </c>
      <c r="J453" s="45"/>
      <c r="K453" s="45" t="str">
        <f ca="1">IF(ISERROR(F450),"",K436)</f>
        <v/>
      </c>
      <c r="L453" s="45"/>
      <c r="M453" s="45" t="str">
        <f ca="1">IF(ISERROR(F450),"",M436)</f>
        <v/>
      </c>
      <c r="N453" s="45" t="str">
        <f ca="1">IF(ISERROR(F450),"",N436)</f>
        <v/>
      </c>
    </row>
    <row r="454" spans="1:24" ht="14.25" customHeight="1" x14ac:dyDescent="0.2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W454">
        <f ca="1">IF(ISNUMBER(MATCH($F$8,{"I","III","V","VII"},0)),10,10-INDEX(INDIRECT(_xlfn.TEXTJOIN("",TRUE,"SEM_",$G$8,"!",ADDRESS(6,4+$I$8*3+4),":",ADDRESS(5+$H$8,4+$I$8*3+4))),MATCH(INDIRECT(_xlfn.TEXTJOIN("",TRUE,"TC_",$F$8,"!",ADDRESS(ROW(I451),COLUMN(I451)))),INDIRECT(_xlfn.TEXTJOIN("",TRUE,"SEM_",$G$8,"!",ADDRESS(6,2),":",ADDRESS(5+$H$8,2))))))</f>
        <v>10</v>
      </c>
    </row>
    <row r="455" spans="1:24" ht="14.25" customHeight="1" x14ac:dyDescent="0.2">
      <c r="A455" s="7" t="str">
        <f ca="1">IF(ISERROR(F450),"",VLOOKUP(C450,INDIRECT($F$8),6+(O455-1)*3,0))</f>
        <v/>
      </c>
      <c r="B455" s="41" t="str">
        <f ca="1">IF(ISERROR(F450),"",VLOOKUP(D450,INDIRECT($F$8),6+(O455-1)*3,0))</f>
        <v/>
      </c>
      <c r="C455" s="41"/>
      <c r="D455" s="41"/>
      <c r="E455" s="41"/>
      <c r="F455" s="7" t="str">
        <f ca="1">IF(ISERROR(F450),"",VLOOKUP(E450,INDIRECT($F$8),6+(O455-1)*3,0))</f>
        <v/>
      </c>
      <c r="G455" s="42" t="str">
        <f ca="1">IF(ISERROR(F450),"",_xlfn.TEXTJOIN("/",FALSE,P455,S455))</f>
        <v/>
      </c>
      <c r="H455" s="42"/>
      <c r="I455" s="42" t="str">
        <f ca="1">IF(ISERROR(F450),"",_xlfn.TEXTJOIN("/",FALSE,Q455,T455))</f>
        <v/>
      </c>
      <c r="J455" s="42"/>
      <c r="K455" s="42" t="str">
        <f ca="1">IF(ISERROR(F450),"",_xlfn.TEXTJOIN("/",FALSE,R455,U455))</f>
        <v/>
      </c>
      <c r="L455" s="42"/>
      <c r="M455" s="7" t="str">
        <f ca="1">IF(ISERROR(F450),"",IF(ISTEXT(P455),IF(P455="A","Ab",IF(P455="D","Dt",IF(P455="UFM","UFM",IF(P455="NA","")))),IF(AND(ISBLANK(P455),ISBLANK(R455)),"",IF(P455&lt;0.3*S455,"F",IF(ISBLANK(R455),"",IF(ISTEXT(R455),R455,IF(R455&gt;=0.9*U455,"O",IF(R455&gt;=0.85*U455,"A+",IF(R455&gt;=0.8*U455,"A",IF(R455&gt;=0.7*U455,"B+",IF(R455&gt;=0.6*U455,"B",IF(R455&gt;=0.5*U455,"C",IF(R455&gt;=0.4*U455,"P",IF(R455&lt;0.4*U455,"F",R455))))))))))))))</f>
        <v/>
      </c>
      <c r="N455" s="8" t="str">
        <f t="shared" ref="N455:N462" ca="1" si="52">INDEX($Z$2:$Z$13,MATCH(M455,$Y$2:$Y$13,0))</f>
        <v/>
      </c>
      <c r="O455">
        <v>1</v>
      </c>
      <c r="P455" s="1" t="str">
        <f ca="1">IF(ISERROR(F450),"",IF(ISTEXT(VLOOKUP(B450,INDIRECT($F$8),6+(O455-1)*3)),(VLOOKUP(B450,INDIRECT($F$8),6+(O455-1)*3)),SUM(VLOOKUP(B450,INDIRECT($F$8),6+(O455-1)*3),IF(W463,W455,0))))</f>
        <v/>
      </c>
      <c r="Q455" s="1" t="str">
        <f ca="1">IF(ISERROR(F450),"",VLOOKUP(B450,INDIRECT($F$8),7+(O455-1)*3))</f>
        <v/>
      </c>
      <c r="R455" s="1" t="str">
        <f ca="1">IF(ISERROR(F450),"",SUM(P455:Q455))</f>
        <v/>
      </c>
      <c r="S455" s="1" t="str">
        <f ca="1">IF(ISERROR(F450),"",VLOOKUP(A450,INDIRECT($F$8),6+(O455-1)*3))</f>
        <v/>
      </c>
      <c r="T455" s="1" t="str">
        <f ca="1">IF(ISERROR(F450),"",VLOOKUP(A450,INDIRECT($F$8),7+(O455-1)*3))</f>
        <v/>
      </c>
      <c r="U455" s="1" t="str">
        <f ca="1">IF(ISERROR(F450),"",VLOOKUP(A450,INDIRECT($F$8),8+(O455-1)*3))</f>
        <v/>
      </c>
      <c r="V455" s="1" t="str">
        <f ca="1">IF(ISERROR(F450),"",IF(N455=0,A455,""))</f>
        <v/>
      </c>
      <c r="W455" s="1" t="str">
        <f ca="1">IF(ISERROR(F450),"",IF(ISTEXT(VLOOKUP(B450,INDIRECT($F$8),6+(O455-1)*3)),11,IF(VLOOKUP(B450,INDIRECT($F$8),6+(O455-1)*3)&lt;S455*0.3,IF(VLOOKUP(B450,INDIRECT($F$8),8+(O455-1)*3)&lt;U455*0.4,IF(AND(0.4*U455-VLOOKUP(B450,INDIRECT($F$8),8+(O455-1)*3)&lt;=5,0.3*S455-VLOOKUP(B450,INDIRECT($F$8),6+(O455-1)*3)&lt;=5),MAX(0.4*U455-VLOOKUP(B450,INDIRECT($F$8),8+(O455-1)*3),0.3*S455-VLOOKUP(B450,INDIRECT($F$8),6+(O455-1)*3)),11),IF(0.3*S455-VLOOKUP(B450,INDIRECT($F$8),6+(O455-1)*3)&lt;=5,0.3*S455-VLOOKUP(B450,INDIRECT($F$8),6+(O455-1)*3),11)),IF(VLOOKUP(B450,INDIRECT($F$8),8+(O455-1)*3)&lt;U455*0.4,IF(U455*0.4-VLOOKUP(B450,INDIRECT($F$8),8+(O455-1)*3)&lt;=5,U455*0.4-VLOOKUP(B450,INDIRECT($F$8),8+(O455-1)*3),11),0))))</f>
        <v/>
      </c>
      <c r="X455" s="1" t="str">
        <f ca="1">IF(ISERROR(F450),"",IF(W455=0,"",_xlfn.TEXTJOIN("",FALSE," G+",W455," in ",A455)))</f>
        <v/>
      </c>
    </row>
    <row r="456" spans="1:24" ht="14.25" customHeight="1" x14ac:dyDescent="0.2">
      <c r="A456" s="7" t="str">
        <f ca="1">IF(ISERROR(F450),"",VLOOKUP(C450,INDIRECT($F$8),6+(O456-1)*3,0))</f>
        <v/>
      </c>
      <c r="B456" s="41" t="str">
        <f ca="1">IF(ISERROR(F450),"",VLOOKUP(D450,INDIRECT($F$8),6+(O456-1)*3,0))</f>
        <v/>
      </c>
      <c r="C456" s="41"/>
      <c r="D456" s="41"/>
      <c r="E456" s="41"/>
      <c r="F456" s="7" t="str">
        <f ca="1">IF(ISERROR(F450),"",VLOOKUP(E450,INDIRECT($F$8),6+(O456-1)*3,0))</f>
        <v/>
      </c>
      <c r="G456" s="42" t="str">
        <f ca="1">IF(ISERROR(F450),"",_xlfn.TEXTJOIN("/",FALSE,P456,S456))</f>
        <v/>
      </c>
      <c r="H456" s="42"/>
      <c r="I456" s="42" t="str">
        <f ca="1">IF(ISERROR(F450),"",_xlfn.TEXTJOIN("/",FALSE,Q456,T456))</f>
        <v/>
      </c>
      <c r="J456" s="42"/>
      <c r="K456" s="42" t="str">
        <f ca="1">IF(ISERROR(F450),"",_xlfn.TEXTJOIN("/",FALSE,R456,U456))</f>
        <v/>
      </c>
      <c r="L456" s="42"/>
      <c r="M456" s="7" t="str">
        <f ca="1">IF(ISERROR(F450),"",IF(ISTEXT(P456),IF(P456="A","Ab",IF(P456="D","Dt",IF(P456="UFM","UFM",IF(P456="NA","")))),IF(AND(ISBLANK(P456),ISBLANK(R456)),"",IF(P456&lt;0.3*S456,"F",IF(ISBLANK(R456),"",IF(ISTEXT(R456),R456,IF(R456&gt;=0.9*U456,"O",IF(R456&gt;=0.85*U456,"A+",IF(R456&gt;=0.8*U456,"A",IF(R456&gt;=0.7*U456,"B+",IF(R456&gt;=0.6*U456,"B",IF(R456&gt;=0.5*U456,"C",IF(R456&gt;=0.4*U456,"P",IF(R456&lt;0.4*U456,"F",R456))))))))))))))</f>
        <v/>
      </c>
      <c r="N456" s="8" t="str">
        <f t="shared" ca="1" si="52"/>
        <v/>
      </c>
      <c r="O456">
        <f>O455+1</f>
        <v>2</v>
      </c>
      <c r="P456" s="1" t="str">
        <f ca="1">IF(ISERROR(F450),"",IF(ISTEXT(VLOOKUP(B450,INDIRECT($F$8),6+(O456-1)*3)),(VLOOKUP(B450,INDIRECT($F$8),6+(O456-1)*3)),SUM(VLOOKUP(B450,INDIRECT($F$8),6+(O456-1)*3),IF(W463,W456,0))))</f>
        <v/>
      </c>
      <c r="Q456" s="1" t="str">
        <f ca="1">IF(ISERROR(F450),"",VLOOKUP(B450,INDIRECT($F$8),7+(O456-1)*3))</f>
        <v/>
      </c>
      <c r="R456" s="1" t="str">
        <f ca="1">IF(ISERROR(F450),"",SUM(P456:Q456))</f>
        <v/>
      </c>
      <c r="S456" s="1" t="str">
        <f ca="1">IF(ISERROR(F450),"",VLOOKUP(A450,INDIRECT($F$8),6+(O456-1)*3))</f>
        <v/>
      </c>
      <c r="T456" s="1" t="str">
        <f ca="1">IF(ISERROR(F450),"",VLOOKUP(A450,INDIRECT($F$8),7+(O456-1)*3))</f>
        <v/>
      </c>
      <c r="U456" s="1" t="str">
        <f ca="1">IF(ISERROR(F450),"",VLOOKUP(A450,INDIRECT($F$8),8+(O456-1)*3))</f>
        <v/>
      </c>
      <c r="V456" s="1" t="str">
        <f ca="1">IF(ISERROR(F450),"",IF(N456=0,A456,""))</f>
        <v/>
      </c>
      <c r="W456" s="1" t="str">
        <f ca="1">IF(ISERROR(F450),"",IF(ISTEXT(VLOOKUP(B450,INDIRECT($F$8),6+(O456-1)*3)),11,IF(VLOOKUP(B450,INDIRECT($F$8),6+(O456-1)*3)&lt;S456*0.3,IF(VLOOKUP(B450,INDIRECT($F$8),8+(O456-1)*3)&lt;U456*0.4,IF(AND(0.4*U456-VLOOKUP(B450,INDIRECT($F$8),8+(O456-1)*3)&lt;=5,0.3*S456-VLOOKUP(B450,INDIRECT($F$8),6+(O456-1)*3)&lt;=5),MAX(0.4*U456-VLOOKUP(B450,INDIRECT($F$8),8+(O456-1)*3),0.3*S456-VLOOKUP(B450,INDIRECT($F$8),6+(O456-1)*3)),11),IF(0.3*S456-VLOOKUP(B450,INDIRECT($F$8),6+(O456-1)*3)&lt;=5,0.3*S456-VLOOKUP(B450,INDIRECT($F$8),6+(O456-1)*3),11)),IF(VLOOKUP(B450,INDIRECT($F$8),8+(O456-1)*3)&lt;U456*0.4,IF(U456*0.4-VLOOKUP(B450,INDIRECT($F$8),8+(O456-1)*3)&lt;=5,U456*0.4-VLOOKUP(B450,INDIRECT($F$8),8+(O456-1)*3),11),0))))</f>
        <v/>
      </c>
      <c r="X456" s="1" t="str">
        <f ca="1">IF(ISERROR(F450),"",IF(W456=0,"",_xlfn.TEXTJOIN("",FALSE," G+",W456," in ",A456)))</f>
        <v/>
      </c>
    </row>
    <row r="457" spans="1:24" ht="14.25" customHeight="1" x14ac:dyDescent="0.2">
      <c r="A457" s="7" t="str">
        <f ca="1">IF(ISERROR(F450),"",VLOOKUP(C450,INDIRECT($F$8),6+(O457-1)*3,0))</f>
        <v/>
      </c>
      <c r="B457" s="41" t="str">
        <f ca="1">IF(ISERROR(F450),"",VLOOKUP(D450,INDIRECT($F$8),6+(O457-1)*3,0))</f>
        <v/>
      </c>
      <c r="C457" s="41"/>
      <c r="D457" s="41"/>
      <c r="E457" s="41"/>
      <c r="F457" s="7" t="str">
        <f ca="1">IF(ISERROR(F450),"",VLOOKUP(E450,INDIRECT($F$8),6+(O457-1)*3,0))</f>
        <v/>
      </c>
      <c r="G457" s="42" t="str">
        <f ca="1">IF(ISERROR(F450),"",_xlfn.TEXTJOIN("/",FALSE,P457,S457))</f>
        <v/>
      </c>
      <c r="H457" s="42"/>
      <c r="I457" s="42" t="str">
        <f ca="1">IF(ISERROR(F450),"",_xlfn.TEXTJOIN("/",FALSE,Q457,T457))</f>
        <v/>
      </c>
      <c r="J457" s="42"/>
      <c r="K457" s="42" t="str">
        <f ca="1">IF(ISERROR(F450),"",_xlfn.TEXTJOIN("/",FALSE,R457,U457))</f>
        <v/>
      </c>
      <c r="L457" s="42"/>
      <c r="M457" s="7" t="str">
        <f ca="1">IF(ISERROR(F450),"",IF(ISTEXT(P457),IF(P457="A","Ab",IF(P457="D","Dt",IF(P457="UFM","UFM",IF(P457="NA","")))),IF(AND(ISBLANK(P457),ISBLANK(R457)),"",IF(P457&lt;0.3*S457,"F",IF(ISBLANK(R457),"",IF(ISTEXT(R457),R457,IF(R457&gt;=0.9*U457,"O",IF(R457&gt;=0.85*U457,"A+",IF(R457&gt;=0.8*U457,"A",IF(R457&gt;=0.7*U457,"B+",IF(R457&gt;=0.6*U457,"B",IF(R457&gt;=0.5*U457,"C",IF(R457&gt;=0.4*U457,"P",IF(R457&lt;0.4*U457,"F",R457))))))))))))))</f>
        <v/>
      </c>
      <c r="N457" s="8" t="str">
        <f t="shared" ca="1" si="52"/>
        <v/>
      </c>
      <c r="O457" t="b" cm="1">
        <f t="array" aca="1" ref="O457" ca="1">IF(NOT(ISBLANK(INDIRECT("SEM_III!L"&amp;INT((ROW(O457)-15)/17)+6))),3,IF(NOT(ISBLANK(INDIRECT("SEM_III!O"&amp;INT((ROW(O457)-15)/17)+6))),4))</f>
        <v>0</v>
      </c>
      <c r="P457" s="1" t="str">
        <f ca="1">IF(ISERROR(F450),"",IF(ISTEXT(VLOOKUP(B450,INDIRECT($F$8),6+(O457-1)*3)),(VLOOKUP(B450,INDIRECT($F$8),6+(O457-1)*3)),SUM(VLOOKUP(B450,INDIRECT($F$8),6+(O457-1)*3),IF(W463,W457,0))))</f>
        <v/>
      </c>
      <c r="Q457" s="1" t="str">
        <f ca="1">IF(ISERROR(F450),"",VLOOKUP(B450,INDIRECT($F$8),7+(O457-1)*3))</f>
        <v/>
      </c>
      <c r="R457" s="1" t="str">
        <f ca="1">IF(ISERROR(F450),"",SUM(P457:Q457))</f>
        <v/>
      </c>
      <c r="S457" s="1" t="str">
        <f ca="1">IF(ISERROR(F450),"",VLOOKUP(A450,INDIRECT($F$8),6+(O457-1)*3))</f>
        <v/>
      </c>
      <c r="T457" s="1" t="str">
        <f ca="1">IF(ISERROR(F450),"",VLOOKUP(A450,INDIRECT($F$8),7+(O457-1)*3))</f>
        <v/>
      </c>
      <c r="U457" s="1" t="str">
        <f ca="1">IF(ISERROR(F450),"",VLOOKUP(A450,INDIRECT($F$8),8+(O457-1)*3))</f>
        <v/>
      </c>
      <c r="V457" s="1" t="str">
        <f ca="1">IF(ISERROR(F450),"",IF(N457=0,A457,""))</f>
        <v/>
      </c>
      <c r="W457" s="1" t="str">
        <f ca="1">IF(ISERROR(F450),"",IF(ISTEXT(VLOOKUP(B450,INDIRECT($F$8),6+(O457-1)*3)),11,IF(VLOOKUP(B450,INDIRECT($F$8),6+(O457-1)*3)&lt;S457*0.3,IF(VLOOKUP(B450,INDIRECT($F$8),8+(O457-1)*3)&lt;U457*0.4,IF(AND(0.4*U457-VLOOKUP(B450,INDIRECT($F$8),8+(O457-1)*3)&lt;=5,0.3*S457-VLOOKUP(B450,INDIRECT($F$8),6+(O457-1)*3)&lt;=5),MAX(0.4*U457-VLOOKUP(B450,INDIRECT($F$8),8+(O457-1)*3),0.3*S457-VLOOKUP(B450,INDIRECT($F$8),6+(O457-1)*3)),11),IF(0.3*S457-VLOOKUP(B450,INDIRECT($F$8),6+(O457-1)*3)&lt;=5,0.3*S457-VLOOKUP(B450,INDIRECT($F$8),6+(O457-1)*3),11)),IF(VLOOKUP(B450,INDIRECT($F$8),8+(O457-1)*3)&lt;U457*0.4,IF(U457*0.4-VLOOKUP(B450,INDIRECT($F$8),8+(O457-1)*3)&lt;=5,U457*0.4-VLOOKUP(B450,INDIRECT($F$8),8+(O457-1)*3),11),0))))</f>
        <v/>
      </c>
      <c r="X457" s="1" t="str">
        <f ca="1">IF(ISERROR(F450),"",IF(W457=0,"",_xlfn.TEXTJOIN("",FALSE," G+",W457," in ",A457)))</f>
        <v/>
      </c>
    </row>
    <row r="458" spans="1:24" ht="14.25" customHeight="1" x14ac:dyDescent="0.2">
      <c r="A458" s="7" t="str">
        <f ca="1">IF(ISERROR(F450),"",VLOOKUP(C450,INDIRECT($F$8),6+(O458-1)*3,0))</f>
        <v/>
      </c>
      <c r="B458" s="41" t="str">
        <f ca="1">IF(ISERROR(F450),"",VLOOKUP(D450,INDIRECT($F$8),6+(O458-1)*3,0))</f>
        <v/>
      </c>
      <c r="C458" s="41"/>
      <c r="D458" s="41"/>
      <c r="E458" s="41"/>
      <c r="F458" s="7" t="str">
        <f ca="1">IF(ISERROR(F450),"",VLOOKUP(E450,INDIRECT($F$8),6+(O458-1)*3,0))</f>
        <v/>
      </c>
      <c r="G458" s="42" t="str">
        <f ca="1">IF(ISERROR(F450),"",_xlfn.TEXTJOIN("/",FALSE,P458,S458))</f>
        <v/>
      </c>
      <c r="H458" s="42"/>
      <c r="I458" s="42" t="str">
        <f ca="1">IF(ISERROR(F450),"",_xlfn.TEXTJOIN("/",FALSE,Q458,T458))</f>
        <v/>
      </c>
      <c r="J458" s="42"/>
      <c r="K458" s="42" t="str">
        <f ca="1">IF(ISERROR(F450),"",_xlfn.TEXTJOIN("/",FALSE,R458,U458))</f>
        <v/>
      </c>
      <c r="L458" s="42"/>
      <c r="M458" s="7" t="str">
        <f ca="1">IF(ISERROR(F450),"",IF(ISTEXT(P458),IF(P458="A","Ab",IF(P458="D","Dt",IF(P458="UFM","UFM",IF(P458="NA","")))),IF(AND(ISBLANK(P458),ISBLANK(R458)),"",IF(P458&lt;0.3*S458,"F",IF(ISBLANK(R458),"",IF(ISTEXT(R458),R458,IF(R458&gt;=0.9*U458,"O",IF(R458&gt;=0.85*U458,"A+",IF(R458&gt;=0.8*U458,"A",IF(R458&gt;=0.7*U458,"B+",IF(R458&gt;=0.6*U458,"B",IF(R458&gt;=0.5*U458,"C",IF(R458&gt;=0.4*U458,"P",IF(R458&lt;0.4*U458,"F",R458))))))))))))))</f>
        <v/>
      </c>
      <c r="N458" s="8" t="str">
        <f t="shared" ca="1" si="52"/>
        <v/>
      </c>
      <c r="O458" t="b" cm="1">
        <f t="array" aca="1" ref="O458" ca="1">IF(NOT(ISBLANK(INDIRECT("SEM_III!R"&amp;INT((ROW(O458)-16)/17)+6))),5,IF(NOT(ISBLANK(INDIRECT("SEM_III!U"&amp;INT((ROW(O458)-16)/17)+6))),6))</f>
        <v>0</v>
      </c>
      <c r="P458" s="1" t="str">
        <f ca="1">IF(ISERROR(F450),"",IF(ISTEXT(VLOOKUP(B450,INDIRECT($F$8),6+(O458-1)*3)),(VLOOKUP(B450,INDIRECT($F$8),6+(O458-1)*3)),SUM(VLOOKUP(B450,INDIRECT($F$8),6+(O458-1)*3),IF(W463,W458,0))))</f>
        <v/>
      </c>
      <c r="Q458" s="1" t="str">
        <f ca="1">IF(ISERROR(F450),"",VLOOKUP(B450,INDIRECT($F$8),7+(O458-1)*3))</f>
        <v/>
      </c>
      <c r="R458" s="1" t="str">
        <f ca="1">IF(ISERROR(F450),"",SUM(P458:Q458))</f>
        <v/>
      </c>
      <c r="S458" s="1" t="str">
        <f ca="1">IF(ISERROR(F450),"",VLOOKUP(A450,INDIRECT($F$8),6+(O458-1)*3))</f>
        <v/>
      </c>
      <c r="T458" s="1" t="str">
        <f ca="1">IF(ISERROR(F450),"",VLOOKUP(A450,INDIRECT($F$8),7+(O458-1)*3))</f>
        <v/>
      </c>
      <c r="U458" s="1" t="str">
        <f ca="1">IF(ISERROR(F450),"",VLOOKUP(A450,INDIRECT($F$8),8+(O458-1)*3))</f>
        <v/>
      </c>
      <c r="V458" s="1" t="str">
        <f ca="1">IF(ISERROR(F450),"",IF(N458=0,A458,""))</f>
        <v/>
      </c>
      <c r="W458" s="1" t="str">
        <f ca="1">IF(ISERROR(F450),"",IF(ISTEXT(VLOOKUP(B450,INDIRECT($F$8),6+(O458-1)*3)),11,IF(VLOOKUP(B450,INDIRECT($F$8),6+(O458-1)*3)&lt;S458*0.3,IF(VLOOKUP(B450,INDIRECT($F$8),8+(O458-1)*3)&lt;U458*0.4,IF(AND(0.4*U458-VLOOKUP(B450,INDIRECT($F$8),8+(O458-1)*3)&lt;=5,0.3*S458-VLOOKUP(B450,INDIRECT($F$8),6+(O458-1)*3)&lt;=5),MAX(0.4*U458-VLOOKUP(B450,INDIRECT($F$8),8+(O458-1)*3),0.3*S458-VLOOKUP(B450,INDIRECT($F$8),6+(O458-1)*3)),11),IF(0.3*S458-VLOOKUP(B450,INDIRECT($F$8),6+(O458-1)*3)&lt;=5,0.3*S458-VLOOKUP(B450,INDIRECT($F$8),6+(O458-1)*3),11)),IF(VLOOKUP(B450,INDIRECT($F$8),8+(O458-1)*3)&lt;U458*0.4,IF(U458*0.4-VLOOKUP(B450,INDIRECT($F$8),8+(O458-1)*3)&lt;=5,U458*0.4-VLOOKUP(B450,INDIRECT($F$8),8+(O458-1)*3),11),0))))</f>
        <v/>
      </c>
      <c r="X458" s="1" t="str">
        <f ca="1">IF(ISERROR(F450),"",IF(W458=0,"",_xlfn.TEXTJOIN("",FALSE," G+",W458," in ",A458)))</f>
        <v/>
      </c>
    </row>
    <row r="459" spans="1:24" ht="14.25" customHeight="1" x14ac:dyDescent="0.2">
      <c r="A459" s="7" t="str">
        <f ca="1">IF(ISERROR(F450),"",VLOOKUP(C450,INDIRECT($F$8),6+(O459-1)*3,0))</f>
        <v/>
      </c>
      <c r="B459" s="41" t="str">
        <f ca="1">IF(ISERROR(F450),"",VLOOKUP(D450,INDIRECT($F$8),6+(O459-1)*3,0))</f>
        <v/>
      </c>
      <c r="C459" s="41"/>
      <c r="D459" s="41"/>
      <c r="E459" s="41"/>
      <c r="F459" s="7" t="str">
        <f ca="1">IF(ISERROR(F450),"",VLOOKUP(E450,INDIRECT($F$8),6+(O459-1)*3,0))</f>
        <v/>
      </c>
      <c r="G459" s="42" t="str">
        <f ca="1">IF(ISERROR(F450),"",_xlfn.TEXTJOIN("/",FALSE,P459,S459))</f>
        <v/>
      </c>
      <c r="H459" s="42"/>
      <c r="I459" s="42" t="str">
        <f ca="1">IF(ISERROR(F450),"",_xlfn.TEXTJOIN("/",FALSE,Q459,T459))</f>
        <v/>
      </c>
      <c r="J459" s="42"/>
      <c r="K459" s="42" t="str">
        <f ca="1">IF(ISERROR(F450),"",_xlfn.TEXTJOIN("/",FALSE,R459,U459))</f>
        <v/>
      </c>
      <c r="L459" s="42"/>
      <c r="M459" s="7" t="str">
        <f ca="1">IF(ISERROR(F450),"",IF(ISTEXT(P459),IF(P459="A","Ab",IF(P459="D","Dt",IF(P459="UFM","UFM",IF(P459="NA","")))),IF(AND(ISBLANK(P459),ISBLANK(R459)),"",IF(P459&lt;0.3*S459,"F",IF(ISBLANK(R459),"",IF(ISTEXT(R459),R459,IF(R459&gt;=0.9*U459,"O",IF(R459&gt;=0.85*U459,"A+",IF(R459&gt;=0.8*U459,"A",IF(R459&gt;=0.7*U459,"B+",IF(R459&gt;=0.6*U459,"B",IF(R459&gt;=0.5*U459,"C",IF(R459&gt;=0.4*U459,"P",IF(R459&lt;0.4*U459,"F",R459))))))))))))))</f>
        <v/>
      </c>
      <c r="N459" s="8" t="str">
        <f t="shared" ca="1" si="52"/>
        <v/>
      </c>
      <c r="O459">
        <f ca="1">IF(O458&gt;0,7,"")</f>
        <v>7</v>
      </c>
      <c r="P459" s="1" t="str">
        <f ca="1">IF(ISERROR(F450),"",IF(ISTEXT(VLOOKUP(B450,INDIRECT($F$8),6+(O459-1)*3)),(VLOOKUP(B450,INDIRECT($F$8),6+(O459-1)*3)),SUM(VLOOKUP(B450,INDIRECT($F$8),6+(O459-1)*3),IF(W463,W459,0))))</f>
        <v/>
      </c>
      <c r="Q459" s="1" t="str">
        <f ca="1">IF(ISERROR(F450),"",VLOOKUP(B450,INDIRECT($F$8),7+(O459-1)*3))</f>
        <v/>
      </c>
      <c r="R459" s="1" t="str">
        <f ca="1">IF(ISERROR(F450),"",SUM(P459:Q459))</f>
        <v/>
      </c>
      <c r="S459" s="1" t="str">
        <f ca="1">IF(ISERROR(F450),"",VLOOKUP(A450,INDIRECT($F$8),6+(O459-1)*3))</f>
        <v/>
      </c>
      <c r="T459" s="1" t="str">
        <f ca="1">IF(ISERROR(F450),"",VLOOKUP(A450,INDIRECT($F$8),7+(O459-1)*3))</f>
        <v/>
      </c>
      <c r="U459" s="1" t="str">
        <f ca="1">IF(ISERROR(F450),"",VLOOKUP(A450,INDIRECT($F$8),8+(O459-1)*3))</f>
        <v/>
      </c>
      <c r="V459" s="1" t="str">
        <f ca="1">IF(ISERROR(F450),"",IF(N459=0,A459,""))</f>
        <v/>
      </c>
      <c r="W459" s="1" t="str">
        <f ca="1">IF(ISERROR(F450),"",IF(ISTEXT(VLOOKUP(B450,INDIRECT($F$8),6+(O459-1)*3)),11,IF(VLOOKUP(B450,INDIRECT($F$8),6+(O459-1)*3)&lt;S459*0.3,IF(VLOOKUP(B450,INDIRECT($F$8),8+(O459-1)*3)&lt;U459*0.4,IF(AND(0.4*U459-VLOOKUP(B450,INDIRECT($F$8),8+(O459-1)*3)&lt;=5,0.3*S459-VLOOKUP(B450,INDIRECT($F$8),6+(O459-1)*3)&lt;=5),MAX(0.4*U459-VLOOKUP(B450,INDIRECT($F$8),8+(O459-1)*3),0.3*S459-VLOOKUP(B450,INDIRECT($F$8),6+(O459-1)*3)),11),IF(0.3*S459-VLOOKUP(B450,INDIRECT($F$8),6+(O459-1)*3)&lt;=5,0.3*S459-VLOOKUP(B450,INDIRECT($F$8),6+(O459-1)*3),11)),IF(VLOOKUP(B450,INDIRECT($F$8),8+(O459-1)*3)&lt;U459*0.4,IF(U459*0.4-VLOOKUP(B450,INDIRECT($F$8),8+(O459-1)*3)&lt;=5,U459*0.4-VLOOKUP(B450,INDIRECT($F$8),8+(O459-1)*3),11),0))))</f>
        <v/>
      </c>
      <c r="X459" s="1" t="str">
        <f ca="1">IF(ISERROR(F450),"",IF(W459=0,"",_xlfn.TEXTJOIN("",FALSE," G+",W459," in ",A459)))</f>
        <v/>
      </c>
    </row>
    <row r="460" spans="1:24" ht="14.25" customHeight="1" x14ac:dyDescent="0.2">
      <c r="A460" s="7" t="str">
        <f ca="1">IF(ISERROR(F450),"",VLOOKUP(C450,INDIRECT($F$8),6+(O460-1)*3,0))</f>
        <v/>
      </c>
      <c r="B460" s="41" t="str">
        <f ca="1">IF(ISERROR(F450),"",VLOOKUP(D450,INDIRECT($F$8),6+(O460-1)*3,0))</f>
        <v/>
      </c>
      <c r="C460" s="41"/>
      <c r="D460" s="41"/>
      <c r="E460" s="41"/>
      <c r="F460" s="7" t="str">
        <f ca="1">IF(ISERROR(F450),"",VLOOKUP(E450,INDIRECT($F$8),6+(O460-1)*3,0))</f>
        <v/>
      </c>
      <c r="G460" s="42" t="str">
        <f ca="1">IF(ISERROR(F450),"",_xlfn.TEXTJOIN("/",FALSE,P460,S460))</f>
        <v/>
      </c>
      <c r="H460" s="42"/>
      <c r="I460" s="42" t="str">
        <f ca="1">IF(ISERROR(F450),"",_xlfn.TEXTJOIN("/",FALSE,Q460,T460))</f>
        <v/>
      </c>
      <c r="J460" s="42"/>
      <c r="K460" s="42" t="str">
        <f ca="1">IF(ISERROR(F450),"",_xlfn.TEXTJOIN("/",FALSE,R460,U460))</f>
        <v/>
      </c>
      <c r="L460" s="42"/>
      <c r="M460" s="7" t="str">
        <f ca="1">IF(ISERROR(F450),"",IF(ISTEXT(P460),IF(P460="A","Ab",IF(P460="D","Dt",IF(P460="UFM","UFM",IF(P460="NA","")))),IF(AND(ISBLANK(P460),ISBLANK(R460)),"",IF(P460&lt;0.3*S460,"F",IF(ISBLANK(R460),"",IF(ISTEXT(R460),R460,IF(R460&gt;=0.9*U460,"O",IF(R460&gt;=0.85*U460,"A+",IF(R460&gt;=0.8*U460,"A",IF(R460&gt;=0.7*U460,"B+",IF(R460&gt;=0.6*U460,"B",IF(R460&gt;=0.5*U460,"C",IF(R460&gt;=0.4*U460,"P",IF(R460&lt;0.4*U460,"F",R460))))))))))))))</f>
        <v/>
      </c>
      <c r="N460" s="8" t="str">
        <f t="shared" ca="1" si="52"/>
        <v/>
      </c>
      <c r="O460">
        <f t="shared" ref="O460:O462" ca="1" si="53">O459+1</f>
        <v>8</v>
      </c>
      <c r="P460" s="1" t="str">
        <f ca="1">IF(ISERROR(F450),"",IF(ISTEXT(VLOOKUP(B450,INDIRECT($F$8),6+(O460-1)*3)),(VLOOKUP(B450,INDIRECT($F$8),6+(O460-1)*3)),SUM(VLOOKUP(B450,INDIRECT($F$8),6+(O460-1)*3),IF(W463,W460,0))))</f>
        <v/>
      </c>
      <c r="Q460" s="1" t="str">
        <f ca="1">IF(ISERROR(F450),"",VLOOKUP(B450,INDIRECT($F$8),7+(O460-1)*3))</f>
        <v/>
      </c>
      <c r="R460" s="1" t="str">
        <f ca="1">IF(ISERROR(F450),"",SUM(P460:Q460))</f>
        <v/>
      </c>
      <c r="S460" s="1" t="str">
        <f ca="1">IF(ISERROR(F450),"",VLOOKUP(A450,INDIRECT($F$8),6+(O460-1)*3))</f>
        <v/>
      </c>
      <c r="T460" s="1" t="str">
        <f ca="1">IF(ISERROR(F450),"",VLOOKUP(A450,INDIRECT($F$8),7+(O460-1)*3))</f>
        <v/>
      </c>
      <c r="U460" s="1" t="str">
        <f ca="1">IF(ISERROR(F450),"",VLOOKUP(A450,INDIRECT($F$8),8+(O460-1)*3))</f>
        <v/>
      </c>
      <c r="V460" s="1" t="str">
        <f ca="1">IF(ISERROR(F450),"",IF(N460=0,A460,""))</f>
        <v/>
      </c>
      <c r="W460" s="1" t="str">
        <f ca="1">IF(ISERROR(F450),"",IF(ISTEXT(VLOOKUP(B450,INDIRECT($F$8),6+(O460-1)*3)),11,IF(VLOOKUP(B450,INDIRECT($F$8),6+(O460-1)*3)&lt;S460*0.3,IF(VLOOKUP(B450,INDIRECT($F$8),8+(O460-1)*3)&lt;U460*0.4,IF(AND(0.4*U460-VLOOKUP(B450,INDIRECT($F$8),8+(O460-1)*3)&lt;=5,0.3*S460-VLOOKUP(B450,INDIRECT($F$8),6+(O460-1)*3)&lt;=5),MAX(0.4*U460-VLOOKUP(B450,INDIRECT($F$8),8+(O460-1)*3),0.3*S460-VLOOKUP(B450,INDIRECT($F$8),6+(O460-1)*3)),11),IF(0.3*S460-VLOOKUP(B450,INDIRECT($F$8),6+(O460-1)*3)&lt;=5,0.3*S460-VLOOKUP(B450,INDIRECT($F$8),6+(O460-1)*3),11)),IF(VLOOKUP(B450,INDIRECT($F$8),8+(O460-1)*3)&lt;U460*0.4,IF(U460*0.4-VLOOKUP(B450,INDIRECT($F$8),8+(O460-1)*3)&lt;=5,U460*0.4-VLOOKUP(B450,INDIRECT($F$8),8+(O460-1)*3),11),0))))</f>
        <v/>
      </c>
      <c r="X460" s="1" t="str">
        <f ca="1">IF(ISERROR(F450),"",IF(W460=0,"",_xlfn.TEXTJOIN("",FALSE," G+",W460," in ",A460)))</f>
        <v/>
      </c>
    </row>
    <row r="461" spans="1:24" ht="14.25" customHeight="1" x14ac:dyDescent="0.2">
      <c r="A461" s="7" t="str">
        <f ca="1">IF(ISERROR(F450),"",VLOOKUP(C450,INDIRECT($F$8),6+(O461-1)*3,0))</f>
        <v/>
      </c>
      <c r="B461" s="41" t="str">
        <f ca="1">IF(ISERROR(F450),"",VLOOKUP(D450,INDIRECT($F$8),6+(O461-1)*3,0))</f>
        <v/>
      </c>
      <c r="C461" s="41"/>
      <c r="D461" s="41"/>
      <c r="E461" s="41"/>
      <c r="F461" s="7" t="str">
        <f ca="1">IF(ISERROR(F450),"",VLOOKUP(E450,INDIRECT($F$8),6+(O461-1)*3,0))</f>
        <v/>
      </c>
      <c r="G461" s="42" t="str">
        <f ca="1">IF(ISERROR(F450),"",_xlfn.TEXTJOIN("/",FALSE,P461,S461))</f>
        <v/>
      </c>
      <c r="H461" s="42"/>
      <c r="I461" s="42" t="str">
        <f ca="1">IF(ISERROR(F450),"",_xlfn.TEXTJOIN("/",FALSE,Q461,T461))</f>
        <v/>
      </c>
      <c r="J461" s="42"/>
      <c r="K461" s="42" t="str">
        <f ca="1">IF(ISERROR(F450),"",_xlfn.TEXTJOIN("/",FALSE,R461,U461))</f>
        <v/>
      </c>
      <c r="L461" s="42"/>
      <c r="M461" s="7" t="str">
        <f ca="1">IF(ISERROR(F450),"",IF(ISTEXT(P461),IF(P461="A","Ab",IF(P461="D","Dt",IF(P461="UFM","UFM",IF(P461="NA","")))),IF(AND(ISBLANK(P461),ISBLANK(R461)),"",IF(P461&lt;0.3*S461,"F",IF(ISBLANK(R461),"",IF(ISTEXT(R461),R461,IF(R461&gt;=0.9*U461,"O",IF(R461&gt;=0.85*U461,"A+",IF(R461&gt;=0.8*U461,"A",IF(R461&gt;=0.7*U461,"B+",IF(R461&gt;=0.6*U461,"B",IF(R461&gt;=0.5*U461,"C",IF(R461&gt;=0.4*U461,"P",IF(R461&lt;0.4*U461,"F",R461))))))))))))))</f>
        <v/>
      </c>
      <c r="N461" s="8" t="str">
        <f t="shared" ca="1" si="52"/>
        <v/>
      </c>
      <c r="O461">
        <f t="shared" ca="1" si="53"/>
        <v>9</v>
      </c>
      <c r="P461" s="1" t="str">
        <f ca="1">IF(ISERROR(F450),"",IF(ISTEXT(VLOOKUP(B450,INDIRECT($F$8),6+(O461-1)*3)),(VLOOKUP(B450,INDIRECT($F$8),6+(O461-1)*3)),SUM(VLOOKUP(B450,INDIRECT($F$8),6+(O461-1)*3),IF(W463,W461,0))))</f>
        <v/>
      </c>
      <c r="Q461" s="1" t="str">
        <f ca="1">IF(ISERROR(F450),"",VLOOKUP(B450,INDIRECT($F$8),7+(O461-1)*3))</f>
        <v/>
      </c>
      <c r="R461" s="1" t="str">
        <f ca="1">IF(ISERROR(F450),"",SUM(P461:Q461))</f>
        <v/>
      </c>
      <c r="S461" s="1" t="str">
        <f ca="1">IF(ISERROR(F450),"",VLOOKUP(A450,INDIRECT($F$8),6+(O461-1)*3))</f>
        <v/>
      </c>
      <c r="T461" s="1" t="str">
        <f ca="1">IF(ISERROR(F450),"",VLOOKUP(A450,INDIRECT($F$8),7+(O461-1)*3))</f>
        <v/>
      </c>
      <c r="U461" s="1" t="str">
        <f ca="1">IF(ISERROR(F450),"",VLOOKUP(A450,INDIRECT($F$8),8+(O461-1)*3))</f>
        <v/>
      </c>
      <c r="V461" s="1" t="str">
        <f ca="1">IF(ISERROR(F450),"",IF(N461=0,A461,""))</f>
        <v/>
      </c>
      <c r="W461" s="1" t="str">
        <f ca="1">IF(ISERROR(F450),"",IF(ISTEXT(VLOOKUP(B450,INDIRECT($F$8),6+(O461-1)*3)),11,IF(VLOOKUP(B450,INDIRECT($F$8),6+(O461-1)*3)&lt;S461*0.3,IF(VLOOKUP(B450,INDIRECT($F$8),8+(O461-1)*3)&lt;U461*0.4,IF(AND(0.4*U461-VLOOKUP(B450,INDIRECT($F$8),8+(O461-1)*3)&lt;=5,0.3*S461-VLOOKUP(B450,INDIRECT($F$8),6+(O461-1)*3)&lt;=5),MAX(0.4*U461-VLOOKUP(B450,INDIRECT($F$8),8+(O461-1)*3),0.3*S461-VLOOKUP(B450,INDIRECT($F$8),6+(O461-1)*3)),11),IF(0.3*S461-VLOOKUP(B450,INDIRECT($F$8),6+(O461-1)*3)&lt;=5,0.3*S461-VLOOKUP(B450,INDIRECT($F$8),6+(O461-1)*3),11)),IF(VLOOKUP(B450,INDIRECT($F$8),8+(O461-1)*3)&lt;U461*0.4,IF(U461*0.4-VLOOKUP(B450,INDIRECT($F$8),8+(O461-1)*3)&lt;=5,U461*0.4-VLOOKUP(B450,INDIRECT($F$8),8+(O461-1)*3),11),0))))</f>
        <v/>
      </c>
      <c r="X461" s="1" t="str">
        <f ca="1">IF(ISERROR(F450),"",IF(W461=0,"",_xlfn.TEXTJOIN("",FALSE," G+",W461," in ",A461)))</f>
        <v/>
      </c>
    </row>
    <row r="462" spans="1:24" ht="14.25" customHeight="1" x14ac:dyDescent="0.2">
      <c r="A462" s="7" t="str">
        <f ca="1">IF(ISERROR(F450),"",VLOOKUP(C450,INDIRECT($F$8),6+(O462-1)*3,0))</f>
        <v/>
      </c>
      <c r="B462" s="41" t="str">
        <f ca="1">IF(ISERROR(F450),"",VLOOKUP(D450,INDIRECT($F$8),6+(O462-1)*3-Z462,0))</f>
        <v/>
      </c>
      <c r="C462" s="41"/>
      <c r="D462" s="41"/>
      <c r="E462" s="41"/>
      <c r="F462" s="7" t="str">
        <f ca="1">IF(ISERROR(F450),"",VLOOKUP(E450,INDIRECT($F$8),6+(O462-1)*3,0))</f>
        <v/>
      </c>
      <c r="G462" s="42" t="str">
        <f ca="1">IF(ISERROR(F450),"",_xlfn.TEXTJOIN("/",FALSE,P462,S462))</f>
        <v/>
      </c>
      <c r="H462" s="42"/>
      <c r="I462" s="42" t="str">
        <f ca="1">IF(ISERROR(F450),"",_xlfn.TEXTJOIN("/",FALSE,Q462,T462))</f>
        <v/>
      </c>
      <c r="J462" s="42"/>
      <c r="K462" s="42" t="str">
        <f ca="1">IF(ISERROR(F450),"",_xlfn.TEXTJOIN("/",FALSE,R462,U462))</f>
        <v/>
      </c>
      <c r="L462" s="42"/>
      <c r="M462" s="7" t="str">
        <f ca="1">IF(ISERROR(F450),"",IF(ISTEXT(P462),IF(P462="A","Ab",IF(P462="D","Dt",IF(P462="UFM","UFM",IF(P462="NA","")))),IF(AND(ISBLANK(P462),ISBLANK(R462)),"",IF(P462&lt;0.3*S462,"F",IF(ISBLANK(R462),"",IF(ISTEXT(R462),R462,IF(R462&gt;=0.9*U462,"O",IF(R462&gt;=0.85*U462,"A+",IF(R462&gt;=0.8*U462,"A",IF(R462&gt;=0.7*U462,"B+",IF(R462&gt;=0.6*U462,"B",IF(R462&gt;=0.5*U462,"C",IF(R462&gt;=0.4*U462,"P",IF(R462&lt;0.4*U462,"F",R462))))))))))))))</f>
        <v/>
      </c>
      <c r="N462" s="8" t="str">
        <f t="shared" ca="1" si="52"/>
        <v/>
      </c>
      <c r="O462">
        <f t="shared" ca="1" si="53"/>
        <v>10</v>
      </c>
      <c r="P462" s="1" t="str">
        <f ca="1">IF(ISERROR(F450),"",IF(ISTEXT(VLOOKUP(B450,INDIRECT($F$8),6+(O462-1)*3)),(VLOOKUP(B450,INDIRECT($F$8),6+(O462-1)*3)),SUM(VLOOKUP(B450,INDIRECT($F$8),6+(O462-1)*3),IF(W463,W462,0))))</f>
        <v/>
      </c>
      <c r="Q462" s="1" t="str">
        <f ca="1">IF(ISERROR(F450),"",VLOOKUP(B450,INDIRECT($F$8),7+(O462-1)*3))</f>
        <v/>
      </c>
      <c r="R462" s="1" t="str">
        <f ca="1">IF(ISERROR(F450),"",SUM(P462:Q462))</f>
        <v/>
      </c>
      <c r="S462" s="1" t="str">
        <f ca="1">IF(ISERROR(F450),"",VLOOKUP(A450,INDIRECT($F$8),6+(O462-1)*3))</f>
        <v/>
      </c>
      <c r="T462" s="1" t="str">
        <f ca="1">IF(ISERROR(F450),"",VLOOKUP(A450,INDIRECT($F$8),7+(O462-1)*3))</f>
        <v/>
      </c>
      <c r="U462" s="1" t="str">
        <f ca="1">IF(ISERROR(F450),"",VLOOKUP(A450,INDIRECT($F$8),8+(O462-1)*3))</f>
        <v/>
      </c>
      <c r="V462" s="1" t="str">
        <f ca="1">IF(ISERROR(F450),"",IF(N462=0,A462,""))</f>
        <v/>
      </c>
      <c r="W462" s="1" t="str">
        <f ca="1">IF(ISERROR(F450),"",IF(ISTEXT(VLOOKUP(B450,INDIRECT($F$8),6+(O462-1)*3)),11,IF(VLOOKUP(B450,INDIRECT($F$8),6+(O462-1)*3)&lt;S462*0.3,IF(VLOOKUP(B450,INDIRECT($F$8),8+(O462-1)*3)&lt;U462*0.4,IF(AND(0.4*U462-VLOOKUP(B450,INDIRECT($F$8),8+(O462-1)*3)&lt;=5,0.3*S462-VLOOKUP(B450,INDIRECT($F$8),6+(O462-1)*3)&lt;=5),MAX(0.4*U462-VLOOKUP(B450,INDIRECT($F$8),8+(O462-1)*3),0.3*S462-VLOOKUP(B450,INDIRECT($F$8),6+(O462-1)*3)),11),IF(0.3*S462-VLOOKUP(B450,INDIRECT($F$8),6+(O462-1)*3)&lt;=5,0.3*S462-VLOOKUP(B450,INDIRECT($F$8),6+(O462-1)*3),11)),IF(VLOOKUP(B450,INDIRECT($F$8),8+(O462-1)*3)&lt;U462*0.4,IF(U462*0.4-VLOOKUP(B450,INDIRECT($F$8),8+(O462-1)*3)&lt;=5,U462*0.4-VLOOKUP(B450,INDIRECT($F$8),8+(O462-1)*3),11),0))))</f>
        <v/>
      </c>
      <c r="X462" s="1" t="str">
        <f ca="1">IF(ISERROR(F450),"",IF(W462=0,"",_xlfn.TEXTJOIN("",FALSE," G+",W462," in ",A462)))</f>
        <v/>
      </c>
    </row>
    <row r="463" spans="1:24" ht="14.25" customHeight="1" x14ac:dyDescent="0.2">
      <c r="A463" s="43" t="str">
        <f ca="1">IF(ISERROR(F450),"",A446)</f>
        <v/>
      </c>
      <c r="B463" s="43"/>
      <c r="C463" s="43"/>
      <c r="D463" s="43"/>
      <c r="E463" s="43"/>
      <c r="F463" s="10" t="str">
        <f ca="1">IF(ISERROR(F450),"",SUM(F455:F462))</f>
        <v/>
      </c>
      <c r="G463" s="44" t="str">
        <f ca="1">IF(ISERROR(F450),"",_xlfn.TEXTJOIN("/",TRUE,SUMIF(F455:F462,"&gt;0",P455:P462),SUMIF(F455:F462,"&gt;0",S455:S462)))</f>
        <v/>
      </c>
      <c r="H463" s="44"/>
      <c r="I463" s="44" t="str">
        <f ca="1">IF(ISERROR(F450),"",_xlfn.TEXTJOIN("/",TRUE,SUMIF(F455:F462,"&gt;0",Q455:Q462),SUMIF(F455:F462,"&gt;0",T455:T462)))</f>
        <v/>
      </c>
      <c r="J463" s="44"/>
      <c r="K463" s="44" t="str">
        <f ca="1">IF(ISERROR(F450),"",_xlfn.TEXTJOIN("/",TRUE,SUMIF(F455:F462,"&gt;0",R455:R462),SUMIF(F455:F462,"&gt;0",U455:U462)))</f>
        <v/>
      </c>
      <c r="L463" s="44"/>
      <c r="M463" s="43" t="str">
        <f ca="1">IF(ISERROR(F450),"",SUMPRODUCT(N455:N462,F455:F462))</f>
        <v/>
      </c>
      <c r="N463" s="43"/>
      <c r="V463" s="1" t="str">
        <f ca="1">IF(ISERROR(F450),"",_xlfn.TEXTJOIN(", ",TRUE,V455:V462))</f>
        <v/>
      </c>
      <c r="W463" t="str">
        <f ca="1">IF(ISERROR(F450),"",IF(SUM(W455:W462)&lt;=W454,TRUE,FALSE))</f>
        <v/>
      </c>
      <c r="X463" s="1" t="str">
        <f ca="1">IF(ISERROR(F450),"",_xlfn.TEXTJOIN(",",TRUE,X455:X462))</f>
        <v/>
      </c>
    </row>
    <row r="464" spans="1:24" ht="14.25" customHeight="1" x14ac:dyDescent="0.2">
      <c r="A464" s="43" t="str">
        <f ca="1">IF(ISERROR(F450),"",A447)</f>
        <v/>
      </c>
      <c r="B464" s="45" t="str">
        <f ca="1">IF(ISERROR(F450),"",IF(V463="","PASS","CARRY OVER"))</f>
        <v/>
      </c>
      <c r="C464" s="45"/>
      <c r="D464" s="43" t="str">
        <f ca="1">IF(ISERROR(F450),"",D447)</f>
        <v/>
      </c>
      <c r="E464" s="45" t="str">
        <f ca="1">IF(ISERROR(F450),"",IF(V463="",IF(X463="","",X463),_xlfn.TEXTJOIN(" ",TRUE,"BACK IN",V463)))</f>
        <v/>
      </c>
      <c r="F464" s="45"/>
      <c r="G464" s="43" t="str">
        <f ca="1">IF(ISERROR(F450),"",G447)</f>
        <v/>
      </c>
      <c r="H464" s="46" t="str">
        <f ca="1">IF(ISERROR(F450),"",M463/F463)</f>
        <v/>
      </c>
      <c r="I464" s="43" t="str">
        <f ca="1">IF(ISERROR(F450),"",I447)</f>
        <v/>
      </c>
      <c r="J464" s="46" t="str">
        <f ca="1">IF(ISERROR(F450),"",VLOOKUP(B450,INDIRECT($F$8),12+(O462-1)*3,0))</f>
        <v/>
      </c>
      <c r="K464" s="45" t="str">
        <f ca="1">IF(ISERROR(F450),"",K447)</f>
        <v/>
      </c>
      <c r="L464" s="43" t="str">
        <f ca="1">IF(ISERROR(F450),"",SUMIF(N455:N462,"&gt;0",F455:F462))</f>
        <v/>
      </c>
      <c r="M464" s="45" t="str">
        <f ca="1">IF(ISERROR(F450),"",M447)</f>
        <v/>
      </c>
      <c r="N464" s="43" t="str">
        <f ca="1">IF(ISERROR(F450),"",VLOOKUP(B450,INDIRECT($F$8),10+(O462-1)*3,0))</f>
        <v/>
      </c>
    </row>
    <row r="465" spans="1:24" ht="14.25" customHeight="1" x14ac:dyDescent="0.2">
      <c r="A465" s="43"/>
      <c r="B465" s="45"/>
      <c r="C465" s="45"/>
      <c r="D465" s="43"/>
      <c r="E465" s="45"/>
      <c r="F465" s="45"/>
      <c r="G465" s="43"/>
      <c r="H465" s="46"/>
      <c r="I465" s="43"/>
      <c r="J465" s="46"/>
      <c r="K465" s="45"/>
      <c r="L465" s="43"/>
      <c r="M465" s="45"/>
      <c r="N465" s="43"/>
    </row>
    <row r="466" spans="1:24" ht="14.25" customHeight="1" x14ac:dyDescent="0.2">
      <c r="A466" s="43"/>
      <c r="B466" s="45"/>
      <c r="C466" s="45"/>
      <c r="D466" s="43"/>
      <c r="E466" s="45"/>
      <c r="F466" s="45"/>
      <c r="G466" s="43"/>
      <c r="H466" s="46"/>
      <c r="I466" s="43"/>
      <c r="J466" s="46"/>
      <c r="K466" s="45"/>
      <c r="L466" s="43"/>
      <c r="M466" s="45"/>
      <c r="N466" s="43"/>
    </row>
    <row r="467" spans="1:24" ht="14.25" customHeight="1" x14ac:dyDescent="0.2">
      <c r="A467" s="11" t="str">
        <f>A450</f>
        <v>MM</v>
      </c>
      <c r="B467" s="11">
        <f>B450+1</f>
        <v>28</v>
      </c>
      <c r="C467" s="11" t="str">
        <f>C450</f>
        <v>SC</v>
      </c>
      <c r="D467" s="11" t="str">
        <f>D450</f>
        <v>SN</v>
      </c>
      <c r="E467" s="11" t="str">
        <f>E450</f>
        <v>C</v>
      </c>
      <c r="F467" s="11" t="e">
        <f ca="1">VLOOKUP(B467,INDIRECT($F$8),4,0)</f>
        <v>#N/A</v>
      </c>
    </row>
    <row r="468" spans="1:24" ht="14.25" customHeight="1" x14ac:dyDescent="0.2">
      <c r="A468" s="47" t="str">
        <f ca="1">IF(ISERROR(F467),"",A451)</f>
        <v/>
      </c>
      <c r="B468" s="47" t="str">
        <f ca="1">IFERROR(VLOOKUP(B467,INDIRECT($F$8),4,0),"")</f>
        <v/>
      </c>
      <c r="C468" s="47"/>
      <c r="D468" s="47" t="str">
        <f ca="1">IF(ISERROR(F467),"",D451)</f>
        <v/>
      </c>
      <c r="E468" s="47" t="str">
        <f ca="1">IFERROR(VLOOKUP(B467,INDIRECT($F$8),5,0),"")</f>
        <v/>
      </c>
      <c r="F468" s="47"/>
      <c r="G468" s="47" t="str">
        <f ca="1">IF(ISERROR(F467),"",G451)</f>
        <v/>
      </c>
      <c r="H468" s="47"/>
      <c r="I468" s="48" t="str">
        <f ca="1">IFERROR(VLOOKUP(B467,INDIRECT($F$8),2,0),"")</f>
        <v/>
      </c>
      <c r="J468" s="48"/>
      <c r="K468" s="47" t="str">
        <f ca="1">IF(ISERROR(F467),"",K451)</f>
        <v/>
      </c>
      <c r="L468" s="47"/>
      <c r="M468" s="48" t="str">
        <f ca="1">IFERROR(VLOOKUP(B467,INDIRECT($F$8),3,0),"")</f>
        <v/>
      </c>
      <c r="N468" s="48"/>
    </row>
    <row r="469" spans="1:24" ht="14.25" customHeight="1" x14ac:dyDescent="0.2">
      <c r="A469" s="47"/>
      <c r="B469" s="47"/>
      <c r="C469" s="47"/>
      <c r="D469" s="47"/>
      <c r="E469" s="47"/>
      <c r="F469" s="47"/>
      <c r="G469" s="47"/>
      <c r="H469" s="47"/>
      <c r="I469" s="48"/>
      <c r="J469" s="48"/>
      <c r="K469" s="47"/>
      <c r="L469" s="47"/>
      <c r="M469" s="48"/>
      <c r="N469" s="48"/>
    </row>
    <row r="470" spans="1:24" ht="14.25" customHeight="1" x14ac:dyDescent="0.2">
      <c r="A470" s="45" t="str">
        <f ca="1">IF(ISERROR(F467),"",A453)</f>
        <v/>
      </c>
      <c r="B470" s="45" t="str">
        <f ca="1">IF(ISERROR(F467),"",B453)</f>
        <v/>
      </c>
      <c r="C470" s="45"/>
      <c r="D470" s="45"/>
      <c r="E470" s="45"/>
      <c r="F470" s="45" t="str">
        <f ca="1">IF(ISERROR(F467),"",F453)</f>
        <v/>
      </c>
      <c r="G470" s="45" t="str">
        <f ca="1">IF(ISERROR(F467),"",G453)</f>
        <v/>
      </c>
      <c r="H470" s="45"/>
      <c r="I470" s="45" t="str">
        <f ca="1">IF(ISERROR(F467),"",I453)</f>
        <v/>
      </c>
      <c r="J470" s="45"/>
      <c r="K470" s="45" t="str">
        <f ca="1">IF(ISERROR(F467),"",K453)</f>
        <v/>
      </c>
      <c r="L470" s="45"/>
      <c r="M470" s="45" t="str">
        <f ca="1">IF(ISERROR(F467),"",M453)</f>
        <v/>
      </c>
      <c r="N470" s="45" t="str">
        <f ca="1">IF(ISERROR(F467),"",N453)</f>
        <v/>
      </c>
    </row>
    <row r="471" spans="1:24" ht="14.25" customHeight="1" x14ac:dyDescent="0.2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W471">
        <f ca="1">IF(ISNUMBER(MATCH($F$8,{"I","III","V","VII"},0)),10,10-INDEX(INDIRECT(_xlfn.TEXTJOIN("",TRUE,"SEM_",$G$8,"!",ADDRESS(6,4+$I$8*3+4),":",ADDRESS(5+$H$8,4+$I$8*3+4))),MATCH(INDIRECT(_xlfn.TEXTJOIN("",TRUE,"TC_",$F$8,"!",ADDRESS(ROW(I468),COLUMN(I468)))),INDIRECT(_xlfn.TEXTJOIN("",TRUE,"SEM_",$G$8,"!",ADDRESS(6,2),":",ADDRESS(5+$H$8,2))))))</f>
        <v>10</v>
      </c>
    </row>
    <row r="472" spans="1:24" ht="14.25" customHeight="1" x14ac:dyDescent="0.2">
      <c r="A472" s="7" t="str">
        <f ca="1">IF(ISERROR(F467),"",VLOOKUP(C467,INDIRECT($F$8),6+(O472-1)*3,0))</f>
        <v/>
      </c>
      <c r="B472" s="41" t="str">
        <f ca="1">IF(ISERROR(F467),"",VLOOKUP(D467,INDIRECT($F$8),6+(O472-1)*3,0))</f>
        <v/>
      </c>
      <c r="C472" s="41"/>
      <c r="D472" s="41"/>
      <c r="E472" s="41"/>
      <c r="F472" s="7" t="str">
        <f ca="1">IF(ISERROR(F467),"",VLOOKUP(E467,INDIRECT($F$8),6+(O472-1)*3,0))</f>
        <v/>
      </c>
      <c r="G472" s="42" t="str">
        <f ca="1">IF(ISERROR(F467),"",_xlfn.TEXTJOIN("/",FALSE,P472,S472))</f>
        <v/>
      </c>
      <c r="H472" s="42"/>
      <c r="I472" s="42" t="str">
        <f ca="1">IF(ISERROR(F467),"",_xlfn.TEXTJOIN("/",FALSE,Q472,T472))</f>
        <v/>
      </c>
      <c r="J472" s="42"/>
      <c r="K472" s="42" t="str">
        <f ca="1">IF(ISERROR(F467),"",_xlfn.TEXTJOIN("/",FALSE,R472,U472))</f>
        <v/>
      </c>
      <c r="L472" s="42"/>
      <c r="M472" s="7" t="str">
        <f ca="1">IF(ISERROR(F467),"",IF(ISTEXT(P472),IF(P472="A","Ab",IF(P472="D","Dt",IF(P472="UFM","UFM",IF(P472="NA","")))),IF(AND(ISBLANK(P472),ISBLANK(R472)),"",IF(P472&lt;0.3*S472,"F",IF(ISBLANK(R472),"",IF(ISTEXT(R472),R472,IF(R472&gt;=0.9*U472,"O",IF(R472&gt;=0.85*U472,"A+",IF(R472&gt;=0.8*U472,"A",IF(R472&gt;=0.7*U472,"B+",IF(R472&gt;=0.6*U472,"B",IF(R472&gt;=0.5*U472,"C",IF(R472&gt;=0.4*U472,"P",IF(R472&lt;0.4*U472,"F",R472))))))))))))))</f>
        <v/>
      </c>
      <c r="N472" s="8" t="str">
        <f t="shared" ref="N472:N479" ca="1" si="54">INDEX($Z$2:$Z$13,MATCH(M472,$Y$2:$Y$13,0))</f>
        <v/>
      </c>
      <c r="O472">
        <v>1</v>
      </c>
      <c r="P472" s="1" t="str">
        <f ca="1">IF(ISERROR(F467),"",IF(ISTEXT(VLOOKUP(B467,INDIRECT($F$8),6+(O472-1)*3)),(VLOOKUP(B467,INDIRECT($F$8),6+(O472-1)*3)),SUM(VLOOKUP(B467,INDIRECT($F$8),6+(O472-1)*3),IF(W480,W472,0))))</f>
        <v/>
      </c>
      <c r="Q472" s="1" t="str">
        <f ca="1">IF(ISERROR(F467),"",VLOOKUP(B467,INDIRECT($F$8),7+(O472-1)*3))</f>
        <v/>
      </c>
      <c r="R472" s="1" t="str">
        <f ca="1">IF(ISERROR(F467),"",SUM(P472:Q472))</f>
        <v/>
      </c>
      <c r="S472" s="1" t="str">
        <f ca="1">IF(ISERROR(F467),"",VLOOKUP(A467,INDIRECT($F$8),6+(O472-1)*3))</f>
        <v/>
      </c>
      <c r="T472" s="1" t="str">
        <f ca="1">IF(ISERROR(F467),"",VLOOKUP(A467,INDIRECT($F$8),7+(O472-1)*3))</f>
        <v/>
      </c>
      <c r="U472" s="1" t="str">
        <f ca="1">IF(ISERROR(F467),"",VLOOKUP(A467,INDIRECT($F$8),8+(O472-1)*3))</f>
        <v/>
      </c>
      <c r="V472" s="1" t="str">
        <f ca="1">IF(ISERROR(F467),"",IF(N472=0,A472,""))</f>
        <v/>
      </c>
      <c r="W472" s="1" t="str">
        <f ca="1">IF(ISERROR(F467),"",IF(ISTEXT(VLOOKUP(B467,INDIRECT($F$8),6+(O472-1)*3)),11,IF(VLOOKUP(B467,INDIRECT($F$8),6+(O472-1)*3)&lt;S472*0.3,IF(VLOOKUP(B467,INDIRECT($F$8),8+(O472-1)*3)&lt;U472*0.4,IF(AND(0.4*U472-VLOOKUP(B467,INDIRECT($F$8),8+(O472-1)*3)&lt;=5,0.3*S472-VLOOKUP(B467,INDIRECT($F$8),6+(O472-1)*3)&lt;=5),MAX(0.4*U472-VLOOKUP(B467,INDIRECT($F$8),8+(O472-1)*3),0.3*S472-VLOOKUP(B467,INDIRECT($F$8),6+(O472-1)*3)),11),IF(0.3*S472-VLOOKUP(B467,INDIRECT($F$8),6+(O472-1)*3)&lt;=5,0.3*S472-VLOOKUP(B467,INDIRECT($F$8),6+(O472-1)*3),11)),IF(VLOOKUP(B467,INDIRECT($F$8),8+(O472-1)*3)&lt;U472*0.4,IF(U472*0.4-VLOOKUP(B467,INDIRECT($F$8),8+(O472-1)*3)&lt;=5,U472*0.4-VLOOKUP(B467,INDIRECT($F$8),8+(O472-1)*3),11),0))))</f>
        <v/>
      </c>
      <c r="X472" s="1" t="str">
        <f ca="1">IF(ISERROR(F467),"",IF(W472=0,"",_xlfn.TEXTJOIN("",FALSE," G+",W472," in ",A472)))</f>
        <v/>
      </c>
    </row>
    <row r="473" spans="1:24" ht="14.25" customHeight="1" x14ac:dyDescent="0.2">
      <c r="A473" s="7" t="str">
        <f ca="1">IF(ISERROR(F467),"",VLOOKUP(C467,INDIRECT($F$8),6+(O473-1)*3,0))</f>
        <v/>
      </c>
      <c r="B473" s="41" t="str">
        <f ca="1">IF(ISERROR(F467),"",VLOOKUP(D467,INDIRECT($F$8),6+(O473-1)*3,0))</f>
        <v/>
      </c>
      <c r="C473" s="41"/>
      <c r="D473" s="41"/>
      <c r="E473" s="41"/>
      <c r="F473" s="7" t="str">
        <f ca="1">IF(ISERROR(F467),"",VLOOKUP(E467,INDIRECT($F$8),6+(O473-1)*3,0))</f>
        <v/>
      </c>
      <c r="G473" s="42" t="str">
        <f ca="1">IF(ISERROR(F467),"",_xlfn.TEXTJOIN("/",FALSE,P473,S473))</f>
        <v/>
      </c>
      <c r="H473" s="42"/>
      <c r="I473" s="42" t="str">
        <f ca="1">IF(ISERROR(F467),"",_xlfn.TEXTJOIN("/",FALSE,Q473,T473))</f>
        <v/>
      </c>
      <c r="J473" s="42"/>
      <c r="K473" s="42" t="str">
        <f ca="1">IF(ISERROR(F467),"",_xlfn.TEXTJOIN("/",FALSE,R473,U473))</f>
        <v/>
      </c>
      <c r="L473" s="42"/>
      <c r="M473" s="7" t="str">
        <f ca="1">IF(ISERROR(F467),"",IF(ISTEXT(P473),IF(P473="A","Ab",IF(P473="D","Dt",IF(P473="UFM","UFM",IF(P473="NA","")))),IF(AND(ISBLANK(P473),ISBLANK(R473)),"",IF(P473&lt;0.3*S473,"F",IF(ISBLANK(R473),"",IF(ISTEXT(R473),R473,IF(R473&gt;=0.9*U473,"O",IF(R473&gt;=0.85*U473,"A+",IF(R473&gt;=0.8*U473,"A",IF(R473&gt;=0.7*U473,"B+",IF(R473&gt;=0.6*U473,"B",IF(R473&gt;=0.5*U473,"C",IF(R473&gt;=0.4*U473,"P",IF(R473&lt;0.4*U473,"F",R473))))))))))))))</f>
        <v/>
      </c>
      <c r="N473" s="8" t="str">
        <f t="shared" ca="1" si="54"/>
        <v/>
      </c>
      <c r="O473">
        <f>O472+1</f>
        <v>2</v>
      </c>
      <c r="P473" s="1" t="str">
        <f ca="1">IF(ISERROR(F467),"",IF(ISTEXT(VLOOKUP(B467,INDIRECT($F$8),6+(O473-1)*3)),(VLOOKUP(B467,INDIRECT($F$8),6+(O473-1)*3)),SUM(VLOOKUP(B467,INDIRECT($F$8),6+(O473-1)*3),IF(W480,W473,0))))</f>
        <v/>
      </c>
      <c r="Q473" s="1" t="str">
        <f ca="1">IF(ISERROR(F467),"",VLOOKUP(B467,INDIRECT($F$8),7+(O473-1)*3))</f>
        <v/>
      </c>
      <c r="R473" s="1" t="str">
        <f ca="1">IF(ISERROR(F467),"",SUM(P473:Q473))</f>
        <v/>
      </c>
      <c r="S473" s="1" t="str">
        <f ca="1">IF(ISERROR(F467),"",VLOOKUP(A467,INDIRECT($F$8),6+(O473-1)*3))</f>
        <v/>
      </c>
      <c r="T473" s="1" t="str">
        <f ca="1">IF(ISERROR(F467),"",VLOOKUP(A467,INDIRECT($F$8),7+(O473-1)*3))</f>
        <v/>
      </c>
      <c r="U473" s="1" t="str">
        <f ca="1">IF(ISERROR(F467),"",VLOOKUP(A467,INDIRECT($F$8),8+(O473-1)*3))</f>
        <v/>
      </c>
      <c r="V473" s="1" t="str">
        <f ca="1">IF(ISERROR(F467),"",IF(N473=0,A473,""))</f>
        <v/>
      </c>
      <c r="W473" s="1" t="str">
        <f ca="1">IF(ISERROR(F467),"",IF(ISTEXT(VLOOKUP(B467,INDIRECT($F$8),6+(O473-1)*3)),11,IF(VLOOKUP(B467,INDIRECT($F$8),6+(O473-1)*3)&lt;S473*0.3,IF(VLOOKUP(B467,INDIRECT($F$8),8+(O473-1)*3)&lt;U473*0.4,IF(AND(0.4*U473-VLOOKUP(B467,INDIRECT($F$8),8+(O473-1)*3)&lt;=5,0.3*S473-VLOOKUP(B467,INDIRECT($F$8),6+(O473-1)*3)&lt;=5),MAX(0.4*U473-VLOOKUP(B467,INDIRECT($F$8),8+(O473-1)*3),0.3*S473-VLOOKUP(B467,INDIRECT($F$8),6+(O473-1)*3)),11),IF(0.3*S473-VLOOKUP(B467,INDIRECT($F$8),6+(O473-1)*3)&lt;=5,0.3*S473-VLOOKUP(B467,INDIRECT($F$8),6+(O473-1)*3),11)),IF(VLOOKUP(B467,INDIRECT($F$8),8+(O473-1)*3)&lt;U473*0.4,IF(U473*0.4-VLOOKUP(B467,INDIRECT($F$8),8+(O473-1)*3)&lt;=5,U473*0.4-VLOOKUP(B467,INDIRECT($F$8),8+(O473-1)*3),11),0))))</f>
        <v/>
      </c>
      <c r="X473" s="1" t="str">
        <f ca="1">IF(ISERROR(F467),"",IF(W473=0,"",_xlfn.TEXTJOIN("",FALSE," G+",W473," in ",A473)))</f>
        <v/>
      </c>
    </row>
    <row r="474" spans="1:24" ht="14.25" customHeight="1" x14ac:dyDescent="0.2">
      <c r="A474" s="7" t="str">
        <f ca="1">IF(ISERROR(F467),"",VLOOKUP(C467,INDIRECT($F$8),6+(O474-1)*3,0))</f>
        <v/>
      </c>
      <c r="B474" s="41" t="str">
        <f ca="1">IF(ISERROR(F467),"",VLOOKUP(D467,INDIRECT($F$8),6+(O474-1)*3,0))</f>
        <v/>
      </c>
      <c r="C474" s="41"/>
      <c r="D474" s="41"/>
      <c r="E474" s="41"/>
      <c r="F474" s="7" t="str">
        <f ca="1">IF(ISERROR(F467),"",VLOOKUP(E467,INDIRECT($F$8),6+(O474-1)*3,0))</f>
        <v/>
      </c>
      <c r="G474" s="42" t="str">
        <f ca="1">IF(ISERROR(F467),"",_xlfn.TEXTJOIN("/",FALSE,P474,S474))</f>
        <v/>
      </c>
      <c r="H474" s="42"/>
      <c r="I474" s="42" t="str">
        <f ca="1">IF(ISERROR(F467),"",_xlfn.TEXTJOIN("/",FALSE,Q474,T474))</f>
        <v/>
      </c>
      <c r="J474" s="42"/>
      <c r="K474" s="42" t="str">
        <f ca="1">IF(ISERROR(F467),"",_xlfn.TEXTJOIN("/",FALSE,R474,U474))</f>
        <v/>
      </c>
      <c r="L474" s="42"/>
      <c r="M474" s="7" t="str">
        <f ca="1">IF(ISERROR(F467),"",IF(ISTEXT(P474),IF(P474="A","Ab",IF(P474="D","Dt",IF(P474="UFM","UFM",IF(P474="NA","")))),IF(AND(ISBLANK(P474),ISBLANK(R474)),"",IF(P474&lt;0.3*S474,"F",IF(ISBLANK(R474),"",IF(ISTEXT(R474),R474,IF(R474&gt;=0.9*U474,"O",IF(R474&gt;=0.85*U474,"A+",IF(R474&gt;=0.8*U474,"A",IF(R474&gt;=0.7*U474,"B+",IF(R474&gt;=0.6*U474,"B",IF(R474&gt;=0.5*U474,"C",IF(R474&gt;=0.4*U474,"P",IF(R474&lt;0.4*U474,"F",R474))))))))))))))</f>
        <v/>
      </c>
      <c r="N474" s="8" t="str">
        <f t="shared" ca="1" si="54"/>
        <v/>
      </c>
      <c r="O474" t="b" cm="1">
        <f t="array" aca="1" ref="O474" ca="1">IF(NOT(ISBLANK(INDIRECT("SEM_III!L"&amp;INT((ROW(O474)-15)/17)+6))),3,IF(NOT(ISBLANK(INDIRECT("SEM_III!O"&amp;INT((ROW(O474)-15)/17)+6))),4))</f>
        <v>0</v>
      </c>
      <c r="P474" s="1" t="str">
        <f ca="1">IF(ISERROR(F467),"",IF(ISTEXT(VLOOKUP(B467,INDIRECT($F$8),6+(O474-1)*3)),(VLOOKUP(B467,INDIRECT($F$8),6+(O474-1)*3)),SUM(VLOOKUP(B467,INDIRECT($F$8),6+(O474-1)*3),IF(W480,W474,0))))</f>
        <v/>
      </c>
      <c r="Q474" s="1" t="str">
        <f ca="1">IF(ISERROR(F467),"",VLOOKUP(B467,INDIRECT($F$8),7+(O474-1)*3))</f>
        <v/>
      </c>
      <c r="R474" s="1" t="str">
        <f ca="1">IF(ISERROR(F467),"",SUM(P474:Q474))</f>
        <v/>
      </c>
      <c r="S474" s="1" t="str">
        <f ca="1">IF(ISERROR(F467),"",VLOOKUP(A467,INDIRECT($F$8),6+(O474-1)*3))</f>
        <v/>
      </c>
      <c r="T474" s="1" t="str">
        <f ca="1">IF(ISERROR(F467),"",VLOOKUP(A467,INDIRECT($F$8),7+(O474-1)*3))</f>
        <v/>
      </c>
      <c r="U474" s="1" t="str">
        <f ca="1">IF(ISERROR(F467),"",VLOOKUP(A467,INDIRECT($F$8),8+(O474-1)*3))</f>
        <v/>
      </c>
      <c r="V474" s="1" t="str">
        <f ca="1">IF(ISERROR(F467),"",IF(N474=0,A474,""))</f>
        <v/>
      </c>
      <c r="W474" s="1" t="str">
        <f ca="1">IF(ISERROR(F467),"",IF(ISTEXT(VLOOKUP(B467,INDIRECT($F$8),6+(O474-1)*3)),11,IF(VLOOKUP(B467,INDIRECT($F$8),6+(O474-1)*3)&lt;S474*0.3,IF(VLOOKUP(B467,INDIRECT($F$8),8+(O474-1)*3)&lt;U474*0.4,IF(AND(0.4*U474-VLOOKUP(B467,INDIRECT($F$8),8+(O474-1)*3)&lt;=5,0.3*S474-VLOOKUP(B467,INDIRECT($F$8),6+(O474-1)*3)&lt;=5),MAX(0.4*U474-VLOOKUP(B467,INDIRECT($F$8),8+(O474-1)*3),0.3*S474-VLOOKUP(B467,INDIRECT($F$8),6+(O474-1)*3)),11),IF(0.3*S474-VLOOKUP(B467,INDIRECT($F$8),6+(O474-1)*3)&lt;=5,0.3*S474-VLOOKUP(B467,INDIRECT($F$8),6+(O474-1)*3),11)),IF(VLOOKUP(B467,INDIRECT($F$8),8+(O474-1)*3)&lt;U474*0.4,IF(U474*0.4-VLOOKUP(B467,INDIRECT($F$8),8+(O474-1)*3)&lt;=5,U474*0.4-VLOOKUP(B467,INDIRECT($F$8),8+(O474-1)*3),11),0))))</f>
        <v/>
      </c>
      <c r="X474" s="1" t="str">
        <f ca="1">IF(ISERROR(F467),"",IF(W474=0,"",_xlfn.TEXTJOIN("",FALSE," G+",W474," in ",A474)))</f>
        <v/>
      </c>
    </row>
    <row r="475" spans="1:24" ht="14.25" customHeight="1" x14ac:dyDescent="0.2">
      <c r="A475" s="7" t="str">
        <f ca="1">IF(ISERROR(F467),"",VLOOKUP(C467,INDIRECT($F$8),6+(O475-1)*3,0))</f>
        <v/>
      </c>
      <c r="B475" s="41" t="str">
        <f ca="1">IF(ISERROR(F467),"",VLOOKUP(D467,INDIRECT($F$8),6+(O475-1)*3,0))</f>
        <v/>
      </c>
      <c r="C475" s="41"/>
      <c r="D475" s="41"/>
      <c r="E475" s="41"/>
      <c r="F475" s="7" t="str">
        <f ca="1">IF(ISERROR(F467),"",VLOOKUP(E467,INDIRECT($F$8),6+(O475-1)*3,0))</f>
        <v/>
      </c>
      <c r="G475" s="42" t="str">
        <f ca="1">IF(ISERROR(F467),"",_xlfn.TEXTJOIN("/",FALSE,P475,S475))</f>
        <v/>
      </c>
      <c r="H475" s="42"/>
      <c r="I475" s="42" t="str">
        <f ca="1">IF(ISERROR(F467),"",_xlfn.TEXTJOIN("/",FALSE,Q475,T475))</f>
        <v/>
      </c>
      <c r="J475" s="42"/>
      <c r="K475" s="42" t="str">
        <f ca="1">IF(ISERROR(F467),"",_xlfn.TEXTJOIN("/",FALSE,R475,U475))</f>
        <v/>
      </c>
      <c r="L475" s="42"/>
      <c r="M475" s="7" t="str">
        <f ca="1">IF(ISERROR(F467),"",IF(ISTEXT(P475),IF(P475="A","Ab",IF(P475="D","Dt",IF(P475="UFM","UFM",IF(P475="NA","")))),IF(AND(ISBLANK(P475),ISBLANK(R475)),"",IF(P475&lt;0.3*S475,"F",IF(ISBLANK(R475),"",IF(ISTEXT(R475),R475,IF(R475&gt;=0.9*U475,"O",IF(R475&gt;=0.85*U475,"A+",IF(R475&gt;=0.8*U475,"A",IF(R475&gt;=0.7*U475,"B+",IF(R475&gt;=0.6*U475,"B",IF(R475&gt;=0.5*U475,"C",IF(R475&gt;=0.4*U475,"P",IF(R475&lt;0.4*U475,"F",R475))))))))))))))</f>
        <v/>
      </c>
      <c r="N475" s="8" t="str">
        <f t="shared" ca="1" si="54"/>
        <v/>
      </c>
      <c r="O475" t="b" cm="1">
        <f t="array" aca="1" ref="O475" ca="1">IF(NOT(ISBLANK(INDIRECT("SEM_III!R"&amp;INT((ROW(O475)-16)/17)+6))),5,IF(NOT(ISBLANK(INDIRECT("SEM_III!U"&amp;INT((ROW(O475)-16)/17)+6))),6))</f>
        <v>0</v>
      </c>
      <c r="P475" s="1" t="str">
        <f ca="1">IF(ISERROR(F467),"",IF(ISTEXT(VLOOKUP(B467,INDIRECT($F$8),6+(O475-1)*3)),(VLOOKUP(B467,INDIRECT($F$8),6+(O475-1)*3)),SUM(VLOOKUP(B467,INDIRECT($F$8),6+(O475-1)*3),IF(W480,W475,0))))</f>
        <v/>
      </c>
      <c r="Q475" s="1" t="str">
        <f ca="1">IF(ISERROR(F467),"",VLOOKUP(B467,INDIRECT($F$8),7+(O475-1)*3))</f>
        <v/>
      </c>
      <c r="R475" s="1" t="str">
        <f ca="1">IF(ISERROR(F467),"",SUM(P475:Q475))</f>
        <v/>
      </c>
      <c r="S475" s="1" t="str">
        <f ca="1">IF(ISERROR(F467),"",VLOOKUP(A467,INDIRECT($F$8),6+(O475-1)*3))</f>
        <v/>
      </c>
      <c r="T475" s="1" t="str">
        <f ca="1">IF(ISERROR(F467),"",VLOOKUP(A467,INDIRECT($F$8),7+(O475-1)*3))</f>
        <v/>
      </c>
      <c r="U475" s="1" t="str">
        <f ca="1">IF(ISERROR(F467),"",VLOOKUP(A467,INDIRECT($F$8),8+(O475-1)*3))</f>
        <v/>
      </c>
      <c r="V475" s="1" t="str">
        <f ca="1">IF(ISERROR(F467),"",IF(N475=0,A475,""))</f>
        <v/>
      </c>
      <c r="W475" s="1" t="str">
        <f ca="1">IF(ISERROR(F467),"",IF(ISTEXT(VLOOKUP(B467,INDIRECT($F$8),6+(O475-1)*3)),11,IF(VLOOKUP(B467,INDIRECT($F$8),6+(O475-1)*3)&lt;S475*0.3,IF(VLOOKUP(B467,INDIRECT($F$8),8+(O475-1)*3)&lt;U475*0.4,IF(AND(0.4*U475-VLOOKUP(B467,INDIRECT($F$8),8+(O475-1)*3)&lt;=5,0.3*S475-VLOOKUP(B467,INDIRECT($F$8),6+(O475-1)*3)&lt;=5),MAX(0.4*U475-VLOOKUP(B467,INDIRECT($F$8),8+(O475-1)*3),0.3*S475-VLOOKUP(B467,INDIRECT($F$8),6+(O475-1)*3)),11),IF(0.3*S475-VLOOKUP(B467,INDIRECT($F$8),6+(O475-1)*3)&lt;=5,0.3*S475-VLOOKUP(B467,INDIRECT($F$8),6+(O475-1)*3),11)),IF(VLOOKUP(B467,INDIRECT($F$8),8+(O475-1)*3)&lt;U475*0.4,IF(U475*0.4-VLOOKUP(B467,INDIRECT($F$8),8+(O475-1)*3)&lt;=5,U475*0.4-VLOOKUP(B467,INDIRECT($F$8),8+(O475-1)*3),11),0))))</f>
        <v/>
      </c>
      <c r="X475" s="1" t="str">
        <f ca="1">IF(ISERROR(F467),"",IF(W475=0,"",_xlfn.TEXTJOIN("",FALSE," G+",W475," in ",A475)))</f>
        <v/>
      </c>
    </row>
    <row r="476" spans="1:24" ht="14.25" customHeight="1" x14ac:dyDescent="0.2">
      <c r="A476" s="7" t="str">
        <f ca="1">IF(ISERROR(F467),"",VLOOKUP(C467,INDIRECT($F$8),6+(O476-1)*3,0))</f>
        <v/>
      </c>
      <c r="B476" s="41" t="str">
        <f ca="1">IF(ISERROR(F467),"",VLOOKUP(D467,INDIRECT($F$8),6+(O476-1)*3,0))</f>
        <v/>
      </c>
      <c r="C476" s="41"/>
      <c r="D476" s="41"/>
      <c r="E476" s="41"/>
      <c r="F476" s="7" t="str">
        <f ca="1">IF(ISERROR(F467),"",VLOOKUP(E467,INDIRECT($F$8),6+(O476-1)*3,0))</f>
        <v/>
      </c>
      <c r="G476" s="42" t="str">
        <f ca="1">IF(ISERROR(F467),"",_xlfn.TEXTJOIN("/",FALSE,P476,S476))</f>
        <v/>
      </c>
      <c r="H476" s="42"/>
      <c r="I476" s="42" t="str">
        <f ca="1">IF(ISERROR(F467),"",_xlfn.TEXTJOIN("/",FALSE,Q476,T476))</f>
        <v/>
      </c>
      <c r="J476" s="42"/>
      <c r="K476" s="42" t="str">
        <f ca="1">IF(ISERROR(F467),"",_xlfn.TEXTJOIN("/",FALSE,R476,U476))</f>
        <v/>
      </c>
      <c r="L476" s="42"/>
      <c r="M476" s="7" t="str">
        <f ca="1">IF(ISERROR(F467),"",IF(ISTEXT(P476),IF(P476="A","Ab",IF(P476="D","Dt",IF(P476="UFM","UFM",IF(P476="NA","")))),IF(AND(ISBLANK(P476),ISBLANK(R476)),"",IF(P476&lt;0.3*S476,"F",IF(ISBLANK(R476),"",IF(ISTEXT(R476),R476,IF(R476&gt;=0.9*U476,"O",IF(R476&gt;=0.85*U476,"A+",IF(R476&gt;=0.8*U476,"A",IF(R476&gt;=0.7*U476,"B+",IF(R476&gt;=0.6*U476,"B",IF(R476&gt;=0.5*U476,"C",IF(R476&gt;=0.4*U476,"P",IF(R476&lt;0.4*U476,"F",R476))))))))))))))</f>
        <v/>
      </c>
      <c r="N476" s="8" t="str">
        <f t="shared" ca="1" si="54"/>
        <v/>
      </c>
      <c r="O476">
        <f ca="1">IF(O475&gt;0,7,"")</f>
        <v>7</v>
      </c>
      <c r="P476" s="1" t="str">
        <f ca="1">IF(ISERROR(F467),"",IF(ISTEXT(VLOOKUP(B467,INDIRECT($F$8),6+(O476-1)*3)),(VLOOKUP(B467,INDIRECT($F$8),6+(O476-1)*3)),SUM(VLOOKUP(B467,INDIRECT($F$8),6+(O476-1)*3),IF(W480,W476,0))))</f>
        <v/>
      </c>
      <c r="Q476" s="1" t="str">
        <f ca="1">IF(ISERROR(F467),"",VLOOKUP(B467,INDIRECT($F$8),7+(O476-1)*3))</f>
        <v/>
      </c>
      <c r="R476" s="1" t="str">
        <f ca="1">IF(ISERROR(F467),"",SUM(P476:Q476))</f>
        <v/>
      </c>
      <c r="S476" s="1" t="str">
        <f ca="1">IF(ISERROR(F467),"",VLOOKUP(A467,INDIRECT($F$8),6+(O476-1)*3))</f>
        <v/>
      </c>
      <c r="T476" s="1" t="str">
        <f ca="1">IF(ISERROR(F467),"",VLOOKUP(A467,INDIRECT($F$8),7+(O476-1)*3))</f>
        <v/>
      </c>
      <c r="U476" s="1" t="str">
        <f ca="1">IF(ISERROR(F467),"",VLOOKUP(A467,INDIRECT($F$8),8+(O476-1)*3))</f>
        <v/>
      </c>
      <c r="V476" s="1" t="str">
        <f ca="1">IF(ISERROR(F467),"",IF(N476=0,A476,""))</f>
        <v/>
      </c>
      <c r="W476" s="1" t="str">
        <f ca="1">IF(ISERROR(F467),"",IF(ISTEXT(VLOOKUP(B467,INDIRECT($F$8),6+(O476-1)*3)),11,IF(VLOOKUP(B467,INDIRECT($F$8),6+(O476-1)*3)&lt;S476*0.3,IF(VLOOKUP(B467,INDIRECT($F$8),8+(O476-1)*3)&lt;U476*0.4,IF(AND(0.4*U476-VLOOKUP(B467,INDIRECT($F$8),8+(O476-1)*3)&lt;=5,0.3*S476-VLOOKUP(B467,INDIRECT($F$8),6+(O476-1)*3)&lt;=5),MAX(0.4*U476-VLOOKUP(B467,INDIRECT($F$8),8+(O476-1)*3),0.3*S476-VLOOKUP(B467,INDIRECT($F$8),6+(O476-1)*3)),11),IF(0.3*S476-VLOOKUP(B467,INDIRECT($F$8),6+(O476-1)*3)&lt;=5,0.3*S476-VLOOKUP(B467,INDIRECT($F$8),6+(O476-1)*3),11)),IF(VLOOKUP(B467,INDIRECT($F$8),8+(O476-1)*3)&lt;U476*0.4,IF(U476*0.4-VLOOKUP(B467,INDIRECT($F$8),8+(O476-1)*3)&lt;=5,U476*0.4-VLOOKUP(B467,INDIRECT($F$8),8+(O476-1)*3),11),0))))</f>
        <v/>
      </c>
      <c r="X476" s="1" t="str">
        <f ca="1">IF(ISERROR(F467),"",IF(W476=0,"",_xlfn.TEXTJOIN("",FALSE," G+",W476," in ",A476)))</f>
        <v/>
      </c>
    </row>
    <row r="477" spans="1:24" ht="14.25" customHeight="1" x14ac:dyDescent="0.2">
      <c r="A477" s="7" t="str">
        <f ca="1">IF(ISERROR(F467),"",VLOOKUP(C467,INDIRECT($F$8),6+(O477-1)*3,0))</f>
        <v/>
      </c>
      <c r="B477" s="41" t="str">
        <f ca="1">IF(ISERROR(F467),"",VLOOKUP(D467,INDIRECT($F$8),6+(O477-1)*3,0))</f>
        <v/>
      </c>
      <c r="C477" s="41"/>
      <c r="D477" s="41"/>
      <c r="E477" s="41"/>
      <c r="F477" s="7" t="str">
        <f ca="1">IF(ISERROR(F467),"",VLOOKUP(E467,INDIRECT($F$8),6+(O477-1)*3,0))</f>
        <v/>
      </c>
      <c r="G477" s="42" t="str">
        <f ca="1">IF(ISERROR(F467),"",_xlfn.TEXTJOIN("/",FALSE,P477,S477))</f>
        <v/>
      </c>
      <c r="H477" s="42"/>
      <c r="I477" s="42" t="str">
        <f ca="1">IF(ISERROR(F467),"",_xlfn.TEXTJOIN("/",FALSE,Q477,T477))</f>
        <v/>
      </c>
      <c r="J477" s="42"/>
      <c r="K477" s="42" t="str">
        <f ca="1">IF(ISERROR(F467),"",_xlfn.TEXTJOIN("/",FALSE,R477,U477))</f>
        <v/>
      </c>
      <c r="L477" s="42"/>
      <c r="M477" s="7" t="str">
        <f ca="1">IF(ISERROR(F467),"",IF(ISTEXT(P477),IF(P477="A","Ab",IF(P477="D","Dt",IF(P477="UFM","UFM",IF(P477="NA","")))),IF(AND(ISBLANK(P477),ISBLANK(R477)),"",IF(P477&lt;0.3*S477,"F",IF(ISBLANK(R477),"",IF(ISTEXT(R477),R477,IF(R477&gt;=0.9*U477,"O",IF(R477&gt;=0.85*U477,"A+",IF(R477&gt;=0.8*U477,"A",IF(R477&gt;=0.7*U477,"B+",IF(R477&gt;=0.6*U477,"B",IF(R477&gt;=0.5*U477,"C",IF(R477&gt;=0.4*U477,"P",IF(R477&lt;0.4*U477,"F",R477))))))))))))))</f>
        <v/>
      </c>
      <c r="N477" s="8" t="str">
        <f t="shared" ca="1" si="54"/>
        <v/>
      </c>
      <c r="O477">
        <f t="shared" ref="O477:O479" ca="1" si="55">O476+1</f>
        <v>8</v>
      </c>
      <c r="P477" s="1" t="str">
        <f ca="1">IF(ISERROR(F467),"",IF(ISTEXT(VLOOKUP(B467,INDIRECT($F$8),6+(O477-1)*3)),(VLOOKUP(B467,INDIRECT($F$8),6+(O477-1)*3)),SUM(VLOOKUP(B467,INDIRECT($F$8),6+(O477-1)*3),IF(W480,W477,0))))</f>
        <v/>
      </c>
      <c r="Q477" s="1" t="str">
        <f ca="1">IF(ISERROR(F467),"",VLOOKUP(B467,INDIRECT($F$8),7+(O477-1)*3))</f>
        <v/>
      </c>
      <c r="R477" s="1" t="str">
        <f ca="1">IF(ISERROR(F467),"",SUM(P477:Q477))</f>
        <v/>
      </c>
      <c r="S477" s="1" t="str">
        <f ca="1">IF(ISERROR(F467),"",VLOOKUP(A467,INDIRECT($F$8),6+(O477-1)*3))</f>
        <v/>
      </c>
      <c r="T477" s="1" t="str">
        <f ca="1">IF(ISERROR(F467),"",VLOOKUP(A467,INDIRECT($F$8),7+(O477-1)*3))</f>
        <v/>
      </c>
      <c r="U477" s="1" t="str">
        <f ca="1">IF(ISERROR(F467),"",VLOOKUP(A467,INDIRECT($F$8),8+(O477-1)*3))</f>
        <v/>
      </c>
      <c r="V477" s="1" t="str">
        <f ca="1">IF(ISERROR(F467),"",IF(N477=0,A477,""))</f>
        <v/>
      </c>
      <c r="W477" s="1" t="str">
        <f ca="1">IF(ISERROR(F467),"",IF(ISTEXT(VLOOKUP(B467,INDIRECT($F$8),6+(O477-1)*3)),11,IF(VLOOKUP(B467,INDIRECT($F$8),6+(O477-1)*3)&lt;S477*0.3,IF(VLOOKUP(B467,INDIRECT($F$8),8+(O477-1)*3)&lt;U477*0.4,IF(AND(0.4*U477-VLOOKUP(B467,INDIRECT($F$8),8+(O477-1)*3)&lt;=5,0.3*S477-VLOOKUP(B467,INDIRECT($F$8),6+(O477-1)*3)&lt;=5),MAX(0.4*U477-VLOOKUP(B467,INDIRECT($F$8),8+(O477-1)*3),0.3*S477-VLOOKUP(B467,INDIRECT($F$8),6+(O477-1)*3)),11),IF(0.3*S477-VLOOKUP(B467,INDIRECT($F$8),6+(O477-1)*3)&lt;=5,0.3*S477-VLOOKUP(B467,INDIRECT($F$8),6+(O477-1)*3),11)),IF(VLOOKUP(B467,INDIRECT($F$8),8+(O477-1)*3)&lt;U477*0.4,IF(U477*0.4-VLOOKUP(B467,INDIRECT($F$8),8+(O477-1)*3)&lt;=5,U477*0.4-VLOOKUP(B467,INDIRECT($F$8),8+(O477-1)*3),11),0))))</f>
        <v/>
      </c>
      <c r="X477" s="1" t="str">
        <f ca="1">IF(ISERROR(F467),"",IF(W477=0,"",_xlfn.TEXTJOIN("",FALSE," G+",W477," in ",A477)))</f>
        <v/>
      </c>
    </row>
    <row r="478" spans="1:24" ht="14.25" customHeight="1" x14ac:dyDescent="0.2">
      <c r="A478" s="7" t="str">
        <f ca="1">IF(ISERROR(F467),"",VLOOKUP(C467,INDIRECT($F$8),6+(O478-1)*3,0))</f>
        <v/>
      </c>
      <c r="B478" s="41" t="str">
        <f ca="1">IF(ISERROR(F467),"",VLOOKUP(D467,INDIRECT($F$8),6+(O478-1)*3,0))</f>
        <v/>
      </c>
      <c r="C478" s="41"/>
      <c r="D478" s="41"/>
      <c r="E478" s="41"/>
      <c r="F478" s="7" t="str">
        <f ca="1">IF(ISERROR(F467),"",VLOOKUP(E467,INDIRECT($F$8),6+(O478-1)*3,0))</f>
        <v/>
      </c>
      <c r="G478" s="42" t="str">
        <f ca="1">IF(ISERROR(F467),"",_xlfn.TEXTJOIN("/",FALSE,P478,S478))</f>
        <v/>
      </c>
      <c r="H478" s="42"/>
      <c r="I478" s="42" t="str">
        <f ca="1">IF(ISERROR(F467),"",_xlfn.TEXTJOIN("/",FALSE,Q478,T478))</f>
        <v/>
      </c>
      <c r="J478" s="42"/>
      <c r="K478" s="42" t="str">
        <f ca="1">IF(ISERROR(F467),"",_xlfn.TEXTJOIN("/",FALSE,R478,U478))</f>
        <v/>
      </c>
      <c r="L478" s="42"/>
      <c r="M478" s="7" t="str">
        <f ca="1">IF(ISERROR(F467),"",IF(ISTEXT(P478),IF(P478="A","Ab",IF(P478="D","Dt",IF(P478="UFM","UFM",IF(P478="NA","")))),IF(AND(ISBLANK(P478),ISBLANK(R478)),"",IF(P478&lt;0.3*S478,"F",IF(ISBLANK(R478),"",IF(ISTEXT(R478),R478,IF(R478&gt;=0.9*U478,"O",IF(R478&gt;=0.85*U478,"A+",IF(R478&gt;=0.8*U478,"A",IF(R478&gt;=0.7*U478,"B+",IF(R478&gt;=0.6*U478,"B",IF(R478&gt;=0.5*U478,"C",IF(R478&gt;=0.4*U478,"P",IF(R478&lt;0.4*U478,"F",R478))))))))))))))</f>
        <v/>
      </c>
      <c r="N478" s="8" t="str">
        <f t="shared" ca="1" si="54"/>
        <v/>
      </c>
      <c r="O478">
        <f t="shared" ca="1" si="55"/>
        <v>9</v>
      </c>
      <c r="P478" s="1" t="str">
        <f ca="1">IF(ISERROR(F467),"",IF(ISTEXT(VLOOKUP(B467,INDIRECT($F$8),6+(O478-1)*3)),(VLOOKUP(B467,INDIRECT($F$8),6+(O478-1)*3)),SUM(VLOOKUP(B467,INDIRECT($F$8),6+(O478-1)*3),IF(W480,W478,0))))</f>
        <v/>
      </c>
      <c r="Q478" s="1" t="str">
        <f ca="1">IF(ISERROR(F467),"",VLOOKUP(B467,INDIRECT($F$8),7+(O478-1)*3))</f>
        <v/>
      </c>
      <c r="R478" s="1" t="str">
        <f ca="1">IF(ISERROR(F467),"",SUM(P478:Q478))</f>
        <v/>
      </c>
      <c r="S478" s="1" t="str">
        <f ca="1">IF(ISERROR(F467),"",VLOOKUP(A467,INDIRECT($F$8),6+(O478-1)*3))</f>
        <v/>
      </c>
      <c r="T478" s="1" t="str">
        <f ca="1">IF(ISERROR(F467),"",VLOOKUP(A467,INDIRECT($F$8),7+(O478-1)*3))</f>
        <v/>
      </c>
      <c r="U478" s="1" t="str">
        <f ca="1">IF(ISERROR(F467),"",VLOOKUP(A467,INDIRECT($F$8),8+(O478-1)*3))</f>
        <v/>
      </c>
      <c r="V478" s="1" t="str">
        <f ca="1">IF(ISERROR(F467),"",IF(N478=0,A478,""))</f>
        <v/>
      </c>
      <c r="W478" s="1" t="str">
        <f ca="1">IF(ISERROR(F467),"",IF(ISTEXT(VLOOKUP(B467,INDIRECT($F$8),6+(O478-1)*3)),11,IF(VLOOKUP(B467,INDIRECT($F$8),6+(O478-1)*3)&lt;S478*0.3,IF(VLOOKUP(B467,INDIRECT($F$8),8+(O478-1)*3)&lt;U478*0.4,IF(AND(0.4*U478-VLOOKUP(B467,INDIRECT($F$8),8+(O478-1)*3)&lt;=5,0.3*S478-VLOOKUP(B467,INDIRECT($F$8),6+(O478-1)*3)&lt;=5),MAX(0.4*U478-VLOOKUP(B467,INDIRECT($F$8),8+(O478-1)*3),0.3*S478-VLOOKUP(B467,INDIRECT($F$8),6+(O478-1)*3)),11),IF(0.3*S478-VLOOKUP(B467,INDIRECT($F$8),6+(O478-1)*3)&lt;=5,0.3*S478-VLOOKUP(B467,INDIRECT($F$8),6+(O478-1)*3),11)),IF(VLOOKUP(B467,INDIRECT($F$8),8+(O478-1)*3)&lt;U478*0.4,IF(U478*0.4-VLOOKUP(B467,INDIRECT($F$8),8+(O478-1)*3)&lt;=5,U478*0.4-VLOOKUP(B467,INDIRECT($F$8),8+(O478-1)*3),11),0))))</f>
        <v/>
      </c>
      <c r="X478" s="1" t="str">
        <f ca="1">IF(ISERROR(F467),"",IF(W478=0,"",_xlfn.TEXTJOIN("",FALSE," G+",W478," in ",A478)))</f>
        <v/>
      </c>
    </row>
    <row r="479" spans="1:24" ht="14.25" customHeight="1" x14ac:dyDescent="0.2">
      <c r="A479" s="7" t="str">
        <f ca="1">IF(ISERROR(F467),"",VLOOKUP(C467,INDIRECT($F$8),6+(O479-1)*3,0))</f>
        <v/>
      </c>
      <c r="B479" s="41" t="str">
        <f ca="1">IF(ISERROR(F467),"",VLOOKUP(D467,INDIRECT($F$8),6+(O479-1)*3-Z479,0))</f>
        <v/>
      </c>
      <c r="C479" s="41"/>
      <c r="D479" s="41"/>
      <c r="E479" s="41"/>
      <c r="F479" s="7" t="str">
        <f ca="1">IF(ISERROR(F467),"",VLOOKUP(E467,INDIRECT($F$8),6+(O479-1)*3,0))</f>
        <v/>
      </c>
      <c r="G479" s="42" t="str">
        <f ca="1">IF(ISERROR(F467),"",_xlfn.TEXTJOIN("/",FALSE,P479,S479))</f>
        <v/>
      </c>
      <c r="H479" s="42"/>
      <c r="I479" s="42" t="str">
        <f ca="1">IF(ISERROR(F467),"",_xlfn.TEXTJOIN("/",FALSE,Q479,T479))</f>
        <v/>
      </c>
      <c r="J479" s="42"/>
      <c r="K479" s="42" t="str">
        <f ca="1">IF(ISERROR(F467),"",_xlfn.TEXTJOIN("/",FALSE,R479,U479))</f>
        <v/>
      </c>
      <c r="L479" s="42"/>
      <c r="M479" s="7" t="str">
        <f ca="1">IF(ISERROR(F467),"",IF(ISTEXT(P479),IF(P479="A","Ab",IF(P479="D","Dt",IF(P479="UFM","UFM",IF(P479="NA","")))),IF(AND(ISBLANK(P479),ISBLANK(R479)),"",IF(P479&lt;0.3*S479,"F",IF(ISBLANK(R479),"",IF(ISTEXT(R479),R479,IF(R479&gt;=0.9*U479,"O",IF(R479&gt;=0.85*U479,"A+",IF(R479&gt;=0.8*U479,"A",IF(R479&gt;=0.7*U479,"B+",IF(R479&gt;=0.6*U479,"B",IF(R479&gt;=0.5*U479,"C",IF(R479&gt;=0.4*U479,"P",IF(R479&lt;0.4*U479,"F",R479))))))))))))))</f>
        <v/>
      </c>
      <c r="N479" s="8" t="str">
        <f t="shared" ca="1" si="54"/>
        <v/>
      </c>
      <c r="O479">
        <f t="shared" ca="1" si="55"/>
        <v>10</v>
      </c>
      <c r="P479" s="1" t="str">
        <f ca="1">IF(ISERROR(F467),"",IF(ISTEXT(VLOOKUP(B467,INDIRECT($F$8),6+(O479-1)*3)),(VLOOKUP(B467,INDIRECT($F$8),6+(O479-1)*3)),SUM(VLOOKUP(B467,INDIRECT($F$8),6+(O479-1)*3),IF(W480,W479,0))))</f>
        <v/>
      </c>
      <c r="Q479" s="1" t="str">
        <f ca="1">IF(ISERROR(F467),"",VLOOKUP(B467,INDIRECT($F$8),7+(O479-1)*3))</f>
        <v/>
      </c>
      <c r="R479" s="1" t="str">
        <f ca="1">IF(ISERROR(F467),"",SUM(P479:Q479))</f>
        <v/>
      </c>
      <c r="S479" s="1" t="str">
        <f ca="1">IF(ISERROR(F467),"",VLOOKUP(A467,INDIRECT($F$8),6+(O479-1)*3))</f>
        <v/>
      </c>
      <c r="T479" s="1" t="str">
        <f ca="1">IF(ISERROR(F467),"",VLOOKUP(A467,INDIRECT($F$8),7+(O479-1)*3))</f>
        <v/>
      </c>
      <c r="U479" s="1" t="str">
        <f ca="1">IF(ISERROR(F467),"",VLOOKUP(A467,INDIRECT($F$8),8+(O479-1)*3))</f>
        <v/>
      </c>
      <c r="V479" s="1" t="str">
        <f ca="1">IF(ISERROR(F467),"",IF(N479=0,A479,""))</f>
        <v/>
      </c>
      <c r="W479" s="1" t="str">
        <f ca="1">IF(ISERROR(F467),"",IF(ISTEXT(VLOOKUP(B467,INDIRECT($F$8),6+(O479-1)*3)),11,IF(VLOOKUP(B467,INDIRECT($F$8),6+(O479-1)*3)&lt;S479*0.3,IF(VLOOKUP(B467,INDIRECT($F$8),8+(O479-1)*3)&lt;U479*0.4,IF(AND(0.4*U479-VLOOKUP(B467,INDIRECT($F$8),8+(O479-1)*3)&lt;=5,0.3*S479-VLOOKUP(B467,INDIRECT($F$8),6+(O479-1)*3)&lt;=5),MAX(0.4*U479-VLOOKUP(B467,INDIRECT($F$8),8+(O479-1)*3),0.3*S479-VLOOKUP(B467,INDIRECT($F$8),6+(O479-1)*3)),11),IF(0.3*S479-VLOOKUP(B467,INDIRECT($F$8),6+(O479-1)*3)&lt;=5,0.3*S479-VLOOKUP(B467,INDIRECT($F$8),6+(O479-1)*3),11)),IF(VLOOKUP(B467,INDIRECT($F$8),8+(O479-1)*3)&lt;U479*0.4,IF(U479*0.4-VLOOKUP(B467,INDIRECT($F$8),8+(O479-1)*3)&lt;=5,U479*0.4-VLOOKUP(B467,INDIRECT($F$8),8+(O479-1)*3),11),0))))</f>
        <v/>
      </c>
      <c r="X479" s="1" t="str">
        <f ca="1">IF(ISERROR(F467),"",IF(W479=0,"",_xlfn.TEXTJOIN("",FALSE," G+",W479," in ",A479)))</f>
        <v/>
      </c>
    </row>
    <row r="480" spans="1:24" ht="14.25" customHeight="1" x14ac:dyDescent="0.2">
      <c r="A480" s="43" t="str">
        <f ca="1">IF(ISERROR(F467),"",A463)</f>
        <v/>
      </c>
      <c r="B480" s="43"/>
      <c r="C480" s="43"/>
      <c r="D480" s="43"/>
      <c r="E480" s="43"/>
      <c r="F480" s="10" t="str">
        <f ca="1">IF(ISERROR(F467),"",SUM(F472:F479))</f>
        <v/>
      </c>
      <c r="G480" s="44" t="str">
        <f ca="1">IF(ISERROR(F467),"",_xlfn.TEXTJOIN("/",TRUE,SUMIF(F472:F479,"&gt;0",P472:P479),SUMIF(F472:F479,"&gt;0",S472:S479)))</f>
        <v/>
      </c>
      <c r="H480" s="44"/>
      <c r="I480" s="44" t="str">
        <f ca="1">IF(ISERROR(F467),"",_xlfn.TEXTJOIN("/",TRUE,SUMIF(F472:F479,"&gt;0",Q472:Q479),SUMIF(F472:F479,"&gt;0",T472:T479)))</f>
        <v/>
      </c>
      <c r="J480" s="44"/>
      <c r="K480" s="44" t="str">
        <f ca="1">IF(ISERROR(F467),"",_xlfn.TEXTJOIN("/",TRUE,SUMIF(F472:F479,"&gt;0",R472:R479),SUMIF(F472:F479,"&gt;0",U472:U479)))</f>
        <v/>
      </c>
      <c r="L480" s="44"/>
      <c r="M480" s="43" t="str">
        <f ca="1">IF(ISERROR(F467),"",SUMPRODUCT(N472:N479,F472:F479))</f>
        <v/>
      </c>
      <c r="N480" s="43"/>
      <c r="V480" s="1" t="str">
        <f ca="1">IF(ISERROR(F467),"",_xlfn.TEXTJOIN(", ",TRUE,V472:V479))</f>
        <v/>
      </c>
      <c r="W480" t="str">
        <f ca="1">IF(ISERROR(F467),"",IF(SUM(W472:W479)&lt;=W471,TRUE,FALSE))</f>
        <v/>
      </c>
      <c r="X480" s="1" t="str">
        <f ca="1">IF(ISERROR(F467),"",_xlfn.TEXTJOIN(",",TRUE,X472:X479))</f>
        <v/>
      </c>
    </row>
    <row r="481" spans="1:24" ht="14.25" customHeight="1" x14ac:dyDescent="0.2">
      <c r="A481" s="43" t="str">
        <f ca="1">IF(ISERROR(F467),"",A464)</f>
        <v/>
      </c>
      <c r="B481" s="45" t="str">
        <f ca="1">IF(ISERROR(F467),"",IF(V480="","PASS","CARRY OVER"))</f>
        <v/>
      </c>
      <c r="C481" s="45"/>
      <c r="D481" s="43" t="str">
        <f ca="1">IF(ISERROR(F467),"",D464)</f>
        <v/>
      </c>
      <c r="E481" s="45" t="str">
        <f ca="1">IF(ISERROR(F467),"",IF(V480="",IF(X480="","",X480),_xlfn.TEXTJOIN(" ",TRUE,"BACK IN",V480)))</f>
        <v/>
      </c>
      <c r="F481" s="45"/>
      <c r="G481" s="43" t="str">
        <f ca="1">IF(ISERROR(F467),"",G464)</f>
        <v/>
      </c>
      <c r="H481" s="46" t="str">
        <f ca="1">IF(ISERROR(F467),"",M480/F480)</f>
        <v/>
      </c>
      <c r="I481" s="43" t="str">
        <f ca="1">IF(ISERROR(F467),"",I464)</f>
        <v/>
      </c>
      <c r="J481" s="46" t="str">
        <f ca="1">IF(ISERROR(F467),"",VLOOKUP(B467,INDIRECT($F$8),12+(O479-1)*3,0))</f>
        <v/>
      </c>
      <c r="K481" s="45" t="str">
        <f ca="1">IF(ISERROR(F467),"",K464)</f>
        <v/>
      </c>
      <c r="L481" s="43" t="str">
        <f ca="1">IF(ISERROR(F467),"",SUMIF(N472:N479,"&gt;0",F472:F479))</f>
        <v/>
      </c>
      <c r="M481" s="45" t="str">
        <f ca="1">IF(ISERROR(F467),"",M464)</f>
        <v/>
      </c>
      <c r="N481" s="43" t="str">
        <f ca="1">IF(ISERROR(F467),"",VLOOKUP(B467,INDIRECT($F$8),10+(O479-1)*3,0))</f>
        <v/>
      </c>
    </row>
    <row r="482" spans="1:24" ht="14.25" customHeight="1" x14ac:dyDescent="0.2">
      <c r="A482" s="43"/>
      <c r="B482" s="45"/>
      <c r="C482" s="45"/>
      <c r="D482" s="43"/>
      <c r="E482" s="45"/>
      <c r="F482" s="45"/>
      <c r="G482" s="43"/>
      <c r="H482" s="46"/>
      <c r="I482" s="43"/>
      <c r="J482" s="46"/>
      <c r="K482" s="45"/>
      <c r="L482" s="43"/>
      <c r="M482" s="45"/>
      <c r="N482" s="43"/>
    </row>
    <row r="483" spans="1:24" ht="14.25" customHeight="1" x14ac:dyDescent="0.2">
      <c r="A483" s="43"/>
      <c r="B483" s="45"/>
      <c r="C483" s="45"/>
      <c r="D483" s="43"/>
      <c r="E483" s="45"/>
      <c r="F483" s="45"/>
      <c r="G483" s="43"/>
      <c r="H483" s="46"/>
      <c r="I483" s="43"/>
      <c r="J483" s="46"/>
      <c r="K483" s="45"/>
      <c r="L483" s="43"/>
      <c r="M483" s="45"/>
      <c r="N483" s="43"/>
    </row>
    <row r="484" spans="1:24" ht="14.25" customHeight="1" x14ac:dyDescent="0.2">
      <c r="A484" s="11" t="str">
        <f>A467</f>
        <v>MM</v>
      </c>
      <c r="B484" s="11">
        <f>B467+1</f>
        <v>29</v>
      </c>
      <c r="C484" s="11" t="str">
        <f>C467</f>
        <v>SC</v>
      </c>
      <c r="D484" s="11" t="str">
        <f>D467</f>
        <v>SN</v>
      </c>
      <c r="E484" s="11" t="str">
        <f>E467</f>
        <v>C</v>
      </c>
      <c r="F484" s="11" t="e">
        <f ca="1">VLOOKUP(B484,INDIRECT($F$8),4,0)</f>
        <v>#N/A</v>
      </c>
    </row>
    <row r="485" spans="1:24" ht="14.25" customHeight="1" x14ac:dyDescent="0.2">
      <c r="A485" s="47" t="str">
        <f ca="1">IF(ISERROR(F484),"",A468)</f>
        <v/>
      </c>
      <c r="B485" s="47" t="str">
        <f ca="1">IFERROR(VLOOKUP(B484,INDIRECT($F$8),4,0),"")</f>
        <v/>
      </c>
      <c r="C485" s="47"/>
      <c r="D485" s="47" t="str">
        <f ca="1">IF(ISERROR(F484),"",D468)</f>
        <v/>
      </c>
      <c r="E485" s="47" t="str">
        <f ca="1">IFERROR(VLOOKUP(B484,INDIRECT($F$8),5,0),"")</f>
        <v/>
      </c>
      <c r="F485" s="47"/>
      <c r="G485" s="47" t="str">
        <f ca="1">IF(ISERROR(F484),"",G468)</f>
        <v/>
      </c>
      <c r="H485" s="47"/>
      <c r="I485" s="48" t="str">
        <f ca="1">IFERROR(VLOOKUP(B484,INDIRECT($F$8),2,0),"")</f>
        <v/>
      </c>
      <c r="J485" s="48"/>
      <c r="K485" s="47" t="str">
        <f ca="1">IF(ISERROR(F484),"",K468)</f>
        <v/>
      </c>
      <c r="L485" s="47"/>
      <c r="M485" s="48" t="str">
        <f ca="1">IFERROR(VLOOKUP(B484,INDIRECT($F$8),3,0),"")</f>
        <v/>
      </c>
      <c r="N485" s="48"/>
    </row>
    <row r="486" spans="1:24" ht="14.25" customHeight="1" x14ac:dyDescent="0.2">
      <c r="A486" s="47"/>
      <c r="B486" s="47"/>
      <c r="C486" s="47"/>
      <c r="D486" s="47"/>
      <c r="E486" s="47"/>
      <c r="F486" s="47"/>
      <c r="G486" s="47"/>
      <c r="H486" s="47"/>
      <c r="I486" s="48"/>
      <c r="J486" s="48"/>
      <c r="K486" s="47"/>
      <c r="L486" s="47"/>
      <c r="M486" s="48"/>
      <c r="N486" s="48"/>
    </row>
    <row r="487" spans="1:24" ht="14.25" customHeight="1" x14ac:dyDescent="0.2">
      <c r="A487" s="45" t="str">
        <f ca="1">IF(ISERROR(F484),"",A470)</f>
        <v/>
      </c>
      <c r="B487" s="45" t="str">
        <f ca="1">IF(ISERROR(F484),"",B470)</f>
        <v/>
      </c>
      <c r="C487" s="45"/>
      <c r="D487" s="45"/>
      <c r="E487" s="45"/>
      <c r="F487" s="45" t="str">
        <f ca="1">IF(ISERROR(F484),"",F470)</f>
        <v/>
      </c>
      <c r="G487" s="45" t="str">
        <f ca="1">IF(ISERROR(F484),"",G470)</f>
        <v/>
      </c>
      <c r="H487" s="45"/>
      <c r="I487" s="45" t="str">
        <f ca="1">IF(ISERROR(F484),"",I470)</f>
        <v/>
      </c>
      <c r="J487" s="45"/>
      <c r="K487" s="45" t="str">
        <f ca="1">IF(ISERROR(F484),"",K470)</f>
        <v/>
      </c>
      <c r="L487" s="45"/>
      <c r="M487" s="45" t="str">
        <f ca="1">IF(ISERROR(F484),"",M470)</f>
        <v/>
      </c>
      <c r="N487" s="45" t="str">
        <f ca="1">IF(ISERROR(F484),"",N470)</f>
        <v/>
      </c>
    </row>
    <row r="488" spans="1:24" ht="14.25" customHeight="1" x14ac:dyDescent="0.2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W488">
        <f ca="1">IF(ISNUMBER(MATCH($F$8,{"I","III","V","VII"},0)),10,10-INDEX(INDIRECT(_xlfn.TEXTJOIN("",TRUE,"SEM_",$G$8,"!",ADDRESS(6,4+$I$8*3+4),":",ADDRESS(5+$H$8,4+$I$8*3+4))),MATCH(INDIRECT(_xlfn.TEXTJOIN("",TRUE,"TC_",$F$8,"!",ADDRESS(ROW(I485),COLUMN(I485)))),INDIRECT(_xlfn.TEXTJOIN("",TRUE,"SEM_",$G$8,"!",ADDRESS(6,2),":",ADDRESS(5+$H$8,2))))))</f>
        <v>10</v>
      </c>
    </row>
    <row r="489" spans="1:24" ht="14.25" customHeight="1" x14ac:dyDescent="0.2">
      <c r="A489" s="7" t="str">
        <f ca="1">IF(ISERROR(F484),"",VLOOKUP(C484,INDIRECT($F$8),6+(O489-1)*3,0))</f>
        <v/>
      </c>
      <c r="B489" s="41" t="str">
        <f ca="1">IF(ISERROR(F484),"",VLOOKUP(D484,INDIRECT($F$8),6+(O489-1)*3,0))</f>
        <v/>
      </c>
      <c r="C489" s="41"/>
      <c r="D489" s="41"/>
      <c r="E489" s="41"/>
      <c r="F489" s="7" t="str">
        <f ca="1">IF(ISERROR(F484),"",VLOOKUP(E484,INDIRECT($F$8),6+(O489-1)*3,0))</f>
        <v/>
      </c>
      <c r="G489" s="42" t="str">
        <f ca="1">IF(ISERROR(F484),"",_xlfn.TEXTJOIN("/",FALSE,P489,S489))</f>
        <v/>
      </c>
      <c r="H489" s="42"/>
      <c r="I489" s="42" t="str">
        <f ca="1">IF(ISERROR(F484),"",_xlfn.TEXTJOIN("/",FALSE,Q489,T489))</f>
        <v/>
      </c>
      <c r="J489" s="42"/>
      <c r="K489" s="42" t="str">
        <f ca="1">IF(ISERROR(F484),"",_xlfn.TEXTJOIN("/",FALSE,R489,U489))</f>
        <v/>
      </c>
      <c r="L489" s="42"/>
      <c r="M489" s="7" t="str">
        <f ca="1">IF(ISERROR(F484),"",IF(ISTEXT(P489),IF(P489="A","Ab",IF(P489="D","Dt",IF(P489="UFM","UFM",IF(P489="NA","")))),IF(AND(ISBLANK(P489),ISBLANK(R489)),"",IF(P489&lt;0.3*S489,"F",IF(ISBLANK(R489),"",IF(ISTEXT(R489),R489,IF(R489&gt;=0.9*U489,"O",IF(R489&gt;=0.85*U489,"A+",IF(R489&gt;=0.8*U489,"A",IF(R489&gt;=0.7*U489,"B+",IF(R489&gt;=0.6*U489,"B",IF(R489&gt;=0.5*U489,"C",IF(R489&gt;=0.4*U489,"P",IF(R489&lt;0.4*U489,"F",R489))))))))))))))</f>
        <v/>
      </c>
      <c r="N489" s="8" t="str">
        <f t="shared" ref="N489:N496" ca="1" si="56">INDEX($Z$2:$Z$13,MATCH(M489,$Y$2:$Y$13,0))</f>
        <v/>
      </c>
      <c r="O489">
        <v>1</v>
      </c>
      <c r="P489" s="1" t="str">
        <f ca="1">IF(ISERROR(F484),"",IF(ISTEXT(VLOOKUP(B484,INDIRECT($F$8),6+(O489-1)*3)),(VLOOKUP(B484,INDIRECT($F$8),6+(O489-1)*3)),SUM(VLOOKUP(B484,INDIRECT($F$8),6+(O489-1)*3),IF(W497,W489,0))))</f>
        <v/>
      </c>
      <c r="Q489" s="1" t="str">
        <f ca="1">IF(ISERROR(F484),"",VLOOKUP(B484,INDIRECT($F$8),7+(O489-1)*3))</f>
        <v/>
      </c>
      <c r="R489" s="1" t="str">
        <f ca="1">IF(ISERROR(F484),"",SUM(P489:Q489))</f>
        <v/>
      </c>
      <c r="S489" s="1" t="str">
        <f ca="1">IF(ISERROR(F484),"",VLOOKUP(A484,INDIRECT($F$8),6+(O489-1)*3))</f>
        <v/>
      </c>
      <c r="T489" s="1" t="str">
        <f ca="1">IF(ISERROR(F484),"",VLOOKUP(A484,INDIRECT($F$8),7+(O489-1)*3))</f>
        <v/>
      </c>
      <c r="U489" s="1" t="str">
        <f ca="1">IF(ISERROR(F484),"",VLOOKUP(A484,INDIRECT($F$8),8+(O489-1)*3))</f>
        <v/>
      </c>
      <c r="V489" s="1" t="str">
        <f ca="1">IF(ISERROR(F484),"",IF(N489=0,A489,""))</f>
        <v/>
      </c>
      <c r="W489" s="1" t="str">
        <f ca="1">IF(ISERROR(F484),"",IF(ISTEXT(VLOOKUP(B484,INDIRECT($F$8),6+(O489-1)*3)),11,IF(VLOOKUP(B484,INDIRECT($F$8),6+(O489-1)*3)&lt;S489*0.3,IF(VLOOKUP(B484,INDIRECT($F$8),8+(O489-1)*3)&lt;U489*0.4,IF(AND(0.4*U489-VLOOKUP(B484,INDIRECT($F$8),8+(O489-1)*3)&lt;=5,0.3*S489-VLOOKUP(B484,INDIRECT($F$8),6+(O489-1)*3)&lt;=5),MAX(0.4*U489-VLOOKUP(B484,INDIRECT($F$8),8+(O489-1)*3),0.3*S489-VLOOKUP(B484,INDIRECT($F$8),6+(O489-1)*3)),11),IF(0.3*S489-VLOOKUP(B484,INDIRECT($F$8),6+(O489-1)*3)&lt;=5,0.3*S489-VLOOKUP(B484,INDIRECT($F$8),6+(O489-1)*3),11)),IF(VLOOKUP(B484,INDIRECT($F$8),8+(O489-1)*3)&lt;U489*0.4,IF(U489*0.4-VLOOKUP(B484,INDIRECT($F$8),8+(O489-1)*3)&lt;=5,U489*0.4-VLOOKUP(B484,INDIRECT($F$8),8+(O489-1)*3),11),0))))</f>
        <v/>
      </c>
      <c r="X489" s="1" t="str">
        <f ca="1">IF(ISERROR(F484),"",IF(W489=0,"",_xlfn.TEXTJOIN("",FALSE," G+",W489," in ",A489)))</f>
        <v/>
      </c>
    </row>
    <row r="490" spans="1:24" ht="14.25" customHeight="1" x14ac:dyDescent="0.2">
      <c r="A490" s="7" t="str">
        <f ca="1">IF(ISERROR(F484),"",VLOOKUP(C484,INDIRECT($F$8),6+(O490-1)*3,0))</f>
        <v/>
      </c>
      <c r="B490" s="41" t="str">
        <f ca="1">IF(ISERROR(F484),"",VLOOKUP(D484,INDIRECT($F$8),6+(O490-1)*3,0))</f>
        <v/>
      </c>
      <c r="C490" s="41"/>
      <c r="D490" s="41"/>
      <c r="E490" s="41"/>
      <c r="F490" s="7" t="str">
        <f ca="1">IF(ISERROR(F484),"",VLOOKUP(E484,INDIRECT($F$8),6+(O490-1)*3,0))</f>
        <v/>
      </c>
      <c r="G490" s="42" t="str">
        <f ca="1">IF(ISERROR(F484),"",_xlfn.TEXTJOIN("/",FALSE,P490,S490))</f>
        <v/>
      </c>
      <c r="H490" s="42"/>
      <c r="I490" s="42" t="str">
        <f ca="1">IF(ISERROR(F484),"",_xlfn.TEXTJOIN("/",FALSE,Q490,T490))</f>
        <v/>
      </c>
      <c r="J490" s="42"/>
      <c r="K490" s="42" t="str">
        <f ca="1">IF(ISERROR(F484),"",_xlfn.TEXTJOIN("/",FALSE,R490,U490))</f>
        <v/>
      </c>
      <c r="L490" s="42"/>
      <c r="M490" s="7" t="str">
        <f ca="1">IF(ISERROR(F484),"",IF(ISTEXT(P490),IF(P490="A","Ab",IF(P490="D","Dt",IF(P490="UFM","UFM",IF(P490="NA","")))),IF(AND(ISBLANK(P490),ISBLANK(R490)),"",IF(P490&lt;0.3*S490,"F",IF(ISBLANK(R490),"",IF(ISTEXT(R490),R490,IF(R490&gt;=0.9*U490,"O",IF(R490&gt;=0.85*U490,"A+",IF(R490&gt;=0.8*U490,"A",IF(R490&gt;=0.7*U490,"B+",IF(R490&gt;=0.6*U490,"B",IF(R490&gt;=0.5*U490,"C",IF(R490&gt;=0.4*U490,"P",IF(R490&lt;0.4*U490,"F",R490))))))))))))))</f>
        <v/>
      </c>
      <c r="N490" s="8" t="str">
        <f t="shared" ca="1" si="56"/>
        <v/>
      </c>
      <c r="O490">
        <f>O489+1</f>
        <v>2</v>
      </c>
      <c r="P490" s="1" t="str">
        <f ca="1">IF(ISERROR(F484),"",IF(ISTEXT(VLOOKUP(B484,INDIRECT($F$8),6+(O490-1)*3)),(VLOOKUP(B484,INDIRECT($F$8),6+(O490-1)*3)),SUM(VLOOKUP(B484,INDIRECT($F$8),6+(O490-1)*3),IF(W497,W490,0))))</f>
        <v/>
      </c>
      <c r="Q490" s="1" t="str">
        <f ca="1">IF(ISERROR(F484),"",VLOOKUP(B484,INDIRECT($F$8),7+(O490-1)*3))</f>
        <v/>
      </c>
      <c r="R490" s="1" t="str">
        <f ca="1">IF(ISERROR(F484),"",SUM(P490:Q490))</f>
        <v/>
      </c>
      <c r="S490" s="1" t="str">
        <f ca="1">IF(ISERROR(F484),"",VLOOKUP(A484,INDIRECT($F$8),6+(O490-1)*3))</f>
        <v/>
      </c>
      <c r="T490" s="1" t="str">
        <f ca="1">IF(ISERROR(F484),"",VLOOKUP(A484,INDIRECT($F$8),7+(O490-1)*3))</f>
        <v/>
      </c>
      <c r="U490" s="1" t="str">
        <f ca="1">IF(ISERROR(F484),"",VLOOKUP(A484,INDIRECT($F$8),8+(O490-1)*3))</f>
        <v/>
      </c>
      <c r="V490" s="1" t="str">
        <f ca="1">IF(ISERROR(F484),"",IF(N490=0,A490,""))</f>
        <v/>
      </c>
      <c r="W490" s="1" t="str">
        <f ca="1">IF(ISERROR(F484),"",IF(ISTEXT(VLOOKUP(B484,INDIRECT($F$8),6+(O490-1)*3)),11,IF(VLOOKUP(B484,INDIRECT($F$8),6+(O490-1)*3)&lt;S490*0.3,IF(VLOOKUP(B484,INDIRECT($F$8),8+(O490-1)*3)&lt;U490*0.4,IF(AND(0.4*U490-VLOOKUP(B484,INDIRECT($F$8),8+(O490-1)*3)&lt;=5,0.3*S490-VLOOKUP(B484,INDIRECT($F$8),6+(O490-1)*3)&lt;=5),MAX(0.4*U490-VLOOKUP(B484,INDIRECT($F$8),8+(O490-1)*3),0.3*S490-VLOOKUP(B484,INDIRECT($F$8),6+(O490-1)*3)),11),IF(0.3*S490-VLOOKUP(B484,INDIRECT($F$8),6+(O490-1)*3)&lt;=5,0.3*S490-VLOOKUP(B484,INDIRECT($F$8),6+(O490-1)*3),11)),IF(VLOOKUP(B484,INDIRECT($F$8),8+(O490-1)*3)&lt;U490*0.4,IF(U490*0.4-VLOOKUP(B484,INDIRECT($F$8),8+(O490-1)*3)&lt;=5,U490*0.4-VLOOKUP(B484,INDIRECT($F$8),8+(O490-1)*3),11),0))))</f>
        <v/>
      </c>
      <c r="X490" s="1" t="str">
        <f ca="1">IF(ISERROR(F484),"",IF(W490=0,"",_xlfn.TEXTJOIN("",FALSE," G+",W490," in ",A490)))</f>
        <v/>
      </c>
    </row>
    <row r="491" spans="1:24" ht="14.25" customHeight="1" x14ac:dyDescent="0.2">
      <c r="A491" s="7" t="str">
        <f ca="1">IF(ISERROR(F484),"",VLOOKUP(C484,INDIRECT($F$8),6+(O491-1)*3,0))</f>
        <v/>
      </c>
      <c r="B491" s="41" t="str">
        <f ca="1">IF(ISERROR(F484),"",VLOOKUP(D484,INDIRECT($F$8),6+(O491-1)*3,0))</f>
        <v/>
      </c>
      <c r="C491" s="41"/>
      <c r="D491" s="41"/>
      <c r="E491" s="41"/>
      <c r="F491" s="7" t="str">
        <f ca="1">IF(ISERROR(F484),"",VLOOKUP(E484,INDIRECT($F$8),6+(O491-1)*3,0))</f>
        <v/>
      </c>
      <c r="G491" s="42" t="str">
        <f ca="1">IF(ISERROR(F484),"",_xlfn.TEXTJOIN("/",FALSE,P491,S491))</f>
        <v/>
      </c>
      <c r="H491" s="42"/>
      <c r="I491" s="42" t="str">
        <f ca="1">IF(ISERROR(F484),"",_xlfn.TEXTJOIN("/",FALSE,Q491,T491))</f>
        <v/>
      </c>
      <c r="J491" s="42"/>
      <c r="K491" s="42" t="str">
        <f ca="1">IF(ISERROR(F484),"",_xlfn.TEXTJOIN("/",FALSE,R491,U491))</f>
        <v/>
      </c>
      <c r="L491" s="42"/>
      <c r="M491" s="7" t="str">
        <f ca="1">IF(ISERROR(F484),"",IF(ISTEXT(P491),IF(P491="A","Ab",IF(P491="D","Dt",IF(P491="UFM","UFM",IF(P491="NA","")))),IF(AND(ISBLANK(P491),ISBLANK(R491)),"",IF(P491&lt;0.3*S491,"F",IF(ISBLANK(R491),"",IF(ISTEXT(R491),R491,IF(R491&gt;=0.9*U491,"O",IF(R491&gt;=0.85*U491,"A+",IF(R491&gt;=0.8*U491,"A",IF(R491&gt;=0.7*U491,"B+",IF(R491&gt;=0.6*U491,"B",IF(R491&gt;=0.5*U491,"C",IF(R491&gt;=0.4*U491,"P",IF(R491&lt;0.4*U491,"F",R491))))))))))))))</f>
        <v/>
      </c>
      <c r="N491" s="8" t="str">
        <f t="shared" ca="1" si="56"/>
        <v/>
      </c>
      <c r="O491" t="b" cm="1">
        <f t="array" aca="1" ref="O491" ca="1">IF(NOT(ISBLANK(INDIRECT("SEM_III!L"&amp;INT((ROW(O491)-15)/17)+6))),3,IF(NOT(ISBLANK(INDIRECT("SEM_III!O"&amp;INT((ROW(O491)-15)/17)+6))),4))</f>
        <v>0</v>
      </c>
      <c r="P491" s="1" t="str">
        <f ca="1">IF(ISERROR(F484),"",IF(ISTEXT(VLOOKUP(B484,INDIRECT($F$8),6+(O491-1)*3)),(VLOOKUP(B484,INDIRECT($F$8),6+(O491-1)*3)),SUM(VLOOKUP(B484,INDIRECT($F$8),6+(O491-1)*3),IF(W497,W491,0))))</f>
        <v/>
      </c>
      <c r="Q491" s="1" t="str">
        <f ca="1">IF(ISERROR(F484),"",VLOOKUP(B484,INDIRECT($F$8),7+(O491-1)*3))</f>
        <v/>
      </c>
      <c r="R491" s="1" t="str">
        <f ca="1">IF(ISERROR(F484),"",SUM(P491:Q491))</f>
        <v/>
      </c>
      <c r="S491" s="1" t="str">
        <f ca="1">IF(ISERROR(F484),"",VLOOKUP(A484,INDIRECT($F$8),6+(O491-1)*3))</f>
        <v/>
      </c>
      <c r="T491" s="1" t="str">
        <f ca="1">IF(ISERROR(F484),"",VLOOKUP(A484,INDIRECT($F$8),7+(O491-1)*3))</f>
        <v/>
      </c>
      <c r="U491" s="1" t="str">
        <f ca="1">IF(ISERROR(F484),"",VLOOKUP(A484,INDIRECT($F$8),8+(O491-1)*3))</f>
        <v/>
      </c>
      <c r="V491" s="1" t="str">
        <f ca="1">IF(ISERROR(F484),"",IF(N491=0,A491,""))</f>
        <v/>
      </c>
      <c r="W491" s="1" t="str">
        <f ca="1">IF(ISERROR(F484),"",IF(ISTEXT(VLOOKUP(B484,INDIRECT($F$8),6+(O491-1)*3)),11,IF(VLOOKUP(B484,INDIRECT($F$8),6+(O491-1)*3)&lt;S491*0.3,IF(VLOOKUP(B484,INDIRECT($F$8),8+(O491-1)*3)&lt;U491*0.4,IF(AND(0.4*U491-VLOOKUP(B484,INDIRECT($F$8),8+(O491-1)*3)&lt;=5,0.3*S491-VLOOKUP(B484,INDIRECT($F$8),6+(O491-1)*3)&lt;=5),MAX(0.4*U491-VLOOKUP(B484,INDIRECT($F$8),8+(O491-1)*3),0.3*S491-VLOOKUP(B484,INDIRECT($F$8),6+(O491-1)*3)),11),IF(0.3*S491-VLOOKUP(B484,INDIRECT($F$8),6+(O491-1)*3)&lt;=5,0.3*S491-VLOOKUP(B484,INDIRECT($F$8),6+(O491-1)*3),11)),IF(VLOOKUP(B484,INDIRECT($F$8),8+(O491-1)*3)&lt;U491*0.4,IF(U491*0.4-VLOOKUP(B484,INDIRECT($F$8),8+(O491-1)*3)&lt;=5,U491*0.4-VLOOKUP(B484,INDIRECT($F$8),8+(O491-1)*3),11),0))))</f>
        <v/>
      </c>
      <c r="X491" s="1" t="str">
        <f ca="1">IF(ISERROR(F484),"",IF(W491=0,"",_xlfn.TEXTJOIN("",FALSE," G+",W491," in ",A491)))</f>
        <v/>
      </c>
    </row>
    <row r="492" spans="1:24" ht="14.25" customHeight="1" x14ac:dyDescent="0.2">
      <c r="A492" s="7" t="str">
        <f ca="1">IF(ISERROR(F484),"",VLOOKUP(C484,INDIRECT($F$8),6+(O492-1)*3,0))</f>
        <v/>
      </c>
      <c r="B492" s="41" t="str">
        <f ca="1">IF(ISERROR(F484),"",VLOOKUP(D484,INDIRECT($F$8),6+(O492-1)*3,0))</f>
        <v/>
      </c>
      <c r="C492" s="41"/>
      <c r="D492" s="41"/>
      <c r="E492" s="41"/>
      <c r="F492" s="7" t="str">
        <f ca="1">IF(ISERROR(F484),"",VLOOKUP(E484,INDIRECT($F$8),6+(O492-1)*3,0))</f>
        <v/>
      </c>
      <c r="G492" s="42" t="str">
        <f ca="1">IF(ISERROR(F484),"",_xlfn.TEXTJOIN("/",FALSE,P492,S492))</f>
        <v/>
      </c>
      <c r="H492" s="42"/>
      <c r="I492" s="42" t="str">
        <f ca="1">IF(ISERROR(F484),"",_xlfn.TEXTJOIN("/",FALSE,Q492,T492))</f>
        <v/>
      </c>
      <c r="J492" s="42"/>
      <c r="K492" s="42" t="str">
        <f ca="1">IF(ISERROR(F484),"",_xlfn.TEXTJOIN("/",FALSE,R492,U492))</f>
        <v/>
      </c>
      <c r="L492" s="42"/>
      <c r="M492" s="7" t="str">
        <f ca="1">IF(ISERROR(F484),"",IF(ISTEXT(P492),IF(P492="A","Ab",IF(P492="D","Dt",IF(P492="UFM","UFM",IF(P492="NA","")))),IF(AND(ISBLANK(P492),ISBLANK(R492)),"",IF(P492&lt;0.3*S492,"F",IF(ISBLANK(R492),"",IF(ISTEXT(R492),R492,IF(R492&gt;=0.9*U492,"O",IF(R492&gt;=0.85*U492,"A+",IF(R492&gt;=0.8*U492,"A",IF(R492&gt;=0.7*U492,"B+",IF(R492&gt;=0.6*U492,"B",IF(R492&gt;=0.5*U492,"C",IF(R492&gt;=0.4*U492,"P",IF(R492&lt;0.4*U492,"F",R492))))))))))))))</f>
        <v/>
      </c>
      <c r="N492" s="8" t="str">
        <f t="shared" ca="1" si="56"/>
        <v/>
      </c>
      <c r="O492" t="b" cm="1">
        <f t="array" aca="1" ref="O492" ca="1">IF(NOT(ISBLANK(INDIRECT("SEM_III!R"&amp;INT((ROW(O492)-16)/17)+6))),5,IF(NOT(ISBLANK(INDIRECT("SEM_III!U"&amp;INT((ROW(O492)-16)/17)+6))),6))</f>
        <v>0</v>
      </c>
      <c r="P492" s="1" t="str">
        <f ca="1">IF(ISERROR(F484),"",IF(ISTEXT(VLOOKUP(B484,INDIRECT($F$8),6+(O492-1)*3)),(VLOOKUP(B484,INDIRECT($F$8),6+(O492-1)*3)),SUM(VLOOKUP(B484,INDIRECT($F$8),6+(O492-1)*3),IF(W497,W492,0))))</f>
        <v/>
      </c>
      <c r="Q492" s="1" t="str">
        <f ca="1">IF(ISERROR(F484),"",VLOOKUP(B484,INDIRECT($F$8),7+(O492-1)*3))</f>
        <v/>
      </c>
      <c r="R492" s="1" t="str">
        <f ca="1">IF(ISERROR(F484),"",SUM(P492:Q492))</f>
        <v/>
      </c>
      <c r="S492" s="1" t="str">
        <f ca="1">IF(ISERROR(F484),"",VLOOKUP(A484,INDIRECT($F$8),6+(O492-1)*3))</f>
        <v/>
      </c>
      <c r="T492" s="1" t="str">
        <f ca="1">IF(ISERROR(F484),"",VLOOKUP(A484,INDIRECT($F$8),7+(O492-1)*3))</f>
        <v/>
      </c>
      <c r="U492" s="1" t="str">
        <f ca="1">IF(ISERROR(F484),"",VLOOKUP(A484,INDIRECT($F$8),8+(O492-1)*3))</f>
        <v/>
      </c>
      <c r="V492" s="1" t="str">
        <f ca="1">IF(ISERROR(F484),"",IF(N492=0,A492,""))</f>
        <v/>
      </c>
      <c r="W492" s="1" t="str">
        <f ca="1">IF(ISERROR(F484),"",IF(ISTEXT(VLOOKUP(B484,INDIRECT($F$8),6+(O492-1)*3)),11,IF(VLOOKUP(B484,INDIRECT($F$8),6+(O492-1)*3)&lt;S492*0.3,IF(VLOOKUP(B484,INDIRECT($F$8),8+(O492-1)*3)&lt;U492*0.4,IF(AND(0.4*U492-VLOOKUP(B484,INDIRECT($F$8),8+(O492-1)*3)&lt;=5,0.3*S492-VLOOKUP(B484,INDIRECT($F$8),6+(O492-1)*3)&lt;=5),MAX(0.4*U492-VLOOKUP(B484,INDIRECT($F$8),8+(O492-1)*3),0.3*S492-VLOOKUP(B484,INDIRECT($F$8),6+(O492-1)*3)),11),IF(0.3*S492-VLOOKUP(B484,INDIRECT($F$8),6+(O492-1)*3)&lt;=5,0.3*S492-VLOOKUP(B484,INDIRECT($F$8),6+(O492-1)*3),11)),IF(VLOOKUP(B484,INDIRECT($F$8),8+(O492-1)*3)&lt;U492*0.4,IF(U492*0.4-VLOOKUP(B484,INDIRECT($F$8),8+(O492-1)*3)&lt;=5,U492*0.4-VLOOKUP(B484,INDIRECT($F$8),8+(O492-1)*3),11),0))))</f>
        <v/>
      </c>
      <c r="X492" s="1" t="str">
        <f ca="1">IF(ISERROR(F484),"",IF(W492=0,"",_xlfn.TEXTJOIN("",FALSE," G+",W492," in ",A492)))</f>
        <v/>
      </c>
    </row>
    <row r="493" spans="1:24" ht="14.25" customHeight="1" x14ac:dyDescent="0.2">
      <c r="A493" s="7" t="str">
        <f ca="1">IF(ISERROR(F484),"",VLOOKUP(C484,INDIRECT($F$8),6+(O493-1)*3,0))</f>
        <v/>
      </c>
      <c r="B493" s="41" t="str">
        <f ca="1">IF(ISERROR(F484),"",VLOOKUP(D484,INDIRECT($F$8),6+(O493-1)*3,0))</f>
        <v/>
      </c>
      <c r="C493" s="41"/>
      <c r="D493" s="41"/>
      <c r="E493" s="41"/>
      <c r="F493" s="7" t="str">
        <f ca="1">IF(ISERROR(F484),"",VLOOKUP(E484,INDIRECT($F$8),6+(O493-1)*3,0))</f>
        <v/>
      </c>
      <c r="G493" s="42" t="str">
        <f ca="1">IF(ISERROR(F484),"",_xlfn.TEXTJOIN("/",FALSE,P493,S493))</f>
        <v/>
      </c>
      <c r="H493" s="42"/>
      <c r="I493" s="42" t="str">
        <f ca="1">IF(ISERROR(F484),"",_xlfn.TEXTJOIN("/",FALSE,Q493,T493))</f>
        <v/>
      </c>
      <c r="J493" s="42"/>
      <c r="K493" s="42" t="str">
        <f ca="1">IF(ISERROR(F484),"",_xlfn.TEXTJOIN("/",FALSE,R493,U493))</f>
        <v/>
      </c>
      <c r="L493" s="42"/>
      <c r="M493" s="7" t="str">
        <f ca="1">IF(ISERROR(F484),"",IF(ISTEXT(P493),IF(P493="A","Ab",IF(P493="D","Dt",IF(P493="UFM","UFM",IF(P493="NA","")))),IF(AND(ISBLANK(P493),ISBLANK(R493)),"",IF(P493&lt;0.3*S493,"F",IF(ISBLANK(R493),"",IF(ISTEXT(R493),R493,IF(R493&gt;=0.9*U493,"O",IF(R493&gt;=0.85*U493,"A+",IF(R493&gt;=0.8*U493,"A",IF(R493&gt;=0.7*U493,"B+",IF(R493&gt;=0.6*U493,"B",IF(R493&gt;=0.5*U493,"C",IF(R493&gt;=0.4*U493,"P",IF(R493&lt;0.4*U493,"F",R493))))))))))))))</f>
        <v/>
      </c>
      <c r="N493" s="8" t="str">
        <f t="shared" ca="1" si="56"/>
        <v/>
      </c>
      <c r="O493">
        <f ca="1">IF(O492&gt;0,7,"")</f>
        <v>7</v>
      </c>
      <c r="P493" s="1" t="str">
        <f ca="1">IF(ISERROR(F484),"",IF(ISTEXT(VLOOKUP(B484,INDIRECT($F$8),6+(O493-1)*3)),(VLOOKUP(B484,INDIRECT($F$8),6+(O493-1)*3)),SUM(VLOOKUP(B484,INDIRECT($F$8),6+(O493-1)*3),IF(W497,W493,0))))</f>
        <v/>
      </c>
      <c r="Q493" s="1" t="str">
        <f ca="1">IF(ISERROR(F484),"",VLOOKUP(B484,INDIRECT($F$8),7+(O493-1)*3))</f>
        <v/>
      </c>
      <c r="R493" s="1" t="str">
        <f ca="1">IF(ISERROR(F484),"",SUM(P493:Q493))</f>
        <v/>
      </c>
      <c r="S493" s="1" t="str">
        <f ca="1">IF(ISERROR(F484),"",VLOOKUP(A484,INDIRECT($F$8),6+(O493-1)*3))</f>
        <v/>
      </c>
      <c r="T493" s="1" t="str">
        <f ca="1">IF(ISERROR(F484),"",VLOOKUP(A484,INDIRECT($F$8),7+(O493-1)*3))</f>
        <v/>
      </c>
      <c r="U493" s="1" t="str">
        <f ca="1">IF(ISERROR(F484),"",VLOOKUP(A484,INDIRECT($F$8),8+(O493-1)*3))</f>
        <v/>
      </c>
      <c r="V493" s="1" t="str">
        <f ca="1">IF(ISERROR(F484),"",IF(N493=0,A493,""))</f>
        <v/>
      </c>
      <c r="W493" s="1" t="str">
        <f ca="1">IF(ISERROR(F484),"",IF(ISTEXT(VLOOKUP(B484,INDIRECT($F$8),6+(O493-1)*3)),11,IF(VLOOKUP(B484,INDIRECT($F$8),6+(O493-1)*3)&lt;S493*0.3,IF(VLOOKUP(B484,INDIRECT($F$8),8+(O493-1)*3)&lt;U493*0.4,IF(AND(0.4*U493-VLOOKUP(B484,INDIRECT($F$8),8+(O493-1)*3)&lt;=5,0.3*S493-VLOOKUP(B484,INDIRECT($F$8),6+(O493-1)*3)&lt;=5),MAX(0.4*U493-VLOOKUP(B484,INDIRECT($F$8),8+(O493-1)*3),0.3*S493-VLOOKUP(B484,INDIRECT($F$8),6+(O493-1)*3)),11),IF(0.3*S493-VLOOKUP(B484,INDIRECT($F$8),6+(O493-1)*3)&lt;=5,0.3*S493-VLOOKUP(B484,INDIRECT($F$8),6+(O493-1)*3),11)),IF(VLOOKUP(B484,INDIRECT($F$8),8+(O493-1)*3)&lt;U493*0.4,IF(U493*0.4-VLOOKUP(B484,INDIRECT($F$8),8+(O493-1)*3)&lt;=5,U493*0.4-VLOOKUP(B484,INDIRECT($F$8),8+(O493-1)*3),11),0))))</f>
        <v/>
      </c>
      <c r="X493" s="1" t="str">
        <f ca="1">IF(ISERROR(F484),"",IF(W493=0,"",_xlfn.TEXTJOIN("",FALSE," G+",W493," in ",A493)))</f>
        <v/>
      </c>
    </row>
    <row r="494" spans="1:24" ht="14.25" customHeight="1" x14ac:dyDescent="0.2">
      <c r="A494" s="7" t="str">
        <f ca="1">IF(ISERROR(F484),"",VLOOKUP(C484,INDIRECT($F$8),6+(O494-1)*3,0))</f>
        <v/>
      </c>
      <c r="B494" s="41" t="str">
        <f ca="1">IF(ISERROR(F484),"",VLOOKUP(D484,INDIRECT($F$8),6+(O494-1)*3,0))</f>
        <v/>
      </c>
      <c r="C494" s="41"/>
      <c r="D494" s="41"/>
      <c r="E494" s="41"/>
      <c r="F494" s="7" t="str">
        <f ca="1">IF(ISERROR(F484),"",VLOOKUP(E484,INDIRECT($F$8),6+(O494-1)*3,0))</f>
        <v/>
      </c>
      <c r="G494" s="42" t="str">
        <f ca="1">IF(ISERROR(F484),"",_xlfn.TEXTJOIN("/",FALSE,P494,S494))</f>
        <v/>
      </c>
      <c r="H494" s="42"/>
      <c r="I494" s="42" t="str">
        <f ca="1">IF(ISERROR(F484),"",_xlfn.TEXTJOIN("/",FALSE,Q494,T494))</f>
        <v/>
      </c>
      <c r="J494" s="42"/>
      <c r="K494" s="42" t="str">
        <f ca="1">IF(ISERROR(F484),"",_xlfn.TEXTJOIN("/",FALSE,R494,U494))</f>
        <v/>
      </c>
      <c r="L494" s="42"/>
      <c r="M494" s="7" t="str">
        <f ca="1">IF(ISERROR(F484),"",IF(ISTEXT(P494),IF(P494="A","Ab",IF(P494="D","Dt",IF(P494="UFM","UFM",IF(P494="NA","")))),IF(AND(ISBLANK(P494),ISBLANK(R494)),"",IF(P494&lt;0.3*S494,"F",IF(ISBLANK(R494),"",IF(ISTEXT(R494),R494,IF(R494&gt;=0.9*U494,"O",IF(R494&gt;=0.85*U494,"A+",IF(R494&gt;=0.8*U494,"A",IF(R494&gt;=0.7*U494,"B+",IF(R494&gt;=0.6*U494,"B",IF(R494&gt;=0.5*U494,"C",IF(R494&gt;=0.4*U494,"P",IF(R494&lt;0.4*U494,"F",R494))))))))))))))</f>
        <v/>
      </c>
      <c r="N494" s="8" t="str">
        <f t="shared" ca="1" si="56"/>
        <v/>
      </c>
      <c r="O494">
        <f t="shared" ref="O494:O496" ca="1" si="57">O493+1</f>
        <v>8</v>
      </c>
      <c r="P494" s="1" t="str">
        <f ca="1">IF(ISERROR(F484),"",IF(ISTEXT(VLOOKUP(B484,INDIRECT($F$8),6+(O494-1)*3)),(VLOOKUP(B484,INDIRECT($F$8),6+(O494-1)*3)),SUM(VLOOKUP(B484,INDIRECT($F$8),6+(O494-1)*3),IF(W497,W494,0))))</f>
        <v/>
      </c>
      <c r="Q494" s="1" t="str">
        <f ca="1">IF(ISERROR(F484),"",VLOOKUP(B484,INDIRECT($F$8),7+(O494-1)*3))</f>
        <v/>
      </c>
      <c r="R494" s="1" t="str">
        <f ca="1">IF(ISERROR(F484),"",SUM(P494:Q494))</f>
        <v/>
      </c>
      <c r="S494" s="1" t="str">
        <f ca="1">IF(ISERROR(F484),"",VLOOKUP(A484,INDIRECT($F$8),6+(O494-1)*3))</f>
        <v/>
      </c>
      <c r="T494" s="1" t="str">
        <f ca="1">IF(ISERROR(F484),"",VLOOKUP(A484,INDIRECT($F$8),7+(O494-1)*3))</f>
        <v/>
      </c>
      <c r="U494" s="1" t="str">
        <f ca="1">IF(ISERROR(F484),"",VLOOKUP(A484,INDIRECT($F$8),8+(O494-1)*3))</f>
        <v/>
      </c>
      <c r="V494" s="1" t="str">
        <f ca="1">IF(ISERROR(F484),"",IF(N494=0,A494,""))</f>
        <v/>
      </c>
      <c r="W494" s="1" t="str">
        <f ca="1">IF(ISERROR(F484),"",IF(ISTEXT(VLOOKUP(B484,INDIRECT($F$8),6+(O494-1)*3)),11,IF(VLOOKUP(B484,INDIRECT($F$8),6+(O494-1)*3)&lt;S494*0.3,IF(VLOOKUP(B484,INDIRECT($F$8),8+(O494-1)*3)&lt;U494*0.4,IF(AND(0.4*U494-VLOOKUP(B484,INDIRECT($F$8),8+(O494-1)*3)&lt;=5,0.3*S494-VLOOKUP(B484,INDIRECT($F$8),6+(O494-1)*3)&lt;=5),MAX(0.4*U494-VLOOKUP(B484,INDIRECT($F$8),8+(O494-1)*3),0.3*S494-VLOOKUP(B484,INDIRECT($F$8),6+(O494-1)*3)),11),IF(0.3*S494-VLOOKUP(B484,INDIRECT($F$8),6+(O494-1)*3)&lt;=5,0.3*S494-VLOOKUP(B484,INDIRECT($F$8),6+(O494-1)*3),11)),IF(VLOOKUP(B484,INDIRECT($F$8),8+(O494-1)*3)&lt;U494*0.4,IF(U494*0.4-VLOOKUP(B484,INDIRECT($F$8),8+(O494-1)*3)&lt;=5,U494*0.4-VLOOKUP(B484,INDIRECT($F$8),8+(O494-1)*3),11),0))))</f>
        <v/>
      </c>
      <c r="X494" s="1" t="str">
        <f ca="1">IF(ISERROR(F484),"",IF(W494=0,"",_xlfn.TEXTJOIN("",FALSE," G+",W494," in ",A494)))</f>
        <v/>
      </c>
    </row>
    <row r="495" spans="1:24" ht="14.25" customHeight="1" x14ac:dyDescent="0.2">
      <c r="A495" s="7" t="str">
        <f ca="1">IF(ISERROR(F484),"",VLOOKUP(C484,INDIRECT($F$8),6+(O495-1)*3,0))</f>
        <v/>
      </c>
      <c r="B495" s="41" t="str">
        <f ca="1">IF(ISERROR(F484),"",VLOOKUP(D484,INDIRECT($F$8),6+(O495-1)*3,0))</f>
        <v/>
      </c>
      <c r="C495" s="41"/>
      <c r="D495" s="41"/>
      <c r="E495" s="41"/>
      <c r="F495" s="7" t="str">
        <f ca="1">IF(ISERROR(F484),"",VLOOKUP(E484,INDIRECT($F$8),6+(O495-1)*3,0))</f>
        <v/>
      </c>
      <c r="G495" s="42" t="str">
        <f ca="1">IF(ISERROR(F484),"",_xlfn.TEXTJOIN("/",FALSE,P495,S495))</f>
        <v/>
      </c>
      <c r="H495" s="42"/>
      <c r="I495" s="42" t="str">
        <f ca="1">IF(ISERROR(F484),"",_xlfn.TEXTJOIN("/",FALSE,Q495,T495))</f>
        <v/>
      </c>
      <c r="J495" s="42"/>
      <c r="K495" s="42" t="str">
        <f ca="1">IF(ISERROR(F484),"",_xlfn.TEXTJOIN("/",FALSE,R495,U495))</f>
        <v/>
      </c>
      <c r="L495" s="42"/>
      <c r="M495" s="7" t="str">
        <f ca="1">IF(ISERROR(F484),"",IF(ISTEXT(P495),IF(P495="A","Ab",IF(P495="D","Dt",IF(P495="UFM","UFM",IF(P495="NA","")))),IF(AND(ISBLANK(P495),ISBLANK(R495)),"",IF(P495&lt;0.3*S495,"F",IF(ISBLANK(R495),"",IF(ISTEXT(R495),R495,IF(R495&gt;=0.9*U495,"O",IF(R495&gt;=0.85*U495,"A+",IF(R495&gt;=0.8*U495,"A",IF(R495&gt;=0.7*U495,"B+",IF(R495&gt;=0.6*U495,"B",IF(R495&gt;=0.5*U495,"C",IF(R495&gt;=0.4*U495,"P",IF(R495&lt;0.4*U495,"F",R495))))))))))))))</f>
        <v/>
      </c>
      <c r="N495" s="8" t="str">
        <f t="shared" ca="1" si="56"/>
        <v/>
      </c>
      <c r="O495">
        <f t="shared" ca="1" si="57"/>
        <v>9</v>
      </c>
      <c r="P495" s="1" t="str">
        <f ca="1">IF(ISERROR(F484),"",IF(ISTEXT(VLOOKUP(B484,INDIRECT($F$8),6+(O495-1)*3)),(VLOOKUP(B484,INDIRECT($F$8),6+(O495-1)*3)),SUM(VLOOKUP(B484,INDIRECT($F$8),6+(O495-1)*3),IF(W497,W495,0))))</f>
        <v/>
      </c>
      <c r="Q495" s="1" t="str">
        <f ca="1">IF(ISERROR(F484),"",VLOOKUP(B484,INDIRECT($F$8),7+(O495-1)*3))</f>
        <v/>
      </c>
      <c r="R495" s="1" t="str">
        <f ca="1">IF(ISERROR(F484),"",SUM(P495:Q495))</f>
        <v/>
      </c>
      <c r="S495" s="1" t="str">
        <f ca="1">IF(ISERROR(F484),"",VLOOKUP(A484,INDIRECT($F$8),6+(O495-1)*3))</f>
        <v/>
      </c>
      <c r="T495" s="1" t="str">
        <f ca="1">IF(ISERROR(F484),"",VLOOKUP(A484,INDIRECT($F$8),7+(O495-1)*3))</f>
        <v/>
      </c>
      <c r="U495" s="1" t="str">
        <f ca="1">IF(ISERROR(F484),"",VLOOKUP(A484,INDIRECT($F$8),8+(O495-1)*3))</f>
        <v/>
      </c>
      <c r="V495" s="1" t="str">
        <f ca="1">IF(ISERROR(F484),"",IF(N495=0,A495,""))</f>
        <v/>
      </c>
      <c r="W495" s="1" t="str">
        <f ca="1">IF(ISERROR(F484),"",IF(ISTEXT(VLOOKUP(B484,INDIRECT($F$8),6+(O495-1)*3)),11,IF(VLOOKUP(B484,INDIRECT($F$8),6+(O495-1)*3)&lt;S495*0.3,IF(VLOOKUP(B484,INDIRECT($F$8),8+(O495-1)*3)&lt;U495*0.4,IF(AND(0.4*U495-VLOOKUP(B484,INDIRECT($F$8),8+(O495-1)*3)&lt;=5,0.3*S495-VLOOKUP(B484,INDIRECT($F$8),6+(O495-1)*3)&lt;=5),MAX(0.4*U495-VLOOKUP(B484,INDIRECT($F$8),8+(O495-1)*3),0.3*S495-VLOOKUP(B484,INDIRECT($F$8),6+(O495-1)*3)),11),IF(0.3*S495-VLOOKUP(B484,INDIRECT($F$8),6+(O495-1)*3)&lt;=5,0.3*S495-VLOOKUP(B484,INDIRECT($F$8),6+(O495-1)*3),11)),IF(VLOOKUP(B484,INDIRECT($F$8),8+(O495-1)*3)&lt;U495*0.4,IF(U495*0.4-VLOOKUP(B484,INDIRECT($F$8),8+(O495-1)*3)&lt;=5,U495*0.4-VLOOKUP(B484,INDIRECT($F$8),8+(O495-1)*3),11),0))))</f>
        <v/>
      </c>
      <c r="X495" s="1" t="str">
        <f ca="1">IF(ISERROR(F484),"",IF(W495=0,"",_xlfn.TEXTJOIN("",FALSE," G+",W495," in ",A495)))</f>
        <v/>
      </c>
    </row>
    <row r="496" spans="1:24" ht="14.25" customHeight="1" x14ac:dyDescent="0.2">
      <c r="A496" s="7" t="str">
        <f ca="1">IF(ISERROR(F484),"",VLOOKUP(C484,INDIRECT($F$8),6+(O496-1)*3,0))</f>
        <v/>
      </c>
      <c r="B496" s="41" t="str">
        <f ca="1">IF(ISERROR(F484),"",VLOOKUP(D484,INDIRECT($F$8),6+(O496-1)*3-Z496,0))</f>
        <v/>
      </c>
      <c r="C496" s="41"/>
      <c r="D496" s="41"/>
      <c r="E496" s="41"/>
      <c r="F496" s="7" t="str">
        <f ca="1">IF(ISERROR(F484),"",VLOOKUP(E484,INDIRECT($F$8),6+(O496-1)*3,0))</f>
        <v/>
      </c>
      <c r="G496" s="42" t="str">
        <f ca="1">IF(ISERROR(F484),"",_xlfn.TEXTJOIN("/",FALSE,P496,S496))</f>
        <v/>
      </c>
      <c r="H496" s="42"/>
      <c r="I496" s="42" t="str">
        <f ca="1">IF(ISERROR(F484),"",_xlfn.TEXTJOIN("/",FALSE,Q496,T496))</f>
        <v/>
      </c>
      <c r="J496" s="42"/>
      <c r="K496" s="42" t="str">
        <f ca="1">IF(ISERROR(F484),"",_xlfn.TEXTJOIN("/",FALSE,R496,U496))</f>
        <v/>
      </c>
      <c r="L496" s="42"/>
      <c r="M496" s="7" t="str">
        <f ca="1">IF(ISERROR(F484),"",IF(ISTEXT(P496),IF(P496="A","Ab",IF(P496="D","Dt",IF(P496="UFM","UFM",IF(P496="NA","")))),IF(AND(ISBLANK(P496),ISBLANK(R496)),"",IF(P496&lt;0.3*S496,"F",IF(ISBLANK(R496),"",IF(ISTEXT(R496),R496,IF(R496&gt;=0.9*U496,"O",IF(R496&gt;=0.85*U496,"A+",IF(R496&gt;=0.8*U496,"A",IF(R496&gt;=0.7*U496,"B+",IF(R496&gt;=0.6*U496,"B",IF(R496&gt;=0.5*U496,"C",IF(R496&gt;=0.4*U496,"P",IF(R496&lt;0.4*U496,"F",R496))))))))))))))</f>
        <v/>
      </c>
      <c r="N496" s="8" t="str">
        <f t="shared" ca="1" si="56"/>
        <v/>
      </c>
      <c r="O496">
        <f t="shared" ca="1" si="57"/>
        <v>10</v>
      </c>
      <c r="P496" s="1" t="str">
        <f ca="1">IF(ISERROR(F484),"",IF(ISTEXT(VLOOKUP(B484,INDIRECT($F$8),6+(O496-1)*3)),(VLOOKUP(B484,INDIRECT($F$8),6+(O496-1)*3)),SUM(VLOOKUP(B484,INDIRECT($F$8),6+(O496-1)*3),IF(W497,W496,0))))</f>
        <v/>
      </c>
      <c r="Q496" s="1" t="str">
        <f ca="1">IF(ISERROR(F484),"",VLOOKUP(B484,INDIRECT($F$8),7+(O496-1)*3))</f>
        <v/>
      </c>
      <c r="R496" s="1" t="str">
        <f ca="1">IF(ISERROR(F484),"",SUM(P496:Q496))</f>
        <v/>
      </c>
      <c r="S496" s="1" t="str">
        <f ca="1">IF(ISERROR(F484),"",VLOOKUP(A484,INDIRECT($F$8),6+(O496-1)*3))</f>
        <v/>
      </c>
      <c r="T496" s="1" t="str">
        <f ca="1">IF(ISERROR(F484),"",VLOOKUP(A484,INDIRECT($F$8),7+(O496-1)*3))</f>
        <v/>
      </c>
      <c r="U496" s="1" t="str">
        <f ca="1">IF(ISERROR(F484),"",VLOOKUP(A484,INDIRECT($F$8),8+(O496-1)*3))</f>
        <v/>
      </c>
      <c r="V496" s="1" t="str">
        <f ca="1">IF(ISERROR(F484),"",IF(N496=0,A496,""))</f>
        <v/>
      </c>
      <c r="W496" s="1" t="str">
        <f ca="1">IF(ISERROR(F484),"",IF(ISTEXT(VLOOKUP(B484,INDIRECT($F$8),6+(O496-1)*3)),11,IF(VLOOKUP(B484,INDIRECT($F$8),6+(O496-1)*3)&lt;S496*0.3,IF(VLOOKUP(B484,INDIRECT($F$8),8+(O496-1)*3)&lt;U496*0.4,IF(AND(0.4*U496-VLOOKUP(B484,INDIRECT($F$8),8+(O496-1)*3)&lt;=5,0.3*S496-VLOOKUP(B484,INDIRECT($F$8),6+(O496-1)*3)&lt;=5),MAX(0.4*U496-VLOOKUP(B484,INDIRECT($F$8),8+(O496-1)*3),0.3*S496-VLOOKUP(B484,INDIRECT($F$8),6+(O496-1)*3)),11),IF(0.3*S496-VLOOKUP(B484,INDIRECT($F$8),6+(O496-1)*3)&lt;=5,0.3*S496-VLOOKUP(B484,INDIRECT($F$8),6+(O496-1)*3),11)),IF(VLOOKUP(B484,INDIRECT($F$8),8+(O496-1)*3)&lt;U496*0.4,IF(U496*0.4-VLOOKUP(B484,INDIRECT($F$8),8+(O496-1)*3)&lt;=5,U496*0.4-VLOOKUP(B484,INDIRECT($F$8),8+(O496-1)*3),11),0))))</f>
        <v/>
      </c>
      <c r="X496" s="1" t="str">
        <f ca="1">IF(ISERROR(F484),"",IF(W496=0,"",_xlfn.TEXTJOIN("",FALSE," G+",W496," in ",A496)))</f>
        <v/>
      </c>
    </row>
    <row r="497" spans="1:24" ht="14.25" customHeight="1" x14ac:dyDescent="0.2">
      <c r="A497" s="43" t="str">
        <f ca="1">IF(ISERROR(F484),"",A480)</f>
        <v/>
      </c>
      <c r="B497" s="43"/>
      <c r="C497" s="43"/>
      <c r="D497" s="43"/>
      <c r="E497" s="43"/>
      <c r="F497" s="10" t="str">
        <f ca="1">IF(ISERROR(F484),"",SUM(F489:F496))</f>
        <v/>
      </c>
      <c r="G497" s="44" t="str">
        <f ca="1">IF(ISERROR(F484),"",_xlfn.TEXTJOIN("/",TRUE,SUMIF(F489:F496,"&gt;0",P489:P496),SUMIF(F489:F496,"&gt;0",S489:S496)))</f>
        <v/>
      </c>
      <c r="H497" s="44"/>
      <c r="I497" s="44" t="str">
        <f ca="1">IF(ISERROR(F484),"",_xlfn.TEXTJOIN("/",TRUE,SUMIF(F489:F496,"&gt;0",Q489:Q496),SUMIF(F489:F496,"&gt;0",T489:T496)))</f>
        <v/>
      </c>
      <c r="J497" s="44"/>
      <c r="K497" s="44" t="str">
        <f ca="1">IF(ISERROR(F484),"",_xlfn.TEXTJOIN("/",TRUE,SUMIF(F489:F496,"&gt;0",R489:R496),SUMIF(F489:F496,"&gt;0",U489:U496)))</f>
        <v/>
      </c>
      <c r="L497" s="44"/>
      <c r="M497" s="43" t="str">
        <f ca="1">IF(ISERROR(F484),"",SUMPRODUCT(N489:N496,F489:F496))</f>
        <v/>
      </c>
      <c r="N497" s="43"/>
      <c r="V497" s="1" t="str">
        <f ca="1">IF(ISERROR(F484),"",_xlfn.TEXTJOIN(", ",TRUE,V489:V496))</f>
        <v/>
      </c>
      <c r="W497" t="str">
        <f ca="1">IF(ISERROR(F484),"",IF(SUM(W489:W496)&lt;=W488,TRUE,FALSE))</f>
        <v/>
      </c>
      <c r="X497" s="1" t="str">
        <f ca="1">IF(ISERROR(F484),"",_xlfn.TEXTJOIN(",",TRUE,X489:X496))</f>
        <v/>
      </c>
    </row>
    <row r="498" spans="1:24" ht="14.25" customHeight="1" x14ac:dyDescent="0.2">
      <c r="A498" s="43" t="str">
        <f ca="1">IF(ISERROR(F484),"",A481)</f>
        <v/>
      </c>
      <c r="B498" s="45" t="str">
        <f ca="1">IF(ISERROR(F484),"",IF(V497="","PASS","CARRY OVER"))</f>
        <v/>
      </c>
      <c r="C498" s="45"/>
      <c r="D498" s="43" t="str">
        <f ca="1">IF(ISERROR(F484),"",D481)</f>
        <v/>
      </c>
      <c r="E498" s="45" t="str">
        <f ca="1">IF(ISERROR(F484),"",IF(V497="",IF(X497="","",X497),_xlfn.TEXTJOIN(" ",TRUE,"BACK IN",V497)))</f>
        <v/>
      </c>
      <c r="F498" s="45"/>
      <c r="G498" s="43" t="str">
        <f ca="1">IF(ISERROR(F484),"",G481)</f>
        <v/>
      </c>
      <c r="H498" s="46" t="str">
        <f ca="1">IF(ISERROR(F484),"",M497/F497)</f>
        <v/>
      </c>
      <c r="I498" s="43" t="str">
        <f ca="1">IF(ISERROR(F484),"",I481)</f>
        <v/>
      </c>
      <c r="J498" s="46" t="str">
        <f ca="1">IF(ISERROR(F484),"",VLOOKUP(B484,INDIRECT($F$8),12+(O496-1)*3,0))</f>
        <v/>
      </c>
      <c r="K498" s="45" t="str">
        <f ca="1">IF(ISERROR(F484),"",K481)</f>
        <v/>
      </c>
      <c r="L498" s="43" t="str">
        <f ca="1">IF(ISERROR(F484),"",SUMIF(N489:N496,"&gt;0",F489:F496))</f>
        <v/>
      </c>
      <c r="M498" s="45" t="str">
        <f ca="1">IF(ISERROR(F484),"",M481)</f>
        <v/>
      </c>
      <c r="N498" s="43" t="str">
        <f ca="1">IF(ISERROR(F484),"",VLOOKUP(B484,INDIRECT($F$8),10+(O496-1)*3,0))</f>
        <v/>
      </c>
    </row>
    <row r="499" spans="1:24" ht="14.25" customHeight="1" x14ac:dyDescent="0.2">
      <c r="A499" s="43"/>
      <c r="B499" s="45"/>
      <c r="C499" s="45"/>
      <c r="D499" s="43"/>
      <c r="E499" s="45"/>
      <c r="F499" s="45"/>
      <c r="G499" s="43"/>
      <c r="H499" s="46"/>
      <c r="I499" s="43"/>
      <c r="J499" s="46"/>
      <c r="K499" s="45"/>
      <c r="L499" s="43"/>
      <c r="M499" s="45"/>
      <c r="N499" s="43"/>
    </row>
    <row r="500" spans="1:24" ht="14.25" customHeight="1" x14ac:dyDescent="0.2">
      <c r="A500" s="43"/>
      <c r="B500" s="45"/>
      <c r="C500" s="45"/>
      <c r="D500" s="43"/>
      <c r="E500" s="45"/>
      <c r="F500" s="45"/>
      <c r="G500" s="43"/>
      <c r="H500" s="46"/>
      <c r="I500" s="43"/>
      <c r="J500" s="46"/>
      <c r="K500" s="45"/>
      <c r="L500" s="43"/>
      <c r="M500" s="45"/>
      <c r="N500" s="43"/>
    </row>
    <row r="501" spans="1:24" ht="14.25" customHeight="1" x14ac:dyDescent="0.2">
      <c r="A501" s="11" t="str">
        <f>A484</f>
        <v>MM</v>
      </c>
      <c r="B501" s="11">
        <f>B484+1</f>
        <v>30</v>
      </c>
      <c r="C501" s="11" t="str">
        <f>C484</f>
        <v>SC</v>
      </c>
      <c r="D501" s="11" t="str">
        <f>D484</f>
        <v>SN</v>
      </c>
      <c r="E501" s="11" t="str">
        <f>E484</f>
        <v>C</v>
      </c>
      <c r="F501" s="11" t="e">
        <f ca="1">VLOOKUP(B501,INDIRECT($F$8),4,0)</f>
        <v>#N/A</v>
      </c>
    </row>
    <row r="502" spans="1:24" ht="14.25" customHeight="1" x14ac:dyDescent="0.2">
      <c r="A502" s="47" t="str">
        <f ca="1">IF(ISERROR(F501),"",A485)</f>
        <v/>
      </c>
      <c r="B502" s="47" t="str">
        <f ca="1">IFERROR(VLOOKUP(B501,INDIRECT($F$8),4,0),"")</f>
        <v/>
      </c>
      <c r="C502" s="47"/>
      <c r="D502" s="47" t="str">
        <f ca="1">IF(ISERROR(F501),"",D485)</f>
        <v/>
      </c>
      <c r="E502" s="47" t="str">
        <f ca="1">IFERROR(VLOOKUP(B501,INDIRECT($F$8),5,0),"")</f>
        <v/>
      </c>
      <c r="F502" s="47"/>
      <c r="G502" s="47" t="str">
        <f ca="1">IF(ISERROR(F501),"",G485)</f>
        <v/>
      </c>
      <c r="H502" s="47"/>
      <c r="I502" s="48" t="str">
        <f ca="1">IFERROR(VLOOKUP(B501,INDIRECT($F$8),2,0),"")</f>
        <v/>
      </c>
      <c r="J502" s="48"/>
      <c r="K502" s="47" t="str">
        <f ca="1">IF(ISERROR(F501),"",K485)</f>
        <v/>
      </c>
      <c r="L502" s="47"/>
      <c r="M502" s="48" t="str">
        <f ca="1">IFERROR(VLOOKUP(B501,INDIRECT($F$8),3,0),"")</f>
        <v/>
      </c>
      <c r="N502" s="48"/>
    </row>
    <row r="503" spans="1:24" ht="14.25" customHeight="1" x14ac:dyDescent="0.2">
      <c r="A503" s="47"/>
      <c r="B503" s="47"/>
      <c r="C503" s="47"/>
      <c r="D503" s="47"/>
      <c r="E503" s="47"/>
      <c r="F503" s="47"/>
      <c r="G503" s="47"/>
      <c r="H503" s="47"/>
      <c r="I503" s="48"/>
      <c r="J503" s="48"/>
      <c r="K503" s="47"/>
      <c r="L503" s="47"/>
      <c r="M503" s="48"/>
      <c r="N503" s="48"/>
    </row>
    <row r="504" spans="1:24" ht="14.25" customHeight="1" x14ac:dyDescent="0.2">
      <c r="A504" s="45" t="str">
        <f ca="1">IF(ISERROR(F501),"",A487)</f>
        <v/>
      </c>
      <c r="B504" s="45" t="str">
        <f ca="1">IF(ISERROR(F501),"",B487)</f>
        <v/>
      </c>
      <c r="C504" s="45"/>
      <c r="D504" s="45"/>
      <c r="E504" s="45"/>
      <c r="F504" s="45" t="str">
        <f ca="1">IF(ISERROR(F501),"",F487)</f>
        <v/>
      </c>
      <c r="G504" s="45" t="str">
        <f ca="1">IF(ISERROR(F501),"",G487)</f>
        <v/>
      </c>
      <c r="H504" s="45"/>
      <c r="I504" s="45" t="str">
        <f ca="1">IF(ISERROR(F501),"",I487)</f>
        <v/>
      </c>
      <c r="J504" s="45"/>
      <c r="K504" s="45" t="str">
        <f ca="1">IF(ISERROR(F501),"",K487)</f>
        <v/>
      </c>
      <c r="L504" s="45"/>
      <c r="M504" s="45" t="str">
        <f ca="1">IF(ISERROR(F501),"",M487)</f>
        <v/>
      </c>
      <c r="N504" s="45" t="str">
        <f ca="1">IF(ISERROR(F501),"",N487)</f>
        <v/>
      </c>
    </row>
    <row r="505" spans="1:24" ht="14.25" customHeight="1" x14ac:dyDescent="0.2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W505">
        <f ca="1">IF(ISNUMBER(MATCH($F$8,{"I","III","V","VII"},0)),10,10-INDEX(INDIRECT(_xlfn.TEXTJOIN("",TRUE,"SEM_",$G$8,"!",ADDRESS(6,4+$I$8*3+4),":",ADDRESS(5+$H$8,4+$I$8*3+4))),MATCH(INDIRECT(_xlfn.TEXTJOIN("",TRUE,"TC_",$F$8,"!",ADDRESS(ROW(I502),COLUMN(I502)))),INDIRECT(_xlfn.TEXTJOIN("",TRUE,"SEM_",$G$8,"!",ADDRESS(6,2),":",ADDRESS(5+$H$8,2))))))</f>
        <v>10</v>
      </c>
    </row>
    <row r="506" spans="1:24" ht="14.25" customHeight="1" x14ac:dyDescent="0.2">
      <c r="A506" s="7" t="str">
        <f ca="1">IF(ISERROR(F501),"",VLOOKUP(C501,INDIRECT($F$8),6+(O506-1)*3,0))</f>
        <v/>
      </c>
      <c r="B506" s="41" t="str">
        <f ca="1">IF(ISERROR(F501),"",VLOOKUP(D501,INDIRECT($F$8),6+(O506-1)*3,0))</f>
        <v/>
      </c>
      <c r="C506" s="41"/>
      <c r="D506" s="41"/>
      <c r="E506" s="41"/>
      <c r="F506" s="7" t="str">
        <f ca="1">IF(ISERROR(F501),"",VLOOKUP(E501,INDIRECT($F$8),6+(O506-1)*3,0))</f>
        <v/>
      </c>
      <c r="G506" s="42" t="str">
        <f ca="1">IF(ISERROR(F501),"",_xlfn.TEXTJOIN("/",FALSE,P506,S506))</f>
        <v/>
      </c>
      <c r="H506" s="42"/>
      <c r="I506" s="42" t="str">
        <f ca="1">IF(ISERROR(F501),"",_xlfn.TEXTJOIN("/",FALSE,Q506,T506))</f>
        <v/>
      </c>
      <c r="J506" s="42"/>
      <c r="K506" s="42" t="str">
        <f ca="1">IF(ISERROR(F501),"",_xlfn.TEXTJOIN("/",FALSE,R506,U506))</f>
        <v/>
      </c>
      <c r="L506" s="42"/>
      <c r="M506" s="7" t="str">
        <f ca="1">IF(ISERROR(F501),"",IF(ISTEXT(P506),IF(P506="A","Ab",IF(P506="D","Dt",IF(P506="UFM","UFM",IF(P506="NA","")))),IF(AND(ISBLANK(P506),ISBLANK(R506)),"",IF(P506&lt;0.3*S506,"F",IF(ISBLANK(R506),"",IF(ISTEXT(R506),R506,IF(R506&gt;=0.9*U506,"O",IF(R506&gt;=0.85*U506,"A+",IF(R506&gt;=0.8*U506,"A",IF(R506&gt;=0.7*U506,"B+",IF(R506&gt;=0.6*U506,"B",IF(R506&gt;=0.5*U506,"C",IF(R506&gt;=0.4*U506,"P",IF(R506&lt;0.4*U506,"F",R506))))))))))))))</f>
        <v/>
      </c>
      <c r="N506" s="8" t="str">
        <f t="shared" ref="N506:N513" ca="1" si="58">INDEX($Z$2:$Z$13,MATCH(M506,$Y$2:$Y$13,0))</f>
        <v/>
      </c>
      <c r="O506">
        <v>1</v>
      </c>
      <c r="P506" s="1" t="str">
        <f ca="1">IF(ISERROR(F501),"",IF(ISTEXT(VLOOKUP(B501,INDIRECT($F$8),6+(O506-1)*3)),(VLOOKUP(B501,INDIRECT($F$8),6+(O506-1)*3)),SUM(VLOOKUP(B501,INDIRECT($F$8),6+(O506-1)*3),IF(W514,W506,0))))</f>
        <v/>
      </c>
      <c r="Q506" s="1" t="str">
        <f ca="1">IF(ISERROR(F501),"",VLOOKUP(B501,INDIRECT($F$8),7+(O506-1)*3))</f>
        <v/>
      </c>
      <c r="R506" s="1" t="str">
        <f ca="1">IF(ISERROR(F501),"",SUM(P506:Q506))</f>
        <v/>
      </c>
      <c r="S506" s="1" t="str">
        <f ca="1">IF(ISERROR(F501),"",VLOOKUP(A501,INDIRECT($F$8),6+(O506-1)*3))</f>
        <v/>
      </c>
      <c r="T506" s="1" t="str">
        <f ca="1">IF(ISERROR(F501),"",VLOOKUP(A501,INDIRECT($F$8),7+(O506-1)*3))</f>
        <v/>
      </c>
      <c r="U506" s="1" t="str">
        <f ca="1">IF(ISERROR(F501),"",VLOOKUP(A501,INDIRECT($F$8),8+(O506-1)*3))</f>
        <v/>
      </c>
      <c r="V506" s="1" t="str">
        <f ca="1">IF(ISERROR(F501),"",IF(N506=0,A506,""))</f>
        <v/>
      </c>
      <c r="W506" s="1" t="str">
        <f ca="1">IF(ISERROR(F501),"",IF(ISTEXT(VLOOKUP(B501,INDIRECT($F$8),6+(O506-1)*3)),11,IF(VLOOKUP(B501,INDIRECT($F$8),6+(O506-1)*3)&lt;S506*0.3,IF(VLOOKUP(B501,INDIRECT($F$8),8+(O506-1)*3)&lt;U506*0.4,IF(AND(0.4*U506-VLOOKUP(B501,INDIRECT($F$8),8+(O506-1)*3)&lt;=5,0.3*S506-VLOOKUP(B501,INDIRECT($F$8),6+(O506-1)*3)&lt;=5),MAX(0.4*U506-VLOOKUP(B501,INDIRECT($F$8),8+(O506-1)*3),0.3*S506-VLOOKUP(B501,INDIRECT($F$8),6+(O506-1)*3)),11),IF(0.3*S506-VLOOKUP(B501,INDIRECT($F$8),6+(O506-1)*3)&lt;=5,0.3*S506-VLOOKUP(B501,INDIRECT($F$8),6+(O506-1)*3),11)),IF(VLOOKUP(B501,INDIRECT($F$8),8+(O506-1)*3)&lt;U506*0.4,IF(U506*0.4-VLOOKUP(B501,INDIRECT($F$8),8+(O506-1)*3)&lt;=5,U506*0.4-VLOOKUP(B501,INDIRECT($F$8),8+(O506-1)*3),11),0))))</f>
        <v/>
      </c>
      <c r="X506" s="1" t="str">
        <f ca="1">IF(ISERROR(F501),"",IF(W506=0,"",_xlfn.TEXTJOIN("",FALSE," G+",W506," in ",A506)))</f>
        <v/>
      </c>
    </row>
    <row r="507" spans="1:24" ht="14.25" customHeight="1" x14ac:dyDescent="0.2">
      <c r="A507" s="7" t="str">
        <f ca="1">IF(ISERROR(F501),"",VLOOKUP(C501,INDIRECT($F$8),6+(O507-1)*3,0))</f>
        <v/>
      </c>
      <c r="B507" s="41" t="str">
        <f ca="1">IF(ISERROR(F501),"",VLOOKUP(D501,INDIRECT($F$8),6+(O507-1)*3,0))</f>
        <v/>
      </c>
      <c r="C507" s="41"/>
      <c r="D507" s="41"/>
      <c r="E507" s="41"/>
      <c r="F507" s="7" t="str">
        <f ca="1">IF(ISERROR(F501),"",VLOOKUP(E501,INDIRECT($F$8),6+(O507-1)*3,0))</f>
        <v/>
      </c>
      <c r="G507" s="42" t="str">
        <f ca="1">IF(ISERROR(F501),"",_xlfn.TEXTJOIN("/",FALSE,P507,S507))</f>
        <v/>
      </c>
      <c r="H507" s="42"/>
      <c r="I507" s="42" t="str">
        <f ca="1">IF(ISERROR(F501),"",_xlfn.TEXTJOIN("/",FALSE,Q507,T507))</f>
        <v/>
      </c>
      <c r="J507" s="42"/>
      <c r="K507" s="42" t="str">
        <f ca="1">IF(ISERROR(F501),"",_xlfn.TEXTJOIN("/",FALSE,R507,U507))</f>
        <v/>
      </c>
      <c r="L507" s="42"/>
      <c r="M507" s="7" t="str">
        <f ca="1">IF(ISERROR(F501),"",IF(ISTEXT(P507),IF(P507="A","Ab",IF(P507="D","Dt",IF(P507="UFM","UFM",IF(P507="NA","")))),IF(AND(ISBLANK(P507),ISBLANK(R507)),"",IF(P507&lt;0.3*S507,"F",IF(ISBLANK(R507),"",IF(ISTEXT(R507),R507,IF(R507&gt;=0.9*U507,"O",IF(R507&gt;=0.85*U507,"A+",IF(R507&gt;=0.8*U507,"A",IF(R507&gt;=0.7*U507,"B+",IF(R507&gt;=0.6*U507,"B",IF(R507&gt;=0.5*U507,"C",IF(R507&gt;=0.4*U507,"P",IF(R507&lt;0.4*U507,"F",R507))))))))))))))</f>
        <v/>
      </c>
      <c r="N507" s="8" t="str">
        <f t="shared" ca="1" si="58"/>
        <v/>
      </c>
      <c r="O507">
        <f>O506+1</f>
        <v>2</v>
      </c>
      <c r="P507" s="1" t="str">
        <f ca="1">IF(ISERROR(F501),"",IF(ISTEXT(VLOOKUP(B501,INDIRECT($F$8),6+(O507-1)*3)),(VLOOKUP(B501,INDIRECT($F$8),6+(O507-1)*3)),SUM(VLOOKUP(B501,INDIRECT($F$8),6+(O507-1)*3),IF(W514,W507,0))))</f>
        <v/>
      </c>
      <c r="Q507" s="1" t="str">
        <f ca="1">IF(ISERROR(F501),"",VLOOKUP(B501,INDIRECT($F$8),7+(O507-1)*3))</f>
        <v/>
      </c>
      <c r="R507" s="1" t="str">
        <f ca="1">IF(ISERROR(F501),"",SUM(P507:Q507))</f>
        <v/>
      </c>
      <c r="S507" s="1" t="str">
        <f ca="1">IF(ISERROR(F501),"",VLOOKUP(A501,INDIRECT($F$8),6+(O507-1)*3))</f>
        <v/>
      </c>
      <c r="T507" s="1" t="str">
        <f ca="1">IF(ISERROR(F501),"",VLOOKUP(A501,INDIRECT($F$8),7+(O507-1)*3))</f>
        <v/>
      </c>
      <c r="U507" s="1" t="str">
        <f ca="1">IF(ISERROR(F501),"",VLOOKUP(A501,INDIRECT($F$8),8+(O507-1)*3))</f>
        <v/>
      </c>
      <c r="V507" s="1" t="str">
        <f ca="1">IF(ISERROR(F501),"",IF(N507=0,A507,""))</f>
        <v/>
      </c>
      <c r="W507" s="1" t="str">
        <f ca="1">IF(ISERROR(F501),"",IF(ISTEXT(VLOOKUP(B501,INDIRECT($F$8),6+(O507-1)*3)),11,IF(VLOOKUP(B501,INDIRECT($F$8),6+(O507-1)*3)&lt;S507*0.3,IF(VLOOKUP(B501,INDIRECT($F$8),8+(O507-1)*3)&lt;U507*0.4,IF(AND(0.4*U507-VLOOKUP(B501,INDIRECT($F$8),8+(O507-1)*3)&lt;=5,0.3*S507-VLOOKUP(B501,INDIRECT($F$8),6+(O507-1)*3)&lt;=5),MAX(0.4*U507-VLOOKUP(B501,INDIRECT($F$8),8+(O507-1)*3),0.3*S507-VLOOKUP(B501,INDIRECT($F$8),6+(O507-1)*3)),11),IF(0.3*S507-VLOOKUP(B501,INDIRECT($F$8),6+(O507-1)*3)&lt;=5,0.3*S507-VLOOKUP(B501,INDIRECT($F$8),6+(O507-1)*3),11)),IF(VLOOKUP(B501,INDIRECT($F$8),8+(O507-1)*3)&lt;U507*0.4,IF(U507*0.4-VLOOKUP(B501,INDIRECT($F$8),8+(O507-1)*3)&lt;=5,U507*0.4-VLOOKUP(B501,INDIRECT($F$8),8+(O507-1)*3),11),0))))</f>
        <v/>
      </c>
      <c r="X507" s="1" t="str">
        <f ca="1">IF(ISERROR(F501),"",IF(W507=0,"",_xlfn.TEXTJOIN("",FALSE," G+",W507," in ",A507)))</f>
        <v/>
      </c>
    </row>
    <row r="508" spans="1:24" ht="14.25" customHeight="1" x14ac:dyDescent="0.2">
      <c r="A508" s="7" t="str">
        <f ca="1">IF(ISERROR(F501),"",VLOOKUP(C501,INDIRECT($F$8),6+(O508-1)*3,0))</f>
        <v/>
      </c>
      <c r="B508" s="41" t="str">
        <f ca="1">IF(ISERROR(F501),"",VLOOKUP(D501,INDIRECT($F$8),6+(O508-1)*3,0))</f>
        <v/>
      </c>
      <c r="C508" s="41"/>
      <c r="D508" s="41"/>
      <c r="E508" s="41"/>
      <c r="F508" s="7" t="str">
        <f ca="1">IF(ISERROR(F501),"",VLOOKUP(E501,INDIRECT($F$8),6+(O508-1)*3,0))</f>
        <v/>
      </c>
      <c r="G508" s="42" t="str">
        <f ca="1">IF(ISERROR(F501),"",_xlfn.TEXTJOIN("/",FALSE,P508,S508))</f>
        <v/>
      </c>
      <c r="H508" s="42"/>
      <c r="I508" s="42" t="str">
        <f ca="1">IF(ISERROR(F501),"",_xlfn.TEXTJOIN("/",FALSE,Q508,T508))</f>
        <v/>
      </c>
      <c r="J508" s="42"/>
      <c r="K508" s="42" t="str">
        <f ca="1">IF(ISERROR(F501),"",_xlfn.TEXTJOIN("/",FALSE,R508,U508))</f>
        <v/>
      </c>
      <c r="L508" s="42"/>
      <c r="M508" s="7" t="str">
        <f ca="1">IF(ISERROR(F501),"",IF(ISTEXT(P508),IF(P508="A","Ab",IF(P508="D","Dt",IF(P508="UFM","UFM",IF(P508="NA","")))),IF(AND(ISBLANK(P508),ISBLANK(R508)),"",IF(P508&lt;0.3*S508,"F",IF(ISBLANK(R508),"",IF(ISTEXT(R508),R508,IF(R508&gt;=0.9*U508,"O",IF(R508&gt;=0.85*U508,"A+",IF(R508&gt;=0.8*U508,"A",IF(R508&gt;=0.7*U508,"B+",IF(R508&gt;=0.6*U508,"B",IF(R508&gt;=0.5*U508,"C",IF(R508&gt;=0.4*U508,"P",IF(R508&lt;0.4*U508,"F",R508))))))))))))))</f>
        <v/>
      </c>
      <c r="N508" s="8" t="str">
        <f t="shared" ca="1" si="58"/>
        <v/>
      </c>
      <c r="O508" t="b" cm="1">
        <f t="array" aca="1" ref="O508" ca="1">IF(NOT(ISBLANK(INDIRECT("SEM_III!L"&amp;INT((ROW(O508)-15)/17)+6))),3,IF(NOT(ISBLANK(INDIRECT("SEM_III!O"&amp;INT((ROW(O508)-15)/17)+6))),4))</f>
        <v>0</v>
      </c>
      <c r="P508" s="1" t="str">
        <f ca="1">IF(ISERROR(F501),"",IF(ISTEXT(VLOOKUP(B501,INDIRECT($F$8),6+(O508-1)*3)),(VLOOKUP(B501,INDIRECT($F$8),6+(O508-1)*3)),SUM(VLOOKUP(B501,INDIRECT($F$8),6+(O508-1)*3),IF(W514,W508,0))))</f>
        <v/>
      </c>
      <c r="Q508" s="1" t="str">
        <f ca="1">IF(ISERROR(F501),"",VLOOKUP(B501,INDIRECT($F$8),7+(O508-1)*3))</f>
        <v/>
      </c>
      <c r="R508" s="1" t="str">
        <f ca="1">IF(ISERROR(F501),"",SUM(P508:Q508))</f>
        <v/>
      </c>
      <c r="S508" s="1" t="str">
        <f ca="1">IF(ISERROR(F501),"",VLOOKUP(A501,INDIRECT($F$8),6+(O508-1)*3))</f>
        <v/>
      </c>
      <c r="T508" s="1" t="str">
        <f ca="1">IF(ISERROR(F501),"",VLOOKUP(A501,INDIRECT($F$8),7+(O508-1)*3))</f>
        <v/>
      </c>
      <c r="U508" s="1" t="str">
        <f ca="1">IF(ISERROR(F501),"",VLOOKUP(A501,INDIRECT($F$8),8+(O508-1)*3))</f>
        <v/>
      </c>
      <c r="V508" s="1" t="str">
        <f ca="1">IF(ISERROR(F501),"",IF(N508=0,A508,""))</f>
        <v/>
      </c>
      <c r="W508" s="1" t="str">
        <f ca="1">IF(ISERROR(F501),"",IF(ISTEXT(VLOOKUP(B501,INDIRECT($F$8),6+(O508-1)*3)),11,IF(VLOOKUP(B501,INDIRECT($F$8),6+(O508-1)*3)&lt;S508*0.3,IF(VLOOKUP(B501,INDIRECT($F$8),8+(O508-1)*3)&lt;U508*0.4,IF(AND(0.4*U508-VLOOKUP(B501,INDIRECT($F$8),8+(O508-1)*3)&lt;=5,0.3*S508-VLOOKUP(B501,INDIRECT($F$8),6+(O508-1)*3)&lt;=5),MAX(0.4*U508-VLOOKUP(B501,INDIRECT($F$8),8+(O508-1)*3),0.3*S508-VLOOKUP(B501,INDIRECT($F$8),6+(O508-1)*3)),11),IF(0.3*S508-VLOOKUP(B501,INDIRECT($F$8),6+(O508-1)*3)&lt;=5,0.3*S508-VLOOKUP(B501,INDIRECT($F$8),6+(O508-1)*3),11)),IF(VLOOKUP(B501,INDIRECT($F$8),8+(O508-1)*3)&lt;U508*0.4,IF(U508*0.4-VLOOKUP(B501,INDIRECT($F$8),8+(O508-1)*3)&lt;=5,U508*0.4-VLOOKUP(B501,INDIRECT($F$8),8+(O508-1)*3),11),0))))</f>
        <v/>
      </c>
      <c r="X508" s="1" t="str">
        <f ca="1">IF(ISERROR(F501),"",IF(W508=0,"",_xlfn.TEXTJOIN("",FALSE," G+",W508," in ",A508)))</f>
        <v/>
      </c>
    </row>
    <row r="509" spans="1:24" ht="14.25" customHeight="1" x14ac:dyDescent="0.2">
      <c r="A509" s="7" t="str">
        <f ca="1">IF(ISERROR(F501),"",VLOOKUP(C501,INDIRECT($F$8),6+(O509-1)*3,0))</f>
        <v/>
      </c>
      <c r="B509" s="41" t="str">
        <f ca="1">IF(ISERROR(F501),"",VLOOKUP(D501,INDIRECT($F$8),6+(O509-1)*3,0))</f>
        <v/>
      </c>
      <c r="C509" s="41"/>
      <c r="D509" s="41"/>
      <c r="E509" s="41"/>
      <c r="F509" s="7" t="str">
        <f ca="1">IF(ISERROR(F501),"",VLOOKUP(E501,INDIRECT($F$8),6+(O509-1)*3,0))</f>
        <v/>
      </c>
      <c r="G509" s="42" t="str">
        <f ca="1">IF(ISERROR(F501),"",_xlfn.TEXTJOIN("/",FALSE,P509,S509))</f>
        <v/>
      </c>
      <c r="H509" s="42"/>
      <c r="I509" s="42" t="str">
        <f ca="1">IF(ISERROR(F501),"",_xlfn.TEXTJOIN("/",FALSE,Q509,T509))</f>
        <v/>
      </c>
      <c r="J509" s="42"/>
      <c r="K509" s="42" t="str">
        <f ca="1">IF(ISERROR(F501),"",_xlfn.TEXTJOIN("/",FALSE,R509,U509))</f>
        <v/>
      </c>
      <c r="L509" s="42"/>
      <c r="M509" s="7" t="str">
        <f ca="1">IF(ISERROR(F501),"",IF(ISTEXT(P509),IF(P509="A","Ab",IF(P509="D","Dt",IF(P509="UFM","UFM",IF(P509="NA","")))),IF(AND(ISBLANK(P509),ISBLANK(R509)),"",IF(P509&lt;0.3*S509,"F",IF(ISBLANK(R509),"",IF(ISTEXT(R509),R509,IF(R509&gt;=0.9*U509,"O",IF(R509&gt;=0.85*U509,"A+",IF(R509&gt;=0.8*U509,"A",IF(R509&gt;=0.7*U509,"B+",IF(R509&gt;=0.6*U509,"B",IF(R509&gt;=0.5*U509,"C",IF(R509&gt;=0.4*U509,"P",IF(R509&lt;0.4*U509,"F",R509))))))))))))))</f>
        <v/>
      </c>
      <c r="N509" s="8" t="str">
        <f t="shared" ca="1" si="58"/>
        <v/>
      </c>
      <c r="O509" t="b" cm="1">
        <f t="array" aca="1" ref="O509" ca="1">IF(NOT(ISBLANK(INDIRECT("SEM_III!R"&amp;INT((ROW(O509)-16)/17)+6))),5,IF(NOT(ISBLANK(INDIRECT("SEM_III!U"&amp;INT((ROW(O509)-16)/17)+6))),6))</f>
        <v>0</v>
      </c>
      <c r="P509" s="1" t="str">
        <f ca="1">IF(ISERROR(F501),"",IF(ISTEXT(VLOOKUP(B501,INDIRECT($F$8),6+(O509-1)*3)),(VLOOKUP(B501,INDIRECT($F$8),6+(O509-1)*3)),SUM(VLOOKUP(B501,INDIRECT($F$8),6+(O509-1)*3),IF(W514,W509,0))))</f>
        <v/>
      </c>
      <c r="Q509" s="1" t="str">
        <f ca="1">IF(ISERROR(F501),"",VLOOKUP(B501,INDIRECT($F$8),7+(O509-1)*3))</f>
        <v/>
      </c>
      <c r="R509" s="1" t="str">
        <f ca="1">IF(ISERROR(F501),"",SUM(P509:Q509))</f>
        <v/>
      </c>
      <c r="S509" s="1" t="str">
        <f ca="1">IF(ISERROR(F501),"",VLOOKUP(A501,INDIRECT($F$8),6+(O509-1)*3))</f>
        <v/>
      </c>
      <c r="T509" s="1" t="str">
        <f ca="1">IF(ISERROR(F501),"",VLOOKUP(A501,INDIRECT($F$8),7+(O509-1)*3))</f>
        <v/>
      </c>
      <c r="U509" s="1" t="str">
        <f ca="1">IF(ISERROR(F501),"",VLOOKUP(A501,INDIRECT($F$8),8+(O509-1)*3))</f>
        <v/>
      </c>
      <c r="V509" s="1" t="str">
        <f ca="1">IF(ISERROR(F501),"",IF(N509=0,A509,""))</f>
        <v/>
      </c>
      <c r="W509" s="1" t="str">
        <f ca="1">IF(ISERROR(F501),"",IF(ISTEXT(VLOOKUP(B501,INDIRECT($F$8),6+(O509-1)*3)),11,IF(VLOOKUP(B501,INDIRECT($F$8),6+(O509-1)*3)&lt;S509*0.3,IF(VLOOKUP(B501,INDIRECT($F$8),8+(O509-1)*3)&lt;U509*0.4,IF(AND(0.4*U509-VLOOKUP(B501,INDIRECT($F$8),8+(O509-1)*3)&lt;=5,0.3*S509-VLOOKUP(B501,INDIRECT($F$8),6+(O509-1)*3)&lt;=5),MAX(0.4*U509-VLOOKUP(B501,INDIRECT($F$8),8+(O509-1)*3),0.3*S509-VLOOKUP(B501,INDIRECT($F$8),6+(O509-1)*3)),11),IF(0.3*S509-VLOOKUP(B501,INDIRECT($F$8),6+(O509-1)*3)&lt;=5,0.3*S509-VLOOKUP(B501,INDIRECT($F$8),6+(O509-1)*3),11)),IF(VLOOKUP(B501,INDIRECT($F$8),8+(O509-1)*3)&lt;U509*0.4,IF(U509*0.4-VLOOKUP(B501,INDIRECT($F$8),8+(O509-1)*3)&lt;=5,U509*0.4-VLOOKUP(B501,INDIRECT($F$8),8+(O509-1)*3),11),0))))</f>
        <v/>
      </c>
      <c r="X509" s="1" t="str">
        <f ca="1">IF(ISERROR(F501),"",IF(W509=0,"",_xlfn.TEXTJOIN("",FALSE," G+",W509," in ",A509)))</f>
        <v/>
      </c>
    </row>
    <row r="510" spans="1:24" ht="14.25" customHeight="1" x14ac:dyDescent="0.2">
      <c r="A510" s="7" t="str">
        <f ca="1">IF(ISERROR(F501),"",VLOOKUP(C501,INDIRECT($F$8),6+(O510-1)*3,0))</f>
        <v/>
      </c>
      <c r="B510" s="41" t="str">
        <f ca="1">IF(ISERROR(F501),"",VLOOKUP(D501,INDIRECT($F$8),6+(O510-1)*3,0))</f>
        <v/>
      </c>
      <c r="C510" s="41"/>
      <c r="D510" s="41"/>
      <c r="E510" s="41"/>
      <c r="F510" s="7" t="str">
        <f ca="1">IF(ISERROR(F501),"",VLOOKUP(E501,INDIRECT($F$8),6+(O510-1)*3,0))</f>
        <v/>
      </c>
      <c r="G510" s="42" t="str">
        <f ca="1">IF(ISERROR(F501),"",_xlfn.TEXTJOIN("/",FALSE,P510,S510))</f>
        <v/>
      </c>
      <c r="H510" s="42"/>
      <c r="I510" s="42" t="str">
        <f ca="1">IF(ISERROR(F501),"",_xlfn.TEXTJOIN("/",FALSE,Q510,T510))</f>
        <v/>
      </c>
      <c r="J510" s="42"/>
      <c r="K510" s="42" t="str">
        <f ca="1">IF(ISERROR(F501),"",_xlfn.TEXTJOIN("/",FALSE,R510,U510))</f>
        <v/>
      </c>
      <c r="L510" s="42"/>
      <c r="M510" s="7" t="str">
        <f ca="1">IF(ISERROR(F501),"",IF(ISTEXT(P510),IF(P510="A","Ab",IF(P510="D","Dt",IF(P510="UFM","UFM",IF(P510="NA","")))),IF(AND(ISBLANK(P510),ISBLANK(R510)),"",IF(P510&lt;0.3*S510,"F",IF(ISBLANK(R510),"",IF(ISTEXT(R510),R510,IF(R510&gt;=0.9*U510,"O",IF(R510&gt;=0.85*U510,"A+",IF(R510&gt;=0.8*U510,"A",IF(R510&gt;=0.7*U510,"B+",IF(R510&gt;=0.6*U510,"B",IF(R510&gt;=0.5*U510,"C",IF(R510&gt;=0.4*U510,"P",IF(R510&lt;0.4*U510,"F",R510))))))))))))))</f>
        <v/>
      </c>
      <c r="N510" s="8" t="str">
        <f t="shared" ca="1" si="58"/>
        <v/>
      </c>
      <c r="O510">
        <f ca="1">IF(O509&gt;0,7,"")</f>
        <v>7</v>
      </c>
      <c r="P510" s="1" t="str">
        <f ca="1">IF(ISERROR(F501),"",IF(ISTEXT(VLOOKUP(B501,INDIRECT($F$8),6+(O510-1)*3)),(VLOOKUP(B501,INDIRECT($F$8),6+(O510-1)*3)),SUM(VLOOKUP(B501,INDIRECT($F$8),6+(O510-1)*3),IF(W514,W510,0))))</f>
        <v/>
      </c>
      <c r="Q510" s="1" t="str">
        <f ca="1">IF(ISERROR(F501),"",VLOOKUP(B501,INDIRECT($F$8),7+(O510-1)*3))</f>
        <v/>
      </c>
      <c r="R510" s="1" t="str">
        <f ca="1">IF(ISERROR(F501),"",SUM(P510:Q510))</f>
        <v/>
      </c>
      <c r="S510" s="1" t="str">
        <f ca="1">IF(ISERROR(F501),"",VLOOKUP(A501,INDIRECT($F$8),6+(O510-1)*3))</f>
        <v/>
      </c>
      <c r="T510" s="1" t="str">
        <f ca="1">IF(ISERROR(F501),"",VLOOKUP(A501,INDIRECT($F$8),7+(O510-1)*3))</f>
        <v/>
      </c>
      <c r="U510" s="1" t="str">
        <f ca="1">IF(ISERROR(F501),"",VLOOKUP(A501,INDIRECT($F$8),8+(O510-1)*3))</f>
        <v/>
      </c>
      <c r="V510" s="1" t="str">
        <f ca="1">IF(ISERROR(F501),"",IF(N510=0,A510,""))</f>
        <v/>
      </c>
      <c r="W510" s="1" t="str">
        <f ca="1">IF(ISERROR(F501),"",IF(ISTEXT(VLOOKUP(B501,INDIRECT($F$8),6+(O510-1)*3)),11,IF(VLOOKUP(B501,INDIRECT($F$8),6+(O510-1)*3)&lt;S510*0.3,IF(VLOOKUP(B501,INDIRECT($F$8),8+(O510-1)*3)&lt;U510*0.4,IF(AND(0.4*U510-VLOOKUP(B501,INDIRECT($F$8),8+(O510-1)*3)&lt;=5,0.3*S510-VLOOKUP(B501,INDIRECT($F$8),6+(O510-1)*3)&lt;=5),MAX(0.4*U510-VLOOKUP(B501,INDIRECT($F$8),8+(O510-1)*3),0.3*S510-VLOOKUP(B501,INDIRECT($F$8),6+(O510-1)*3)),11),IF(0.3*S510-VLOOKUP(B501,INDIRECT($F$8),6+(O510-1)*3)&lt;=5,0.3*S510-VLOOKUP(B501,INDIRECT($F$8),6+(O510-1)*3),11)),IF(VLOOKUP(B501,INDIRECT($F$8),8+(O510-1)*3)&lt;U510*0.4,IF(U510*0.4-VLOOKUP(B501,INDIRECT($F$8),8+(O510-1)*3)&lt;=5,U510*0.4-VLOOKUP(B501,INDIRECT($F$8),8+(O510-1)*3),11),0))))</f>
        <v/>
      </c>
      <c r="X510" s="1" t="str">
        <f ca="1">IF(ISERROR(F501),"",IF(W510=0,"",_xlfn.TEXTJOIN("",FALSE," G+",W510," in ",A510)))</f>
        <v/>
      </c>
    </row>
    <row r="511" spans="1:24" ht="14.25" customHeight="1" x14ac:dyDescent="0.2">
      <c r="A511" s="7" t="str">
        <f ca="1">IF(ISERROR(F501),"",VLOOKUP(C501,INDIRECT($F$8),6+(O511-1)*3,0))</f>
        <v/>
      </c>
      <c r="B511" s="41" t="str">
        <f ca="1">IF(ISERROR(F501),"",VLOOKUP(D501,INDIRECT($F$8),6+(O511-1)*3,0))</f>
        <v/>
      </c>
      <c r="C511" s="41"/>
      <c r="D511" s="41"/>
      <c r="E511" s="41"/>
      <c r="F511" s="7" t="str">
        <f ca="1">IF(ISERROR(F501),"",VLOOKUP(E501,INDIRECT($F$8),6+(O511-1)*3,0))</f>
        <v/>
      </c>
      <c r="G511" s="42" t="str">
        <f ca="1">IF(ISERROR(F501),"",_xlfn.TEXTJOIN("/",FALSE,P511,S511))</f>
        <v/>
      </c>
      <c r="H511" s="42"/>
      <c r="I511" s="42" t="str">
        <f ca="1">IF(ISERROR(F501),"",_xlfn.TEXTJOIN("/",FALSE,Q511,T511))</f>
        <v/>
      </c>
      <c r="J511" s="42"/>
      <c r="K511" s="42" t="str">
        <f ca="1">IF(ISERROR(F501),"",_xlfn.TEXTJOIN("/",FALSE,R511,U511))</f>
        <v/>
      </c>
      <c r="L511" s="42"/>
      <c r="M511" s="7" t="str">
        <f ca="1">IF(ISERROR(F501),"",IF(ISTEXT(P511),IF(P511="A","Ab",IF(P511="D","Dt",IF(P511="UFM","UFM",IF(P511="NA","")))),IF(AND(ISBLANK(P511),ISBLANK(R511)),"",IF(P511&lt;0.3*S511,"F",IF(ISBLANK(R511),"",IF(ISTEXT(R511),R511,IF(R511&gt;=0.9*U511,"O",IF(R511&gt;=0.85*U511,"A+",IF(R511&gt;=0.8*U511,"A",IF(R511&gt;=0.7*U511,"B+",IF(R511&gt;=0.6*U511,"B",IF(R511&gt;=0.5*U511,"C",IF(R511&gt;=0.4*U511,"P",IF(R511&lt;0.4*U511,"F",R511))))))))))))))</f>
        <v/>
      </c>
      <c r="N511" s="8" t="str">
        <f t="shared" ca="1" si="58"/>
        <v/>
      </c>
      <c r="O511">
        <f t="shared" ref="O511:O513" ca="1" si="59">O510+1</f>
        <v>8</v>
      </c>
      <c r="P511" s="1" t="str">
        <f ca="1">IF(ISERROR(F501),"",IF(ISTEXT(VLOOKUP(B501,INDIRECT($F$8),6+(O511-1)*3)),(VLOOKUP(B501,INDIRECT($F$8),6+(O511-1)*3)),SUM(VLOOKUP(B501,INDIRECT($F$8),6+(O511-1)*3),IF(W514,W511,0))))</f>
        <v/>
      </c>
      <c r="Q511" s="1" t="str">
        <f ca="1">IF(ISERROR(F501),"",VLOOKUP(B501,INDIRECT($F$8),7+(O511-1)*3))</f>
        <v/>
      </c>
      <c r="R511" s="1" t="str">
        <f ca="1">IF(ISERROR(F501),"",SUM(P511:Q511))</f>
        <v/>
      </c>
      <c r="S511" s="1" t="str">
        <f ca="1">IF(ISERROR(F501),"",VLOOKUP(A501,INDIRECT($F$8),6+(O511-1)*3))</f>
        <v/>
      </c>
      <c r="T511" s="1" t="str">
        <f ca="1">IF(ISERROR(F501),"",VLOOKUP(A501,INDIRECT($F$8),7+(O511-1)*3))</f>
        <v/>
      </c>
      <c r="U511" s="1" t="str">
        <f ca="1">IF(ISERROR(F501),"",VLOOKUP(A501,INDIRECT($F$8),8+(O511-1)*3))</f>
        <v/>
      </c>
      <c r="V511" s="1" t="str">
        <f ca="1">IF(ISERROR(F501),"",IF(N511=0,A511,""))</f>
        <v/>
      </c>
      <c r="W511" s="1" t="str">
        <f ca="1">IF(ISERROR(F501),"",IF(ISTEXT(VLOOKUP(B501,INDIRECT($F$8),6+(O511-1)*3)),11,IF(VLOOKUP(B501,INDIRECT($F$8),6+(O511-1)*3)&lt;S511*0.3,IF(VLOOKUP(B501,INDIRECT($F$8),8+(O511-1)*3)&lt;U511*0.4,IF(AND(0.4*U511-VLOOKUP(B501,INDIRECT($F$8),8+(O511-1)*3)&lt;=5,0.3*S511-VLOOKUP(B501,INDIRECT($F$8),6+(O511-1)*3)&lt;=5),MAX(0.4*U511-VLOOKUP(B501,INDIRECT($F$8),8+(O511-1)*3),0.3*S511-VLOOKUP(B501,INDIRECT($F$8),6+(O511-1)*3)),11),IF(0.3*S511-VLOOKUP(B501,INDIRECT($F$8),6+(O511-1)*3)&lt;=5,0.3*S511-VLOOKUP(B501,INDIRECT($F$8),6+(O511-1)*3),11)),IF(VLOOKUP(B501,INDIRECT($F$8),8+(O511-1)*3)&lt;U511*0.4,IF(U511*0.4-VLOOKUP(B501,INDIRECT($F$8),8+(O511-1)*3)&lt;=5,U511*0.4-VLOOKUP(B501,INDIRECT($F$8),8+(O511-1)*3),11),0))))</f>
        <v/>
      </c>
      <c r="X511" s="1" t="str">
        <f ca="1">IF(ISERROR(F501),"",IF(W511=0,"",_xlfn.TEXTJOIN("",FALSE," G+",W511," in ",A511)))</f>
        <v/>
      </c>
    </row>
    <row r="512" spans="1:24" ht="14.25" customHeight="1" x14ac:dyDescent="0.2">
      <c r="A512" s="7" t="str">
        <f ca="1">IF(ISERROR(F501),"",VLOOKUP(C501,INDIRECT($F$8),6+(O512-1)*3,0))</f>
        <v/>
      </c>
      <c r="B512" s="41" t="str">
        <f ca="1">IF(ISERROR(F501),"",VLOOKUP(D501,INDIRECT($F$8),6+(O512-1)*3,0))</f>
        <v/>
      </c>
      <c r="C512" s="41"/>
      <c r="D512" s="41"/>
      <c r="E512" s="41"/>
      <c r="F512" s="7" t="str">
        <f ca="1">IF(ISERROR(F501),"",VLOOKUP(E501,INDIRECT($F$8),6+(O512-1)*3,0))</f>
        <v/>
      </c>
      <c r="G512" s="42" t="str">
        <f ca="1">IF(ISERROR(F501),"",_xlfn.TEXTJOIN("/",FALSE,P512,S512))</f>
        <v/>
      </c>
      <c r="H512" s="42"/>
      <c r="I512" s="42" t="str">
        <f ca="1">IF(ISERROR(F501),"",_xlfn.TEXTJOIN("/",FALSE,Q512,T512))</f>
        <v/>
      </c>
      <c r="J512" s="42"/>
      <c r="K512" s="42" t="str">
        <f ca="1">IF(ISERROR(F501),"",_xlfn.TEXTJOIN("/",FALSE,R512,U512))</f>
        <v/>
      </c>
      <c r="L512" s="42"/>
      <c r="M512" s="7" t="str">
        <f ca="1">IF(ISERROR(F501),"",IF(ISTEXT(P512),IF(P512="A","Ab",IF(P512="D","Dt",IF(P512="UFM","UFM",IF(P512="NA","")))),IF(AND(ISBLANK(P512),ISBLANK(R512)),"",IF(P512&lt;0.3*S512,"F",IF(ISBLANK(R512),"",IF(ISTEXT(R512),R512,IF(R512&gt;=0.9*U512,"O",IF(R512&gt;=0.85*U512,"A+",IF(R512&gt;=0.8*U512,"A",IF(R512&gt;=0.7*U512,"B+",IF(R512&gt;=0.6*U512,"B",IF(R512&gt;=0.5*U512,"C",IF(R512&gt;=0.4*U512,"P",IF(R512&lt;0.4*U512,"F",R512))))))))))))))</f>
        <v/>
      </c>
      <c r="N512" s="8" t="str">
        <f t="shared" ca="1" si="58"/>
        <v/>
      </c>
      <c r="O512">
        <f t="shared" ca="1" si="59"/>
        <v>9</v>
      </c>
      <c r="P512" s="1" t="str">
        <f ca="1">IF(ISERROR(F501),"",IF(ISTEXT(VLOOKUP(B501,INDIRECT($F$8),6+(O512-1)*3)),(VLOOKUP(B501,INDIRECT($F$8),6+(O512-1)*3)),SUM(VLOOKUP(B501,INDIRECT($F$8),6+(O512-1)*3),IF(W514,W512,0))))</f>
        <v/>
      </c>
      <c r="Q512" s="1" t="str">
        <f ca="1">IF(ISERROR(F501),"",VLOOKUP(B501,INDIRECT($F$8),7+(O512-1)*3))</f>
        <v/>
      </c>
      <c r="R512" s="1" t="str">
        <f ca="1">IF(ISERROR(F501),"",SUM(P512:Q512))</f>
        <v/>
      </c>
      <c r="S512" s="1" t="str">
        <f ca="1">IF(ISERROR(F501),"",VLOOKUP(A501,INDIRECT($F$8),6+(O512-1)*3))</f>
        <v/>
      </c>
      <c r="T512" s="1" t="str">
        <f ca="1">IF(ISERROR(F501),"",VLOOKUP(A501,INDIRECT($F$8),7+(O512-1)*3))</f>
        <v/>
      </c>
      <c r="U512" s="1" t="str">
        <f ca="1">IF(ISERROR(F501),"",VLOOKUP(A501,INDIRECT($F$8),8+(O512-1)*3))</f>
        <v/>
      </c>
      <c r="V512" s="1" t="str">
        <f ca="1">IF(ISERROR(F501),"",IF(N512=0,A512,""))</f>
        <v/>
      </c>
      <c r="W512" s="1" t="str">
        <f ca="1">IF(ISERROR(F501),"",IF(ISTEXT(VLOOKUP(B501,INDIRECT($F$8),6+(O512-1)*3)),11,IF(VLOOKUP(B501,INDIRECT($F$8),6+(O512-1)*3)&lt;S512*0.3,IF(VLOOKUP(B501,INDIRECT($F$8),8+(O512-1)*3)&lt;U512*0.4,IF(AND(0.4*U512-VLOOKUP(B501,INDIRECT($F$8),8+(O512-1)*3)&lt;=5,0.3*S512-VLOOKUP(B501,INDIRECT($F$8),6+(O512-1)*3)&lt;=5),MAX(0.4*U512-VLOOKUP(B501,INDIRECT($F$8),8+(O512-1)*3),0.3*S512-VLOOKUP(B501,INDIRECT($F$8),6+(O512-1)*3)),11),IF(0.3*S512-VLOOKUP(B501,INDIRECT($F$8),6+(O512-1)*3)&lt;=5,0.3*S512-VLOOKUP(B501,INDIRECT($F$8),6+(O512-1)*3),11)),IF(VLOOKUP(B501,INDIRECT($F$8),8+(O512-1)*3)&lt;U512*0.4,IF(U512*0.4-VLOOKUP(B501,INDIRECT($F$8),8+(O512-1)*3)&lt;=5,U512*0.4-VLOOKUP(B501,INDIRECT($F$8),8+(O512-1)*3),11),0))))</f>
        <v/>
      </c>
      <c r="X512" s="1" t="str">
        <f ca="1">IF(ISERROR(F501),"",IF(W512=0,"",_xlfn.TEXTJOIN("",FALSE," G+",W512," in ",A512)))</f>
        <v/>
      </c>
    </row>
    <row r="513" spans="1:24" ht="14.25" customHeight="1" x14ac:dyDescent="0.2">
      <c r="A513" s="7" t="str">
        <f ca="1">IF(ISERROR(F501),"",VLOOKUP(C501,INDIRECT($F$8),6+(O513-1)*3,0))</f>
        <v/>
      </c>
      <c r="B513" s="41" t="str">
        <f ca="1">IF(ISERROR(F501),"",VLOOKUP(D501,INDIRECT($F$8),6+(O513-1)*3-Z513,0))</f>
        <v/>
      </c>
      <c r="C513" s="41"/>
      <c r="D513" s="41"/>
      <c r="E513" s="41"/>
      <c r="F513" s="7" t="str">
        <f ca="1">IF(ISERROR(F501),"",VLOOKUP(E501,INDIRECT($F$8),6+(O513-1)*3,0))</f>
        <v/>
      </c>
      <c r="G513" s="42" t="str">
        <f ca="1">IF(ISERROR(F501),"",_xlfn.TEXTJOIN("/",FALSE,P513,S513))</f>
        <v/>
      </c>
      <c r="H513" s="42"/>
      <c r="I513" s="42" t="str">
        <f ca="1">IF(ISERROR(F501),"",_xlfn.TEXTJOIN("/",FALSE,Q513,T513))</f>
        <v/>
      </c>
      <c r="J513" s="42"/>
      <c r="K513" s="42" t="str">
        <f ca="1">IF(ISERROR(F501),"",_xlfn.TEXTJOIN("/",FALSE,R513,U513))</f>
        <v/>
      </c>
      <c r="L513" s="42"/>
      <c r="M513" s="7" t="str">
        <f ca="1">IF(ISERROR(F501),"",IF(ISTEXT(P513),IF(P513="A","Ab",IF(P513="D","Dt",IF(P513="UFM","UFM",IF(P513="NA","")))),IF(AND(ISBLANK(P513),ISBLANK(R513)),"",IF(P513&lt;0.3*S513,"F",IF(ISBLANK(R513),"",IF(ISTEXT(R513),R513,IF(R513&gt;=0.9*U513,"O",IF(R513&gt;=0.85*U513,"A+",IF(R513&gt;=0.8*U513,"A",IF(R513&gt;=0.7*U513,"B+",IF(R513&gt;=0.6*U513,"B",IF(R513&gt;=0.5*U513,"C",IF(R513&gt;=0.4*U513,"P",IF(R513&lt;0.4*U513,"F",R513))))))))))))))</f>
        <v/>
      </c>
      <c r="N513" s="8" t="str">
        <f t="shared" ca="1" si="58"/>
        <v/>
      </c>
      <c r="O513">
        <f t="shared" ca="1" si="59"/>
        <v>10</v>
      </c>
      <c r="P513" s="1" t="str">
        <f ca="1">IF(ISERROR(F501),"",IF(ISTEXT(VLOOKUP(B501,INDIRECT($F$8),6+(O513-1)*3)),(VLOOKUP(B501,INDIRECT($F$8),6+(O513-1)*3)),SUM(VLOOKUP(B501,INDIRECT($F$8),6+(O513-1)*3),IF(W514,W513,0))))</f>
        <v/>
      </c>
      <c r="Q513" s="1" t="str">
        <f ca="1">IF(ISERROR(F501),"",VLOOKUP(B501,INDIRECT($F$8),7+(O513-1)*3))</f>
        <v/>
      </c>
      <c r="R513" s="1" t="str">
        <f ca="1">IF(ISERROR(F501),"",SUM(P513:Q513))</f>
        <v/>
      </c>
      <c r="S513" s="1" t="str">
        <f ca="1">IF(ISERROR(F501),"",VLOOKUP(A501,INDIRECT($F$8),6+(O513-1)*3))</f>
        <v/>
      </c>
      <c r="T513" s="1" t="str">
        <f ca="1">IF(ISERROR(F501),"",VLOOKUP(A501,INDIRECT($F$8),7+(O513-1)*3))</f>
        <v/>
      </c>
      <c r="U513" s="1" t="str">
        <f ca="1">IF(ISERROR(F501),"",VLOOKUP(A501,INDIRECT($F$8),8+(O513-1)*3))</f>
        <v/>
      </c>
      <c r="V513" s="1" t="str">
        <f ca="1">IF(ISERROR(F501),"",IF(N513=0,A513,""))</f>
        <v/>
      </c>
      <c r="W513" s="1" t="str">
        <f ca="1">IF(ISERROR(F501),"",IF(ISTEXT(VLOOKUP(B501,INDIRECT($F$8),6+(O513-1)*3)),11,IF(VLOOKUP(B501,INDIRECT($F$8),6+(O513-1)*3)&lt;S513*0.3,IF(VLOOKUP(B501,INDIRECT($F$8),8+(O513-1)*3)&lt;U513*0.4,IF(AND(0.4*U513-VLOOKUP(B501,INDIRECT($F$8),8+(O513-1)*3)&lt;=5,0.3*S513-VLOOKUP(B501,INDIRECT($F$8),6+(O513-1)*3)&lt;=5),MAX(0.4*U513-VLOOKUP(B501,INDIRECT($F$8),8+(O513-1)*3),0.3*S513-VLOOKUP(B501,INDIRECT($F$8),6+(O513-1)*3)),11),IF(0.3*S513-VLOOKUP(B501,INDIRECT($F$8),6+(O513-1)*3)&lt;=5,0.3*S513-VLOOKUP(B501,INDIRECT($F$8),6+(O513-1)*3),11)),IF(VLOOKUP(B501,INDIRECT($F$8),8+(O513-1)*3)&lt;U513*0.4,IF(U513*0.4-VLOOKUP(B501,INDIRECT($F$8),8+(O513-1)*3)&lt;=5,U513*0.4-VLOOKUP(B501,INDIRECT($F$8),8+(O513-1)*3),11),0))))</f>
        <v/>
      </c>
      <c r="X513" s="1" t="str">
        <f ca="1">IF(ISERROR(F501),"",IF(W513=0,"",_xlfn.TEXTJOIN("",FALSE," G+",W513," in ",A513)))</f>
        <v/>
      </c>
    </row>
    <row r="514" spans="1:24" ht="14.25" customHeight="1" x14ac:dyDescent="0.2">
      <c r="A514" s="43" t="str">
        <f ca="1">IF(ISERROR(F501),"",A497)</f>
        <v/>
      </c>
      <c r="B514" s="43"/>
      <c r="C514" s="43"/>
      <c r="D514" s="43"/>
      <c r="E514" s="43"/>
      <c r="F514" s="10" t="str">
        <f ca="1">IF(ISERROR(F501),"",SUM(F506:F513))</f>
        <v/>
      </c>
      <c r="G514" s="44" t="str">
        <f ca="1">IF(ISERROR(F501),"",_xlfn.TEXTJOIN("/",TRUE,SUMIF(F506:F513,"&gt;0",P506:P513),SUMIF(F506:F513,"&gt;0",S506:S513)))</f>
        <v/>
      </c>
      <c r="H514" s="44"/>
      <c r="I514" s="44" t="str">
        <f ca="1">IF(ISERROR(F501),"",_xlfn.TEXTJOIN("/",TRUE,SUMIF(F506:F513,"&gt;0",Q506:Q513),SUMIF(F506:F513,"&gt;0",T506:T513)))</f>
        <v/>
      </c>
      <c r="J514" s="44"/>
      <c r="K514" s="44" t="str">
        <f ca="1">IF(ISERROR(F501),"",_xlfn.TEXTJOIN("/",TRUE,SUMIF(F506:F513,"&gt;0",R506:R513),SUMIF(F506:F513,"&gt;0",U506:U513)))</f>
        <v/>
      </c>
      <c r="L514" s="44"/>
      <c r="M514" s="43" t="str">
        <f ca="1">IF(ISERROR(F501),"",SUMPRODUCT(N506:N513,F506:F513))</f>
        <v/>
      </c>
      <c r="N514" s="43"/>
      <c r="V514" s="1" t="str">
        <f ca="1">IF(ISERROR(F501),"",_xlfn.TEXTJOIN(", ",TRUE,V506:V513))</f>
        <v/>
      </c>
      <c r="W514" t="str">
        <f ca="1">IF(ISERROR(F501),"",IF(SUM(W506:W513)&lt;=W505,TRUE,FALSE))</f>
        <v/>
      </c>
      <c r="X514" s="1" t="str">
        <f ca="1">IF(ISERROR(F501),"",_xlfn.TEXTJOIN(",",TRUE,X506:X513))</f>
        <v/>
      </c>
    </row>
    <row r="515" spans="1:24" ht="14.25" customHeight="1" x14ac:dyDescent="0.2">
      <c r="A515" s="43" t="str">
        <f ca="1">IF(ISERROR(F501),"",A498)</f>
        <v/>
      </c>
      <c r="B515" s="45" t="str">
        <f ca="1">IF(ISERROR(F501),"",IF(V514="","PASS","CARRY OVER"))</f>
        <v/>
      </c>
      <c r="C515" s="45"/>
      <c r="D515" s="43" t="str">
        <f ca="1">IF(ISERROR(F501),"",D498)</f>
        <v/>
      </c>
      <c r="E515" s="45" t="str">
        <f ca="1">IF(ISERROR(F501),"",IF(V514="",IF(X514="","",X514),_xlfn.TEXTJOIN(" ",TRUE,"BACK IN",V514)))</f>
        <v/>
      </c>
      <c r="F515" s="45"/>
      <c r="G515" s="43" t="str">
        <f ca="1">IF(ISERROR(F501),"",G498)</f>
        <v/>
      </c>
      <c r="H515" s="46" t="str">
        <f ca="1">IF(ISERROR(F501),"",M514/F514)</f>
        <v/>
      </c>
      <c r="I515" s="43" t="str">
        <f ca="1">IF(ISERROR(F501),"",I498)</f>
        <v/>
      </c>
      <c r="J515" s="46" t="str">
        <f ca="1">IF(ISERROR(F501),"",VLOOKUP(B501,INDIRECT($F$8),12+(O513-1)*3,0))</f>
        <v/>
      </c>
      <c r="K515" s="45" t="str">
        <f ca="1">IF(ISERROR(F501),"",K498)</f>
        <v/>
      </c>
      <c r="L515" s="43" t="str">
        <f ca="1">IF(ISERROR(F501),"",SUMIF(N506:N513,"&gt;0",F506:F513))</f>
        <v/>
      </c>
      <c r="M515" s="45" t="str">
        <f ca="1">IF(ISERROR(F501),"",M498)</f>
        <v/>
      </c>
      <c r="N515" s="43" t="str">
        <f ca="1">IF(ISERROR(F501),"",VLOOKUP(B501,INDIRECT($F$8),10+(O513-1)*3,0))</f>
        <v/>
      </c>
    </row>
    <row r="516" spans="1:24" ht="14.25" customHeight="1" x14ac:dyDescent="0.2">
      <c r="A516" s="43"/>
      <c r="B516" s="45"/>
      <c r="C516" s="45"/>
      <c r="D516" s="43"/>
      <c r="E516" s="45"/>
      <c r="F516" s="45"/>
      <c r="G516" s="43"/>
      <c r="H516" s="46"/>
      <c r="I516" s="43"/>
      <c r="J516" s="46"/>
      <c r="K516" s="45"/>
      <c r="L516" s="43"/>
      <c r="M516" s="45"/>
      <c r="N516" s="43"/>
    </row>
    <row r="517" spans="1:24" ht="14.25" customHeight="1" x14ac:dyDescent="0.2">
      <c r="A517" s="43"/>
      <c r="B517" s="45"/>
      <c r="C517" s="45"/>
      <c r="D517" s="43"/>
      <c r="E517" s="45"/>
      <c r="F517" s="45"/>
      <c r="G517" s="43"/>
      <c r="H517" s="46"/>
      <c r="I517" s="43"/>
      <c r="J517" s="46"/>
      <c r="K517" s="45"/>
      <c r="L517" s="43"/>
      <c r="M517" s="45"/>
      <c r="N517" s="43"/>
    </row>
    <row r="518" spans="1:24" ht="14.25" customHeight="1" x14ac:dyDescent="0.2">
      <c r="A518" s="11" t="str">
        <f>A501</f>
        <v>MM</v>
      </c>
      <c r="B518" s="11">
        <f>B501+1</f>
        <v>31</v>
      </c>
      <c r="C518" s="11" t="str">
        <f>C501</f>
        <v>SC</v>
      </c>
      <c r="D518" s="11" t="str">
        <f>D501</f>
        <v>SN</v>
      </c>
      <c r="E518" s="11" t="str">
        <f>E501</f>
        <v>C</v>
      </c>
      <c r="F518" s="11" t="e">
        <f ca="1">VLOOKUP(B518,INDIRECT($F$8),4,0)</f>
        <v>#N/A</v>
      </c>
    </row>
    <row r="519" spans="1:24" ht="14.25" customHeight="1" x14ac:dyDescent="0.2">
      <c r="A519" s="47" t="str">
        <f ca="1">IF(ISERROR(F518),"",A502)</f>
        <v/>
      </c>
      <c r="B519" s="47" t="str">
        <f ca="1">IFERROR(VLOOKUP(B518,INDIRECT($F$8),4,0),"")</f>
        <v/>
      </c>
      <c r="C519" s="47"/>
      <c r="D519" s="47" t="str">
        <f ca="1">IF(ISERROR(F518),"",D502)</f>
        <v/>
      </c>
      <c r="E519" s="47" t="str">
        <f ca="1">IFERROR(VLOOKUP(B518,INDIRECT($F$8),5,0),"")</f>
        <v/>
      </c>
      <c r="F519" s="47"/>
      <c r="G519" s="47" t="str">
        <f ca="1">IF(ISERROR(F518),"",G502)</f>
        <v/>
      </c>
      <c r="H519" s="47"/>
      <c r="I519" s="48" t="str">
        <f ca="1">IFERROR(VLOOKUP(B518,INDIRECT($F$8),2,0),"")</f>
        <v/>
      </c>
      <c r="J519" s="48"/>
      <c r="K519" s="47" t="str">
        <f ca="1">IF(ISERROR(F518),"",K502)</f>
        <v/>
      </c>
      <c r="L519" s="47"/>
      <c r="M519" s="48" t="str">
        <f ca="1">IFERROR(VLOOKUP(B518,INDIRECT($F$8),3,0),"")</f>
        <v/>
      </c>
      <c r="N519" s="48"/>
    </row>
    <row r="520" spans="1:24" ht="14.25" customHeight="1" x14ac:dyDescent="0.2">
      <c r="A520" s="47"/>
      <c r="B520" s="47"/>
      <c r="C520" s="47"/>
      <c r="D520" s="47"/>
      <c r="E520" s="47"/>
      <c r="F520" s="47"/>
      <c r="G520" s="47"/>
      <c r="H520" s="47"/>
      <c r="I520" s="48"/>
      <c r="J520" s="48"/>
      <c r="K520" s="47"/>
      <c r="L520" s="47"/>
      <c r="M520" s="48"/>
      <c r="N520" s="48"/>
    </row>
    <row r="521" spans="1:24" ht="14.25" customHeight="1" x14ac:dyDescent="0.2">
      <c r="A521" s="45" t="str">
        <f ca="1">IF(ISERROR(F518),"",A504)</f>
        <v/>
      </c>
      <c r="B521" s="45" t="str">
        <f ca="1">IF(ISERROR(F518),"",B504)</f>
        <v/>
      </c>
      <c r="C521" s="45"/>
      <c r="D521" s="45"/>
      <c r="E521" s="45"/>
      <c r="F521" s="45" t="str">
        <f ca="1">IF(ISERROR(F518),"",F504)</f>
        <v/>
      </c>
      <c r="G521" s="45" t="str">
        <f ca="1">IF(ISERROR(F518),"",G504)</f>
        <v/>
      </c>
      <c r="H521" s="45"/>
      <c r="I521" s="45" t="str">
        <f ca="1">IF(ISERROR(F518),"",I504)</f>
        <v/>
      </c>
      <c r="J521" s="45"/>
      <c r="K521" s="45" t="str">
        <f ca="1">IF(ISERROR(F518),"",K504)</f>
        <v/>
      </c>
      <c r="L521" s="45"/>
      <c r="M521" s="45" t="str">
        <f ca="1">IF(ISERROR(F518),"",M504)</f>
        <v/>
      </c>
      <c r="N521" s="45" t="str">
        <f ca="1">IF(ISERROR(F518),"",N504)</f>
        <v/>
      </c>
    </row>
    <row r="522" spans="1:24" ht="14.25" customHeight="1" x14ac:dyDescent="0.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W522">
        <f ca="1">IF(ISNUMBER(MATCH($F$8,{"I","III","V","VII"},0)),10,10-INDEX(INDIRECT(_xlfn.TEXTJOIN("",TRUE,"SEM_",$G$8,"!",ADDRESS(6,4+$I$8*3+4),":",ADDRESS(5+$H$8,4+$I$8*3+4))),MATCH(INDIRECT(_xlfn.TEXTJOIN("",TRUE,"TC_",$F$8,"!",ADDRESS(ROW(I519),COLUMN(I519)))),INDIRECT(_xlfn.TEXTJOIN("",TRUE,"SEM_",$G$8,"!",ADDRESS(6,2),":",ADDRESS(5+$H$8,2))))))</f>
        <v>10</v>
      </c>
    </row>
    <row r="523" spans="1:24" ht="14.25" customHeight="1" x14ac:dyDescent="0.2">
      <c r="A523" s="7" t="str">
        <f ca="1">IF(ISERROR(F518),"",VLOOKUP(C518,INDIRECT($F$8),6+(O523-1)*3,0))</f>
        <v/>
      </c>
      <c r="B523" s="41" t="str">
        <f ca="1">IF(ISERROR(F518),"",VLOOKUP(D518,INDIRECT($F$8),6+(O523-1)*3,0))</f>
        <v/>
      </c>
      <c r="C523" s="41"/>
      <c r="D523" s="41"/>
      <c r="E523" s="41"/>
      <c r="F523" s="7" t="str">
        <f ca="1">IF(ISERROR(F518),"",VLOOKUP(E518,INDIRECT($F$8),6+(O523-1)*3,0))</f>
        <v/>
      </c>
      <c r="G523" s="42" t="str">
        <f ca="1">IF(ISERROR(F518),"",_xlfn.TEXTJOIN("/",FALSE,P523,S523))</f>
        <v/>
      </c>
      <c r="H523" s="42"/>
      <c r="I523" s="42" t="str">
        <f ca="1">IF(ISERROR(F518),"",_xlfn.TEXTJOIN("/",FALSE,Q523,T523))</f>
        <v/>
      </c>
      <c r="J523" s="42"/>
      <c r="K523" s="42" t="str">
        <f ca="1">IF(ISERROR(F518),"",_xlfn.TEXTJOIN("/",FALSE,R523,U523))</f>
        <v/>
      </c>
      <c r="L523" s="42"/>
      <c r="M523" s="7" t="str">
        <f ca="1">IF(ISERROR(F518),"",IF(ISTEXT(P523),IF(P523="A","Ab",IF(P523="D","Dt",IF(P523="UFM","UFM",IF(P523="NA","")))),IF(AND(ISBLANK(P523),ISBLANK(R523)),"",IF(P523&lt;0.3*S523,"F",IF(ISBLANK(R523),"",IF(ISTEXT(R523),R523,IF(R523&gt;=0.9*U523,"O",IF(R523&gt;=0.85*U523,"A+",IF(R523&gt;=0.8*U523,"A",IF(R523&gt;=0.7*U523,"B+",IF(R523&gt;=0.6*U523,"B",IF(R523&gt;=0.5*U523,"C",IF(R523&gt;=0.4*U523,"P",IF(R523&lt;0.4*U523,"F",R523))))))))))))))</f>
        <v/>
      </c>
      <c r="N523" s="8" t="str">
        <f t="shared" ref="N523:N530" ca="1" si="60">INDEX($Z$2:$Z$13,MATCH(M523,$Y$2:$Y$13,0))</f>
        <v/>
      </c>
      <c r="O523">
        <v>1</v>
      </c>
      <c r="P523" s="1" t="str">
        <f ca="1">IF(ISERROR(F518),"",IF(ISTEXT(VLOOKUP(B518,INDIRECT($F$8),6+(O523-1)*3)),(VLOOKUP(B518,INDIRECT($F$8),6+(O523-1)*3)),SUM(VLOOKUP(B518,INDIRECT($F$8),6+(O523-1)*3),IF(W531,W523,0))))</f>
        <v/>
      </c>
      <c r="Q523" s="1" t="str">
        <f ca="1">IF(ISERROR(F518),"",VLOOKUP(B518,INDIRECT($F$8),7+(O523-1)*3))</f>
        <v/>
      </c>
      <c r="R523" s="1" t="str">
        <f ca="1">IF(ISERROR(F518),"",SUM(P523:Q523))</f>
        <v/>
      </c>
      <c r="S523" s="1" t="str">
        <f ca="1">IF(ISERROR(F518),"",VLOOKUP(A518,INDIRECT($F$8),6+(O523-1)*3))</f>
        <v/>
      </c>
      <c r="T523" s="1" t="str">
        <f ca="1">IF(ISERROR(F518),"",VLOOKUP(A518,INDIRECT($F$8),7+(O523-1)*3))</f>
        <v/>
      </c>
      <c r="U523" s="1" t="str">
        <f ca="1">IF(ISERROR(F518),"",VLOOKUP(A518,INDIRECT($F$8),8+(O523-1)*3))</f>
        <v/>
      </c>
      <c r="V523" s="1" t="str">
        <f ca="1">IF(ISERROR(F518),"",IF(N523=0,A523,""))</f>
        <v/>
      </c>
      <c r="W523" s="1" t="str">
        <f ca="1">IF(ISERROR(F518),"",IF(ISTEXT(VLOOKUP(B518,INDIRECT($F$8),6+(O523-1)*3)),11,IF(VLOOKUP(B518,INDIRECT($F$8),6+(O523-1)*3)&lt;S523*0.3,IF(VLOOKUP(B518,INDIRECT($F$8),8+(O523-1)*3)&lt;U523*0.4,IF(AND(0.4*U523-VLOOKUP(B518,INDIRECT($F$8),8+(O523-1)*3)&lt;=5,0.3*S523-VLOOKUP(B518,INDIRECT($F$8),6+(O523-1)*3)&lt;=5),MAX(0.4*U523-VLOOKUP(B518,INDIRECT($F$8),8+(O523-1)*3),0.3*S523-VLOOKUP(B518,INDIRECT($F$8),6+(O523-1)*3)),11),IF(0.3*S523-VLOOKUP(B518,INDIRECT($F$8),6+(O523-1)*3)&lt;=5,0.3*S523-VLOOKUP(B518,INDIRECT($F$8),6+(O523-1)*3),11)),IF(VLOOKUP(B518,INDIRECT($F$8),8+(O523-1)*3)&lt;U523*0.4,IF(U523*0.4-VLOOKUP(B518,INDIRECT($F$8),8+(O523-1)*3)&lt;=5,U523*0.4-VLOOKUP(B518,INDIRECT($F$8),8+(O523-1)*3),11),0))))</f>
        <v/>
      </c>
      <c r="X523" s="1" t="str">
        <f ca="1">IF(ISERROR(F518),"",IF(W523=0,"",_xlfn.TEXTJOIN("",FALSE," G+",W523," in ",A523)))</f>
        <v/>
      </c>
    </row>
    <row r="524" spans="1:24" ht="14.25" customHeight="1" x14ac:dyDescent="0.2">
      <c r="A524" s="7" t="str">
        <f ca="1">IF(ISERROR(F518),"",VLOOKUP(C518,INDIRECT($F$8),6+(O524-1)*3,0))</f>
        <v/>
      </c>
      <c r="B524" s="41" t="str">
        <f ca="1">IF(ISERROR(F518),"",VLOOKUP(D518,INDIRECT($F$8),6+(O524-1)*3,0))</f>
        <v/>
      </c>
      <c r="C524" s="41"/>
      <c r="D524" s="41"/>
      <c r="E524" s="41"/>
      <c r="F524" s="7" t="str">
        <f ca="1">IF(ISERROR(F518),"",VLOOKUP(E518,INDIRECT($F$8),6+(O524-1)*3,0))</f>
        <v/>
      </c>
      <c r="G524" s="42" t="str">
        <f ca="1">IF(ISERROR(F518),"",_xlfn.TEXTJOIN("/",FALSE,P524,S524))</f>
        <v/>
      </c>
      <c r="H524" s="42"/>
      <c r="I524" s="42" t="str">
        <f ca="1">IF(ISERROR(F518),"",_xlfn.TEXTJOIN("/",FALSE,Q524,T524))</f>
        <v/>
      </c>
      <c r="J524" s="42"/>
      <c r="K524" s="42" t="str">
        <f ca="1">IF(ISERROR(F518),"",_xlfn.TEXTJOIN("/",FALSE,R524,U524))</f>
        <v/>
      </c>
      <c r="L524" s="42"/>
      <c r="M524" s="7" t="str">
        <f ca="1">IF(ISERROR(F518),"",IF(ISTEXT(P524),IF(P524="A","Ab",IF(P524="D","Dt",IF(P524="UFM","UFM",IF(P524="NA","")))),IF(AND(ISBLANK(P524),ISBLANK(R524)),"",IF(P524&lt;0.3*S524,"F",IF(ISBLANK(R524),"",IF(ISTEXT(R524),R524,IF(R524&gt;=0.9*U524,"O",IF(R524&gt;=0.85*U524,"A+",IF(R524&gt;=0.8*U524,"A",IF(R524&gt;=0.7*U524,"B+",IF(R524&gt;=0.6*U524,"B",IF(R524&gt;=0.5*U524,"C",IF(R524&gt;=0.4*U524,"P",IF(R524&lt;0.4*U524,"F",R524))))))))))))))</f>
        <v/>
      </c>
      <c r="N524" s="8" t="str">
        <f t="shared" ca="1" si="60"/>
        <v/>
      </c>
      <c r="O524">
        <f>O523+1</f>
        <v>2</v>
      </c>
      <c r="P524" s="1" t="str">
        <f ca="1">IF(ISERROR(F518),"",IF(ISTEXT(VLOOKUP(B518,INDIRECT($F$8),6+(O524-1)*3)),(VLOOKUP(B518,INDIRECT($F$8),6+(O524-1)*3)),SUM(VLOOKUP(B518,INDIRECT($F$8),6+(O524-1)*3),IF(W531,W524,0))))</f>
        <v/>
      </c>
      <c r="Q524" s="1" t="str">
        <f ca="1">IF(ISERROR(F518),"",VLOOKUP(B518,INDIRECT($F$8),7+(O524-1)*3))</f>
        <v/>
      </c>
      <c r="R524" s="1" t="str">
        <f ca="1">IF(ISERROR(F518),"",SUM(P524:Q524))</f>
        <v/>
      </c>
      <c r="S524" s="1" t="str">
        <f ca="1">IF(ISERROR(F518),"",VLOOKUP(A518,INDIRECT($F$8),6+(O524-1)*3))</f>
        <v/>
      </c>
      <c r="T524" s="1" t="str">
        <f ca="1">IF(ISERROR(F518),"",VLOOKUP(A518,INDIRECT($F$8),7+(O524-1)*3))</f>
        <v/>
      </c>
      <c r="U524" s="1" t="str">
        <f ca="1">IF(ISERROR(F518),"",VLOOKUP(A518,INDIRECT($F$8),8+(O524-1)*3))</f>
        <v/>
      </c>
      <c r="V524" s="1" t="str">
        <f ca="1">IF(ISERROR(F518),"",IF(N524=0,A524,""))</f>
        <v/>
      </c>
      <c r="W524" s="1" t="str">
        <f ca="1">IF(ISERROR(F518),"",IF(ISTEXT(VLOOKUP(B518,INDIRECT($F$8),6+(O524-1)*3)),11,IF(VLOOKUP(B518,INDIRECT($F$8),6+(O524-1)*3)&lt;S524*0.3,IF(VLOOKUP(B518,INDIRECT($F$8),8+(O524-1)*3)&lt;U524*0.4,IF(AND(0.4*U524-VLOOKUP(B518,INDIRECT($F$8),8+(O524-1)*3)&lt;=5,0.3*S524-VLOOKUP(B518,INDIRECT($F$8),6+(O524-1)*3)&lt;=5),MAX(0.4*U524-VLOOKUP(B518,INDIRECT($F$8),8+(O524-1)*3),0.3*S524-VLOOKUP(B518,INDIRECT($F$8),6+(O524-1)*3)),11),IF(0.3*S524-VLOOKUP(B518,INDIRECT($F$8),6+(O524-1)*3)&lt;=5,0.3*S524-VLOOKUP(B518,INDIRECT($F$8),6+(O524-1)*3),11)),IF(VLOOKUP(B518,INDIRECT($F$8),8+(O524-1)*3)&lt;U524*0.4,IF(U524*0.4-VLOOKUP(B518,INDIRECT($F$8),8+(O524-1)*3)&lt;=5,U524*0.4-VLOOKUP(B518,INDIRECT($F$8),8+(O524-1)*3),11),0))))</f>
        <v/>
      </c>
      <c r="X524" s="1" t="str">
        <f ca="1">IF(ISERROR(F518),"",IF(W524=0,"",_xlfn.TEXTJOIN("",FALSE," G+",W524," in ",A524)))</f>
        <v/>
      </c>
    </row>
    <row r="525" spans="1:24" ht="14.25" customHeight="1" x14ac:dyDescent="0.2">
      <c r="A525" s="7" t="str">
        <f ca="1">IF(ISERROR(F518),"",VLOOKUP(C518,INDIRECT($F$8),6+(O525-1)*3,0))</f>
        <v/>
      </c>
      <c r="B525" s="41" t="str">
        <f ca="1">IF(ISERROR(F518),"",VLOOKUP(D518,INDIRECT($F$8),6+(O525-1)*3,0))</f>
        <v/>
      </c>
      <c r="C525" s="41"/>
      <c r="D525" s="41"/>
      <c r="E525" s="41"/>
      <c r="F525" s="7" t="str">
        <f ca="1">IF(ISERROR(F518),"",VLOOKUP(E518,INDIRECT($F$8),6+(O525-1)*3,0))</f>
        <v/>
      </c>
      <c r="G525" s="42" t="str">
        <f ca="1">IF(ISERROR(F518),"",_xlfn.TEXTJOIN("/",FALSE,P525,S525))</f>
        <v/>
      </c>
      <c r="H525" s="42"/>
      <c r="I525" s="42" t="str">
        <f ca="1">IF(ISERROR(F518),"",_xlfn.TEXTJOIN("/",FALSE,Q525,T525))</f>
        <v/>
      </c>
      <c r="J525" s="42"/>
      <c r="K525" s="42" t="str">
        <f ca="1">IF(ISERROR(F518),"",_xlfn.TEXTJOIN("/",FALSE,R525,U525))</f>
        <v/>
      </c>
      <c r="L525" s="42"/>
      <c r="M525" s="7" t="str">
        <f ca="1">IF(ISERROR(F518),"",IF(ISTEXT(P525),IF(P525="A","Ab",IF(P525="D","Dt",IF(P525="UFM","UFM",IF(P525="NA","")))),IF(AND(ISBLANK(P525),ISBLANK(R525)),"",IF(P525&lt;0.3*S525,"F",IF(ISBLANK(R525),"",IF(ISTEXT(R525),R525,IF(R525&gt;=0.9*U525,"O",IF(R525&gt;=0.85*U525,"A+",IF(R525&gt;=0.8*U525,"A",IF(R525&gt;=0.7*U525,"B+",IF(R525&gt;=0.6*U525,"B",IF(R525&gt;=0.5*U525,"C",IF(R525&gt;=0.4*U525,"P",IF(R525&lt;0.4*U525,"F",R525))))))))))))))</f>
        <v/>
      </c>
      <c r="N525" s="8" t="str">
        <f t="shared" ca="1" si="60"/>
        <v/>
      </c>
      <c r="O525" t="b" cm="1">
        <f t="array" aca="1" ref="O525" ca="1">IF(NOT(ISBLANK(INDIRECT("SEM_III!L"&amp;INT((ROW(O525)-15)/17)+6))),3,IF(NOT(ISBLANK(INDIRECT("SEM_III!O"&amp;INT((ROW(O525)-15)/17)+6))),4))</f>
        <v>0</v>
      </c>
      <c r="P525" s="1" t="str">
        <f ca="1">IF(ISERROR(F518),"",IF(ISTEXT(VLOOKUP(B518,INDIRECT($F$8),6+(O525-1)*3)),(VLOOKUP(B518,INDIRECT($F$8),6+(O525-1)*3)),SUM(VLOOKUP(B518,INDIRECT($F$8),6+(O525-1)*3),IF(W531,W525,0))))</f>
        <v/>
      </c>
      <c r="Q525" s="1" t="str">
        <f ca="1">IF(ISERROR(F518),"",VLOOKUP(B518,INDIRECT($F$8),7+(O525-1)*3))</f>
        <v/>
      </c>
      <c r="R525" s="1" t="str">
        <f ca="1">IF(ISERROR(F518),"",SUM(P525:Q525))</f>
        <v/>
      </c>
      <c r="S525" s="1" t="str">
        <f ca="1">IF(ISERROR(F518),"",VLOOKUP(A518,INDIRECT($F$8),6+(O525-1)*3))</f>
        <v/>
      </c>
      <c r="T525" s="1" t="str">
        <f ca="1">IF(ISERROR(F518),"",VLOOKUP(A518,INDIRECT($F$8),7+(O525-1)*3))</f>
        <v/>
      </c>
      <c r="U525" s="1" t="str">
        <f ca="1">IF(ISERROR(F518),"",VLOOKUP(A518,INDIRECT($F$8),8+(O525-1)*3))</f>
        <v/>
      </c>
      <c r="V525" s="1" t="str">
        <f ca="1">IF(ISERROR(F518),"",IF(N525=0,A525,""))</f>
        <v/>
      </c>
      <c r="W525" s="1" t="str">
        <f ca="1">IF(ISERROR(F518),"",IF(ISTEXT(VLOOKUP(B518,INDIRECT($F$8),6+(O525-1)*3)),11,IF(VLOOKUP(B518,INDIRECT($F$8),6+(O525-1)*3)&lt;S525*0.3,IF(VLOOKUP(B518,INDIRECT($F$8),8+(O525-1)*3)&lt;U525*0.4,IF(AND(0.4*U525-VLOOKUP(B518,INDIRECT($F$8),8+(O525-1)*3)&lt;=5,0.3*S525-VLOOKUP(B518,INDIRECT($F$8),6+(O525-1)*3)&lt;=5),MAX(0.4*U525-VLOOKUP(B518,INDIRECT($F$8),8+(O525-1)*3),0.3*S525-VLOOKUP(B518,INDIRECT($F$8),6+(O525-1)*3)),11),IF(0.3*S525-VLOOKUP(B518,INDIRECT($F$8),6+(O525-1)*3)&lt;=5,0.3*S525-VLOOKUP(B518,INDIRECT($F$8),6+(O525-1)*3),11)),IF(VLOOKUP(B518,INDIRECT($F$8),8+(O525-1)*3)&lt;U525*0.4,IF(U525*0.4-VLOOKUP(B518,INDIRECT($F$8),8+(O525-1)*3)&lt;=5,U525*0.4-VLOOKUP(B518,INDIRECT($F$8),8+(O525-1)*3),11),0))))</f>
        <v/>
      </c>
      <c r="X525" s="1" t="str">
        <f ca="1">IF(ISERROR(F518),"",IF(W525=0,"",_xlfn.TEXTJOIN("",FALSE," G+",W525," in ",A525)))</f>
        <v/>
      </c>
    </row>
    <row r="526" spans="1:24" ht="14.25" customHeight="1" x14ac:dyDescent="0.2">
      <c r="A526" s="7" t="str">
        <f ca="1">IF(ISERROR(F518),"",VLOOKUP(C518,INDIRECT($F$8),6+(O526-1)*3,0))</f>
        <v/>
      </c>
      <c r="B526" s="41" t="str">
        <f ca="1">IF(ISERROR(F518),"",VLOOKUP(D518,INDIRECT($F$8),6+(O526-1)*3,0))</f>
        <v/>
      </c>
      <c r="C526" s="41"/>
      <c r="D526" s="41"/>
      <c r="E526" s="41"/>
      <c r="F526" s="7" t="str">
        <f ca="1">IF(ISERROR(F518),"",VLOOKUP(E518,INDIRECT($F$8),6+(O526-1)*3,0))</f>
        <v/>
      </c>
      <c r="G526" s="42" t="str">
        <f ca="1">IF(ISERROR(F518),"",_xlfn.TEXTJOIN("/",FALSE,P526,S526))</f>
        <v/>
      </c>
      <c r="H526" s="42"/>
      <c r="I526" s="42" t="str">
        <f ca="1">IF(ISERROR(F518),"",_xlfn.TEXTJOIN("/",FALSE,Q526,T526))</f>
        <v/>
      </c>
      <c r="J526" s="42"/>
      <c r="K526" s="42" t="str">
        <f ca="1">IF(ISERROR(F518),"",_xlfn.TEXTJOIN("/",FALSE,R526,U526))</f>
        <v/>
      </c>
      <c r="L526" s="42"/>
      <c r="M526" s="7" t="str">
        <f ca="1">IF(ISERROR(F518),"",IF(ISTEXT(P526),IF(P526="A","Ab",IF(P526="D","Dt",IF(P526="UFM","UFM",IF(P526="NA","")))),IF(AND(ISBLANK(P526),ISBLANK(R526)),"",IF(P526&lt;0.3*S526,"F",IF(ISBLANK(R526),"",IF(ISTEXT(R526),R526,IF(R526&gt;=0.9*U526,"O",IF(R526&gt;=0.85*U526,"A+",IF(R526&gt;=0.8*U526,"A",IF(R526&gt;=0.7*U526,"B+",IF(R526&gt;=0.6*U526,"B",IF(R526&gt;=0.5*U526,"C",IF(R526&gt;=0.4*U526,"P",IF(R526&lt;0.4*U526,"F",R526))))))))))))))</f>
        <v/>
      </c>
      <c r="N526" s="8" t="str">
        <f t="shared" ca="1" si="60"/>
        <v/>
      </c>
      <c r="O526" t="b" cm="1">
        <f t="array" aca="1" ref="O526" ca="1">IF(NOT(ISBLANK(INDIRECT("SEM_III!R"&amp;INT((ROW(O526)-16)/17)+6))),5,IF(NOT(ISBLANK(INDIRECT("SEM_III!U"&amp;INT((ROW(O526)-16)/17)+6))),6))</f>
        <v>0</v>
      </c>
      <c r="P526" s="1" t="str">
        <f ca="1">IF(ISERROR(F518),"",IF(ISTEXT(VLOOKUP(B518,INDIRECT($F$8),6+(O526-1)*3)),(VLOOKUP(B518,INDIRECT($F$8),6+(O526-1)*3)),SUM(VLOOKUP(B518,INDIRECT($F$8),6+(O526-1)*3),IF(W531,W526,0))))</f>
        <v/>
      </c>
      <c r="Q526" s="1" t="str">
        <f ca="1">IF(ISERROR(F518),"",VLOOKUP(B518,INDIRECT($F$8),7+(O526-1)*3))</f>
        <v/>
      </c>
      <c r="R526" s="1" t="str">
        <f ca="1">IF(ISERROR(F518),"",SUM(P526:Q526))</f>
        <v/>
      </c>
      <c r="S526" s="1" t="str">
        <f ca="1">IF(ISERROR(F518),"",VLOOKUP(A518,INDIRECT($F$8),6+(O526-1)*3))</f>
        <v/>
      </c>
      <c r="T526" s="1" t="str">
        <f ca="1">IF(ISERROR(F518),"",VLOOKUP(A518,INDIRECT($F$8),7+(O526-1)*3))</f>
        <v/>
      </c>
      <c r="U526" s="1" t="str">
        <f ca="1">IF(ISERROR(F518),"",VLOOKUP(A518,INDIRECT($F$8),8+(O526-1)*3))</f>
        <v/>
      </c>
      <c r="V526" s="1" t="str">
        <f ca="1">IF(ISERROR(F518),"",IF(N526=0,A526,""))</f>
        <v/>
      </c>
      <c r="W526" s="1" t="str">
        <f ca="1">IF(ISERROR(F518),"",IF(ISTEXT(VLOOKUP(B518,INDIRECT($F$8),6+(O526-1)*3)),11,IF(VLOOKUP(B518,INDIRECT($F$8),6+(O526-1)*3)&lt;S526*0.3,IF(VLOOKUP(B518,INDIRECT($F$8),8+(O526-1)*3)&lt;U526*0.4,IF(AND(0.4*U526-VLOOKUP(B518,INDIRECT($F$8),8+(O526-1)*3)&lt;=5,0.3*S526-VLOOKUP(B518,INDIRECT($F$8),6+(O526-1)*3)&lt;=5),MAX(0.4*U526-VLOOKUP(B518,INDIRECT($F$8),8+(O526-1)*3),0.3*S526-VLOOKUP(B518,INDIRECT($F$8),6+(O526-1)*3)),11),IF(0.3*S526-VLOOKUP(B518,INDIRECT($F$8),6+(O526-1)*3)&lt;=5,0.3*S526-VLOOKUP(B518,INDIRECT($F$8),6+(O526-1)*3),11)),IF(VLOOKUP(B518,INDIRECT($F$8),8+(O526-1)*3)&lt;U526*0.4,IF(U526*0.4-VLOOKUP(B518,INDIRECT($F$8),8+(O526-1)*3)&lt;=5,U526*0.4-VLOOKUP(B518,INDIRECT($F$8),8+(O526-1)*3),11),0))))</f>
        <v/>
      </c>
      <c r="X526" s="1" t="str">
        <f ca="1">IF(ISERROR(F518),"",IF(W526=0,"",_xlfn.TEXTJOIN("",FALSE," G+",W526," in ",A526)))</f>
        <v/>
      </c>
    </row>
    <row r="527" spans="1:24" ht="14.25" customHeight="1" x14ac:dyDescent="0.2">
      <c r="A527" s="7" t="str">
        <f ca="1">IF(ISERROR(F518),"",VLOOKUP(C518,INDIRECT($F$8),6+(O527-1)*3,0))</f>
        <v/>
      </c>
      <c r="B527" s="41" t="str">
        <f ca="1">IF(ISERROR(F518),"",VLOOKUP(D518,INDIRECT($F$8),6+(O527-1)*3,0))</f>
        <v/>
      </c>
      <c r="C527" s="41"/>
      <c r="D527" s="41"/>
      <c r="E527" s="41"/>
      <c r="F527" s="7" t="str">
        <f ca="1">IF(ISERROR(F518),"",VLOOKUP(E518,INDIRECT($F$8),6+(O527-1)*3,0))</f>
        <v/>
      </c>
      <c r="G527" s="42" t="str">
        <f ca="1">IF(ISERROR(F518),"",_xlfn.TEXTJOIN("/",FALSE,P527,S527))</f>
        <v/>
      </c>
      <c r="H527" s="42"/>
      <c r="I527" s="42" t="str">
        <f ca="1">IF(ISERROR(F518),"",_xlfn.TEXTJOIN("/",FALSE,Q527,T527))</f>
        <v/>
      </c>
      <c r="J527" s="42"/>
      <c r="K527" s="42" t="str">
        <f ca="1">IF(ISERROR(F518),"",_xlfn.TEXTJOIN("/",FALSE,R527,U527))</f>
        <v/>
      </c>
      <c r="L527" s="42"/>
      <c r="M527" s="7" t="str">
        <f ca="1">IF(ISERROR(F518),"",IF(ISTEXT(P527),IF(P527="A","Ab",IF(P527="D","Dt",IF(P527="UFM","UFM",IF(P527="NA","")))),IF(AND(ISBLANK(P527),ISBLANK(R527)),"",IF(P527&lt;0.3*S527,"F",IF(ISBLANK(R527),"",IF(ISTEXT(R527),R527,IF(R527&gt;=0.9*U527,"O",IF(R527&gt;=0.85*U527,"A+",IF(R527&gt;=0.8*U527,"A",IF(R527&gt;=0.7*U527,"B+",IF(R527&gt;=0.6*U527,"B",IF(R527&gt;=0.5*U527,"C",IF(R527&gt;=0.4*U527,"P",IF(R527&lt;0.4*U527,"F",R527))))))))))))))</f>
        <v/>
      </c>
      <c r="N527" s="8" t="str">
        <f t="shared" ca="1" si="60"/>
        <v/>
      </c>
      <c r="O527">
        <f ca="1">IF(O526&gt;0,7,"")</f>
        <v>7</v>
      </c>
      <c r="P527" s="1" t="str">
        <f ca="1">IF(ISERROR(F518),"",IF(ISTEXT(VLOOKUP(B518,INDIRECT($F$8),6+(O527-1)*3)),(VLOOKUP(B518,INDIRECT($F$8),6+(O527-1)*3)),SUM(VLOOKUP(B518,INDIRECT($F$8),6+(O527-1)*3),IF(W531,W527,0))))</f>
        <v/>
      </c>
      <c r="Q527" s="1" t="str">
        <f ca="1">IF(ISERROR(F518),"",VLOOKUP(B518,INDIRECT($F$8),7+(O527-1)*3))</f>
        <v/>
      </c>
      <c r="R527" s="1" t="str">
        <f ca="1">IF(ISERROR(F518),"",SUM(P527:Q527))</f>
        <v/>
      </c>
      <c r="S527" s="1" t="str">
        <f ca="1">IF(ISERROR(F518),"",VLOOKUP(A518,INDIRECT($F$8),6+(O527-1)*3))</f>
        <v/>
      </c>
      <c r="T527" s="1" t="str">
        <f ca="1">IF(ISERROR(F518),"",VLOOKUP(A518,INDIRECT($F$8),7+(O527-1)*3))</f>
        <v/>
      </c>
      <c r="U527" s="1" t="str">
        <f ca="1">IF(ISERROR(F518),"",VLOOKUP(A518,INDIRECT($F$8),8+(O527-1)*3))</f>
        <v/>
      </c>
      <c r="V527" s="1" t="str">
        <f ca="1">IF(ISERROR(F518),"",IF(N527=0,A527,""))</f>
        <v/>
      </c>
      <c r="W527" s="1" t="str">
        <f ca="1">IF(ISERROR(F518),"",IF(ISTEXT(VLOOKUP(B518,INDIRECT($F$8),6+(O527-1)*3)),11,IF(VLOOKUP(B518,INDIRECT($F$8),6+(O527-1)*3)&lt;S527*0.3,IF(VLOOKUP(B518,INDIRECT($F$8),8+(O527-1)*3)&lt;U527*0.4,IF(AND(0.4*U527-VLOOKUP(B518,INDIRECT($F$8),8+(O527-1)*3)&lt;=5,0.3*S527-VLOOKUP(B518,INDIRECT($F$8),6+(O527-1)*3)&lt;=5),MAX(0.4*U527-VLOOKUP(B518,INDIRECT($F$8),8+(O527-1)*3),0.3*S527-VLOOKUP(B518,INDIRECT($F$8),6+(O527-1)*3)),11),IF(0.3*S527-VLOOKUP(B518,INDIRECT($F$8),6+(O527-1)*3)&lt;=5,0.3*S527-VLOOKUP(B518,INDIRECT($F$8),6+(O527-1)*3),11)),IF(VLOOKUP(B518,INDIRECT($F$8),8+(O527-1)*3)&lt;U527*0.4,IF(U527*0.4-VLOOKUP(B518,INDIRECT($F$8),8+(O527-1)*3)&lt;=5,U527*0.4-VLOOKUP(B518,INDIRECT($F$8),8+(O527-1)*3),11),0))))</f>
        <v/>
      </c>
      <c r="X527" s="1" t="str">
        <f ca="1">IF(ISERROR(F518),"",IF(W527=0,"",_xlfn.TEXTJOIN("",FALSE," G+",W527," in ",A527)))</f>
        <v/>
      </c>
    </row>
    <row r="528" spans="1:24" ht="14.25" customHeight="1" x14ac:dyDescent="0.2">
      <c r="A528" s="7" t="str">
        <f ca="1">IF(ISERROR(F518),"",VLOOKUP(C518,INDIRECT($F$8),6+(O528-1)*3,0))</f>
        <v/>
      </c>
      <c r="B528" s="41" t="str">
        <f ca="1">IF(ISERROR(F518),"",VLOOKUP(D518,INDIRECT($F$8),6+(O528-1)*3,0))</f>
        <v/>
      </c>
      <c r="C528" s="41"/>
      <c r="D528" s="41"/>
      <c r="E528" s="41"/>
      <c r="F528" s="7" t="str">
        <f ca="1">IF(ISERROR(F518),"",VLOOKUP(E518,INDIRECT($F$8),6+(O528-1)*3,0))</f>
        <v/>
      </c>
      <c r="G528" s="42" t="str">
        <f ca="1">IF(ISERROR(F518),"",_xlfn.TEXTJOIN("/",FALSE,P528,S528))</f>
        <v/>
      </c>
      <c r="H528" s="42"/>
      <c r="I528" s="42" t="str">
        <f ca="1">IF(ISERROR(F518),"",_xlfn.TEXTJOIN("/",FALSE,Q528,T528))</f>
        <v/>
      </c>
      <c r="J528" s="42"/>
      <c r="K528" s="42" t="str">
        <f ca="1">IF(ISERROR(F518),"",_xlfn.TEXTJOIN("/",FALSE,R528,U528))</f>
        <v/>
      </c>
      <c r="L528" s="42"/>
      <c r="M528" s="7" t="str">
        <f ca="1">IF(ISERROR(F518),"",IF(ISTEXT(P528),IF(P528="A","Ab",IF(P528="D","Dt",IF(P528="UFM","UFM",IF(P528="NA","")))),IF(AND(ISBLANK(P528),ISBLANK(R528)),"",IF(P528&lt;0.3*S528,"F",IF(ISBLANK(R528),"",IF(ISTEXT(R528),R528,IF(R528&gt;=0.9*U528,"O",IF(R528&gt;=0.85*U528,"A+",IF(R528&gt;=0.8*U528,"A",IF(R528&gt;=0.7*U528,"B+",IF(R528&gt;=0.6*U528,"B",IF(R528&gt;=0.5*U528,"C",IF(R528&gt;=0.4*U528,"P",IF(R528&lt;0.4*U528,"F",R528))))))))))))))</f>
        <v/>
      </c>
      <c r="N528" s="8" t="str">
        <f t="shared" ca="1" si="60"/>
        <v/>
      </c>
      <c r="O528">
        <f t="shared" ref="O528:O530" ca="1" si="61">O527+1</f>
        <v>8</v>
      </c>
      <c r="P528" s="1" t="str">
        <f ca="1">IF(ISERROR(F518),"",IF(ISTEXT(VLOOKUP(B518,INDIRECT($F$8),6+(O528-1)*3)),(VLOOKUP(B518,INDIRECT($F$8),6+(O528-1)*3)),SUM(VLOOKUP(B518,INDIRECT($F$8),6+(O528-1)*3),IF(W531,W528,0))))</f>
        <v/>
      </c>
      <c r="Q528" s="1" t="str">
        <f ca="1">IF(ISERROR(F518),"",VLOOKUP(B518,INDIRECT($F$8),7+(O528-1)*3))</f>
        <v/>
      </c>
      <c r="R528" s="1" t="str">
        <f ca="1">IF(ISERROR(F518),"",SUM(P528:Q528))</f>
        <v/>
      </c>
      <c r="S528" s="1" t="str">
        <f ca="1">IF(ISERROR(F518),"",VLOOKUP(A518,INDIRECT($F$8),6+(O528-1)*3))</f>
        <v/>
      </c>
      <c r="T528" s="1" t="str">
        <f ca="1">IF(ISERROR(F518),"",VLOOKUP(A518,INDIRECT($F$8),7+(O528-1)*3))</f>
        <v/>
      </c>
      <c r="U528" s="1" t="str">
        <f ca="1">IF(ISERROR(F518),"",VLOOKUP(A518,INDIRECT($F$8),8+(O528-1)*3))</f>
        <v/>
      </c>
      <c r="V528" s="1" t="str">
        <f ca="1">IF(ISERROR(F518),"",IF(N528=0,A528,""))</f>
        <v/>
      </c>
      <c r="W528" s="1" t="str">
        <f ca="1">IF(ISERROR(F518),"",IF(ISTEXT(VLOOKUP(B518,INDIRECT($F$8),6+(O528-1)*3)),11,IF(VLOOKUP(B518,INDIRECT($F$8),6+(O528-1)*3)&lt;S528*0.3,IF(VLOOKUP(B518,INDIRECT($F$8),8+(O528-1)*3)&lt;U528*0.4,IF(AND(0.4*U528-VLOOKUP(B518,INDIRECT($F$8),8+(O528-1)*3)&lt;=5,0.3*S528-VLOOKUP(B518,INDIRECT($F$8),6+(O528-1)*3)&lt;=5),MAX(0.4*U528-VLOOKUP(B518,INDIRECT($F$8),8+(O528-1)*3),0.3*S528-VLOOKUP(B518,INDIRECT($F$8),6+(O528-1)*3)),11),IF(0.3*S528-VLOOKUP(B518,INDIRECT($F$8),6+(O528-1)*3)&lt;=5,0.3*S528-VLOOKUP(B518,INDIRECT($F$8),6+(O528-1)*3),11)),IF(VLOOKUP(B518,INDIRECT($F$8),8+(O528-1)*3)&lt;U528*0.4,IF(U528*0.4-VLOOKUP(B518,INDIRECT($F$8),8+(O528-1)*3)&lt;=5,U528*0.4-VLOOKUP(B518,INDIRECT($F$8),8+(O528-1)*3),11),0))))</f>
        <v/>
      </c>
      <c r="X528" s="1" t="str">
        <f ca="1">IF(ISERROR(F518),"",IF(W528=0,"",_xlfn.TEXTJOIN("",FALSE," G+",W528," in ",A528)))</f>
        <v/>
      </c>
    </row>
    <row r="529" spans="1:24" ht="14.25" customHeight="1" x14ac:dyDescent="0.2">
      <c r="A529" s="7" t="str">
        <f ca="1">IF(ISERROR(F518),"",VLOOKUP(C518,INDIRECT($F$8),6+(O529-1)*3,0))</f>
        <v/>
      </c>
      <c r="B529" s="41" t="str">
        <f ca="1">IF(ISERROR(F518),"",VLOOKUP(D518,INDIRECT($F$8),6+(O529-1)*3,0))</f>
        <v/>
      </c>
      <c r="C529" s="41"/>
      <c r="D529" s="41"/>
      <c r="E529" s="41"/>
      <c r="F529" s="7" t="str">
        <f ca="1">IF(ISERROR(F518),"",VLOOKUP(E518,INDIRECT($F$8),6+(O529-1)*3,0))</f>
        <v/>
      </c>
      <c r="G529" s="42" t="str">
        <f ca="1">IF(ISERROR(F518),"",_xlfn.TEXTJOIN("/",FALSE,P529,S529))</f>
        <v/>
      </c>
      <c r="H529" s="42"/>
      <c r="I529" s="42" t="str">
        <f ca="1">IF(ISERROR(F518),"",_xlfn.TEXTJOIN("/",FALSE,Q529,T529))</f>
        <v/>
      </c>
      <c r="J529" s="42"/>
      <c r="K529" s="42" t="str">
        <f ca="1">IF(ISERROR(F518),"",_xlfn.TEXTJOIN("/",FALSE,R529,U529))</f>
        <v/>
      </c>
      <c r="L529" s="42"/>
      <c r="M529" s="7" t="str">
        <f ca="1">IF(ISERROR(F518),"",IF(ISTEXT(P529),IF(P529="A","Ab",IF(P529="D","Dt",IF(P529="UFM","UFM",IF(P529="NA","")))),IF(AND(ISBLANK(P529),ISBLANK(R529)),"",IF(P529&lt;0.3*S529,"F",IF(ISBLANK(R529),"",IF(ISTEXT(R529),R529,IF(R529&gt;=0.9*U529,"O",IF(R529&gt;=0.85*U529,"A+",IF(R529&gt;=0.8*U529,"A",IF(R529&gt;=0.7*U529,"B+",IF(R529&gt;=0.6*U529,"B",IF(R529&gt;=0.5*U529,"C",IF(R529&gt;=0.4*U529,"P",IF(R529&lt;0.4*U529,"F",R529))))))))))))))</f>
        <v/>
      </c>
      <c r="N529" s="8" t="str">
        <f t="shared" ca="1" si="60"/>
        <v/>
      </c>
      <c r="O529">
        <f t="shared" ca="1" si="61"/>
        <v>9</v>
      </c>
      <c r="P529" s="1" t="str">
        <f ca="1">IF(ISERROR(F518),"",IF(ISTEXT(VLOOKUP(B518,INDIRECT($F$8),6+(O529-1)*3)),(VLOOKUP(B518,INDIRECT($F$8),6+(O529-1)*3)),SUM(VLOOKUP(B518,INDIRECT($F$8),6+(O529-1)*3),IF(W531,W529,0))))</f>
        <v/>
      </c>
      <c r="Q529" s="1" t="str">
        <f ca="1">IF(ISERROR(F518),"",VLOOKUP(B518,INDIRECT($F$8),7+(O529-1)*3))</f>
        <v/>
      </c>
      <c r="R529" s="1" t="str">
        <f ca="1">IF(ISERROR(F518),"",SUM(P529:Q529))</f>
        <v/>
      </c>
      <c r="S529" s="1" t="str">
        <f ca="1">IF(ISERROR(F518),"",VLOOKUP(A518,INDIRECT($F$8),6+(O529-1)*3))</f>
        <v/>
      </c>
      <c r="T529" s="1" t="str">
        <f ca="1">IF(ISERROR(F518),"",VLOOKUP(A518,INDIRECT($F$8),7+(O529-1)*3))</f>
        <v/>
      </c>
      <c r="U529" s="1" t="str">
        <f ca="1">IF(ISERROR(F518),"",VLOOKUP(A518,INDIRECT($F$8),8+(O529-1)*3))</f>
        <v/>
      </c>
      <c r="V529" s="1" t="str">
        <f ca="1">IF(ISERROR(F518),"",IF(N529=0,A529,""))</f>
        <v/>
      </c>
      <c r="W529" s="1" t="str">
        <f ca="1">IF(ISERROR(F518),"",IF(ISTEXT(VLOOKUP(B518,INDIRECT($F$8),6+(O529-1)*3)),11,IF(VLOOKUP(B518,INDIRECT($F$8),6+(O529-1)*3)&lt;S529*0.3,IF(VLOOKUP(B518,INDIRECT($F$8),8+(O529-1)*3)&lt;U529*0.4,IF(AND(0.4*U529-VLOOKUP(B518,INDIRECT($F$8),8+(O529-1)*3)&lt;=5,0.3*S529-VLOOKUP(B518,INDIRECT($F$8),6+(O529-1)*3)&lt;=5),MAX(0.4*U529-VLOOKUP(B518,INDIRECT($F$8),8+(O529-1)*3),0.3*S529-VLOOKUP(B518,INDIRECT($F$8),6+(O529-1)*3)),11),IF(0.3*S529-VLOOKUP(B518,INDIRECT($F$8),6+(O529-1)*3)&lt;=5,0.3*S529-VLOOKUP(B518,INDIRECT($F$8),6+(O529-1)*3),11)),IF(VLOOKUP(B518,INDIRECT($F$8),8+(O529-1)*3)&lt;U529*0.4,IF(U529*0.4-VLOOKUP(B518,INDIRECT($F$8),8+(O529-1)*3)&lt;=5,U529*0.4-VLOOKUP(B518,INDIRECT($F$8),8+(O529-1)*3),11),0))))</f>
        <v/>
      </c>
      <c r="X529" s="1" t="str">
        <f ca="1">IF(ISERROR(F518),"",IF(W529=0,"",_xlfn.TEXTJOIN("",FALSE," G+",W529," in ",A529)))</f>
        <v/>
      </c>
    </row>
    <row r="530" spans="1:24" ht="14.25" customHeight="1" x14ac:dyDescent="0.2">
      <c r="A530" s="7" t="str">
        <f ca="1">IF(ISERROR(F518),"",VLOOKUP(C518,INDIRECT($F$8),6+(O530-1)*3,0))</f>
        <v/>
      </c>
      <c r="B530" s="41" t="str">
        <f ca="1">IF(ISERROR(F518),"",VLOOKUP(D518,INDIRECT($F$8),6+(O530-1)*3-Z530,0))</f>
        <v/>
      </c>
      <c r="C530" s="41"/>
      <c r="D530" s="41"/>
      <c r="E530" s="41"/>
      <c r="F530" s="7" t="str">
        <f ca="1">IF(ISERROR(F518),"",VLOOKUP(E518,INDIRECT($F$8),6+(O530-1)*3,0))</f>
        <v/>
      </c>
      <c r="G530" s="42" t="str">
        <f ca="1">IF(ISERROR(F518),"",_xlfn.TEXTJOIN("/",FALSE,P530,S530))</f>
        <v/>
      </c>
      <c r="H530" s="42"/>
      <c r="I530" s="42" t="str">
        <f ca="1">IF(ISERROR(F518),"",_xlfn.TEXTJOIN("/",FALSE,Q530,T530))</f>
        <v/>
      </c>
      <c r="J530" s="42"/>
      <c r="K530" s="42" t="str">
        <f ca="1">IF(ISERROR(F518),"",_xlfn.TEXTJOIN("/",FALSE,R530,U530))</f>
        <v/>
      </c>
      <c r="L530" s="42"/>
      <c r="M530" s="7" t="str">
        <f ca="1">IF(ISERROR(F518),"",IF(ISTEXT(P530),IF(P530="A","Ab",IF(P530="D","Dt",IF(P530="UFM","UFM",IF(P530="NA","")))),IF(AND(ISBLANK(P530),ISBLANK(R530)),"",IF(P530&lt;0.3*S530,"F",IF(ISBLANK(R530),"",IF(ISTEXT(R530),R530,IF(R530&gt;=0.9*U530,"O",IF(R530&gt;=0.85*U530,"A+",IF(R530&gt;=0.8*U530,"A",IF(R530&gt;=0.7*U530,"B+",IF(R530&gt;=0.6*U530,"B",IF(R530&gt;=0.5*U530,"C",IF(R530&gt;=0.4*U530,"P",IF(R530&lt;0.4*U530,"F",R530))))))))))))))</f>
        <v/>
      </c>
      <c r="N530" s="8" t="str">
        <f t="shared" ca="1" si="60"/>
        <v/>
      </c>
      <c r="O530">
        <f t="shared" ca="1" si="61"/>
        <v>10</v>
      </c>
      <c r="P530" s="1" t="str">
        <f ca="1">IF(ISERROR(F518),"",IF(ISTEXT(VLOOKUP(B518,INDIRECT($F$8),6+(O530-1)*3)),(VLOOKUP(B518,INDIRECT($F$8),6+(O530-1)*3)),SUM(VLOOKUP(B518,INDIRECT($F$8),6+(O530-1)*3),IF(W531,W530,0))))</f>
        <v/>
      </c>
      <c r="Q530" s="1" t="str">
        <f ca="1">IF(ISERROR(F518),"",VLOOKUP(B518,INDIRECT($F$8),7+(O530-1)*3))</f>
        <v/>
      </c>
      <c r="R530" s="1" t="str">
        <f ca="1">IF(ISERROR(F518),"",SUM(P530:Q530))</f>
        <v/>
      </c>
      <c r="S530" s="1" t="str">
        <f ca="1">IF(ISERROR(F518),"",VLOOKUP(A518,INDIRECT($F$8),6+(O530-1)*3))</f>
        <v/>
      </c>
      <c r="T530" s="1" t="str">
        <f ca="1">IF(ISERROR(F518),"",VLOOKUP(A518,INDIRECT($F$8),7+(O530-1)*3))</f>
        <v/>
      </c>
      <c r="U530" s="1" t="str">
        <f ca="1">IF(ISERROR(F518),"",VLOOKUP(A518,INDIRECT($F$8),8+(O530-1)*3))</f>
        <v/>
      </c>
      <c r="V530" s="1" t="str">
        <f ca="1">IF(ISERROR(F518),"",IF(N530=0,A530,""))</f>
        <v/>
      </c>
      <c r="W530" s="1" t="str">
        <f ca="1">IF(ISERROR(F518),"",IF(ISTEXT(VLOOKUP(B518,INDIRECT($F$8),6+(O530-1)*3)),11,IF(VLOOKUP(B518,INDIRECT($F$8),6+(O530-1)*3)&lt;S530*0.3,IF(VLOOKUP(B518,INDIRECT($F$8),8+(O530-1)*3)&lt;U530*0.4,IF(AND(0.4*U530-VLOOKUP(B518,INDIRECT($F$8),8+(O530-1)*3)&lt;=5,0.3*S530-VLOOKUP(B518,INDIRECT($F$8),6+(O530-1)*3)&lt;=5),MAX(0.4*U530-VLOOKUP(B518,INDIRECT($F$8),8+(O530-1)*3),0.3*S530-VLOOKUP(B518,INDIRECT($F$8),6+(O530-1)*3)),11),IF(0.3*S530-VLOOKUP(B518,INDIRECT($F$8),6+(O530-1)*3)&lt;=5,0.3*S530-VLOOKUP(B518,INDIRECT($F$8),6+(O530-1)*3),11)),IF(VLOOKUP(B518,INDIRECT($F$8),8+(O530-1)*3)&lt;U530*0.4,IF(U530*0.4-VLOOKUP(B518,INDIRECT($F$8),8+(O530-1)*3)&lt;=5,U530*0.4-VLOOKUP(B518,INDIRECT($F$8),8+(O530-1)*3),11),0))))</f>
        <v/>
      </c>
      <c r="X530" s="1" t="str">
        <f ca="1">IF(ISERROR(F518),"",IF(W530=0,"",_xlfn.TEXTJOIN("",FALSE," G+",W530," in ",A530)))</f>
        <v/>
      </c>
    </row>
    <row r="531" spans="1:24" ht="14.25" customHeight="1" x14ac:dyDescent="0.2">
      <c r="A531" s="43" t="str">
        <f ca="1">IF(ISERROR(F518),"",A514)</f>
        <v/>
      </c>
      <c r="B531" s="43"/>
      <c r="C531" s="43"/>
      <c r="D531" s="43"/>
      <c r="E531" s="43"/>
      <c r="F531" s="10" t="str">
        <f ca="1">IF(ISERROR(F518),"",SUM(F523:F530))</f>
        <v/>
      </c>
      <c r="G531" s="44" t="str">
        <f ca="1">IF(ISERROR(F518),"",_xlfn.TEXTJOIN("/",TRUE,SUMIF(F523:F530,"&gt;0",P523:P530),SUMIF(F523:F530,"&gt;0",S523:S530)))</f>
        <v/>
      </c>
      <c r="H531" s="44"/>
      <c r="I531" s="44" t="str">
        <f ca="1">IF(ISERROR(F518),"",_xlfn.TEXTJOIN("/",TRUE,SUMIF(F523:F530,"&gt;0",Q523:Q530),SUMIF(F523:F530,"&gt;0",T523:T530)))</f>
        <v/>
      </c>
      <c r="J531" s="44"/>
      <c r="K531" s="44" t="str">
        <f ca="1">IF(ISERROR(F518),"",_xlfn.TEXTJOIN("/",TRUE,SUMIF(F523:F530,"&gt;0",R523:R530),SUMIF(F523:F530,"&gt;0",U523:U530)))</f>
        <v/>
      </c>
      <c r="L531" s="44"/>
      <c r="M531" s="43" t="str">
        <f ca="1">IF(ISERROR(F518),"",SUMPRODUCT(N523:N530,F523:F530))</f>
        <v/>
      </c>
      <c r="N531" s="43"/>
      <c r="V531" s="1" t="str">
        <f ca="1">IF(ISERROR(F518),"",_xlfn.TEXTJOIN(", ",TRUE,V523:V530))</f>
        <v/>
      </c>
      <c r="W531" t="str">
        <f ca="1">IF(ISERROR(F518),"",IF(SUM(W523:W530)&lt;=W522,TRUE,FALSE))</f>
        <v/>
      </c>
      <c r="X531" s="1" t="str">
        <f ca="1">IF(ISERROR(F518),"",_xlfn.TEXTJOIN(",",TRUE,X523:X530))</f>
        <v/>
      </c>
    </row>
    <row r="532" spans="1:24" ht="14.25" customHeight="1" x14ac:dyDescent="0.2">
      <c r="A532" s="43" t="str">
        <f ca="1">IF(ISERROR(F518),"",A515)</f>
        <v/>
      </c>
      <c r="B532" s="45" t="str">
        <f ca="1">IF(ISERROR(F518),"",IF(V531="","PASS","CARRY OVER"))</f>
        <v/>
      </c>
      <c r="C532" s="45"/>
      <c r="D532" s="43" t="str">
        <f ca="1">IF(ISERROR(F518),"",D515)</f>
        <v/>
      </c>
      <c r="E532" s="45" t="str">
        <f ca="1">IF(ISERROR(F518),"",IF(V531="",IF(X531="","",X531),_xlfn.TEXTJOIN(" ",TRUE,"BACK IN",V531)))</f>
        <v/>
      </c>
      <c r="F532" s="45"/>
      <c r="G532" s="43" t="str">
        <f ca="1">IF(ISERROR(F518),"",G515)</f>
        <v/>
      </c>
      <c r="H532" s="46" t="str">
        <f ca="1">IF(ISERROR(F518),"",M531/F531)</f>
        <v/>
      </c>
      <c r="I532" s="43" t="str">
        <f ca="1">IF(ISERROR(F518),"",I515)</f>
        <v/>
      </c>
      <c r="J532" s="46" t="str">
        <f ca="1">IF(ISERROR(F518),"",VLOOKUP(B518,INDIRECT($F$8),12+(O530-1)*3,0))</f>
        <v/>
      </c>
      <c r="K532" s="45" t="str">
        <f ca="1">IF(ISERROR(F518),"",K515)</f>
        <v/>
      </c>
      <c r="L532" s="43" t="str">
        <f ca="1">IF(ISERROR(F518),"",SUMIF(N523:N530,"&gt;0",F523:F530))</f>
        <v/>
      </c>
      <c r="M532" s="45" t="str">
        <f ca="1">IF(ISERROR(F518),"",M515)</f>
        <v/>
      </c>
      <c r="N532" s="43" t="str">
        <f ca="1">IF(ISERROR(F518),"",VLOOKUP(B518,INDIRECT($F$8),10+(O530-1)*3,0))</f>
        <v/>
      </c>
    </row>
    <row r="533" spans="1:24" ht="14.25" customHeight="1" x14ac:dyDescent="0.2">
      <c r="A533" s="43"/>
      <c r="B533" s="45"/>
      <c r="C533" s="45"/>
      <c r="D533" s="43"/>
      <c r="E533" s="45"/>
      <c r="F533" s="45"/>
      <c r="G533" s="43"/>
      <c r="H533" s="46"/>
      <c r="I533" s="43"/>
      <c r="J533" s="46"/>
      <c r="K533" s="45"/>
      <c r="L533" s="43"/>
      <c r="M533" s="45"/>
      <c r="N533" s="43"/>
    </row>
    <row r="534" spans="1:24" ht="14.25" customHeight="1" x14ac:dyDescent="0.2">
      <c r="A534" s="43"/>
      <c r="B534" s="45"/>
      <c r="C534" s="45"/>
      <c r="D534" s="43"/>
      <c r="E534" s="45"/>
      <c r="F534" s="45"/>
      <c r="G534" s="43"/>
      <c r="H534" s="46"/>
      <c r="I534" s="43"/>
      <c r="J534" s="46"/>
      <c r="K534" s="45"/>
      <c r="L534" s="43"/>
      <c r="M534" s="45"/>
      <c r="N534" s="43"/>
    </row>
    <row r="535" spans="1:24" ht="14.25" customHeight="1" x14ac:dyDescent="0.2">
      <c r="A535" s="11" t="str">
        <f>A518</f>
        <v>MM</v>
      </c>
      <c r="B535" s="11">
        <f>B518+1</f>
        <v>32</v>
      </c>
      <c r="C535" s="11" t="str">
        <f>C518</f>
        <v>SC</v>
      </c>
      <c r="D535" s="11" t="str">
        <f>D518</f>
        <v>SN</v>
      </c>
      <c r="E535" s="11" t="str">
        <f>E518</f>
        <v>C</v>
      </c>
      <c r="F535" s="11" t="e">
        <f ca="1">VLOOKUP(B535,INDIRECT($F$8),4,0)</f>
        <v>#N/A</v>
      </c>
    </row>
    <row r="536" spans="1:24" ht="14.25" customHeight="1" x14ac:dyDescent="0.2">
      <c r="A536" s="47" t="str">
        <f ca="1">IF(ISERROR(F535),"",A519)</f>
        <v/>
      </c>
      <c r="B536" s="47" t="str">
        <f ca="1">IFERROR(VLOOKUP(B535,INDIRECT($F$8),4,0),"")</f>
        <v/>
      </c>
      <c r="C536" s="47"/>
      <c r="D536" s="47" t="str">
        <f ca="1">IF(ISERROR(F535),"",D519)</f>
        <v/>
      </c>
      <c r="E536" s="47" t="str">
        <f ca="1">IFERROR(VLOOKUP(B535,INDIRECT($F$8),5,0),"")</f>
        <v/>
      </c>
      <c r="F536" s="47"/>
      <c r="G536" s="47" t="str">
        <f ca="1">IF(ISERROR(F535),"",G519)</f>
        <v/>
      </c>
      <c r="H536" s="47"/>
      <c r="I536" s="48" t="str">
        <f ca="1">IFERROR(VLOOKUP(B535,INDIRECT($F$8),2,0),"")</f>
        <v/>
      </c>
      <c r="J536" s="48"/>
      <c r="K536" s="47" t="str">
        <f ca="1">IF(ISERROR(F535),"",K519)</f>
        <v/>
      </c>
      <c r="L536" s="47"/>
      <c r="M536" s="48" t="str">
        <f ca="1">IFERROR(VLOOKUP(B535,INDIRECT($F$8),3,0),"")</f>
        <v/>
      </c>
      <c r="N536" s="48"/>
    </row>
    <row r="537" spans="1:24" ht="14.25" customHeight="1" x14ac:dyDescent="0.2">
      <c r="A537" s="47"/>
      <c r="B537" s="47"/>
      <c r="C537" s="47"/>
      <c r="D537" s="47"/>
      <c r="E537" s="47"/>
      <c r="F537" s="47"/>
      <c r="G537" s="47"/>
      <c r="H537" s="47"/>
      <c r="I537" s="48"/>
      <c r="J537" s="48"/>
      <c r="K537" s="47"/>
      <c r="L537" s="47"/>
      <c r="M537" s="48"/>
      <c r="N537" s="48"/>
    </row>
    <row r="538" spans="1:24" ht="14.25" customHeight="1" x14ac:dyDescent="0.2">
      <c r="A538" s="45" t="str">
        <f ca="1">IF(ISERROR(F535),"",A521)</f>
        <v/>
      </c>
      <c r="B538" s="45" t="str">
        <f ca="1">IF(ISERROR(F535),"",B521)</f>
        <v/>
      </c>
      <c r="C538" s="45"/>
      <c r="D538" s="45"/>
      <c r="E538" s="45"/>
      <c r="F538" s="45" t="str">
        <f ca="1">IF(ISERROR(F535),"",F521)</f>
        <v/>
      </c>
      <c r="G538" s="45" t="str">
        <f ca="1">IF(ISERROR(F535),"",G521)</f>
        <v/>
      </c>
      <c r="H538" s="45"/>
      <c r="I538" s="45" t="str">
        <f ca="1">IF(ISERROR(F535),"",I521)</f>
        <v/>
      </c>
      <c r="J538" s="45"/>
      <c r="K538" s="45" t="str">
        <f ca="1">IF(ISERROR(F535),"",K521)</f>
        <v/>
      </c>
      <c r="L538" s="45"/>
      <c r="M538" s="45" t="str">
        <f ca="1">IF(ISERROR(F535),"",M521)</f>
        <v/>
      </c>
      <c r="N538" s="45" t="str">
        <f ca="1">IF(ISERROR(F535),"",N521)</f>
        <v/>
      </c>
    </row>
    <row r="539" spans="1:24" ht="14.25" customHeight="1" x14ac:dyDescent="0.2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W539">
        <f ca="1">IF(ISNUMBER(MATCH($F$8,{"I","III","V","VII"},0)),10,10-INDEX(INDIRECT(_xlfn.TEXTJOIN("",TRUE,"SEM_",$G$8,"!",ADDRESS(6,4+$I$8*3+4),":",ADDRESS(5+$H$8,4+$I$8*3+4))),MATCH(INDIRECT(_xlfn.TEXTJOIN("",TRUE,"TC_",$F$8,"!",ADDRESS(ROW(I536),COLUMN(I536)))),INDIRECT(_xlfn.TEXTJOIN("",TRUE,"SEM_",$G$8,"!",ADDRESS(6,2),":",ADDRESS(5+$H$8,2))))))</f>
        <v>10</v>
      </c>
    </row>
    <row r="540" spans="1:24" ht="14.25" customHeight="1" x14ac:dyDescent="0.2">
      <c r="A540" s="7" t="str">
        <f ca="1">IF(ISERROR(F535),"",VLOOKUP(C535,INDIRECT($F$8),6+(O540-1)*3,0))</f>
        <v/>
      </c>
      <c r="B540" s="41" t="str">
        <f ca="1">IF(ISERROR(F535),"",VLOOKUP(D535,INDIRECT($F$8),6+(O540-1)*3,0))</f>
        <v/>
      </c>
      <c r="C540" s="41"/>
      <c r="D540" s="41"/>
      <c r="E540" s="41"/>
      <c r="F540" s="7" t="str">
        <f ca="1">IF(ISERROR(F535),"",VLOOKUP(E535,INDIRECT($F$8),6+(O540-1)*3,0))</f>
        <v/>
      </c>
      <c r="G540" s="42" t="str">
        <f ca="1">IF(ISERROR(F535),"",_xlfn.TEXTJOIN("/",FALSE,P540,S540))</f>
        <v/>
      </c>
      <c r="H540" s="42"/>
      <c r="I540" s="42" t="str">
        <f ca="1">IF(ISERROR(F535),"",_xlfn.TEXTJOIN("/",FALSE,Q540,T540))</f>
        <v/>
      </c>
      <c r="J540" s="42"/>
      <c r="K540" s="42" t="str">
        <f ca="1">IF(ISERROR(F535),"",_xlfn.TEXTJOIN("/",FALSE,R540,U540))</f>
        <v/>
      </c>
      <c r="L540" s="42"/>
      <c r="M540" s="7" t="str">
        <f ca="1">IF(ISERROR(F535),"",IF(ISTEXT(P540),IF(P540="A","Ab",IF(P540="D","Dt",IF(P540="UFM","UFM",IF(P540="NA","")))),IF(AND(ISBLANK(P540),ISBLANK(R540)),"",IF(P540&lt;0.3*S540,"F",IF(ISBLANK(R540),"",IF(ISTEXT(R540),R540,IF(R540&gt;=0.9*U540,"O",IF(R540&gt;=0.85*U540,"A+",IF(R540&gt;=0.8*U540,"A",IF(R540&gt;=0.7*U540,"B+",IF(R540&gt;=0.6*U540,"B",IF(R540&gt;=0.5*U540,"C",IF(R540&gt;=0.4*U540,"P",IF(R540&lt;0.4*U540,"F",R540))))))))))))))</f>
        <v/>
      </c>
      <c r="N540" s="8" t="str">
        <f t="shared" ref="N540:N547" ca="1" si="62">INDEX($Z$2:$Z$13,MATCH(M540,$Y$2:$Y$13,0))</f>
        <v/>
      </c>
      <c r="O540">
        <v>1</v>
      </c>
      <c r="P540" s="1" t="str">
        <f ca="1">IF(ISERROR(F535),"",IF(ISTEXT(VLOOKUP(B535,INDIRECT($F$8),6+(O540-1)*3)),(VLOOKUP(B535,INDIRECT($F$8),6+(O540-1)*3)),SUM(VLOOKUP(B535,INDIRECT($F$8),6+(O540-1)*3),IF(W548,W540,0))))</f>
        <v/>
      </c>
      <c r="Q540" s="1" t="str">
        <f ca="1">IF(ISERROR(F535),"",VLOOKUP(B535,INDIRECT($F$8),7+(O540-1)*3))</f>
        <v/>
      </c>
      <c r="R540" s="1" t="str">
        <f ca="1">IF(ISERROR(F535),"",SUM(P540:Q540))</f>
        <v/>
      </c>
      <c r="S540" s="1" t="str">
        <f ca="1">IF(ISERROR(F535),"",VLOOKUP(A535,INDIRECT($F$8),6+(O540-1)*3))</f>
        <v/>
      </c>
      <c r="T540" s="1" t="str">
        <f ca="1">IF(ISERROR(F535),"",VLOOKUP(A535,INDIRECT($F$8),7+(O540-1)*3))</f>
        <v/>
      </c>
      <c r="U540" s="1" t="str">
        <f ca="1">IF(ISERROR(F535),"",VLOOKUP(A535,INDIRECT($F$8),8+(O540-1)*3))</f>
        <v/>
      </c>
      <c r="V540" s="1" t="str">
        <f ca="1">IF(ISERROR(F535),"",IF(N540=0,A540,""))</f>
        <v/>
      </c>
      <c r="W540" s="1" t="str">
        <f ca="1">IF(ISERROR(F535),"",IF(ISTEXT(VLOOKUP(B535,INDIRECT($F$8),6+(O540-1)*3)),11,IF(VLOOKUP(B535,INDIRECT($F$8),6+(O540-1)*3)&lt;S540*0.3,IF(VLOOKUP(B535,INDIRECT($F$8),8+(O540-1)*3)&lt;U540*0.4,IF(AND(0.4*U540-VLOOKUP(B535,INDIRECT($F$8),8+(O540-1)*3)&lt;=5,0.3*S540-VLOOKUP(B535,INDIRECT($F$8),6+(O540-1)*3)&lt;=5),MAX(0.4*U540-VLOOKUP(B535,INDIRECT($F$8),8+(O540-1)*3),0.3*S540-VLOOKUP(B535,INDIRECT($F$8),6+(O540-1)*3)),11),IF(0.3*S540-VLOOKUP(B535,INDIRECT($F$8),6+(O540-1)*3)&lt;=5,0.3*S540-VLOOKUP(B535,INDIRECT($F$8),6+(O540-1)*3),11)),IF(VLOOKUP(B535,INDIRECT($F$8),8+(O540-1)*3)&lt;U540*0.4,IF(U540*0.4-VLOOKUP(B535,INDIRECT($F$8),8+(O540-1)*3)&lt;=5,U540*0.4-VLOOKUP(B535,INDIRECT($F$8),8+(O540-1)*3),11),0))))</f>
        <v/>
      </c>
      <c r="X540" s="1" t="str">
        <f ca="1">IF(ISERROR(F535),"",IF(W540=0,"",_xlfn.TEXTJOIN("",FALSE," G+",W540," in ",A540)))</f>
        <v/>
      </c>
    </row>
    <row r="541" spans="1:24" ht="14.25" customHeight="1" x14ac:dyDescent="0.2">
      <c r="A541" s="7" t="str">
        <f ca="1">IF(ISERROR(F535),"",VLOOKUP(C535,INDIRECT($F$8),6+(O541-1)*3,0))</f>
        <v/>
      </c>
      <c r="B541" s="41" t="str">
        <f ca="1">IF(ISERROR(F535),"",VLOOKUP(D535,INDIRECT($F$8),6+(O541-1)*3,0))</f>
        <v/>
      </c>
      <c r="C541" s="41"/>
      <c r="D541" s="41"/>
      <c r="E541" s="41"/>
      <c r="F541" s="7" t="str">
        <f ca="1">IF(ISERROR(F535),"",VLOOKUP(E535,INDIRECT($F$8),6+(O541-1)*3,0))</f>
        <v/>
      </c>
      <c r="G541" s="42" t="str">
        <f ca="1">IF(ISERROR(F535),"",_xlfn.TEXTJOIN("/",FALSE,P541,S541))</f>
        <v/>
      </c>
      <c r="H541" s="42"/>
      <c r="I541" s="42" t="str">
        <f ca="1">IF(ISERROR(F535),"",_xlfn.TEXTJOIN("/",FALSE,Q541,T541))</f>
        <v/>
      </c>
      <c r="J541" s="42"/>
      <c r="K541" s="42" t="str">
        <f ca="1">IF(ISERROR(F535),"",_xlfn.TEXTJOIN("/",FALSE,R541,U541))</f>
        <v/>
      </c>
      <c r="L541" s="42"/>
      <c r="M541" s="7" t="str">
        <f ca="1">IF(ISERROR(F535),"",IF(ISTEXT(P541),IF(P541="A","Ab",IF(P541="D","Dt",IF(P541="UFM","UFM",IF(P541="NA","")))),IF(AND(ISBLANK(P541),ISBLANK(R541)),"",IF(P541&lt;0.3*S541,"F",IF(ISBLANK(R541),"",IF(ISTEXT(R541),R541,IF(R541&gt;=0.9*U541,"O",IF(R541&gt;=0.85*U541,"A+",IF(R541&gt;=0.8*U541,"A",IF(R541&gt;=0.7*U541,"B+",IF(R541&gt;=0.6*U541,"B",IF(R541&gt;=0.5*U541,"C",IF(R541&gt;=0.4*U541,"P",IF(R541&lt;0.4*U541,"F",R541))))))))))))))</f>
        <v/>
      </c>
      <c r="N541" s="8" t="str">
        <f t="shared" ca="1" si="62"/>
        <v/>
      </c>
      <c r="O541">
        <f>O540+1</f>
        <v>2</v>
      </c>
      <c r="P541" s="1" t="str">
        <f ca="1">IF(ISERROR(F535),"",IF(ISTEXT(VLOOKUP(B535,INDIRECT($F$8),6+(O541-1)*3)),(VLOOKUP(B535,INDIRECT($F$8),6+(O541-1)*3)),SUM(VLOOKUP(B535,INDIRECT($F$8),6+(O541-1)*3),IF(W548,W541,0))))</f>
        <v/>
      </c>
      <c r="Q541" s="1" t="str">
        <f ca="1">IF(ISERROR(F535),"",VLOOKUP(B535,INDIRECT($F$8),7+(O541-1)*3))</f>
        <v/>
      </c>
      <c r="R541" s="1" t="str">
        <f ca="1">IF(ISERROR(F535),"",SUM(P541:Q541))</f>
        <v/>
      </c>
      <c r="S541" s="1" t="str">
        <f ca="1">IF(ISERROR(F535),"",VLOOKUP(A535,INDIRECT($F$8),6+(O541-1)*3))</f>
        <v/>
      </c>
      <c r="T541" s="1" t="str">
        <f ca="1">IF(ISERROR(F535),"",VLOOKUP(A535,INDIRECT($F$8),7+(O541-1)*3))</f>
        <v/>
      </c>
      <c r="U541" s="1" t="str">
        <f ca="1">IF(ISERROR(F535),"",VLOOKUP(A535,INDIRECT($F$8),8+(O541-1)*3))</f>
        <v/>
      </c>
      <c r="V541" s="1" t="str">
        <f ca="1">IF(ISERROR(F535),"",IF(N541=0,A541,""))</f>
        <v/>
      </c>
      <c r="W541" s="1" t="str">
        <f ca="1">IF(ISERROR(F535),"",IF(ISTEXT(VLOOKUP(B535,INDIRECT($F$8),6+(O541-1)*3)),11,IF(VLOOKUP(B535,INDIRECT($F$8),6+(O541-1)*3)&lt;S541*0.3,IF(VLOOKUP(B535,INDIRECT($F$8),8+(O541-1)*3)&lt;U541*0.4,IF(AND(0.4*U541-VLOOKUP(B535,INDIRECT($F$8),8+(O541-1)*3)&lt;=5,0.3*S541-VLOOKUP(B535,INDIRECT($F$8),6+(O541-1)*3)&lt;=5),MAX(0.4*U541-VLOOKUP(B535,INDIRECT($F$8),8+(O541-1)*3),0.3*S541-VLOOKUP(B535,INDIRECT($F$8),6+(O541-1)*3)),11),IF(0.3*S541-VLOOKUP(B535,INDIRECT($F$8),6+(O541-1)*3)&lt;=5,0.3*S541-VLOOKUP(B535,INDIRECT($F$8),6+(O541-1)*3),11)),IF(VLOOKUP(B535,INDIRECT($F$8),8+(O541-1)*3)&lt;U541*0.4,IF(U541*0.4-VLOOKUP(B535,INDIRECT($F$8),8+(O541-1)*3)&lt;=5,U541*0.4-VLOOKUP(B535,INDIRECT($F$8),8+(O541-1)*3),11),0))))</f>
        <v/>
      </c>
      <c r="X541" s="1" t="str">
        <f ca="1">IF(ISERROR(F535),"",IF(W541=0,"",_xlfn.TEXTJOIN("",FALSE," G+",W541," in ",A541)))</f>
        <v/>
      </c>
    </row>
    <row r="542" spans="1:24" ht="14.25" customHeight="1" x14ac:dyDescent="0.2">
      <c r="A542" s="7" t="str">
        <f ca="1">IF(ISERROR(F535),"",VLOOKUP(C535,INDIRECT($F$8),6+(O542-1)*3,0))</f>
        <v/>
      </c>
      <c r="B542" s="41" t="str">
        <f ca="1">IF(ISERROR(F535),"",VLOOKUP(D535,INDIRECT($F$8),6+(O542-1)*3,0))</f>
        <v/>
      </c>
      <c r="C542" s="41"/>
      <c r="D542" s="41"/>
      <c r="E542" s="41"/>
      <c r="F542" s="7" t="str">
        <f ca="1">IF(ISERROR(F535),"",VLOOKUP(E535,INDIRECT($F$8),6+(O542-1)*3,0))</f>
        <v/>
      </c>
      <c r="G542" s="42" t="str">
        <f ca="1">IF(ISERROR(F535),"",_xlfn.TEXTJOIN("/",FALSE,P542,S542))</f>
        <v/>
      </c>
      <c r="H542" s="42"/>
      <c r="I542" s="42" t="str">
        <f ca="1">IF(ISERROR(F535),"",_xlfn.TEXTJOIN("/",FALSE,Q542,T542))</f>
        <v/>
      </c>
      <c r="J542" s="42"/>
      <c r="K542" s="42" t="str">
        <f ca="1">IF(ISERROR(F535),"",_xlfn.TEXTJOIN("/",FALSE,R542,U542))</f>
        <v/>
      </c>
      <c r="L542" s="42"/>
      <c r="M542" s="7" t="str">
        <f ca="1">IF(ISERROR(F535),"",IF(ISTEXT(P542),IF(P542="A","Ab",IF(P542="D","Dt",IF(P542="UFM","UFM",IF(P542="NA","")))),IF(AND(ISBLANK(P542),ISBLANK(R542)),"",IF(P542&lt;0.3*S542,"F",IF(ISBLANK(R542),"",IF(ISTEXT(R542),R542,IF(R542&gt;=0.9*U542,"O",IF(R542&gt;=0.85*U542,"A+",IF(R542&gt;=0.8*U542,"A",IF(R542&gt;=0.7*U542,"B+",IF(R542&gt;=0.6*U542,"B",IF(R542&gt;=0.5*U542,"C",IF(R542&gt;=0.4*U542,"P",IF(R542&lt;0.4*U542,"F",R542))))))))))))))</f>
        <v/>
      </c>
      <c r="N542" s="8" t="str">
        <f t="shared" ca="1" si="62"/>
        <v/>
      </c>
      <c r="O542" t="b" cm="1">
        <f t="array" aca="1" ref="O542" ca="1">IF(NOT(ISBLANK(INDIRECT("SEM_III!L"&amp;INT((ROW(O542)-15)/17)+6))),3,IF(NOT(ISBLANK(INDIRECT("SEM_III!O"&amp;INT((ROW(O542)-15)/17)+6))),4))</f>
        <v>0</v>
      </c>
      <c r="P542" s="1" t="str">
        <f ca="1">IF(ISERROR(F535),"",IF(ISTEXT(VLOOKUP(B535,INDIRECT($F$8),6+(O542-1)*3)),(VLOOKUP(B535,INDIRECT($F$8),6+(O542-1)*3)),SUM(VLOOKUP(B535,INDIRECT($F$8),6+(O542-1)*3),IF(W548,W542,0))))</f>
        <v/>
      </c>
      <c r="Q542" s="1" t="str">
        <f ca="1">IF(ISERROR(F535),"",VLOOKUP(B535,INDIRECT($F$8),7+(O542-1)*3))</f>
        <v/>
      </c>
      <c r="R542" s="1" t="str">
        <f ca="1">IF(ISERROR(F535),"",SUM(P542:Q542))</f>
        <v/>
      </c>
      <c r="S542" s="1" t="str">
        <f ca="1">IF(ISERROR(F535),"",VLOOKUP(A535,INDIRECT($F$8),6+(O542-1)*3))</f>
        <v/>
      </c>
      <c r="T542" s="1" t="str">
        <f ca="1">IF(ISERROR(F535),"",VLOOKUP(A535,INDIRECT($F$8),7+(O542-1)*3))</f>
        <v/>
      </c>
      <c r="U542" s="1" t="str">
        <f ca="1">IF(ISERROR(F535),"",VLOOKUP(A535,INDIRECT($F$8),8+(O542-1)*3))</f>
        <v/>
      </c>
      <c r="V542" s="1" t="str">
        <f ca="1">IF(ISERROR(F535),"",IF(N542=0,A542,""))</f>
        <v/>
      </c>
      <c r="W542" s="1" t="str">
        <f ca="1">IF(ISERROR(F535),"",IF(ISTEXT(VLOOKUP(B535,INDIRECT($F$8),6+(O542-1)*3)),11,IF(VLOOKUP(B535,INDIRECT($F$8),6+(O542-1)*3)&lt;S542*0.3,IF(VLOOKUP(B535,INDIRECT($F$8),8+(O542-1)*3)&lt;U542*0.4,IF(AND(0.4*U542-VLOOKUP(B535,INDIRECT($F$8),8+(O542-1)*3)&lt;=5,0.3*S542-VLOOKUP(B535,INDIRECT($F$8),6+(O542-1)*3)&lt;=5),MAX(0.4*U542-VLOOKUP(B535,INDIRECT($F$8),8+(O542-1)*3),0.3*S542-VLOOKUP(B535,INDIRECT($F$8),6+(O542-1)*3)),11),IF(0.3*S542-VLOOKUP(B535,INDIRECT($F$8),6+(O542-1)*3)&lt;=5,0.3*S542-VLOOKUP(B535,INDIRECT($F$8),6+(O542-1)*3),11)),IF(VLOOKUP(B535,INDIRECT($F$8),8+(O542-1)*3)&lt;U542*0.4,IF(U542*0.4-VLOOKUP(B535,INDIRECT($F$8),8+(O542-1)*3)&lt;=5,U542*0.4-VLOOKUP(B535,INDIRECT($F$8),8+(O542-1)*3),11),0))))</f>
        <v/>
      </c>
      <c r="X542" s="1" t="str">
        <f ca="1">IF(ISERROR(F535),"",IF(W542=0,"",_xlfn.TEXTJOIN("",FALSE," G+",W542," in ",A542)))</f>
        <v/>
      </c>
    </row>
    <row r="543" spans="1:24" ht="14.25" customHeight="1" x14ac:dyDescent="0.2">
      <c r="A543" s="7" t="str">
        <f ca="1">IF(ISERROR(F535),"",VLOOKUP(C535,INDIRECT($F$8),6+(O543-1)*3,0))</f>
        <v/>
      </c>
      <c r="B543" s="41" t="str">
        <f ca="1">IF(ISERROR(F535),"",VLOOKUP(D535,INDIRECT($F$8),6+(O543-1)*3,0))</f>
        <v/>
      </c>
      <c r="C543" s="41"/>
      <c r="D543" s="41"/>
      <c r="E543" s="41"/>
      <c r="F543" s="7" t="str">
        <f ca="1">IF(ISERROR(F535),"",VLOOKUP(E535,INDIRECT($F$8),6+(O543-1)*3,0))</f>
        <v/>
      </c>
      <c r="G543" s="42" t="str">
        <f ca="1">IF(ISERROR(F535),"",_xlfn.TEXTJOIN("/",FALSE,P543,S543))</f>
        <v/>
      </c>
      <c r="H543" s="42"/>
      <c r="I543" s="42" t="str">
        <f ca="1">IF(ISERROR(F535),"",_xlfn.TEXTJOIN("/",FALSE,Q543,T543))</f>
        <v/>
      </c>
      <c r="J543" s="42"/>
      <c r="K543" s="42" t="str">
        <f ca="1">IF(ISERROR(F535),"",_xlfn.TEXTJOIN("/",FALSE,R543,U543))</f>
        <v/>
      </c>
      <c r="L543" s="42"/>
      <c r="M543" s="7" t="str">
        <f ca="1">IF(ISERROR(F535),"",IF(ISTEXT(P543),IF(P543="A","Ab",IF(P543="D","Dt",IF(P543="UFM","UFM",IF(P543="NA","")))),IF(AND(ISBLANK(P543),ISBLANK(R543)),"",IF(P543&lt;0.3*S543,"F",IF(ISBLANK(R543),"",IF(ISTEXT(R543),R543,IF(R543&gt;=0.9*U543,"O",IF(R543&gt;=0.85*U543,"A+",IF(R543&gt;=0.8*U543,"A",IF(R543&gt;=0.7*U543,"B+",IF(R543&gt;=0.6*U543,"B",IF(R543&gt;=0.5*U543,"C",IF(R543&gt;=0.4*U543,"P",IF(R543&lt;0.4*U543,"F",R543))))))))))))))</f>
        <v/>
      </c>
      <c r="N543" s="8" t="str">
        <f t="shared" ca="1" si="62"/>
        <v/>
      </c>
      <c r="O543" t="b" cm="1">
        <f t="array" aca="1" ref="O543" ca="1">IF(NOT(ISBLANK(INDIRECT("SEM_III!R"&amp;INT((ROW(O543)-16)/17)+6))),5,IF(NOT(ISBLANK(INDIRECT("SEM_III!U"&amp;INT((ROW(O543)-16)/17)+6))),6))</f>
        <v>0</v>
      </c>
      <c r="P543" s="1" t="str">
        <f ca="1">IF(ISERROR(F535),"",IF(ISTEXT(VLOOKUP(B535,INDIRECT($F$8),6+(O543-1)*3)),(VLOOKUP(B535,INDIRECT($F$8),6+(O543-1)*3)),SUM(VLOOKUP(B535,INDIRECT($F$8),6+(O543-1)*3),IF(W548,W543,0))))</f>
        <v/>
      </c>
      <c r="Q543" s="1" t="str">
        <f ca="1">IF(ISERROR(F535),"",VLOOKUP(B535,INDIRECT($F$8),7+(O543-1)*3))</f>
        <v/>
      </c>
      <c r="R543" s="1" t="str">
        <f ca="1">IF(ISERROR(F535),"",SUM(P543:Q543))</f>
        <v/>
      </c>
      <c r="S543" s="1" t="str">
        <f ca="1">IF(ISERROR(F535),"",VLOOKUP(A535,INDIRECT($F$8),6+(O543-1)*3))</f>
        <v/>
      </c>
      <c r="T543" s="1" t="str">
        <f ca="1">IF(ISERROR(F535),"",VLOOKUP(A535,INDIRECT($F$8),7+(O543-1)*3))</f>
        <v/>
      </c>
      <c r="U543" s="1" t="str">
        <f ca="1">IF(ISERROR(F535),"",VLOOKUP(A535,INDIRECT($F$8),8+(O543-1)*3))</f>
        <v/>
      </c>
      <c r="V543" s="1" t="str">
        <f ca="1">IF(ISERROR(F535),"",IF(N543=0,A543,""))</f>
        <v/>
      </c>
      <c r="W543" s="1" t="str">
        <f ca="1">IF(ISERROR(F535),"",IF(ISTEXT(VLOOKUP(B535,INDIRECT($F$8),6+(O543-1)*3)),11,IF(VLOOKUP(B535,INDIRECT($F$8),6+(O543-1)*3)&lt;S543*0.3,IF(VLOOKUP(B535,INDIRECT($F$8),8+(O543-1)*3)&lt;U543*0.4,IF(AND(0.4*U543-VLOOKUP(B535,INDIRECT($F$8),8+(O543-1)*3)&lt;=5,0.3*S543-VLOOKUP(B535,INDIRECT($F$8),6+(O543-1)*3)&lt;=5),MAX(0.4*U543-VLOOKUP(B535,INDIRECT($F$8),8+(O543-1)*3),0.3*S543-VLOOKUP(B535,INDIRECT($F$8),6+(O543-1)*3)),11),IF(0.3*S543-VLOOKUP(B535,INDIRECT($F$8),6+(O543-1)*3)&lt;=5,0.3*S543-VLOOKUP(B535,INDIRECT($F$8),6+(O543-1)*3),11)),IF(VLOOKUP(B535,INDIRECT($F$8),8+(O543-1)*3)&lt;U543*0.4,IF(U543*0.4-VLOOKUP(B535,INDIRECT($F$8),8+(O543-1)*3)&lt;=5,U543*0.4-VLOOKUP(B535,INDIRECT($F$8),8+(O543-1)*3),11),0))))</f>
        <v/>
      </c>
      <c r="X543" s="1" t="str">
        <f ca="1">IF(ISERROR(F535),"",IF(W543=0,"",_xlfn.TEXTJOIN("",FALSE," G+",W543," in ",A543)))</f>
        <v/>
      </c>
    </row>
    <row r="544" spans="1:24" ht="14.25" customHeight="1" x14ac:dyDescent="0.2">
      <c r="A544" s="7" t="str">
        <f ca="1">IF(ISERROR(F535),"",VLOOKUP(C535,INDIRECT($F$8),6+(O544-1)*3,0))</f>
        <v/>
      </c>
      <c r="B544" s="41" t="str">
        <f ca="1">IF(ISERROR(F535),"",VLOOKUP(D535,INDIRECT($F$8),6+(O544-1)*3,0))</f>
        <v/>
      </c>
      <c r="C544" s="41"/>
      <c r="D544" s="41"/>
      <c r="E544" s="41"/>
      <c r="F544" s="7" t="str">
        <f ca="1">IF(ISERROR(F535),"",VLOOKUP(E535,INDIRECT($F$8),6+(O544-1)*3,0))</f>
        <v/>
      </c>
      <c r="G544" s="42" t="str">
        <f ca="1">IF(ISERROR(F535),"",_xlfn.TEXTJOIN("/",FALSE,P544,S544))</f>
        <v/>
      </c>
      <c r="H544" s="42"/>
      <c r="I544" s="42" t="str">
        <f ca="1">IF(ISERROR(F535),"",_xlfn.TEXTJOIN("/",FALSE,Q544,T544))</f>
        <v/>
      </c>
      <c r="J544" s="42"/>
      <c r="K544" s="42" t="str">
        <f ca="1">IF(ISERROR(F535),"",_xlfn.TEXTJOIN("/",FALSE,R544,U544))</f>
        <v/>
      </c>
      <c r="L544" s="42"/>
      <c r="M544" s="7" t="str">
        <f ca="1">IF(ISERROR(F535),"",IF(ISTEXT(P544),IF(P544="A","Ab",IF(P544="D","Dt",IF(P544="UFM","UFM",IF(P544="NA","")))),IF(AND(ISBLANK(P544),ISBLANK(R544)),"",IF(P544&lt;0.3*S544,"F",IF(ISBLANK(R544),"",IF(ISTEXT(R544),R544,IF(R544&gt;=0.9*U544,"O",IF(R544&gt;=0.85*U544,"A+",IF(R544&gt;=0.8*U544,"A",IF(R544&gt;=0.7*U544,"B+",IF(R544&gt;=0.6*U544,"B",IF(R544&gt;=0.5*U544,"C",IF(R544&gt;=0.4*U544,"P",IF(R544&lt;0.4*U544,"F",R544))))))))))))))</f>
        <v/>
      </c>
      <c r="N544" s="8" t="str">
        <f t="shared" ca="1" si="62"/>
        <v/>
      </c>
      <c r="O544">
        <f ca="1">IF(O543&gt;0,7,"")</f>
        <v>7</v>
      </c>
      <c r="P544" s="1" t="str">
        <f ca="1">IF(ISERROR(F535),"",IF(ISTEXT(VLOOKUP(B535,INDIRECT($F$8),6+(O544-1)*3)),(VLOOKUP(B535,INDIRECT($F$8),6+(O544-1)*3)),SUM(VLOOKUP(B535,INDIRECT($F$8),6+(O544-1)*3),IF(W548,W544,0))))</f>
        <v/>
      </c>
      <c r="Q544" s="1" t="str">
        <f ca="1">IF(ISERROR(F535),"",VLOOKUP(B535,INDIRECT($F$8),7+(O544-1)*3))</f>
        <v/>
      </c>
      <c r="R544" s="1" t="str">
        <f ca="1">IF(ISERROR(F535),"",SUM(P544:Q544))</f>
        <v/>
      </c>
      <c r="S544" s="1" t="str">
        <f ca="1">IF(ISERROR(F535),"",VLOOKUP(A535,INDIRECT($F$8),6+(O544-1)*3))</f>
        <v/>
      </c>
      <c r="T544" s="1" t="str">
        <f ca="1">IF(ISERROR(F535),"",VLOOKUP(A535,INDIRECT($F$8),7+(O544-1)*3))</f>
        <v/>
      </c>
      <c r="U544" s="1" t="str">
        <f ca="1">IF(ISERROR(F535),"",VLOOKUP(A535,INDIRECT($F$8),8+(O544-1)*3))</f>
        <v/>
      </c>
      <c r="V544" s="1" t="str">
        <f ca="1">IF(ISERROR(F535),"",IF(N544=0,A544,""))</f>
        <v/>
      </c>
      <c r="W544" s="1" t="str">
        <f ca="1">IF(ISERROR(F535),"",IF(ISTEXT(VLOOKUP(B535,INDIRECT($F$8),6+(O544-1)*3)),11,IF(VLOOKUP(B535,INDIRECT($F$8),6+(O544-1)*3)&lt;S544*0.3,IF(VLOOKUP(B535,INDIRECT($F$8),8+(O544-1)*3)&lt;U544*0.4,IF(AND(0.4*U544-VLOOKUP(B535,INDIRECT($F$8),8+(O544-1)*3)&lt;=5,0.3*S544-VLOOKUP(B535,INDIRECT($F$8),6+(O544-1)*3)&lt;=5),MAX(0.4*U544-VLOOKUP(B535,INDIRECT($F$8),8+(O544-1)*3),0.3*S544-VLOOKUP(B535,INDIRECT($F$8),6+(O544-1)*3)),11),IF(0.3*S544-VLOOKUP(B535,INDIRECT($F$8),6+(O544-1)*3)&lt;=5,0.3*S544-VLOOKUP(B535,INDIRECT($F$8),6+(O544-1)*3),11)),IF(VLOOKUP(B535,INDIRECT($F$8),8+(O544-1)*3)&lt;U544*0.4,IF(U544*0.4-VLOOKUP(B535,INDIRECT($F$8),8+(O544-1)*3)&lt;=5,U544*0.4-VLOOKUP(B535,INDIRECT($F$8),8+(O544-1)*3),11),0))))</f>
        <v/>
      </c>
      <c r="X544" s="1" t="str">
        <f ca="1">IF(ISERROR(F535),"",IF(W544=0,"",_xlfn.TEXTJOIN("",FALSE," G+",W544," in ",A544)))</f>
        <v/>
      </c>
    </row>
    <row r="545" spans="1:24" ht="14.25" customHeight="1" x14ac:dyDescent="0.2">
      <c r="A545" s="7" t="str">
        <f ca="1">IF(ISERROR(F535),"",VLOOKUP(C535,INDIRECT($F$8),6+(O545-1)*3,0))</f>
        <v/>
      </c>
      <c r="B545" s="41" t="str">
        <f ca="1">IF(ISERROR(F535),"",VLOOKUP(D535,INDIRECT($F$8),6+(O545-1)*3,0))</f>
        <v/>
      </c>
      <c r="C545" s="41"/>
      <c r="D545" s="41"/>
      <c r="E545" s="41"/>
      <c r="F545" s="7" t="str">
        <f ca="1">IF(ISERROR(F535),"",VLOOKUP(E535,INDIRECT($F$8),6+(O545-1)*3,0))</f>
        <v/>
      </c>
      <c r="G545" s="42" t="str">
        <f ca="1">IF(ISERROR(F535),"",_xlfn.TEXTJOIN("/",FALSE,P545,S545))</f>
        <v/>
      </c>
      <c r="H545" s="42"/>
      <c r="I545" s="42" t="str">
        <f ca="1">IF(ISERROR(F535),"",_xlfn.TEXTJOIN("/",FALSE,Q545,T545))</f>
        <v/>
      </c>
      <c r="J545" s="42"/>
      <c r="K545" s="42" t="str">
        <f ca="1">IF(ISERROR(F535),"",_xlfn.TEXTJOIN("/",FALSE,R545,U545))</f>
        <v/>
      </c>
      <c r="L545" s="42"/>
      <c r="M545" s="7" t="str">
        <f ca="1">IF(ISERROR(F535),"",IF(ISTEXT(P545),IF(P545="A","Ab",IF(P545="D","Dt",IF(P545="UFM","UFM",IF(P545="NA","")))),IF(AND(ISBLANK(P545),ISBLANK(R545)),"",IF(P545&lt;0.3*S545,"F",IF(ISBLANK(R545),"",IF(ISTEXT(R545),R545,IF(R545&gt;=0.9*U545,"O",IF(R545&gt;=0.85*U545,"A+",IF(R545&gt;=0.8*U545,"A",IF(R545&gt;=0.7*U545,"B+",IF(R545&gt;=0.6*U545,"B",IF(R545&gt;=0.5*U545,"C",IF(R545&gt;=0.4*U545,"P",IF(R545&lt;0.4*U545,"F",R545))))))))))))))</f>
        <v/>
      </c>
      <c r="N545" s="8" t="str">
        <f t="shared" ca="1" si="62"/>
        <v/>
      </c>
      <c r="O545">
        <f t="shared" ref="O545:O547" ca="1" si="63">O544+1</f>
        <v>8</v>
      </c>
      <c r="P545" s="1" t="str">
        <f ca="1">IF(ISERROR(F535),"",IF(ISTEXT(VLOOKUP(B535,INDIRECT($F$8),6+(O545-1)*3)),(VLOOKUP(B535,INDIRECT($F$8),6+(O545-1)*3)),SUM(VLOOKUP(B535,INDIRECT($F$8),6+(O545-1)*3),IF(W548,W545,0))))</f>
        <v/>
      </c>
      <c r="Q545" s="1" t="str">
        <f ca="1">IF(ISERROR(F535),"",VLOOKUP(B535,INDIRECT($F$8),7+(O545-1)*3))</f>
        <v/>
      </c>
      <c r="R545" s="1" t="str">
        <f ca="1">IF(ISERROR(F535),"",SUM(P545:Q545))</f>
        <v/>
      </c>
      <c r="S545" s="1" t="str">
        <f ca="1">IF(ISERROR(F535),"",VLOOKUP(A535,INDIRECT($F$8),6+(O545-1)*3))</f>
        <v/>
      </c>
      <c r="T545" s="1" t="str">
        <f ca="1">IF(ISERROR(F535),"",VLOOKUP(A535,INDIRECT($F$8),7+(O545-1)*3))</f>
        <v/>
      </c>
      <c r="U545" s="1" t="str">
        <f ca="1">IF(ISERROR(F535),"",VLOOKUP(A535,INDIRECT($F$8),8+(O545-1)*3))</f>
        <v/>
      </c>
      <c r="V545" s="1" t="str">
        <f ca="1">IF(ISERROR(F535),"",IF(N545=0,A545,""))</f>
        <v/>
      </c>
      <c r="W545" s="1" t="str">
        <f ca="1">IF(ISERROR(F535),"",IF(ISTEXT(VLOOKUP(B535,INDIRECT($F$8),6+(O545-1)*3)),11,IF(VLOOKUP(B535,INDIRECT($F$8),6+(O545-1)*3)&lt;S545*0.3,IF(VLOOKUP(B535,INDIRECT($F$8),8+(O545-1)*3)&lt;U545*0.4,IF(AND(0.4*U545-VLOOKUP(B535,INDIRECT($F$8),8+(O545-1)*3)&lt;=5,0.3*S545-VLOOKUP(B535,INDIRECT($F$8),6+(O545-1)*3)&lt;=5),MAX(0.4*U545-VLOOKUP(B535,INDIRECT($F$8),8+(O545-1)*3),0.3*S545-VLOOKUP(B535,INDIRECT($F$8),6+(O545-1)*3)),11),IF(0.3*S545-VLOOKUP(B535,INDIRECT($F$8),6+(O545-1)*3)&lt;=5,0.3*S545-VLOOKUP(B535,INDIRECT($F$8),6+(O545-1)*3),11)),IF(VLOOKUP(B535,INDIRECT($F$8),8+(O545-1)*3)&lt;U545*0.4,IF(U545*0.4-VLOOKUP(B535,INDIRECT($F$8),8+(O545-1)*3)&lt;=5,U545*0.4-VLOOKUP(B535,INDIRECT($F$8),8+(O545-1)*3),11),0))))</f>
        <v/>
      </c>
      <c r="X545" s="1" t="str">
        <f ca="1">IF(ISERROR(F535),"",IF(W545=0,"",_xlfn.TEXTJOIN("",FALSE," G+",W545," in ",A545)))</f>
        <v/>
      </c>
    </row>
    <row r="546" spans="1:24" ht="14.25" customHeight="1" x14ac:dyDescent="0.2">
      <c r="A546" s="7" t="str">
        <f ca="1">IF(ISERROR(F535),"",VLOOKUP(C535,INDIRECT($F$8),6+(O546-1)*3,0))</f>
        <v/>
      </c>
      <c r="B546" s="41" t="str">
        <f ca="1">IF(ISERROR(F535),"",VLOOKUP(D535,INDIRECT($F$8),6+(O546-1)*3,0))</f>
        <v/>
      </c>
      <c r="C546" s="41"/>
      <c r="D546" s="41"/>
      <c r="E546" s="41"/>
      <c r="F546" s="7" t="str">
        <f ca="1">IF(ISERROR(F535),"",VLOOKUP(E535,INDIRECT($F$8),6+(O546-1)*3,0))</f>
        <v/>
      </c>
      <c r="G546" s="42" t="str">
        <f ca="1">IF(ISERROR(F535),"",_xlfn.TEXTJOIN("/",FALSE,P546,S546))</f>
        <v/>
      </c>
      <c r="H546" s="42"/>
      <c r="I546" s="42" t="str">
        <f ca="1">IF(ISERROR(F535),"",_xlfn.TEXTJOIN("/",FALSE,Q546,T546))</f>
        <v/>
      </c>
      <c r="J546" s="42"/>
      <c r="K546" s="42" t="str">
        <f ca="1">IF(ISERROR(F535),"",_xlfn.TEXTJOIN("/",FALSE,R546,U546))</f>
        <v/>
      </c>
      <c r="L546" s="42"/>
      <c r="M546" s="7" t="str">
        <f ca="1">IF(ISERROR(F535),"",IF(ISTEXT(P546),IF(P546="A","Ab",IF(P546="D","Dt",IF(P546="UFM","UFM",IF(P546="NA","")))),IF(AND(ISBLANK(P546),ISBLANK(R546)),"",IF(P546&lt;0.3*S546,"F",IF(ISBLANK(R546),"",IF(ISTEXT(R546),R546,IF(R546&gt;=0.9*U546,"O",IF(R546&gt;=0.85*U546,"A+",IF(R546&gt;=0.8*U546,"A",IF(R546&gt;=0.7*U546,"B+",IF(R546&gt;=0.6*U546,"B",IF(R546&gt;=0.5*U546,"C",IF(R546&gt;=0.4*U546,"P",IF(R546&lt;0.4*U546,"F",R546))))))))))))))</f>
        <v/>
      </c>
      <c r="N546" s="8" t="str">
        <f t="shared" ca="1" si="62"/>
        <v/>
      </c>
      <c r="O546">
        <f t="shared" ca="1" si="63"/>
        <v>9</v>
      </c>
      <c r="P546" s="1" t="str">
        <f ca="1">IF(ISERROR(F535),"",IF(ISTEXT(VLOOKUP(B535,INDIRECT($F$8),6+(O546-1)*3)),(VLOOKUP(B535,INDIRECT($F$8),6+(O546-1)*3)),SUM(VLOOKUP(B535,INDIRECT($F$8),6+(O546-1)*3),IF(W548,W546,0))))</f>
        <v/>
      </c>
      <c r="Q546" s="1" t="str">
        <f ca="1">IF(ISERROR(F535),"",VLOOKUP(B535,INDIRECT($F$8),7+(O546-1)*3))</f>
        <v/>
      </c>
      <c r="R546" s="1" t="str">
        <f ca="1">IF(ISERROR(F535),"",SUM(P546:Q546))</f>
        <v/>
      </c>
      <c r="S546" s="1" t="str">
        <f ca="1">IF(ISERROR(F535),"",VLOOKUP(A535,INDIRECT($F$8),6+(O546-1)*3))</f>
        <v/>
      </c>
      <c r="T546" s="1" t="str">
        <f ca="1">IF(ISERROR(F535),"",VLOOKUP(A535,INDIRECT($F$8),7+(O546-1)*3))</f>
        <v/>
      </c>
      <c r="U546" s="1" t="str">
        <f ca="1">IF(ISERROR(F535),"",VLOOKUP(A535,INDIRECT($F$8),8+(O546-1)*3))</f>
        <v/>
      </c>
      <c r="V546" s="1" t="str">
        <f ca="1">IF(ISERROR(F535),"",IF(N546=0,A546,""))</f>
        <v/>
      </c>
      <c r="W546" s="1" t="str">
        <f ca="1">IF(ISERROR(F535),"",IF(ISTEXT(VLOOKUP(B535,INDIRECT($F$8),6+(O546-1)*3)),11,IF(VLOOKUP(B535,INDIRECT($F$8),6+(O546-1)*3)&lt;S546*0.3,IF(VLOOKUP(B535,INDIRECT($F$8),8+(O546-1)*3)&lt;U546*0.4,IF(AND(0.4*U546-VLOOKUP(B535,INDIRECT($F$8),8+(O546-1)*3)&lt;=5,0.3*S546-VLOOKUP(B535,INDIRECT($F$8),6+(O546-1)*3)&lt;=5),MAX(0.4*U546-VLOOKUP(B535,INDIRECT($F$8),8+(O546-1)*3),0.3*S546-VLOOKUP(B535,INDIRECT($F$8),6+(O546-1)*3)),11),IF(0.3*S546-VLOOKUP(B535,INDIRECT($F$8),6+(O546-1)*3)&lt;=5,0.3*S546-VLOOKUP(B535,INDIRECT($F$8),6+(O546-1)*3),11)),IF(VLOOKUP(B535,INDIRECT($F$8),8+(O546-1)*3)&lt;U546*0.4,IF(U546*0.4-VLOOKUP(B535,INDIRECT($F$8),8+(O546-1)*3)&lt;=5,U546*0.4-VLOOKUP(B535,INDIRECT($F$8),8+(O546-1)*3),11),0))))</f>
        <v/>
      </c>
      <c r="X546" s="1" t="str">
        <f ca="1">IF(ISERROR(F535),"",IF(W546=0,"",_xlfn.TEXTJOIN("",FALSE," G+",W546," in ",A546)))</f>
        <v/>
      </c>
    </row>
    <row r="547" spans="1:24" ht="14.25" customHeight="1" x14ac:dyDescent="0.2">
      <c r="A547" s="7" t="str">
        <f ca="1">IF(ISERROR(F535),"",VLOOKUP(C535,INDIRECT($F$8),6+(O547-1)*3,0))</f>
        <v/>
      </c>
      <c r="B547" s="41" t="str">
        <f ca="1">IF(ISERROR(F535),"",VLOOKUP(D535,INDIRECT($F$8),6+(O547-1)*3-Z547,0))</f>
        <v/>
      </c>
      <c r="C547" s="41"/>
      <c r="D547" s="41"/>
      <c r="E547" s="41"/>
      <c r="F547" s="7" t="str">
        <f ca="1">IF(ISERROR(F535),"",VLOOKUP(E535,INDIRECT($F$8),6+(O547-1)*3,0))</f>
        <v/>
      </c>
      <c r="G547" s="42" t="str">
        <f ca="1">IF(ISERROR(F535),"",_xlfn.TEXTJOIN("/",FALSE,P547,S547))</f>
        <v/>
      </c>
      <c r="H547" s="42"/>
      <c r="I547" s="42" t="str">
        <f ca="1">IF(ISERROR(F535),"",_xlfn.TEXTJOIN("/",FALSE,Q547,T547))</f>
        <v/>
      </c>
      <c r="J547" s="42"/>
      <c r="K547" s="42" t="str">
        <f ca="1">IF(ISERROR(F535),"",_xlfn.TEXTJOIN("/",FALSE,R547,U547))</f>
        <v/>
      </c>
      <c r="L547" s="42"/>
      <c r="M547" s="7" t="str">
        <f ca="1">IF(ISERROR(F535),"",IF(ISTEXT(P547),IF(P547="A","Ab",IF(P547="D","Dt",IF(P547="UFM","UFM",IF(P547="NA","")))),IF(AND(ISBLANK(P547),ISBLANK(R547)),"",IF(P547&lt;0.3*S547,"F",IF(ISBLANK(R547),"",IF(ISTEXT(R547),R547,IF(R547&gt;=0.9*U547,"O",IF(R547&gt;=0.85*U547,"A+",IF(R547&gt;=0.8*U547,"A",IF(R547&gt;=0.7*U547,"B+",IF(R547&gt;=0.6*U547,"B",IF(R547&gt;=0.5*U547,"C",IF(R547&gt;=0.4*U547,"P",IF(R547&lt;0.4*U547,"F",R547))))))))))))))</f>
        <v/>
      </c>
      <c r="N547" s="8" t="str">
        <f t="shared" ca="1" si="62"/>
        <v/>
      </c>
      <c r="O547">
        <f t="shared" ca="1" si="63"/>
        <v>10</v>
      </c>
      <c r="P547" s="1" t="str">
        <f ca="1">IF(ISERROR(F535),"",IF(ISTEXT(VLOOKUP(B535,INDIRECT($F$8),6+(O547-1)*3)),(VLOOKUP(B535,INDIRECT($F$8),6+(O547-1)*3)),SUM(VLOOKUP(B535,INDIRECT($F$8),6+(O547-1)*3),IF(W548,W547,0))))</f>
        <v/>
      </c>
      <c r="Q547" s="1" t="str">
        <f ca="1">IF(ISERROR(F535),"",VLOOKUP(B535,INDIRECT($F$8),7+(O547-1)*3))</f>
        <v/>
      </c>
      <c r="R547" s="1" t="str">
        <f ca="1">IF(ISERROR(F535),"",SUM(P547:Q547))</f>
        <v/>
      </c>
      <c r="S547" s="1" t="str">
        <f ca="1">IF(ISERROR(F535),"",VLOOKUP(A535,INDIRECT($F$8),6+(O547-1)*3))</f>
        <v/>
      </c>
      <c r="T547" s="1" t="str">
        <f ca="1">IF(ISERROR(F535),"",VLOOKUP(A535,INDIRECT($F$8),7+(O547-1)*3))</f>
        <v/>
      </c>
      <c r="U547" s="1" t="str">
        <f ca="1">IF(ISERROR(F535),"",VLOOKUP(A535,INDIRECT($F$8),8+(O547-1)*3))</f>
        <v/>
      </c>
      <c r="V547" s="1" t="str">
        <f ca="1">IF(ISERROR(F535),"",IF(N547=0,A547,""))</f>
        <v/>
      </c>
      <c r="W547" s="1" t="str">
        <f ca="1">IF(ISERROR(F535),"",IF(ISTEXT(VLOOKUP(B535,INDIRECT($F$8),6+(O547-1)*3)),11,IF(VLOOKUP(B535,INDIRECT($F$8),6+(O547-1)*3)&lt;S547*0.3,IF(VLOOKUP(B535,INDIRECT($F$8),8+(O547-1)*3)&lt;U547*0.4,IF(AND(0.4*U547-VLOOKUP(B535,INDIRECT($F$8),8+(O547-1)*3)&lt;=5,0.3*S547-VLOOKUP(B535,INDIRECT($F$8),6+(O547-1)*3)&lt;=5),MAX(0.4*U547-VLOOKUP(B535,INDIRECT($F$8),8+(O547-1)*3),0.3*S547-VLOOKUP(B535,INDIRECT($F$8),6+(O547-1)*3)),11),IF(0.3*S547-VLOOKUP(B535,INDIRECT($F$8),6+(O547-1)*3)&lt;=5,0.3*S547-VLOOKUP(B535,INDIRECT($F$8),6+(O547-1)*3),11)),IF(VLOOKUP(B535,INDIRECT($F$8),8+(O547-1)*3)&lt;U547*0.4,IF(U547*0.4-VLOOKUP(B535,INDIRECT($F$8),8+(O547-1)*3)&lt;=5,U547*0.4-VLOOKUP(B535,INDIRECT($F$8),8+(O547-1)*3),11),0))))</f>
        <v/>
      </c>
      <c r="X547" s="1" t="str">
        <f ca="1">IF(ISERROR(F535),"",IF(W547=0,"",_xlfn.TEXTJOIN("",FALSE," G+",W547," in ",A547)))</f>
        <v/>
      </c>
    </row>
    <row r="548" spans="1:24" ht="14.25" customHeight="1" x14ac:dyDescent="0.2">
      <c r="A548" s="43" t="str">
        <f ca="1">IF(ISERROR(F535),"",A531)</f>
        <v/>
      </c>
      <c r="B548" s="43"/>
      <c r="C548" s="43"/>
      <c r="D548" s="43"/>
      <c r="E548" s="43"/>
      <c r="F548" s="10" t="str">
        <f ca="1">IF(ISERROR(F535),"",SUM(F540:F547))</f>
        <v/>
      </c>
      <c r="G548" s="44" t="str">
        <f ca="1">IF(ISERROR(F535),"",_xlfn.TEXTJOIN("/",TRUE,SUMIF(F540:F547,"&gt;0",P540:P547),SUMIF(F540:F547,"&gt;0",S540:S547)))</f>
        <v/>
      </c>
      <c r="H548" s="44"/>
      <c r="I548" s="44" t="str">
        <f ca="1">IF(ISERROR(F535),"",_xlfn.TEXTJOIN("/",TRUE,SUMIF(F540:F547,"&gt;0",Q540:Q547),SUMIF(F540:F547,"&gt;0",T540:T547)))</f>
        <v/>
      </c>
      <c r="J548" s="44"/>
      <c r="K548" s="44" t="str">
        <f ca="1">IF(ISERROR(F535),"",_xlfn.TEXTJOIN("/",TRUE,SUMIF(F540:F547,"&gt;0",R540:R547),SUMIF(F540:F547,"&gt;0",U540:U547)))</f>
        <v/>
      </c>
      <c r="L548" s="44"/>
      <c r="M548" s="43" t="str">
        <f ca="1">IF(ISERROR(F535),"",SUMPRODUCT(N540:N547,F540:F547))</f>
        <v/>
      </c>
      <c r="N548" s="43"/>
      <c r="V548" s="1" t="str">
        <f ca="1">IF(ISERROR(F535),"",_xlfn.TEXTJOIN(", ",TRUE,V540:V547))</f>
        <v/>
      </c>
      <c r="W548" t="str">
        <f ca="1">IF(ISERROR(F535),"",IF(SUM(W540:W547)&lt;=W539,TRUE,FALSE))</f>
        <v/>
      </c>
      <c r="X548" s="1" t="str">
        <f ca="1">IF(ISERROR(F535),"",_xlfn.TEXTJOIN(",",TRUE,X540:X547))</f>
        <v/>
      </c>
    </row>
    <row r="549" spans="1:24" ht="14.25" customHeight="1" x14ac:dyDescent="0.2">
      <c r="A549" s="43" t="str">
        <f ca="1">IF(ISERROR(F535),"",A532)</f>
        <v/>
      </c>
      <c r="B549" s="45" t="str">
        <f ca="1">IF(ISERROR(F535),"",IF(V548="","PASS","CARRY OVER"))</f>
        <v/>
      </c>
      <c r="C549" s="45"/>
      <c r="D549" s="43" t="str">
        <f ca="1">IF(ISERROR(F535),"",D532)</f>
        <v/>
      </c>
      <c r="E549" s="45" t="str">
        <f ca="1">IF(ISERROR(F535),"",IF(V548="",IF(X548="","",X548),_xlfn.TEXTJOIN(" ",TRUE,"BACK IN",V548)))</f>
        <v/>
      </c>
      <c r="F549" s="45"/>
      <c r="G549" s="43" t="str">
        <f ca="1">IF(ISERROR(F535),"",G532)</f>
        <v/>
      </c>
      <c r="H549" s="46" t="str">
        <f ca="1">IF(ISERROR(F535),"",M548/F548)</f>
        <v/>
      </c>
      <c r="I549" s="43" t="str">
        <f ca="1">IF(ISERROR(F535),"",I532)</f>
        <v/>
      </c>
      <c r="J549" s="46" t="str">
        <f ca="1">IF(ISERROR(F535),"",VLOOKUP(B535,INDIRECT($F$8),12+(O547-1)*3,0))</f>
        <v/>
      </c>
      <c r="K549" s="45" t="str">
        <f ca="1">IF(ISERROR(F535),"",K532)</f>
        <v/>
      </c>
      <c r="L549" s="43" t="str">
        <f ca="1">IF(ISERROR(F535),"",SUMIF(N540:N547,"&gt;0",F540:F547))</f>
        <v/>
      </c>
      <c r="M549" s="45" t="str">
        <f ca="1">IF(ISERROR(F535),"",M532)</f>
        <v/>
      </c>
      <c r="N549" s="43" t="str">
        <f ca="1">IF(ISERROR(F535),"",VLOOKUP(B535,INDIRECT($F$8),10+(O547-1)*3,0))</f>
        <v/>
      </c>
    </row>
    <row r="550" spans="1:24" ht="14.25" customHeight="1" x14ac:dyDescent="0.2">
      <c r="A550" s="43"/>
      <c r="B550" s="45"/>
      <c r="C550" s="45"/>
      <c r="D550" s="43"/>
      <c r="E550" s="45"/>
      <c r="F550" s="45"/>
      <c r="G550" s="43"/>
      <c r="H550" s="46"/>
      <c r="I550" s="43"/>
      <c r="J550" s="46"/>
      <c r="K550" s="45"/>
      <c r="L550" s="43"/>
      <c r="M550" s="45"/>
      <c r="N550" s="43"/>
    </row>
    <row r="551" spans="1:24" ht="14.25" customHeight="1" x14ac:dyDescent="0.2">
      <c r="A551" s="43"/>
      <c r="B551" s="45"/>
      <c r="C551" s="45"/>
      <c r="D551" s="43"/>
      <c r="E551" s="45"/>
      <c r="F551" s="45"/>
      <c r="G551" s="43"/>
      <c r="H551" s="46"/>
      <c r="I551" s="43"/>
      <c r="J551" s="46"/>
      <c r="K551" s="45"/>
      <c r="L551" s="43"/>
      <c r="M551" s="45"/>
      <c r="N551" s="43"/>
    </row>
    <row r="552" spans="1:24" ht="14.25" customHeight="1" x14ac:dyDescent="0.2">
      <c r="A552" s="11" t="str">
        <f>A535</f>
        <v>MM</v>
      </c>
      <c r="B552" s="11">
        <f>B535+1</f>
        <v>33</v>
      </c>
      <c r="C552" s="11" t="str">
        <f>C535</f>
        <v>SC</v>
      </c>
      <c r="D552" s="11" t="str">
        <f>D535</f>
        <v>SN</v>
      </c>
      <c r="E552" s="11" t="str">
        <f>E535</f>
        <v>C</v>
      </c>
      <c r="F552" s="11" t="e">
        <f ca="1">VLOOKUP(B552,INDIRECT($F$8),4,0)</f>
        <v>#N/A</v>
      </c>
    </row>
    <row r="553" spans="1:24" ht="14.25" customHeight="1" x14ac:dyDescent="0.2">
      <c r="A553" s="47" t="str">
        <f ca="1">IF(ISERROR(F552),"",A536)</f>
        <v/>
      </c>
      <c r="B553" s="47" t="str">
        <f ca="1">IFERROR(VLOOKUP(B552,INDIRECT($F$8),4,0),"")</f>
        <v/>
      </c>
      <c r="C553" s="47"/>
      <c r="D553" s="47" t="str">
        <f ca="1">IF(ISERROR(F552),"",D536)</f>
        <v/>
      </c>
      <c r="E553" s="47" t="str">
        <f ca="1">IFERROR(VLOOKUP(B552,INDIRECT($F$8),5,0),"")</f>
        <v/>
      </c>
      <c r="F553" s="47"/>
      <c r="G553" s="47" t="str">
        <f ca="1">IF(ISERROR(F552),"",G536)</f>
        <v/>
      </c>
      <c r="H553" s="47"/>
      <c r="I553" s="48" t="str">
        <f ca="1">IFERROR(VLOOKUP(B552,INDIRECT($F$8),2,0),"")</f>
        <v/>
      </c>
      <c r="J553" s="48"/>
      <c r="K553" s="47" t="str">
        <f ca="1">IF(ISERROR(F552),"",K536)</f>
        <v/>
      </c>
      <c r="L553" s="47"/>
      <c r="M553" s="48" t="str">
        <f ca="1">IFERROR(VLOOKUP(B552,INDIRECT($F$8),3,0),"")</f>
        <v/>
      </c>
      <c r="N553" s="48"/>
    </row>
    <row r="554" spans="1:24" ht="14.25" customHeight="1" x14ac:dyDescent="0.2">
      <c r="A554" s="47"/>
      <c r="B554" s="47"/>
      <c r="C554" s="47"/>
      <c r="D554" s="47"/>
      <c r="E554" s="47"/>
      <c r="F554" s="47"/>
      <c r="G554" s="47"/>
      <c r="H554" s="47"/>
      <c r="I554" s="48"/>
      <c r="J554" s="48"/>
      <c r="K554" s="47"/>
      <c r="L554" s="47"/>
      <c r="M554" s="48"/>
      <c r="N554" s="48"/>
    </row>
    <row r="555" spans="1:24" ht="14.25" customHeight="1" x14ac:dyDescent="0.2">
      <c r="A555" s="45" t="str">
        <f ca="1">IF(ISERROR(F552),"",A538)</f>
        <v/>
      </c>
      <c r="B555" s="45" t="str">
        <f ca="1">IF(ISERROR(F552),"",B538)</f>
        <v/>
      </c>
      <c r="C555" s="45"/>
      <c r="D555" s="45"/>
      <c r="E555" s="45"/>
      <c r="F555" s="45" t="str">
        <f ca="1">IF(ISERROR(F552),"",F538)</f>
        <v/>
      </c>
      <c r="G555" s="45" t="str">
        <f ca="1">IF(ISERROR(F552),"",G538)</f>
        <v/>
      </c>
      <c r="H555" s="45"/>
      <c r="I555" s="45" t="str">
        <f ca="1">IF(ISERROR(F552),"",I538)</f>
        <v/>
      </c>
      <c r="J555" s="45"/>
      <c r="K555" s="45" t="str">
        <f ca="1">IF(ISERROR(F552),"",K538)</f>
        <v/>
      </c>
      <c r="L555" s="45"/>
      <c r="M555" s="45" t="str">
        <f ca="1">IF(ISERROR(F552),"",M538)</f>
        <v/>
      </c>
      <c r="N555" s="45" t="str">
        <f ca="1">IF(ISERROR(F552),"",N538)</f>
        <v/>
      </c>
    </row>
    <row r="556" spans="1:24" ht="14.25" customHeight="1" x14ac:dyDescent="0.2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W556">
        <f ca="1">IF(ISNUMBER(MATCH($F$8,{"I","III","V","VII"},0)),10,10-INDEX(INDIRECT(_xlfn.TEXTJOIN("",TRUE,"SEM_",$G$8,"!",ADDRESS(6,4+$I$8*3+4),":",ADDRESS(5+$H$8,4+$I$8*3+4))),MATCH(INDIRECT(_xlfn.TEXTJOIN("",TRUE,"TC_",$F$8,"!",ADDRESS(ROW(I553),COLUMN(I553)))),INDIRECT(_xlfn.TEXTJOIN("",TRUE,"SEM_",$G$8,"!",ADDRESS(6,2),":",ADDRESS(5+$H$8,2))))))</f>
        <v>10</v>
      </c>
    </row>
    <row r="557" spans="1:24" ht="14.25" customHeight="1" x14ac:dyDescent="0.2">
      <c r="A557" s="7" t="str">
        <f ca="1">IF(ISERROR(F552),"",VLOOKUP(C552,INDIRECT($F$8),6+(O557-1)*3,0))</f>
        <v/>
      </c>
      <c r="B557" s="41" t="str">
        <f ca="1">IF(ISERROR(F552),"",VLOOKUP(D552,INDIRECT($F$8),6+(O557-1)*3,0))</f>
        <v/>
      </c>
      <c r="C557" s="41"/>
      <c r="D557" s="41"/>
      <c r="E557" s="41"/>
      <c r="F557" s="7" t="str">
        <f ca="1">IF(ISERROR(F552),"",VLOOKUP(E552,INDIRECT($F$8),6+(O557-1)*3,0))</f>
        <v/>
      </c>
      <c r="G557" s="42" t="str">
        <f ca="1">IF(ISERROR(F552),"",_xlfn.TEXTJOIN("/",FALSE,P557,S557))</f>
        <v/>
      </c>
      <c r="H557" s="42"/>
      <c r="I557" s="42" t="str">
        <f ca="1">IF(ISERROR(F552),"",_xlfn.TEXTJOIN("/",FALSE,Q557,T557))</f>
        <v/>
      </c>
      <c r="J557" s="42"/>
      <c r="K557" s="42" t="str">
        <f ca="1">IF(ISERROR(F552),"",_xlfn.TEXTJOIN("/",FALSE,R557,U557))</f>
        <v/>
      </c>
      <c r="L557" s="42"/>
      <c r="M557" s="7" t="str">
        <f ca="1">IF(ISERROR(F552),"",IF(ISTEXT(P557),IF(P557="A","Ab",IF(P557="D","Dt",IF(P557="UFM","UFM",IF(P557="NA","")))),IF(AND(ISBLANK(P557),ISBLANK(R557)),"",IF(P557&lt;0.3*S557,"F",IF(ISBLANK(R557),"",IF(ISTEXT(R557),R557,IF(R557&gt;=0.9*U557,"O",IF(R557&gt;=0.85*U557,"A+",IF(R557&gt;=0.8*U557,"A",IF(R557&gt;=0.7*U557,"B+",IF(R557&gt;=0.6*U557,"B",IF(R557&gt;=0.5*U557,"C",IF(R557&gt;=0.4*U557,"P",IF(R557&lt;0.4*U557,"F",R557))))))))))))))</f>
        <v/>
      </c>
      <c r="N557" s="8" t="str">
        <f t="shared" ref="N557:N564" ca="1" si="64">INDEX($Z$2:$Z$13,MATCH(M557,$Y$2:$Y$13,0))</f>
        <v/>
      </c>
      <c r="O557">
        <v>1</v>
      </c>
      <c r="P557" s="1" t="str">
        <f ca="1">IF(ISERROR(F552),"",IF(ISTEXT(VLOOKUP(B552,INDIRECT($F$8),6+(O557-1)*3)),(VLOOKUP(B552,INDIRECT($F$8),6+(O557-1)*3)),SUM(VLOOKUP(B552,INDIRECT($F$8),6+(O557-1)*3),IF(W565,W557,0))))</f>
        <v/>
      </c>
      <c r="Q557" s="1" t="str">
        <f ca="1">IF(ISERROR(F552),"",VLOOKUP(B552,INDIRECT($F$8),7+(O557-1)*3))</f>
        <v/>
      </c>
      <c r="R557" s="1" t="str">
        <f ca="1">IF(ISERROR(F552),"",SUM(P557:Q557))</f>
        <v/>
      </c>
      <c r="S557" s="1" t="str">
        <f ca="1">IF(ISERROR(F552),"",VLOOKUP(A552,INDIRECT($F$8),6+(O557-1)*3))</f>
        <v/>
      </c>
      <c r="T557" s="1" t="str">
        <f ca="1">IF(ISERROR(F552),"",VLOOKUP(A552,INDIRECT($F$8),7+(O557-1)*3))</f>
        <v/>
      </c>
      <c r="U557" s="1" t="str">
        <f ca="1">IF(ISERROR(F552),"",VLOOKUP(A552,INDIRECT($F$8),8+(O557-1)*3))</f>
        <v/>
      </c>
      <c r="V557" s="1" t="str">
        <f ca="1">IF(ISERROR(F552),"",IF(N557=0,A557,""))</f>
        <v/>
      </c>
      <c r="W557" s="1" t="str">
        <f ca="1">IF(ISERROR(F552),"",IF(ISTEXT(VLOOKUP(B552,INDIRECT($F$8),6+(O557-1)*3)),11,IF(VLOOKUP(B552,INDIRECT($F$8),6+(O557-1)*3)&lt;S557*0.3,IF(VLOOKUP(B552,INDIRECT($F$8),8+(O557-1)*3)&lt;U557*0.4,IF(AND(0.4*U557-VLOOKUP(B552,INDIRECT($F$8),8+(O557-1)*3)&lt;=5,0.3*S557-VLOOKUP(B552,INDIRECT($F$8),6+(O557-1)*3)&lt;=5),MAX(0.4*U557-VLOOKUP(B552,INDIRECT($F$8),8+(O557-1)*3),0.3*S557-VLOOKUP(B552,INDIRECT($F$8),6+(O557-1)*3)),11),IF(0.3*S557-VLOOKUP(B552,INDIRECT($F$8),6+(O557-1)*3)&lt;=5,0.3*S557-VLOOKUP(B552,INDIRECT($F$8),6+(O557-1)*3),11)),IF(VLOOKUP(B552,INDIRECT($F$8),8+(O557-1)*3)&lt;U557*0.4,IF(U557*0.4-VLOOKUP(B552,INDIRECT($F$8),8+(O557-1)*3)&lt;=5,U557*0.4-VLOOKUP(B552,INDIRECT($F$8),8+(O557-1)*3),11),0))))</f>
        <v/>
      </c>
      <c r="X557" s="1" t="str">
        <f ca="1">IF(ISERROR(F552),"",IF(W557=0,"",_xlfn.TEXTJOIN("",FALSE," G+",W557," in ",A557)))</f>
        <v/>
      </c>
    </row>
    <row r="558" spans="1:24" ht="14.25" customHeight="1" x14ac:dyDescent="0.2">
      <c r="A558" s="7" t="str">
        <f ca="1">IF(ISERROR(F552),"",VLOOKUP(C552,INDIRECT($F$8),6+(O558-1)*3,0))</f>
        <v/>
      </c>
      <c r="B558" s="41" t="str">
        <f ca="1">IF(ISERROR(F552),"",VLOOKUP(D552,INDIRECT($F$8),6+(O558-1)*3,0))</f>
        <v/>
      </c>
      <c r="C558" s="41"/>
      <c r="D558" s="41"/>
      <c r="E558" s="41"/>
      <c r="F558" s="7" t="str">
        <f ca="1">IF(ISERROR(F552),"",VLOOKUP(E552,INDIRECT($F$8),6+(O558-1)*3,0))</f>
        <v/>
      </c>
      <c r="G558" s="42" t="str">
        <f ca="1">IF(ISERROR(F552),"",_xlfn.TEXTJOIN("/",FALSE,P558,S558))</f>
        <v/>
      </c>
      <c r="H558" s="42"/>
      <c r="I558" s="42" t="str">
        <f ca="1">IF(ISERROR(F552),"",_xlfn.TEXTJOIN("/",FALSE,Q558,T558))</f>
        <v/>
      </c>
      <c r="J558" s="42"/>
      <c r="K558" s="42" t="str">
        <f ca="1">IF(ISERROR(F552),"",_xlfn.TEXTJOIN("/",FALSE,R558,U558))</f>
        <v/>
      </c>
      <c r="L558" s="42"/>
      <c r="M558" s="7" t="str">
        <f ca="1">IF(ISERROR(F552),"",IF(ISTEXT(P558),IF(P558="A","Ab",IF(P558="D","Dt",IF(P558="UFM","UFM",IF(P558="NA","")))),IF(AND(ISBLANK(P558),ISBLANK(R558)),"",IF(P558&lt;0.3*S558,"F",IF(ISBLANK(R558),"",IF(ISTEXT(R558),R558,IF(R558&gt;=0.9*U558,"O",IF(R558&gt;=0.85*U558,"A+",IF(R558&gt;=0.8*U558,"A",IF(R558&gt;=0.7*U558,"B+",IF(R558&gt;=0.6*U558,"B",IF(R558&gt;=0.5*U558,"C",IF(R558&gt;=0.4*U558,"P",IF(R558&lt;0.4*U558,"F",R558))))))))))))))</f>
        <v/>
      </c>
      <c r="N558" s="8" t="str">
        <f t="shared" ca="1" si="64"/>
        <v/>
      </c>
      <c r="O558">
        <f>O557+1</f>
        <v>2</v>
      </c>
      <c r="P558" s="1" t="str">
        <f ca="1">IF(ISERROR(F552),"",IF(ISTEXT(VLOOKUP(B552,INDIRECT($F$8),6+(O558-1)*3)),(VLOOKUP(B552,INDIRECT($F$8),6+(O558-1)*3)),SUM(VLOOKUP(B552,INDIRECT($F$8),6+(O558-1)*3),IF(W565,W558,0))))</f>
        <v/>
      </c>
      <c r="Q558" s="1" t="str">
        <f ca="1">IF(ISERROR(F552),"",VLOOKUP(B552,INDIRECT($F$8),7+(O558-1)*3))</f>
        <v/>
      </c>
      <c r="R558" s="1" t="str">
        <f ca="1">IF(ISERROR(F552),"",SUM(P558:Q558))</f>
        <v/>
      </c>
      <c r="S558" s="1" t="str">
        <f ca="1">IF(ISERROR(F552),"",VLOOKUP(A552,INDIRECT($F$8),6+(O558-1)*3))</f>
        <v/>
      </c>
      <c r="T558" s="1" t="str">
        <f ca="1">IF(ISERROR(F552),"",VLOOKUP(A552,INDIRECT($F$8),7+(O558-1)*3))</f>
        <v/>
      </c>
      <c r="U558" s="1" t="str">
        <f ca="1">IF(ISERROR(F552),"",VLOOKUP(A552,INDIRECT($F$8),8+(O558-1)*3))</f>
        <v/>
      </c>
      <c r="V558" s="1" t="str">
        <f ca="1">IF(ISERROR(F552),"",IF(N558=0,A558,""))</f>
        <v/>
      </c>
      <c r="W558" s="1" t="str">
        <f ca="1">IF(ISERROR(F552),"",IF(ISTEXT(VLOOKUP(B552,INDIRECT($F$8),6+(O558-1)*3)),11,IF(VLOOKUP(B552,INDIRECT($F$8),6+(O558-1)*3)&lt;S558*0.3,IF(VLOOKUP(B552,INDIRECT($F$8),8+(O558-1)*3)&lt;U558*0.4,IF(AND(0.4*U558-VLOOKUP(B552,INDIRECT($F$8),8+(O558-1)*3)&lt;=5,0.3*S558-VLOOKUP(B552,INDIRECT($F$8),6+(O558-1)*3)&lt;=5),MAX(0.4*U558-VLOOKUP(B552,INDIRECT($F$8),8+(O558-1)*3),0.3*S558-VLOOKUP(B552,INDIRECT($F$8),6+(O558-1)*3)),11),IF(0.3*S558-VLOOKUP(B552,INDIRECT($F$8),6+(O558-1)*3)&lt;=5,0.3*S558-VLOOKUP(B552,INDIRECT($F$8),6+(O558-1)*3),11)),IF(VLOOKUP(B552,INDIRECT($F$8),8+(O558-1)*3)&lt;U558*0.4,IF(U558*0.4-VLOOKUP(B552,INDIRECT($F$8),8+(O558-1)*3)&lt;=5,U558*0.4-VLOOKUP(B552,INDIRECT($F$8),8+(O558-1)*3),11),0))))</f>
        <v/>
      </c>
      <c r="X558" s="1" t="str">
        <f ca="1">IF(ISERROR(F552),"",IF(W558=0,"",_xlfn.TEXTJOIN("",FALSE," G+",W558," in ",A558)))</f>
        <v/>
      </c>
    </row>
    <row r="559" spans="1:24" ht="14.25" customHeight="1" x14ac:dyDescent="0.2">
      <c r="A559" s="7" t="str">
        <f ca="1">IF(ISERROR(F552),"",VLOOKUP(C552,INDIRECT($F$8),6+(O559-1)*3,0))</f>
        <v/>
      </c>
      <c r="B559" s="41" t="str">
        <f ca="1">IF(ISERROR(F552),"",VLOOKUP(D552,INDIRECT($F$8),6+(O559-1)*3,0))</f>
        <v/>
      </c>
      <c r="C559" s="41"/>
      <c r="D559" s="41"/>
      <c r="E559" s="41"/>
      <c r="F559" s="7" t="str">
        <f ca="1">IF(ISERROR(F552),"",VLOOKUP(E552,INDIRECT($F$8),6+(O559-1)*3,0))</f>
        <v/>
      </c>
      <c r="G559" s="42" t="str">
        <f ca="1">IF(ISERROR(F552),"",_xlfn.TEXTJOIN("/",FALSE,P559,S559))</f>
        <v/>
      </c>
      <c r="H559" s="42"/>
      <c r="I559" s="42" t="str">
        <f ca="1">IF(ISERROR(F552),"",_xlfn.TEXTJOIN("/",FALSE,Q559,T559))</f>
        <v/>
      </c>
      <c r="J559" s="42"/>
      <c r="K559" s="42" t="str">
        <f ca="1">IF(ISERROR(F552),"",_xlfn.TEXTJOIN("/",FALSE,R559,U559))</f>
        <v/>
      </c>
      <c r="L559" s="42"/>
      <c r="M559" s="7" t="str">
        <f ca="1">IF(ISERROR(F552),"",IF(ISTEXT(P559),IF(P559="A","Ab",IF(P559="D","Dt",IF(P559="UFM","UFM",IF(P559="NA","")))),IF(AND(ISBLANK(P559),ISBLANK(R559)),"",IF(P559&lt;0.3*S559,"F",IF(ISBLANK(R559),"",IF(ISTEXT(R559),R559,IF(R559&gt;=0.9*U559,"O",IF(R559&gt;=0.85*U559,"A+",IF(R559&gt;=0.8*U559,"A",IF(R559&gt;=0.7*U559,"B+",IF(R559&gt;=0.6*U559,"B",IF(R559&gt;=0.5*U559,"C",IF(R559&gt;=0.4*U559,"P",IF(R559&lt;0.4*U559,"F",R559))))))))))))))</f>
        <v/>
      </c>
      <c r="N559" s="8" t="str">
        <f t="shared" ca="1" si="64"/>
        <v/>
      </c>
      <c r="O559" t="b" cm="1">
        <f t="array" aca="1" ref="O559" ca="1">IF(NOT(ISBLANK(INDIRECT("SEM_III!L"&amp;INT((ROW(O559)-15)/17)+6))),3,IF(NOT(ISBLANK(INDIRECT("SEM_III!O"&amp;INT((ROW(O559)-15)/17)+6))),4))</f>
        <v>0</v>
      </c>
      <c r="P559" s="1" t="str">
        <f ca="1">IF(ISERROR(F552),"",IF(ISTEXT(VLOOKUP(B552,INDIRECT($F$8),6+(O559-1)*3)),(VLOOKUP(B552,INDIRECT($F$8),6+(O559-1)*3)),SUM(VLOOKUP(B552,INDIRECT($F$8),6+(O559-1)*3),IF(W565,W559,0))))</f>
        <v/>
      </c>
      <c r="Q559" s="1" t="str">
        <f ca="1">IF(ISERROR(F552),"",VLOOKUP(B552,INDIRECT($F$8),7+(O559-1)*3))</f>
        <v/>
      </c>
      <c r="R559" s="1" t="str">
        <f ca="1">IF(ISERROR(F552),"",SUM(P559:Q559))</f>
        <v/>
      </c>
      <c r="S559" s="1" t="str">
        <f ca="1">IF(ISERROR(F552),"",VLOOKUP(A552,INDIRECT($F$8),6+(O559-1)*3))</f>
        <v/>
      </c>
      <c r="T559" s="1" t="str">
        <f ca="1">IF(ISERROR(F552),"",VLOOKUP(A552,INDIRECT($F$8),7+(O559-1)*3))</f>
        <v/>
      </c>
      <c r="U559" s="1" t="str">
        <f ca="1">IF(ISERROR(F552),"",VLOOKUP(A552,INDIRECT($F$8),8+(O559-1)*3))</f>
        <v/>
      </c>
      <c r="V559" s="1" t="str">
        <f ca="1">IF(ISERROR(F552),"",IF(N559=0,A559,""))</f>
        <v/>
      </c>
      <c r="W559" s="1" t="str">
        <f ca="1">IF(ISERROR(F552),"",IF(ISTEXT(VLOOKUP(B552,INDIRECT($F$8),6+(O559-1)*3)),11,IF(VLOOKUP(B552,INDIRECT($F$8),6+(O559-1)*3)&lt;S559*0.3,IF(VLOOKUP(B552,INDIRECT($F$8),8+(O559-1)*3)&lt;U559*0.4,IF(AND(0.4*U559-VLOOKUP(B552,INDIRECT($F$8),8+(O559-1)*3)&lt;=5,0.3*S559-VLOOKUP(B552,INDIRECT($F$8),6+(O559-1)*3)&lt;=5),MAX(0.4*U559-VLOOKUP(B552,INDIRECT($F$8),8+(O559-1)*3),0.3*S559-VLOOKUP(B552,INDIRECT($F$8),6+(O559-1)*3)),11),IF(0.3*S559-VLOOKUP(B552,INDIRECT($F$8),6+(O559-1)*3)&lt;=5,0.3*S559-VLOOKUP(B552,INDIRECT($F$8),6+(O559-1)*3),11)),IF(VLOOKUP(B552,INDIRECT($F$8),8+(O559-1)*3)&lt;U559*0.4,IF(U559*0.4-VLOOKUP(B552,INDIRECT($F$8),8+(O559-1)*3)&lt;=5,U559*0.4-VLOOKUP(B552,INDIRECT($F$8),8+(O559-1)*3),11),0))))</f>
        <v/>
      </c>
      <c r="X559" s="1" t="str">
        <f ca="1">IF(ISERROR(F552),"",IF(W559=0,"",_xlfn.TEXTJOIN("",FALSE," G+",W559," in ",A559)))</f>
        <v/>
      </c>
    </row>
    <row r="560" spans="1:24" ht="14.25" customHeight="1" x14ac:dyDescent="0.2">
      <c r="A560" s="7" t="str">
        <f ca="1">IF(ISERROR(F552),"",VLOOKUP(C552,INDIRECT($F$8),6+(O560-1)*3,0))</f>
        <v/>
      </c>
      <c r="B560" s="41" t="str">
        <f ca="1">IF(ISERROR(F552),"",VLOOKUP(D552,INDIRECT($F$8),6+(O560-1)*3,0))</f>
        <v/>
      </c>
      <c r="C560" s="41"/>
      <c r="D560" s="41"/>
      <c r="E560" s="41"/>
      <c r="F560" s="7" t="str">
        <f ca="1">IF(ISERROR(F552),"",VLOOKUP(E552,INDIRECT($F$8),6+(O560-1)*3,0))</f>
        <v/>
      </c>
      <c r="G560" s="42" t="str">
        <f ca="1">IF(ISERROR(F552),"",_xlfn.TEXTJOIN("/",FALSE,P560,S560))</f>
        <v/>
      </c>
      <c r="H560" s="42"/>
      <c r="I560" s="42" t="str">
        <f ca="1">IF(ISERROR(F552),"",_xlfn.TEXTJOIN("/",FALSE,Q560,T560))</f>
        <v/>
      </c>
      <c r="J560" s="42"/>
      <c r="K560" s="42" t="str">
        <f ca="1">IF(ISERROR(F552),"",_xlfn.TEXTJOIN("/",FALSE,R560,U560))</f>
        <v/>
      </c>
      <c r="L560" s="42"/>
      <c r="M560" s="7" t="str">
        <f ca="1">IF(ISERROR(F552),"",IF(ISTEXT(P560),IF(P560="A","Ab",IF(P560="D","Dt",IF(P560="UFM","UFM",IF(P560="NA","")))),IF(AND(ISBLANK(P560),ISBLANK(R560)),"",IF(P560&lt;0.3*S560,"F",IF(ISBLANK(R560),"",IF(ISTEXT(R560),R560,IF(R560&gt;=0.9*U560,"O",IF(R560&gt;=0.85*U560,"A+",IF(R560&gt;=0.8*U560,"A",IF(R560&gt;=0.7*U560,"B+",IF(R560&gt;=0.6*U560,"B",IF(R560&gt;=0.5*U560,"C",IF(R560&gt;=0.4*U560,"P",IF(R560&lt;0.4*U560,"F",R560))))))))))))))</f>
        <v/>
      </c>
      <c r="N560" s="8" t="str">
        <f t="shared" ca="1" si="64"/>
        <v/>
      </c>
      <c r="O560" t="b" cm="1">
        <f t="array" aca="1" ref="O560" ca="1">IF(NOT(ISBLANK(INDIRECT("SEM_III!R"&amp;INT((ROW(O560)-16)/17)+6))),5,IF(NOT(ISBLANK(INDIRECT("SEM_III!U"&amp;INT((ROW(O560)-16)/17)+6))),6))</f>
        <v>0</v>
      </c>
      <c r="P560" s="1" t="str">
        <f ca="1">IF(ISERROR(F552),"",IF(ISTEXT(VLOOKUP(B552,INDIRECT($F$8),6+(O560-1)*3)),(VLOOKUP(B552,INDIRECT($F$8),6+(O560-1)*3)),SUM(VLOOKUP(B552,INDIRECT($F$8),6+(O560-1)*3),IF(W565,W560,0))))</f>
        <v/>
      </c>
      <c r="Q560" s="1" t="str">
        <f ca="1">IF(ISERROR(F552),"",VLOOKUP(B552,INDIRECT($F$8),7+(O560-1)*3))</f>
        <v/>
      </c>
      <c r="R560" s="1" t="str">
        <f ca="1">IF(ISERROR(F552),"",SUM(P560:Q560))</f>
        <v/>
      </c>
      <c r="S560" s="1" t="str">
        <f ca="1">IF(ISERROR(F552),"",VLOOKUP(A552,INDIRECT($F$8),6+(O560-1)*3))</f>
        <v/>
      </c>
      <c r="T560" s="1" t="str">
        <f ca="1">IF(ISERROR(F552),"",VLOOKUP(A552,INDIRECT($F$8),7+(O560-1)*3))</f>
        <v/>
      </c>
      <c r="U560" s="1" t="str">
        <f ca="1">IF(ISERROR(F552),"",VLOOKUP(A552,INDIRECT($F$8),8+(O560-1)*3))</f>
        <v/>
      </c>
      <c r="V560" s="1" t="str">
        <f ca="1">IF(ISERROR(F552),"",IF(N560=0,A560,""))</f>
        <v/>
      </c>
      <c r="W560" s="1" t="str">
        <f ca="1">IF(ISERROR(F552),"",IF(ISTEXT(VLOOKUP(B552,INDIRECT($F$8),6+(O560-1)*3)),11,IF(VLOOKUP(B552,INDIRECT($F$8),6+(O560-1)*3)&lt;S560*0.3,IF(VLOOKUP(B552,INDIRECT($F$8),8+(O560-1)*3)&lt;U560*0.4,IF(AND(0.4*U560-VLOOKUP(B552,INDIRECT($F$8),8+(O560-1)*3)&lt;=5,0.3*S560-VLOOKUP(B552,INDIRECT($F$8),6+(O560-1)*3)&lt;=5),MAX(0.4*U560-VLOOKUP(B552,INDIRECT($F$8),8+(O560-1)*3),0.3*S560-VLOOKUP(B552,INDIRECT($F$8),6+(O560-1)*3)),11),IF(0.3*S560-VLOOKUP(B552,INDIRECT($F$8),6+(O560-1)*3)&lt;=5,0.3*S560-VLOOKUP(B552,INDIRECT($F$8),6+(O560-1)*3),11)),IF(VLOOKUP(B552,INDIRECT($F$8),8+(O560-1)*3)&lt;U560*0.4,IF(U560*0.4-VLOOKUP(B552,INDIRECT($F$8),8+(O560-1)*3)&lt;=5,U560*0.4-VLOOKUP(B552,INDIRECT($F$8),8+(O560-1)*3),11),0))))</f>
        <v/>
      </c>
      <c r="X560" s="1" t="str">
        <f ca="1">IF(ISERROR(F552),"",IF(W560=0,"",_xlfn.TEXTJOIN("",FALSE," G+",W560," in ",A560)))</f>
        <v/>
      </c>
    </row>
    <row r="561" spans="1:24" ht="14.25" customHeight="1" x14ac:dyDescent="0.2">
      <c r="A561" s="7" t="str">
        <f ca="1">IF(ISERROR(F552),"",VLOOKUP(C552,INDIRECT($F$8),6+(O561-1)*3,0))</f>
        <v/>
      </c>
      <c r="B561" s="41" t="str">
        <f ca="1">IF(ISERROR(F552),"",VLOOKUP(D552,INDIRECT($F$8),6+(O561-1)*3,0))</f>
        <v/>
      </c>
      <c r="C561" s="41"/>
      <c r="D561" s="41"/>
      <c r="E561" s="41"/>
      <c r="F561" s="7" t="str">
        <f ca="1">IF(ISERROR(F552),"",VLOOKUP(E552,INDIRECT($F$8),6+(O561-1)*3,0))</f>
        <v/>
      </c>
      <c r="G561" s="42" t="str">
        <f ca="1">IF(ISERROR(F552),"",_xlfn.TEXTJOIN("/",FALSE,P561,S561))</f>
        <v/>
      </c>
      <c r="H561" s="42"/>
      <c r="I561" s="42" t="str">
        <f ca="1">IF(ISERROR(F552),"",_xlfn.TEXTJOIN("/",FALSE,Q561,T561))</f>
        <v/>
      </c>
      <c r="J561" s="42"/>
      <c r="K561" s="42" t="str">
        <f ca="1">IF(ISERROR(F552),"",_xlfn.TEXTJOIN("/",FALSE,R561,U561))</f>
        <v/>
      </c>
      <c r="L561" s="42"/>
      <c r="M561" s="7" t="str">
        <f ca="1">IF(ISERROR(F552),"",IF(ISTEXT(P561),IF(P561="A","Ab",IF(P561="D","Dt",IF(P561="UFM","UFM",IF(P561="NA","")))),IF(AND(ISBLANK(P561),ISBLANK(R561)),"",IF(P561&lt;0.3*S561,"F",IF(ISBLANK(R561),"",IF(ISTEXT(R561),R561,IF(R561&gt;=0.9*U561,"O",IF(R561&gt;=0.85*U561,"A+",IF(R561&gt;=0.8*U561,"A",IF(R561&gt;=0.7*U561,"B+",IF(R561&gt;=0.6*U561,"B",IF(R561&gt;=0.5*U561,"C",IF(R561&gt;=0.4*U561,"P",IF(R561&lt;0.4*U561,"F",R561))))))))))))))</f>
        <v/>
      </c>
      <c r="N561" s="8" t="str">
        <f t="shared" ca="1" si="64"/>
        <v/>
      </c>
      <c r="O561">
        <f ca="1">IF(O560&gt;0,7,"")</f>
        <v>7</v>
      </c>
      <c r="P561" s="1" t="str">
        <f ca="1">IF(ISERROR(F552),"",IF(ISTEXT(VLOOKUP(B552,INDIRECT($F$8),6+(O561-1)*3)),(VLOOKUP(B552,INDIRECT($F$8),6+(O561-1)*3)),SUM(VLOOKUP(B552,INDIRECT($F$8),6+(O561-1)*3),IF(W565,W561,0))))</f>
        <v/>
      </c>
      <c r="Q561" s="1" t="str">
        <f ca="1">IF(ISERROR(F552),"",VLOOKUP(B552,INDIRECT($F$8),7+(O561-1)*3))</f>
        <v/>
      </c>
      <c r="R561" s="1" t="str">
        <f ca="1">IF(ISERROR(F552),"",SUM(P561:Q561))</f>
        <v/>
      </c>
      <c r="S561" s="1" t="str">
        <f ca="1">IF(ISERROR(F552),"",VLOOKUP(A552,INDIRECT($F$8),6+(O561-1)*3))</f>
        <v/>
      </c>
      <c r="T561" s="1" t="str">
        <f ca="1">IF(ISERROR(F552),"",VLOOKUP(A552,INDIRECT($F$8),7+(O561-1)*3))</f>
        <v/>
      </c>
      <c r="U561" s="1" t="str">
        <f ca="1">IF(ISERROR(F552),"",VLOOKUP(A552,INDIRECT($F$8),8+(O561-1)*3))</f>
        <v/>
      </c>
      <c r="V561" s="1" t="str">
        <f ca="1">IF(ISERROR(F552),"",IF(N561=0,A561,""))</f>
        <v/>
      </c>
      <c r="W561" s="1" t="str">
        <f ca="1">IF(ISERROR(F552),"",IF(ISTEXT(VLOOKUP(B552,INDIRECT($F$8),6+(O561-1)*3)),11,IF(VLOOKUP(B552,INDIRECT($F$8),6+(O561-1)*3)&lt;S561*0.3,IF(VLOOKUP(B552,INDIRECT($F$8),8+(O561-1)*3)&lt;U561*0.4,IF(AND(0.4*U561-VLOOKUP(B552,INDIRECT($F$8),8+(O561-1)*3)&lt;=5,0.3*S561-VLOOKUP(B552,INDIRECT($F$8),6+(O561-1)*3)&lt;=5),MAX(0.4*U561-VLOOKUP(B552,INDIRECT($F$8),8+(O561-1)*3),0.3*S561-VLOOKUP(B552,INDIRECT($F$8),6+(O561-1)*3)),11),IF(0.3*S561-VLOOKUP(B552,INDIRECT($F$8),6+(O561-1)*3)&lt;=5,0.3*S561-VLOOKUP(B552,INDIRECT($F$8),6+(O561-1)*3),11)),IF(VLOOKUP(B552,INDIRECT($F$8),8+(O561-1)*3)&lt;U561*0.4,IF(U561*0.4-VLOOKUP(B552,INDIRECT($F$8),8+(O561-1)*3)&lt;=5,U561*0.4-VLOOKUP(B552,INDIRECT($F$8),8+(O561-1)*3),11),0))))</f>
        <v/>
      </c>
      <c r="X561" s="1" t="str">
        <f ca="1">IF(ISERROR(F552),"",IF(W561=0,"",_xlfn.TEXTJOIN("",FALSE," G+",W561," in ",A561)))</f>
        <v/>
      </c>
    </row>
    <row r="562" spans="1:24" ht="14.25" customHeight="1" x14ac:dyDescent="0.2">
      <c r="A562" s="7" t="str">
        <f ca="1">IF(ISERROR(F552),"",VLOOKUP(C552,INDIRECT($F$8),6+(O562-1)*3,0))</f>
        <v/>
      </c>
      <c r="B562" s="41" t="str">
        <f ca="1">IF(ISERROR(F552),"",VLOOKUP(D552,INDIRECT($F$8),6+(O562-1)*3,0))</f>
        <v/>
      </c>
      <c r="C562" s="41"/>
      <c r="D562" s="41"/>
      <c r="E562" s="41"/>
      <c r="F562" s="7" t="str">
        <f ca="1">IF(ISERROR(F552),"",VLOOKUP(E552,INDIRECT($F$8),6+(O562-1)*3,0))</f>
        <v/>
      </c>
      <c r="G562" s="42" t="str">
        <f ca="1">IF(ISERROR(F552),"",_xlfn.TEXTJOIN("/",FALSE,P562,S562))</f>
        <v/>
      </c>
      <c r="H562" s="42"/>
      <c r="I562" s="42" t="str">
        <f ca="1">IF(ISERROR(F552),"",_xlfn.TEXTJOIN("/",FALSE,Q562,T562))</f>
        <v/>
      </c>
      <c r="J562" s="42"/>
      <c r="K562" s="42" t="str">
        <f ca="1">IF(ISERROR(F552),"",_xlfn.TEXTJOIN("/",FALSE,R562,U562))</f>
        <v/>
      </c>
      <c r="L562" s="42"/>
      <c r="M562" s="7" t="str">
        <f ca="1">IF(ISERROR(F552),"",IF(ISTEXT(P562),IF(P562="A","Ab",IF(P562="D","Dt",IF(P562="UFM","UFM",IF(P562="NA","")))),IF(AND(ISBLANK(P562),ISBLANK(R562)),"",IF(P562&lt;0.3*S562,"F",IF(ISBLANK(R562),"",IF(ISTEXT(R562),R562,IF(R562&gt;=0.9*U562,"O",IF(R562&gt;=0.85*U562,"A+",IF(R562&gt;=0.8*U562,"A",IF(R562&gt;=0.7*U562,"B+",IF(R562&gt;=0.6*U562,"B",IF(R562&gt;=0.5*U562,"C",IF(R562&gt;=0.4*U562,"P",IF(R562&lt;0.4*U562,"F",R562))))))))))))))</f>
        <v/>
      </c>
      <c r="N562" s="8" t="str">
        <f t="shared" ca="1" si="64"/>
        <v/>
      </c>
      <c r="O562">
        <f t="shared" ref="O562:O564" ca="1" si="65">O561+1</f>
        <v>8</v>
      </c>
      <c r="P562" s="1" t="str">
        <f ca="1">IF(ISERROR(F552),"",IF(ISTEXT(VLOOKUP(B552,INDIRECT($F$8),6+(O562-1)*3)),(VLOOKUP(B552,INDIRECT($F$8),6+(O562-1)*3)),SUM(VLOOKUP(B552,INDIRECT($F$8),6+(O562-1)*3),IF(W565,W562,0))))</f>
        <v/>
      </c>
      <c r="Q562" s="1" t="str">
        <f ca="1">IF(ISERROR(F552),"",VLOOKUP(B552,INDIRECT($F$8),7+(O562-1)*3))</f>
        <v/>
      </c>
      <c r="R562" s="1" t="str">
        <f ca="1">IF(ISERROR(F552),"",SUM(P562:Q562))</f>
        <v/>
      </c>
      <c r="S562" s="1" t="str">
        <f ca="1">IF(ISERROR(F552),"",VLOOKUP(A552,INDIRECT($F$8),6+(O562-1)*3))</f>
        <v/>
      </c>
      <c r="T562" s="1" t="str">
        <f ca="1">IF(ISERROR(F552),"",VLOOKUP(A552,INDIRECT($F$8),7+(O562-1)*3))</f>
        <v/>
      </c>
      <c r="U562" s="1" t="str">
        <f ca="1">IF(ISERROR(F552),"",VLOOKUP(A552,INDIRECT($F$8),8+(O562-1)*3))</f>
        <v/>
      </c>
      <c r="V562" s="1" t="str">
        <f ca="1">IF(ISERROR(F552),"",IF(N562=0,A562,""))</f>
        <v/>
      </c>
      <c r="W562" s="1" t="str">
        <f ca="1">IF(ISERROR(F552),"",IF(ISTEXT(VLOOKUP(B552,INDIRECT($F$8),6+(O562-1)*3)),11,IF(VLOOKUP(B552,INDIRECT($F$8),6+(O562-1)*3)&lt;S562*0.3,IF(VLOOKUP(B552,INDIRECT($F$8),8+(O562-1)*3)&lt;U562*0.4,IF(AND(0.4*U562-VLOOKUP(B552,INDIRECT($F$8),8+(O562-1)*3)&lt;=5,0.3*S562-VLOOKUP(B552,INDIRECT($F$8),6+(O562-1)*3)&lt;=5),MAX(0.4*U562-VLOOKUP(B552,INDIRECT($F$8),8+(O562-1)*3),0.3*S562-VLOOKUP(B552,INDIRECT($F$8),6+(O562-1)*3)),11),IF(0.3*S562-VLOOKUP(B552,INDIRECT($F$8),6+(O562-1)*3)&lt;=5,0.3*S562-VLOOKUP(B552,INDIRECT($F$8),6+(O562-1)*3),11)),IF(VLOOKUP(B552,INDIRECT($F$8),8+(O562-1)*3)&lt;U562*0.4,IF(U562*0.4-VLOOKUP(B552,INDIRECT($F$8),8+(O562-1)*3)&lt;=5,U562*0.4-VLOOKUP(B552,INDIRECT($F$8),8+(O562-1)*3),11),0))))</f>
        <v/>
      </c>
      <c r="X562" s="1" t="str">
        <f ca="1">IF(ISERROR(F552),"",IF(W562=0,"",_xlfn.TEXTJOIN("",FALSE," G+",W562," in ",A562)))</f>
        <v/>
      </c>
    </row>
    <row r="563" spans="1:24" ht="14.25" customHeight="1" x14ac:dyDescent="0.2">
      <c r="A563" s="7" t="str">
        <f ca="1">IF(ISERROR(F552),"",VLOOKUP(C552,INDIRECT($F$8),6+(O563-1)*3,0))</f>
        <v/>
      </c>
      <c r="B563" s="41" t="str">
        <f ca="1">IF(ISERROR(F552),"",VLOOKUP(D552,INDIRECT($F$8),6+(O563-1)*3,0))</f>
        <v/>
      </c>
      <c r="C563" s="41"/>
      <c r="D563" s="41"/>
      <c r="E563" s="41"/>
      <c r="F563" s="7" t="str">
        <f ca="1">IF(ISERROR(F552),"",VLOOKUP(E552,INDIRECT($F$8),6+(O563-1)*3,0))</f>
        <v/>
      </c>
      <c r="G563" s="42" t="str">
        <f ca="1">IF(ISERROR(F552),"",_xlfn.TEXTJOIN("/",FALSE,P563,S563))</f>
        <v/>
      </c>
      <c r="H563" s="42"/>
      <c r="I563" s="42" t="str">
        <f ca="1">IF(ISERROR(F552),"",_xlfn.TEXTJOIN("/",FALSE,Q563,T563))</f>
        <v/>
      </c>
      <c r="J563" s="42"/>
      <c r="K563" s="42" t="str">
        <f ca="1">IF(ISERROR(F552),"",_xlfn.TEXTJOIN("/",FALSE,R563,U563))</f>
        <v/>
      </c>
      <c r="L563" s="42"/>
      <c r="M563" s="7" t="str">
        <f ca="1">IF(ISERROR(F552),"",IF(ISTEXT(P563),IF(P563="A","Ab",IF(P563="D","Dt",IF(P563="UFM","UFM",IF(P563="NA","")))),IF(AND(ISBLANK(P563),ISBLANK(R563)),"",IF(P563&lt;0.3*S563,"F",IF(ISBLANK(R563),"",IF(ISTEXT(R563),R563,IF(R563&gt;=0.9*U563,"O",IF(R563&gt;=0.85*U563,"A+",IF(R563&gt;=0.8*U563,"A",IF(R563&gt;=0.7*U563,"B+",IF(R563&gt;=0.6*U563,"B",IF(R563&gt;=0.5*U563,"C",IF(R563&gt;=0.4*U563,"P",IF(R563&lt;0.4*U563,"F",R563))))))))))))))</f>
        <v/>
      </c>
      <c r="N563" s="8" t="str">
        <f t="shared" ca="1" si="64"/>
        <v/>
      </c>
      <c r="O563">
        <f t="shared" ca="1" si="65"/>
        <v>9</v>
      </c>
      <c r="P563" s="1" t="str">
        <f ca="1">IF(ISERROR(F552),"",IF(ISTEXT(VLOOKUP(B552,INDIRECT($F$8),6+(O563-1)*3)),(VLOOKUP(B552,INDIRECT($F$8),6+(O563-1)*3)),SUM(VLOOKUP(B552,INDIRECT($F$8),6+(O563-1)*3),IF(W565,W563,0))))</f>
        <v/>
      </c>
      <c r="Q563" s="1" t="str">
        <f ca="1">IF(ISERROR(F552),"",VLOOKUP(B552,INDIRECT($F$8),7+(O563-1)*3))</f>
        <v/>
      </c>
      <c r="R563" s="1" t="str">
        <f ca="1">IF(ISERROR(F552),"",SUM(P563:Q563))</f>
        <v/>
      </c>
      <c r="S563" s="1" t="str">
        <f ca="1">IF(ISERROR(F552),"",VLOOKUP(A552,INDIRECT($F$8),6+(O563-1)*3))</f>
        <v/>
      </c>
      <c r="T563" s="1" t="str">
        <f ca="1">IF(ISERROR(F552),"",VLOOKUP(A552,INDIRECT($F$8),7+(O563-1)*3))</f>
        <v/>
      </c>
      <c r="U563" s="1" t="str">
        <f ca="1">IF(ISERROR(F552),"",VLOOKUP(A552,INDIRECT($F$8),8+(O563-1)*3))</f>
        <v/>
      </c>
      <c r="V563" s="1" t="str">
        <f ca="1">IF(ISERROR(F552),"",IF(N563=0,A563,""))</f>
        <v/>
      </c>
      <c r="W563" s="1" t="str">
        <f ca="1">IF(ISERROR(F552),"",IF(ISTEXT(VLOOKUP(B552,INDIRECT($F$8),6+(O563-1)*3)),11,IF(VLOOKUP(B552,INDIRECT($F$8),6+(O563-1)*3)&lt;S563*0.3,IF(VLOOKUP(B552,INDIRECT($F$8),8+(O563-1)*3)&lt;U563*0.4,IF(AND(0.4*U563-VLOOKUP(B552,INDIRECT($F$8),8+(O563-1)*3)&lt;=5,0.3*S563-VLOOKUP(B552,INDIRECT($F$8),6+(O563-1)*3)&lt;=5),MAX(0.4*U563-VLOOKUP(B552,INDIRECT($F$8),8+(O563-1)*3),0.3*S563-VLOOKUP(B552,INDIRECT($F$8),6+(O563-1)*3)),11),IF(0.3*S563-VLOOKUP(B552,INDIRECT($F$8),6+(O563-1)*3)&lt;=5,0.3*S563-VLOOKUP(B552,INDIRECT($F$8),6+(O563-1)*3),11)),IF(VLOOKUP(B552,INDIRECT($F$8),8+(O563-1)*3)&lt;U563*0.4,IF(U563*0.4-VLOOKUP(B552,INDIRECT($F$8),8+(O563-1)*3)&lt;=5,U563*0.4-VLOOKUP(B552,INDIRECT($F$8),8+(O563-1)*3),11),0))))</f>
        <v/>
      </c>
      <c r="X563" s="1" t="str">
        <f ca="1">IF(ISERROR(F552),"",IF(W563=0,"",_xlfn.TEXTJOIN("",FALSE," G+",W563," in ",A563)))</f>
        <v/>
      </c>
    </row>
    <row r="564" spans="1:24" ht="14.25" customHeight="1" x14ac:dyDescent="0.2">
      <c r="A564" s="7" t="str">
        <f ca="1">IF(ISERROR(F552),"",VLOOKUP(C552,INDIRECT($F$8),6+(O564-1)*3,0))</f>
        <v/>
      </c>
      <c r="B564" s="41" t="str">
        <f ca="1">IF(ISERROR(F552),"",VLOOKUP(D552,INDIRECT($F$8),6+(O564-1)*3-Z564,0))</f>
        <v/>
      </c>
      <c r="C564" s="41"/>
      <c r="D564" s="41"/>
      <c r="E564" s="41"/>
      <c r="F564" s="7" t="str">
        <f ca="1">IF(ISERROR(F552),"",VLOOKUP(E552,INDIRECT($F$8),6+(O564-1)*3,0))</f>
        <v/>
      </c>
      <c r="G564" s="42" t="str">
        <f ca="1">IF(ISERROR(F552),"",_xlfn.TEXTJOIN("/",FALSE,P564,S564))</f>
        <v/>
      </c>
      <c r="H564" s="42"/>
      <c r="I564" s="42" t="str">
        <f ca="1">IF(ISERROR(F552),"",_xlfn.TEXTJOIN("/",FALSE,Q564,T564))</f>
        <v/>
      </c>
      <c r="J564" s="42"/>
      <c r="K564" s="42" t="str">
        <f ca="1">IF(ISERROR(F552),"",_xlfn.TEXTJOIN("/",FALSE,R564,U564))</f>
        <v/>
      </c>
      <c r="L564" s="42"/>
      <c r="M564" s="7" t="str">
        <f ca="1">IF(ISERROR(F552),"",IF(ISTEXT(P564),IF(P564="A","Ab",IF(P564="D","Dt",IF(P564="UFM","UFM",IF(P564="NA","")))),IF(AND(ISBLANK(P564),ISBLANK(R564)),"",IF(P564&lt;0.3*S564,"F",IF(ISBLANK(R564),"",IF(ISTEXT(R564),R564,IF(R564&gt;=0.9*U564,"O",IF(R564&gt;=0.85*U564,"A+",IF(R564&gt;=0.8*U564,"A",IF(R564&gt;=0.7*U564,"B+",IF(R564&gt;=0.6*U564,"B",IF(R564&gt;=0.5*U564,"C",IF(R564&gt;=0.4*U564,"P",IF(R564&lt;0.4*U564,"F",R564))))))))))))))</f>
        <v/>
      </c>
      <c r="N564" s="8" t="str">
        <f t="shared" ca="1" si="64"/>
        <v/>
      </c>
      <c r="O564">
        <f t="shared" ca="1" si="65"/>
        <v>10</v>
      </c>
      <c r="P564" s="1" t="str">
        <f ca="1">IF(ISERROR(F552),"",IF(ISTEXT(VLOOKUP(B552,INDIRECT($F$8),6+(O564-1)*3)),(VLOOKUP(B552,INDIRECT($F$8),6+(O564-1)*3)),SUM(VLOOKUP(B552,INDIRECT($F$8),6+(O564-1)*3),IF(W565,W564,0))))</f>
        <v/>
      </c>
      <c r="Q564" s="1" t="str">
        <f ca="1">IF(ISERROR(F552),"",VLOOKUP(B552,INDIRECT($F$8),7+(O564-1)*3))</f>
        <v/>
      </c>
      <c r="R564" s="1" t="str">
        <f ca="1">IF(ISERROR(F552),"",SUM(P564:Q564))</f>
        <v/>
      </c>
      <c r="S564" s="1" t="str">
        <f ca="1">IF(ISERROR(F552),"",VLOOKUP(A552,INDIRECT($F$8),6+(O564-1)*3))</f>
        <v/>
      </c>
      <c r="T564" s="1" t="str">
        <f ca="1">IF(ISERROR(F552),"",VLOOKUP(A552,INDIRECT($F$8),7+(O564-1)*3))</f>
        <v/>
      </c>
      <c r="U564" s="1" t="str">
        <f ca="1">IF(ISERROR(F552),"",VLOOKUP(A552,INDIRECT($F$8),8+(O564-1)*3))</f>
        <v/>
      </c>
      <c r="V564" s="1" t="str">
        <f ca="1">IF(ISERROR(F552),"",IF(N564=0,A564,""))</f>
        <v/>
      </c>
      <c r="W564" s="1" t="str">
        <f ca="1">IF(ISERROR(F552),"",IF(ISTEXT(VLOOKUP(B552,INDIRECT($F$8),6+(O564-1)*3)),11,IF(VLOOKUP(B552,INDIRECT($F$8),6+(O564-1)*3)&lt;S564*0.3,IF(VLOOKUP(B552,INDIRECT($F$8),8+(O564-1)*3)&lt;U564*0.4,IF(AND(0.4*U564-VLOOKUP(B552,INDIRECT($F$8),8+(O564-1)*3)&lt;=5,0.3*S564-VLOOKUP(B552,INDIRECT($F$8),6+(O564-1)*3)&lt;=5),MAX(0.4*U564-VLOOKUP(B552,INDIRECT($F$8),8+(O564-1)*3),0.3*S564-VLOOKUP(B552,INDIRECT($F$8),6+(O564-1)*3)),11),IF(0.3*S564-VLOOKUP(B552,INDIRECT($F$8),6+(O564-1)*3)&lt;=5,0.3*S564-VLOOKUP(B552,INDIRECT($F$8),6+(O564-1)*3),11)),IF(VLOOKUP(B552,INDIRECT($F$8),8+(O564-1)*3)&lt;U564*0.4,IF(U564*0.4-VLOOKUP(B552,INDIRECT($F$8),8+(O564-1)*3)&lt;=5,U564*0.4-VLOOKUP(B552,INDIRECT($F$8),8+(O564-1)*3),11),0))))</f>
        <v/>
      </c>
      <c r="X564" s="1" t="str">
        <f ca="1">IF(ISERROR(F552),"",IF(W564=0,"",_xlfn.TEXTJOIN("",FALSE," G+",W564," in ",A564)))</f>
        <v/>
      </c>
    </row>
    <row r="565" spans="1:24" ht="14.25" customHeight="1" x14ac:dyDescent="0.2">
      <c r="A565" s="43" t="str">
        <f ca="1">IF(ISERROR(F552),"",A548)</f>
        <v/>
      </c>
      <c r="B565" s="43"/>
      <c r="C565" s="43"/>
      <c r="D565" s="43"/>
      <c r="E565" s="43"/>
      <c r="F565" s="10" t="str">
        <f ca="1">IF(ISERROR(F552),"",SUM(F557:F564))</f>
        <v/>
      </c>
      <c r="G565" s="44" t="str">
        <f ca="1">IF(ISERROR(F552),"",_xlfn.TEXTJOIN("/",TRUE,SUMIF(F557:F564,"&gt;0",P557:P564),SUMIF(F557:F564,"&gt;0",S557:S564)))</f>
        <v/>
      </c>
      <c r="H565" s="44"/>
      <c r="I565" s="44" t="str">
        <f ca="1">IF(ISERROR(F552),"",_xlfn.TEXTJOIN("/",TRUE,SUMIF(F557:F564,"&gt;0",Q557:Q564),SUMIF(F557:F564,"&gt;0",T557:T564)))</f>
        <v/>
      </c>
      <c r="J565" s="44"/>
      <c r="K565" s="44" t="str">
        <f ca="1">IF(ISERROR(F552),"",_xlfn.TEXTJOIN("/",TRUE,SUMIF(F557:F564,"&gt;0",R557:R564),SUMIF(F557:F564,"&gt;0",U557:U564)))</f>
        <v/>
      </c>
      <c r="L565" s="44"/>
      <c r="M565" s="43" t="str">
        <f ca="1">IF(ISERROR(F552),"",SUMPRODUCT(N557:N564,F557:F564))</f>
        <v/>
      </c>
      <c r="N565" s="43"/>
      <c r="V565" s="1" t="str">
        <f ca="1">IF(ISERROR(F552),"",_xlfn.TEXTJOIN(", ",TRUE,V557:V564))</f>
        <v/>
      </c>
      <c r="W565" t="str">
        <f ca="1">IF(ISERROR(F552),"",IF(SUM(W557:W564)&lt;=W556,TRUE,FALSE))</f>
        <v/>
      </c>
      <c r="X565" s="1" t="str">
        <f ca="1">IF(ISERROR(F552),"",_xlfn.TEXTJOIN(",",TRUE,X557:X564))</f>
        <v/>
      </c>
    </row>
    <row r="566" spans="1:24" ht="14.25" customHeight="1" x14ac:dyDescent="0.2">
      <c r="A566" s="43" t="str">
        <f ca="1">IF(ISERROR(F552),"",A549)</f>
        <v/>
      </c>
      <c r="B566" s="45" t="str">
        <f ca="1">IF(ISERROR(F552),"",IF(V565="","PASS","CARRY OVER"))</f>
        <v/>
      </c>
      <c r="C566" s="45"/>
      <c r="D566" s="43" t="str">
        <f ca="1">IF(ISERROR(F552),"",D549)</f>
        <v/>
      </c>
      <c r="E566" s="45" t="str">
        <f ca="1">IF(ISERROR(F552),"",IF(V565="",IF(X565="","",X565),_xlfn.TEXTJOIN(" ",TRUE,"BACK IN",V565)))</f>
        <v/>
      </c>
      <c r="F566" s="45"/>
      <c r="G566" s="43" t="str">
        <f ca="1">IF(ISERROR(F552),"",G549)</f>
        <v/>
      </c>
      <c r="H566" s="46" t="str">
        <f ca="1">IF(ISERROR(F552),"",M565/F565)</f>
        <v/>
      </c>
      <c r="I566" s="43" t="str">
        <f ca="1">IF(ISERROR(F552),"",I549)</f>
        <v/>
      </c>
      <c r="J566" s="46" t="str">
        <f ca="1">IF(ISERROR(F552),"",VLOOKUP(B552,INDIRECT($F$8),12+(O564-1)*3,0))</f>
        <v/>
      </c>
      <c r="K566" s="45" t="str">
        <f ca="1">IF(ISERROR(F552),"",K549)</f>
        <v/>
      </c>
      <c r="L566" s="43" t="str">
        <f ca="1">IF(ISERROR(F552),"",SUMIF(N557:N564,"&gt;0",F557:F564))</f>
        <v/>
      </c>
      <c r="M566" s="45" t="str">
        <f ca="1">IF(ISERROR(F552),"",M549)</f>
        <v/>
      </c>
      <c r="N566" s="43" t="str">
        <f ca="1">IF(ISERROR(F552),"",VLOOKUP(B552,INDIRECT($F$8),10+(O564-1)*3,0))</f>
        <v/>
      </c>
    </row>
    <row r="567" spans="1:24" ht="14.25" customHeight="1" x14ac:dyDescent="0.2">
      <c r="A567" s="43"/>
      <c r="B567" s="45"/>
      <c r="C567" s="45"/>
      <c r="D567" s="43"/>
      <c r="E567" s="45"/>
      <c r="F567" s="45"/>
      <c r="G567" s="43"/>
      <c r="H567" s="46"/>
      <c r="I567" s="43"/>
      <c r="J567" s="46"/>
      <c r="K567" s="45"/>
      <c r="L567" s="43"/>
      <c r="M567" s="45"/>
      <c r="N567" s="43"/>
    </row>
    <row r="568" spans="1:24" ht="14.25" customHeight="1" x14ac:dyDescent="0.2">
      <c r="A568" s="43"/>
      <c r="B568" s="45"/>
      <c r="C568" s="45"/>
      <c r="D568" s="43"/>
      <c r="E568" s="45"/>
      <c r="F568" s="45"/>
      <c r="G568" s="43"/>
      <c r="H568" s="46"/>
      <c r="I568" s="43"/>
      <c r="J568" s="46"/>
      <c r="K568" s="45"/>
      <c r="L568" s="43"/>
      <c r="M568" s="45"/>
      <c r="N568" s="43"/>
    </row>
    <row r="569" spans="1:24" ht="14.25" customHeight="1" x14ac:dyDescent="0.2">
      <c r="A569" s="11" t="str">
        <f>A552</f>
        <v>MM</v>
      </c>
      <c r="B569" s="11">
        <f>B552+1</f>
        <v>34</v>
      </c>
      <c r="C569" s="11" t="str">
        <f>C552</f>
        <v>SC</v>
      </c>
      <c r="D569" s="11" t="str">
        <f>D552</f>
        <v>SN</v>
      </c>
      <c r="E569" s="11" t="str">
        <f>E552</f>
        <v>C</v>
      </c>
      <c r="F569" s="11" t="e">
        <f ca="1">VLOOKUP(B569,INDIRECT($F$8),4,0)</f>
        <v>#N/A</v>
      </c>
    </row>
    <row r="570" spans="1:24" ht="14.25" customHeight="1" x14ac:dyDescent="0.2">
      <c r="A570" s="47" t="str">
        <f ca="1">IF(ISERROR(F569),"",A553)</f>
        <v/>
      </c>
      <c r="B570" s="47" t="str">
        <f ca="1">IFERROR(VLOOKUP(B569,INDIRECT($F$8),4,0),"")</f>
        <v/>
      </c>
      <c r="C570" s="47"/>
      <c r="D570" s="47" t="str">
        <f ca="1">IF(ISERROR(F569),"",D553)</f>
        <v/>
      </c>
      <c r="E570" s="47" t="str">
        <f ca="1">IFERROR(VLOOKUP(B569,INDIRECT($F$8),5,0),"")</f>
        <v/>
      </c>
      <c r="F570" s="47"/>
      <c r="G570" s="47" t="str">
        <f ca="1">IF(ISERROR(F569),"",G553)</f>
        <v/>
      </c>
      <c r="H570" s="47"/>
      <c r="I570" s="48" t="str">
        <f ca="1">IFERROR(VLOOKUP(B569,INDIRECT($F$8),2,0),"")</f>
        <v/>
      </c>
      <c r="J570" s="48"/>
      <c r="K570" s="47" t="str">
        <f ca="1">IF(ISERROR(F569),"",K553)</f>
        <v/>
      </c>
      <c r="L570" s="47"/>
      <c r="M570" s="48" t="str">
        <f ca="1">IFERROR(VLOOKUP(B569,INDIRECT($F$8),3,0),"")</f>
        <v/>
      </c>
      <c r="N570" s="48"/>
    </row>
    <row r="571" spans="1:24" ht="14.25" customHeight="1" x14ac:dyDescent="0.2">
      <c r="A571" s="47"/>
      <c r="B571" s="47"/>
      <c r="C571" s="47"/>
      <c r="D571" s="47"/>
      <c r="E571" s="47"/>
      <c r="F571" s="47"/>
      <c r="G571" s="47"/>
      <c r="H571" s="47"/>
      <c r="I571" s="48"/>
      <c r="J571" s="48"/>
      <c r="K571" s="47"/>
      <c r="L571" s="47"/>
      <c r="M571" s="48"/>
      <c r="N571" s="48"/>
    </row>
    <row r="572" spans="1:24" ht="14.25" customHeight="1" x14ac:dyDescent="0.2">
      <c r="A572" s="45" t="str">
        <f ca="1">IF(ISERROR(F569),"",A555)</f>
        <v/>
      </c>
      <c r="B572" s="45" t="str">
        <f ca="1">IF(ISERROR(F569),"",B555)</f>
        <v/>
      </c>
      <c r="C572" s="45"/>
      <c r="D572" s="45"/>
      <c r="E572" s="45"/>
      <c r="F572" s="45" t="str">
        <f ca="1">IF(ISERROR(F569),"",F555)</f>
        <v/>
      </c>
      <c r="G572" s="45" t="str">
        <f ca="1">IF(ISERROR(F569),"",G555)</f>
        <v/>
      </c>
      <c r="H572" s="45"/>
      <c r="I572" s="45" t="str">
        <f ca="1">IF(ISERROR(F569),"",I555)</f>
        <v/>
      </c>
      <c r="J572" s="45"/>
      <c r="K572" s="45" t="str">
        <f ca="1">IF(ISERROR(F569),"",K555)</f>
        <v/>
      </c>
      <c r="L572" s="45"/>
      <c r="M572" s="45" t="str">
        <f ca="1">IF(ISERROR(F569),"",M555)</f>
        <v/>
      </c>
      <c r="N572" s="45" t="str">
        <f ca="1">IF(ISERROR(F569),"",N555)</f>
        <v/>
      </c>
    </row>
    <row r="573" spans="1:24" ht="14.25" customHeight="1" x14ac:dyDescent="0.2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W573">
        <f ca="1">IF(ISNUMBER(MATCH($F$8,{"I","III","V","VII"},0)),10,10-INDEX(INDIRECT(_xlfn.TEXTJOIN("",TRUE,"SEM_",$G$8,"!",ADDRESS(6,4+$I$8*3+4),":",ADDRESS(5+$H$8,4+$I$8*3+4))),MATCH(INDIRECT(_xlfn.TEXTJOIN("",TRUE,"TC_",$F$8,"!",ADDRESS(ROW(I570),COLUMN(I570)))),INDIRECT(_xlfn.TEXTJOIN("",TRUE,"SEM_",$G$8,"!",ADDRESS(6,2),":",ADDRESS(5+$H$8,2))))))</f>
        <v>10</v>
      </c>
    </row>
    <row r="574" spans="1:24" ht="14.25" customHeight="1" x14ac:dyDescent="0.2">
      <c r="A574" s="7" t="str">
        <f ca="1">IF(ISERROR(F569),"",VLOOKUP(C569,INDIRECT($F$8),6+(O574-1)*3,0))</f>
        <v/>
      </c>
      <c r="B574" s="41" t="str">
        <f ca="1">IF(ISERROR(F569),"",VLOOKUP(D569,INDIRECT($F$8),6+(O574-1)*3,0))</f>
        <v/>
      </c>
      <c r="C574" s="41"/>
      <c r="D574" s="41"/>
      <c r="E574" s="41"/>
      <c r="F574" s="7" t="str">
        <f ca="1">IF(ISERROR(F569),"",VLOOKUP(E569,INDIRECT($F$8),6+(O574-1)*3,0))</f>
        <v/>
      </c>
      <c r="G574" s="42" t="str">
        <f ca="1">IF(ISERROR(F569),"",_xlfn.TEXTJOIN("/",FALSE,P574,S574))</f>
        <v/>
      </c>
      <c r="H574" s="42"/>
      <c r="I574" s="42" t="str">
        <f ca="1">IF(ISERROR(F569),"",_xlfn.TEXTJOIN("/",FALSE,Q574,T574))</f>
        <v/>
      </c>
      <c r="J574" s="42"/>
      <c r="K574" s="42" t="str">
        <f ca="1">IF(ISERROR(F569),"",_xlfn.TEXTJOIN("/",FALSE,R574,U574))</f>
        <v/>
      </c>
      <c r="L574" s="42"/>
      <c r="M574" s="7" t="str">
        <f ca="1">IF(ISERROR(F569),"",IF(ISTEXT(P574),IF(P574="A","Ab",IF(P574="D","Dt",IF(P574="UFM","UFM",IF(P574="NA","")))),IF(AND(ISBLANK(P574),ISBLANK(R574)),"",IF(P574&lt;0.3*S574,"F",IF(ISBLANK(R574),"",IF(ISTEXT(R574),R574,IF(R574&gt;=0.9*U574,"O",IF(R574&gt;=0.85*U574,"A+",IF(R574&gt;=0.8*U574,"A",IF(R574&gt;=0.7*U574,"B+",IF(R574&gt;=0.6*U574,"B",IF(R574&gt;=0.5*U574,"C",IF(R574&gt;=0.4*U574,"P",IF(R574&lt;0.4*U574,"F",R574))))))))))))))</f>
        <v/>
      </c>
      <c r="N574" s="8" t="str">
        <f t="shared" ref="N574:N581" ca="1" si="66">INDEX($Z$2:$Z$13,MATCH(M574,$Y$2:$Y$13,0))</f>
        <v/>
      </c>
      <c r="O574">
        <v>1</v>
      </c>
      <c r="P574" s="1" t="str">
        <f ca="1">IF(ISERROR(F569),"",IF(ISTEXT(VLOOKUP(B569,INDIRECT($F$8),6+(O574-1)*3)),(VLOOKUP(B569,INDIRECT($F$8),6+(O574-1)*3)),SUM(VLOOKUP(B569,INDIRECT($F$8),6+(O574-1)*3),IF(W582,W574,0))))</f>
        <v/>
      </c>
      <c r="Q574" s="1" t="str">
        <f ca="1">IF(ISERROR(F569),"",VLOOKUP(B569,INDIRECT($F$8),7+(O574-1)*3))</f>
        <v/>
      </c>
      <c r="R574" s="1" t="str">
        <f ca="1">IF(ISERROR(F569),"",SUM(P574:Q574))</f>
        <v/>
      </c>
      <c r="S574" s="1" t="str">
        <f ca="1">IF(ISERROR(F569),"",VLOOKUP(A569,INDIRECT($F$8),6+(O574-1)*3))</f>
        <v/>
      </c>
      <c r="T574" s="1" t="str">
        <f ca="1">IF(ISERROR(F569),"",VLOOKUP(A569,INDIRECT($F$8),7+(O574-1)*3))</f>
        <v/>
      </c>
      <c r="U574" s="1" t="str">
        <f ca="1">IF(ISERROR(F569),"",VLOOKUP(A569,INDIRECT($F$8),8+(O574-1)*3))</f>
        <v/>
      </c>
      <c r="V574" s="1" t="str">
        <f ca="1">IF(ISERROR(F569),"",IF(N574=0,A574,""))</f>
        <v/>
      </c>
      <c r="W574" s="1" t="str">
        <f ca="1">IF(ISERROR(F569),"",IF(ISTEXT(VLOOKUP(B569,INDIRECT($F$8),6+(O574-1)*3)),11,IF(VLOOKUP(B569,INDIRECT($F$8),6+(O574-1)*3)&lt;S574*0.3,IF(VLOOKUP(B569,INDIRECT($F$8),8+(O574-1)*3)&lt;U574*0.4,IF(AND(0.4*U574-VLOOKUP(B569,INDIRECT($F$8),8+(O574-1)*3)&lt;=5,0.3*S574-VLOOKUP(B569,INDIRECT($F$8),6+(O574-1)*3)&lt;=5),MAX(0.4*U574-VLOOKUP(B569,INDIRECT($F$8),8+(O574-1)*3),0.3*S574-VLOOKUP(B569,INDIRECT($F$8),6+(O574-1)*3)),11),IF(0.3*S574-VLOOKUP(B569,INDIRECT($F$8),6+(O574-1)*3)&lt;=5,0.3*S574-VLOOKUP(B569,INDIRECT($F$8),6+(O574-1)*3),11)),IF(VLOOKUP(B569,INDIRECT($F$8),8+(O574-1)*3)&lt;U574*0.4,IF(U574*0.4-VLOOKUP(B569,INDIRECT($F$8),8+(O574-1)*3)&lt;=5,U574*0.4-VLOOKUP(B569,INDIRECT($F$8),8+(O574-1)*3),11),0))))</f>
        <v/>
      </c>
      <c r="X574" s="1" t="str">
        <f ca="1">IF(ISERROR(F569),"",IF(W574=0,"",_xlfn.TEXTJOIN("",FALSE," G+",W574," in ",A574)))</f>
        <v/>
      </c>
    </row>
    <row r="575" spans="1:24" ht="14.25" customHeight="1" x14ac:dyDescent="0.2">
      <c r="A575" s="7" t="str">
        <f ca="1">IF(ISERROR(F569),"",VLOOKUP(C569,INDIRECT($F$8),6+(O575-1)*3,0))</f>
        <v/>
      </c>
      <c r="B575" s="41" t="str">
        <f ca="1">IF(ISERROR(F569),"",VLOOKUP(D569,INDIRECT($F$8),6+(O575-1)*3,0))</f>
        <v/>
      </c>
      <c r="C575" s="41"/>
      <c r="D575" s="41"/>
      <c r="E575" s="41"/>
      <c r="F575" s="7" t="str">
        <f ca="1">IF(ISERROR(F569),"",VLOOKUP(E569,INDIRECT($F$8),6+(O575-1)*3,0))</f>
        <v/>
      </c>
      <c r="G575" s="42" t="str">
        <f ca="1">IF(ISERROR(F569),"",_xlfn.TEXTJOIN("/",FALSE,P575,S575))</f>
        <v/>
      </c>
      <c r="H575" s="42"/>
      <c r="I575" s="42" t="str">
        <f ca="1">IF(ISERROR(F569),"",_xlfn.TEXTJOIN("/",FALSE,Q575,T575))</f>
        <v/>
      </c>
      <c r="J575" s="42"/>
      <c r="K575" s="42" t="str">
        <f ca="1">IF(ISERROR(F569),"",_xlfn.TEXTJOIN("/",FALSE,R575,U575))</f>
        <v/>
      </c>
      <c r="L575" s="42"/>
      <c r="M575" s="7" t="str">
        <f ca="1">IF(ISERROR(F569),"",IF(ISTEXT(P575),IF(P575="A","Ab",IF(P575="D","Dt",IF(P575="UFM","UFM",IF(P575="NA","")))),IF(AND(ISBLANK(P575),ISBLANK(R575)),"",IF(P575&lt;0.3*S575,"F",IF(ISBLANK(R575),"",IF(ISTEXT(R575),R575,IF(R575&gt;=0.9*U575,"O",IF(R575&gt;=0.85*U575,"A+",IF(R575&gt;=0.8*U575,"A",IF(R575&gt;=0.7*U575,"B+",IF(R575&gt;=0.6*U575,"B",IF(R575&gt;=0.5*U575,"C",IF(R575&gt;=0.4*U575,"P",IF(R575&lt;0.4*U575,"F",R575))))))))))))))</f>
        <v/>
      </c>
      <c r="N575" s="8" t="str">
        <f t="shared" ca="1" si="66"/>
        <v/>
      </c>
      <c r="O575">
        <f>O574+1</f>
        <v>2</v>
      </c>
      <c r="P575" s="1" t="str">
        <f ca="1">IF(ISERROR(F569),"",IF(ISTEXT(VLOOKUP(B569,INDIRECT($F$8),6+(O575-1)*3)),(VLOOKUP(B569,INDIRECT($F$8),6+(O575-1)*3)),SUM(VLOOKUP(B569,INDIRECT($F$8),6+(O575-1)*3),IF(W582,W575,0))))</f>
        <v/>
      </c>
      <c r="Q575" s="1" t="str">
        <f ca="1">IF(ISERROR(F569),"",VLOOKUP(B569,INDIRECT($F$8),7+(O575-1)*3))</f>
        <v/>
      </c>
      <c r="R575" s="1" t="str">
        <f ca="1">IF(ISERROR(F569),"",SUM(P575:Q575))</f>
        <v/>
      </c>
      <c r="S575" s="1" t="str">
        <f ca="1">IF(ISERROR(F569),"",VLOOKUP(A569,INDIRECT($F$8),6+(O575-1)*3))</f>
        <v/>
      </c>
      <c r="T575" s="1" t="str">
        <f ca="1">IF(ISERROR(F569),"",VLOOKUP(A569,INDIRECT($F$8),7+(O575-1)*3))</f>
        <v/>
      </c>
      <c r="U575" s="1" t="str">
        <f ca="1">IF(ISERROR(F569),"",VLOOKUP(A569,INDIRECT($F$8),8+(O575-1)*3))</f>
        <v/>
      </c>
      <c r="V575" s="1" t="str">
        <f ca="1">IF(ISERROR(F569),"",IF(N575=0,A575,""))</f>
        <v/>
      </c>
      <c r="W575" s="1" t="str">
        <f ca="1">IF(ISERROR(F569),"",IF(ISTEXT(VLOOKUP(B569,INDIRECT($F$8),6+(O575-1)*3)),11,IF(VLOOKUP(B569,INDIRECT($F$8),6+(O575-1)*3)&lt;S575*0.3,IF(VLOOKUP(B569,INDIRECT($F$8),8+(O575-1)*3)&lt;U575*0.4,IF(AND(0.4*U575-VLOOKUP(B569,INDIRECT($F$8),8+(O575-1)*3)&lt;=5,0.3*S575-VLOOKUP(B569,INDIRECT($F$8),6+(O575-1)*3)&lt;=5),MAX(0.4*U575-VLOOKUP(B569,INDIRECT($F$8),8+(O575-1)*3),0.3*S575-VLOOKUP(B569,INDIRECT($F$8),6+(O575-1)*3)),11),IF(0.3*S575-VLOOKUP(B569,INDIRECT($F$8),6+(O575-1)*3)&lt;=5,0.3*S575-VLOOKUP(B569,INDIRECT($F$8),6+(O575-1)*3),11)),IF(VLOOKUP(B569,INDIRECT($F$8),8+(O575-1)*3)&lt;U575*0.4,IF(U575*0.4-VLOOKUP(B569,INDIRECT($F$8),8+(O575-1)*3)&lt;=5,U575*0.4-VLOOKUP(B569,INDIRECT($F$8),8+(O575-1)*3),11),0))))</f>
        <v/>
      </c>
      <c r="X575" s="1" t="str">
        <f ca="1">IF(ISERROR(F569),"",IF(W575=0,"",_xlfn.TEXTJOIN("",FALSE," G+",W575," in ",A575)))</f>
        <v/>
      </c>
    </row>
    <row r="576" spans="1:24" ht="14.25" customHeight="1" x14ac:dyDescent="0.2">
      <c r="A576" s="7" t="str">
        <f ca="1">IF(ISERROR(F569),"",VLOOKUP(C569,INDIRECT($F$8),6+(O576-1)*3,0))</f>
        <v/>
      </c>
      <c r="B576" s="41" t="str">
        <f ca="1">IF(ISERROR(F569),"",VLOOKUP(D569,INDIRECT($F$8),6+(O576-1)*3,0))</f>
        <v/>
      </c>
      <c r="C576" s="41"/>
      <c r="D576" s="41"/>
      <c r="E576" s="41"/>
      <c r="F576" s="7" t="str">
        <f ca="1">IF(ISERROR(F569),"",VLOOKUP(E569,INDIRECT($F$8),6+(O576-1)*3,0))</f>
        <v/>
      </c>
      <c r="G576" s="42" t="str">
        <f ca="1">IF(ISERROR(F569),"",_xlfn.TEXTJOIN("/",FALSE,P576,S576))</f>
        <v/>
      </c>
      <c r="H576" s="42"/>
      <c r="I576" s="42" t="str">
        <f ca="1">IF(ISERROR(F569),"",_xlfn.TEXTJOIN("/",FALSE,Q576,T576))</f>
        <v/>
      </c>
      <c r="J576" s="42"/>
      <c r="K576" s="42" t="str">
        <f ca="1">IF(ISERROR(F569),"",_xlfn.TEXTJOIN("/",FALSE,R576,U576))</f>
        <v/>
      </c>
      <c r="L576" s="42"/>
      <c r="M576" s="7" t="str">
        <f ca="1">IF(ISERROR(F569),"",IF(ISTEXT(P576),IF(P576="A","Ab",IF(P576="D","Dt",IF(P576="UFM","UFM",IF(P576="NA","")))),IF(AND(ISBLANK(P576),ISBLANK(R576)),"",IF(P576&lt;0.3*S576,"F",IF(ISBLANK(R576),"",IF(ISTEXT(R576),R576,IF(R576&gt;=0.9*U576,"O",IF(R576&gt;=0.85*U576,"A+",IF(R576&gt;=0.8*U576,"A",IF(R576&gt;=0.7*U576,"B+",IF(R576&gt;=0.6*U576,"B",IF(R576&gt;=0.5*U576,"C",IF(R576&gt;=0.4*U576,"P",IF(R576&lt;0.4*U576,"F",R576))))))))))))))</f>
        <v/>
      </c>
      <c r="N576" s="8" t="str">
        <f t="shared" ca="1" si="66"/>
        <v/>
      </c>
      <c r="O576" t="b" cm="1">
        <f t="array" aca="1" ref="O576" ca="1">IF(NOT(ISBLANK(INDIRECT("SEM_III!L"&amp;INT((ROW(O576)-15)/17)+6))),3,IF(NOT(ISBLANK(INDIRECT("SEM_III!O"&amp;INT((ROW(O576)-15)/17)+6))),4))</f>
        <v>0</v>
      </c>
      <c r="P576" s="1" t="str">
        <f ca="1">IF(ISERROR(F569),"",IF(ISTEXT(VLOOKUP(B569,INDIRECT($F$8),6+(O576-1)*3)),(VLOOKUP(B569,INDIRECT($F$8),6+(O576-1)*3)),SUM(VLOOKUP(B569,INDIRECT($F$8),6+(O576-1)*3),IF(W582,W576,0))))</f>
        <v/>
      </c>
      <c r="Q576" s="1" t="str">
        <f ca="1">IF(ISERROR(F569),"",VLOOKUP(B569,INDIRECT($F$8),7+(O576-1)*3))</f>
        <v/>
      </c>
      <c r="R576" s="1" t="str">
        <f ca="1">IF(ISERROR(F569),"",SUM(P576:Q576))</f>
        <v/>
      </c>
      <c r="S576" s="1" t="str">
        <f ca="1">IF(ISERROR(F569),"",VLOOKUP(A569,INDIRECT($F$8),6+(O576-1)*3))</f>
        <v/>
      </c>
      <c r="T576" s="1" t="str">
        <f ca="1">IF(ISERROR(F569),"",VLOOKUP(A569,INDIRECT($F$8),7+(O576-1)*3))</f>
        <v/>
      </c>
      <c r="U576" s="1" t="str">
        <f ca="1">IF(ISERROR(F569),"",VLOOKUP(A569,INDIRECT($F$8),8+(O576-1)*3))</f>
        <v/>
      </c>
      <c r="V576" s="1" t="str">
        <f ca="1">IF(ISERROR(F569),"",IF(N576=0,A576,""))</f>
        <v/>
      </c>
      <c r="W576" s="1" t="str">
        <f ca="1">IF(ISERROR(F569),"",IF(ISTEXT(VLOOKUP(B569,INDIRECT($F$8),6+(O576-1)*3)),11,IF(VLOOKUP(B569,INDIRECT($F$8),6+(O576-1)*3)&lt;S576*0.3,IF(VLOOKUP(B569,INDIRECT($F$8),8+(O576-1)*3)&lt;U576*0.4,IF(AND(0.4*U576-VLOOKUP(B569,INDIRECT($F$8),8+(O576-1)*3)&lt;=5,0.3*S576-VLOOKUP(B569,INDIRECT($F$8),6+(O576-1)*3)&lt;=5),MAX(0.4*U576-VLOOKUP(B569,INDIRECT($F$8),8+(O576-1)*3),0.3*S576-VLOOKUP(B569,INDIRECT($F$8),6+(O576-1)*3)),11),IF(0.3*S576-VLOOKUP(B569,INDIRECT($F$8),6+(O576-1)*3)&lt;=5,0.3*S576-VLOOKUP(B569,INDIRECT($F$8),6+(O576-1)*3),11)),IF(VLOOKUP(B569,INDIRECT($F$8),8+(O576-1)*3)&lt;U576*0.4,IF(U576*0.4-VLOOKUP(B569,INDIRECT($F$8),8+(O576-1)*3)&lt;=5,U576*0.4-VLOOKUP(B569,INDIRECT($F$8),8+(O576-1)*3),11),0))))</f>
        <v/>
      </c>
      <c r="X576" s="1" t="str">
        <f ca="1">IF(ISERROR(F569),"",IF(W576=0,"",_xlfn.TEXTJOIN("",FALSE," G+",W576," in ",A576)))</f>
        <v/>
      </c>
    </row>
    <row r="577" spans="1:24" ht="14.25" customHeight="1" x14ac:dyDescent="0.2">
      <c r="A577" s="7" t="str">
        <f ca="1">IF(ISERROR(F569),"",VLOOKUP(C569,INDIRECT($F$8),6+(O577-1)*3,0))</f>
        <v/>
      </c>
      <c r="B577" s="41" t="str">
        <f ca="1">IF(ISERROR(F569),"",VLOOKUP(D569,INDIRECT($F$8),6+(O577-1)*3,0))</f>
        <v/>
      </c>
      <c r="C577" s="41"/>
      <c r="D577" s="41"/>
      <c r="E577" s="41"/>
      <c r="F577" s="7" t="str">
        <f ca="1">IF(ISERROR(F569),"",VLOOKUP(E569,INDIRECT($F$8),6+(O577-1)*3,0))</f>
        <v/>
      </c>
      <c r="G577" s="42" t="str">
        <f ca="1">IF(ISERROR(F569),"",_xlfn.TEXTJOIN("/",FALSE,P577,S577))</f>
        <v/>
      </c>
      <c r="H577" s="42"/>
      <c r="I577" s="42" t="str">
        <f ca="1">IF(ISERROR(F569),"",_xlfn.TEXTJOIN("/",FALSE,Q577,T577))</f>
        <v/>
      </c>
      <c r="J577" s="42"/>
      <c r="K577" s="42" t="str">
        <f ca="1">IF(ISERROR(F569),"",_xlfn.TEXTJOIN("/",FALSE,R577,U577))</f>
        <v/>
      </c>
      <c r="L577" s="42"/>
      <c r="M577" s="7" t="str">
        <f ca="1">IF(ISERROR(F569),"",IF(ISTEXT(P577),IF(P577="A","Ab",IF(P577="D","Dt",IF(P577="UFM","UFM",IF(P577="NA","")))),IF(AND(ISBLANK(P577),ISBLANK(R577)),"",IF(P577&lt;0.3*S577,"F",IF(ISBLANK(R577),"",IF(ISTEXT(R577),R577,IF(R577&gt;=0.9*U577,"O",IF(R577&gt;=0.85*U577,"A+",IF(R577&gt;=0.8*U577,"A",IF(R577&gt;=0.7*U577,"B+",IF(R577&gt;=0.6*U577,"B",IF(R577&gt;=0.5*U577,"C",IF(R577&gt;=0.4*U577,"P",IF(R577&lt;0.4*U577,"F",R577))))))))))))))</f>
        <v/>
      </c>
      <c r="N577" s="8" t="str">
        <f t="shared" ca="1" si="66"/>
        <v/>
      </c>
      <c r="O577" t="b" cm="1">
        <f t="array" aca="1" ref="O577" ca="1">IF(NOT(ISBLANK(INDIRECT("SEM_III!R"&amp;INT((ROW(O577)-16)/17)+6))),5,IF(NOT(ISBLANK(INDIRECT("SEM_III!U"&amp;INT((ROW(O577)-16)/17)+6))),6))</f>
        <v>0</v>
      </c>
      <c r="P577" s="1" t="str">
        <f ca="1">IF(ISERROR(F569),"",IF(ISTEXT(VLOOKUP(B569,INDIRECT($F$8),6+(O577-1)*3)),(VLOOKUP(B569,INDIRECT($F$8),6+(O577-1)*3)),SUM(VLOOKUP(B569,INDIRECT($F$8),6+(O577-1)*3),IF(W582,W577,0))))</f>
        <v/>
      </c>
      <c r="Q577" s="1" t="str">
        <f ca="1">IF(ISERROR(F569),"",VLOOKUP(B569,INDIRECT($F$8),7+(O577-1)*3))</f>
        <v/>
      </c>
      <c r="R577" s="1" t="str">
        <f ca="1">IF(ISERROR(F569),"",SUM(P577:Q577))</f>
        <v/>
      </c>
      <c r="S577" s="1" t="str">
        <f ca="1">IF(ISERROR(F569),"",VLOOKUP(A569,INDIRECT($F$8),6+(O577-1)*3))</f>
        <v/>
      </c>
      <c r="T577" s="1" t="str">
        <f ca="1">IF(ISERROR(F569),"",VLOOKUP(A569,INDIRECT($F$8),7+(O577-1)*3))</f>
        <v/>
      </c>
      <c r="U577" s="1" t="str">
        <f ca="1">IF(ISERROR(F569),"",VLOOKUP(A569,INDIRECT($F$8),8+(O577-1)*3))</f>
        <v/>
      </c>
      <c r="V577" s="1" t="str">
        <f ca="1">IF(ISERROR(F569),"",IF(N577=0,A577,""))</f>
        <v/>
      </c>
      <c r="W577" s="1" t="str">
        <f ca="1">IF(ISERROR(F569),"",IF(ISTEXT(VLOOKUP(B569,INDIRECT($F$8),6+(O577-1)*3)),11,IF(VLOOKUP(B569,INDIRECT($F$8),6+(O577-1)*3)&lt;S577*0.3,IF(VLOOKUP(B569,INDIRECT($F$8),8+(O577-1)*3)&lt;U577*0.4,IF(AND(0.4*U577-VLOOKUP(B569,INDIRECT($F$8),8+(O577-1)*3)&lt;=5,0.3*S577-VLOOKUP(B569,INDIRECT($F$8),6+(O577-1)*3)&lt;=5),MAX(0.4*U577-VLOOKUP(B569,INDIRECT($F$8),8+(O577-1)*3),0.3*S577-VLOOKUP(B569,INDIRECT($F$8),6+(O577-1)*3)),11),IF(0.3*S577-VLOOKUP(B569,INDIRECT($F$8),6+(O577-1)*3)&lt;=5,0.3*S577-VLOOKUP(B569,INDIRECT($F$8),6+(O577-1)*3),11)),IF(VLOOKUP(B569,INDIRECT($F$8),8+(O577-1)*3)&lt;U577*0.4,IF(U577*0.4-VLOOKUP(B569,INDIRECT($F$8),8+(O577-1)*3)&lt;=5,U577*0.4-VLOOKUP(B569,INDIRECT($F$8),8+(O577-1)*3),11),0))))</f>
        <v/>
      </c>
      <c r="X577" s="1" t="str">
        <f ca="1">IF(ISERROR(F569),"",IF(W577=0,"",_xlfn.TEXTJOIN("",FALSE," G+",W577," in ",A577)))</f>
        <v/>
      </c>
    </row>
    <row r="578" spans="1:24" ht="14.25" customHeight="1" x14ac:dyDescent="0.2">
      <c r="A578" s="7" t="str">
        <f ca="1">IF(ISERROR(F569),"",VLOOKUP(C569,INDIRECT($F$8),6+(O578-1)*3,0))</f>
        <v/>
      </c>
      <c r="B578" s="41" t="str">
        <f ca="1">IF(ISERROR(F569),"",VLOOKUP(D569,INDIRECT($F$8),6+(O578-1)*3,0))</f>
        <v/>
      </c>
      <c r="C578" s="41"/>
      <c r="D578" s="41"/>
      <c r="E578" s="41"/>
      <c r="F578" s="7" t="str">
        <f ca="1">IF(ISERROR(F569),"",VLOOKUP(E569,INDIRECT($F$8),6+(O578-1)*3,0))</f>
        <v/>
      </c>
      <c r="G578" s="42" t="str">
        <f ca="1">IF(ISERROR(F569),"",_xlfn.TEXTJOIN("/",FALSE,P578,S578))</f>
        <v/>
      </c>
      <c r="H578" s="42"/>
      <c r="I578" s="42" t="str">
        <f ca="1">IF(ISERROR(F569),"",_xlfn.TEXTJOIN("/",FALSE,Q578,T578))</f>
        <v/>
      </c>
      <c r="J578" s="42"/>
      <c r="K578" s="42" t="str">
        <f ca="1">IF(ISERROR(F569),"",_xlfn.TEXTJOIN("/",FALSE,R578,U578))</f>
        <v/>
      </c>
      <c r="L578" s="42"/>
      <c r="M578" s="7" t="str">
        <f ca="1">IF(ISERROR(F569),"",IF(ISTEXT(P578),IF(P578="A","Ab",IF(P578="D","Dt",IF(P578="UFM","UFM",IF(P578="NA","")))),IF(AND(ISBLANK(P578),ISBLANK(R578)),"",IF(P578&lt;0.3*S578,"F",IF(ISBLANK(R578),"",IF(ISTEXT(R578),R578,IF(R578&gt;=0.9*U578,"O",IF(R578&gt;=0.85*U578,"A+",IF(R578&gt;=0.8*U578,"A",IF(R578&gt;=0.7*U578,"B+",IF(R578&gt;=0.6*U578,"B",IF(R578&gt;=0.5*U578,"C",IF(R578&gt;=0.4*U578,"P",IF(R578&lt;0.4*U578,"F",R578))))))))))))))</f>
        <v/>
      </c>
      <c r="N578" s="8" t="str">
        <f t="shared" ca="1" si="66"/>
        <v/>
      </c>
      <c r="O578">
        <f ca="1">IF(O577&gt;0,7,"")</f>
        <v>7</v>
      </c>
      <c r="P578" s="1" t="str">
        <f ca="1">IF(ISERROR(F569),"",IF(ISTEXT(VLOOKUP(B569,INDIRECT($F$8),6+(O578-1)*3)),(VLOOKUP(B569,INDIRECT($F$8),6+(O578-1)*3)),SUM(VLOOKUP(B569,INDIRECT($F$8),6+(O578-1)*3),IF(W582,W578,0))))</f>
        <v/>
      </c>
      <c r="Q578" s="1" t="str">
        <f ca="1">IF(ISERROR(F569),"",VLOOKUP(B569,INDIRECT($F$8),7+(O578-1)*3))</f>
        <v/>
      </c>
      <c r="R578" s="1" t="str">
        <f ca="1">IF(ISERROR(F569),"",SUM(P578:Q578))</f>
        <v/>
      </c>
      <c r="S578" s="1" t="str">
        <f ca="1">IF(ISERROR(F569),"",VLOOKUP(A569,INDIRECT($F$8),6+(O578-1)*3))</f>
        <v/>
      </c>
      <c r="T578" s="1" t="str">
        <f ca="1">IF(ISERROR(F569),"",VLOOKUP(A569,INDIRECT($F$8),7+(O578-1)*3))</f>
        <v/>
      </c>
      <c r="U578" s="1" t="str">
        <f ca="1">IF(ISERROR(F569),"",VLOOKUP(A569,INDIRECT($F$8),8+(O578-1)*3))</f>
        <v/>
      </c>
      <c r="V578" s="1" t="str">
        <f ca="1">IF(ISERROR(F569),"",IF(N578=0,A578,""))</f>
        <v/>
      </c>
      <c r="W578" s="1" t="str">
        <f ca="1">IF(ISERROR(F569),"",IF(ISTEXT(VLOOKUP(B569,INDIRECT($F$8),6+(O578-1)*3)),11,IF(VLOOKUP(B569,INDIRECT($F$8),6+(O578-1)*3)&lt;S578*0.3,IF(VLOOKUP(B569,INDIRECT($F$8),8+(O578-1)*3)&lt;U578*0.4,IF(AND(0.4*U578-VLOOKUP(B569,INDIRECT($F$8),8+(O578-1)*3)&lt;=5,0.3*S578-VLOOKUP(B569,INDIRECT($F$8),6+(O578-1)*3)&lt;=5),MAX(0.4*U578-VLOOKUP(B569,INDIRECT($F$8),8+(O578-1)*3),0.3*S578-VLOOKUP(B569,INDIRECT($F$8),6+(O578-1)*3)),11),IF(0.3*S578-VLOOKUP(B569,INDIRECT($F$8),6+(O578-1)*3)&lt;=5,0.3*S578-VLOOKUP(B569,INDIRECT($F$8),6+(O578-1)*3),11)),IF(VLOOKUP(B569,INDIRECT($F$8),8+(O578-1)*3)&lt;U578*0.4,IF(U578*0.4-VLOOKUP(B569,INDIRECT($F$8),8+(O578-1)*3)&lt;=5,U578*0.4-VLOOKUP(B569,INDIRECT($F$8),8+(O578-1)*3),11),0))))</f>
        <v/>
      </c>
      <c r="X578" s="1" t="str">
        <f ca="1">IF(ISERROR(F569),"",IF(W578=0,"",_xlfn.TEXTJOIN("",FALSE," G+",W578," in ",A578)))</f>
        <v/>
      </c>
    </row>
    <row r="579" spans="1:24" ht="14.25" customHeight="1" x14ac:dyDescent="0.2">
      <c r="A579" s="7" t="str">
        <f ca="1">IF(ISERROR(F569),"",VLOOKUP(C569,INDIRECT($F$8),6+(O579-1)*3,0))</f>
        <v/>
      </c>
      <c r="B579" s="41" t="str">
        <f ca="1">IF(ISERROR(F569),"",VLOOKUP(D569,INDIRECT($F$8),6+(O579-1)*3,0))</f>
        <v/>
      </c>
      <c r="C579" s="41"/>
      <c r="D579" s="41"/>
      <c r="E579" s="41"/>
      <c r="F579" s="7" t="str">
        <f ca="1">IF(ISERROR(F569),"",VLOOKUP(E569,INDIRECT($F$8),6+(O579-1)*3,0))</f>
        <v/>
      </c>
      <c r="G579" s="42" t="str">
        <f ca="1">IF(ISERROR(F569),"",_xlfn.TEXTJOIN("/",FALSE,P579,S579))</f>
        <v/>
      </c>
      <c r="H579" s="42"/>
      <c r="I579" s="42" t="str">
        <f ca="1">IF(ISERROR(F569),"",_xlfn.TEXTJOIN("/",FALSE,Q579,T579))</f>
        <v/>
      </c>
      <c r="J579" s="42"/>
      <c r="K579" s="42" t="str">
        <f ca="1">IF(ISERROR(F569),"",_xlfn.TEXTJOIN("/",FALSE,R579,U579))</f>
        <v/>
      </c>
      <c r="L579" s="42"/>
      <c r="M579" s="7" t="str">
        <f ca="1">IF(ISERROR(F569),"",IF(ISTEXT(P579),IF(P579="A","Ab",IF(P579="D","Dt",IF(P579="UFM","UFM",IF(P579="NA","")))),IF(AND(ISBLANK(P579),ISBLANK(R579)),"",IF(P579&lt;0.3*S579,"F",IF(ISBLANK(R579),"",IF(ISTEXT(R579),R579,IF(R579&gt;=0.9*U579,"O",IF(R579&gt;=0.85*U579,"A+",IF(R579&gt;=0.8*U579,"A",IF(R579&gt;=0.7*U579,"B+",IF(R579&gt;=0.6*U579,"B",IF(R579&gt;=0.5*U579,"C",IF(R579&gt;=0.4*U579,"P",IF(R579&lt;0.4*U579,"F",R579))))))))))))))</f>
        <v/>
      </c>
      <c r="N579" s="8" t="str">
        <f t="shared" ca="1" si="66"/>
        <v/>
      </c>
      <c r="O579">
        <f t="shared" ref="O579:O581" ca="1" si="67">O578+1</f>
        <v>8</v>
      </c>
      <c r="P579" s="1" t="str">
        <f ca="1">IF(ISERROR(F569),"",IF(ISTEXT(VLOOKUP(B569,INDIRECT($F$8),6+(O579-1)*3)),(VLOOKUP(B569,INDIRECT($F$8),6+(O579-1)*3)),SUM(VLOOKUP(B569,INDIRECT($F$8),6+(O579-1)*3),IF(W582,W579,0))))</f>
        <v/>
      </c>
      <c r="Q579" s="1" t="str">
        <f ca="1">IF(ISERROR(F569),"",VLOOKUP(B569,INDIRECT($F$8),7+(O579-1)*3))</f>
        <v/>
      </c>
      <c r="R579" s="1" t="str">
        <f ca="1">IF(ISERROR(F569),"",SUM(P579:Q579))</f>
        <v/>
      </c>
      <c r="S579" s="1" t="str">
        <f ca="1">IF(ISERROR(F569),"",VLOOKUP(A569,INDIRECT($F$8),6+(O579-1)*3))</f>
        <v/>
      </c>
      <c r="T579" s="1" t="str">
        <f ca="1">IF(ISERROR(F569),"",VLOOKUP(A569,INDIRECT($F$8),7+(O579-1)*3))</f>
        <v/>
      </c>
      <c r="U579" s="1" t="str">
        <f ca="1">IF(ISERROR(F569),"",VLOOKUP(A569,INDIRECT($F$8),8+(O579-1)*3))</f>
        <v/>
      </c>
      <c r="V579" s="1" t="str">
        <f ca="1">IF(ISERROR(F569),"",IF(N579=0,A579,""))</f>
        <v/>
      </c>
      <c r="W579" s="1" t="str">
        <f ca="1">IF(ISERROR(F569),"",IF(ISTEXT(VLOOKUP(B569,INDIRECT($F$8),6+(O579-1)*3)),11,IF(VLOOKUP(B569,INDIRECT($F$8),6+(O579-1)*3)&lt;S579*0.3,IF(VLOOKUP(B569,INDIRECT($F$8),8+(O579-1)*3)&lt;U579*0.4,IF(AND(0.4*U579-VLOOKUP(B569,INDIRECT($F$8),8+(O579-1)*3)&lt;=5,0.3*S579-VLOOKUP(B569,INDIRECT($F$8),6+(O579-1)*3)&lt;=5),MAX(0.4*U579-VLOOKUP(B569,INDIRECT($F$8),8+(O579-1)*3),0.3*S579-VLOOKUP(B569,INDIRECT($F$8),6+(O579-1)*3)),11),IF(0.3*S579-VLOOKUP(B569,INDIRECT($F$8),6+(O579-1)*3)&lt;=5,0.3*S579-VLOOKUP(B569,INDIRECT($F$8),6+(O579-1)*3),11)),IF(VLOOKUP(B569,INDIRECT($F$8),8+(O579-1)*3)&lt;U579*0.4,IF(U579*0.4-VLOOKUP(B569,INDIRECT($F$8),8+(O579-1)*3)&lt;=5,U579*0.4-VLOOKUP(B569,INDIRECT($F$8),8+(O579-1)*3),11),0))))</f>
        <v/>
      </c>
      <c r="X579" s="1" t="str">
        <f ca="1">IF(ISERROR(F569),"",IF(W579=0,"",_xlfn.TEXTJOIN("",FALSE," G+",W579," in ",A579)))</f>
        <v/>
      </c>
    </row>
    <row r="580" spans="1:24" ht="14.25" customHeight="1" x14ac:dyDescent="0.2">
      <c r="A580" s="7" t="str">
        <f ca="1">IF(ISERROR(F569),"",VLOOKUP(C569,INDIRECT($F$8),6+(O580-1)*3,0))</f>
        <v/>
      </c>
      <c r="B580" s="41" t="str">
        <f ca="1">IF(ISERROR(F569),"",VLOOKUP(D569,INDIRECT($F$8),6+(O580-1)*3,0))</f>
        <v/>
      </c>
      <c r="C580" s="41"/>
      <c r="D580" s="41"/>
      <c r="E580" s="41"/>
      <c r="F580" s="7" t="str">
        <f ca="1">IF(ISERROR(F569),"",VLOOKUP(E569,INDIRECT($F$8),6+(O580-1)*3,0))</f>
        <v/>
      </c>
      <c r="G580" s="42" t="str">
        <f ca="1">IF(ISERROR(F569),"",_xlfn.TEXTJOIN("/",FALSE,P580,S580))</f>
        <v/>
      </c>
      <c r="H580" s="42"/>
      <c r="I580" s="42" t="str">
        <f ca="1">IF(ISERROR(F569),"",_xlfn.TEXTJOIN("/",FALSE,Q580,T580))</f>
        <v/>
      </c>
      <c r="J580" s="42"/>
      <c r="K580" s="42" t="str">
        <f ca="1">IF(ISERROR(F569),"",_xlfn.TEXTJOIN("/",FALSE,R580,U580))</f>
        <v/>
      </c>
      <c r="L580" s="42"/>
      <c r="M580" s="7" t="str">
        <f ca="1">IF(ISERROR(F569),"",IF(ISTEXT(P580),IF(P580="A","Ab",IF(P580="D","Dt",IF(P580="UFM","UFM",IF(P580="NA","")))),IF(AND(ISBLANK(P580),ISBLANK(R580)),"",IF(P580&lt;0.3*S580,"F",IF(ISBLANK(R580),"",IF(ISTEXT(R580),R580,IF(R580&gt;=0.9*U580,"O",IF(R580&gt;=0.85*U580,"A+",IF(R580&gt;=0.8*U580,"A",IF(R580&gt;=0.7*U580,"B+",IF(R580&gt;=0.6*U580,"B",IF(R580&gt;=0.5*U580,"C",IF(R580&gt;=0.4*U580,"P",IF(R580&lt;0.4*U580,"F",R580))))))))))))))</f>
        <v/>
      </c>
      <c r="N580" s="8" t="str">
        <f t="shared" ca="1" si="66"/>
        <v/>
      </c>
      <c r="O580">
        <f t="shared" ca="1" si="67"/>
        <v>9</v>
      </c>
      <c r="P580" s="1" t="str">
        <f ca="1">IF(ISERROR(F569),"",IF(ISTEXT(VLOOKUP(B569,INDIRECT($F$8),6+(O580-1)*3)),(VLOOKUP(B569,INDIRECT($F$8),6+(O580-1)*3)),SUM(VLOOKUP(B569,INDIRECT($F$8),6+(O580-1)*3),IF(W582,W580,0))))</f>
        <v/>
      </c>
      <c r="Q580" s="1" t="str">
        <f ca="1">IF(ISERROR(F569),"",VLOOKUP(B569,INDIRECT($F$8),7+(O580-1)*3))</f>
        <v/>
      </c>
      <c r="R580" s="1" t="str">
        <f ca="1">IF(ISERROR(F569),"",SUM(P580:Q580))</f>
        <v/>
      </c>
      <c r="S580" s="1" t="str">
        <f ca="1">IF(ISERROR(F569),"",VLOOKUP(A569,INDIRECT($F$8),6+(O580-1)*3))</f>
        <v/>
      </c>
      <c r="T580" s="1" t="str">
        <f ca="1">IF(ISERROR(F569),"",VLOOKUP(A569,INDIRECT($F$8),7+(O580-1)*3))</f>
        <v/>
      </c>
      <c r="U580" s="1" t="str">
        <f ca="1">IF(ISERROR(F569),"",VLOOKUP(A569,INDIRECT($F$8),8+(O580-1)*3))</f>
        <v/>
      </c>
      <c r="V580" s="1" t="str">
        <f ca="1">IF(ISERROR(F569),"",IF(N580=0,A580,""))</f>
        <v/>
      </c>
      <c r="W580" s="1" t="str">
        <f ca="1">IF(ISERROR(F569),"",IF(ISTEXT(VLOOKUP(B569,INDIRECT($F$8),6+(O580-1)*3)),11,IF(VLOOKUP(B569,INDIRECT($F$8),6+(O580-1)*3)&lt;S580*0.3,IF(VLOOKUP(B569,INDIRECT($F$8),8+(O580-1)*3)&lt;U580*0.4,IF(AND(0.4*U580-VLOOKUP(B569,INDIRECT($F$8),8+(O580-1)*3)&lt;=5,0.3*S580-VLOOKUP(B569,INDIRECT($F$8),6+(O580-1)*3)&lt;=5),MAX(0.4*U580-VLOOKUP(B569,INDIRECT($F$8),8+(O580-1)*3),0.3*S580-VLOOKUP(B569,INDIRECT($F$8),6+(O580-1)*3)),11),IF(0.3*S580-VLOOKUP(B569,INDIRECT($F$8),6+(O580-1)*3)&lt;=5,0.3*S580-VLOOKUP(B569,INDIRECT($F$8),6+(O580-1)*3),11)),IF(VLOOKUP(B569,INDIRECT($F$8),8+(O580-1)*3)&lt;U580*0.4,IF(U580*0.4-VLOOKUP(B569,INDIRECT($F$8),8+(O580-1)*3)&lt;=5,U580*0.4-VLOOKUP(B569,INDIRECT($F$8),8+(O580-1)*3),11),0))))</f>
        <v/>
      </c>
      <c r="X580" s="1" t="str">
        <f ca="1">IF(ISERROR(F569),"",IF(W580=0,"",_xlfn.TEXTJOIN("",FALSE," G+",W580," in ",A580)))</f>
        <v/>
      </c>
    </row>
    <row r="581" spans="1:24" ht="14.25" customHeight="1" x14ac:dyDescent="0.2">
      <c r="A581" s="7" t="str">
        <f ca="1">IF(ISERROR(F569),"",VLOOKUP(C569,INDIRECT($F$8),6+(O581-1)*3,0))</f>
        <v/>
      </c>
      <c r="B581" s="41" t="str">
        <f ca="1">IF(ISERROR(F569),"",VLOOKUP(D569,INDIRECT($F$8),6+(O581-1)*3-Z581,0))</f>
        <v/>
      </c>
      <c r="C581" s="41"/>
      <c r="D581" s="41"/>
      <c r="E581" s="41"/>
      <c r="F581" s="7" t="str">
        <f ca="1">IF(ISERROR(F569),"",VLOOKUP(E569,INDIRECT($F$8),6+(O581-1)*3,0))</f>
        <v/>
      </c>
      <c r="G581" s="42" t="str">
        <f ca="1">IF(ISERROR(F569),"",_xlfn.TEXTJOIN("/",FALSE,P581,S581))</f>
        <v/>
      </c>
      <c r="H581" s="42"/>
      <c r="I581" s="42" t="str">
        <f ca="1">IF(ISERROR(F569),"",_xlfn.TEXTJOIN("/",FALSE,Q581,T581))</f>
        <v/>
      </c>
      <c r="J581" s="42"/>
      <c r="K581" s="42" t="str">
        <f ca="1">IF(ISERROR(F569),"",_xlfn.TEXTJOIN("/",FALSE,R581,U581))</f>
        <v/>
      </c>
      <c r="L581" s="42"/>
      <c r="M581" s="7" t="str">
        <f ca="1">IF(ISERROR(F569),"",IF(ISTEXT(P581),IF(P581="A","Ab",IF(P581="D","Dt",IF(P581="UFM","UFM",IF(P581="NA","")))),IF(AND(ISBLANK(P581),ISBLANK(R581)),"",IF(P581&lt;0.3*S581,"F",IF(ISBLANK(R581),"",IF(ISTEXT(R581),R581,IF(R581&gt;=0.9*U581,"O",IF(R581&gt;=0.85*U581,"A+",IF(R581&gt;=0.8*U581,"A",IF(R581&gt;=0.7*U581,"B+",IF(R581&gt;=0.6*U581,"B",IF(R581&gt;=0.5*U581,"C",IF(R581&gt;=0.4*U581,"P",IF(R581&lt;0.4*U581,"F",R581))))))))))))))</f>
        <v/>
      </c>
      <c r="N581" s="8" t="str">
        <f t="shared" ca="1" si="66"/>
        <v/>
      </c>
      <c r="O581">
        <f t="shared" ca="1" si="67"/>
        <v>10</v>
      </c>
      <c r="P581" s="1" t="str">
        <f ca="1">IF(ISERROR(F569),"",IF(ISTEXT(VLOOKUP(B569,INDIRECT($F$8),6+(O581-1)*3)),(VLOOKUP(B569,INDIRECT($F$8),6+(O581-1)*3)),SUM(VLOOKUP(B569,INDIRECT($F$8),6+(O581-1)*3),IF(W582,W581,0))))</f>
        <v/>
      </c>
      <c r="Q581" s="1" t="str">
        <f ca="1">IF(ISERROR(F569),"",VLOOKUP(B569,INDIRECT($F$8),7+(O581-1)*3))</f>
        <v/>
      </c>
      <c r="R581" s="1" t="str">
        <f ca="1">IF(ISERROR(F569),"",SUM(P581:Q581))</f>
        <v/>
      </c>
      <c r="S581" s="1" t="str">
        <f ca="1">IF(ISERROR(F569),"",VLOOKUP(A569,INDIRECT($F$8),6+(O581-1)*3))</f>
        <v/>
      </c>
      <c r="T581" s="1" t="str">
        <f ca="1">IF(ISERROR(F569),"",VLOOKUP(A569,INDIRECT($F$8),7+(O581-1)*3))</f>
        <v/>
      </c>
      <c r="U581" s="1" t="str">
        <f ca="1">IF(ISERROR(F569),"",VLOOKUP(A569,INDIRECT($F$8),8+(O581-1)*3))</f>
        <v/>
      </c>
      <c r="V581" s="1" t="str">
        <f ca="1">IF(ISERROR(F569),"",IF(N581=0,A581,""))</f>
        <v/>
      </c>
      <c r="W581" s="1" t="str">
        <f ca="1">IF(ISERROR(F569),"",IF(ISTEXT(VLOOKUP(B569,INDIRECT($F$8),6+(O581-1)*3)),11,IF(VLOOKUP(B569,INDIRECT($F$8),6+(O581-1)*3)&lt;S581*0.3,IF(VLOOKUP(B569,INDIRECT($F$8),8+(O581-1)*3)&lt;U581*0.4,IF(AND(0.4*U581-VLOOKUP(B569,INDIRECT($F$8),8+(O581-1)*3)&lt;=5,0.3*S581-VLOOKUP(B569,INDIRECT($F$8),6+(O581-1)*3)&lt;=5),MAX(0.4*U581-VLOOKUP(B569,INDIRECT($F$8),8+(O581-1)*3),0.3*S581-VLOOKUP(B569,INDIRECT($F$8),6+(O581-1)*3)),11),IF(0.3*S581-VLOOKUP(B569,INDIRECT($F$8),6+(O581-1)*3)&lt;=5,0.3*S581-VLOOKUP(B569,INDIRECT($F$8),6+(O581-1)*3),11)),IF(VLOOKUP(B569,INDIRECT($F$8),8+(O581-1)*3)&lt;U581*0.4,IF(U581*0.4-VLOOKUP(B569,INDIRECT($F$8),8+(O581-1)*3)&lt;=5,U581*0.4-VLOOKUP(B569,INDIRECT($F$8),8+(O581-1)*3),11),0))))</f>
        <v/>
      </c>
      <c r="X581" s="1" t="str">
        <f ca="1">IF(ISERROR(F569),"",IF(W581=0,"",_xlfn.TEXTJOIN("",FALSE," G+",W581," in ",A581)))</f>
        <v/>
      </c>
    </row>
    <row r="582" spans="1:24" ht="14.25" customHeight="1" x14ac:dyDescent="0.2">
      <c r="A582" s="43" t="str">
        <f ca="1">IF(ISERROR(F569),"",A565)</f>
        <v/>
      </c>
      <c r="B582" s="43"/>
      <c r="C582" s="43"/>
      <c r="D582" s="43"/>
      <c r="E582" s="43"/>
      <c r="F582" s="10" t="str">
        <f ca="1">IF(ISERROR(F569),"",SUM(F574:F581))</f>
        <v/>
      </c>
      <c r="G582" s="44" t="str">
        <f ca="1">IF(ISERROR(F569),"",_xlfn.TEXTJOIN("/",TRUE,SUMIF(F574:F581,"&gt;0",P574:P581),SUMIF(F574:F581,"&gt;0",S574:S581)))</f>
        <v/>
      </c>
      <c r="H582" s="44"/>
      <c r="I582" s="44" t="str">
        <f ca="1">IF(ISERROR(F569),"",_xlfn.TEXTJOIN("/",TRUE,SUMIF(F574:F581,"&gt;0",Q574:Q581),SUMIF(F574:F581,"&gt;0",T574:T581)))</f>
        <v/>
      </c>
      <c r="J582" s="44"/>
      <c r="K582" s="44" t="str">
        <f ca="1">IF(ISERROR(F569),"",_xlfn.TEXTJOIN("/",TRUE,SUMIF(F574:F581,"&gt;0",R574:R581),SUMIF(F574:F581,"&gt;0",U574:U581)))</f>
        <v/>
      </c>
      <c r="L582" s="44"/>
      <c r="M582" s="43" t="str">
        <f ca="1">IF(ISERROR(F569),"",SUMPRODUCT(N574:N581,F574:F581))</f>
        <v/>
      </c>
      <c r="N582" s="43"/>
      <c r="V582" s="1" t="str">
        <f ca="1">IF(ISERROR(F569),"",_xlfn.TEXTJOIN(", ",TRUE,V574:V581))</f>
        <v/>
      </c>
      <c r="W582" t="str">
        <f ca="1">IF(ISERROR(F569),"",IF(SUM(W574:W581)&lt;=W573,TRUE,FALSE))</f>
        <v/>
      </c>
      <c r="X582" s="1" t="str">
        <f ca="1">IF(ISERROR(F569),"",_xlfn.TEXTJOIN(",",TRUE,X574:X581))</f>
        <v/>
      </c>
    </row>
    <row r="583" spans="1:24" ht="14.25" customHeight="1" x14ac:dyDescent="0.2">
      <c r="A583" s="43" t="str">
        <f ca="1">IF(ISERROR(F569),"",A566)</f>
        <v/>
      </c>
      <c r="B583" s="45" t="str">
        <f ca="1">IF(ISERROR(F569),"",IF(V582="","PASS","CARRY OVER"))</f>
        <v/>
      </c>
      <c r="C583" s="45"/>
      <c r="D583" s="43" t="str">
        <f ca="1">IF(ISERROR(F569),"",D566)</f>
        <v/>
      </c>
      <c r="E583" s="45" t="str">
        <f ca="1">IF(ISERROR(F569),"",IF(V582="",IF(X582="","",X582),_xlfn.TEXTJOIN(" ",TRUE,"BACK IN",V582)))</f>
        <v/>
      </c>
      <c r="F583" s="45"/>
      <c r="G583" s="43" t="str">
        <f ca="1">IF(ISERROR(F569),"",G566)</f>
        <v/>
      </c>
      <c r="H583" s="46" t="str">
        <f ca="1">IF(ISERROR(F569),"",M582/F582)</f>
        <v/>
      </c>
      <c r="I583" s="43" t="str">
        <f ca="1">IF(ISERROR(F569),"",I566)</f>
        <v/>
      </c>
      <c r="J583" s="46" t="str">
        <f ca="1">IF(ISERROR(F569),"",VLOOKUP(B569,INDIRECT($F$8),12+(O581-1)*3,0))</f>
        <v/>
      </c>
      <c r="K583" s="45" t="str">
        <f ca="1">IF(ISERROR(F569),"",K566)</f>
        <v/>
      </c>
      <c r="L583" s="43" t="str">
        <f ca="1">IF(ISERROR(F569),"",SUMIF(N574:N581,"&gt;0",F574:F581))</f>
        <v/>
      </c>
      <c r="M583" s="45" t="str">
        <f ca="1">IF(ISERROR(F569),"",M566)</f>
        <v/>
      </c>
      <c r="N583" s="43" t="str">
        <f ca="1">IF(ISERROR(F569),"",VLOOKUP(B569,INDIRECT($F$8),10+(O581-1)*3,0))</f>
        <v/>
      </c>
    </row>
    <row r="584" spans="1:24" ht="14.25" customHeight="1" x14ac:dyDescent="0.2">
      <c r="A584" s="43"/>
      <c r="B584" s="45"/>
      <c r="C584" s="45"/>
      <c r="D584" s="43"/>
      <c r="E584" s="45"/>
      <c r="F584" s="45"/>
      <c r="G584" s="43"/>
      <c r="H584" s="46"/>
      <c r="I584" s="43"/>
      <c r="J584" s="46"/>
      <c r="K584" s="45"/>
      <c r="L584" s="43"/>
      <c r="M584" s="45"/>
      <c r="N584" s="43"/>
    </row>
    <row r="585" spans="1:24" ht="14.25" customHeight="1" x14ac:dyDescent="0.2">
      <c r="A585" s="43"/>
      <c r="B585" s="45"/>
      <c r="C585" s="45"/>
      <c r="D585" s="43"/>
      <c r="E585" s="45"/>
      <c r="F585" s="45"/>
      <c r="G585" s="43"/>
      <c r="H585" s="46"/>
      <c r="I585" s="43"/>
      <c r="J585" s="46"/>
      <c r="K585" s="45"/>
      <c r="L585" s="43"/>
      <c r="M585" s="45"/>
      <c r="N585" s="43"/>
    </row>
    <row r="586" spans="1:24" ht="14.25" customHeight="1" x14ac:dyDescent="0.2">
      <c r="A586" s="11" t="str">
        <f>A569</f>
        <v>MM</v>
      </c>
      <c r="B586" s="11">
        <f>B569+1</f>
        <v>35</v>
      </c>
      <c r="C586" s="11" t="str">
        <f>C569</f>
        <v>SC</v>
      </c>
      <c r="D586" s="11" t="str">
        <f>D569</f>
        <v>SN</v>
      </c>
      <c r="E586" s="11" t="str">
        <f>E569</f>
        <v>C</v>
      </c>
      <c r="F586" s="11" t="e">
        <f ca="1">VLOOKUP(B586,INDIRECT($F$8),4,0)</f>
        <v>#N/A</v>
      </c>
    </row>
    <row r="587" spans="1:24" ht="14.25" customHeight="1" x14ac:dyDescent="0.2">
      <c r="A587" s="47" t="str">
        <f ca="1">IF(ISERROR(F586),"",A570)</f>
        <v/>
      </c>
      <c r="B587" s="47" t="str">
        <f ca="1">IFERROR(VLOOKUP(B586,INDIRECT($F$8),4,0),"")</f>
        <v/>
      </c>
      <c r="C587" s="47"/>
      <c r="D587" s="47" t="str">
        <f ca="1">IF(ISERROR(F586),"",D570)</f>
        <v/>
      </c>
      <c r="E587" s="47" t="str">
        <f ca="1">IFERROR(VLOOKUP(B586,INDIRECT($F$8),5,0),"")</f>
        <v/>
      </c>
      <c r="F587" s="47"/>
      <c r="G587" s="47" t="str">
        <f ca="1">IF(ISERROR(F586),"",G570)</f>
        <v/>
      </c>
      <c r="H587" s="47"/>
      <c r="I587" s="48" t="str">
        <f ca="1">IFERROR(VLOOKUP(B586,INDIRECT($F$8),2,0),"")</f>
        <v/>
      </c>
      <c r="J587" s="48"/>
      <c r="K587" s="47" t="str">
        <f ca="1">IF(ISERROR(F586),"",K570)</f>
        <v/>
      </c>
      <c r="L587" s="47"/>
      <c r="M587" s="48" t="str">
        <f ca="1">IFERROR(VLOOKUP(B586,INDIRECT($F$8),3,0),"")</f>
        <v/>
      </c>
      <c r="N587" s="48"/>
    </row>
    <row r="588" spans="1:24" ht="14.25" customHeight="1" x14ac:dyDescent="0.2">
      <c r="A588" s="47"/>
      <c r="B588" s="47"/>
      <c r="C588" s="47"/>
      <c r="D588" s="47"/>
      <c r="E588" s="47"/>
      <c r="F588" s="47"/>
      <c r="G588" s="47"/>
      <c r="H588" s="47"/>
      <c r="I588" s="48"/>
      <c r="J588" s="48"/>
      <c r="K588" s="47"/>
      <c r="L588" s="47"/>
      <c r="M588" s="48"/>
      <c r="N588" s="48"/>
    </row>
    <row r="589" spans="1:24" ht="14.25" customHeight="1" x14ac:dyDescent="0.2">
      <c r="A589" s="45" t="str">
        <f ca="1">IF(ISERROR(F586),"",A572)</f>
        <v/>
      </c>
      <c r="B589" s="45" t="str">
        <f ca="1">IF(ISERROR(F586),"",B572)</f>
        <v/>
      </c>
      <c r="C589" s="45"/>
      <c r="D589" s="45"/>
      <c r="E589" s="45"/>
      <c r="F589" s="45" t="str">
        <f ca="1">IF(ISERROR(F586),"",F572)</f>
        <v/>
      </c>
      <c r="G589" s="45" t="str">
        <f ca="1">IF(ISERROR(F586),"",G572)</f>
        <v/>
      </c>
      <c r="H589" s="45"/>
      <c r="I589" s="45" t="str">
        <f ca="1">IF(ISERROR(F586),"",I572)</f>
        <v/>
      </c>
      <c r="J589" s="45"/>
      <c r="K589" s="45" t="str">
        <f ca="1">IF(ISERROR(F586),"",K572)</f>
        <v/>
      </c>
      <c r="L589" s="45"/>
      <c r="M589" s="45" t="str">
        <f ca="1">IF(ISERROR(F586),"",M572)</f>
        <v/>
      </c>
      <c r="N589" s="45" t="str">
        <f ca="1">IF(ISERROR(F586),"",N572)</f>
        <v/>
      </c>
    </row>
    <row r="590" spans="1:24" ht="14.25" customHeight="1" x14ac:dyDescent="0.2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W590">
        <f ca="1">IF(ISNUMBER(MATCH($F$8,{"I","III","V","VII"},0)),10,10-INDEX(INDIRECT(_xlfn.TEXTJOIN("",TRUE,"SEM_",$G$8,"!",ADDRESS(6,4+$I$8*3+4),":",ADDRESS(5+$H$8,4+$I$8*3+4))),MATCH(INDIRECT(_xlfn.TEXTJOIN("",TRUE,"TC_",$F$8,"!",ADDRESS(ROW(I587),COLUMN(I587)))),INDIRECT(_xlfn.TEXTJOIN("",TRUE,"SEM_",$G$8,"!",ADDRESS(6,2),":",ADDRESS(5+$H$8,2))))))</f>
        <v>10</v>
      </c>
    </row>
    <row r="591" spans="1:24" ht="14.25" customHeight="1" x14ac:dyDescent="0.2">
      <c r="A591" s="7" t="str">
        <f ca="1">IF(ISERROR(F586),"",VLOOKUP(C586,INDIRECT($F$8),6+(O591-1)*3,0))</f>
        <v/>
      </c>
      <c r="B591" s="41" t="str">
        <f ca="1">IF(ISERROR(F586),"",VLOOKUP(D586,INDIRECT($F$8),6+(O591-1)*3,0))</f>
        <v/>
      </c>
      <c r="C591" s="41"/>
      <c r="D591" s="41"/>
      <c r="E591" s="41"/>
      <c r="F591" s="7" t="str">
        <f ca="1">IF(ISERROR(F586),"",VLOOKUP(E586,INDIRECT($F$8),6+(O591-1)*3,0))</f>
        <v/>
      </c>
      <c r="G591" s="42" t="str">
        <f ca="1">IF(ISERROR(F586),"",_xlfn.TEXTJOIN("/",FALSE,P591,S591))</f>
        <v/>
      </c>
      <c r="H591" s="42"/>
      <c r="I591" s="42" t="str">
        <f ca="1">IF(ISERROR(F586),"",_xlfn.TEXTJOIN("/",FALSE,Q591,T591))</f>
        <v/>
      </c>
      <c r="J591" s="42"/>
      <c r="K591" s="42" t="str">
        <f ca="1">IF(ISERROR(F586),"",_xlfn.TEXTJOIN("/",FALSE,R591,U591))</f>
        <v/>
      </c>
      <c r="L591" s="42"/>
      <c r="M591" s="7" t="str">
        <f ca="1">IF(ISERROR(F586),"",IF(ISTEXT(P591),IF(P591="A","Ab",IF(P591="D","Dt",IF(P591="UFM","UFM",IF(P591="NA","")))),IF(AND(ISBLANK(P591),ISBLANK(R591)),"",IF(P591&lt;0.3*S591,"F",IF(ISBLANK(R591),"",IF(ISTEXT(R591),R591,IF(R591&gt;=0.9*U591,"O",IF(R591&gt;=0.85*U591,"A+",IF(R591&gt;=0.8*U591,"A",IF(R591&gt;=0.7*U591,"B+",IF(R591&gt;=0.6*U591,"B",IF(R591&gt;=0.5*U591,"C",IF(R591&gt;=0.4*U591,"P",IF(R591&lt;0.4*U591,"F",R591))))))))))))))</f>
        <v/>
      </c>
      <c r="N591" s="8" t="str">
        <f t="shared" ref="N591:N598" ca="1" si="68">INDEX($Z$2:$Z$13,MATCH(M591,$Y$2:$Y$13,0))</f>
        <v/>
      </c>
      <c r="O591">
        <v>1</v>
      </c>
      <c r="P591" s="1" t="str">
        <f ca="1">IF(ISERROR(F586),"",IF(ISTEXT(VLOOKUP(B586,INDIRECT($F$8),6+(O591-1)*3)),(VLOOKUP(B586,INDIRECT($F$8),6+(O591-1)*3)),SUM(VLOOKUP(B586,INDIRECT($F$8),6+(O591-1)*3),IF(W599,W591,0))))</f>
        <v/>
      </c>
      <c r="Q591" s="1" t="str">
        <f ca="1">IF(ISERROR(F586),"",VLOOKUP(B586,INDIRECT($F$8),7+(O591-1)*3))</f>
        <v/>
      </c>
      <c r="R591" s="1" t="str">
        <f ca="1">IF(ISERROR(F586),"",SUM(P591:Q591))</f>
        <v/>
      </c>
      <c r="S591" s="1" t="str">
        <f ca="1">IF(ISERROR(F586),"",VLOOKUP(A586,INDIRECT($F$8),6+(O591-1)*3))</f>
        <v/>
      </c>
      <c r="T591" s="1" t="str">
        <f ca="1">IF(ISERROR(F586),"",VLOOKUP(A586,INDIRECT($F$8),7+(O591-1)*3))</f>
        <v/>
      </c>
      <c r="U591" s="1" t="str">
        <f ca="1">IF(ISERROR(F586),"",VLOOKUP(A586,INDIRECT($F$8),8+(O591-1)*3))</f>
        <v/>
      </c>
      <c r="V591" s="1" t="str">
        <f ca="1">IF(ISERROR(F586),"",IF(N591=0,A591,""))</f>
        <v/>
      </c>
      <c r="W591" s="1" t="str">
        <f ca="1">IF(ISERROR(F586),"",IF(ISTEXT(VLOOKUP(B586,INDIRECT($F$8),6+(O591-1)*3)),11,IF(VLOOKUP(B586,INDIRECT($F$8),6+(O591-1)*3)&lt;S591*0.3,IF(VLOOKUP(B586,INDIRECT($F$8),8+(O591-1)*3)&lt;U591*0.4,IF(AND(0.4*U591-VLOOKUP(B586,INDIRECT($F$8),8+(O591-1)*3)&lt;=5,0.3*S591-VLOOKUP(B586,INDIRECT($F$8),6+(O591-1)*3)&lt;=5),MAX(0.4*U591-VLOOKUP(B586,INDIRECT($F$8),8+(O591-1)*3),0.3*S591-VLOOKUP(B586,INDIRECT($F$8),6+(O591-1)*3)),11),IF(0.3*S591-VLOOKUP(B586,INDIRECT($F$8),6+(O591-1)*3)&lt;=5,0.3*S591-VLOOKUP(B586,INDIRECT($F$8),6+(O591-1)*3),11)),IF(VLOOKUP(B586,INDIRECT($F$8),8+(O591-1)*3)&lt;U591*0.4,IF(U591*0.4-VLOOKUP(B586,INDIRECT($F$8),8+(O591-1)*3)&lt;=5,U591*0.4-VLOOKUP(B586,INDIRECT($F$8),8+(O591-1)*3),11),0))))</f>
        <v/>
      </c>
      <c r="X591" s="1" t="str">
        <f ca="1">IF(ISERROR(F586),"",IF(W591=0,"",_xlfn.TEXTJOIN("",FALSE," G+",W591," in ",A591)))</f>
        <v/>
      </c>
    </row>
    <row r="592" spans="1:24" ht="14.25" customHeight="1" x14ac:dyDescent="0.2">
      <c r="A592" s="7" t="str">
        <f ca="1">IF(ISERROR(F586),"",VLOOKUP(C586,INDIRECT($F$8),6+(O592-1)*3,0))</f>
        <v/>
      </c>
      <c r="B592" s="41" t="str">
        <f ca="1">IF(ISERROR(F586),"",VLOOKUP(D586,INDIRECT($F$8),6+(O592-1)*3,0))</f>
        <v/>
      </c>
      <c r="C592" s="41"/>
      <c r="D592" s="41"/>
      <c r="E592" s="41"/>
      <c r="F592" s="7" t="str">
        <f ca="1">IF(ISERROR(F586),"",VLOOKUP(E586,INDIRECT($F$8),6+(O592-1)*3,0))</f>
        <v/>
      </c>
      <c r="G592" s="42" t="str">
        <f ca="1">IF(ISERROR(F586),"",_xlfn.TEXTJOIN("/",FALSE,P592,S592))</f>
        <v/>
      </c>
      <c r="H592" s="42"/>
      <c r="I592" s="42" t="str">
        <f ca="1">IF(ISERROR(F586),"",_xlfn.TEXTJOIN("/",FALSE,Q592,T592))</f>
        <v/>
      </c>
      <c r="J592" s="42"/>
      <c r="K592" s="42" t="str">
        <f ca="1">IF(ISERROR(F586),"",_xlfn.TEXTJOIN("/",FALSE,R592,U592))</f>
        <v/>
      </c>
      <c r="L592" s="42"/>
      <c r="M592" s="7" t="str">
        <f ca="1">IF(ISERROR(F586),"",IF(ISTEXT(P592),IF(P592="A","Ab",IF(P592="D","Dt",IF(P592="UFM","UFM",IF(P592="NA","")))),IF(AND(ISBLANK(P592),ISBLANK(R592)),"",IF(P592&lt;0.3*S592,"F",IF(ISBLANK(R592),"",IF(ISTEXT(R592),R592,IF(R592&gt;=0.9*U592,"O",IF(R592&gt;=0.85*U592,"A+",IF(R592&gt;=0.8*U592,"A",IF(R592&gt;=0.7*U592,"B+",IF(R592&gt;=0.6*U592,"B",IF(R592&gt;=0.5*U592,"C",IF(R592&gt;=0.4*U592,"P",IF(R592&lt;0.4*U592,"F",R592))))))))))))))</f>
        <v/>
      </c>
      <c r="N592" s="8" t="str">
        <f t="shared" ca="1" si="68"/>
        <v/>
      </c>
      <c r="O592">
        <f>O591+1</f>
        <v>2</v>
      </c>
      <c r="P592" s="1" t="str">
        <f ca="1">IF(ISERROR(F586),"",IF(ISTEXT(VLOOKUP(B586,INDIRECT($F$8),6+(O592-1)*3)),(VLOOKUP(B586,INDIRECT($F$8),6+(O592-1)*3)),SUM(VLOOKUP(B586,INDIRECT($F$8),6+(O592-1)*3),IF(W599,W592,0))))</f>
        <v/>
      </c>
      <c r="Q592" s="1" t="str">
        <f ca="1">IF(ISERROR(F586),"",VLOOKUP(B586,INDIRECT($F$8),7+(O592-1)*3))</f>
        <v/>
      </c>
      <c r="R592" s="1" t="str">
        <f ca="1">IF(ISERROR(F586),"",SUM(P592:Q592))</f>
        <v/>
      </c>
      <c r="S592" s="1" t="str">
        <f ca="1">IF(ISERROR(F586),"",VLOOKUP(A586,INDIRECT($F$8),6+(O592-1)*3))</f>
        <v/>
      </c>
      <c r="T592" s="1" t="str">
        <f ca="1">IF(ISERROR(F586),"",VLOOKUP(A586,INDIRECT($F$8),7+(O592-1)*3))</f>
        <v/>
      </c>
      <c r="U592" s="1" t="str">
        <f ca="1">IF(ISERROR(F586),"",VLOOKUP(A586,INDIRECT($F$8),8+(O592-1)*3))</f>
        <v/>
      </c>
      <c r="V592" s="1" t="str">
        <f ca="1">IF(ISERROR(F586),"",IF(N592=0,A592,""))</f>
        <v/>
      </c>
      <c r="W592" s="1" t="str">
        <f ca="1">IF(ISERROR(F586),"",IF(ISTEXT(VLOOKUP(B586,INDIRECT($F$8),6+(O592-1)*3)),11,IF(VLOOKUP(B586,INDIRECT($F$8),6+(O592-1)*3)&lt;S592*0.3,IF(VLOOKUP(B586,INDIRECT($F$8),8+(O592-1)*3)&lt;U592*0.4,IF(AND(0.4*U592-VLOOKUP(B586,INDIRECT($F$8),8+(O592-1)*3)&lt;=5,0.3*S592-VLOOKUP(B586,INDIRECT($F$8),6+(O592-1)*3)&lt;=5),MAX(0.4*U592-VLOOKUP(B586,INDIRECT($F$8),8+(O592-1)*3),0.3*S592-VLOOKUP(B586,INDIRECT($F$8),6+(O592-1)*3)),11),IF(0.3*S592-VLOOKUP(B586,INDIRECT($F$8),6+(O592-1)*3)&lt;=5,0.3*S592-VLOOKUP(B586,INDIRECT($F$8),6+(O592-1)*3),11)),IF(VLOOKUP(B586,INDIRECT($F$8),8+(O592-1)*3)&lt;U592*0.4,IF(U592*0.4-VLOOKUP(B586,INDIRECT($F$8),8+(O592-1)*3)&lt;=5,U592*0.4-VLOOKUP(B586,INDIRECT($F$8),8+(O592-1)*3),11),0))))</f>
        <v/>
      </c>
      <c r="X592" s="1" t="str">
        <f ca="1">IF(ISERROR(F586),"",IF(W592=0,"",_xlfn.TEXTJOIN("",FALSE," G+",W592," in ",A592)))</f>
        <v/>
      </c>
    </row>
    <row r="593" spans="1:24" ht="14.25" customHeight="1" x14ac:dyDescent="0.2">
      <c r="A593" s="7" t="str">
        <f ca="1">IF(ISERROR(F586),"",VLOOKUP(C586,INDIRECT($F$8),6+(O593-1)*3,0))</f>
        <v/>
      </c>
      <c r="B593" s="41" t="str">
        <f ca="1">IF(ISERROR(F586),"",VLOOKUP(D586,INDIRECT($F$8),6+(O593-1)*3,0))</f>
        <v/>
      </c>
      <c r="C593" s="41"/>
      <c r="D593" s="41"/>
      <c r="E593" s="41"/>
      <c r="F593" s="7" t="str">
        <f ca="1">IF(ISERROR(F586),"",VLOOKUP(E586,INDIRECT($F$8),6+(O593-1)*3,0))</f>
        <v/>
      </c>
      <c r="G593" s="42" t="str">
        <f ca="1">IF(ISERROR(F586),"",_xlfn.TEXTJOIN("/",FALSE,P593,S593))</f>
        <v/>
      </c>
      <c r="H593" s="42"/>
      <c r="I593" s="42" t="str">
        <f ca="1">IF(ISERROR(F586),"",_xlfn.TEXTJOIN("/",FALSE,Q593,T593))</f>
        <v/>
      </c>
      <c r="J593" s="42"/>
      <c r="K593" s="42" t="str">
        <f ca="1">IF(ISERROR(F586),"",_xlfn.TEXTJOIN("/",FALSE,R593,U593))</f>
        <v/>
      </c>
      <c r="L593" s="42"/>
      <c r="M593" s="7" t="str">
        <f ca="1">IF(ISERROR(F586),"",IF(ISTEXT(P593),IF(P593="A","Ab",IF(P593="D","Dt",IF(P593="UFM","UFM",IF(P593="NA","")))),IF(AND(ISBLANK(P593),ISBLANK(R593)),"",IF(P593&lt;0.3*S593,"F",IF(ISBLANK(R593),"",IF(ISTEXT(R593),R593,IF(R593&gt;=0.9*U593,"O",IF(R593&gt;=0.85*U593,"A+",IF(R593&gt;=0.8*U593,"A",IF(R593&gt;=0.7*U593,"B+",IF(R593&gt;=0.6*U593,"B",IF(R593&gt;=0.5*U593,"C",IF(R593&gt;=0.4*U593,"P",IF(R593&lt;0.4*U593,"F",R593))))))))))))))</f>
        <v/>
      </c>
      <c r="N593" s="8" t="str">
        <f t="shared" ca="1" si="68"/>
        <v/>
      </c>
      <c r="O593" t="b" cm="1">
        <f t="array" aca="1" ref="O593" ca="1">IF(NOT(ISBLANK(INDIRECT("SEM_III!L"&amp;INT((ROW(O593)-15)/17)+6))),3,IF(NOT(ISBLANK(INDIRECT("SEM_III!O"&amp;INT((ROW(O593)-15)/17)+6))),4))</f>
        <v>0</v>
      </c>
      <c r="P593" s="1" t="str">
        <f ca="1">IF(ISERROR(F586),"",IF(ISTEXT(VLOOKUP(B586,INDIRECT($F$8),6+(O593-1)*3)),(VLOOKUP(B586,INDIRECT($F$8),6+(O593-1)*3)),SUM(VLOOKUP(B586,INDIRECT($F$8),6+(O593-1)*3),IF(W599,W593,0))))</f>
        <v/>
      </c>
      <c r="Q593" s="1" t="str">
        <f ca="1">IF(ISERROR(F586),"",VLOOKUP(B586,INDIRECT($F$8),7+(O593-1)*3))</f>
        <v/>
      </c>
      <c r="R593" s="1" t="str">
        <f ca="1">IF(ISERROR(F586),"",SUM(P593:Q593))</f>
        <v/>
      </c>
      <c r="S593" s="1" t="str">
        <f ca="1">IF(ISERROR(F586),"",VLOOKUP(A586,INDIRECT($F$8),6+(O593-1)*3))</f>
        <v/>
      </c>
      <c r="T593" s="1" t="str">
        <f ca="1">IF(ISERROR(F586),"",VLOOKUP(A586,INDIRECT($F$8),7+(O593-1)*3))</f>
        <v/>
      </c>
      <c r="U593" s="1" t="str">
        <f ca="1">IF(ISERROR(F586),"",VLOOKUP(A586,INDIRECT($F$8),8+(O593-1)*3))</f>
        <v/>
      </c>
      <c r="V593" s="1" t="str">
        <f ca="1">IF(ISERROR(F586),"",IF(N593=0,A593,""))</f>
        <v/>
      </c>
      <c r="W593" s="1" t="str">
        <f ca="1">IF(ISERROR(F586),"",IF(ISTEXT(VLOOKUP(B586,INDIRECT($F$8),6+(O593-1)*3)),11,IF(VLOOKUP(B586,INDIRECT($F$8),6+(O593-1)*3)&lt;S593*0.3,IF(VLOOKUP(B586,INDIRECT($F$8),8+(O593-1)*3)&lt;U593*0.4,IF(AND(0.4*U593-VLOOKUP(B586,INDIRECT($F$8),8+(O593-1)*3)&lt;=5,0.3*S593-VLOOKUP(B586,INDIRECT($F$8),6+(O593-1)*3)&lt;=5),MAX(0.4*U593-VLOOKUP(B586,INDIRECT($F$8),8+(O593-1)*3),0.3*S593-VLOOKUP(B586,INDIRECT($F$8),6+(O593-1)*3)),11),IF(0.3*S593-VLOOKUP(B586,INDIRECT($F$8),6+(O593-1)*3)&lt;=5,0.3*S593-VLOOKUP(B586,INDIRECT($F$8),6+(O593-1)*3),11)),IF(VLOOKUP(B586,INDIRECT($F$8),8+(O593-1)*3)&lt;U593*0.4,IF(U593*0.4-VLOOKUP(B586,INDIRECT($F$8),8+(O593-1)*3)&lt;=5,U593*0.4-VLOOKUP(B586,INDIRECT($F$8),8+(O593-1)*3),11),0))))</f>
        <v/>
      </c>
      <c r="X593" s="1" t="str">
        <f ca="1">IF(ISERROR(F586),"",IF(W593=0,"",_xlfn.TEXTJOIN("",FALSE," G+",W593," in ",A593)))</f>
        <v/>
      </c>
    </row>
    <row r="594" spans="1:24" ht="14.25" customHeight="1" x14ac:dyDescent="0.2">
      <c r="A594" s="7" t="str">
        <f ca="1">IF(ISERROR(F586),"",VLOOKUP(C586,INDIRECT($F$8),6+(O594-1)*3,0))</f>
        <v/>
      </c>
      <c r="B594" s="41" t="str">
        <f ca="1">IF(ISERROR(F586),"",VLOOKUP(D586,INDIRECT($F$8),6+(O594-1)*3,0))</f>
        <v/>
      </c>
      <c r="C594" s="41"/>
      <c r="D594" s="41"/>
      <c r="E594" s="41"/>
      <c r="F594" s="7" t="str">
        <f ca="1">IF(ISERROR(F586),"",VLOOKUP(E586,INDIRECT($F$8),6+(O594-1)*3,0))</f>
        <v/>
      </c>
      <c r="G594" s="42" t="str">
        <f ca="1">IF(ISERROR(F586),"",_xlfn.TEXTJOIN("/",FALSE,P594,S594))</f>
        <v/>
      </c>
      <c r="H594" s="42"/>
      <c r="I594" s="42" t="str">
        <f ca="1">IF(ISERROR(F586),"",_xlfn.TEXTJOIN("/",FALSE,Q594,T594))</f>
        <v/>
      </c>
      <c r="J594" s="42"/>
      <c r="K594" s="42" t="str">
        <f ca="1">IF(ISERROR(F586),"",_xlfn.TEXTJOIN("/",FALSE,R594,U594))</f>
        <v/>
      </c>
      <c r="L594" s="42"/>
      <c r="M594" s="7" t="str">
        <f ca="1">IF(ISERROR(F586),"",IF(ISTEXT(P594),IF(P594="A","Ab",IF(P594="D","Dt",IF(P594="UFM","UFM",IF(P594="NA","")))),IF(AND(ISBLANK(P594),ISBLANK(R594)),"",IF(P594&lt;0.3*S594,"F",IF(ISBLANK(R594),"",IF(ISTEXT(R594),R594,IF(R594&gt;=0.9*U594,"O",IF(R594&gt;=0.85*U594,"A+",IF(R594&gt;=0.8*U594,"A",IF(R594&gt;=0.7*U594,"B+",IF(R594&gt;=0.6*U594,"B",IF(R594&gt;=0.5*U594,"C",IF(R594&gt;=0.4*U594,"P",IF(R594&lt;0.4*U594,"F",R594))))))))))))))</f>
        <v/>
      </c>
      <c r="N594" s="8" t="str">
        <f t="shared" ca="1" si="68"/>
        <v/>
      </c>
      <c r="O594" t="b" cm="1">
        <f t="array" aca="1" ref="O594" ca="1">IF(NOT(ISBLANK(INDIRECT("SEM_III!R"&amp;INT((ROW(O594)-16)/17)+6))),5,IF(NOT(ISBLANK(INDIRECT("SEM_III!U"&amp;INT((ROW(O594)-16)/17)+6))),6))</f>
        <v>0</v>
      </c>
      <c r="P594" s="1" t="str">
        <f ca="1">IF(ISERROR(F586),"",IF(ISTEXT(VLOOKUP(B586,INDIRECT($F$8),6+(O594-1)*3)),(VLOOKUP(B586,INDIRECT($F$8),6+(O594-1)*3)),SUM(VLOOKUP(B586,INDIRECT($F$8),6+(O594-1)*3),IF(W599,W594,0))))</f>
        <v/>
      </c>
      <c r="Q594" s="1" t="str">
        <f ca="1">IF(ISERROR(F586),"",VLOOKUP(B586,INDIRECT($F$8),7+(O594-1)*3))</f>
        <v/>
      </c>
      <c r="R594" s="1" t="str">
        <f ca="1">IF(ISERROR(F586),"",SUM(P594:Q594))</f>
        <v/>
      </c>
      <c r="S594" s="1" t="str">
        <f ca="1">IF(ISERROR(F586),"",VLOOKUP(A586,INDIRECT($F$8),6+(O594-1)*3))</f>
        <v/>
      </c>
      <c r="T594" s="1" t="str">
        <f ca="1">IF(ISERROR(F586),"",VLOOKUP(A586,INDIRECT($F$8),7+(O594-1)*3))</f>
        <v/>
      </c>
      <c r="U594" s="1" t="str">
        <f ca="1">IF(ISERROR(F586),"",VLOOKUP(A586,INDIRECT($F$8),8+(O594-1)*3))</f>
        <v/>
      </c>
      <c r="V594" s="1" t="str">
        <f ca="1">IF(ISERROR(F586),"",IF(N594=0,A594,""))</f>
        <v/>
      </c>
      <c r="W594" s="1" t="str">
        <f ca="1">IF(ISERROR(F586),"",IF(ISTEXT(VLOOKUP(B586,INDIRECT($F$8),6+(O594-1)*3)),11,IF(VLOOKUP(B586,INDIRECT($F$8),6+(O594-1)*3)&lt;S594*0.3,IF(VLOOKUP(B586,INDIRECT($F$8),8+(O594-1)*3)&lt;U594*0.4,IF(AND(0.4*U594-VLOOKUP(B586,INDIRECT($F$8),8+(O594-1)*3)&lt;=5,0.3*S594-VLOOKUP(B586,INDIRECT($F$8),6+(O594-1)*3)&lt;=5),MAX(0.4*U594-VLOOKUP(B586,INDIRECT($F$8),8+(O594-1)*3),0.3*S594-VLOOKUP(B586,INDIRECT($F$8),6+(O594-1)*3)),11),IF(0.3*S594-VLOOKUP(B586,INDIRECT($F$8),6+(O594-1)*3)&lt;=5,0.3*S594-VLOOKUP(B586,INDIRECT($F$8),6+(O594-1)*3),11)),IF(VLOOKUP(B586,INDIRECT($F$8),8+(O594-1)*3)&lt;U594*0.4,IF(U594*0.4-VLOOKUP(B586,INDIRECT($F$8),8+(O594-1)*3)&lt;=5,U594*0.4-VLOOKUP(B586,INDIRECT($F$8),8+(O594-1)*3),11),0))))</f>
        <v/>
      </c>
      <c r="X594" s="1" t="str">
        <f ca="1">IF(ISERROR(F586),"",IF(W594=0,"",_xlfn.TEXTJOIN("",FALSE," G+",W594," in ",A594)))</f>
        <v/>
      </c>
    </row>
    <row r="595" spans="1:24" ht="14.25" customHeight="1" x14ac:dyDescent="0.2">
      <c r="A595" s="7" t="str">
        <f ca="1">IF(ISERROR(F586),"",VLOOKUP(C586,INDIRECT($F$8),6+(O595-1)*3,0))</f>
        <v/>
      </c>
      <c r="B595" s="41" t="str">
        <f ca="1">IF(ISERROR(F586),"",VLOOKUP(D586,INDIRECT($F$8),6+(O595-1)*3,0))</f>
        <v/>
      </c>
      <c r="C595" s="41"/>
      <c r="D595" s="41"/>
      <c r="E595" s="41"/>
      <c r="F595" s="7" t="str">
        <f ca="1">IF(ISERROR(F586),"",VLOOKUP(E586,INDIRECT($F$8),6+(O595-1)*3,0))</f>
        <v/>
      </c>
      <c r="G595" s="42" t="str">
        <f ca="1">IF(ISERROR(F586),"",_xlfn.TEXTJOIN("/",FALSE,P595,S595))</f>
        <v/>
      </c>
      <c r="H595" s="42"/>
      <c r="I595" s="42" t="str">
        <f ca="1">IF(ISERROR(F586),"",_xlfn.TEXTJOIN("/",FALSE,Q595,T595))</f>
        <v/>
      </c>
      <c r="J595" s="42"/>
      <c r="K595" s="42" t="str">
        <f ca="1">IF(ISERROR(F586),"",_xlfn.TEXTJOIN("/",FALSE,R595,U595))</f>
        <v/>
      </c>
      <c r="L595" s="42"/>
      <c r="M595" s="7" t="str">
        <f ca="1">IF(ISERROR(F586),"",IF(ISTEXT(P595),IF(P595="A","Ab",IF(P595="D","Dt",IF(P595="UFM","UFM",IF(P595="NA","")))),IF(AND(ISBLANK(P595),ISBLANK(R595)),"",IF(P595&lt;0.3*S595,"F",IF(ISBLANK(R595),"",IF(ISTEXT(R595),R595,IF(R595&gt;=0.9*U595,"O",IF(R595&gt;=0.85*U595,"A+",IF(R595&gt;=0.8*U595,"A",IF(R595&gt;=0.7*U595,"B+",IF(R595&gt;=0.6*U595,"B",IF(R595&gt;=0.5*U595,"C",IF(R595&gt;=0.4*U595,"P",IF(R595&lt;0.4*U595,"F",R595))))))))))))))</f>
        <v/>
      </c>
      <c r="N595" s="8" t="str">
        <f t="shared" ca="1" si="68"/>
        <v/>
      </c>
      <c r="O595">
        <f ca="1">IF(O594&gt;0,7,"")</f>
        <v>7</v>
      </c>
      <c r="P595" s="1" t="str">
        <f ca="1">IF(ISERROR(F586),"",IF(ISTEXT(VLOOKUP(B586,INDIRECT($F$8),6+(O595-1)*3)),(VLOOKUP(B586,INDIRECT($F$8),6+(O595-1)*3)),SUM(VLOOKUP(B586,INDIRECT($F$8),6+(O595-1)*3),IF(W599,W595,0))))</f>
        <v/>
      </c>
      <c r="Q595" s="1" t="str">
        <f ca="1">IF(ISERROR(F586),"",VLOOKUP(B586,INDIRECT($F$8),7+(O595-1)*3))</f>
        <v/>
      </c>
      <c r="R595" s="1" t="str">
        <f ca="1">IF(ISERROR(F586),"",SUM(P595:Q595))</f>
        <v/>
      </c>
      <c r="S595" s="1" t="str">
        <f ca="1">IF(ISERROR(F586),"",VLOOKUP(A586,INDIRECT($F$8),6+(O595-1)*3))</f>
        <v/>
      </c>
      <c r="T595" s="1" t="str">
        <f ca="1">IF(ISERROR(F586),"",VLOOKUP(A586,INDIRECT($F$8),7+(O595-1)*3))</f>
        <v/>
      </c>
      <c r="U595" s="1" t="str">
        <f ca="1">IF(ISERROR(F586),"",VLOOKUP(A586,INDIRECT($F$8),8+(O595-1)*3))</f>
        <v/>
      </c>
      <c r="V595" s="1" t="str">
        <f ca="1">IF(ISERROR(F586),"",IF(N595=0,A595,""))</f>
        <v/>
      </c>
      <c r="W595" s="1" t="str">
        <f ca="1">IF(ISERROR(F586),"",IF(ISTEXT(VLOOKUP(B586,INDIRECT($F$8),6+(O595-1)*3)),11,IF(VLOOKUP(B586,INDIRECT($F$8),6+(O595-1)*3)&lt;S595*0.3,IF(VLOOKUP(B586,INDIRECT($F$8),8+(O595-1)*3)&lt;U595*0.4,IF(AND(0.4*U595-VLOOKUP(B586,INDIRECT($F$8),8+(O595-1)*3)&lt;=5,0.3*S595-VLOOKUP(B586,INDIRECT($F$8),6+(O595-1)*3)&lt;=5),MAX(0.4*U595-VLOOKUP(B586,INDIRECT($F$8),8+(O595-1)*3),0.3*S595-VLOOKUP(B586,INDIRECT($F$8),6+(O595-1)*3)),11),IF(0.3*S595-VLOOKUP(B586,INDIRECT($F$8),6+(O595-1)*3)&lt;=5,0.3*S595-VLOOKUP(B586,INDIRECT($F$8),6+(O595-1)*3),11)),IF(VLOOKUP(B586,INDIRECT($F$8),8+(O595-1)*3)&lt;U595*0.4,IF(U595*0.4-VLOOKUP(B586,INDIRECT($F$8),8+(O595-1)*3)&lt;=5,U595*0.4-VLOOKUP(B586,INDIRECT($F$8),8+(O595-1)*3),11),0))))</f>
        <v/>
      </c>
      <c r="X595" s="1" t="str">
        <f ca="1">IF(ISERROR(F586),"",IF(W595=0,"",_xlfn.TEXTJOIN("",FALSE," G+",W595," in ",A595)))</f>
        <v/>
      </c>
    </row>
    <row r="596" spans="1:24" ht="14.25" customHeight="1" x14ac:dyDescent="0.2">
      <c r="A596" s="7" t="str">
        <f ca="1">IF(ISERROR(F586),"",VLOOKUP(C586,INDIRECT($F$8),6+(O596-1)*3,0))</f>
        <v/>
      </c>
      <c r="B596" s="41" t="str">
        <f ca="1">IF(ISERROR(F586),"",VLOOKUP(D586,INDIRECT($F$8),6+(O596-1)*3,0))</f>
        <v/>
      </c>
      <c r="C596" s="41"/>
      <c r="D596" s="41"/>
      <c r="E596" s="41"/>
      <c r="F596" s="7" t="str">
        <f ca="1">IF(ISERROR(F586),"",VLOOKUP(E586,INDIRECT($F$8),6+(O596-1)*3,0))</f>
        <v/>
      </c>
      <c r="G596" s="42" t="str">
        <f ca="1">IF(ISERROR(F586),"",_xlfn.TEXTJOIN("/",FALSE,P596,S596))</f>
        <v/>
      </c>
      <c r="H596" s="42"/>
      <c r="I596" s="42" t="str">
        <f ca="1">IF(ISERROR(F586),"",_xlfn.TEXTJOIN("/",FALSE,Q596,T596))</f>
        <v/>
      </c>
      <c r="J596" s="42"/>
      <c r="K596" s="42" t="str">
        <f ca="1">IF(ISERROR(F586),"",_xlfn.TEXTJOIN("/",FALSE,R596,U596))</f>
        <v/>
      </c>
      <c r="L596" s="42"/>
      <c r="M596" s="7" t="str">
        <f ca="1">IF(ISERROR(F586),"",IF(ISTEXT(P596),IF(P596="A","Ab",IF(P596="D","Dt",IF(P596="UFM","UFM",IF(P596="NA","")))),IF(AND(ISBLANK(P596),ISBLANK(R596)),"",IF(P596&lt;0.3*S596,"F",IF(ISBLANK(R596),"",IF(ISTEXT(R596),R596,IF(R596&gt;=0.9*U596,"O",IF(R596&gt;=0.85*U596,"A+",IF(R596&gt;=0.8*U596,"A",IF(R596&gt;=0.7*U596,"B+",IF(R596&gt;=0.6*U596,"B",IF(R596&gt;=0.5*U596,"C",IF(R596&gt;=0.4*U596,"P",IF(R596&lt;0.4*U596,"F",R596))))))))))))))</f>
        <v/>
      </c>
      <c r="N596" s="8" t="str">
        <f t="shared" ca="1" si="68"/>
        <v/>
      </c>
      <c r="O596">
        <f t="shared" ref="O596:O598" ca="1" si="69">O595+1</f>
        <v>8</v>
      </c>
      <c r="P596" s="1" t="str">
        <f ca="1">IF(ISERROR(F586),"",IF(ISTEXT(VLOOKUP(B586,INDIRECT($F$8),6+(O596-1)*3)),(VLOOKUP(B586,INDIRECT($F$8),6+(O596-1)*3)),SUM(VLOOKUP(B586,INDIRECT($F$8),6+(O596-1)*3),IF(W599,W596,0))))</f>
        <v/>
      </c>
      <c r="Q596" s="1" t="str">
        <f ca="1">IF(ISERROR(F586),"",VLOOKUP(B586,INDIRECT($F$8),7+(O596-1)*3))</f>
        <v/>
      </c>
      <c r="R596" s="1" t="str">
        <f ca="1">IF(ISERROR(F586),"",SUM(P596:Q596))</f>
        <v/>
      </c>
      <c r="S596" s="1" t="str">
        <f ca="1">IF(ISERROR(F586),"",VLOOKUP(A586,INDIRECT($F$8),6+(O596-1)*3))</f>
        <v/>
      </c>
      <c r="T596" s="1" t="str">
        <f ca="1">IF(ISERROR(F586),"",VLOOKUP(A586,INDIRECT($F$8),7+(O596-1)*3))</f>
        <v/>
      </c>
      <c r="U596" s="1" t="str">
        <f ca="1">IF(ISERROR(F586),"",VLOOKUP(A586,INDIRECT($F$8),8+(O596-1)*3))</f>
        <v/>
      </c>
      <c r="V596" s="1" t="str">
        <f ca="1">IF(ISERROR(F586),"",IF(N596=0,A596,""))</f>
        <v/>
      </c>
      <c r="W596" s="1" t="str">
        <f ca="1">IF(ISERROR(F586),"",IF(ISTEXT(VLOOKUP(B586,INDIRECT($F$8),6+(O596-1)*3)),11,IF(VLOOKUP(B586,INDIRECT($F$8),6+(O596-1)*3)&lt;S596*0.3,IF(VLOOKUP(B586,INDIRECT($F$8),8+(O596-1)*3)&lt;U596*0.4,IF(AND(0.4*U596-VLOOKUP(B586,INDIRECT($F$8),8+(O596-1)*3)&lt;=5,0.3*S596-VLOOKUP(B586,INDIRECT($F$8),6+(O596-1)*3)&lt;=5),MAX(0.4*U596-VLOOKUP(B586,INDIRECT($F$8),8+(O596-1)*3),0.3*S596-VLOOKUP(B586,INDIRECT($F$8),6+(O596-1)*3)),11),IF(0.3*S596-VLOOKUP(B586,INDIRECT($F$8),6+(O596-1)*3)&lt;=5,0.3*S596-VLOOKUP(B586,INDIRECT($F$8),6+(O596-1)*3),11)),IF(VLOOKUP(B586,INDIRECT($F$8),8+(O596-1)*3)&lt;U596*0.4,IF(U596*0.4-VLOOKUP(B586,INDIRECT($F$8),8+(O596-1)*3)&lt;=5,U596*0.4-VLOOKUP(B586,INDIRECT($F$8),8+(O596-1)*3),11),0))))</f>
        <v/>
      </c>
      <c r="X596" s="1" t="str">
        <f ca="1">IF(ISERROR(F586),"",IF(W596=0,"",_xlfn.TEXTJOIN("",FALSE," G+",W596," in ",A596)))</f>
        <v/>
      </c>
    </row>
    <row r="597" spans="1:24" ht="14.25" customHeight="1" x14ac:dyDescent="0.2">
      <c r="A597" s="7" t="str">
        <f ca="1">IF(ISERROR(F586),"",VLOOKUP(C586,INDIRECT($F$8),6+(O597-1)*3,0))</f>
        <v/>
      </c>
      <c r="B597" s="41" t="str">
        <f ca="1">IF(ISERROR(F586),"",VLOOKUP(D586,INDIRECT($F$8),6+(O597-1)*3,0))</f>
        <v/>
      </c>
      <c r="C597" s="41"/>
      <c r="D597" s="41"/>
      <c r="E597" s="41"/>
      <c r="F597" s="7" t="str">
        <f ca="1">IF(ISERROR(F586),"",VLOOKUP(E586,INDIRECT($F$8),6+(O597-1)*3,0))</f>
        <v/>
      </c>
      <c r="G597" s="42" t="str">
        <f ca="1">IF(ISERROR(F586),"",_xlfn.TEXTJOIN("/",FALSE,P597,S597))</f>
        <v/>
      </c>
      <c r="H597" s="42"/>
      <c r="I597" s="42" t="str">
        <f ca="1">IF(ISERROR(F586),"",_xlfn.TEXTJOIN("/",FALSE,Q597,T597))</f>
        <v/>
      </c>
      <c r="J597" s="42"/>
      <c r="K597" s="42" t="str">
        <f ca="1">IF(ISERROR(F586),"",_xlfn.TEXTJOIN("/",FALSE,R597,U597))</f>
        <v/>
      </c>
      <c r="L597" s="42"/>
      <c r="M597" s="7" t="str">
        <f ca="1">IF(ISERROR(F586),"",IF(ISTEXT(P597),IF(P597="A","Ab",IF(P597="D","Dt",IF(P597="UFM","UFM",IF(P597="NA","")))),IF(AND(ISBLANK(P597),ISBLANK(R597)),"",IF(P597&lt;0.3*S597,"F",IF(ISBLANK(R597),"",IF(ISTEXT(R597),R597,IF(R597&gt;=0.9*U597,"O",IF(R597&gt;=0.85*U597,"A+",IF(R597&gt;=0.8*U597,"A",IF(R597&gt;=0.7*U597,"B+",IF(R597&gt;=0.6*U597,"B",IF(R597&gt;=0.5*U597,"C",IF(R597&gt;=0.4*U597,"P",IF(R597&lt;0.4*U597,"F",R597))))))))))))))</f>
        <v/>
      </c>
      <c r="N597" s="8" t="str">
        <f t="shared" ca="1" si="68"/>
        <v/>
      </c>
      <c r="O597">
        <f t="shared" ca="1" si="69"/>
        <v>9</v>
      </c>
      <c r="P597" s="1" t="str">
        <f ca="1">IF(ISERROR(F586),"",IF(ISTEXT(VLOOKUP(B586,INDIRECT($F$8),6+(O597-1)*3)),(VLOOKUP(B586,INDIRECT($F$8),6+(O597-1)*3)),SUM(VLOOKUP(B586,INDIRECT($F$8),6+(O597-1)*3),IF(W599,W597,0))))</f>
        <v/>
      </c>
      <c r="Q597" s="1" t="str">
        <f ca="1">IF(ISERROR(F586),"",VLOOKUP(B586,INDIRECT($F$8),7+(O597-1)*3))</f>
        <v/>
      </c>
      <c r="R597" s="1" t="str">
        <f ca="1">IF(ISERROR(F586),"",SUM(P597:Q597))</f>
        <v/>
      </c>
      <c r="S597" s="1" t="str">
        <f ca="1">IF(ISERROR(F586),"",VLOOKUP(A586,INDIRECT($F$8),6+(O597-1)*3))</f>
        <v/>
      </c>
      <c r="T597" s="1" t="str">
        <f ca="1">IF(ISERROR(F586),"",VLOOKUP(A586,INDIRECT($F$8),7+(O597-1)*3))</f>
        <v/>
      </c>
      <c r="U597" s="1" t="str">
        <f ca="1">IF(ISERROR(F586),"",VLOOKUP(A586,INDIRECT($F$8),8+(O597-1)*3))</f>
        <v/>
      </c>
      <c r="V597" s="1" t="str">
        <f ca="1">IF(ISERROR(F586),"",IF(N597=0,A597,""))</f>
        <v/>
      </c>
      <c r="W597" s="1" t="str">
        <f ca="1">IF(ISERROR(F586),"",IF(ISTEXT(VLOOKUP(B586,INDIRECT($F$8),6+(O597-1)*3)),11,IF(VLOOKUP(B586,INDIRECT($F$8),6+(O597-1)*3)&lt;S597*0.3,IF(VLOOKUP(B586,INDIRECT($F$8),8+(O597-1)*3)&lt;U597*0.4,IF(AND(0.4*U597-VLOOKUP(B586,INDIRECT($F$8),8+(O597-1)*3)&lt;=5,0.3*S597-VLOOKUP(B586,INDIRECT($F$8),6+(O597-1)*3)&lt;=5),MAX(0.4*U597-VLOOKUP(B586,INDIRECT($F$8),8+(O597-1)*3),0.3*S597-VLOOKUP(B586,INDIRECT($F$8),6+(O597-1)*3)),11),IF(0.3*S597-VLOOKUP(B586,INDIRECT($F$8),6+(O597-1)*3)&lt;=5,0.3*S597-VLOOKUP(B586,INDIRECT($F$8),6+(O597-1)*3),11)),IF(VLOOKUP(B586,INDIRECT($F$8),8+(O597-1)*3)&lt;U597*0.4,IF(U597*0.4-VLOOKUP(B586,INDIRECT($F$8),8+(O597-1)*3)&lt;=5,U597*0.4-VLOOKUP(B586,INDIRECT($F$8),8+(O597-1)*3),11),0))))</f>
        <v/>
      </c>
      <c r="X597" s="1" t="str">
        <f ca="1">IF(ISERROR(F586),"",IF(W597=0,"",_xlfn.TEXTJOIN("",FALSE," G+",W597," in ",A597)))</f>
        <v/>
      </c>
    </row>
    <row r="598" spans="1:24" ht="14.25" customHeight="1" x14ac:dyDescent="0.2">
      <c r="A598" s="7" t="str">
        <f ca="1">IF(ISERROR(F586),"",VLOOKUP(C586,INDIRECT($F$8),6+(O598-1)*3,0))</f>
        <v/>
      </c>
      <c r="B598" s="41" t="str">
        <f ca="1">IF(ISERROR(F586),"",VLOOKUP(D586,INDIRECT($F$8),6+(O598-1)*3-Z598,0))</f>
        <v/>
      </c>
      <c r="C598" s="41"/>
      <c r="D598" s="41"/>
      <c r="E598" s="41"/>
      <c r="F598" s="7" t="str">
        <f ca="1">IF(ISERROR(F586),"",VLOOKUP(E586,INDIRECT($F$8),6+(O598-1)*3,0))</f>
        <v/>
      </c>
      <c r="G598" s="42" t="str">
        <f ca="1">IF(ISERROR(F586),"",_xlfn.TEXTJOIN("/",FALSE,P598,S598))</f>
        <v/>
      </c>
      <c r="H598" s="42"/>
      <c r="I598" s="42" t="str">
        <f ca="1">IF(ISERROR(F586),"",_xlfn.TEXTJOIN("/",FALSE,Q598,T598))</f>
        <v/>
      </c>
      <c r="J598" s="42"/>
      <c r="K598" s="42" t="str">
        <f ca="1">IF(ISERROR(F586),"",_xlfn.TEXTJOIN("/",FALSE,R598,U598))</f>
        <v/>
      </c>
      <c r="L598" s="42"/>
      <c r="M598" s="7" t="str">
        <f ca="1">IF(ISERROR(F586),"",IF(ISTEXT(P598),IF(P598="A","Ab",IF(P598="D","Dt",IF(P598="UFM","UFM",IF(P598="NA","")))),IF(AND(ISBLANK(P598),ISBLANK(R598)),"",IF(P598&lt;0.3*S598,"F",IF(ISBLANK(R598),"",IF(ISTEXT(R598),R598,IF(R598&gt;=0.9*U598,"O",IF(R598&gt;=0.85*U598,"A+",IF(R598&gt;=0.8*U598,"A",IF(R598&gt;=0.7*U598,"B+",IF(R598&gt;=0.6*U598,"B",IF(R598&gt;=0.5*U598,"C",IF(R598&gt;=0.4*U598,"P",IF(R598&lt;0.4*U598,"F",R598))))))))))))))</f>
        <v/>
      </c>
      <c r="N598" s="8" t="str">
        <f t="shared" ca="1" si="68"/>
        <v/>
      </c>
      <c r="O598">
        <f t="shared" ca="1" si="69"/>
        <v>10</v>
      </c>
      <c r="P598" s="1" t="str">
        <f ca="1">IF(ISERROR(F586),"",IF(ISTEXT(VLOOKUP(B586,INDIRECT($F$8),6+(O598-1)*3)),(VLOOKUP(B586,INDIRECT($F$8),6+(O598-1)*3)),SUM(VLOOKUP(B586,INDIRECT($F$8),6+(O598-1)*3),IF(W599,W598,0))))</f>
        <v/>
      </c>
      <c r="Q598" s="1" t="str">
        <f ca="1">IF(ISERROR(F586),"",VLOOKUP(B586,INDIRECT($F$8),7+(O598-1)*3))</f>
        <v/>
      </c>
      <c r="R598" s="1" t="str">
        <f ca="1">IF(ISERROR(F586),"",SUM(P598:Q598))</f>
        <v/>
      </c>
      <c r="S598" s="1" t="str">
        <f ca="1">IF(ISERROR(F586),"",VLOOKUP(A586,INDIRECT($F$8),6+(O598-1)*3))</f>
        <v/>
      </c>
      <c r="T598" s="1" t="str">
        <f ca="1">IF(ISERROR(F586),"",VLOOKUP(A586,INDIRECT($F$8),7+(O598-1)*3))</f>
        <v/>
      </c>
      <c r="U598" s="1" t="str">
        <f ca="1">IF(ISERROR(F586),"",VLOOKUP(A586,INDIRECT($F$8),8+(O598-1)*3))</f>
        <v/>
      </c>
      <c r="V598" s="1" t="str">
        <f ca="1">IF(ISERROR(F586),"",IF(N598=0,A598,""))</f>
        <v/>
      </c>
      <c r="W598" s="1" t="str">
        <f ca="1">IF(ISERROR(F586),"",IF(ISTEXT(VLOOKUP(B586,INDIRECT($F$8),6+(O598-1)*3)),11,IF(VLOOKUP(B586,INDIRECT($F$8),6+(O598-1)*3)&lt;S598*0.3,IF(VLOOKUP(B586,INDIRECT($F$8),8+(O598-1)*3)&lt;U598*0.4,IF(AND(0.4*U598-VLOOKUP(B586,INDIRECT($F$8),8+(O598-1)*3)&lt;=5,0.3*S598-VLOOKUP(B586,INDIRECT($F$8),6+(O598-1)*3)&lt;=5),MAX(0.4*U598-VLOOKUP(B586,INDIRECT($F$8),8+(O598-1)*3),0.3*S598-VLOOKUP(B586,INDIRECT($F$8),6+(O598-1)*3)),11),IF(0.3*S598-VLOOKUP(B586,INDIRECT($F$8),6+(O598-1)*3)&lt;=5,0.3*S598-VLOOKUP(B586,INDIRECT($F$8),6+(O598-1)*3),11)),IF(VLOOKUP(B586,INDIRECT($F$8),8+(O598-1)*3)&lt;U598*0.4,IF(U598*0.4-VLOOKUP(B586,INDIRECT($F$8),8+(O598-1)*3)&lt;=5,U598*0.4-VLOOKUP(B586,INDIRECT($F$8),8+(O598-1)*3),11),0))))</f>
        <v/>
      </c>
      <c r="X598" s="1" t="str">
        <f ca="1">IF(ISERROR(F586),"",IF(W598=0,"",_xlfn.TEXTJOIN("",FALSE," G+",W598," in ",A598)))</f>
        <v/>
      </c>
    </row>
    <row r="599" spans="1:24" ht="14.25" customHeight="1" x14ac:dyDescent="0.2">
      <c r="A599" s="43" t="str">
        <f ca="1">IF(ISERROR(F586),"",A582)</f>
        <v/>
      </c>
      <c r="B599" s="43"/>
      <c r="C599" s="43"/>
      <c r="D599" s="43"/>
      <c r="E599" s="43"/>
      <c r="F599" s="10" t="str">
        <f ca="1">IF(ISERROR(F586),"",SUM(F591:F598))</f>
        <v/>
      </c>
      <c r="G599" s="44" t="str">
        <f ca="1">IF(ISERROR(F586),"",_xlfn.TEXTJOIN("/",TRUE,SUMIF(F591:F598,"&gt;0",P591:P598),SUMIF(F591:F598,"&gt;0",S591:S598)))</f>
        <v/>
      </c>
      <c r="H599" s="44"/>
      <c r="I599" s="44" t="str">
        <f ca="1">IF(ISERROR(F586),"",_xlfn.TEXTJOIN("/",TRUE,SUMIF(F591:F598,"&gt;0",Q591:Q598),SUMIF(F591:F598,"&gt;0",T591:T598)))</f>
        <v/>
      </c>
      <c r="J599" s="44"/>
      <c r="K599" s="44" t="str">
        <f ca="1">IF(ISERROR(F586),"",_xlfn.TEXTJOIN("/",TRUE,SUMIF(F591:F598,"&gt;0",R591:R598),SUMIF(F591:F598,"&gt;0",U591:U598)))</f>
        <v/>
      </c>
      <c r="L599" s="44"/>
      <c r="M599" s="43" t="str">
        <f ca="1">IF(ISERROR(F586),"",SUMPRODUCT(N591:N598,F591:F598))</f>
        <v/>
      </c>
      <c r="N599" s="43"/>
      <c r="V599" s="1" t="str">
        <f ca="1">IF(ISERROR(F586),"",_xlfn.TEXTJOIN(", ",TRUE,V591:V598))</f>
        <v/>
      </c>
      <c r="W599" t="str">
        <f ca="1">IF(ISERROR(F586),"",IF(SUM(W591:W598)&lt;=W590,TRUE,FALSE))</f>
        <v/>
      </c>
      <c r="X599" s="1" t="str">
        <f ca="1">IF(ISERROR(F586),"",_xlfn.TEXTJOIN(",",TRUE,X591:X598))</f>
        <v/>
      </c>
    </row>
    <row r="600" spans="1:24" ht="14.25" customHeight="1" x14ac:dyDescent="0.2">
      <c r="A600" s="43" t="str">
        <f ca="1">IF(ISERROR(F586),"",A583)</f>
        <v/>
      </c>
      <c r="B600" s="45" t="str">
        <f ca="1">IF(ISERROR(F586),"",IF(V599="","PASS","CARRY OVER"))</f>
        <v/>
      </c>
      <c r="C600" s="45"/>
      <c r="D600" s="43" t="str">
        <f ca="1">IF(ISERROR(F586),"",D583)</f>
        <v/>
      </c>
      <c r="E600" s="45" t="str">
        <f ca="1">IF(ISERROR(F586),"",IF(V599="",IF(X599="","",X599),_xlfn.TEXTJOIN(" ",TRUE,"BACK IN",V599)))</f>
        <v/>
      </c>
      <c r="F600" s="45"/>
      <c r="G600" s="43" t="str">
        <f ca="1">IF(ISERROR(F586),"",G583)</f>
        <v/>
      </c>
      <c r="H600" s="46" t="str">
        <f ca="1">IF(ISERROR(F586),"",M599/F599)</f>
        <v/>
      </c>
      <c r="I600" s="43" t="str">
        <f ca="1">IF(ISERROR(F586),"",I583)</f>
        <v/>
      </c>
      <c r="J600" s="46" t="str">
        <f ca="1">IF(ISERROR(F586),"",VLOOKUP(B586,INDIRECT($F$8),12+(O598-1)*3,0))</f>
        <v/>
      </c>
      <c r="K600" s="45" t="str">
        <f ca="1">IF(ISERROR(F586),"",K583)</f>
        <v/>
      </c>
      <c r="L600" s="43" t="str">
        <f ca="1">IF(ISERROR(F586),"",SUMIF(N591:N598,"&gt;0",F591:F598))</f>
        <v/>
      </c>
      <c r="M600" s="45" t="str">
        <f ca="1">IF(ISERROR(F586),"",M583)</f>
        <v/>
      </c>
      <c r="N600" s="43" t="str">
        <f ca="1">IF(ISERROR(F586),"",VLOOKUP(B586,INDIRECT($F$8),10+(O598-1)*3,0))</f>
        <v/>
      </c>
    </row>
    <row r="601" spans="1:24" ht="14.25" customHeight="1" x14ac:dyDescent="0.2">
      <c r="A601" s="43"/>
      <c r="B601" s="45"/>
      <c r="C601" s="45"/>
      <c r="D601" s="43"/>
      <c r="E601" s="45"/>
      <c r="F601" s="45"/>
      <c r="G601" s="43"/>
      <c r="H601" s="46"/>
      <c r="I601" s="43"/>
      <c r="J601" s="46"/>
      <c r="K601" s="45"/>
      <c r="L601" s="43"/>
      <c r="M601" s="45"/>
      <c r="N601" s="43"/>
    </row>
    <row r="602" spans="1:24" ht="14.25" customHeight="1" x14ac:dyDescent="0.2">
      <c r="A602" s="43"/>
      <c r="B602" s="45"/>
      <c r="C602" s="45"/>
      <c r="D602" s="43"/>
      <c r="E602" s="45"/>
      <c r="F602" s="45"/>
      <c r="G602" s="43"/>
      <c r="H602" s="46"/>
      <c r="I602" s="43"/>
      <c r="J602" s="46"/>
      <c r="K602" s="45"/>
      <c r="L602" s="43"/>
      <c r="M602" s="45"/>
      <c r="N602" s="43"/>
    </row>
    <row r="603" spans="1:24" ht="14.25" customHeight="1" x14ac:dyDescent="0.2">
      <c r="A603" s="11" t="str">
        <f>A586</f>
        <v>MM</v>
      </c>
      <c r="B603" s="11">
        <f>B586+1</f>
        <v>36</v>
      </c>
      <c r="C603" s="11" t="str">
        <f>C586</f>
        <v>SC</v>
      </c>
      <c r="D603" s="11" t="str">
        <f>D586</f>
        <v>SN</v>
      </c>
      <c r="E603" s="11" t="str">
        <f>E586</f>
        <v>C</v>
      </c>
      <c r="F603" s="11" t="e">
        <f ca="1">VLOOKUP(B603,INDIRECT($F$8),4,0)</f>
        <v>#N/A</v>
      </c>
    </row>
    <row r="604" spans="1:24" ht="14.25" customHeight="1" x14ac:dyDescent="0.2">
      <c r="A604" s="47" t="str">
        <f ca="1">IF(ISERROR(F603),"",A587)</f>
        <v/>
      </c>
      <c r="B604" s="47" t="str">
        <f ca="1">IFERROR(VLOOKUP(B603,INDIRECT($F$8),4,0),"")</f>
        <v/>
      </c>
      <c r="C604" s="47"/>
      <c r="D604" s="47" t="str">
        <f ca="1">IF(ISERROR(F603),"",D587)</f>
        <v/>
      </c>
      <c r="E604" s="47" t="str">
        <f ca="1">IFERROR(VLOOKUP(B603,INDIRECT($F$8),5,0),"")</f>
        <v/>
      </c>
      <c r="F604" s="47"/>
      <c r="G604" s="47" t="str">
        <f ca="1">IF(ISERROR(F603),"",G587)</f>
        <v/>
      </c>
      <c r="H604" s="47"/>
      <c r="I604" s="48" t="str">
        <f ca="1">IFERROR(VLOOKUP(B603,INDIRECT($F$8),2,0),"")</f>
        <v/>
      </c>
      <c r="J604" s="48"/>
      <c r="K604" s="47" t="str">
        <f ca="1">IF(ISERROR(F603),"",K587)</f>
        <v/>
      </c>
      <c r="L604" s="47"/>
      <c r="M604" s="48" t="str">
        <f ca="1">IFERROR(VLOOKUP(B603,INDIRECT($F$8),3,0),"")</f>
        <v/>
      </c>
      <c r="N604" s="48"/>
    </row>
    <row r="605" spans="1:24" ht="14.25" customHeight="1" x14ac:dyDescent="0.2">
      <c r="A605" s="47"/>
      <c r="B605" s="47"/>
      <c r="C605" s="47"/>
      <c r="D605" s="47"/>
      <c r="E605" s="47"/>
      <c r="F605" s="47"/>
      <c r="G605" s="47"/>
      <c r="H605" s="47"/>
      <c r="I605" s="48"/>
      <c r="J605" s="48"/>
      <c r="K605" s="47"/>
      <c r="L605" s="47"/>
      <c r="M605" s="48"/>
      <c r="N605" s="48"/>
    </row>
    <row r="606" spans="1:24" ht="14.25" customHeight="1" x14ac:dyDescent="0.2">
      <c r="A606" s="45" t="str">
        <f ca="1">IF(ISERROR(F603),"",A589)</f>
        <v/>
      </c>
      <c r="B606" s="45" t="str">
        <f ca="1">IF(ISERROR(F603),"",B589)</f>
        <v/>
      </c>
      <c r="C606" s="45"/>
      <c r="D606" s="45"/>
      <c r="E606" s="45"/>
      <c r="F606" s="45" t="str">
        <f ca="1">IF(ISERROR(F603),"",F589)</f>
        <v/>
      </c>
      <c r="G606" s="45" t="str">
        <f ca="1">IF(ISERROR(F603),"",G589)</f>
        <v/>
      </c>
      <c r="H606" s="45"/>
      <c r="I606" s="45" t="str">
        <f ca="1">IF(ISERROR(F603),"",I589)</f>
        <v/>
      </c>
      <c r="J606" s="45"/>
      <c r="K606" s="45" t="str">
        <f ca="1">IF(ISERROR(F603),"",K589)</f>
        <v/>
      </c>
      <c r="L606" s="45"/>
      <c r="M606" s="45" t="str">
        <f ca="1">IF(ISERROR(F603),"",M589)</f>
        <v/>
      </c>
      <c r="N606" s="45" t="str">
        <f ca="1">IF(ISERROR(F603),"",N589)</f>
        <v/>
      </c>
    </row>
    <row r="607" spans="1:24" ht="14.25" customHeight="1" x14ac:dyDescent="0.2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W607">
        <f ca="1">IF(ISNUMBER(MATCH($F$8,{"I","III","V","VII"},0)),10,10-INDEX(INDIRECT(_xlfn.TEXTJOIN("",TRUE,"SEM_",$G$8,"!",ADDRESS(6,4+$I$8*3+4),":",ADDRESS(5+$H$8,4+$I$8*3+4))),MATCH(INDIRECT(_xlfn.TEXTJOIN("",TRUE,"TC_",$F$8,"!",ADDRESS(ROW(I604),COLUMN(I604)))),INDIRECT(_xlfn.TEXTJOIN("",TRUE,"SEM_",$G$8,"!",ADDRESS(6,2),":",ADDRESS(5+$H$8,2))))))</f>
        <v>10</v>
      </c>
    </row>
    <row r="608" spans="1:24" ht="14.25" customHeight="1" x14ac:dyDescent="0.2">
      <c r="A608" s="7" t="str">
        <f ca="1">IF(ISERROR(F603),"",VLOOKUP(C603,INDIRECT($F$8),6+(O608-1)*3,0))</f>
        <v/>
      </c>
      <c r="B608" s="41" t="str">
        <f ca="1">IF(ISERROR(F603),"",VLOOKUP(D603,INDIRECT($F$8),6+(O608-1)*3,0))</f>
        <v/>
      </c>
      <c r="C608" s="41"/>
      <c r="D608" s="41"/>
      <c r="E608" s="41"/>
      <c r="F608" s="7" t="str">
        <f ca="1">IF(ISERROR(F603),"",VLOOKUP(E603,INDIRECT($F$8),6+(O608-1)*3,0))</f>
        <v/>
      </c>
      <c r="G608" s="42" t="str">
        <f ca="1">IF(ISERROR(F603),"",_xlfn.TEXTJOIN("/",FALSE,P608,S608))</f>
        <v/>
      </c>
      <c r="H608" s="42"/>
      <c r="I608" s="42" t="str">
        <f ca="1">IF(ISERROR(F603),"",_xlfn.TEXTJOIN("/",FALSE,Q608,T608))</f>
        <v/>
      </c>
      <c r="J608" s="42"/>
      <c r="K608" s="42" t="str">
        <f ca="1">IF(ISERROR(F603),"",_xlfn.TEXTJOIN("/",FALSE,R608,U608))</f>
        <v/>
      </c>
      <c r="L608" s="42"/>
      <c r="M608" s="7" t="str">
        <f ca="1">IF(ISERROR(F603),"",IF(ISTEXT(P608),IF(P608="A","Ab",IF(P608="D","Dt",IF(P608="UFM","UFM",IF(P608="NA","")))),IF(AND(ISBLANK(P608),ISBLANK(R608)),"",IF(P608&lt;0.3*S608,"F",IF(ISBLANK(R608),"",IF(ISTEXT(R608),R608,IF(R608&gt;=0.9*U608,"O",IF(R608&gt;=0.85*U608,"A+",IF(R608&gt;=0.8*U608,"A",IF(R608&gt;=0.7*U608,"B+",IF(R608&gt;=0.6*U608,"B",IF(R608&gt;=0.5*U608,"C",IF(R608&gt;=0.4*U608,"P",IF(R608&lt;0.4*U608,"F",R608))))))))))))))</f>
        <v/>
      </c>
      <c r="N608" s="8" t="str">
        <f t="shared" ref="N608:N615" ca="1" si="70">INDEX($Z$2:$Z$13,MATCH(M608,$Y$2:$Y$13,0))</f>
        <v/>
      </c>
      <c r="O608">
        <v>1</v>
      </c>
      <c r="P608" s="1" t="str">
        <f ca="1">IF(ISERROR(F603),"",IF(ISTEXT(VLOOKUP(B603,INDIRECT($F$8),6+(O608-1)*3)),(VLOOKUP(B603,INDIRECT($F$8),6+(O608-1)*3)),SUM(VLOOKUP(B603,INDIRECT($F$8),6+(O608-1)*3),IF(W616,W608,0))))</f>
        <v/>
      </c>
      <c r="Q608" s="1" t="str">
        <f ca="1">IF(ISERROR(F603),"",VLOOKUP(B603,INDIRECT($F$8),7+(O608-1)*3))</f>
        <v/>
      </c>
      <c r="R608" s="1" t="str">
        <f ca="1">IF(ISERROR(F603),"",SUM(P608:Q608))</f>
        <v/>
      </c>
      <c r="S608" s="1" t="str">
        <f ca="1">IF(ISERROR(F603),"",VLOOKUP(A603,INDIRECT($F$8),6+(O608-1)*3))</f>
        <v/>
      </c>
      <c r="T608" s="1" t="str">
        <f ca="1">IF(ISERROR(F603),"",VLOOKUP(A603,INDIRECT($F$8),7+(O608-1)*3))</f>
        <v/>
      </c>
      <c r="U608" s="1" t="str">
        <f ca="1">IF(ISERROR(F603),"",VLOOKUP(A603,INDIRECT($F$8),8+(O608-1)*3))</f>
        <v/>
      </c>
      <c r="V608" s="1" t="str">
        <f ca="1">IF(ISERROR(F603),"",IF(N608=0,A608,""))</f>
        <v/>
      </c>
      <c r="W608" s="1" t="str">
        <f ca="1">IF(ISERROR(F603),"",IF(ISTEXT(VLOOKUP(B603,INDIRECT($F$8),6+(O608-1)*3)),11,IF(VLOOKUP(B603,INDIRECT($F$8),6+(O608-1)*3)&lt;S608*0.3,IF(VLOOKUP(B603,INDIRECT($F$8),8+(O608-1)*3)&lt;U608*0.4,IF(AND(0.4*U608-VLOOKUP(B603,INDIRECT($F$8),8+(O608-1)*3)&lt;=5,0.3*S608-VLOOKUP(B603,INDIRECT($F$8),6+(O608-1)*3)&lt;=5),MAX(0.4*U608-VLOOKUP(B603,INDIRECT($F$8),8+(O608-1)*3),0.3*S608-VLOOKUP(B603,INDIRECT($F$8),6+(O608-1)*3)),11),IF(0.3*S608-VLOOKUP(B603,INDIRECT($F$8),6+(O608-1)*3)&lt;=5,0.3*S608-VLOOKUP(B603,INDIRECT($F$8),6+(O608-1)*3),11)),IF(VLOOKUP(B603,INDIRECT($F$8),8+(O608-1)*3)&lt;U608*0.4,IF(U608*0.4-VLOOKUP(B603,INDIRECT($F$8),8+(O608-1)*3)&lt;=5,U608*0.4-VLOOKUP(B603,INDIRECT($F$8),8+(O608-1)*3),11),0))))</f>
        <v/>
      </c>
      <c r="X608" s="1" t="str">
        <f ca="1">IF(ISERROR(F603),"",IF(W608=0,"",_xlfn.TEXTJOIN("",FALSE," G+",W608," in ",A608)))</f>
        <v/>
      </c>
    </row>
    <row r="609" spans="1:24" ht="14.25" customHeight="1" x14ac:dyDescent="0.2">
      <c r="A609" s="7" t="str">
        <f ca="1">IF(ISERROR(F603),"",VLOOKUP(C603,INDIRECT($F$8),6+(O609-1)*3,0))</f>
        <v/>
      </c>
      <c r="B609" s="41" t="str">
        <f ca="1">IF(ISERROR(F603),"",VLOOKUP(D603,INDIRECT($F$8),6+(O609-1)*3,0))</f>
        <v/>
      </c>
      <c r="C609" s="41"/>
      <c r="D609" s="41"/>
      <c r="E609" s="41"/>
      <c r="F609" s="7" t="str">
        <f ca="1">IF(ISERROR(F603),"",VLOOKUP(E603,INDIRECT($F$8),6+(O609-1)*3,0))</f>
        <v/>
      </c>
      <c r="G609" s="42" t="str">
        <f ca="1">IF(ISERROR(F603),"",_xlfn.TEXTJOIN("/",FALSE,P609,S609))</f>
        <v/>
      </c>
      <c r="H609" s="42"/>
      <c r="I609" s="42" t="str">
        <f ca="1">IF(ISERROR(F603),"",_xlfn.TEXTJOIN("/",FALSE,Q609,T609))</f>
        <v/>
      </c>
      <c r="J609" s="42"/>
      <c r="K609" s="42" t="str">
        <f ca="1">IF(ISERROR(F603),"",_xlfn.TEXTJOIN("/",FALSE,R609,U609))</f>
        <v/>
      </c>
      <c r="L609" s="42"/>
      <c r="M609" s="7" t="str">
        <f ca="1">IF(ISERROR(F603),"",IF(ISTEXT(P609),IF(P609="A","Ab",IF(P609="D","Dt",IF(P609="UFM","UFM",IF(P609="NA","")))),IF(AND(ISBLANK(P609),ISBLANK(R609)),"",IF(P609&lt;0.3*S609,"F",IF(ISBLANK(R609),"",IF(ISTEXT(R609),R609,IF(R609&gt;=0.9*U609,"O",IF(R609&gt;=0.85*U609,"A+",IF(R609&gt;=0.8*U609,"A",IF(R609&gt;=0.7*U609,"B+",IF(R609&gt;=0.6*U609,"B",IF(R609&gt;=0.5*U609,"C",IF(R609&gt;=0.4*U609,"P",IF(R609&lt;0.4*U609,"F",R609))))))))))))))</f>
        <v/>
      </c>
      <c r="N609" s="8" t="str">
        <f t="shared" ca="1" si="70"/>
        <v/>
      </c>
      <c r="O609">
        <f>O608+1</f>
        <v>2</v>
      </c>
      <c r="P609" s="1" t="str">
        <f ca="1">IF(ISERROR(F603),"",IF(ISTEXT(VLOOKUP(B603,INDIRECT($F$8),6+(O609-1)*3)),(VLOOKUP(B603,INDIRECT($F$8),6+(O609-1)*3)),SUM(VLOOKUP(B603,INDIRECT($F$8),6+(O609-1)*3),IF(W616,W609,0))))</f>
        <v/>
      </c>
      <c r="Q609" s="1" t="str">
        <f ca="1">IF(ISERROR(F603),"",VLOOKUP(B603,INDIRECT($F$8),7+(O609-1)*3))</f>
        <v/>
      </c>
      <c r="R609" s="1" t="str">
        <f ca="1">IF(ISERROR(F603),"",SUM(P609:Q609))</f>
        <v/>
      </c>
      <c r="S609" s="1" t="str">
        <f ca="1">IF(ISERROR(F603),"",VLOOKUP(A603,INDIRECT($F$8),6+(O609-1)*3))</f>
        <v/>
      </c>
      <c r="T609" s="1" t="str">
        <f ca="1">IF(ISERROR(F603),"",VLOOKUP(A603,INDIRECT($F$8),7+(O609-1)*3))</f>
        <v/>
      </c>
      <c r="U609" s="1" t="str">
        <f ca="1">IF(ISERROR(F603),"",VLOOKUP(A603,INDIRECT($F$8),8+(O609-1)*3))</f>
        <v/>
      </c>
      <c r="V609" s="1" t="str">
        <f ca="1">IF(ISERROR(F603),"",IF(N609=0,A609,""))</f>
        <v/>
      </c>
      <c r="W609" s="1" t="str">
        <f ca="1">IF(ISERROR(F603),"",IF(ISTEXT(VLOOKUP(B603,INDIRECT($F$8),6+(O609-1)*3)),11,IF(VLOOKUP(B603,INDIRECT($F$8),6+(O609-1)*3)&lt;S609*0.3,IF(VLOOKUP(B603,INDIRECT($F$8),8+(O609-1)*3)&lt;U609*0.4,IF(AND(0.4*U609-VLOOKUP(B603,INDIRECT($F$8),8+(O609-1)*3)&lt;=5,0.3*S609-VLOOKUP(B603,INDIRECT($F$8),6+(O609-1)*3)&lt;=5),MAX(0.4*U609-VLOOKUP(B603,INDIRECT($F$8),8+(O609-1)*3),0.3*S609-VLOOKUP(B603,INDIRECT($F$8),6+(O609-1)*3)),11),IF(0.3*S609-VLOOKUP(B603,INDIRECT($F$8),6+(O609-1)*3)&lt;=5,0.3*S609-VLOOKUP(B603,INDIRECT($F$8),6+(O609-1)*3),11)),IF(VLOOKUP(B603,INDIRECT($F$8),8+(O609-1)*3)&lt;U609*0.4,IF(U609*0.4-VLOOKUP(B603,INDIRECT($F$8),8+(O609-1)*3)&lt;=5,U609*0.4-VLOOKUP(B603,INDIRECT($F$8),8+(O609-1)*3),11),0))))</f>
        <v/>
      </c>
      <c r="X609" s="1" t="str">
        <f ca="1">IF(ISERROR(F603),"",IF(W609=0,"",_xlfn.TEXTJOIN("",FALSE," G+",W609," in ",A609)))</f>
        <v/>
      </c>
    </row>
    <row r="610" spans="1:24" ht="14.25" customHeight="1" x14ac:dyDescent="0.2">
      <c r="A610" s="7" t="str">
        <f ca="1">IF(ISERROR(F603),"",VLOOKUP(C603,INDIRECT($F$8),6+(O610-1)*3,0))</f>
        <v/>
      </c>
      <c r="B610" s="41" t="str">
        <f ca="1">IF(ISERROR(F603),"",VLOOKUP(D603,INDIRECT($F$8),6+(O610-1)*3,0))</f>
        <v/>
      </c>
      <c r="C610" s="41"/>
      <c r="D610" s="41"/>
      <c r="E610" s="41"/>
      <c r="F610" s="7" t="str">
        <f ca="1">IF(ISERROR(F603),"",VLOOKUP(E603,INDIRECT($F$8),6+(O610-1)*3,0))</f>
        <v/>
      </c>
      <c r="G610" s="42" t="str">
        <f ca="1">IF(ISERROR(F603),"",_xlfn.TEXTJOIN("/",FALSE,P610,S610))</f>
        <v/>
      </c>
      <c r="H610" s="42"/>
      <c r="I610" s="42" t="str">
        <f ca="1">IF(ISERROR(F603),"",_xlfn.TEXTJOIN("/",FALSE,Q610,T610))</f>
        <v/>
      </c>
      <c r="J610" s="42"/>
      <c r="K610" s="42" t="str">
        <f ca="1">IF(ISERROR(F603),"",_xlfn.TEXTJOIN("/",FALSE,R610,U610))</f>
        <v/>
      </c>
      <c r="L610" s="42"/>
      <c r="M610" s="7" t="str">
        <f ca="1">IF(ISERROR(F603),"",IF(ISTEXT(P610),IF(P610="A","Ab",IF(P610="D","Dt",IF(P610="UFM","UFM",IF(P610="NA","")))),IF(AND(ISBLANK(P610),ISBLANK(R610)),"",IF(P610&lt;0.3*S610,"F",IF(ISBLANK(R610),"",IF(ISTEXT(R610),R610,IF(R610&gt;=0.9*U610,"O",IF(R610&gt;=0.85*U610,"A+",IF(R610&gt;=0.8*U610,"A",IF(R610&gt;=0.7*U610,"B+",IF(R610&gt;=0.6*U610,"B",IF(R610&gt;=0.5*U610,"C",IF(R610&gt;=0.4*U610,"P",IF(R610&lt;0.4*U610,"F",R610))))))))))))))</f>
        <v/>
      </c>
      <c r="N610" s="8" t="str">
        <f t="shared" ca="1" si="70"/>
        <v/>
      </c>
      <c r="O610" t="b" cm="1">
        <f t="array" aca="1" ref="O610" ca="1">IF(NOT(ISBLANK(INDIRECT("SEM_III!L"&amp;INT((ROW(O610)-15)/17)+6))),3,IF(NOT(ISBLANK(INDIRECT("SEM_III!O"&amp;INT((ROW(O610)-15)/17)+6))),4))</f>
        <v>0</v>
      </c>
      <c r="P610" s="1" t="str">
        <f ca="1">IF(ISERROR(F603),"",IF(ISTEXT(VLOOKUP(B603,INDIRECT($F$8),6+(O610-1)*3)),(VLOOKUP(B603,INDIRECT($F$8),6+(O610-1)*3)),SUM(VLOOKUP(B603,INDIRECT($F$8),6+(O610-1)*3),IF(W616,W610,0))))</f>
        <v/>
      </c>
      <c r="Q610" s="1" t="str">
        <f ca="1">IF(ISERROR(F603),"",VLOOKUP(B603,INDIRECT($F$8),7+(O610-1)*3))</f>
        <v/>
      </c>
      <c r="R610" s="1" t="str">
        <f ca="1">IF(ISERROR(F603),"",SUM(P610:Q610))</f>
        <v/>
      </c>
      <c r="S610" s="1" t="str">
        <f ca="1">IF(ISERROR(F603),"",VLOOKUP(A603,INDIRECT($F$8),6+(O610-1)*3))</f>
        <v/>
      </c>
      <c r="T610" s="1" t="str">
        <f ca="1">IF(ISERROR(F603),"",VLOOKUP(A603,INDIRECT($F$8),7+(O610-1)*3))</f>
        <v/>
      </c>
      <c r="U610" s="1" t="str">
        <f ca="1">IF(ISERROR(F603),"",VLOOKUP(A603,INDIRECT($F$8),8+(O610-1)*3))</f>
        <v/>
      </c>
      <c r="V610" s="1" t="str">
        <f ca="1">IF(ISERROR(F603),"",IF(N610=0,A610,""))</f>
        <v/>
      </c>
      <c r="W610" s="1" t="str">
        <f ca="1">IF(ISERROR(F603),"",IF(ISTEXT(VLOOKUP(B603,INDIRECT($F$8),6+(O610-1)*3)),11,IF(VLOOKUP(B603,INDIRECT($F$8),6+(O610-1)*3)&lt;S610*0.3,IF(VLOOKUP(B603,INDIRECT($F$8),8+(O610-1)*3)&lt;U610*0.4,IF(AND(0.4*U610-VLOOKUP(B603,INDIRECT($F$8),8+(O610-1)*3)&lt;=5,0.3*S610-VLOOKUP(B603,INDIRECT($F$8),6+(O610-1)*3)&lt;=5),MAX(0.4*U610-VLOOKUP(B603,INDIRECT($F$8),8+(O610-1)*3),0.3*S610-VLOOKUP(B603,INDIRECT($F$8),6+(O610-1)*3)),11),IF(0.3*S610-VLOOKUP(B603,INDIRECT($F$8),6+(O610-1)*3)&lt;=5,0.3*S610-VLOOKUP(B603,INDIRECT($F$8),6+(O610-1)*3),11)),IF(VLOOKUP(B603,INDIRECT($F$8),8+(O610-1)*3)&lt;U610*0.4,IF(U610*0.4-VLOOKUP(B603,INDIRECT($F$8),8+(O610-1)*3)&lt;=5,U610*0.4-VLOOKUP(B603,INDIRECT($F$8),8+(O610-1)*3),11),0))))</f>
        <v/>
      </c>
      <c r="X610" s="1" t="str">
        <f ca="1">IF(ISERROR(F603),"",IF(W610=0,"",_xlfn.TEXTJOIN("",FALSE," G+",W610," in ",A610)))</f>
        <v/>
      </c>
    </row>
    <row r="611" spans="1:24" ht="14.25" customHeight="1" x14ac:dyDescent="0.2">
      <c r="A611" s="7" t="str">
        <f ca="1">IF(ISERROR(F603),"",VLOOKUP(C603,INDIRECT($F$8),6+(O611-1)*3,0))</f>
        <v/>
      </c>
      <c r="B611" s="41" t="str">
        <f ca="1">IF(ISERROR(F603),"",VLOOKUP(D603,INDIRECT($F$8),6+(O611-1)*3,0))</f>
        <v/>
      </c>
      <c r="C611" s="41"/>
      <c r="D611" s="41"/>
      <c r="E611" s="41"/>
      <c r="F611" s="7" t="str">
        <f ca="1">IF(ISERROR(F603),"",VLOOKUP(E603,INDIRECT($F$8),6+(O611-1)*3,0))</f>
        <v/>
      </c>
      <c r="G611" s="42" t="str">
        <f ca="1">IF(ISERROR(F603),"",_xlfn.TEXTJOIN("/",FALSE,P611,S611))</f>
        <v/>
      </c>
      <c r="H611" s="42"/>
      <c r="I611" s="42" t="str">
        <f ca="1">IF(ISERROR(F603),"",_xlfn.TEXTJOIN("/",FALSE,Q611,T611))</f>
        <v/>
      </c>
      <c r="J611" s="42"/>
      <c r="K611" s="42" t="str">
        <f ca="1">IF(ISERROR(F603),"",_xlfn.TEXTJOIN("/",FALSE,R611,U611))</f>
        <v/>
      </c>
      <c r="L611" s="42"/>
      <c r="M611" s="7" t="str">
        <f ca="1">IF(ISERROR(F603),"",IF(ISTEXT(P611),IF(P611="A","Ab",IF(P611="D","Dt",IF(P611="UFM","UFM",IF(P611="NA","")))),IF(AND(ISBLANK(P611),ISBLANK(R611)),"",IF(P611&lt;0.3*S611,"F",IF(ISBLANK(R611),"",IF(ISTEXT(R611),R611,IF(R611&gt;=0.9*U611,"O",IF(R611&gt;=0.85*U611,"A+",IF(R611&gt;=0.8*U611,"A",IF(R611&gt;=0.7*U611,"B+",IF(R611&gt;=0.6*U611,"B",IF(R611&gt;=0.5*U611,"C",IF(R611&gt;=0.4*U611,"P",IF(R611&lt;0.4*U611,"F",R611))))))))))))))</f>
        <v/>
      </c>
      <c r="N611" s="8" t="str">
        <f t="shared" ca="1" si="70"/>
        <v/>
      </c>
      <c r="O611" t="b" cm="1">
        <f t="array" aca="1" ref="O611" ca="1">IF(NOT(ISBLANK(INDIRECT("SEM_III!R"&amp;INT((ROW(O611)-16)/17)+6))),5,IF(NOT(ISBLANK(INDIRECT("SEM_III!U"&amp;INT((ROW(O611)-16)/17)+6))),6))</f>
        <v>0</v>
      </c>
      <c r="P611" s="1" t="str">
        <f ca="1">IF(ISERROR(F603),"",IF(ISTEXT(VLOOKUP(B603,INDIRECT($F$8),6+(O611-1)*3)),(VLOOKUP(B603,INDIRECT($F$8),6+(O611-1)*3)),SUM(VLOOKUP(B603,INDIRECT($F$8),6+(O611-1)*3),IF(W616,W611,0))))</f>
        <v/>
      </c>
      <c r="Q611" s="1" t="str">
        <f ca="1">IF(ISERROR(F603),"",VLOOKUP(B603,INDIRECT($F$8),7+(O611-1)*3))</f>
        <v/>
      </c>
      <c r="R611" s="1" t="str">
        <f ca="1">IF(ISERROR(F603),"",SUM(P611:Q611))</f>
        <v/>
      </c>
      <c r="S611" s="1" t="str">
        <f ca="1">IF(ISERROR(F603),"",VLOOKUP(A603,INDIRECT($F$8),6+(O611-1)*3))</f>
        <v/>
      </c>
      <c r="T611" s="1" t="str">
        <f ca="1">IF(ISERROR(F603),"",VLOOKUP(A603,INDIRECT($F$8),7+(O611-1)*3))</f>
        <v/>
      </c>
      <c r="U611" s="1" t="str">
        <f ca="1">IF(ISERROR(F603),"",VLOOKUP(A603,INDIRECT($F$8),8+(O611-1)*3))</f>
        <v/>
      </c>
      <c r="V611" s="1" t="str">
        <f ca="1">IF(ISERROR(F603),"",IF(N611=0,A611,""))</f>
        <v/>
      </c>
      <c r="W611" s="1" t="str">
        <f ca="1">IF(ISERROR(F603),"",IF(ISTEXT(VLOOKUP(B603,INDIRECT($F$8),6+(O611-1)*3)),11,IF(VLOOKUP(B603,INDIRECT($F$8),6+(O611-1)*3)&lt;S611*0.3,IF(VLOOKUP(B603,INDIRECT($F$8),8+(O611-1)*3)&lt;U611*0.4,IF(AND(0.4*U611-VLOOKUP(B603,INDIRECT($F$8),8+(O611-1)*3)&lt;=5,0.3*S611-VLOOKUP(B603,INDIRECT($F$8),6+(O611-1)*3)&lt;=5),MAX(0.4*U611-VLOOKUP(B603,INDIRECT($F$8),8+(O611-1)*3),0.3*S611-VLOOKUP(B603,INDIRECT($F$8),6+(O611-1)*3)),11),IF(0.3*S611-VLOOKUP(B603,INDIRECT($F$8),6+(O611-1)*3)&lt;=5,0.3*S611-VLOOKUP(B603,INDIRECT($F$8),6+(O611-1)*3),11)),IF(VLOOKUP(B603,INDIRECT($F$8),8+(O611-1)*3)&lt;U611*0.4,IF(U611*0.4-VLOOKUP(B603,INDIRECT($F$8),8+(O611-1)*3)&lt;=5,U611*0.4-VLOOKUP(B603,INDIRECT($F$8),8+(O611-1)*3),11),0))))</f>
        <v/>
      </c>
      <c r="X611" s="1" t="str">
        <f ca="1">IF(ISERROR(F603),"",IF(W611=0,"",_xlfn.TEXTJOIN("",FALSE," G+",W611," in ",A611)))</f>
        <v/>
      </c>
    </row>
    <row r="612" spans="1:24" ht="14.25" customHeight="1" x14ac:dyDescent="0.2">
      <c r="A612" s="7" t="str">
        <f ca="1">IF(ISERROR(F603),"",VLOOKUP(C603,INDIRECT($F$8),6+(O612-1)*3,0))</f>
        <v/>
      </c>
      <c r="B612" s="41" t="str">
        <f ca="1">IF(ISERROR(F603),"",VLOOKUP(D603,INDIRECT($F$8),6+(O612-1)*3,0))</f>
        <v/>
      </c>
      <c r="C612" s="41"/>
      <c r="D612" s="41"/>
      <c r="E612" s="41"/>
      <c r="F612" s="7" t="str">
        <f ca="1">IF(ISERROR(F603),"",VLOOKUP(E603,INDIRECT($F$8),6+(O612-1)*3,0))</f>
        <v/>
      </c>
      <c r="G612" s="42" t="str">
        <f ca="1">IF(ISERROR(F603),"",_xlfn.TEXTJOIN("/",FALSE,P612,S612))</f>
        <v/>
      </c>
      <c r="H612" s="42"/>
      <c r="I612" s="42" t="str">
        <f ca="1">IF(ISERROR(F603),"",_xlfn.TEXTJOIN("/",FALSE,Q612,T612))</f>
        <v/>
      </c>
      <c r="J612" s="42"/>
      <c r="K612" s="42" t="str">
        <f ca="1">IF(ISERROR(F603),"",_xlfn.TEXTJOIN("/",FALSE,R612,U612))</f>
        <v/>
      </c>
      <c r="L612" s="42"/>
      <c r="M612" s="7" t="str">
        <f ca="1">IF(ISERROR(F603),"",IF(ISTEXT(P612),IF(P612="A","Ab",IF(P612="D","Dt",IF(P612="UFM","UFM",IF(P612="NA","")))),IF(AND(ISBLANK(P612),ISBLANK(R612)),"",IF(P612&lt;0.3*S612,"F",IF(ISBLANK(R612),"",IF(ISTEXT(R612),R612,IF(R612&gt;=0.9*U612,"O",IF(R612&gt;=0.85*U612,"A+",IF(R612&gt;=0.8*U612,"A",IF(R612&gt;=0.7*U612,"B+",IF(R612&gt;=0.6*U612,"B",IF(R612&gt;=0.5*U612,"C",IF(R612&gt;=0.4*U612,"P",IF(R612&lt;0.4*U612,"F",R612))))))))))))))</f>
        <v/>
      </c>
      <c r="N612" s="8" t="str">
        <f t="shared" ca="1" si="70"/>
        <v/>
      </c>
      <c r="O612">
        <f ca="1">IF(O611&gt;0,7,"")</f>
        <v>7</v>
      </c>
      <c r="P612" s="1" t="str">
        <f ca="1">IF(ISERROR(F603),"",IF(ISTEXT(VLOOKUP(B603,INDIRECT($F$8),6+(O612-1)*3)),(VLOOKUP(B603,INDIRECT($F$8),6+(O612-1)*3)),SUM(VLOOKUP(B603,INDIRECT($F$8),6+(O612-1)*3),IF(W616,W612,0))))</f>
        <v/>
      </c>
      <c r="Q612" s="1" t="str">
        <f ca="1">IF(ISERROR(F603),"",VLOOKUP(B603,INDIRECT($F$8),7+(O612-1)*3))</f>
        <v/>
      </c>
      <c r="R612" s="1" t="str">
        <f ca="1">IF(ISERROR(F603),"",SUM(P612:Q612))</f>
        <v/>
      </c>
      <c r="S612" s="1" t="str">
        <f ca="1">IF(ISERROR(F603),"",VLOOKUP(A603,INDIRECT($F$8),6+(O612-1)*3))</f>
        <v/>
      </c>
      <c r="T612" s="1" t="str">
        <f ca="1">IF(ISERROR(F603),"",VLOOKUP(A603,INDIRECT($F$8),7+(O612-1)*3))</f>
        <v/>
      </c>
      <c r="U612" s="1" t="str">
        <f ca="1">IF(ISERROR(F603),"",VLOOKUP(A603,INDIRECT($F$8),8+(O612-1)*3))</f>
        <v/>
      </c>
      <c r="V612" s="1" t="str">
        <f ca="1">IF(ISERROR(F603),"",IF(N612=0,A612,""))</f>
        <v/>
      </c>
      <c r="W612" s="1" t="str">
        <f ca="1">IF(ISERROR(F603),"",IF(ISTEXT(VLOOKUP(B603,INDIRECT($F$8),6+(O612-1)*3)),11,IF(VLOOKUP(B603,INDIRECT($F$8),6+(O612-1)*3)&lt;S612*0.3,IF(VLOOKUP(B603,INDIRECT($F$8),8+(O612-1)*3)&lt;U612*0.4,IF(AND(0.4*U612-VLOOKUP(B603,INDIRECT($F$8),8+(O612-1)*3)&lt;=5,0.3*S612-VLOOKUP(B603,INDIRECT($F$8),6+(O612-1)*3)&lt;=5),MAX(0.4*U612-VLOOKUP(B603,INDIRECT($F$8),8+(O612-1)*3),0.3*S612-VLOOKUP(B603,INDIRECT($F$8),6+(O612-1)*3)),11),IF(0.3*S612-VLOOKUP(B603,INDIRECT($F$8),6+(O612-1)*3)&lt;=5,0.3*S612-VLOOKUP(B603,INDIRECT($F$8),6+(O612-1)*3),11)),IF(VLOOKUP(B603,INDIRECT($F$8),8+(O612-1)*3)&lt;U612*0.4,IF(U612*0.4-VLOOKUP(B603,INDIRECT($F$8),8+(O612-1)*3)&lt;=5,U612*0.4-VLOOKUP(B603,INDIRECT($F$8),8+(O612-1)*3),11),0))))</f>
        <v/>
      </c>
      <c r="X612" s="1" t="str">
        <f ca="1">IF(ISERROR(F603),"",IF(W612=0,"",_xlfn.TEXTJOIN("",FALSE," G+",W612," in ",A612)))</f>
        <v/>
      </c>
    </row>
    <row r="613" spans="1:24" ht="14.25" customHeight="1" x14ac:dyDescent="0.2">
      <c r="A613" s="7" t="str">
        <f ca="1">IF(ISERROR(F603),"",VLOOKUP(C603,INDIRECT($F$8),6+(O613-1)*3,0))</f>
        <v/>
      </c>
      <c r="B613" s="41" t="str">
        <f ca="1">IF(ISERROR(F603),"",VLOOKUP(D603,INDIRECT($F$8),6+(O613-1)*3,0))</f>
        <v/>
      </c>
      <c r="C613" s="41"/>
      <c r="D613" s="41"/>
      <c r="E613" s="41"/>
      <c r="F613" s="7" t="str">
        <f ca="1">IF(ISERROR(F603),"",VLOOKUP(E603,INDIRECT($F$8),6+(O613-1)*3,0))</f>
        <v/>
      </c>
      <c r="G613" s="42" t="str">
        <f ca="1">IF(ISERROR(F603),"",_xlfn.TEXTJOIN("/",FALSE,P613,S613))</f>
        <v/>
      </c>
      <c r="H613" s="42"/>
      <c r="I613" s="42" t="str">
        <f ca="1">IF(ISERROR(F603),"",_xlfn.TEXTJOIN("/",FALSE,Q613,T613))</f>
        <v/>
      </c>
      <c r="J613" s="42"/>
      <c r="K613" s="42" t="str">
        <f ca="1">IF(ISERROR(F603),"",_xlfn.TEXTJOIN("/",FALSE,R613,U613))</f>
        <v/>
      </c>
      <c r="L613" s="42"/>
      <c r="M613" s="7" t="str">
        <f ca="1">IF(ISERROR(F603),"",IF(ISTEXT(P613),IF(P613="A","Ab",IF(P613="D","Dt",IF(P613="UFM","UFM",IF(P613="NA","")))),IF(AND(ISBLANK(P613),ISBLANK(R613)),"",IF(P613&lt;0.3*S613,"F",IF(ISBLANK(R613),"",IF(ISTEXT(R613),R613,IF(R613&gt;=0.9*U613,"O",IF(R613&gt;=0.85*U613,"A+",IF(R613&gt;=0.8*U613,"A",IF(R613&gt;=0.7*U613,"B+",IF(R613&gt;=0.6*U613,"B",IF(R613&gt;=0.5*U613,"C",IF(R613&gt;=0.4*U613,"P",IF(R613&lt;0.4*U613,"F",R613))))))))))))))</f>
        <v/>
      </c>
      <c r="N613" s="8" t="str">
        <f t="shared" ca="1" si="70"/>
        <v/>
      </c>
      <c r="O613">
        <f t="shared" ref="O613:O615" ca="1" si="71">O612+1</f>
        <v>8</v>
      </c>
      <c r="P613" s="1" t="str">
        <f ca="1">IF(ISERROR(F603),"",IF(ISTEXT(VLOOKUP(B603,INDIRECT($F$8),6+(O613-1)*3)),(VLOOKUP(B603,INDIRECT($F$8),6+(O613-1)*3)),SUM(VLOOKUP(B603,INDIRECT($F$8),6+(O613-1)*3),IF(W616,W613,0))))</f>
        <v/>
      </c>
      <c r="Q613" s="1" t="str">
        <f ca="1">IF(ISERROR(F603),"",VLOOKUP(B603,INDIRECT($F$8),7+(O613-1)*3))</f>
        <v/>
      </c>
      <c r="R613" s="1" t="str">
        <f ca="1">IF(ISERROR(F603),"",SUM(P613:Q613))</f>
        <v/>
      </c>
      <c r="S613" s="1" t="str">
        <f ca="1">IF(ISERROR(F603),"",VLOOKUP(A603,INDIRECT($F$8),6+(O613-1)*3))</f>
        <v/>
      </c>
      <c r="T613" s="1" t="str">
        <f ca="1">IF(ISERROR(F603),"",VLOOKUP(A603,INDIRECT($F$8),7+(O613-1)*3))</f>
        <v/>
      </c>
      <c r="U613" s="1" t="str">
        <f ca="1">IF(ISERROR(F603),"",VLOOKUP(A603,INDIRECT($F$8),8+(O613-1)*3))</f>
        <v/>
      </c>
      <c r="V613" s="1" t="str">
        <f ca="1">IF(ISERROR(F603),"",IF(N613=0,A613,""))</f>
        <v/>
      </c>
      <c r="W613" s="1" t="str">
        <f ca="1">IF(ISERROR(F603),"",IF(ISTEXT(VLOOKUP(B603,INDIRECT($F$8),6+(O613-1)*3)),11,IF(VLOOKUP(B603,INDIRECT($F$8),6+(O613-1)*3)&lt;S613*0.3,IF(VLOOKUP(B603,INDIRECT($F$8),8+(O613-1)*3)&lt;U613*0.4,IF(AND(0.4*U613-VLOOKUP(B603,INDIRECT($F$8),8+(O613-1)*3)&lt;=5,0.3*S613-VLOOKUP(B603,INDIRECT($F$8),6+(O613-1)*3)&lt;=5),MAX(0.4*U613-VLOOKUP(B603,INDIRECT($F$8),8+(O613-1)*3),0.3*S613-VLOOKUP(B603,INDIRECT($F$8),6+(O613-1)*3)),11),IF(0.3*S613-VLOOKUP(B603,INDIRECT($F$8),6+(O613-1)*3)&lt;=5,0.3*S613-VLOOKUP(B603,INDIRECT($F$8),6+(O613-1)*3),11)),IF(VLOOKUP(B603,INDIRECT($F$8),8+(O613-1)*3)&lt;U613*0.4,IF(U613*0.4-VLOOKUP(B603,INDIRECT($F$8),8+(O613-1)*3)&lt;=5,U613*0.4-VLOOKUP(B603,INDIRECT($F$8),8+(O613-1)*3),11),0))))</f>
        <v/>
      </c>
      <c r="X613" s="1" t="str">
        <f ca="1">IF(ISERROR(F603),"",IF(W613=0,"",_xlfn.TEXTJOIN("",FALSE," G+",W613," in ",A613)))</f>
        <v/>
      </c>
    </row>
    <row r="614" spans="1:24" ht="14.25" customHeight="1" x14ac:dyDescent="0.2">
      <c r="A614" s="7" t="str">
        <f ca="1">IF(ISERROR(F603),"",VLOOKUP(C603,INDIRECT($F$8),6+(O614-1)*3,0))</f>
        <v/>
      </c>
      <c r="B614" s="41" t="str">
        <f ca="1">IF(ISERROR(F603),"",VLOOKUP(D603,INDIRECT($F$8),6+(O614-1)*3,0))</f>
        <v/>
      </c>
      <c r="C614" s="41"/>
      <c r="D614" s="41"/>
      <c r="E614" s="41"/>
      <c r="F614" s="7" t="str">
        <f ca="1">IF(ISERROR(F603),"",VLOOKUP(E603,INDIRECT($F$8),6+(O614-1)*3,0))</f>
        <v/>
      </c>
      <c r="G614" s="42" t="str">
        <f ca="1">IF(ISERROR(F603),"",_xlfn.TEXTJOIN("/",FALSE,P614,S614))</f>
        <v/>
      </c>
      <c r="H614" s="42"/>
      <c r="I614" s="42" t="str">
        <f ca="1">IF(ISERROR(F603),"",_xlfn.TEXTJOIN("/",FALSE,Q614,T614))</f>
        <v/>
      </c>
      <c r="J614" s="42"/>
      <c r="K614" s="42" t="str">
        <f ca="1">IF(ISERROR(F603),"",_xlfn.TEXTJOIN("/",FALSE,R614,U614))</f>
        <v/>
      </c>
      <c r="L614" s="42"/>
      <c r="M614" s="7" t="str">
        <f ca="1">IF(ISERROR(F603),"",IF(ISTEXT(P614),IF(P614="A","Ab",IF(P614="D","Dt",IF(P614="UFM","UFM",IF(P614="NA","")))),IF(AND(ISBLANK(P614),ISBLANK(R614)),"",IF(P614&lt;0.3*S614,"F",IF(ISBLANK(R614),"",IF(ISTEXT(R614),R614,IF(R614&gt;=0.9*U614,"O",IF(R614&gt;=0.85*U614,"A+",IF(R614&gt;=0.8*U614,"A",IF(R614&gt;=0.7*U614,"B+",IF(R614&gt;=0.6*U614,"B",IF(R614&gt;=0.5*U614,"C",IF(R614&gt;=0.4*U614,"P",IF(R614&lt;0.4*U614,"F",R614))))))))))))))</f>
        <v/>
      </c>
      <c r="N614" s="8" t="str">
        <f t="shared" ca="1" si="70"/>
        <v/>
      </c>
      <c r="O614">
        <f t="shared" ca="1" si="71"/>
        <v>9</v>
      </c>
      <c r="P614" s="1" t="str">
        <f ca="1">IF(ISERROR(F603),"",IF(ISTEXT(VLOOKUP(B603,INDIRECT($F$8),6+(O614-1)*3)),(VLOOKUP(B603,INDIRECT($F$8),6+(O614-1)*3)),SUM(VLOOKUP(B603,INDIRECT($F$8),6+(O614-1)*3),IF(W616,W614,0))))</f>
        <v/>
      </c>
      <c r="Q614" s="1" t="str">
        <f ca="1">IF(ISERROR(F603),"",VLOOKUP(B603,INDIRECT($F$8),7+(O614-1)*3))</f>
        <v/>
      </c>
      <c r="R614" s="1" t="str">
        <f ca="1">IF(ISERROR(F603),"",SUM(P614:Q614))</f>
        <v/>
      </c>
      <c r="S614" s="1" t="str">
        <f ca="1">IF(ISERROR(F603),"",VLOOKUP(A603,INDIRECT($F$8),6+(O614-1)*3))</f>
        <v/>
      </c>
      <c r="T614" s="1" t="str">
        <f ca="1">IF(ISERROR(F603),"",VLOOKUP(A603,INDIRECT($F$8),7+(O614-1)*3))</f>
        <v/>
      </c>
      <c r="U614" s="1" t="str">
        <f ca="1">IF(ISERROR(F603),"",VLOOKUP(A603,INDIRECT($F$8),8+(O614-1)*3))</f>
        <v/>
      </c>
      <c r="V614" s="1" t="str">
        <f ca="1">IF(ISERROR(F603),"",IF(N614=0,A614,""))</f>
        <v/>
      </c>
      <c r="W614" s="1" t="str">
        <f ca="1">IF(ISERROR(F603),"",IF(ISTEXT(VLOOKUP(B603,INDIRECT($F$8),6+(O614-1)*3)),11,IF(VLOOKUP(B603,INDIRECT($F$8),6+(O614-1)*3)&lt;S614*0.3,IF(VLOOKUP(B603,INDIRECT($F$8),8+(O614-1)*3)&lt;U614*0.4,IF(AND(0.4*U614-VLOOKUP(B603,INDIRECT($F$8),8+(O614-1)*3)&lt;=5,0.3*S614-VLOOKUP(B603,INDIRECT($F$8),6+(O614-1)*3)&lt;=5),MAX(0.4*U614-VLOOKUP(B603,INDIRECT($F$8),8+(O614-1)*3),0.3*S614-VLOOKUP(B603,INDIRECT($F$8),6+(O614-1)*3)),11),IF(0.3*S614-VLOOKUP(B603,INDIRECT($F$8),6+(O614-1)*3)&lt;=5,0.3*S614-VLOOKUP(B603,INDIRECT($F$8),6+(O614-1)*3),11)),IF(VLOOKUP(B603,INDIRECT($F$8),8+(O614-1)*3)&lt;U614*0.4,IF(U614*0.4-VLOOKUP(B603,INDIRECT($F$8),8+(O614-1)*3)&lt;=5,U614*0.4-VLOOKUP(B603,INDIRECT($F$8),8+(O614-1)*3),11),0))))</f>
        <v/>
      </c>
      <c r="X614" s="1" t="str">
        <f ca="1">IF(ISERROR(F603),"",IF(W614=0,"",_xlfn.TEXTJOIN("",FALSE," G+",W614," in ",A614)))</f>
        <v/>
      </c>
    </row>
    <row r="615" spans="1:24" ht="14.25" customHeight="1" x14ac:dyDescent="0.2">
      <c r="A615" s="7" t="str">
        <f ca="1">IF(ISERROR(F603),"",VLOOKUP(C603,INDIRECT($F$8),6+(O615-1)*3,0))</f>
        <v/>
      </c>
      <c r="B615" s="41" t="str">
        <f ca="1">IF(ISERROR(F603),"",VLOOKUP(D603,INDIRECT($F$8),6+(O615-1)*3-Z615,0))</f>
        <v/>
      </c>
      <c r="C615" s="41"/>
      <c r="D615" s="41"/>
      <c r="E615" s="41"/>
      <c r="F615" s="7" t="str">
        <f ca="1">IF(ISERROR(F603),"",VLOOKUP(E603,INDIRECT($F$8),6+(O615-1)*3,0))</f>
        <v/>
      </c>
      <c r="G615" s="42" t="str">
        <f ca="1">IF(ISERROR(F603),"",_xlfn.TEXTJOIN("/",FALSE,P615,S615))</f>
        <v/>
      </c>
      <c r="H615" s="42"/>
      <c r="I615" s="42" t="str">
        <f ca="1">IF(ISERROR(F603),"",_xlfn.TEXTJOIN("/",FALSE,Q615,T615))</f>
        <v/>
      </c>
      <c r="J615" s="42"/>
      <c r="K615" s="42" t="str">
        <f ca="1">IF(ISERROR(F603),"",_xlfn.TEXTJOIN("/",FALSE,R615,U615))</f>
        <v/>
      </c>
      <c r="L615" s="42"/>
      <c r="M615" s="7" t="str">
        <f ca="1">IF(ISERROR(F603),"",IF(ISTEXT(P615),IF(P615="A","Ab",IF(P615="D","Dt",IF(P615="UFM","UFM",IF(P615="NA","")))),IF(AND(ISBLANK(P615),ISBLANK(R615)),"",IF(P615&lt;0.3*S615,"F",IF(ISBLANK(R615),"",IF(ISTEXT(R615),R615,IF(R615&gt;=0.9*U615,"O",IF(R615&gt;=0.85*U615,"A+",IF(R615&gt;=0.8*U615,"A",IF(R615&gt;=0.7*U615,"B+",IF(R615&gt;=0.6*U615,"B",IF(R615&gt;=0.5*U615,"C",IF(R615&gt;=0.4*U615,"P",IF(R615&lt;0.4*U615,"F",R615))))))))))))))</f>
        <v/>
      </c>
      <c r="N615" s="8" t="str">
        <f t="shared" ca="1" si="70"/>
        <v/>
      </c>
      <c r="O615">
        <f t="shared" ca="1" si="71"/>
        <v>10</v>
      </c>
      <c r="P615" s="1" t="str">
        <f ca="1">IF(ISERROR(F603),"",IF(ISTEXT(VLOOKUP(B603,INDIRECT($F$8),6+(O615-1)*3)),(VLOOKUP(B603,INDIRECT($F$8),6+(O615-1)*3)),SUM(VLOOKUP(B603,INDIRECT($F$8),6+(O615-1)*3),IF(W616,W615,0))))</f>
        <v/>
      </c>
      <c r="Q615" s="1" t="str">
        <f ca="1">IF(ISERROR(F603),"",VLOOKUP(B603,INDIRECT($F$8),7+(O615-1)*3))</f>
        <v/>
      </c>
      <c r="R615" s="1" t="str">
        <f ca="1">IF(ISERROR(F603),"",SUM(P615:Q615))</f>
        <v/>
      </c>
      <c r="S615" s="1" t="str">
        <f ca="1">IF(ISERROR(F603),"",VLOOKUP(A603,INDIRECT($F$8),6+(O615-1)*3))</f>
        <v/>
      </c>
      <c r="T615" s="1" t="str">
        <f ca="1">IF(ISERROR(F603),"",VLOOKUP(A603,INDIRECT($F$8),7+(O615-1)*3))</f>
        <v/>
      </c>
      <c r="U615" s="1" t="str">
        <f ca="1">IF(ISERROR(F603),"",VLOOKUP(A603,INDIRECT($F$8),8+(O615-1)*3))</f>
        <v/>
      </c>
      <c r="V615" s="1" t="str">
        <f ca="1">IF(ISERROR(F603),"",IF(N615=0,A615,""))</f>
        <v/>
      </c>
      <c r="W615" s="1" t="str">
        <f ca="1">IF(ISERROR(F603),"",IF(ISTEXT(VLOOKUP(B603,INDIRECT($F$8),6+(O615-1)*3)),11,IF(VLOOKUP(B603,INDIRECT($F$8),6+(O615-1)*3)&lt;S615*0.3,IF(VLOOKUP(B603,INDIRECT($F$8),8+(O615-1)*3)&lt;U615*0.4,IF(AND(0.4*U615-VLOOKUP(B603,INDIRECT($F$8),8+(O615-1)*3)&lt;=5,0.3*S615-VLOOKUP(B603,INDIRECT($F$8),6+(O615-1)*3)&lt;=5),MAX(0.4*U615-VLOOKUP(B603,INDIRECT($F$8),8+(O615-1)*3),0.3*S615-VLOOKUP(B603,INDIRECT($F$8),6+(O615-1)*3)),11),IF(0.3*S615-VLOOKUP(B603,INDIRECT($F$8),6+(O615-1)*3)&lt;=5,0.3*S615-VLOOKUP(B603,INDIRECT($F$8),6+(O615-1)*3),11)),IF(VLOOKUP(B603,INDIRECT($F$8),8+(O615-1)*3)&lt;U615*0.4,IF(U615*0.4-VLOOKUP(B603,INDIRECT($F$8),8+(O615-1)*3)&lt;=5,U615*0.4-VLOOKUP(B603,INDIRECT($F$8),8+(O615-1)*3),11),0))))</f>
        <v/>
      </c>
      <c r="X615" s="1" t="str">
        <f ca="1">IF(ISERROR(F603),"",IF(W615=0,"",_xlfn.TEXTJOIN("",FALSE," G+",W615," in ",A615)))</f>
        <v/>
      </c>
    </row>
    <row r="616" spans="1:24" ht="14.25" customHeight="1" x14ac:dyDescent="0.2">
      <c r="A616" s="43" t="str">
        <f ca="1">IF(ISERROR(F603),"",A599)</f>
        <v/>
      </c>
      <c r="B616" s="43"/>
      <c r="C616" s="43"/>
      <c r="D616" s="43"/>
      <c r="E616" s="43"/>
      <c r="F616" s="10" t="str">
        <f ca="1">IF(ISERROR(F603),"",SUM(F608:F615))</f>
        <v/>
      </c>
      <c r="G616" s="44" t="str">
        <f ca="1">IF(ISERROR(F603),"",_xlfn.TEXTJOIN("/",TRUE,SUMIF(F608:F615,"&gt;0",P608:P615),SUMIF(F608:F615,"&gt;0",S608:S615)))</f>
        <v/>
      </c>
      <c r="H616" s="44"/>
      <c r="I616" s="44" t="str">
        <f ca="1">IF(ISERROR(F603),"",_xlfn.TEXTJOIN("/",TRUE,SUMIF(F608:F615,"&gt;0",Q608:Q615),SUMIF(F608:F615,"&gt;0",T608:T615)))</f>
        <v/>
      </c>
      <c r="J616" s="44"/>
      <c r="K616" s="44" t="str">
        <f ca="1">IF(ISERROR(F603),"",_xlfn.TEXTJOIN("/",TRUE,SUMIF(F608:F615,"&gt;0",R608:R615),SUMIF(F608:F615,"&gt;0",U608:U615)))</f>
        <v/>
      </c>
      <c r="L616" s="44"/>
      <c r="M616" s="43" t="str">
        <f ca="1">IF(ISERROR(F603),"",SUMPRODUCT(N608:N615,F608:F615))</f>
        <v/>
      </c>
      <c r="N616" s="43"/>
      <c r="V616" s="1" t="str">
        <f ca="1">IF(ISERROR(F603),"",_xlfn.TEXTJOIN(", ",TRUE,V608:V615))</f>
        <v/>
      </c>
      <c r="W616" t="str">
        <f ca="1">IF(ISERROR(F603),"",IF(SUM(W608:W615)&lt;=W607,TRUE,FALSE))</f>
        <v/>
      </c>
      <c r="X616" s="1" t="str">
        <f ca="1">IF(ISERROR(F603),"",_xlfn.TEXTJOIN(",",TRUE,X608:X615))</f>
        <v/>
      </c>
    </row>
    <row r="617" spans="1:24" ht="14.25" customHeight="1" x14ac:dyDescent="0.2">
      <c r="A617" s="43" t="str">
        <f ca="1">IF(ISERROR(F603),"",A600)</f>
        <v/>
      </c>
      <c r="B617" s="45" t="str">
        <f ca="1">IF(ISERROR(F603),"",IF(V616="","PASS","CARRY OVER"))</f>
        <v/>
      </c>
      <c r="C617" s="45"/>
      <c r="D617" s="43" t="str">
        <f ca="1">IF(ISERROR(F603),"",D600)</f>
        <v/>
      </c>
      <c r="E617" s="45" t="str">
        <f ca="1">IF(ISERROR(F603),"",IF(V616="",IF(X616="","",X616),_xlfn.TEXTJOIN(" ",TRUE,"BACK IN",V616)))</f>
        <v/>
      </c>
      <c r="F617" s="45"/>
      <c r="G617" s="43" t="str">
        <f ca="1">IF(ISERROR(F603),"",G600)</f>
        <v/>
      </c>
      <c r="H617" s="46" t="str">
        <f ca="1">IF(ISERROR(F603),"",M616/F616)</f>
        <v/>
      </c>
      <c r="I617" s="43" t="str">
        <f ca="1">IF(ISERROR(F603),"",I600)</f>
        <v/>
      </c>
      <c r="J617" s="46" t="str">
        <f ca="1">IF(ISERROR(F603),"",VLOOKUP(B603,INDIRECT($F$8),12+(O615-1)*3,0))</f>
        <v/>
      </c>
      <c r="K617" s="45" t="str">
        <f ca="1">IF(ISERROR(F603),"",K600)</f>
        <v/>
      </c>
      <c r="L617" s="43" t="str">
        <f ca="1">IF(ISERROR(F603),"",SUMIF(N608:N615,"&gt;0",F608:F615))</f>
        <v/>
      </c>
      <c r="M617" s="45" t="str">
        <f ca="1">IF(ISERROR(F603),"",M600)</f>
        <v/>
      </c>
      <c r="N617" s="43" t="str">
        <f ca="1">IF(ISERROR(F603),"",VLOOKUP(B603,INDIRECT($F$8),10+(O615-1)*3,0))</f>
        <v/>
      </c>
    </row>
    <row r="618" spans="1:24" ht="14.25" customHeight="1" x14ac:dyDescent="0.2">
      <c r="A618" s="43"/>
      <c r="B618" s="45"/>
      <c r="C618" s="45"/>
      <c r="D618" s="43"/>
      <c r="E618" s="45"/>
      <c r="F618" s="45"/>
      <c r="G618" s="43"/>
      <c r="H618" s="46"/>
      <c r="I618" s="43"/>
      <c r="J618" s="46"/>
      <c r="K618" s="45"/>
      <c r="L618" s="43"/>
      <c r="M618" s="45"/>
      <c r="N618" s="43"/>
    </row>
    <row r="619" spans="1:24" ht="14.25" customHeight="1" x14ac:dyDescent="0.2">
      <c r="A619" s="43"/>
      <c r="B619" s="45"/>
      <c r="C619" s="45"/>
      <c r="D619" s="43"/>
      <c r="E619" s="45"/>
      <c r="F619" s="45"/>
      <c r="G619" s="43"/>
      <c r="H619" s="46"/>
      <c r="I619" s="43"/>
      <c r="J619" s="46"/>
      <c r="K619" s="45"/>
      <c r="L619" s="43"/>
      <c r="M619" s="45"/>
      <c r="N619" s="43"/>
    </row>
    <row r="620" spans="1:24" ht="14.25" customHeight="1" x14ac:dyDescent="0.2">
      <c r="A620" s="11" t="str">
        <f>A603</f>
        <v>MM</v>
      </c>
      <c r="B620" s="11">
        <f>B603+1</f>
        <v>37</v>
      </c>
      <c r="C620" s="11" t="str">
        <f>C603</f>
        <v>SC</v>
      </c>
      <c r="D620" s="11" t="str">
        <f>D603</f>
        <v>SN</v>
      </c>
      <c r="E620" s="11" t="str">
        <f>E603</f>
        <v>C</v>
      </c>
      <c r="F620" s="11" t="e">
        <f ca="1">VLOOKUP(B620,INDIRECT($F$8),4,0)</f>
        <v>#N/A</v>
      </c>
    </row>
    <row r="621" spans="1:24" ht="14.25" customHeight="1" x14ac:dyDescent="0.2">
      <c r="A621" s="47" t="str">
        <f ca="1">IF(ISERROR(F620),"",A604)</f>
        <v/>
      </c>
      <c r="B621" s="47" t="str">
        <f ca="1">IFERROR(VLOOKUP(B620,INDIRECT($F$8),4,0),"")</f>
        <v/>
      </c>
      <c r="C621" s="47"/>
      <c r="D621" s="47" t="str">
        <f ca="1">IF(ISERROR(F620),"",D604)</f>
        <v/>
      </c>
      <c r="E621" s="47" t="str">
        <f ca="1">IFERROR(VLOOKUP(B620,INDIRECT($F$8),5,0),"")</f>
        <v/>
      </c>
      <c r="F621" s="47"/>
      <c r="G621" s="47" t="str">
        <f ca="1">IF(ISERROR(F620),"",G604)</f>
        <v/>
      </c>
      <c r="H621" s="47"/>
      <c r="I621" s="48" t="str">
        <f ca="1">IFERROR(VLOOKUP(B620,INDIRECT($F$8),2,0),"")</f>
        <v/>
      </c>
      <c r="J621" s="48"/>
      <c r="K621" s="47" t="str">
        <f ca="1">IF(ISERROR(F620),"",K604)</f>
        <v/>
      </c>
      <c r="L621" s="47"/>
      <c r="M621" s="48" t="str">
        <f ca="1">IFERROR(VLOOKUP(B620,INDIRECT($F$8),3,0),"")</f>
        <v/>
      </c>
      <c r="N621" s="48"/>
    </row>
    <row r="622" spans="1:24" ht="14.25" customHeight="1" x14ac:dyDescent="0.2">
      <c r="A622" s="47"/>
      <c r="B622" s="47"/>
      <c r="C622" s="47"/>
      <c r="D622" s="47"/>
      <c r="E622" s="47"/>
      <c r="F622" s="47"/>
      <c r="G622" s="47"/>
      <c r="H622" s="47"/>
      <c r="I622" s="48"/>
      <c r="J622" s="48"/>
      <c r="K622" s="47"/>
      <c r="L622" s="47"/>
      <c r="M622" s="48"/>
      <c r="N622" s="48"/>
    </row>
    <row r="623" spans="1:24" ht="14.25" customHeight="1" x14ac:dyDescent="0.2">
      <c r="A623" s="45" t="str">
        <f ca="1">IF(ISERROR(F620),"",A606)</f>
        <v/>
      </c>
      <c r="B623" s="45" t="str">
        <f ca="1">IF(ISERROR(F620),"",B606)</f>
        <v/>
      </c>
      <c r="C623" s="45"/>
      <c r="D623" s="45"/>
      <c r="E623" s="45"/>
      <c r="F623" s="45" t="str">
        <f ca="1">IF(ISERROR(F620),"",F606)</f>
        <v/>
      </c>
      <c r="G623" s="45" t="str">
        <f ca="1">IF(ISERROR(F620),"",G606)</f>
        <v/>
      </c>
      <c r="H623" s="45"/>
      <c r="I623" s="45" t="str">
        <f ca="1">IF(ISERROR(F620),"",I606)</f>
        <v/>
      </c>
      <c r="J623" s="45"/>
      <c r="K623" s="45" t="str">
        <f ca="1">IF(ISERROR(F620),"",K606)</f>
        <v/>
      </c>
      <c r="L623" s="45"/>
      <c r="M623" s="45" t="str">
        <f ca="1">IF(ISERROR(F620),"",M606)</f>
        <v/>
      </c>
      <c r="N623" s="45" t="str">
        <f ca="1">IF(ISERROR(F620),"",N606)</f>
        <v/>
      </c>
    </row>
    <row r="624" spans="1:24" ht="14.25" customHeight="1" x14ac:dyDescent="0.2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W624">
        <f ca="1">IF(ISNUMBER(MATCH($F$8,{"I","III","V","VII"},0)),10,10-INDEX(INDIRECT(_xlfn.TEXTJOIN("",TRUE,"SEM_",$G$8,"!",ADDRESS(6,4+$I$8*3+4),":",ADDRESS(5+$H$8,4+$I$8*3+4))),MATCH(INDIRECT(_xlfn.TEXTJOIN("",TRUE,"TC_",$F$8,"!",ADDRESS(ROW(I621),COLUMN(I621)))),INDIRECT(_xlfn.TEXTJOIN("",TRUE,"SEM_",$G$8,"!",ADDRESS(6,2),":",ADDRESS(5+$H$8,2))))))</f>
        <v>10</v>
      </c>
    </row>
    <row r="625" spans="1:24" ht="14.25" customHeight="1" x14ac:dyDescent="0.2">
      <c r="A625" s="7" t="str">
        <f ca="1">IF(ISERROR(F620),"",VLOOKUP(C620,INDIRECT($F$8),6+(O625-1)*3,0))</f>
        <v/>
      </c>
      <c r="B625" s="41" t="str">
        <f ca="1">IF(ISERROR(F620),"",VLOOKUP(D620,INDIRECT($F$8),6+(O625-1)*3,0))</f>
        <v/>
      </c>
      <c r="C625" s="41"/>
      <c r="D625" s="41"/>
      <c r="E625" s="41"/>
      <c r="F625" s="7" t="str">
        <f ca="1">IF(ISERROR(F620),"",VLOOKUP(E620,INDIRECT($F$8),6+(O625-1)*3,0))</f>
        <v/>
      </c>
      <c r="G625" s="42" t="str">
        <f ca="1">IF(ISERROR(F620),"",_xlfn.TEXTJOIN("/",FALSE,P625,S625))</f>
        <v/>
      </c>
      <c r="H625" s="42"/>
      <c r="I625" s="42" t="str">
        <f ca="1">IF(ISERROR(F620),"",_xlfn.TEXTJOIN("/",FALSE,Q625,T625))</f>
        <v/>
      </c>
      <c r="J625" s="42"/>
      <c r="K625" s="42" t="str">
        <f ca="1">IF(ISERROR(F620),"",_xlfn.TEXTJOIN("/",FALSE,R625,U625))</f>
        <v/>
      </c>
      <c r="L625" s="42"/>
      <c r="M625" s="7" t="str">
        <f ca="1">IF(ISERROR(F620),"",IF(ISTEXT(P625),IF(P625="A","Ab",IF(P625="D","Dt",IF(P625="UFM","UFM",IF(P625="NA","")))),IF(AND(ISBLANK(P625),ISBLANK(R625)),"",IF(P625&lt;0.3*S625,"F",IF(ISBLANK(R625),"",IF(ISTEXT(R625),R625,IF(R625&gt;=0.9*U625,"O",IF(R625&gt;=0.85*U625,"A+",IF(R625&gt;=0.8*U625,"A",IF(R625&gt;=0.7*U625,"B+",IF(R625&gt;=0.6*U625,"B",IF(R625&gt;=0.5*U625,"C",IF(R625&gt;=0.4*U625,"P",IF(R625&lt;0.4*U625,"F",R625))))))))))))))</f>
        <v/>
      </c>
      <c r="N625" s="8" t="str">
        <f t="shared" ref="N625:N632" ca="1" si="72">INDEX($Z$2:$Z$13,MATCH(M625,$Y$2:$Y$13,0))</f>
        <v/>
      </c>
      <c r="O625">
        <v>1</v>
      </c>
      <c r="P625" s="1" t="str">
        <f ca="1">IF(ISERROR(F620),"",IF(ISTEXT(VLOOKUP(B620,INDIRECT($F$8),6+(O625-1)*3)),(VLOOKUP(B620,INDIRECT($F$8),6+(O625-1)*3)),SUM(VLOOKUP(B620,INDIRECT($F$8),6+(O625-1)*3),IF(W633,W625,0))))</f>
        <v/>
      </c>
      <c r="Q625" s="1" t="str">
        <f ca="1">IF(ISERROR(F620),"",VLOOKUP(B620,INDIRECT($F$8),7+(O625-1)*3))</f>
        <v/>
      </c>
      <c r="R625" s="1" t="str">
        <f ca="1">IF(ISERROR(F620),"",SUM(P625:Q625))</f>
        <v/>
      </c>
      <c r="S625" s="1" t="str">
        <f ca="1">IF(ISERROR(F620),"",VLOOKUP(A620,INDIRECT($F$8),6+(O625-1)*3))</f>
        <v/>
      </c>
      <c r="T625" s="1" t="str">
        <f ca="1">IF(ISERROR(F620),"",VLOOKUP(A620,INDIRECT($F$8),7+(O625-1)*3))</f>
        <v/>
      </c>
      <c r="U625" s="1" t="str">
        <f ca="1">IF(ISERROR(F620),"",VLOOKUP(A620,INDIRECT($F$8),8+(O625-1)*3))</f>
        <v/>
      </c>
      <c r="V625" s="1" t="str">
        <f ca="1">IF(ISERROR(F620),"",IF(N625=0,A625,""))</f>
        <v/>
      </c>
      <c r="W625" s="1" t="str">
        <f ca="1">IF(ISERROR(F620),"",IF(ISTEXT(VLOOKUP(B620,INDIRECT($F$8),6+(O625-1)*3)),11,IF(VLOOKUP(B620,INDIRECT($F$8),6+(O625-1)*3)&lt;S625*0.3,IF(VLOOKUP(B620,INDIRECT($F$8),8+(O625-1)*3)&lt;U625*0.4,IF(AND(0.4*U625-VLOOKUP(B620,INDIRECT($F$8),8+(O625-1)*3)&lt;=5,0.3*S625-VLOOKUP(B620,INDIRECT($F$8),6+(O625-1)*3)&lt;=5),MAX(0.4*U625-VLOOKUP(B620,INDIRECT($F$8),8+(O625-1)*3),0.3*S625-VLOOKUP(B620,INDIRECT($F$8),6+(O625-1)*3)),11),IF(0.3*S625-VLOOKUP(B620,INDIRECT($F$8),6+(O625-1)*3)&lt;=5,0.3*S625-VLOOKUP(B620,INDIRECT($F$8),6+(O625-1)*3),11)),IF(VLOOKUP(B620,INDIRECT($F$8),8+(O625-1)*3)&lt;U625*0.4,IF(U625*0.4-VLOOKUP(B620,INDIRECT($F$8),8+(O625-1)*3)&lt;=5,U625*0.4-VLOOKUP(B620,INDIRECT($F$8),8+(O625-1)*3),11),0))))</f>
        <v/>
      </c>
      <c r="X625" s="1" t="str">
        <f ca="1">IF(ISERROR(F620),"",IF(W625=0,"",_xlfn.TEXTJOIN("",FALSE," G+",W625," in ",A625)))</f>
        <v/>
      </c>
    </row>
    <row r="626" spans="1:24" ht="14.25" customHeight="1" x14ac:dyDescent="0.2">
      <c r="A626" s="7" t="str">
        <f ca="1">IF(ISERROR(F620),"",VLOOKUP(C620,INDIRECT($F$8),6+(O626-1)*3,0))</f>
        <v/>
      </c>
      <c r="B626" s="41" t="str">
        <f ca="1">IF(ISERROR(F620),"",VLOOKUP(D620,INDIRECT($F$8),6+(O626-1)*3,0))</f>
        <v/>
      </c>
      <c r="C626" s="41"/>
      <c r="D626" s="41"/>
      <c r="E626" s="41"/>
      <c r="F626" s="7" t="str">
        <f ca="1">IF(ISERROR(F620),"",VLOOKUP(E620,INDIRECT($F$8),6+(O626-1)*3,0))</f>
        <v/>
      </c>
      <c r="G626" s="42" t="str">
        <f ca="1">IF(ISERROR(F620),"",_xlfn.TEXTJOIN("/",FALSE,P626,S626))</f>
        <v/>
      </c>
      <c r="H626" s="42"/>
      <c r="I626" s="42" t="str">
        <f ca="1">IF(ISERROR(F620),"",_xlfn.TEXTJOIN("/",FALSE,Q626,T626))</f>
        <v/>
      </c>
      <c r="J626" s="42"/>
      <c r="K626" s="42" t="str">
        <f ca="1">IF(ISERROR(F620),"",_xlfn.TEXTJOIN("/",FALSE,R626,U626))</f>
        <v/>
      </c>
      <c r="L626" s="42"/>
      <c r="M626" s="7" t="str">
        <f ca="1">IF(ISERROR(F620),"",IF(ISTEXT(P626),IF(P626="A","Ab",IF(P626="D","Dt",IF(P626="UFM","UFM",IF(P626="NA","")))),IF(AND(ISBLANK(P626),ISBLANK(R626)),"",IF(P626&lt;0.3*S626,"F",IF(ISBLANK(R626),"",IF(ISTEXT(R626),R626,IF(R626&gt;=0.9*U626,"O",IF(R626&gt;=0.85*U626,"A+",IF(R626&gt;=0.8*U626,"A",IF(R626&gt;=0.7*U626,"B+",IF(R626&gt;=0.6*U626,"B",IF(R626&gt;=0.5*U626,"C",IF(R626&gt;=0.4*U626,"P",IF(R626&lt;0.4*U626,"F",R626))))))))))))))</f>
        <v/>
      </c>
      <c r="N626" s="8" t="str">
        <f t="shared" ca="1" si="72"/>
        <v/>
      </c>
      <c r="O626">
        <f>O625+1</f>
        <v>2</v>
      </c>
      <c r="P626" s="1" t="str">
        <f ca="1">IF(ISERROR(F620),"",IF(ISTEXT(VLOOKUP(B620,INDIRECT($F$8),6+(O626-1)*3)),(VLOOKUP(B620,INDIRECT($F$8),6+(O626-1)*3)),SUM(VLOOKUP(B620,INDIRECT($F$8),6+(O626-1)*3),IF(W633,W626,0))))</f>
        <v/>
      </c>
      <c r="Q626" s="1" t="str">
        <f ca="1">IF(ISERROR(F620),"",VLOOKUP(B620,INDIRECT($F$8),7+(O626-1)*3))</f>
        <v/>
      </c>
      <c r="R626" s="1" t="str">
        <f ca="1">IF(ISERROR(F620),"",SUM(P626:Q626))</f>
        <v/>
      </c>
      <c r="S626" s="1" t="str">
        <f ca="1">IF(ISERROR(F620),"",VLOOKUP(A620,INDIRECT($F$8),6+(O626-1)*3))</f>
        <v/>
      </c>
      <c r="T626" s="1" t="str">
        <f ca="1">IF(ISERROR(F620),"",VLOOKUP(A620,INDIRECT($F$8),7+(O626-1)*3))</f>
        <v/>
      </c>
      <c r="U626" s="1" t="str">
        <f ca="1">IF(ISERROR(F620),"",VLOOKUP(A620,INDIRECT($F$8),8+(O626-1)*3))</f>
        <v/>
      </c>
      <c r="V626" s="1" t="str">
        <f ca="1">IF(ISERROR(F620),"",IF(N626=0,A626,""))</f>
        <v/>
      </c>
      <c r="W626" s="1" t="str">
        <f ca="1">IF(ISERROR(F620),"",IF(ISTEXT(VLOOKUP(B620,INDIRECT($F$8),6+(O626-1)*3)),11,IF(VLOOKUP(B620,INDIRECT($F$8),6+(O626-1)*3)&lt;S626*0.3,IF(VLOOKUP(B620,INDIRECT($F$8),8+(O626-1)*3)&lt;U626*0.4,IF(AND(0.4*U626-VLOOKUP(B620,INDIRECT($F$8),8+(O626-1)*3)&lt;=5,0.3*S626-VLOOKUP(B620,INDIRECT($F$8),6+(O626-1)*3)&lt;=5),MAX(0.4*U626-VLOOKUP(B620,INDIRECT($F$8),8+(O626-1)*3),0.3*S626-VLOOKUP(B620,INDIRECT($F$8),6+(O626-1)*3)),11),IF(0.3*S626-VLOOKUP(B620,INDIRECT($F$8),6+(O626-1)*3)&lt;=5,0.3*S626-VLOOKUP(B620,INDIRECT($F$8),6+(O626-1)*3),11)),IF(VLOOKUP(B620,INDIRECT($F$8),8+(O626-1)*3)&lt;U626*0.4,IF(U626*0.4-VLOOKUP(B620,INDIRECT($F$8),8+(O626-1)*3)&lt;=5,U626*0.4-VLOOKUP(B620,INDIRECT($F$8),8+(O626-1)*3),11),0))))</f>
        <v/>
      </c>
      <c r="X626" s="1" t="str">
        <f ca="1">IF(ISERROR(F620),"",IF(W626=0,"",_xlfn.TEXTJOIN("",FALSE," G+",W626," in ",A626)))</f>
        <v/>
      </c>
    </row>
    <row r="627" spans="1:24" ht="14.25" customHeight="1" x14ac:dyDescent="0.2">
      <c r="A627" s="7" t="str">
        <f ca="1">IF(ISERROR(F620),"",VLOOKUP(C620,INDIRECT($F$8),6+(O627-1)*3,0))</f>
        <v/>
      </c>
      <c r="B627" s="41" t="str">
        <f ca="1">IF(ISERROR(F620),"",VLOOKUP(D620,INDIRECT($F$8),6+(O627-1)*3,0))</f>
        <v/>
      </c>
      <c r="C627" s="41"/>
      <c r="D627" s="41"/>
      <c r="E627" s="41"/>
      <c r="F627" s="7" t="str">
        <f ca="1">IF(ISERROR(F620),"",VLOOKUP(E620,INDIRECT($F$8),6+(O627-1)*3,0))</f>
        <v/>
      </c>
      <c r="G627" s="42" t="str">
        <f ca="1">IF(ISERROR(F620),"",_xlfn.TEXTJOIN("/",FALSE,P627,S627))</f>
        <v/>
      </c>
      <c r="H627" s="42"/>
      <c r="I627" s="42" t="str">
        <f ca="1">IF(ISERROR(F620),"",_xlfn.TEXTJOIN("/",FALSE,Q627,T627))</f>
        <v/>
      </c>
      <c r="J627" s="42"/>
      <c r="K627" s="42" t="str">
        <f ca="1">IF(ISERROR(F620),"",_xlfn.TEXTJOIN("/",FALSE,R627,U627))</f>
        <v/>
      </c>
      <c r="L627" s="42"/>
      <c r="M627" s="7" t="str">
        <f ca="1">IF(ISERROR(F620),"",IF(ISTEXT(P627),IF(P627="A","Ab",IF(P627="D","Dt",IF(P627="UFM","UFM",IF(P627="NA","")))),IF(AND(ISBLANK(P627),ISBLANK(R627)),"",IF(P627&lt;0.3*S627,"F",IF(ISBLANK(R627),"",IF(ISTEXT(R627),R627,IF(R627&gt;=0.9*U627,"O",IF(R627&gt;=0.85*U627,"A+",IF(R627&gt;=0.8*U627,"A",IF(R627&gt;=0.7*U627,"B+",IF(R627&gt;=0.6*U627,"B",IF(R627&gt;=0.5*U627,"C",IF(R627&gt;=0.4*U627,"P",IF(R627&lt;0.4*U627,"F",R627))))))))))))))</f>
        <v/>
      </c>
      <c r="N627" s="8" t="str">
        <f t="shared" ca="1" si="72"/>
        <v/>
      </c>
      <c r="O627" t="b" cm="1">
        <f t="array" aca="1" ref="O627" ca="1">IF(NOT(ISBLANK(INDIRECT("SEM_III!L"&amp;INT((ROW(O627)-15)/17)+6))),3,IF(NOT(ISBLANK(INDIRECT("SEM_III!O"&amp;INT((ROW(O627)-15)/17)+6))),4))</f>
        <v>0</v>
      </c>
      <c r="P627" s="1" t="str">
        <f ca="1">IF(ISERROR(F620),"",IF(ISTEXT(VLOOKUP(B620,INDIRECT($F$8),6+(O627-1)*3)),(VLOOKUP(B620,INDIRECT($F$8),6+(O627-1)*3)),SUM(VLOOKUP(B620,INDIRECT($F$8),6+(O627-1)*3),IF(W633,W627,0))))</f>
        <v/>
      </c>
      <c r="Q627" s="1" t="str">
        <f ca="1">IF(ISERROR(F620),"",VLOOKUP(B620,INDIRECT($F$8),7+(O627-1)*3))</f>
        <v/>
      </c>
      <c r="R627" s="1" t="str">
        <f ca="1">IF(ISERROR(F620),"",SUM(P627:Q627))</f>
        <v/>
      </c>
      <c r="S627" s="1" t="str">
        <f ca="1">IF(ISERROR(F620),"",VLOOKUP(A620,INDIRECT($F$8),6+(O627-1)*3))</f>
        <v/>
      </c>
      <c r="T627" s="1" t="str">
        <f ca="1">IF(ISERROR(F620),"",VLOOKUP(A620,INDIRECT($F$8),7+(O627-1)*3))</f>
        <v/>
      </c>
      <c r="U627" s="1" t="str">
        <f ca="1">IF(ISERROR(F620),"",VLOOKUP(A620,INDIRECT($F$8),8+(O627-1)*3))</f>
        <v/>
      </c>
      <c r="V627" s="1" t="str">
        <f ca="1">IF(ISERROR(F620),"",IF(N627=0,A627,""))</f>
        <v/>
      </c>
      <c r="W627" s="1" t="str">
        <f ca="1">IF(ISERROR(F620),"",IF(ISTEXT(VLOOKUP(B620,INDIRECT($F$8),6+(O627-1)*3)),11,IF(VLOOKUP(B620,INDIRECT($F$8),6+(O627-1)*3)&lt;S627*0.3,IF(VLOOKUP(B620,INDIRECT($F$8),8+(O627-1)*3)&lt;U627*0.4,IF(AND(0.4*U627-VLOOKUP(B620,INDIRECT($F$8),8+(O627-1)*3)&lt;=5,0.3*S627-VLOOKUP(B620,INDIRECT($F$8),6+(O627-1)*3)&lt;=5),MAX(0.4*U627-VLOOKUP(B620,INDIRECT($F$8),8+(O627-1)*3),0.3*S627-VLOOKUP(B620,INDIRECT($F$8),6+(O627-1)*3)),11),IF(0.3*S627-VLOOKUP(B620,INDIRECT($F$8),6+(O627-1)*3)&lt;=5,0.3*S627-VLOOKUP(B620,INDIRECT($F$8),6+(O627-1)*3),11)),IF(VLOOKUP(B620,INDIRECT($F$8),8+(O627-1)*3)&lt;U627*0.4,IF(U627*0.4-VLOOKUP(B620,INDIRECT($F$8),8+(O627-1)*3)&lt;=5,U627*0.4-VLOOKUP(B620,INDIRECT($F$8),8+(O627-1)*3),11),0))))</f>
        <v/>
      </c>
      <c r="X627" s="1" t="str">
        <f ca="1">IF(ISERROR(F620),"",IF(W627=0,"",_xlfn.TEXTJOIN("",FALSE," G+",W627," in ",A627)))</f>
        <v/>
      </c>
    </row>
    <row r="628" spans="1:24" ht="14.25" customHeight="1" x14ac:dyDescent="0.2">
      <c r="A628" s="7" t="str">
        <f ca="1">IF(ISERROR(F620),"",VLOOKUP(C620,INDIRECT($F$8),6+(O628-1)*3,0))</f>
        <v/>
      </c>
      <c r="B628" s="41" t="str">
        <f ca="1">IF(ISERROR(F620),"",VLOOKUP(D620,INDIRECT($F$8),6+(O628-1)*3,0))</f>
        <v/>
      </c>
      <c r="C628" s="41"/>
      <c r="D628" s="41"/>
      <c r="E628" s="41"/>
      <c r="F628" s="7" t="str">
        <f ca="1">IF(ISERROR(F620),"",VLOOKUP(E620,INDIRECT($F$8),6+(O628-1)*3,0))</f>
        <v/>
      </c>
      <c r="G628" s="42" t="str">
        <f ca="1">IF(ISERROR(F620),"",_xlfn.TEXTJOIN("/",FALSE,P628,S628))</f>
        <v/>
      </c>
      <c r="H628" s="42"/>
      <c r="I628" s="42" t="str">
        <f ca="1">IF(ISERROR(F620),"",_xlfn.TEXTJOIN("/",FALSE,Q628,T628))</f>
        <v/>
      </c>
      <c r="J628" s="42"/>
      <c r="K628" s="42" t="str">
        <f ca="1">IF(ISERROR(F620),"",_xlfn.TEXTJOIN("/",FALSE,R628,U628))</f>
        <v/>
      </c>
      <c r="L628" s="42"/>
      <c r="M628" s="7" t="str">
        <f ca="1">IF(ISERROR(F620),"",IF(ISTEXT(P628),IF(P628="A","Ab",IF(P628="D","Dt",IF(P628="UFM","UFM",IF(P628="NA","")))),IF(AND(ISBLANK(P628),ISBLANK(R628)),"",IF(P628&lt;0.3*S628,"F",IF(ISBLANK(R628),"",IF(ISTEXT(R628),R628,IF(R628&gt;=0.9*U628,"O",IF(R628&gt;=0.85*U628,"A+",IF(R628&gt;=0.8*U628,"A",IF(R628&gt;=0.7*U628,"B+",IF(R628&gt;=0.6*U628,"B",IF(R628&gt;=0.5*U628,"C",IF(R628&gt;=0.4*U628,"P",IF(R628&lt;0.4*U628,"F",R628))))))))))))))</f>
        <v/>
      </c>
      <c r="N628" s="8" t="str">
        <f t="shared" ca="1" si="72"/>
        <v/>
      </c>
      <c r="O628" t="b" cm="1">
        <f t="array" aca="1" ref="O628" ca="1">IF(NOT(ISBLANK(INDIRECT("SEM_III!R"&amp;INT((ROW(O628)-16)/17)+6))),5,IF(NOT(ISBLANK(INDIRECT("SEM_III!U"&amp;INT((ROW(O628)-16)/17)+6))),6))</f>
        <v>0</v>
      </c>
      <c r="P628" s="1" t="str">
        <f ca="1">IF(ISERROR(F620),"",IF(ISTEXT(VLOOKUP(B620,INDIRECT($F$8),6+(O628-1)*3)),(VLOOKUP(B620,INDIRECT($F$8),6+(O628-1)*3)),SUM(VLOOKUP(B620,INDIRECT($F$8),6+(O628-1)*3),IF(W633,W628,0))))</f>
        <v/>
      </c>
      <c r="Q628" s="1" t="str">
        <f ca="1">IF(ISERROR(F620),"",VLOOKUP(B620,INDIRECT($F$8),7+(O628-1)*3))</f>
        <v/>
      </c>
      <c r="R628" s="1" t="str">
        <f ca="1">IF(ISERROR(F620),"",SUM(P628:Q628))</f>
        <v/>
      </c>
      <c r="S628" s="1" t="str">
        <f ca="1">IF(ISERROR(F620),"",VLOOKUP(A620,INDIRECT($F$8),6+(O628-1)*3))</f>
        <v/>
      </c>
      <c r="T628" s="1" t="str">
        <f ca="1">IF(ISERROR(F620),"",VLOOKUP(A620,INDIRECT($F$8),7+(O628-1)*3))</f>
        <v/>
      </c>
      <c r="U628" s="1" t="str">
        <f ca="1">IF(ISERROR(F620),"",VLOOKUP(A620,INDIRECT($F$8),8+(O628-1)*3))</f>
        <v/>
      </c>
      <c r="V628" s="1" t="str">
        <f ca="1">IF(ISERROR(F620),"",IF(N628=0,A628,""))</f>
        <v/>
      </c>
      <c r="W628" s="1" t="str">
        <f ca="1">IF(ISERROR(F620),"",IF(ISTEXT(VLOOKUP(B620,INDIRECT($F$8),6+(O628-1)*3)),11,IF(VLOOKUP(B620,INDIRECT($F$8),6+(O628-1)*3)&lt;S628*0.3,IF(VLOOKUP(B620,INDIRECT($F$8),8+(O628-1)*3)&lt;U628*0.4,IF(AND(0.4*U628-VLOOKUP(B620,INDIRECT($F$8),8+(O628-1)*3)&lt;=5,0.3*S628-VLOOKUP(B620,INDIRECT($F$8),6+(O628-1)*3)&lt;=5),MAX(0.4*U628-VLOOKUP(B620,INDIRECT($F$8),8+(O628-1)*3),0.3*S628-VLOOKUP(B620,INDIRECT($F$8),6+(O628-1)*3)),11),IF(0.3*S628-VLOOKUP(B620,INDIRECT($F$8),6+(O628-1)*3)&lt;=5,0.3*S628-VLOOKUP(B620,INDIRECT($F$8),6+(O628-1)*3),11)),IF(VLOOKUP(B620,INDIRECT($F$8),8+(O628-1)*3)&lt;U628*0.4,IF(U628*0.4-VLOOKUP(B620,INDIRECT($F$8),8+(O628-1)*3)&lt;=5,U628*0.4-VLOOKUP(B620,INDIRECT($F$8),8+(O628-1)*3),11),0))))</f>
        <v/>
      </c>
      <c r="X628" s="1" t="str">
        <f ca="1">IF(ISERROR(F620),"",IF(W628=0,"",_xlfn.TEXTJOIN("",FALSE," G+",W628," in ",A628)))</f>
        <v/>
      </c>
    </row>
    <row r="629" spans="1:24" ht="14.25" customHeight="1" x14ac:dyDescent="0.2">
      <c r="A629" s="7" t="str">
        <f ca="1">IF(ISERROR(F620),"",VLOOKUP(C620,INDIRECT($F$8),6+(O629-1)*3,0))</f>
        <v/>
      </c>
      <c r="B629" s="41" t="str">
        <f ca="1">IF(ISERROR(F620),"",VLOOKUP(D620,INDIRECT($F$8),6+(O629-1)*3,0))</f>
        <v/>
      </c>
      <c r="C629" s="41"/>
      <c r="D629" s="41"/>
      <c r="E629" s="41"/>
      <c r="F629" s="7" t="str">
        <f ca="1">IF(ISERROR(F620),"",VLOOKUP(E620,INDIRECT($F$8),6+(O629-1)*3,0))</f>
        <v/>
      </c>
      <c r="G629" s="42" t="str">
        <f ca="1">IF(ISERROR(F620),"",_xlfn.TEXTJOIN("/",FALSE,P629,S629))</f>
        <v/>
      </c>
      <c r="H629" s="42"/>
      <c r="I629" s="42" t="str">
        <f ca="1">IF(ISERROR(F620),"",_xlfn.TEXTJOIN("/",FALSE,Q629,T629))</f>
        <v/>
      </c>
      <c r="J629" s="42"/>
      <c r="K629" s="42" t="str">
        <f ca="1">IF(ISERROR(F620),"",_xlfn.TEXTJOIN("/",FALSE,R629,U629))</f>
        <v/>
      </c>
      <c r="L629" s="42"/>
      <c r="M629" s="7" t="str">
        <f ca="1">IF(ISERROR(F620),"",IF(ISTEXT(P629),IF(P629="A","Ab",IF(P629="D","Dt",IF(P629="UFM","UFM",IF(P629="NA","")))),IF(AND(ISBLANK(P629),ISBLANK(R629)),"",IF(P629&lt;0.3*S629,"F",IF(ISBLANK(R629),"",IF(ISTEXT(R629),R629,IF(R629&gt;=0.9*U629,"O",IF(R629&gt;=0.85*U629,"A+",IF(R629&gt;=0.8*U629,"A",IF(R629&gt;=0.7*U629,"B+",IF(R629&gt;=0.6*U629,"B",IF(R629&gt;=0.5*U629,"C",IF(R629&gt;=0.4*U629,"P",IF(R629&lt;0.4*U629,"F",R629))))))))))))))</f>
        <v/>
      </c>
      <c r="N629" s="8" t="str">
        <f t="shared" ca="1" si="72"/>
        <v/>
      </c>
      <c r="O629">
        <f ca="1">IF(O628&gt;0,7,"")</f>
        <v>7</v>
      </c>
      <c r="P629" s="1" t="str">
        <f ca="1">IF(ISERROR(F620),"",IF(ISTEXT(VLOOKUP(B620,INDIRECT($F$8),6+(O629-1)*3)),(VLOOKUP(B620,INDIRECT($F$8),6+(O629-1)*3)),SUM(VLOOKUP(B620,INDIRECT($F$8),6+(O629-1)*3),IF(W633,W629,0))))</f>
        <v/>
      </c>
      <c r="Q629" s="1" t="str">
        <f ca="1">IF(ISERROR(F620),"",VLOOKUP(B620,INDIRECT($F$8),7+(O629-1)*3))</f>
        <v/>
      </c>
      <c r="R629" s="1" t="str">
        <f ca="1">IF(ISERROR(F620),"",SUM(P629:Q629))</f>
        <v/>
      </c>
      <c r="S629" s="1" t="str">
        <f ca="1">IF(ISERROR(F620),"",VLOOKUP(A620,INDIRECT($F$8),6+(O629-1)*3))</f>
        <v/>
      </c>
      <c r="T629" s="1" t="str">
        <f ca="1">IF(ISERROR(F620),"",VLOOKUP(A620,INDIRECT($F$8),7+(O629-1)*3))</f>
        <v/>
      </c>
      <c r="U629" s="1" t="str">
        <f ca="1">IF(ISERROR(F620),"",VLOOKUP(A620,INDIRECT($F$8),8+(O629-1)*3))</f>
        <v/>
      </c>
      <c r="V629" s="1" t="str">
        <f ca="1">IF(ISERROR(F620),"",IF(N629=0,A629,""))</f>
        <v/>
      </c>
      <c r="W629" s="1" t="str">
        <f ca="1">IF(ISERROR(F620),"",IF(ISTEXT(VLOOKUP(B620,INDIRECT($F$8),6+(O629-1)*3)),11,IF(VLOOKUP(B620,INDIRECT($F$8),6+(O629-1)*3)&lt;S629*0.3,IF(VLOOKUP(B620,INDIRECT($F$8),8+(O629-1)*3)&lt;U629*0.4,IF(AND(0.4*U629-VLOOKUP(B620,INDIRECT($F$8),8+(O629-1)*3)&lt;=5,0.3*S629-VLOOKUP(B620,INDIRECT($F$8),6+(O629-1)*3)&lt;=5),MAX(0.4*U629-VLOOKUP(B620,INDIRECT($F$8),8+(O629-1)*3),0.3*S629-VLOOKUP(B620,INDIRECT($F$8),6+(O629-1)*3)),11),IF(0.3*S629-VLOOKUP(B620,INDIRECT($F$8),6+(O629-1)*3)&lt;=5,0.3*S629-VLOOKUP(B620,INDIRECT($F$8),6+(O629-1)*3),11)),IF(VLOOKUP(B620,INDIRECT($F$8),8+(O629-1)*3)&lt;U629*0.4,IF(U629*0.4-VLOOKUP(B620,INDIRECT($F$8),8+(O629-1)*3)&lt;=5,U629*0.4-VLOOKUP(B620,INDIRECT($F$8),8+(O629-1)*3),11),0))))</f>
        <v/>
      </c>
      <c r="X629" s="1" t="str">
        <f ca="1">IF(ISERROR(F620),"",IF(W629=0,"",_xlfn.TEXTJOIN("",FALSE," G+",W629," in ",A629)))</f>
        <v/>
      </c>
    </row>
    <row r="630" spans="1:24" ht="14.25" customHeight="1" x14ac:dyDescent="0.2">
      <c r="A630" s="7" t="str">
        <f ca="1">IF(ISERROR(F620),"",VLOOKUP(C620,INDIRECT($F$8),6+(O630-1)*3,0))</f>
        <v/>
      </c>
      <c r="B630" s="41" t="str">
        <f ca="1">IF(ISERROR(F620),"",VLOOKUP(D620,INDIRECT($F$8),6+(O630-1)*3,0))</f>
        <v/>
      </c>
      <c r="C630" s="41"/>
      <c r="D630" s="41"/>
      <c r="E630" s="41"/>
      <c r="F630" s="7" t="str">
        <f ca="1">IF(ISERROR(F620),"",VLOOKUP(E620,INDIRECT($F$8),6+(O630-1)*3,0))</f>
        <v/>
      </c>
      <c r="G630" s="42" t="str">
        <f ca="1">IF(ISERROR(F620),"",_xlfn.TEXTJOIN("/",FALSE,P630,S630))</f>
        <v/>
      </c>
      <c r="H630" s="42"/>
      <c r="I630" s="42" t="str">
        <f ca="1">IF(ISERROR(F620),"",_xlfn.TEXTJOIN("/",FALSE,Q630,T630))</f>
        <v/>
      </c>
      <c r="J630" s="42"/>
      <c r="K630" s="42" t="str">
        <f ca="1">IF(ISERROR(F620),"",_xlfn.TEXTJOIN("/",FALSE,R630,U630))</f>
        <v/>
      </c>
      <c r="L630" s="42"/>
      <c r="M630" s="7" t="str">
        <f ca="1">IF(ISERROR(F620),"",IF(ISTEXT(P630),IF(P630="A","Ab",IF(P630="D","Dt",IF(P630="UFM","UFM",IF(P630="NA","")))),IF(AND(ISBLANK(P630),ISBLANK(R630)),"",IF(P630&lt;0.3*S630,"F",IF(ISBLANK(R630),"",IF(ISTEXT(R630),R630,IF(R630&gt;=0.9*U630,"O",IF(R630&gt;=0.85*U630,"A+",IF(R630&gt;=0.8*U630,"A",IF(R630&gt;=0.7*U630,"B+",IF(R630&gt;=0.6*U630,"B",IF(R630&gt;=0.5*U630,"C",IF(R630&gt;=0.4*U630,"P",IF(R630&lt;0.4*U630,"F",R630))))))))))))))</f>
        <v/>
      </c>
      <c r="N630" s="8" t="str">
        <f t="shared" ca="1" si="72"/>
        <v/>
      </c>
      <c r="O630">
        <f t="shared" ref="O630:O632" ca="1" si="73">O629+1</f>
        <v>8</v>
      </c>
      <c r="P630" s="1" t="str">
        <f ca="1">IF(ISERROR(F620),"",IF(ISTEXT(VLOOKUP(B620,INDIRECT($F$8),6+(O630-1)*3)),(VLOOKUP(B620,INDIRECT($F$8),6+(O630-1)*3)),SUM(VLOOKUP(B620,INDIRECT($F$8),6+(O630-1)*3),IF(W633,W630,0))))</f>
        <v/>
      </c>
      <c r="Q630" s="1" t="str">
        <f ca="1">IF(ISERROR(F620),"",VLOOKUP(B620,INDIRECT($F$8),7+(O630-1)*3))</f>
        <v/>
      </c>
      <c r="R630" s="1" t="str">
        <f ca="1">IF(ISERROR(F620),"",SUM(P630:Q630))</f>
        <v/>
      </c>
      <c r="S630" s="1" t="str">
        <f ca="1">IF(ISERROR(F620),"",VLOOKUP(A620,INDIRECT($F$8),6+(O630-1)*3))</f>
        <v/>
      </c>
      <c r="T630" s="1" t="str">
        <f ca="1">IF(ISERROR(F620),"",VLOOKUP(A620,INDIRECT($F$8),7+(O630-1)*3))</f>
        <v/>
      </c>
      <c r="U630" s="1" t="str">
        <f ca="1">IF(ISERROR(F620),"",VLOOKUP(A620,INDIRECT($F$8),8+(O630-1)*3))</f>
        <v/>
      </c>
      <c r="V630" s="1" t="str">
        <f ca="1">IF(ISERROR(F620),"",IF(N630=0,A630,""))</f>
        <v/>
      </c>
      <c r="W630" s="1" t="str">
        <f ca="1">IF(ISERROR(F620),"",IF(ISTEXT(VLOOKUP(B620,INDIRECT($F$8),6+(O630-1)*3)),11,IF(VLOOKUP(B620,INDIRECT($F$8),6+(O630-1)*3)&lt;S630*0.3,IF(VLOOKUP(B620,INDIRECT($F$8),8+(O630-1)*3)&lt;U630*0.4,IF(AND(0.4*U630-VLOOKUP(B620,INDIRECT($F$8),8+(O630-1)*3)&lt;=5,0.3*S630-VLOOKUP(B620,INDIRECT($F$8),6+(O630-1)*3)&lt;=5),MAX(0.4*U630-VLOOKUP(B620,INDIRECT($F$8),8+(O630-1)*3),0.3*S630-VLOOKUP(B620,INDIRECT($F$8),6+(O630-1)*3)),11),IF(0.3*S630-VLOOKUP(B620,INDIRECT($F$8),6+(O630-1)*3)&lt;=5,0.3*S630-VLOOKUP(B620,INDIRECT($F$8),6+(O630-1)*3),11)),IF(VLOOKUP(B620,INDIRECT($F$8),8+(O630-1)*3)&lt;U630*0.4,IF(U630*0.4-VLOOKUP(B620,INDIRECT($F$8),8+(O630-1)*3)&lt;=5,U630*0.4-VLOOKUP(B620,INDIRECT($F$8),8+(O630-1)*3),11),0))))</f>
        <v/>
      </c>
      <c r="X630" s="1" t="str">
        <f ca="1">IF(ISERROR(F620),"",IF(W630=0,"",_xlfn.TEXTJOIN("",FALSE," G+",W630," in ",A630)))</f>
        <v/>
      </c>
    </row>
    <row r="631" spans="1:24" ht="14.25" customHeight="1" x14ac:dyDescent="0.2">
      <c r="A631" s="7" t="str">
        <f ca="1">IF(ISERROR(F620),"",VLOOKUP(C620,INDIRECT($F$8),6+(O631-1)*3,0))</f>
        <v/>
      </c>
      <c r="B631" s="41" t="str">
        <f ca="1">IF(ISERROR(F620),"",VLOOKUP(D620,INDIRECT($F$8),6+(O631-1)*3,0))</f>
        <v/>
      </c>
      <c r="C631" s="41"/>
      <c r="D631" s="41"/>
      <c r="E631" s="41"/>
      <c r="F631" s="7" t="str">
        <f ca="1">IF(ISERROR(F620),"",VLOOKUP(E620,INDIRECT($F$8),6+(O631-1)*3,0))</f>
        <v/>
      </c>
      <c r="G631" s="42" t="str">
        <f ca="1">IF(ISERROR(F620),"",_xlfn.TEXTJOIN("/",FALSE,P631,S631))</f>
        <v/>
      </c>
      <c r="H631" s="42"/>
      <c r="I631" s="42" t="str">
        <f ca="1">IF(ISERROR(F620),"",_xlfn.TEXTJOIN("/",FALSE,Q631,T631))</f>
        <v/>
      </c>
      <c r="J631" s="42"/>
      <c r="K631" s="42" t="str">
        <f ca="1">IF(ISERROR(F620),"",_xlfn.TEXTJOIN("/",FALSE,R631,U631))</f>
        <v/>
      </c>
      <c r="L631" s="42"/>
      <c r="M631" s="7" t="str">
        <f ca="1">IF(ISERROR(F620),"",IF(ISTEXT(P631),IF(P631="A","Ab",IF(P631="D","Dt",IF(P631="UFM","UFM",IF(P631="NA","")))),IF(AND(ISBLANK(P631),ISBLANK(R631)),"",IF(P631&lt;0.3*S631,"F",IF(ISBLANK(R631),"",IF(ISTEXT(R631),R631,IF(R631&gt;=0.9*U631,"O",IF(R631&gt;=0.85*U631,"A+",IF(R631&gt;=0.8*U631,"A",IF(R631&gt;=0.7*U631,"B+",IF(R631&gt;=0.6*U631,"B",IF(R631&gt;=0.5*U631,"C",IF(R631&gt;=0.4*U631,"P",IF(R631&lt;0.4*U631,"F",R631))))))))))))))</f>
        <v/>
      </c>
      <c r="N631" s="8" t="str">
        <f t="shared" ca="1" si="72"/>
        <v/>
      </c>
      <c r="O631">
        <f t="shared" ca="1" si="73"/>
        <v>9</v>
      </c>
      <c r="P631" s="1" t="str">
        <f ca="1">IF(ISERROR(F620),"",IF(ISTEXT(VLOOKUP(B620,INDIRECT($F$8),6+(O631-1)*3)),(VLOOKUP(B620,INDIRECT($F$8),6+(O631-1)*3)),SUM(VLOOKUP(B620,INDIRECT($F$8),6+(O631-1)*3),IF(W633,W631,0))))</f>
        <v/>
      </c>
      <c r="Q631" s="1" t="str">
        <f ca="1">IF(ISERROR(F620),"",VLOOKUP(B620,INDIRECT($F$8),7+(O631-1)*3))</f>
        <v/>
      </c>
      <c r="R631" s="1" t="str">
        <f ca="1">IF(ISERROR(F620),"",SUM(P631:Q631))</f>
        <v/>
      </c>
      <c r="S631" s="1" t="str">
        <f ca="1">IF(ISERROR(F620),"",VLOOKUP(A620,INDIRECT($F$8),6+(O631-1)*3))</f>
        <v/>
      </c>
      <c r="T631" s="1" t="str">
        <f ca="1">IF(ISERROR(F620),"",VLOOKUP(A620,INDIRECT($F$8),7+(O631-1)*3))</f>
        <v/>
      </c>
      <c r="U631" s="1" t="str">
        <f ca="1">IF(ISERROR(F620),"",VLOOKUP(A620,INDIRECT($F$8),8+(O631-1)*3))</f>
        <v/>
      </c>
      <c r="V631" s="1" t="str">
        <f ca="1">IF(ISERROR(F620),"",IF(N631=0,A631,""))</f>
        <v/>
      </c>
      <c r="W631" s="1" t="str">
        <f ca="1">IF(ISERROR(F620),"",IF(ISTEXT(VLOOKUP(B620,INDIRECT($F$8),6+(O631-1)*3)),11,IF(VLOOKUP(B620,INDIRECT($F$8),6+(O631-1)*3)&lt;S631*0.3,IF(VLOOKUP(B620,INDIRECT($F$8),8+(O631-1)*3)&lt;U631*0.4,IF(AND(0.4*U631-VLOOKUP(B620,INDIRECT($F$8),8+(O631-1)*3)&lt;=5,0.3*S631-VLOOKUP(B620,INDIRECT($F$8),6+(O631-1)*3)&lt;=5),MAX(0.4*U631-VLOOKUP(B620,INDIRECT($F$8),8+(O631-1)*3),0.3*S631-VLOOKUP(B620,INDIRECT($F$8),6+(O631-1)*3)),11),IF(0.3*S631-VLOOKUP(B620,INDIRECT($F$8),6+(O631-1)*3)&lt;=5,0.3*S631-VLOOKUP(B620,INDIRECT($F$8),6+(O631-1)*3),11)),IF(VLOOKUP(B620,INDIRECT($F$8),8+(O631-1)*3)&lt;U631*0.4,IF(U631*0.4-VLOOKUP(B620,INDIRECT($F$8),8+(O631-1)*3)&lt;=5,U631*0.4-VLOOKUP(B620,INDIRECT($F$8),8+(O631-1)*3),11),0))))</f>
        <v/>
      </c>
      <c r="X631" s="1" t="str">
        <f ca="1">IF(ISERROR(F620),"",IF(W631=0,"",_xlfn.TEXTJOIN("",FALSE," G+",W631," in ",A631)))</f>
        <v/>
      </c>
    </row>
    <row r="632" spans="1:24" ht="14.25" customHeight="1" x14ac:dyDescent="0.2">
      <c r="A632" s="7" t="str">
        <f ca="1">IF(ISERROR(F620),"",VLOOKUP(C620,INDIRECT($F$8),6+(O632-1)*3,0))</f>
        <v/>
      </c>
      <c r="B632" s="41" t="str">
        <f ca="1">IF(ISERROR(F620),"",VLOOKUP(D620,INDIRECT($F$8),6+(O632-1)*3-Z632,0))</f>
        <v/>
      </c>
      <c r="C632" s="41"/>
      <c r="D632" s="41"/>
      <c r="E632" s="41"/>
      <c r="F632" s="7" t="str">
        <f ca="1">IF(ISERROR(F620),"",VLOOKUP(E620,INDIRECT($F$8),6+(O632-1)*3,0))</f>
        <v/>
      </c>
      <c r="G632" s="42" t="str">
        <f ca="1">IF(ISERROR(F620),"",_xlfn.TEXTJOIN("/",FALSE,P632,S632))</f>
        <v/>
      </c>
      <c r="H632" s="42"/>
      <c r="I632" s="42" t="str">
        <f ca="1">IF(ISERROR(F620),"",_xlfn.TEXTJOIN("/",FALSE,Q632,T632))</f>
        <v/>
      </c>
      <c r="J632" s="42"/>
      <c r="K632" s="42" t="str">
        <f ca="1">IF(ISERROR(F620),"",_xlfn.TEXTJOIN("/",FALSE,R632,U632))</f>
        <v/>
      </c>
      <c r="L632" s="42"/>
      <c r="M632" s="7" t="str">
        <f ca="1">IF(ISERROR(F620),"",IF(ISTEXT(P632),IF(P632="A","Ab",IF(P632="D","Dt",IF(P632="UFM","UFM",IF(P632="NA","")))),IF(AND(ISBLANK(P632),ISBLANK(R632)),"",IF(P632&lt;0.3*S632,"F",IF(ISBLANK(R632),"",IF(ISTEXT(R632),R632,IF(R632&gt;=0.9*U632,"O",IF(R632&gt;=0.85*U632,"A+",IF(R632&gt;=0.8*U632,"A",IF(R632&gt;=0.7*U632,"B+",IF(R632&gt;=0.6*U632,"B",IF(R632&gt;=0.5*U632,"C",IF(R632&gt;=0.4*U632,"P",IF(R632&lt;0.4*U632,"F",R632))))))))))))))</f>
        <v/>
      </c>
      <c r="N632" s="8" t="str">
        <f t="shared" ca="1" si="72"/>
        <v/>
      </c>
      <c r="O632">
        <f t="shared" ca="1" si="73"/>
        <v>10</v>
      </c>
      <c r="P632" s="1" t="str">
        <f ca="1">IF(ISERROR(F620),"",IF(ISTEXT(VLOOKUP(B620,INDIRECT($F$8),6+(O632-1)*3)),(VLOOKUP(B620,INDIRECT($F$8),6+(O632-1)*3)),SUM(VLOOKUP(B620,INDIRECT($F$8),6+(O632-1)*3),IF(W633,W632,0))))</f>
        <v/>
      </c>
      <c r="Q632" s="1" t="str">
        <f ca="1">IF(ISERROR(F620),"",VLOOKUP(B620,INDIRECT($F$8),7+(O632-1)*3))</f>
        <v/>
      </c>
      <c r="R632" s="1" t="str">
        <f ca="1">IF(ISERROR(F620),"",SUM(P632:Q632))</f>
        <v/>
      </c>
      <c r="S632" s="1" t="str">
        <f ca="1">IF(ISERROR(F620),"",VLOOKUP(A620,INDIRECT($F$8),6+(O632-1)*3))</f>
        <v/>
      </c>
      <c r="T632" s="1" t="str">
        <f ca="1">IF(ISERROR(F620),"",VLOOKUP(A620,INDIRECT($F$8),7+(O632-1)*3))</f>
        <v/>
      </c>
      <c r="U632" s="1" t="str">
        <f ca="1">IF(ISERROR(F620),"",VLOOKUP(A620,INDIRECT($F$8),8+(O632-1)*3))</f>
        <v/>
      </c>
      <c r="V632" s="1" t="str">
        <f ca="1">IF(ISERROR(F620),"",IF(N632=0,A632,""))</f>
        <v/>
      </c>
      <c r="W632" s="1" t="str">
        <f ca="1">IF(ISERROR(F620),"",IF(ISTEXT(VLOOKUP(B620,INDIRECT($F$8),6+(O632-1)*3)),11,IF(VLOOKUP(B620,INDIRECT($F$8),6+(O632-1)*3)&lt;S632*0.3,IF(VLOOKUP(B620,INDIRECT($F$8),8+(O632-1)*3)&lt;U632*0.4,IF(AND(0.4*U632-VLOOKUP(B620,INDIRECT($F$8),8+(O632-1)*3)&lt;=5,0.3*S632-VLOOKUP(B620,INDIRECT($F$8),6+(O632-1)*3)&lt;=5),MAX(0.4*U632-VLOOKUP(B620,INDIRECT($F$8),8+(O632-1)*3),0.3*S632-VLOOKUP(B620,INDIRECT($F$8),6+(O632-1)*3)),11),IF(0.3*S632-VLOOKUP(B620,INDIRECT($F$8),6+(O632-1)*3)&lt;=5,0.3*S632-VLOOKUP(B620,INDIRECT($F$8),6+(O632-1)*3),11)),IF(VLOOKUP(B620,INDIRECT($F$8),8+(O632-1)*3)&lt;U632*0.4,IF(U632*0.4-VLOOKUP(B620,INDIRECT($F$8),8+(O632-1)*3)&lt;=5,U632*0.4-VLOOKUP(B620,INDIRECT($F$8),8+(O632-1)*3),11),0))))</f>
        <v/>
      </c>
      <c r="X632" s="1" t="str">
        <f ca="1">IF(ISERROR(F620),"",IF(W632=0,"",_xlfn.TEXTJOIN("",FALSE," G+",W632," in ",A632)))</f>
        <v/>
      </c>
    </row>
    <row r="633" spans="1:24" ht="14.25" customHeight="1" x14ac:dyDescent="0.2">
      <c r="A633" s="43" t="str">
        <f ca="1">IF(ISERROR(F620),"",A616)</f>
        <v/>
      </c>
      <c r="B633" s="43"/>
      <c r="C633" s="43"/>
      <c r="D633" s="43"/>
      <c r="E633" s="43"/>
      <c r="F633" s="10" t="str">
        <f ca="1">IF(ISERROR(F620),"",SUM(F625:F632))</f>
        <v/>
      </c>
      <c r="G633" s="44" t="str">
        <f ca="1">IF(ISERROR(F620),"",_xlfn.TEXTJOIN("/",TRUE,SUMIF(F625:F632,"&gt;0",P625:P632),SUMIF(F625:F632,"&gt;0",S625:S632)))</f>
        <v/>
      </c>
      <c r="H633" s="44"/>
      <c r="I633" s="44" t="str">
        <f ca="1">IF(ISERROR(F620),"",_xlfn.TEXTJOIN("/",TRUE,SUMIF(F625:F632,"&gt;0",Q625:Q632),SUMIF(F625:F632,"&gt;0",T625:T632)))</f>
        <v/>
      </c>
      <c r="J633" s="44"/>
      <c r="K633" s="44" t="str">
        <f ca="1">IF(ISERROR(F620),"",_xlfn.TEXTJOIN("/",TRUE,SUMIF(F625:F632,"&gt;0",R625:R632),SUMIF(F625:F632,"&gt;0",U625:U632)))</f>
        <v/>
      </c>
      <c r="L633" s="44"/>
      <c r="M633" s="43" t="str">
        <f ca="1">IF(ISERROR(F620),"",SUMPRODUCT(N625:N632,F625:F632))</f>
        <v/>
      </c>
      <c r="N633" s="43"/>
      <c r="V633" s="1" t="str">
        <f ca="1">IF(ISERROR(F620),"",_xlfn.TEXTJOIN(", ",TRUE,V625:V632))</f>
        <v/>
      </c>
      <c r="W633" t="str">
        <f ca="1">IF(ISERROR(F620),"",IF(SUM(W625:W632)&lt;=W624,TRUE,FALSE))</f>
        <v/>
      </c>
      <c r="X633" s="1" t="str">
        <f ca="1">IF(ISERROR(F620),"",_xlfn.TEXTJOIN(",",TRUE,X625:X632))</f>
        <v/>
      </c>
    </row>
    <row r="634" spans="1:24" ht="14.25" customHeight="1" x14ac:dyDescent="0.2">
      <c r="A634" s="43" t="str">
        <f ca="1">IF(ISERROR(F620),"",A617)</f>
        <v/>
      </c>
      <c r="B634" s="45" t="str">
        <f ca="1">IF(ISERROR(F620),"",IF(V633="","PASS","CARRY OVER"))</f>
        <v/>
      </c>
      <c r="C634" s="45"/>
      <c r="D634" s="43" t="str">
        <f ca="1">IF(ISERROR(F620),"",D617)</f>
        <v/>
      </c>
      <c r="E634" s="45" t="str">
        <f ca="1">IF(ISERROR(F620),"",IF(V633="",IF(X633="","",X633),_xlfn.TEXTJOIN(" ",TRUE,"BACK IN",V633)))</f>
        <v/>
      </c>
      <c r="F634" s="45"/>
      <c r="G634" s="43" t="str">
        <f ca="1">IF(ISERROR(F620),"",G617)</f>
        <v/>
      </c>
      <c r="H634" s="46" t="str">
        <f ca="1">IF(ISERROR(F620),"",M633/F633)</f>
        <v/>
      </c>
      <c r="I634" s="43" t="str">
        <f ca="1">IF(ISERROR(F620),"",I617)</f>
        <v/>
      </c>
      <c r="J634" s="46" t="str">
        <f ca="1">IF(ISERROR(F620),"",VLOOKUP(B620,INDIRECT($F$8),12+(O632-1)*3,0))</f>
        <v/>
      </c>
      <c r="K634" s="45" t="str">
        <f ca="1">IF(ISERROR(F620),"",K617)</f>
        <v/>
      </c>
      <c r="L634" s="43" t="str">
        <f ca="1">IF(ISERROR(F620),"",SUMIF(N625:N632,"&gt;0",F625:F632))</f>
        <v/>
      </c>
      <c r="M634" s="45" t="str">
        <f ca="1">IF(ISERROR(F620),"",M617)</f>
        <v/>
      </c>
      <c r="N634" s="43" t="str">
        <f ca="1">IF(ISERROR(F620),"",VLOOKUP(B620,INDIRECT($F$8),10+(O632-1)*3,0))</f>
        <v/>
      </c>
    </row>
    <row r="635" spans="1:24" ht="14.25" customHeight="1" x14ac:dyDescent="0.2">
      <c r="A635" s="43"/>
      <c r="B635" s="45"/>
      <c r="C635" s="45"/>
      <c r="D635" s="43"/>
      <c r="E635" s="45"/>
      <c r="F635" s="45"/>
      <c r="G635" s="43"/>
      <c r="H635" s="46"/>
      <c r="I635" s="43"/>
      <c r="J635" s="46"/>
      <c r="K635" s="45"/>
      <c r="L635" s="43"/>
      <c r="M635" s="45"/>
      <c r="N635" s="43"/>
    </row>
    <row r="636" spans="1:24" ht="14.25" customHeight="1" x14ac:dyDescent="0.2">
      <c r="A636" s="43"/>
      <c r="B636" s="45"/>
      <c r="C636" s="45"/>
      <c r="D636" s="43"/>
      <c r="E636" s="45"/>
      <c r="F636" s="45"/>
      <c r="G636" s="43"/>
      <c r="H636" s="46"/>
      <c r="I636" s="43"/>
      <c r="J636" s="46"/>
      <c r="K636" s="45"/>
      <c r="L636" s="43"/>
      <c r="M636" s="45"/>
      <c r="N636" s="43"/>
    </row>
    <row r="637" spans="1:24" ht="14.25" customHeight="1" x14ac:dyDescent="0.2">
      <c r="A637" s="11" t="str">
        <f>A620</f>
        <v>MM</v>
      </c>
      <c r="B637" s="11">
        <f>B620+1</f>
        <v>38</v>
      </c>
      <c r="C637" s="11" t="str">
        <f>C620</f>
        <v>SC</v>
      </c>
      <c r="D637" s="11" t="str">
        <f>D620</f>
        <v>SN</v>
      </c>
      <c r="E637" s="11" t="str">
        <f>E620</f>
        <v>C</v>
      </c>
      <c r="F637" s="11" t="e">
        <f ca="1">VLOOKUP(B637,INDIRECT($F$8),4,0)</f>
        <v>#N/A</v>
      </c>
    </row>
    <row r="638" spans="1:24" ht="14.25" customHeight="1" x14ac:dyDescent="0.2">
      <c r="A638" s="47" t="str">
        <f ca="1">IF(ISERROR(F637),"",A621)</f>
        <v/>
      </c>
      <c r="B638" s="47" t="str">
        <f ca="1">IFERROR(VLOOKUP(B637,INDIRECT($F$8),4,0),"")</f>
        <v/>
      </c>
      <c r="C638" s="47"/>
      <c r="D638" s="47" t="str">
        <f ca="1">IF(ISERROR(F637),"",D621)</f>
        <v/>
      </c>
      <c r="E638" s="47" t="str">
        <f ca="1">IFERROR(VLOOKUP(B637,INDIRECT($F$8),5,0),"")</f>
        <v/>
      </c>
      <c r="F638" s="47"/>
      <c r="G638" s="47" t="str">
        <f ca="1">IF(ISERROR(F637),"",G621)</f>
        <v/>
      </c>
      <c r="H638" s="47"/>
      <c r="I638" s="48" t="str">
        <f ca="1">IFERROR(VLOOKUP(B637,INDIRECT($F$8),2,0),"")</f>
        <v/>
      </c>
      <c r="J638" s="48"/>
      <c r="K638" s="47" t="str">
        <f ca="1">IF(ISERROR(F637),"",K621)</f>
        <v/>
      </c>
      <c r="L638" s="47"/>
      <c r="M638" s="48" t="str">
        <f ca="1">IFERROR(VLOOKUP(B637,INDIRECT($F$8),3,0),"")</f>
        <v/>
      </c>
      <c r="N638" s="48"/>
    </row>
    <row r="639" spans="1:24" ht="14.25" customHeight="1" x14ac:dyDescent="0.2">
      <c r="A639" s="47"/>
      <c r="B639" s="47"/>
      <c r="C639" s="47"/>
      <c r="D639" s="47"/>
      <c r="E639" s="47"/>
      <c r="F639" s="47"/>
      <c r="G639" s="47"/>
      <c r="H639" s="47"/>
      <c r="I639" s="48"/>
      <c r="J639" s="48"/>
      <c r="K639" s="47"/>
      <c r="L639" s="47"/>
      <c r="M639" s="48"/>
      <c r="N639" s="48"/>
    </row>
    <row r="640" spans="1:24" ht="14.25" customHeight="1" x14ac:dyDescent="0.2">
      <c r="A640" s="45" t="str">
        <f ca="1">IF(ISERROR(F637),"",A623)</f>
        <v/>
      </c>
      <c r="B640" s="45" t="str">
        <f ca="1">IF(ISERROR(F637),"",B623)</f>
        <v/>
      </c>
      <c r="C640" s="45"/>
      <c r="D640" s="45"/>
      <c r="E640" s="45"/>
      <c r="F640" s="45" t="str">
        <f ca="1">IF(ISERROR(F637),"",F623)</f>
        <v/>
      </c>
      <c r="G640" s="45" t="str">
        <f ca="1">IF(ISERROR(F637),"",G623)</f>
        <v/>
      </c>
      <c r="H640" s="45"/>
      <c r="I640" s="45" t="str">
        <f ca="1">IF(ISERROR(F637),"",I623)</f>
        <v/>
      </c>
      <c r="J640" s="45"/>
      <c r="K640" s="45" t="str">
        <f ca="1">IF(ISERROR(F637),"",K623)</f>
        <v/>
      </c>
      <c r="L640" s="45"/>
      <c r="M640" s="45" t="str">
        <f ca="1">IF(ISERROR(F637),"",M623)</f>
        <v/>
      </c>
      <c r="N640" s="45" t="str">
        <f ca="1">IF(ISERROR(F637),"",N623)</f>
        <v/>
      </c>
    </row>
    <row r="641" spans="1:24" ht="14.25" customHeight="1" x14ac:dyDescent="0.2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W641">
        <f ca="1">IF(ISNUMBER(MATCH($F$8,{"I","III","V","VII"},0)),10,10-INDEX(INDIRECT(_xlfn.TEXTJOIN("",TRUE,"SEM_",$G$8,"!",ADDRESS(6,4+$I$8*3+4),":",ADDRESS(5+$H$8,4+$I$8*3+4))),MATCH(INDIRECT(_xlfn.TEXTJOIN("",TRUE,"TC_",$F$8,"!",ADDRESS(ROW(I638),COLUMN(I638)))),INDIRECT(_xlfn.TEXTJOIN("",TRUE,"SEM_",$G$8,"!",ADDRESS(6,2),":",ADDRESS(5+$H$8,2))))))</f>
        <v>10</v>
      </c>
    </row>
    <row r="642" spans="1:24" ht="14.25" customHeight="1" x14ac:dyDescent="0.2">
      <c r="A642" s="7" t="str">
        <f ca="1">IF(ISERROR(F637),"",VLOOKUP(C637,INDIRECT($F$8),6+(O642-1)*3,0))</f>
        <v/>
      </c>
      <c r="B642" s="41" t="str">
        <f ca="1">IF(ISERROR(F637),"",VLOOKUP(D637,INDIRECT($F$8),6+(O642-1)*3,0))</f>
        <v/>
      </c>
      <c r="C642" s="41"/>
      <c r="D642" s="41"/>
      <c r="E642" s="41"/>
      <c r="F642" s="7" t="str">
        <f ca="1">IF(ISERROR(F637),"",VLOOKUP(E637,INDIRECT($F$8),6+(O642-1)*3,0))</f>
        <v/>
      </c>
      <c r="G642" s="42" t="str">
        <f ca="1">IF(ISERROR(F637),"",_xlfn.TEXTJOIN("/",FALSE,P642,S642))</f>
        <v/>
      </c>
      <c r="H642" s="42"/>
      <c r="I642" s="42" t="str">
        <f ca="1">IF(ISERROR(F637),"",_xlfn.TEXTJOIN("/",FALSE,Q642,T642))</f>
        <v/>
      </c>
      <c r="J642" s="42"/>
      <c r="K642" s="42" t="str">
        <f ca="1">IF(ISERROR(F637),"",_xlfn.TEXTJOIN("/",FALSE,R642,U642))</f>
        <v/>
      </c>
      <c r="L642" s="42"/>
      <c r="M642" s="7" t="str">
        <f ca="1">IF(ISERROR(F637),"",IF(ISTEXT(P642),IF(P642="A","Ab",IF(P642="D","Dt",IF(P642="UFM","UFM",IF(P642="NA","")))),IF(AND(ISBLANK(P642),ISBLANK(R642)),"",IF(P642&lt;0.3*S642,"F",IF(ISBLANK(R642),"",IF(ISTEXT(R642),R642,IF(R642&gt;=0.9*U642,"O",IF(R642&gt;=0.85*U642,"A+",IF(R642&gt;=0.8*U642,"A",IF(R642&gt;=0.7*U642,"B+",IF(R642&gt;=0.6*U642,"B",IF(R642&gt;=0.5*U642,"C",IF(R642&gt;=0.4*U642,"P",IF(R642&lt;0.4*U642,"F",R642))))))))))))))</f>
        <v/>
      </c>
      <c r="N642" s="8" t="str">
        <f t="shared" ref="N642:N649" ca="1" si="74">INDEX($Z$2:$Z$13,MATCH(M642,$Y$2:$Y$13,0))</f>
        <v/>
      </c>
      <c r="O642">
        <v>1</v>
      </c>
      <c r="P642" s="1" t="str">
        <f ca="1">IF(ISERROR(F637),"",IF(ISTEXT(VLOOKUP(B637,INDIRECT($F$8),6+(O642-1)*3)),(VLOOKUP(B637,INDIRECT($F$8),6+(O642-1)*3)),SUM(VLOOKUP(B637,INDIRECT($F$8),6+(O642-1)*3),IF(W650,W642,0))))</f>
        <v/>
      </c>
      <c r="Q642" s="1" t="str">
        <f ca="1">IF(ISERROR(F637),"",VLOOKUP(B637,INDIRECT($F$8),7+(O642-1)*3))</f>
        <v/>
      </c>
      <c r="R642" s="1" t="str">
        <f ca="1">IF(ISERROR(F637),"",SUM(P642:Q642))</f>
        <v/>
      </c>
      <c r="S642" s="1" t="str">
        <f ca="1">IF(ISERROR(F637),"",VLOOKUP(A637,INDIRECT($F$8),6+(O642-1)*3))</f>
        <v/>
      </c>
      <c r="T642" s="1" t="str">
        <f ca="1">IF(ISERROR(F637),"",VLOOKUP(A637,INDIRECT($F$8),7+(O642-1)*3))</f>
        <v/>
      </c>
      <c r="U642" s="1" t="str">
        <f ca="1">IF(ISERROR(F637),"",VLOOKUP(A637,INDIRECT($F$8),8+(O642-1)*3))</f>
        <v/>
      </c>
      <c r="V642" s="1" t="str">
        <f ca="1">IF(ISERROR(F637),"",IF(N642=0,A642,""))</f>
        <v/>
      </c>
      <c r="W642" s="1" t="str">
        <f ca="1">IF(ISERROR(F637),"",IF(ISTEXT(VLOOKUP(B637,INDIRECT($F$8),6+(O642-1)*3)),11,IF(VLOOKUP(B637,INDIRECT($F$8),6+(O642-1)*3)&lt;S642*0.3,IF(VLOOKUP(B637,INDIRECT($F$8),8+(O642-1)*3)&lt;U642*0.4,IF(AND(0.4*U642-VLOOKUP(B637,INDIRECT($F$8),8+(O642-1)*3)&lt;=5,0.3*S642-VLOOKUP(B637,INDIRECT($F$8),6+(O642-1)*3)&lt;=5),MAX(0.4*U642-VLOOKUP(B637,INDIRECT($F$8),8+(O642-1)*3),0.3*S642-VLOOKUP(B637,INDIRECT($F$8),6+(O642-1)*3)),11),IF(0.3*S642-VLOOKUP(B637,INDIRECT($F$8),6+(O642-1)*3)&lt;=5,0.3*S642-VLOOKUP(B637,INDIRECT($F$8),6+(O642-1)*3),11)),IF(VLOOKUP(B637,INDIRECT($F$8),8+(O642-1)*3)&lt;U642*0.4,IF(U642*0.4-VLOOKUP(B637,INDIRECT($F$8),8+(O642-1)*3)&lt;=5,U642*0.4-VLOOKUP(B637,INDIRECT($F$8),8+(O642-1)*3),11),0))))</f>
        <v/>
      </c>
      <c r="X642" s="1" t="str">
        <f ca="1">IF(ISERROR(F637),"",IF(W642=0,"",_xlfn.TEXTJOIN("",FALSE," G+",W642," in ",A642)))</f>
        <v/>
      </c>
    </row>
    <row r="643" spans="1:24" ht="14.25" customHeight="1" x14ac:dyDescent="0.2">
      <c r="A643" s="7" t="str">
        <f ca="1">IF(ISERROR(F637),"",VLOOKUP(C637,INDIRECT($F$8),6+(O643-1)*3,0))</f>
        <v/>
      </c>
      <c r="B643" s="41" t="str">
        <f ca="1">IF(ISERROR(F637),"",VLOOKUP(D637,INDIRECT($F$8),6+(O643-1)*3,0))</f>
        <v/>
      </c>
      <c r="C643" s="41"/>
      <c r="D643" s="41"/>
      <c r="E643" s="41"/>
      <c r="F643" s="7" t="str">
        <f ca="1">IF(ISERROR(F637),"",VLOOKUP(E637,INDIRECT($F$8),6+(O643-1)*3,0))</f>
        <v/>
      </c>
      <c r="G643" s="42" t="str">
        <f ca="1">IF(ISERROR(F637),"",_xlfn.TEXTJOIN("/",FALSE,P643,S643))</f>
        <v/>
      </c>
      <c r="H643" s="42"/>
      <c r="I643" s="42" t="str">
        <f ca="1">IF(ISERROR(F637),"",_xlfn.TEXTJOIN("/",FALSE,Q643,T643))</f>
        <v/>
      </c>
      <c r="J643" s="42"/>
      <c r="K643" s="42" t="str">
        <f ca="1">IF(ISERROR(F637),"",_xlfn.TEXTJOIN("/",FALSE,R643,U643))</f>
        <v/>
      </c>
      <c r="L643" s="42"/>
      <c r="M643" s="7" t="str">
        <f ca="1">IF(ISERROR(F637),"",IF(ISTEXT(P643),IF(P643="A","Ab",IF(P643="D","Dt",IF(P643="UFM","UFM",IF(P643="NA","")))),IF(AND(ISBLANK(P643),ISBLANK(R643)),"",IF(P643&lt;0.3*S643,"F",IF(ISBLANK(R643),"",IF(ISTEXT(R643),R643,IF(R643&gt;=0.9*U643,"O",IF(R643&gt;=0.85*U643,"A+",IF(R643&gt;=0.8*U643,"A",IF(R643&gt;=0.7*U643,"B+",IF(R643&gt;=0.6*U643,"B",IF(R643&gt;=0.5*U643,"C",IF(R643&gt;=0.4*U643,"P",IF(R643&lt;0.4*U643,"F",R643))))))))))))))</f>
        <v/>
      </c>
      <c r="N643" s="8" t="str">
        <f t="shared" ca="1" si="74"/>
        <v/>
      </c>
      <c r="O643">
        <f>O642+1</f>
        <v>2</v>
      </c>
      <c r="P643" s="1" t="str">
        <f ca="1">IF(ISERROR(F637),"",IF(ISTEXT(VLOOKUP(B637,INDIRECT($F$8),6+(O643-1)*3)),(VLOOKUP(B637,INDIRECT($F$8),6+(O643-1)*3)),SUM(VLOOKUP(B637,INDIRECT($F$8),6+(O643-1)*3),IF(W650,W643,0))))</f>
        <v/>
      </c>
      <c r="Q643" s="1" t="str">
        <f ca="1">IF(ISERROR(F637),"",VLOOKUP(B637,INDIRECT($F$8),7+(O643-1)*3))</f>
        <v/>
      </c>
      <c r="R643" s="1" t="str">
        <f ca="1">IF(ISERROR(F637),"",SUM(P643:Q643))</f>
        <v/>
      </c>
      <c r="S643" s="1" t="str">
        <f ca="1">IF(ISERROR(F637),"",VLOOKUP(A637,INDIRECT($F$8),6+(O643-1)*3))</f>
        <v/>
      </c>
      <c r="T643" s="1" t="str">
        <f ca="1">IF(ISERROR(F637),"",VLOOKUP(A637,INDIRECT($F$8),7+(O643-1)*3))</f>
        <v/>
      </c>
      <c r="U643" s="1" t="str">
        <f ca="1">IF(ISERROR(F637),"",VLOOKUP(A637,INDIRECT($F$8),8+(O643-1)*3))</f>
        <v/>
      </c>
      <c r="V643" s="1" t="str">
        <f ca="1">IF(ISERROR(F637),"",IF(N643=0,A643,""))</f>
        <v/>
      </c>
      <c r="W643" s="1" t="str">
        <f ca="1">IF(ISERROR(F637),"",IF(ISTEXT(VLOOKUP(B637,INDIRECT($F$8),6+(O643-1)*3)),11,IF(VLOOKUP(B637,INDIRECT($F$8),6+(O643-1)*3)&lt;S643*0.3,IF(VLOOKUP(B637,INDIRECT($F$8),8+(O643-1)*3)&lt;U643*0.4,IF(AND(0.4*U643-VLOOKUP(B637,INDIRECT($F$8),8+(O643-1)*3)&lt;=5,0.3*S643-VLOOKUP(B637,INDIRECT($F$8),6+(O643-1)*3)&lt;=5),MAX(0.4*U643-VLOOKUP(B637,INDIRECT($F$8),8+(O643-1)*3),0.3*S643-VLOOKUP(B637,INDIRECT($F$8),6+(O643-1)*3)),11),IF(0.3*S643-VLOOKUP(B637,INDIRECT($F$8),6+(O643-1)*3)&lt;=5,0.3*S643-VLOOKUP(B637,INDIRECT($F$8),6+(O643-1)*3),11)),IF(VLOOKUP(B637,INDIRECT($F$8),8+(O643-1)*3)&lt;U643*0.4,IF(U643*0.4-VLOOKUP(B637,INDIRECT($F$8),8+(O643-1)*3)&lt;=5,U643*0.4-VLOOKUP(B637,INDIRECT($F$8),8+(O643-1)*3),11),0))))</f>
        <v/>
      </c>
      <c r="X643" s="1" t="str">
        <f ca="1">IF(ISERROR(F637),"",IF(W643=0,"",_xlfn.TEXTJOIN("",FALSE," G+",W643," in ",A643)))</f>
        <v/>
      </c>
    </row>
    <row r="644" spans="1:24" ht="14.25" customHeight="1" x14ac:dyDescent="0.2">
      <c r="A644" s="7" t="str">
        <f ca="1">IF(ISERROR(F637),"",VLOOKUP(C637,INDIRECT($F$8),6+(O644-1)*3,0))</f>
        <v/>
      </c>
      <c r="B644" s="41" t="str">
        <f ca="1">IF(ISERROR(F637),"",VLOOKUP(D637,INDIRECT($F$8),6+(O644-1)*3,0))</f>
        <v/>
      </c>
      <c r="C644" s="41"/>
      <c r="D644" s="41"/>
      <c r="E644" s="41"/>
      <c r="F644" s="7" t="str">
        <f ca="1">IF(ISERROR(F637),"",VLOOKUP(E637,INDIRECT($F$8),6+(O644-1)*3,0))</f>
        <v/>
      </c>
      <c r="G644" s="42" t="str">
        <f ca="1">IF(ISERROR(F637),"",_xlfn.TEXTJOIN("/",FALSE,P644,S644))</f>
        <v/>
      </c>
      <c r="H644" s="42"/>
      <c r="I644" s="42" t="str">
        <f ca="1">IF(ISERROR(F637),"",_xlfn.TEXTJOIN("/",FALSE,Q644,T644))</f>
        <v/>
      </c>
      <c r="J644" s="42"/>
      <c r="K644" s="42" t="str">
        <f ca="1">IF(ISERROR(F637),"",_xlfn.TEXTJOIN("/",FALSE,R644,U644))</f>
        <v/>
      </c>
      <c r="L644" s="42"/>
      <c r="M644" s="7" t="str">
        <f ca="1">IF(ISERROR(F637),"",IF(ISTEXT(P644),IF(P644="A","Ab",IF(P644="D","Dt",IF(P644="UFM","UFM",IF(P644="NA","")))),IF(AND(ISBLANK(P644),ISBLANK(R644)),"",IF(P644&lt;0.3*S644,"F",IF(ISBLANK(R644),"",IF(ISTEXT(R644),R644,IF(R644&gt;=0.9*U644,"O",IF(R644&gt;=0.85*U644,"A+",IF(R644&gt;=0.8*U644,"A",IF(R644&gt;=0.7*U644,"B+",IF(R644&gt;=0.6*U644,"B",IF(R644&gt;=0.5*U644,"C",IF(R644&gt;=0.4*U644,"P",IF(R644&lt;0.4*U644,"F",R644))))))))))))))</f>
        <v/>
      </c>
      <c r="N644" s="8" t="str">
        <f t="shared" ca="1" si="74"/>
        <v/>
      </c>
      <c r="O644" t="b" cm="1">
        <f t="array" aca="1" ref="O644" ca="1">IF(NOT(ISBLANK(INDIRECT("SEM_III!L"&amp;INT((ROW(O644)-15)/17)+6))),3,IF(NOT(ISBLANK(INDIRECT("SEM_III!O"&amp;INT((ROW(O644)-15)/17)+6))),4))</f>
        <v>0</v>
      </c>
      <c r="P644" s="1" t="str">
        <f ca="1">IF(ISERROR(F637),"",IF(ISTEXT(VLOOKUP(B637,INDIRECT($F$8),6+(O644-1)*3)),(VLOOKUP(B637,INDIRECT($F$8),6+(O644-1)*3)),SUM(VLOOKUP(B637,INDIRECT($F$8),6+(O644-1)*3),IF(W650,W644,0))))</f>
        <v/>
      </c>
      <c r="Q644" s="1" t="str">
        <f ca="1">IF(ISERROR(F637),"",VLOOKUP(B637,INDIRECT($F$8),7+(O644-1)*3))</f>
        <v/>
      </c>
      <c r="R644" s="1" t="str">
        <f ca="1">IF(ISERROR(F637),"",SUM(P644:Q644))</f>
        <v/>
      </c>
      <c r="S644" s="1" t="str">
        <f ca="1">IF(ISERROR(F637),"",VLOOKUP(A637,INDIRECT($F$8),6+(O644-1)*3))</f>
        <v/>
      </c>
      <c r="T644" s="1" t="str">
        <f ca="1">IF(ISERROR(F637),"",VLOOKUP(A637,INDIRECT($F$8),7+(O644-1)*3))</f>
        <v/>
      </c>
      <c r="U644" s="1" t="str">
        <f ca="1">IF(ISERROR(F637),"",VLOOKUP(A637,INDIRECT($F$8),8+(O644-1)*3))</f>
        <v/>
      </c>
      <c r="V644" s="1" t="str">
        <f ca="1">IF(ISERROR(F637),"",IF(N644=0,A644,""))</f>
        <v/>
      </c>
      <c r="W644" s="1" t="str">
        <f ca="1">IF(ISERROR(F637),"",IF(ISTEXT(VLOOKUP(B637,INDIRECT($F$8),6+(O644-1)*3)),11,IF(VLOOKUP(B637,INDIRECT($F$8),6+(O644-1)*3)&lt;S644*0.3,IF(VLOOKUP(B637,INDIRECT($F$8),8+(O644-1)*3)&lt;U644*0.4,IF(AND(0.4*U644-VLOOKUP(B637,INDIRECT($F$8),8+(O644-1)*3)&lt;=5,0.3*S644-VLOOKUP(B637,INDIRECT($F$8),6+(O644-1)*3)&lt;=5),MAX(0.4*U644-VLOOKUP(B637,INDIRECT($F$8),8+(O644-1)*3),0.3*S644-VLOOKUP(B637,INDIRECT($F$8),6+(O644-1)*3)),11),IF(0.3*S644-VLOOKUP(B637,INDIRECT($F$8),6+(O644-1)*3)&lt;=5,0.3*S644-VLOOKUP(B637,INDIRECT($F$8),6+(O644-1)*3),11)),IF(VLOOKUP(B637,INDIRECT($F$8),8+(O644-1)*3)&lt;U644*0.4,IF(U644*0.4-VLOOKUP(B637,INDIRECT($F$8),8+(O644-1)*3)&lt;=5,U644*0.4-VLOOKUP(B637,INDIRECT($F$8),8+(O644-1)*3),11),0))))</f>
        <v/>
      </c>
      <c r="X644" s="1" t="str">
        <f ca="1">IF(ISERROR(F637),"",IF(W644=0,"",_xlfn.TEXTJOIN("",FALSE," G+",W644," in ",A644)))</f>
        <v/>
      </c>
    </row>
    <row r="645" spans="1:24" ht="14.25" customHeight="1" x14ac:dyDescent="0.2">
      <c r="A645" s="7" t="str">
        <f ca="1">IF(ISERROR(F637),"",VLOOKUP(C637,INDIRECT($F$8),6+(O645-1)*3,0))</f>
        <v/>
      </c>
      <c r="B645" s="41" t="str">
        <f ca="1">IF(ISERROR(F637),"",VLOOKUP(D637,INDIRECT($F$8),6+(O645-1)*3,0))</f>
        <v/>
      </c>
      <c r="C645" s="41"/>
      <c r="D645" s="41"/>
      <c r="E645" s="41"/>
      <c r="F645" s="7" t="str">
        <f ca="1">IF(ISERROR(F637),"",VLOOKUP(E637,INDIRECT($F$8),6+(O645-1)*3,0))</f>
        <v/>
      </c>
      <c r="G645" s="42" t="str">
        <f ca="1">IF(ISERROR(F637),"",_xlfn.TEXTJOIN("/",FALSE,P645,S645))</f>
        <v/>
      </c>
      <c r="H645" s="42"/>
      <c r="I645" s="42" t="str">
        <f ca="1">IF(ISERROR(F637),"",_xlfn.TEXTJOIN("/",FALSE,Q645,T645))</f>
        <v/>
      </c>
      <c r="J645" s="42"/>
      <c r="K645" s="42" t="str">
        <f ca="1">IF(ISERROR(F637),"",_xlfn.TEXTJOIN("/",FALSE,R645,U645))</f>
        <v/>
      </c>
      <c r="L645" s="42"/>
      <c r="M645" s="7" t="str">
        <f ca="1">IF(ISERROR(F637),"",IF(ISTEXT(P645),IF(P645="A","Ab",IF(P645="D","Dt",IF(P645="UFM","UFM",IF(P645="NA","")))),IF(AND(ISBLANK(P645),ISBLANK(R645)),"",IF(P645&lt;0.3*S645,"F",IF(ISBLANK(R645),"",IF(ISTEXT(R645),R645,IF(R645&gt;=0.9*U645,"O",IF(R645&gt;=0.85*U645,"A+",IF(R645&gt;=0.8*U645,"A",IF(R645&gt;=0.7*U645,"B+",IF(R645&gt;=0.6*U645,"B",IF(R645&gt;=0.5*U645,"C",IF(R645&gt;=0.4*U645,"P",IF(R645&lt;0.4*U645,"F",R645))))))))))))))</f>
        <v/>
      </c>
      <c r="N645" s="8" t="str">
        <f t="shared" ca="1" si="74"/>
        <v/>
      </c>
      <c r="O645" t="b" cm="1">
        <f t="array" aca="1" ref="O645" ca="1">IF(NOT(ISBLANK(INDIRECT("SEM_III!R"&amp;INT((ROW(O645)-16)/17)+6))),5,IF(NOT(ISBLANK(INDIRECT("SEM_III!U"&amp;INT((ROW(O645)-16)/17)+6))),6))</f>
        <v>0</v>
      </c>
      <c r="P645" s="1" t="str">
        <f ca="1">IF(ISERROR(F637),"",IF(ISTEXT(VLOOKUP(B637,INDIRECT($F$8),6+(O645-1)*3)),(VLOOKUP(B637,INDIRECT($F$8),6+(O645-1)*3)),SUM(VLOOKUP(B637,INDIRECT($F$8),6+(O645-1)*3),IF(W650,W645,0))))</f>
        <v/>
      </c>
      <c r="Q645" s="1" t="str">
        <f ca="1">IF(ISERROR(F637),"",VLOOKUP(B637,INDIRECT($F$8),7+(O645-1)*3))</f>
        <v/>
      </c>
      <c r="R645" s="1" t="str">
        <f ca="1">IF(ISERROR(F637),"",SUM(P645:Q645))</f>
        <v/>
      </c>
      <c r="S645" s="1" t="str">
        <f ca="1">IF(ISERROR(F637),"",VLOOKUP(A637,INDIRECT($F$8),6+(O645-1)*3))</f>
        <v/>
      </c>
      <c r="T645" s="1" t="str">
        <f ca="1">IF(ISERROR(F637),"",VLOOKUP(A637,INDIRECT($F$8),7+(O645-1)*3))</f>
        <v/>
      </c>
      <c r="U645" s="1" t="str">
        <f ca="1">IF(ISERROR(F637),"",VLOOKUP(A637,INDIRECT($F$8),8+(O645-1)*3))</f>
        <v/>
      </c>
      <c r="V645" s="1" t="str">
        <f ca="1">IF(ISERROR(F637),"",IF(N645=0,A645,""))</f>
        <v/>
      </c>
      <c r="W645" s="1" t="str">
        <f ca="1">IF(ISERROR(F637),"",IF(ISTEXT(VLOOKUP(B637,INDIRECT($F$8),6+(O645-1)*3)),11,IF(VLOOKUP(B637,INDIRECT($F$8),6+(O645-1)*3)&lt;S645*0.3,IF(VLOOKUP(B637,INDIRECT($F$8),8+(O645-1)*3)&lt;U645*0.4,IF(AND(0.4*U645-VLOOKUP(B637,INDIRECT($F$8),8+(O645-1)*3)&lt;=5,0.3*S645-VLOOKUP(B637,INDIRECT($F$8),6+(O645-1)*3)&lt;=5),MAX(0.4*U645-VLOOKUP(B637,INDIRECT($F$8),8+(O645-1)*3),0.3*S645-VLOOKUP(B637,INDIRECT($F$8),6+(O645-1)*3)),11),IF(0.3*S645-VLOOKUP(B637,INDIRECT($F$8),6+(O645-1)*3)&lt;=5,0.3*S645-VLOOKUP(B637,INDIRECT($F$8),6+(O645-1)*3),11)),IF(VLOOKUP(B637,INDIRECT($F$8),8+(O645-1)*3)&lt;U645*0.4,IF(U645*0.4-VLOOKUP(B637,INDIRECT($F$8),8+(O645-1)*3)&lt;=5,U645*0.4-VLOOKUP(B637,INDIRECT($F$8),8+(O645-1)*3),11),0))))</f>
        <v/>
      </c>
      <c r="X645" s="1" t="str">
        <f ca="1">IF(ISERROR(F637),"",IF(W645=0,"",_xlfn.TEXTJOIN("",FALSE," G+",W645," in ",A645)))</f>
        <v/>
      </c>
    </row>
    <row r="646" spans="1:24" ht="14.25" customHeight="1" x14ac:dyDescent="0.2">
      <c r="A646" s="7" t="str">
        <f ca="1">IF(ISERROR(F637),"",VLOOKUP(C637,INDIRECT($F$8),6+(O646-1)*3,0))</f>
        <v/>
      </c>
      <c r="B646" s="41" t="str">
        <f ca="1">IF(ISERROR(F637),"",VLOOKUP(D637,INDIRECT($F$8),6+(O646-1)*3,0))</f>
        <v/>
      </c>
      <c r="C646" s="41"/>
      <c r="D646" s="41"/>
      <c r="E646" s="41"/>
      <c r="F646" s="7" t="str">
        <f ca="1">IF(ISERROR(F637),"",VLOOKUP(E637,INDIRECT($F$8),6+(O646-1)*3,0))</f>
        <v/>
      </c>
      <c r="G646" s="42" t="str">
        <f ca="1">IF(ISERROR(F637),"",_xlfn.TEXTJOIN("/",FALSE,P646,S646))</f>
        <v/>
      </c>
      <c r="H646" s="42"/>
      <c r="I646" s="42" t="str">
        <f ca="1">IF(ISERROR(F637),"",_xlfn.TEXTJOIN("/",FALSE,Q646,T646))</f>
        <v/>
      </c>
      <c r="J646" s="42"/>
      <c r="K646" s="42" t="str">
        <f ca="1">IF(ISERROR(F637),"",_xlfn.TEXTJOIN("/",FALSE,R646,U646))</f>
        <v/>
      </c>
      <c r="L646" s="42"/>
      <c r="M646" s="7" t="str">
        <f ca="1">IF(ISERROR(F637),"",IF(ISTEXT(P646),IF(P646="A","Ab",IF(P646="D","Dt",IF(P646="UFM","UFM",IF(P646="NA","")))),IF(AND(ISBLANK(P646),ISBLANK(R646)),"",IF(P646&lt;0.3*S646,"F",IF(ISBLANK(R646),"",IF(ISTEXT(R646),R646,IF(R646&gt;=0.9*U646,"O",IF(R646&gt;=0.85*U646,"A+",IF(R646&gt;=0.8*U646,"A",IF(R646&gt;=0.7*U646,"B+",IF(R646&gt;=0.6*U646,"B",IF(R646&gt;=0.5*U646,"C",IF(R646&gt;=0.4*U646,"P",IF(R646&lt;0.4*U646,"F",R646))))))))))))))</f>
        <v/>
      </c>
      <c r="N646" s="8" t="str">
        <f t="shared" ca="1" si="74"/>
        <v/>
      </c>
      <c r="O646">
        <f ca="1">IF(O645&gt;0,7,"")</f>
        <v>7</v>
      </c>
      <c r="P646" s="1" t="str">
        <f ca="1">IF(ISERROR(F637),"",IF(ISTEXT(VLOOKUP(B637,INDIRECT($F$8),6+(O646-1)*3)),(VLOOKUP(B637,INDIRECT($F$8),6+(O646-1)*3)),SUM(VLOOKUP(B637,INDIRECT($F$8),6+(O646-1)*3),IF(W650,W646,0))))</f>
        <v/>
      </c>
      <c r="Q646" s="1" t="str">
        <f ca="1">IF(ISERROR(F637),"",VLOOKUP(B637,INDIRECT($F$8),7+(O646-1)*3))</f>
        <v/>
      </c>
      <c r="R646" s="1" t="str">
        <f ca="1">IF(ISERROR(F637),"",SUM(P646:Q646))</f>
        <v/>
      </c>
      <c r="S646" s="1" t="str">
        <f ca="1">IF(ISERROR(F637),"",VLOOKUP(A637,INDIRECT($F$8),6+(O646-1)*3))</f>
        <v/>
      </c>
      <c r="T646" s="1" t="str">
        <f ca="1">IF(ISERROR(F637),"",VLOOKUP(A637,INDIRECT($F$8),7+(O646-1)*3))</f>
        <v/>
      </c>
      <c r="U646" s="1" t="str">
        <f ca="1">IF(ISERROR(F637),"",VLOOKUP(A637,INDIRECT($F$8),8+(O646-1)*3))</f>
        <v/>
      </c>
      <c r="V646" s="1" t="str">
        <f ca="1">IF(ISERROR(F637),"",IF(N646=0,A646,""))</f>
        <v/>
      </c>
      <c r="W646" s="1" t="str">
        <f ca="1">IF(ISERROR(F637),"",IF(ISTEXT(VLOOKUP(B637,INDIRECT($F$8),6+(O646-1)*3)),11,IF(VLOOKUP(B637,INDIRECT($F$8),6+(O646-1)*3)&lt;S646*0.3,IF(VLOOKUP(B637,INDIRECT($F$8),8+(O646-1)*3)&lt;U646*0.4,IF(AND(0.4*U646-VLOOKUP(B637,INDIRECT($F$8),8+(O646-1)*3)&lt;=5,0.3*S646-VLOOKUP(B637,INDIRECT($F$8),6+(O646-1)*3)&lt;=5),MAX(0.4*U646-VLOOKUP(B637,INDIRECT($F$8),8+(O646-1)*3),0.3*S646-VLOOKUP(B637,INDIRECT($F$8),6+(O646-1)*3)),11),IF(0.3*S646-VLOOKUP(B637,INDIRECT($F$8),6+(O646-1)*3)&lt;=5,0.3*S646-VLOOKUP(B637,INDIRECT($F$8),6+(O646-1)*3),11)),IF(VLOOKUP(B637,INDIRECT($F$8),8+(O646-1)*3)&lt;U646*0.4,IF(U646*0.4-VLOOKUP(B637,INDIRECT($F$8),8+(O646-1)*3)&lt;=5,U646*0.4-VLOOKUP(B637,INDIRECT($F$8),8+(O646-1)*3),11),0))))</f>
        <v/>
      </c>
      <c r="X646" s="1" t="str">
        <f ca="1">IF(ISERROR(F637),"",IF(W646=0,"",_xlfn.TEXTJOIN("",FALSE," G+",W646," in ",A646)))</f>
        <v/>
      </c>
    </row>
    <row r="647" spans="1:24" ht="14.25" customHeight="1" x14ac:dyDescent="0.2">
      <c r="A647" s="7" t="str">
        <f ca="1">IF(ISERROR(F637),"",VLOOKUP(C637,INDIRECT($F$8),6+(O647-1)*3,0))</f>
        <v/>
      </c>
      <c r="B647" s="41" t="str">
        <f ca="1">IF(ISERROR(F637),"",VLOOKUP(D637,INDIRECT($F$8),6+(O647-1)*3,0))</f>
        <v/>
      </c>
      <c r="C647" s="41"/>
      <c r="D647" s="41"/>
      <c r="E647" s="41"/>
      <c r="F647" s="7" t="str">
        <f ca="1">IF(ISERROR(F637),"",VLOOKUP(E637,INDIRECT($F$8),6+(O647-1)*3,0))</f>
        <v/>
      </c>
      <c r="G647" s="42" t="str">
        <f ca="1">IF(ISERROR(F637),"",_xlfn.TEXTJOIN("/",FALSE,P647,S647))</f>
        <v/>
      </c>
      <c r="H647" s="42"/>
      <c r="I647" s="42" t="str">
        <f ca="1">IF(ISERROR(F637),"",_xlfn.TEXTJOIN("/",FALSE,Q647,T647))</f>
        <v/>
      </c>
      <c r="J647" s="42"/>
      <c r="K647" s="42" t="str">
        <f ca="1">IF(ISERROR(F637),"",_xlfn.TEXTJOIN("/",FALSE,R647,U647))</f>
        <v/>
      </c>
      <c r="L647" s="42"/>
      <c r="M647" s="7" t="str">
        <f ca="1">IF(ISERROR(F637),"",IF(ISTEXT(P647),IF(P647="A","Ab",IF(P647="D","Dt",IF(P647="UFM","UFM",IF(P647="NA","")))),IF(AND(ISBLANK(P647),ISBLANK(R647)),"",IF(P647&lt;0.3*S647,"F",IF(ISBLANK(R647),"",IF(ISTEXT(R647),R647,IF(R647&gt;=0.9*U647,"O",IF(R647&gt;=0.85*U647,"A+",IF(R647&gt;=0.8*U647,"A",IF(R647&gt;=0.7*U647,"B+",IF(R647&gt;=0.6*U647,"B",IF(R647&gt;=0.5*U647,"C",IF(R647&gt;=0.4*U647,"P",IF(R647&lt;0.4*U647,"F",R647))))))))))))))</f>
        <v/>
      </c>
      <c r="N647" s="8" t="str">
        <f t="shared" ca="1" si="74"/>
        <v/>
      </c>
      <c r="O647">
        <f t="shared" ref="O647:O649" ca="1" si="75">O646+1</f>
        <v>8</v>
      </c>
      <c r="P647" s="1" t="str">
        <f ca="1">IF(ISERROR(F637),"",IF(ISTEXT(VLOOKUP(B637,INDIRECT($F$8),6+(O647-1)*3)),(VLOOKUP(B637,INDIRECT($F$8),6+(O647-1)*3)),SUM(VLOOKUP(B637,INDIRECT($F$8),6+(O647-1)*3),IF(W650,W647,0))))</f>
        <v/>
      </c>
      <c r="Q647" s="1" t="str">
        <f ca="1">IF(ISERROR(F637),"",VLOOKUP(B637,INDIRECT($F$8),7+(O647-1)*3))</f>
        <v/>
      </c>
      <c r="R647" s="1" t="str">
        <f ca="1">IF(ISERROR(F637),"",SUM(P647:Q647))</f>
        <v/>
      </c>
      <c r="S647" s="1" t="str">
        <f ca="1">IF(ISERROR(F637),"",VLOOKUP(A637,INDIRECT($F$8),6+(O647-1)*3))</f>
        <v/>
      </c>
      <c r="T647" s="1" t="str">
        <f ca="1">IF(ISERROR(F637),"",VLOOKUP(A637,INDIRECT($F$8),7+(O647-1)*3))</f>
        <v/>
      </c>
      <c r="U647" s="1" t="str">
        <f ca="1">IF(ISERROR(F637),"",VLOOKUP(A637,INDIRECT($F$8),8+(O647-1)*3))</f>
        <v/>
      </c>
      <c r="V647" s="1" t="str">
        <f ca="1">IF(ISERROR(F637),"",IF(N647=0,A647,""))</f>
        <v/>
      </c>
      <c r="W647" s="1" t="str">
        <f ca="1">IF(ISERROR(F637),"",IF(ISTEXT(VLOOKUP(B637,INDIRECT($F$8),6+(O647-1)*3)),11,IF(VLOOKUP(B637,INDIRECT($F$8),6+(O647-1)*3)&lt;S647*0.3,IF(VLOOKUP(B637,INDIRECT($F$8),8+(O647-1)*3)&lt;U647*0.4,IF(AND(0.4*U647-VLOOKUP(B637,INDIRECT($F$8),8+(O647-1)*3)&lt;=5,0.3*S647-VLOOKUP(B637,INDIRECT($F$8),6+(O647-1)*3)&lt;=5),MAX(0.4*U647-VLOOKUP(B637,INDIRECT($F$8),8+(O647-1)*3),0.3*S647-VLOOKUP(B637,INDIRECT($F$8),6+(O647-1)*3)),11),IF(0.3*S647-VLOOKUP(B637,INDIRECT($F$8),6+(O647-1)*3)&lt;=5,0.3*S647-VLOOKUP(B637,INDIRECT($F$8),6+(O647-1)*3),11)),IF(VLOOKUP(B637,INDIRECT($F$8),8+(O647-1)*3)&lt;U647*0.4,IF(U647*0.4-VLOOKUP(B637,INDIRECT($F$8),8+(O647-1)*3)&lt;=5,U647*0.4-VLOOKUP(B637,INDIRECT($F$8),8+(O647-1)*3),11),0))))</f>
        <v/>
      </c>
      <c r="X647" s="1" t="str">
        <f ca="1">IF(ISERROR(F637),"",IF(W647=0,"",_xlfn.TEXTJOIN("",FALSE," G+",W647," in ",A647)))</f>
        <v/>
      </c>
    </row>
    <row r="648" spans="1:24" ht="14.25" customHeight="1" x14ac:dyDescent="0.2">
      <c r="A648" s="7" t="str">
        <f ca="1">IF(ISERROR(F637),"",VLOOKUP(C637,INDIRECT($F$8),6+(O648-1)*3,0))</f>
        <v/>
      </c>
      <c r="B648" s="41" t="str">
        <f ca="1">IF(ISERROR(F637),"",VLOOKUP(D637,INDIRECT($F$8),6+(O648-1)*3,0))</f>
        <v/>
      </c>
      <c r="C648" s="41"/>
      <c r="D648" s="41"/>
      <c r="E648" s="41"/>
      <c r="F648" s="7" t="str">
        <f ca="1">IF(ISERROR(F637),"",VLOOKUP(E637,INDIRECT($F$8),6+(O648-1)*3,0))</f>
        <v/>
      </c>
      <c r="G648" s="42" t="str">
        <f ca="1">IF(ISERROR(F637),"",_xlfn.TEXTJOIN("/",FALSE,P648,S648))</f>
        <v/>
      </c>
      <c r="H648" s="42"/>
      <c r="I648" s="42" t="str">
        <f ca="1">IF(ISERROR(F637),"",_xlfn.TEXTJOIN("/",FALSE,Q648,T648))</f>
        <v/>
      </c>
      <c r="J648" s="42"/>
      <c r="K648" s="42" t="str">
        <f ca="1">IF(ISERROR(F637),"",_xlfn.TEXTJOIN("/",FALSE,R648,U648))</f>
        <v/>
      </c>
      <c r="L648" s="42"/>
      <c r="M648" s="7" t="str">
        <f ca="1">IF(ISERROR(F637),"",IF(ISTEXT(P648),IF(P648="A","Ab",IF(P648="D","Dt",IF(P648="UFM","UFM",IF(P648="NA","")))),IF(AND(ISBLANK(P648),ISBLANK(R648)),"",IF(P648&lt;0.3*S648,"F",IF(ISBLANK(R648),"",IF(ISTEXT(R648),R648,IF(R648&gt;=0.9*U648,"O",IF(R648&gt;=0.85*U648,"A+",IF(R648&gt;=0.8*U648,"A",IF(R648&gt;=0.7*U648,"B+",IF(R648&gt;=0.6*U648,"B",IF(R648&gt;=0.5*U648,"C",IF(R648&gt;=0.4*U648,"P",IF(R648&lt;0.4*U648,"F",R648))))))))))))))</f>
        <v/>
      </c>
      <c r="N648" s="8" t="str">
        <f t="shared" ca="1" si="74"/>
        <v/>
      </c>
      <c r="O648">
        <f t="shared" ca="1" si="75"/>
        <v>9</v>
      </c>
      <c r="P648" s="1" t="str">
        <f ca="1">IF(ISERROR(F637),"",IF(ISTEXT(VLOOKUP(B637,INDIRECT($F$8),6+(O648-1)*3)),(VLOOKUP(B637,INDIRECT($F$8),6+(O648-1)*3)),SUM(VLOOKUP(B637,INDIRECT($F$8),6+(O648-1)*3),IF(W650,W648,0))))</f>
        <v/>
      </c>
      <c r="Q648" s="1" t="str">
        <f ca="1">IF(ISERROR(F637),"",VLOOKUP(B637,INDIRECT($F$8),7+(O648-1)*3))</f>
        <v/>
      </c>
      <c r="R648" s="1" t="str">
        <f ca="1">IF(ISERROR(F637),"",SUM(P648:Q648))</f>
        <v/>
      </c>
      <c r="S648" s="1" t="str">
        <f ca="1">IF(ISERROR(F637),"",VLOOKUP(A637,INDIRECT($F$8),6+(O648-1)*3))</f>
        <v/>
      </c>
      <c r="T648" s="1" t="str">
        <f ca="1">IF(ISERROR(F637),"",VLOOKUP(A637,INDIRECT($F$8),7+(O648-1)*3))</f>
        <v/>
      </c>
      <c r="U648" s="1" t="str">
        <f ca="1">IF(ISERROR(F637),"",VLOOKUP(A637,INDIRECT($F$8),8+(O648-1)*3))</f>
        <v/>
      </c>
      <c r="V648" s="1" t="str">
        <f ca="1">IF(ISERROR(F637),"",IF(N648=0,A648,""))</f>
        <v/>
      </c>
      <c r="W648" s="1" t="str">
        <f ca="1">IF(ISERROR(F637),"",IF(ISTEXT(VLOOKUP(B637,INDIRECT($F$8),6+(O648-1)*3)),11,IF(VLOOKUP(B637,INDIRECT($F$8),6+(O648-1)*3)&lt;S648*0.3,IF(VLOOKUP(B637,INDIRECT($F$8),8+(O648-1)*3)&lt;U648*0.4,IF(AND(0.4*U648-VLOOKUP(B637,INDIRECT($F$8),8+(O648-1)*3)&lt;=5,0.3*S648-VLOOKUP(B637,INDIRECT($F$8),6+(O648-1)*3)&lt;=5),MAX(0.4*U648-VLOOKUP(B637,INDIRECT($F$8),8+(O648-1)*3),0.3*S648-VLOOKUP(B637,INDIRECT($F$8),6+(O648-1)*3)),11),IF(0.3*S648-VLOOKUP(B637,INDIRECT($F$8),6+(O648-1)*3)&lt;=5,0.3*S648-VLOOKUP(B637,INDIRECT($F$8),6+(O648-1)*3),11)),IF(VLOOKUP(B637,INDIRECT($F$8),8+(O648-1)*3)&lt;U648*0.4,IF(U648*0.4-VLOOKUP(B637,INDIRECT($F$8),8+(O648-1)*3)&lt;=5,U648*0.4-VLOOKUP(B637,INDIRECT($F$8),8+(O648-1)*3),11),0))))</f>
        <v/>
      </c>
      <c r="X648" s="1" t="str">
        <f ca="1">IF(ISERROR(F637),"",IF(W648=0,"",_xlfn.TEXTJOIN("",FALSE," G+",W648," in ",A648)))</f>
        <v/>
      </c>
    </row>
    <row r="649" spans="1:24" ht="14.25" customHeight="1" x14ac:dyDescent="0.2">
      <c r="A649" s="7" t="str">
        <f ca="1">IF(ISERROR(F637),"",VLOOKUP(C637,INDIRECT($F$8),6+(O649-1)*3,0))</f>
        <v/>
      </c>
      <c r="B649" s="41" t="str">
        <f ca="1">IF(ISERROR(F637),"",VLOOKUP(D637,INDIRECT($F$8),6+(O649-1)*3-Z649,0))</f>
        <v/>
      </c>
      <c r="C649" s="41"/>
      <c r="D649" s="41"/>
      <c r="E649" s="41"/>
      <c r="F649" s="7" t="str">
        <f ca="1">IF(ISERROR(F637),"",VLOOKUP(E637,INDIRECT($F$8),6+(O649-1)*3,0))</f>
        <v/>
      </c>
      <c r="G649" s="42" t="str">
        <f ca="1">IF(ISERROR(F637),"",_xlfn.TEXTJOIN("/",FALSE,P649,S649))</f>
        <v/>
      </c>
      <c r="H649" s="42"/>
      <c r="I649" s="42" t="str">
        <f ca="1">IF(ISERROR(F637),"",_xlfn.TEXTJOIN("/",FALSE,Q649,T649))</f>
        <v/>
      </c>
      <c r="J649" s="42"/>
      <c r="K649" s="42" t="str">
        <f ca="1">IF(ISERROR(F637),"",_xlfn.TEXTJOIN("/",FALSE,R649,U649))</f>
        <v/>
      </c>
      <c r="L649" s="42"/>
      <c r="M649" s="7" t="str">
        <f ca="1">IF(ISERROR(F637),"",IF(ISTEXT(P649),IF(P649="A","Ab",IF(P649="D","Dt",IF(P649="UFM","UFM",IF(P649="NA","")))),IF(AND(ISBLANK(P649),ISBLANK(R649)),"",IF(P649&lt;0.3*S649,"F",IF(ISBLANK(R649),"",IF(ISTEXT(R649),R649,IF(R649&gt;=0.9*U649,"O",IF(R649&gt;=0.85*U649,"A+",IF(R649&gt;=0.8*U649,"A",IF(R649&gt;=0.7*U649,"B+",IF(R649&gt;=0.6*U649,"B",IF(R649&gt;=0.5*U649,"C",IF(R649&gt;=0.4*U649,"P",IF(R649&lt;0.4*U649,"F",R649))))))))))))))</f>
        <v/>
      </c>
      <c r="N649" s="8" t="str">
        <f t="shared" ca="1" si="74"/>
        <v/>
      </c>
      <c r="O649">
        <f t="shared" ca="1" si="75"/>
        <v>10</v>
      </c>
      <c r="P649" s="1" t="str">
        <f ca="1">IF(ISERROR(F637),"",IF(ISTEXT(VLOOKUP(B637,INDIRECT($F$8),6+(O649-1)*3)),(VLOOKUP(B637,INDIRECT($F$8),6+(O649-1)*3)),SUM(VLOOKUP(B637,INDIRECT($F$8),6+(O649-1)*3),IF(W650,W649,0))))</f>
        <v/>
      </c>
      <c r="Q649" s="1" t="str">
        <f ca="1">IF(ISERROR(F637),"",VLOOKUP(B637,INDIRECT($F$8),7+(O649-1)*3))</f>
        <v/>
      </c>
      <c r="R649" s="1" t="str">
        <f ca="1">IF(ISERROR(F637),"",SUM(P649:Q649))</f>
        <v/>
      </c>
      <c r="S649" s="1" t="str">
        <f ca="1">IF(ISERROR(F637),"",VLOOKUP(A637,INDIRECT($F$8),6+(O649-1)*3))</f>
        <v/>
      </c>
      <c r="T649" s="1" t="str">
        <f ca="1">IF(ISERROR(F637),"",VLOOKUP(A637,INDIRECT($F$8),7+(O649-1)*3))</f>
        <v/>
      </c>
      <c r="U649" s="1" t="str">
        <f ca="1">IF(ISERROR(F637),"",VLOOKUP(A637,INDIRECT($F$8),8+(O649-1)*3))</f>
        <v/>
      </c>
      <c r="V649" s="1" t="str">
        <f ca="1">IF(ISERROR(F637),"",IF(N649=0,A649,""))</f>
        <v/>
      </c>
      <c r="W649" s="1" t="str">
        <f ca="1">IF(ISERROR(F637),"",IF(ISTEXT(VLOOKUP(B637,INDIRECT($F$8),6+(O649-1)*3)),11,IF(VLOOKUP(B637,INDIRECT($F$8),6+(O649-1)*3)&lt;S649*0.3,IF(VLOOKUP(B637,INDIRECT($F$8),8+(O649-1)*3)&lt;U649*0.4,IF(AND(0.4*U649-VLOOKUP(B637,INDIRECT($F$8),8+(O649-1)*3)&lt;=5,0.3*S649-VLOOKUP(B637,INDIRECT($F$8),6+(O649-1)*3)&lt;=5),MAX(0.4*U649-VLOOKUP(B637,INDIRECT($F$8),8+(O649-1)*3),0.3*S649-VLOOKUP(B637,INDIRECT($F$8),6+(O649-1)*3)),11),IF(0.3*S649-VLOOKUP(B637,INDIRECT($F$8),6+(O649-1)*3)&lt;=5,0.3*S649-VLOOKUP(B637,INDIRECT($F$8),6+(O649-1)*3),11)),IF(VLOOKUP(B637,INDIRECT($F$8),8+(O649-1)*3)&lt;U649*0.4,IF(U649*0.4-VLOOKUP(B637,INDIRECT($F$8),8+(O649-1)*3)&lt;=5,U649*0.4-VLOOKUP(B637,INDIRECT($F$8),8+(O649-1)*3),11),0))))</f>
        <v/>
      </c>
      <c r="X649" s="1" t="str">
        <f ca="1">IF(ISERROR(F637),"",IF(W649=0,"",_xlfn.TEXTJOIN("",FALSE," G+",W649," in ",A649)))</f>
        <v/>
      </c>
    </row>
    <row r="650" spans="1:24" ht="14.25" customHeight="1" x14ac:dyDescent="0.2">
      <c r="A650" s="43" t="str">
        <f ca="1">IF(ISERROR(F637),"",A633)</f>
        <v/>
      </c>
      <c r="B650" s="43"/>
      <c r="C650" s="43"/>
      <c r="D650" s="43"/>
      <c r="E650" s="43"/>
      <c r="F650" s="10" t="str">
        <f ca="1">IF(ISERROR(F637),"",SUM(F642:F649))</f>
        <v/>
      </c>
      <c r="G650" s="44" t="str">
        <f ca="1">IF(ISERROR(F637),"",_xlfn.TEXTJOIN("/",TRUE,SUMIF(F642:F649,"&gt;0",P642:P649),SUMIF(F642:F649,"&gt;0",S642:S649)))</f>
        <v/>
      </c>
      <c r="H650" s="44"/>
      <c r="I650" s="44" t="str">
        <f ca="1">IF(ISERROR(F637),"",_xlfn.TEXTJOIN("/",TRUE,SUMIF(F642:F649,"&gt;0",Q642:Q649),SUMIF(F642:F649,"&gt;0",T642:T649)))</f>
        <v/>
      </c>
      <c r="J650" s="44"/>
      <c r="K650" s="44" t="str">
        <f ca="1">IF(ISERROR(F637),"",_xlfn.TEXTJOIN("/",TRUE,SUMIF(F642:F649,"&gt;0",R642:R649),SUMIF(F642:F649,"&gt;0",U642:U649)))</f>
        <v/>
      </c>
      <c r="L650" s="44"/>
      <c r="M650" s="43" t="str">
        <f ca="1">IF(ISERROR(F637),"",SUMPRODUCT(N642:N649,F642:F649))</f>
        <v/>
      </c>
      <c r="N650" s="43"/>
      <c r="V650" s="1" t="str">
        <f ca="1">IF(ISERROR(F637),"",_xlfn.TEXTJOIN(", ",TRUE,V642:V649))</f>
        <v/>
      </c>
      <c r="W650" t="str">
        <f ca="1">IF(ISERROR(F637),"",IF(SUM(W642:W649)&lt;=W641,TRUE,FALSE))</f>
        <v/>
      </c>
      <c r="X650" s="1" t="str">
        <f ca="1">IF(ISERROR(F637),"",_xlfn.TEXTJOIN(",",TRUE,X642:X649))</f>
        <v/>
      </c>
    </row>
    <row r="651" spans="1:24" ht="14.25" customHeight="1" x14ac:dyDescent="0.2">
      <c r="A651" s="43" t="str">
        <f ca="1">IF(ISERROR(F637),"",A634)</f>
        <v/>
      </c>
      <c r="B651" s="45" t="str">
        <f ca="1">IF(ISERROR(F637),"",IF(V650="","PASS","CARRY OVER"))</f>
        <v/>
      </c>
      <c r="C651" s="45"/>
      <c r="D651" s="43" t="str">
        <f ca="1">IF(ISERROR(F637),"",D634)</f>
        <v/>
      </c>
      <c r="E651" s="45" t="str">
        <f ca="1">IF(ISERROR(F637),"",IF(V650="",IF(X650="","",X650),_xlfn.TEXTJOIN(" ",TRUE,"BACK IN",V650)))</f>
        <v/>
      </c>
      <c r="F651" s="45"/>
      <c r="G651" s="43" t="str">
        <f ca="1">IF(ISERROR(F637),"",G634)</f>
        <v/>
      </c>
      <c r="H651" s="46" t="str">
        <f ca="1">IF(ISERROR(F637),"",M650/F650)</f>
        <v/>
      </c>
      <c r="I651" s="43" t="str">
        <f ca="1">IF(ISERROR(F637),"",I634)</f>
        <v/>
      </c>
      <c r="J651" s="46" t="str">
        <f ca="1">IF(ISERROR(F637),"",VLOOKUP(B637,INDIRECT($F$8),12+(O649-1)*3,0))</f>
        <v/>
      </c>
      <c r="K651" s="45" t="str">
        <f ca="1">IF(ISERROR(F637),"",K634)</f>
        <v/>
      </c>
      <c r="L651" s="43" t="str">
        <f ca="1">IF(ISERROR(F637),"",SUMIF(N642:N649,"&gt;0",F642:F649))</f>
        <v/>
      </c>
      <c r="M651" s="45" t="str">
        <f ca="1">IF(ISERROR(F637),"",M634)</f>
        <v/>
      </c>
      <c r="N651" s="43" t="str">
        <f ca="1">IF(ISERROR(F637),"",VLOOKUP(B637,INDIRECT($F$8),10+(O649-1)*3,0))</f>
        <v/>
      </c>
    </row>
    <row r="652" spans="1:24" ht="14.25" customHeight="1" x14ac:dyDescent="0.2">
      <c r="A652" s="43"/>
      <c r="B652" s="45"/>
      <c r="C652" s="45"/>
      <c r="D652" s="43"/>
      <c r="E652" s="45"/>
      <c r="F652" s="45"/>
      <c r="G652" s="43"/>
      <c r="H652" s="46"/>
      <c r="I652" s="43"/>
      <c r="J652" s="46"/>
      <c r="K652" s="45"/>
      <c r="L652" s="43"/>
      <c r="M652" s="45"/>
      <c r="N652" s="43"/>
    </row>
    <row r="653" spans="1:24" ht="14.25" customHeight="1" x14ac:dyDescent="0.2">
      <c r="A653" s="43"/>
      <c r="B653" s="45"/>
      <c r="C653" s="45"/>
      <c r="D653" s="43"/>
      <c r="E653" s="45"/>
      <c r="F653" s="45"/>
      <c r="G653" s="43"/>
      <c r="H653" s="46"/>
      <c r="I653" s="43"/>
      <c r="J653" s="46"/>
      <c r="K653" s="45"/>
      <c r="L653" s="43"/>
      <c r="M653" s="45"/>
      <c r="N653" s="43"/>
    </row>
    <row r="654" spans="1:24" ht="12.75" customHeight="1" x14ac:dyDescent="0.2">
      <c r="A654" s="11" t="str">
        <f>A637</f>
        <v>MM</v>
      </c>
      <c r="B654" s="11">
        <f>B637+1</f>
        <v>39</v>
      </c>
      <c r="C654" s="11" t="str">
        <f>C637</f>
        <v>SC</v>
      </c>
      <c r="D654" s="11" t="str">
        <f>D637</f>
        <v>SN</v>
      </c>
      <c r="E654" s="11" t="str">
        <f>E637</f>
        <v>C</v>
      </c>
      <c r="F654" s="11" t="e">
        <f ca="1">VLOOKUP(B654,INDIRECT($F$8),4,0)</f>
        <v>#N/A</v>
      </c>
    </row>
    <row r="655" spans="1:24" ht="12.75" customHeight="1" x14ac:dyDescent="0.2">
      <c r="A655" s="47" t="str">
        <f ca="1">IF(ISERROR(F654),"",A638)</f>
        <v/>
      </c>
      <c r="B655" s="47" t="str">
        <f ca="1">IFERROR(VLOOKUP(B654,INDIRECT($F$8),4,0),"")</f>
        <v/>
      </c>
      <c r="C655" s="47"/>
      <c r="D655" s="47" t="str">
        <f ca="1">IF(ISERROR(F654),"",D638)</f>
        <v/>
      </c>
      <c r="E655" s="47" t="str">
        <f ca="1">IFERROR(VLOOKUP(B654,INDIRECT($F$8),5,0),"")</f>
        <v/>
      </c>
      <c r="F655" s="47"/>
      <c r="G655" s="47" t="str">
        <f ca="1">IF(ISERROR(F654),"",G638)</f>
        <v/>
      </c>
      <c r="H655" s="47"/>
      <c r="I655" s="48" t="str">
        <f ca="1">IFERROR(VLOOKUP(B654,INDIRECT($F$8),2,0),"")</f>
        <v/>
      </c>
      <c r="J655" s="48"/>
      <c r="K655" s="47" t="str">
        <f ca="1">IF(ISERROR(F654),"",K638)</f>
        <v/>
      </c>
      <c r="L655" s="47"/>
      <c r="M655" s="48" t="str">
        <f ca="1">IFERROR(VLOOKUP(B654,INDIRECT($F$8),3,0),"")</f>
        <v/>
      </c>
      <c r="N655" s="48"/>
    </row>
    <row r="656" spans="1:24" ht="12.75" customHeight="1" x14ac:dyDescent="0.2">
      <c r="A656" s="47"/>
      <c r="B656" s="47"/>
      <c r="C656" s="47"/>
      <c r="D656" s="47"/>
      <c r="E656" s="47"/>
      <c r="F656" s="47"/>
      <c r="G656" s="47"/>
      <c r="H656" s="47"/>
      <c r="I656" s="48"/>
      <c r="J656" s="48"/>
      <c r="K656" s="47"/>
      <c r="L656" s="47"/>
      <c r="M656" s="48"/>
      <c r="N656" s="48"/>
    </row>
    <row r="657" spans="1:24" ht="12.75" customHeight="1" x14ac:dyDescent="0.2">
      <c r="A657" s="45" t="str">
        <f ca="1">IF(ISERROR(F654),"",A640)</f>
        <v/>
      </c>
      <c r="B657" s="45" t="str">
        <f ca="1">IF(ISERROR(F654),"",B640)</f>
        <v/>
      </c>
      <c r="C657" s="45"/>
      <c r="D657" s="45"/>
      <c r="E657" s="45"/>
      <c r="F657" s="45" t="str">
        <f ca="1">IF(ISERROR(F654),"",F640)</f>
        <v/>
      </c>
      <c r="G657" s="45" t="str">
        <f ca="1">IF(ISERROR(F654),"",G640)</f>
        <v/>
      </c>
      <c r="H657" s="45"/>
      <c r="I657" s="45" t="str">
        <f ca="1">IF(ISERROR(F654),"",I640)</f>
        <v/>
      </c>
      <c r="J657" s="45"/>
      <c r="K657" s="45" t="str">
        <f ca="1">IF(ISERROR(F654),"",K640)</f>
        <v/>
      </c>
      <c r="L657" s="45"/>
      <c r="M657" s="45" t="str">
        <f ca="1">IF(ISERROR(F654),"",M640)</f>
        <v/>
      </c>
      <c r="N657" s="45" t="str">
        <f ca="1">IF(ISERROR(F654),"",N640)</f>
        <v/>
      </c>
    </row>
    <row r="658" spans="1:24" ht="12.75" customHeight="1" x14ac:dyDescent="0.2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W658">
        <f ca="1">IF(ISNUMBER(MATCH($F$8,{"I","III","V","VII"},0)),10,10-INDEX(INDIRECT(_xlfn.TEXTJOIN("",TRUE,"SEM_",$G$8,"!",ADDRESS(6,4+$I$8*3+4),":",ADDRESS(5+$H$8,4+$I$8*3+4))),MATCH(INDIRECT(_xlfn.TEXTJOIN("",TRUE,"TC_",$F$8,"!",ADDRESS(ROW(I655),COLUMN(I655)))),INDIRECT(_xlfn.TEXTJOIN("",TRUE,"SEM_",$G$8,"!",ADDRESS(6,2),":",ADDRESS(5+$H$8,2))))))</f>
        <v>10</v>
      </c>
    </row>
    <row r="659" spans="1:24" ht="12.75" customHeight="1" x14ac:dyDescent="0.2">
      <c r="A659" s="7" t="str">
        <f ca="1">IF(ISERROR(F654),"",VLOOKUP(C654,INDIRECT($F$8),6+(O659-1)*3,0))</f>
        <v/>
      </c>
      <c r="B659" s="41" t="str">
        <f ca="1">IF(ISERROR(F654),"",VLOOKUP(D654,INDIRECT($F$8),6+(O659-1)*3,0))</f>
        <v/>
      </c>
      <c r="C659" s="41"/>
      <c r="D659" s="41"/>
      <c r="E659" s="41"/>
      <c r="F659" s="7" t="str">
        <f ca="1">IF(ISERROR(F654),"",VLOOKUP(E654,INDIRECT($F$8),6+(O659-1)*3,0))</f>
        <v/>
      </c>
      <c r="G659" s="42" t="str">
        <f ca="1">IF(ISERROR(F654),"",_xlfn.TEXTJOIN("/",FALSE,P659,S659))</f>
        <v/>
      </c>
      <c r="H659" s="42"/>
      <c r="I659" s="42" t="str">
        <f ca="1">IF(ISERROR(F654),"",_xlfn.TEXTJOIN("/",FALSE,Q659,T659))</f>
        <v/>
      </c>
      <c r="J659" s="42"/>
      <c r="K659" s="42" t="str">
        <f ca="1">IF(ISERROR(F654),"",_xlfn.TEXTJOIN("/",FALSE,R659,U659))</f>
        <v/>
      </c>
      <c r="L659" s="42"/>
      <c r="M659" s="7" t="str">
        <f ca="1">IF(ISERROR(F654),"",IF(ISTEXT(P659),IF(P659="A","Ab",IF(P659="D","Dt",IF(P659="UFM","UFM",IF(P659="NA","")))),IF(AND(ISBLANK(P659),ISBLANK(R659)),"",IF(P659&lt;0.3*S659,"F",IF(ISBLANK(R659),"",IF(ISTEXT(R659),R659,IF(R659&gt;=0.9*U659,"O",IF(R659&gt;=0.85*U659,"A+",IF(R659&gt;=0.8*U659,"A",IF(R659&gt;=0.7*U659,"B+",IF(R659&gt;=0.6*U659,"B",IF(R659&gt;=0.5*U659,"C",IF(R659&gt;=0.4*U659,"P",IF(R659&lt;0.4*U659,"F",R659))))))))))))))</f>
        <v/>
      </c>
      <c r="N659" s="8" t="str">
        <f t="shared" ref="N659:N666" ca="1" si="76">INDEX($Z$2:$Z$13,MATCH(M659,$Y$2:$Y$13,0))</f>
        <v/>
      </c>
      <c r="O659">
        <v>1</v>
      </c>
      <c r="P659" s="1" t="str">
        <f ca="1">IF(ISERROR(F654),"",IF(ISTEXT(VLOOKUP(B654,INDIRECT($F$8),6+(O659-1)*3)),(VLOOKUP(B654,INDIRECT($F$8),6+(O659-1)*3)),SUM(VLOOKUP(B654,INDIRECT($F$8),6+(O659-1)*3),IF(W667,W659,0))))</f>
        <v/>
      </c>
      <c r="Q659" s="1" t="str">
        <f ca="1">IF(ISERROR(F654),"",VLOOKUP(B654,INDIRECT($F$8),7+(O659-1)*3))</f>
        <v/>
      </c>
      <c r="R659" s="1" t="str">
        <f ca="1">IF(ISERROR(F654),"",SUM(P659:Q659))</f>
        <v/>
      </c>
      <c r="S659" s="1" t="str">
        <f ca="1">IF(ISERROR(F654),"",VLOOKUP(A654,INDIRECT($F$8),6+(O659-1)*3))</f>
        <v/>
      </c>
      <c r="T659" s="1" t="str">
        <f ca="1">IF(ISERROR(F654),"",VLOOKUP(A654,INDIRECT($F$8),7+(O659-1)*3))</f>
        <v/>
      </c>
      <c r="U659" s="1" t="str">
        <f ca="1">IF(ISERROR(F654),"",VLOOKUP(A654,INDIRECT($F$8),8+(O659-1)*3))</f>
        <v/>
      </c>
      <c r="V659" s="1" t="str">
        <f ca="1">IF(ISERROR(F654),"",IF(N659=0,A659,""))</f>
        <v/>
      </c>
      <c r="W659" s="1" t="str">
        <f ca="1">IF(ISERROR(F654),"",IF(ISTEXT(VLOOKUP(B654,INDIRECT($F$8),6+(O659-1)*3)),11,IF(VLOOKUP(B654,INDIRECT($F$8),6+(O659-1)*3)&lt;S659*0.3,IF(VLOOKUP(B654,INDIRECT($F$8),8+(O659-1)*3)&lt;U659*0.4,IF(AND(0.4*U659-VLOOKUP(B654,INDIRECT($F$8),8+(O659-1)*3)&lt;=5,0.3*S659-VLOOKUP(B654,INDIRECT($F$8),6+(O659-1)*3)&lt;=5),MAX(0.4*U659-VLOOKUP(B654,INDIRECT($F$8),8+(O659-1)*3),0.3*S659-VLOOKUP(B654,INDIRECT($F$8),6+(O659-1)*3)),11),IF(0.3*S659-VLOOKUP(B654,INDIRECT($F$8),6+(O659-1)*3)&lt;=5,0.3*S659-VLOOKUP(B654,INDIRECT($F$8),6+(O659-1)*3),11)),IF(VLOOKUP(B654,INDIRECT($F$8),8+(O659-1)*3)&lt;U659*0.4,IF(U659*0.4-VLOOKUP(B654,INDIRECT($F$8),8+(O659-1)*3)&lt;=5,U659*0.4-VLOOKUP(B654,INDIRECT($F$8),8+(O659-1)*3),11),0))))</f>
        <v/>
      </c>
      <c r="X659" s="1" t="str">
        <f ca="1">IF(ISERROR(F654),"",IF(W659=0,"",_xlfn.TEXTJOIN("",FALSE," G+",W659," in ",A659)))</f>
        <v/>
      </c>
    </row>
    <row r="660" spans="1:24" ht="12.75" customHeight="1" x14ac:dyDescent="0.2">
      <c r="A660" s="7" t="str">
        <f ca="1">IF(ISERROR(F654),"",VLOOKUP(C654,INDIRECT($F$8),6+(O660-1)*3,0))</f>
        <v/>
      </c>
      <c r="B660" s="41" t="str">
        <f ca="1">IF(ISERROR(F654),"",VLOOKUP(D654,INDIRECT($F$8),6+(O660-1)*3,0))</f>
        <v/>
      </c>
      <c r="C660" s="41"/>
      <c r="D660" s="41"/>
      <c r="E660" s="41"/>
      <c r="F660" s="7" t="str">
        <f ca="1">IF(ISERROR(F654),"",VLOOKUP(E654,INDIRECT($F$8),6+(O660-1)*3,0))</f>
        <v/>
      </c>
      <c r="G660" s="42" t="str">
        <f ca="1">IF(ISERROR(F654),"",_xlfn.TEXTJOIN("/",FALSE,P660,S660))</f>
        <v/>
      </c>
      <c r="H660" s="42"/>
      <c r="I660" s="42" t="str">
        <f ca="1">IF(ISERROR(F654),"",_xlfn.TEXTJOIN("/",FALSE,Q660,T660))</f>
        <v/>
      </c>
      <c r="J660" s="42"/>
      <c r="K660" s="42" t="str">
        <f ca="1">IF(ISERROR(F654),"",_xlfn.TEXTJOIN("/",FALSE,R660,U660))</f>
        <v/>
      </c>
      <c r="L660" s="42"/>
      <c r="M660" s="7" t="str">
        <f ca="1">IF(ISERROR(F654),"",IF(ISTEXT(P660),IF(P660="A","Ab",IF(P660="D","Dt",IF(P660="UFM","UFM",IF(P660="NA","")))),IF(AND(ISBLANK(P660),ISBLANK(R660)),"",IF(P660&lt;0.3*S660,"F",IF(ISBLANK(R660),"",IF(ISTEXT(R660),R660,IF(R660&gt;=0.9*U660,"O",IF(R660&gt;=0.85*U660,"A+",IF(R660&gt;=0.8*U660,"A",IF(R660&gt;=0.7*U660,"B+",IF(R660&gt;=0.6*U660,"B",IF(R660&gt;=0.5*U660,"C",IF(R660&gt;=0.4*U660,"P",IF(R660&lt;0.4*U660,"F",R660))))))))))))))</f>
        <v/>
      </c>
      <c r="N660" s="8" t="str">
        <f t="shared" ca="1" si="76"/>
        <v/>
      </c>
      <c r="O660">
        <f>O659+1</f>
        <v>2</v>
      </c>
      <c r="P660" s="1" t="str">
        <f ca="1">IF(ISERROR(F654),"",IF(ISTEXT(VLOOKUP(B654,INDIRECT($F$8),6+(O660-1)*3)),(VLOOKUP(B654,INDIRECT($F$8),6+(O660-1)*3)),SUM(VLOOKUP(B654,INDIRECT($F$8),6+(O660-1)*3),IF(W667,W660,0))))</f>
        <v/>
      </c>
      <c r="Q660" s="1" t="str">
        <f ca="1">IF(ISERROR(F654),"",VLOOKUP(B654,INDIRECT($F$8),7+(O660-1)*3))</f>
        <v/>
      </c>
      <c r="R660" s="1" t="str">
        <f ca="1">IF(ISERROR(F654),"",SUM(P660:Q660))</f>
        <v/>
      </c>
      <c r="S660" s="1" t="str">
        <f ca="1">IF(ISERROR(F654),"",VLOOKUP(A654,INDIRECT($F$8),6+(O660-1)*3))</f>
        <v/>
      </c>
      <c r="T660" s="1" t="str">
        <f ca="1">IF(ISERROR(F654),"",VLOOKUP(A654,INDIRECT($F$8),7+(O660-1)*3))</f>
        <v/>
      </c>
      <c r="U660" s="1" t="str">
        <f ca="1">IF(ISERROR(F654),"",VLOOKUP(A654,INDIRECT($F$8),8+(O660-1)*3))</f>
        <v/>
      </c>
      <c r="V660" s="1" t="str">
        <f ca="1">IF(ISERROR(F654),"",IF(N660=0,A660,""))</f>
        <v/>
      </c>
      <c r="W660" s="1" t="str">
        <f ca="1">IF(ISERROR(F654),"",IF(ISTEXT(VLOOKUP(B654,INDIRECT($F$8),6+(O660-1)*3)),11,IF(VLOOKUP(B654,INDIRECT($F$8),6+(O660-1)*3)&lt;S660*0.3,IF(VLOOKUP(B654,INDIRECT($F$8),8+(O660-1)*3)&lt;U660*0.4,IF(AND(0.4*U660-VLOOKUP(B654,INDIRECT($F$8),8+(O660-1)*3)&lt;=5,0.3*S660-VLOOKUP(B654,INDIRECT($F$8),6+(O660-1)*3)&lt;=5),MAX(0.4*U660-VLOOKUP(B654,INDIRECT($F$8),8+(O660-1)*3),0.3*S660-VLOOKUP(B654,INDIRECT($F$8),6+(O660-1)*3)),11),IF(0.3*S660-VLOOKUP(B654,INDIRECT($F$8),6+(O660-1)*3)&lt;=5,0.3*S660-VLOOKUP(B654,INDIRECT($F$8),6+(O660-1)*3),11)),IF(VLOOKUP(B654,INDIRECT($F$8),8+(O660-1)*3)&lt;U660*0.4,IF(U660*0.4-VLOOKUP(B654,INDIRECT($F$8),8+(O660-1)*3)&lt;=5,U660*0.4-VLOOKUP(B654,INDIRECT($F$8),8+(O660-1)*3),11),0))))</f>
        <v/>
      </c>
      <c r="X660" s="1" t="str">
        <f ca="1">IF(ISERROR(F654),"",IF(W660=0,"",_xlfn.TEXTJOIN("",FALSE," G+",W660," in ",A660)))</f>
        <v/>
      </c>
    </row>
    <row r="661" spans="1:24" ht="12.75" customHeight="1" x14ac:dyDescent="0.2">
      <c r="A661" s="7" t="str">
        <f ca="1">IF(ISERROR(F654),"",VLOOKUP(C654,INDIRECT($F$8),6+(O661-1)*3,0))</f>
        <v/>
      </c>
      <c r="B661" s="41" t="str">
        <f ca="1">IF(ISERROR(F654),"",VLOOKUP(D654,INDIRECT($F$8),6+(O661-1)*3,0))</f>
        <v/>
      </c>
      <c r="C661" s="41"/>
      <c r="D661" s="41"/>
      <c r="E661" s="41"/>
      <c r="F661" s="7" t="str">
        <f ca="1">IF(ISERROR(F654),"",VLOOKUP(E654,INDIRECT($F$8),6+(O661-1)*3,0))</f>
        <v/>
      </c>
      <c r="G661" s="42" t="str">
        <f ca="1">IF(ISERROR(F654),"",_xlfn.TEXTJOIN("/",FALSE,P661,S661))</f>
        <v/>
      </c>
      <c r="H661" s="42"/>
      <c r="I661" s="42" t="str">
        <f ca="1">IF(ISERROR(F654),"",_xlfn.TEXTJOIN("/",FALSE,Q661,T661))</f>
        <v/>
      </c>
      <c r="J661" s="42"/>
      <c r="K661" s="42" t="str">
        <f ca="1">IF(ISERROR(F654),"",_xlfn.TEXTJOIN("/",FALSE,R661,U661))</f>
        <v/>
      </c>
      <c r="L661" s="42"/>
      <c r="M661" s="7" t="str">
        <f ca="1">IF(ISERROR(F654),"",IF(ISTEXT(P661),IF(P661="A","Ab",IF(P661="D","Dt",IF(P661="UFM","UFM",IF(P661="NA","")))),IF(AND(ISBLANK(P661),ISBLANK(R661)),"",IF(P661&lt;0.3*S661,"F",IF(ISBLANK(R661),"",IF(ISTEXT(R661),R661,IF(R661&gt;=0.9*U661,"O",IF(R661&gt;=0.85*U661,"A+",IF(R661&gt;=0.8*U661,"A",IF(R661&gt;=0.7*U661,"B+",IF(R661&gt;=0.6*U661,"B",IF(R661&gt;=0.5*U661,"C",IF(R661&gt;=0.4*U661,"P",IF(R661&lt;0.4*U661,"F",R661))))))))))))))</f>
        <v/>
      </c>
      <c r="N661" s="8" t="str">
        <f t="shared" ca="1" si="76"/>
        <v/>
      </c>
      <c r="O661" t="b" cm="1">
        <f t="array" aca="1" ref="O661" ca="1">IF(NOT(ISBLANK(INDIRECT("SEM_III!L"&amp;INT((ROW(O661)-15)/17)+6))),3,IF(NOT(ISBLANK(INDIRECT("SEM_III!O"&amp;INT((ROW(O661)-15)/17)+6))),4))</f>
        <v>0</v>
      </c>
      <c r="P661" s="1" t="str">
        <f ca="1">IF(ISERROR(F654),"",IF(ISTEXT(VLOOKUP(B654,INDIRECT($F$8),6+(O661-1)*3)),(VLOOKUP(B654,INDIRECT($F$8),6+(O661-1)*3)),SUM(VLOOKUP(B654,INDIRECT($F$8),6+(O661-1)*3),IF(W667,W661,0))))</f>
        <v/>
      </c>
      <c r="Q661" s="1" t="str">
        <f ca="1">IF(ISERROR(F654),"",VLOOKUP(B654,INDIRECT($F$8),7+(O661-1)*3))</f>
        <v/>
      </c>
      <c r="R661" s="1" t="str">
        <f ca="1">IF(ISERROR(F654),"",SUM(P661:Q661))</f>
        <v/>
      </c>
      <c r="S661" s="1" t="str">
        <f ca="1">IF(ISERROR(F654),"",VLOOKUP(A654,INDIRECT($F$8),6+(O661-1)*3))</f>
        <v/>
      </c>
      <c r="T661" s="1" t="str">
        <f ca="1">IF(ISERROR(F654),"",VLOOKUP(A654,INDIRECT($F$8),7+(O661-1)*3))</f>
        <v/>
      </c>
      <c r="U661" s="1" t="str">
        <f ca="1">IF(ISERROR(F654),"",VLOOKUP(A654,INDIRECT($F$8),8+(O661-1)*3))</f>
        <v/>
      </c>
      <c r="V661" s="1" t="str">
        <f ca="1">IF(ISERROR(F654),"",IF(N661=0,A661,""))</f>
        <v/>
      </c>
      <c r="W661" s="1" t="str">
        <f ca="1">IF(ISERROR(F654),"",IF(ISTEXT(VLOOKUP(B654,INDIRECT($F$8),6+(O661-1)*3)),11,IF(VLOOKUP(B654,INDIRECT($F$8),6+(O661-1)*3)&lt;S661*0.3,IF(VLOOKUP(B654,INDIRECT($F$8),8+(O661-1)*3)&lt;U661*0.4,IF(AND(0.4*U661-VLOOKUP(B654,INDIRECT($F$8),8+(O661-1)*3)&lt;=5,0.3*S661-VLOOKUP(B654,INDIRECT($F$8),6+(O661-1)*3)&lt;=5),MAX(0.4*U661-VLOOKUP(B654,INDIRECT($F$8),8+(O661-1)*3),0.3*S661-VLOOKUP(B654,INDIRECT($F$8),6+(O661-1)*3)),11),IF(0.3*S661-VLOOKUP(B654,INDIRECT($F$8),6+(O661-1)*3)&lt;=5,0.3*S661-VLOOKUP(B654,INDIRECT($F$8),6+(O661-1)*3),11)),IF(VLOOKUP(B654,INDIRECT($F$8),8+(O661-1)*3)&lt;U661*0.4,IF(U661*0.4-VLOOKUP(B654,INDIRECT($F$8),8+(O661-1)*3)&lt;=5,U661*0.4-VLOOKUP(B654,INDIRECT($F$8),8+(O661-1)*3),11),0))))</f>
        <v/>
      </c>
      <c r="X661" s="1" t="str">
        <f ca="1">IF(ISERROR(F654),"",IF(W661=0,"",_xlfn.TEXTJOIN("",FALSE," G+",W661," in ",A661)))</f>
        <v/>
      </c>
    </row>
    <row r="662" spans="1:24" ht="12.75" customHeight="1" x14ac:dyDescent="0.2">
      <c r="A662" s="7" t="str">
        <f ca="1">IF(ISERROR(F654),"",VLOOKUP(C654,INDIRECT($F$8),6+(O662-1)*3,0))</f>
        <v/>
      </c>
      <c r="B662" s="41" t="str">
        <f ca="1">IF(ISERROR(F654),"",VLOOKUP(D654,INDIRECT($F$8),6+(O662-1)*3,0))</f>
        <v/>
      </c>
      <c r="C662" s="41"/>
      <c r="D662" s="41"/>
      <c r="E662" s="41"/>
      <c r="F662" s="7" t="str">
        <f ca="1">IF(ISERROR(F654),"",VLOOKUP(E654,INDIRECT($F$8),6+(O662-1)*3,0))</f>
        <v/>
      </c>
      <c r="G662" s="42" t="str">
        <f ca="1">IF(ISERROR(F654),"",_xlfn.TEXTJOIN("/",FALSE,P662,S662))</f>
        <v/>
      </c>
      <c r="H662" s="42"/>
      <c r="I662" s="42" t="str">
        <f ca="1">IF(ISERROR(F654),"",_xlfn.TEXTJOIN("/",FALSE,Q662,T662))</f>
        <v/>
      </c>
      <c r="J662" s="42"/>
      <c r="K662" s="42" t="str">
        <f ca="1">IF(ISERROR(F654),"",_xlfn.TEXTJOIN("/",FALSE,R662,U662))</f>
        <v/>
      </c>
      <c r="L662" s="42"/>
      <c r="M662" s="7" t="str">
        <f ca="1">IF(ISERROR(F654),"",IF(ISTEXT(P662),IF(P662="A","Ab",IF(P662="D","Dt",IF(P662="UFM","UFM",IF(P662="NA","")))),IF(AND(ISBLANK(P662),ISBLANK(R662)),"",IF(P662&lt;0.3*S662,"F",IF(ISBLANK(R662),"",IF(ISTEXT(R662),R662,IF(R662&gt;=0.9*U662,"O",IF(R662&gt;=0.85*U662,"A+",IF(R662&gt;=0.8*U662,"A",IF(R662&gt;=0.7*U662,"B+",IF(R662&gt;=0.6*U662,"B",IF(R662&gt;=0.5*U662,"C",IF(R662&gt;=0.4*U662,"P",IF(R662&lt;0.4*U662,"F",R662))))))))))))))</f>
        <v/>
      </c>
      <c r="N662" s="8" t="str">
        <f t="shared" ca="1" si="76"/>
        <v/>
      </c>
      <c r="O662" t="b" cm="1">
        <f t="array" aca="1" ref="O662" ca="1">IF(NOT(ISBLANK(INDIRECT("SEM_III!R"&amp;INT((ROW(O662)-16)/17)+6))),5,IF(NOT(ISBLANK(INDIRECT("SEM_III!U"&amp;INT((ROW(O662)-16)/17)+6))),6))</f>
        <v>0</v>
      </c>
      <c r="P662" s="1" t="str">
        <f ca="1">IF(ISERROR(F654),"",IF(ISTEXT(VLOOKUP(B654,INDIRECT($F$8),6+(O662-1)*3)),(VLOOKUP(B654,INDIRECT($F$8),6+(O662-1)*3)),SUM(VLOOKUP(B654,INDIRECT($F$8),6+(O662-1)*3),IF(W667,W662,0))))</f>
        <v/>
      </c>
      <c r="Q662" s="1" t="str">
        <f ca="1">IF(ISERROR(F654),"",VLOOKUP(B654,INDIRECT($F$8),7+(O662-1)*3))</f>
        <v/>
      </c>
      <c r="R662" s="1" t="str">
        <f ca="1">IF(ISERROR(F654),"",SUM(P662:Q662))</f>
        <v/>
      </c>
      <c r="S662" s="1" t="str">
        <f ca="1">IF(ISERROR(F654),"",VLOOKUP(A654,INDIRECT($F$8),6+(O662-1)*3))</f>
        <v/>
      </c>
      <c r="T662" s="1" t="str">
        <f ca="1">IF(ISERROR(F654),"",VLOOKUP(A654,INDIRECT($F$8),7+(O662-1)*3))</f>
        <v/>
      </c>
      <c r="U662" s="1" t="str">
        <f ca="1">IF(ISERROR(F654),"",VLOOKUP(A654,INDIRECT($F$8),8+(O662-1)*3))</f>
        <v/>
      </c>
      <c r="V662" s="1" t="str">
        <f ca="1">IF(ISERROR(F654),"",IF(N662=0,A662,""))</f>
        <v/>
      </c>
      <c r="W662" s="1" t="str">
        <f ca="1">IF(ISERROR(F654),"",IF(ISTEXT(VLOOKUP(B654,INDIRECT($F$8),6+(O662-1)*3)),11,IF(VLOOKUP(B654,INDIRECT($F$8),6+(O662-1)*3)&lt;S662*0.3,IF(VLOOKUP(B654,INDIRECT($F$8),8+(O662-1)*3)&lt;U662*0.4,IF(AND(0.4*U662-VLOOKUP(B654,INDIRECT($F$8),8+(O662-1)*3)&lt;=5,0.3*S662-VLOOKUP(B654,INDIRECT($F$8),6+(O662-1)*3)&lt;=5),MAX(0.4*U662-VLOOKUP(B654,INDIRECT($F$8),8+(O662-1)*3),0.3*S662-VLOOKUP(B654,INDIRECT($F$8),6+(O662-1)*3)),11),IF(0.3*S662-VLOOKUP(B654,INDIRECT($F$8),6+(O662-1)*3)&lt;=5,0.3*S662-VLOOKUP(B654,INDIRECT($F$8),6+(O662-1)*3),11)),IF(VLOOKUP(B654,INDIRECT($F$8),8+(O662-1)*3)&lt;U662*0.4,IF(U662*0.4-VLOOKUP(B654,INDIRECT($F$8),8+(O662-1)*3)&lt;=5,U662*0.4-VLOOKUP(B654,INDIRECT($F$8),8+(O662-1)*3),11),0))))</f>
        <v/>
      </c>
      <c r="X662" s="1" t="str">
        <f ca="1">IF(ISERROR(F654),"",IF(W662=0,"",_xlfn.TEXTJOIN("",FALSE," G+",W662," in ",A662)))</f>
        <v/>
      </c>
    </row>
    <row r="663" spans="1:24" ht="12.75" customHeight="1" x14ac:dyDescent="0.2">
      <c r="A663" s="7" t="str">
        <f ca="1">IF(ISERROR(F654),"",VLOOKUP(C654,INDIRECT($F$8),6+(O663-1)*3,0))</f>
        <v/>
      </c>
      <c r="B663" s="41" t="str">
        <f ca="1">IF(ISERROR(F654),"",VLOOKUP(D654,INDIRECT($F$8),6+(O663-1)*3,0))</f>
        <v/>
      </c>
      <c r="C663" s="41"/>
      <c r="D663" s="41"/>
      <c r="E663" s="41"/>
      <c r="F663" s="7" t="str">
        <f ca="1">IF(ISERROR(F654),"",VLOOKUP(E654,INDIRECT($F$8),6+(O663-1)*3,0))</f>
        <v/>
      </c>
      <c r="G663" s="42" t="str">
        <f ca="1">IF(ISERROR(F654),"",_xlfn.TEXTJOIN("/",FALSE,P663,S663))</f>
        <v/>
      </c>
      <c r="H663" s="42"/>
      <c r="I663" s="42" t="str">
        <f ca="1">IF(ISERROR(F654),"",_xlfn.TEXTJOIN("/",FALSE,Q663,T663))</f>
        <v/>
      </c>
      <c r="J663" s="42"/>
      <c r="K663" s="42" t="str">
        <f ca="1">IF(ISERROR(F654),"",_xlfn.TEXTJOIN("/",FALSE,R663,U663))</f>
        <v/>
      </c>
      <c r="L663" s="42"/>
      <c r="M663" s="7" t="str">
        <f ca="1">IF(ISERROR(F654),"",IF(ISTEXT(P663),IF(P663="A","Ab",IF(P663="D","Dt",IF(P663="UFM","UFM",IF(P663="NA","")))),IF(AND(ISBLANK(P663),ISBLANK(R663)),"",IF(P663&lt;0.3*S663,"F",IF(ISBLANK(R663),"",IF(ISTEXT(R663),R663,IF(R663&gt;=0.9*U663,"O",IF(R663&gt;=0.85*U663,"A+",IF(R663&gt;=0.8*U663,"A",IF(R663&gt;=0.7*U663,"B+",IF(R663&gt;=0.6*U663,"B",IF(R663&gt;=0.5*U663,"C",IF(R663&gt;=0.4*U663,"P",IF(R663&lt;0.4*U663,"F",R663))))))))))))))</f>
        <v/>
      </c>
      <c r="N663" s="8" t="str">
        <f t="shared" ca="1" si="76"/>
        <v/>
      </c>
      <c r="O663">
        <f ca="1">IF(O662&gt;0,7,"")</f>
        <v>7</v>
      </c>
      <c r="P663" s="1" t="str">
        <f ca="1">IF(ISERROR(F654),"",IF(ISTEXT(VLOOKUP(B654,INDIRECT($F$8),6+(O663-1)*3)),(VLOOKUP(B654,INDIRECT($F$8),6+(O663-1)*3)),SUM(VLOOKUP(B654,INDIRECT($F$8),6+(O663-1)*3),IF(W667,W663,0))))</f>
        <v/>
      </c>
      <c r="Q663" s="1" t="str">
        <f ca="1">IF(ISERROR(F654),"",VLOOKUP(B654,INDIRECT($F$8),7+(O663-1)*3))</f>
        <v/>
      </c>
      <c r="R663" s="1" t="str">
        <f ca="1">IF(ISERROR(F654),"",SUM(P663:Q663))</f>
        <v/>
      </c>
      <c r="S663" s="1" t="str">
        <f ca="1">IF(ISERROR(F654),"",VLOOKUP(A654,INDIRECT($F$8),6+(O663-1)*3))</f>
        <v/>
      </c>
      <c r="T663" s="1" t="str">
        <f ca="1">IF(ISERROR(F654),"",VLOOKUP(A654,INDIRECT($F$8),7+(O663-1)*3))</f>
        <v/>
      </c>
      <c r="U663" s="1" t="str">
        <f ca="1">IF(ISERROR(F654),"",VLOOKUP(A654,INDIRECT($F$8),8+(O663-1)*3))</f>
        <v/>
      </c>
      <c r="V663" s="1" t="str">
        <f ca="1">IF(ISERROR(F654),"",IF(N663=0,A663,""))</f>
        <v/>
      </c>
      <c r="W663" s="1" t="str">
        <f ca="1">IF(ISERROR(F654),"",IF(ISTEXT(VLOOKUP(B654,INDIRECT($F$8),6+(O663-1)*3)),11,IF(VLOOKUP(B654,INDIRECT($F$8),6+(O663-1)*3)&lt;S663*0.3,IF(VLOOKUP(B654,INDIRECT($F$8),8+(O663-1)*3)&lt;U663*0.4,IF(AND(0.4*U663-VLOOKUP(B654,INDIRECT($F$8),8+(O663-1)*3)&lt;=5,0.3*S663-VLOOKUP(B654,INDIRECT($F$8),6+(O663-1)*3)&lt;=5),MAX(0.4*U663-VLOOKUP(B654,INDIRECT($F$8),8+(O663-1)*3),0.3*S663-VLOOKUP(B654,INDIRECT($F$8),6+(O663-1)*3)),11),IF(0.3*S663-VLOOKUP(B654,INDIRECT($F$8),6+(O663-1)*3)&lt;=5,0.3*S663-VLOOKUP(B654,INDIRECT($F$8),6+(O663-1)*3),11)),IF(VLOOKUP(B654,INDIRECT($F$8),8+(O663-1)*3)&lt;U663*0.4,IF(U663*0.4-VLOOKUP(B654,INDIRECT($F$8),8+(O663-1)*3)&lt;=5,U663*0.4-VLOOKUP(B654,INDIRECT($F$8),8+(O663-1)*3),11),0))))</f>
        <v/>
      </c>
      <c r="X663" s="1" t="str">
        <f ca="1">IF(ISERROR(F654),"",IF(W663=0,"",_xlfn.TEXTJOIN("",FALSE," G+",W663," in ",A663)))</f>
        <v/>
      </c>
    </row>
    <row r="664" spans="1:24" ht="12.75" customHeight="1" x14ac:dyDescent="0.2">
      <c r="A664" s="7" t="str">
        <f ca="1">IF(ISERROR(F654),"",VLOOKUP(C654,INDIRECT($F$8),6+(O664-1)*3,0))</f>
        <v/>
      </c>
      <c r="B664" s="41" t="str">
        <f ca="1">IF(ISERROR(F654),"",VLOOKUP(D654,INDIRECT($F$8),6+(O664-1)*3,0))</f>
        <v/>
      </c>
      <c r="C664" s="41"/>
      <c r="D664" s="41"/>
      <c r="E664" s="41"/>
      <c r="F664" s="7" t="str">
        <f ca="1">IF(ISERROR(F654),"",VLOOKUP(E654,INDIRECT($F$8),6+(O664-1)*3,0))</f>
        <v/>
      </c>
      <c r="G664" s="42" t="str">
        <f ca="1">IF(ISERROR(F654),"",_xlfn.TEXTJOIN("/",FALSE,P664,S664))</f>
        <v/>
      </c>
      <c r="H664" s="42"/>
      <c r="I664" s="42" t="str">
        <f ca="1">IF(ISERROR(F654),"",_xlfn.TEXTJOIN("/",FALSE,Q664,T664))</f>
        <v/>
      </c>
      <c r="J664" s="42"/>
      <c r="K664" s="42" t="str">
        <f ca="1">IF(ISERROR(F654),"",_xlfn.TEXTJOIN("/",FALSE,R664,U664))</f>
        <v/>
      </c>
      <c r="L664" s="42"/>
      <c r="M664" s="7" t="str">
        <f ca="1">IF(ISERROR(F654),"",IF(ISTEXT(P664),IF(P664="A","Ab",IF(P664="D","Dt",IF(P664="UFM","UFM",IF(P664="NA","")))),IF(AND(ISBLANK(P664),ISBLANK(R664)),"",IF(P664&lt;0.3*S664,"F",IF(ISBLANK(R664),"",IF(ISTEXT(R664),R664,IF(R664&gt;=0.9*U664,"O",IF(R664&gt;=0.85*U664,"A+",IF(R664&gt;=0.8*U664,"A",IF(R664&gt;=0.7*U664,"B+",IF(R664&gt;=0.6*U664,"B",IF(R664&gt;=0.5*U664,"C",IF(R664&gt;=0.4*U664,"P",IF(R664&lt;0.4*U664,"F",R664))))))))))))))</f>
        <v/>
      </c>
      <c r="N664" s="8" t="str">
        <f t="shared" ca="1" si="76"/>
        <v/>
      </c>
      <c r="O664">
        <f t="shared" ref="O664:O666" ca="1" si="77">O663+1</f>
        <v>8</v>
      </c>
      <c r="P664" s="1" t="str">
        <f ca="1">IF(ISERROR(F654),"",IF(ISTEXT(VLOOKUP(B654,INDIRECT($F$8),6+(O664-1)*3)),(VLOOKUP(B654,INDIRECT($F$8),6+(O664-1)*3)),SUM(VLOOKUP(B654,INDIRECT($F$8),6+(O664-1)*3),IF(W667,W664,0))))</f>
        <v/>
      </c>
      <c r="Q664" s="1" t="str">
        <f ca="1">IF(ISERROR(F654),"",VLOOKUP(B654,INDIRECT($F$8),7+(O664-1)*3))</f>
        <v/>
      </c>
      <c r="R664" s="1" t="str">
        <f ca="1">IF(ISERROR(F654),"",SUM(P664:Q664))</f>
        <v/>
      </c>
      <c r="S664" s="1" t="str">
        <f ca="1">IF(ISERROR(F654),"",VLOOKUP(A654,INDIRECT($F$8),6+(O664-1)*3))</f>
        <v/>
      </c>
      <c r="T664" s="1" t="str">
        <f ca="1">IF(ISERROR(F654),"",VLOOKUP(A654,INDIRECT($F$8),7+(O664-1)*3))</f>
        <v/>
      </c>
      <c r="U664" s="1" t="str">
        <f ca="1">IF(ISERROR(F654),"",VLOOKUP(A654,INDIRECT($F$8),8+(O664-1)*3))</f>
        <v/>
      </c>
      <c r="V664" s="1" t="str">
        <f ca="1">IF(ISERROR(F654),"",IF(N664=0,A664,""))</f>
        <v/>
      </c>
      <c r="W664" s="1" t="str">
        <f ca="1">IF(ISERROR(F654),"",IF(ISTEXT(VLOOKUP(B654,INDIRECT($F$8),6+(O664-1)*3)),11,IF(VLOOKUP(B654,INDIRECT($F$8),6+(O664-1)*3)&lt;S664*0.3,IF(VLOOKUP(B654,INDIRECT($F$8),8+(O664-1)*3)&lt;U664*0.4,IF(AND(0.4*U664-VLOOKUP(B654,INDIRECT($F$8),8+(O664-1)*3)&lt;=5,0.3*S664-VLOOKUP(B654,INDIRECT($F$8),6+(O664-1)*3)&lt;=5),MAX(0.4*U664-VLOOKUP(B654,INDIRECT($F$8),8+(O664-1)*3),0.3*S664-VLOOKUP(B654,INDIRECT($F$8),6+(O664-1)*3)),11),IF(0.3*S664-VLOOKUP(B654,INDIRECT($F$8),6+(O664-1)*3)&lt;=5,0.3*S664-VLOOKUP(B654,INDIRECT($F$8),6+(O664-1)*3),11)),IF(VLOOKUP(B654,INDIRECT($F$8),8+(O664-1)*3)&lt;U664*0.4,IF(U664*0.4-VLOOKUP(B654,INDIRECT($F$8),8+(O664-1)*3)&lt;=5,U664*0.4-VLOOKUP(B654,INDIRECT($F$8),8+(O664-1)*3),11),0))))</f>
        <v/>
      </c>
      <c r="X664" s="1" t="str">
        <f ca="1">IF(ISERROR(F654),"",IF(W664=0,"",_xlfn.TEXTJOIN("",FALSE," G+",W664," in ",A664)))</f>
        <v/>
      </c>
    </row>
    <row r="665" spans="1:24" ht="12.75" customHeight="1" x14ac:dyDescent="0.2">
      <c r="A665" s="7" t="str">
        <f ca="1">IF(ISERROR(F654),"",VLOOKUP(C654,INDIRECT($F$8),6+(O665-1)*3,0))</f>
        <v/>
      </c>
      <c r="B665" s="41" t="str">
        <f ca="1">IF(ISERROR(F654),"",VLOOKUP(D654,INDIRECT($F$8),6+(O665-1)*3,0))</f>
        <v/>
      </c>
      <c r="C665" s="41"/>
      <c r="D665" s="41"/>
      <c r="E665" s="41"/>
      <c r="F665" s="7" t="str">
        <f ca="1">IF(ISERROR(F654),"",VLOOKUP(E654,INDIRECT($F$8),6+(O665-1)*3,0))</f>
        <v/>
      </c>
      <c r="G665" s="42" t="str">
        <f ca="1">IF(ISERROR(F654),"",_xlfn.TEXTJOIN("/",FALSE,P665,S665))</f>
        <v/>
      </c>
      <c r="H665" s="42"/>
      <c r="I665" s="42" t="str">
        <f ca="1">IF(ISERROR(F654),"",_xlfn.TEXTJOIN("/",FALSE,Q665,T665))</f>
        <v/>
      </c>
      <c r="J665" s="42"/>
      <c r="K665" s="42" t="str">
        <f ca="1">IF(ISERROR(F654),"",_xlfn.TEXTJOIN("/",FALSE,R665,U665))</f>
        <v/>
      </c>
      <c r="L665" s="42"/>
      <c r="M665" s="7" t="str">
        <f ca="1">IF(ISERROR(F654),"",IF(ISTEXT(P665),IF(P665="A","Ab",IF(P665="D","Dt",IF(P665="UFM","UFM",IF(P665="NA","")))),IF(AND(ISBLANK(P665),ISBLANK(R665)),"",IF(P665&lt;0.3*S665,"F",IF(ISBLANK(R665),"",IF(ISTEXT(R665),R665,IF(R665&gt;=0.9*U665,"O",IF(R665&gt;=0.85*U665,"A+",IF(R665&gt;=0.8*U665,"A",IF(R665&gt;=0.7*U665,"B+",IF(R665&gt;=0.6*U665,"B",IF(R665&gt;=0.5*U665,"C",IF(R665&gt;=0.4*U665,"P",IF(R665&lt;0.4*U665,"F",R665))))))))))))))</f>
        <v/>
      </c>
      <c r="N665" s="8" t="str">
        <f t="shared" ca="1" si="76"/>
        <v/>
      </c>
      <c r="O665">
        <f t="shared" ca="1" si="77"/>
        <v>9</v>
      </c>
      <c r="P665" s="1" t="str">
        <f ca="1">IF(ISERROR(F654),"",IF(ISTEXT(VLOOKUP(B654,INDIRECT($F$8),6+(O665-1)*3)),(VLOOKUP(B654,INDIRECT($F$8),6+(O665-1)*3)),SUM(VLOOKUP(B654,INDIRECT($F$8),6+(O665-1)*3),IF(W667,W665,0))))</f>
        <v/>
      </c>
      <c r="Q665" s="1" t="str">
        <f ca="1">IF(ISERROR(F654),"",VLOOKUP(B654,INDIRECT($F$8),7+(O665-1)*3))</f>
        <v/>
      </c>
      <c r="R665" s="1" t="str">
        <f ca="1">IF(ISERROR(F654),"",SUM(P665:Q665))</f>
        <v/>
      </c>
      <c r="S665" s="1" t="str">
        <f ca="1">IF(ISERROR(F654),"",VLOOKUP(A654,INDIRECT($F$8),6+(O665-1)*3))</f>
        <v/>
      </c>
      <c r="T665" s="1" t="str">
        <f ca="1">IF(ISERROR(F654),"",VLOOKUP(A654,INDIRECT($F$8),7+(O665-1)*3))</f>
        <v/>
      </c>
      <c r="U665" s="1" t="str">
        <f ca="1">IF(ISERROR(F654),"",VLOOKUP(A654,INDIRECT($F$8),8+(O665-1)*3))</f>
        <v/>
      </c>
      <c r="V665" s="1" t="str">
        <f ca="1">IF(ISERROR(F654),"",IF(N665=0,A665,""))</f>
        <v/>
      </c>
      <c r="W665" s="1" t="str">
        <f ca="1">IF(ISERROR(F654),"",IF(ISTEXT(VLOOKUP(B654,INDIRECT($F$8),6+(O665-1)*3)),11,IF(VLOOKUP(B654,INDIRECT($F$8),6+(O665-1)*3)&lt;S665*0.3,IF(VLOOKUP(B654,INDIRECT($F$8),8+(O665-1)*3)&lt;U665*0.4,IF(AND(0.4*U665-VLOOKUP(B654,INDIRECT($F$8),8+(O665-1)*3)&lt;=5,0.3*S665-VLOOKUP(B654,INDIRECT($F$8),6+(O665-1)*3)&lt;=5),MAX(0.4*U665-VLOOKUP(B654,INDIRECT($F$8),8+(O665-1)*3),0.3*S665-VLOOKUP(B654,INDIRECT($F$8),6+(O665-1)*3)),11),IF(0.3*S665-VLOOKUP(B654,INDIRECT($F$8),6+(O665-1)*3)&lt;=5,0.3*S665-VLOOKUP(B654,INDIRECT($F$8),6+(O665-1)*3),11)),IF(VLOOKUP(B654,INDIRECT($F$8),8+(O665-1)*3)&lt;U665*0.4,IF(U665*0.4-VLOOKUP(B654,INDIRECT($F$8),8+(O665-1)*3)&lt;=5,U665*0.4-VLOOKUP(B654,INDIRECT($F$8),8+(O665-1)*3),11),0))))</f>
        <v/>
      </c>
      <c r="X665" s="1" t="str">
        <f ca="1">IF(ISERROR(F654),"",IF(W665=0,"",_xlfn.TEXTJOIN("",FALSE," G+",W665," in ",A665)))</f>
        <v/>
      </c>
    </row>
    <row r="666" spans="1:24" ht="12.75" customHeight="1" x14ac:dyDescent="0.2">
      <c r="A666" s="7" t="str">
        <f ca="1">IF(ISERROR(F654),"",VLOOKUP(C654,INDIRECT($F$8),6+(O666-1)*3,0))</f>
        <v/>
      </c>
      <c r="B666" s="41" t="str">
        <f ca="1">IF(ISERROR(F654),"",VLOOKUP(D654,INDIRECT($F$8),6+(O666-1)*3-Z666,0))</f>
        <v/>
      </c>
      <c r="C666" s="41"/>
      <c r="D666" s="41"/>
      <c r="E666" s="41"/>
      <c r="F666" s="7" t="str">
        <f ca="1">IF(ISERROR(F654),"",VLOOKUP(E654,INDIRECT($F$8),6+(O666-1)*3,0))</f>
        <v/>
      </c>
      <c r="G666" s="42" t="str">
        <f ca="1">IF(ISERROR(F654),"",_xlfn.TEXTJOIN("/",FALSE,P666,S666))</f>
        <v/>
      </c>
      <c r="H666" s="42"/>
      <c r="I666" s="42" t="str">
        <f ca="1">IF(ISERROR(F654),"",_xlfn.TEXTJOIN("/",FALSE,Q666,T666))</f>
        <v/>
      </c>
      <c r="J666" s="42"/>
      <c r="K666" s="42" t="str">
        <f ca="1">IF(ISERROR(F654),"",_xlfn.TEXTJOIN("/",FALSE,R666,U666))</f>
        <v/>
      </c>
      <c r="L666" s="42"/>
      <c r="M666" s="7" t="str">
        <f ca="1">IF(ISERROR(F654),"",IF(ISTEXT(P666),IF(P666="A","Ab",IF(P666="D","Dt",IF(P666="UFM","UFM",IF(P666="NA","")))),IF(AND(ISBLANK(P666),ISBLANK(R666)),"",IF(P666&lt;0.3*S666,"F",IF(ISBLANK(R666),"",IF(ISTEXT(R666),R666,IF(R666&gt;=0.9*U666,"O",IF(R666&gt;=0.85*U666,"A+",IF(R666&gt;=0.8*U666,"A",IF(R666&gt;=0.7*U666,"B+",IF(R666&gt;=0.6*U666,"B",IF(R666&gt;=0.5*U666,"C",IF(R666&gt;=0.4*U666,"P",IF(R666&lt;0.4*U666,"F",R666))))))))))))))</f>
        <v/>
      </c>
      <c r="N666" s="8" t="str">
        <f t="shared" ca="1" si="76"/>
        <v/>
      </c>
      <c r="O666">
        <f t="shared" ca="1" si="77"/>
        <v>10</v>
      </c>
      <c r="P666" s="1" t="str">
        <f ca="1">IF(ISERROR(F654),"",IF(ISTEXT(VLOOKUP(B654,INDIRECT($F$8),6+(O666-1)*3)),(VLOOKUP(B654,INDIRECT($F$8),6+(O666-1)*3)),SUM(VLOOKUP(B654,INDIRECT($F$8),6+(O666-1)*3),IF(W667,W666,0))))</f>
        <v/>
      </c>
      <c r="Q666" s="1" t="str">
        <f ca="1">IF(ISERROR(F654),"",VLOOKUP(B654,INDIRECT($F$8),7+(O666-1)*3))</f>
        <v/>
      </c>
      <c r="R666" s="1" t="str">
        <f ca="1">IF(ISERROR(F654),"",SUM(P666:Q666))</f>
        <v/>
      </c>
      <c r="S666" s="1" t="str">
        <f ca="1">IF(ISERROR(F654),"",VLOOKUP(A654,INDIRECT($F$8),6+(O666-1)*3))</f>
        <v/>
      </c>
      <c r="T666" s="1" t="str">
        <f ca="1">IF(ISERROR(F654),"",VLOOKUP(A654,INDIRECT($F$8),7+(O666-1)*3))</f>
        <v/>
      </c>
      <c r="U666" s="1" t="str">
        <f ca="1">IF(ISERROR(F654),"",VLOOKUP(A654,INDIRECT($F$8),8+(O666-1)*3))</f>
        <v/>
      </c>
      <c r="V666" s="1" t="str">
        <f ca="1">IF(ISERROR(F654),"",IF(N666=0,A666,""))</f>
        <v/>
      </c>
      <c r="W666" s="1" t="str">
        <f ca="1">IF(ISERROR(F654),"",IF(ISTEXT(VLOOKUP(B654,INDIRECT($F$8),6+(O666-1)*3)),11,IF(VLOOKUP(B654,INDIRECT($F$8),6+(O666-1)*3)&lt;S666*0.3,IF(VLOOKUP(B654,INDIRECT($F$8),8+(O666-1)*3)&lt;U666*0.4,IF(AND(0.4*U666-VLOOKUP(B654,INDIRECT($F$8),8+(O666-1)*3)&lt;=5,0.3*S666-VLOOKUP(B654,INDIRECT($F$8),6+(O666-1)*3)&lt;=5),MAX(0.4*U666-VLOOKUP(B654,INDIRECT($F$8),8+(O666-1)*3),0.3*S666-VLOOKUP(B654,INDIRECT($F$8),6+(O666-1)*3)),11),IF(0.3*S666-VLOOKUP(B654,INDIRECT($F$8),6+(O666-1)*3)&lt;=5,0.3*S666-VLOOKUP(B654,INDIRECT($F$8),6+(O666-1)*3),11)),IF(VLOOKUP(B654,INDIRECT($F$8),8+(O666-1)*3)&lt;U666*0.4,IF(U666*0.4-VLOOKUP(B654,INDIRECT($F$8),8+(O666-1)*3)&lt;=5,U666*0.4-VLOOKUP(B654,INDIRECT($F$8),8+(O666-1)*3),11),0))))</f>
        <v/>
      </c>
      <c r="X666" s="1" t="str">
        <f ca="1">IF(ISERROR(F654),"",IF(W666=0,"",_xlfn.TEXTJOIN("",FALSE," G+",W666," in ",A666)))</f>
        <v/>
      </c>
    </row>
    <row r="667" spans="1:24" ht="12.75" customHeight="1" x14ac:dyDescent="0.2">
      <c r="A667" s="43" t="str">
        <f ca="1">IF(ISERROR(F654),"",A650)</f>
        <v/>
      </c>
      <c r="B667" s="43"/>
      <c r="C667" s="43"/>
      <c r="D667" s="43"/>
      <c r="E667" s="43"/>
      <c r="F667" s="10" t="str">
        <f ca="1">IF(ISERROR(F654),"",SUM(F659:F666))</f>
        <v/>
      </c>
      <c r="G667" s="44" t="str">
        <f ca="1">IF(ISERROR(F654),"",_xlfn.TEXTJOIN("/",TRUE,SUMIF(F659:F666,"&gt;0",P659:P666),SUMIF(F659:F666,"&gt;0",S659:S666)))</f>
        <v/>
      </c>
      <c r="H667" s="44"/>
      <c r="I667" s="44" t="str">
        <f ca="1">IF(ISERROR(F654),"",_xlfn.TEXTJOIN("/",TRUE,SUMIF(F659:F666,"&gt;0",Q659:Q666),SUMIF(F659:F666,"&gt;0",T659:T666)))</f>
        <v/>
      </c>
      <c r="J667" s="44"/>
      <c r="K667" s="44" t="str">
        <f ca="1">IF(ISERROR(F654),"",_xlfn.TEXTJOIN("/",TRUE,SUMIF(F659:F666,"&gt;0",R659:R666),SUMIF(F659:F666,"&gt;0",U659:U666)))</f>
        <v/>
      </c>
      <c r="L667" s="44"/>
      <c r="M667" s="43" t="str">
        <f ca="1">IF(ISERROR(F654),"",SUMPRODUCT(N659:N666,F659:F666))</f>
        <v/>
      </c>
      <c r="N667" s="43"/>
      <c r="V667" s="1" t="str">
        <f ca="1">IF(ISERROR(F654),"",_xlfn.TEXTJOIN(", ",TRUE,V659:V666))</f>
        <v/>
      </c>
      <c r="W667" t="str">
        <f ca="1">IF(ISERROR(F654),"",IF(SUM(W659:W666)&lt;=W658,TRUE,FALSE))</f>
        <v/>
      </c>
      <c r="X667" s="1" t="str">
        <f ca="1">IF(ISERROR(F654),"",_xlfn.TEXTJOIN(",",TRUE,X659:X666))</f>
        <v/>
      </c>
    </row>
    <row r="668" spans="1:24" ht="12.75" customHeight="1" x14ac:dyDescent="0.2">
      <c r="A668" s="43" t="str">
        <f ca="1">IF(ISERROR(F654),"",A651)</f>
        <v/>
      </c>
      <c r="B668" s="45" t="str">
        <f ca="1">IF(ISERROR(F654),"",IF(V667="","PASS","CARRY OVER"))</f>
        <v/>
      </c>
      <c r="C668" s="45"/>
      <c r="D668" s="43" t="str">
        <f ca="1">IF(ISERROR(F654),"",D651)</f>
        <v/>
      </c>
      <c r="E668" s="45" t="str">
        <f ca="1">IF(ISERROR(F654),"",IF(V667="",IF(X667="","",X667),_xlfn.TEXTJOIN(" ",TRUE,"BACK IN",V667)))</f>
        <v/>
      </c>
      <c r="F668" s="45"/>
      <c r="G668" s="43" t="str">
        <f ca="1">IF(ISERROR(F654),"",G651)</f>
        <v/>
      </c>
      <c r="H668" s="46" t="str">
        <f ca="1">IF(ISERROR(F654),"",M667/F667)</f>
        <v/>
      </c>
      <c r="I668" s="43" t="str">
        <f ca="1">IF(ISERROR(F654),"",I651)</f>
        <v/>
      </c>
      <c r="J668" s="46" t="str">
        <f ca="1">IF(ISERROR(F654),"",VLOOKUP(B654,INDIRECT($F$8),12+(O666-1)*3,0))</f>
        <v/>
      </c>
      <c r="K668" s="45" t="str">
        <f ca="1">IF(ISERROR(F654),"",K651)</f>
        <v/>
      </c>
      <c r="L668" s="43" t="str">
        <f ca="1">IF(ISERROR(F654),"",SUMIF(N659:N666,"&gt;0",F659:F666))</f>
        <v/>
      </c>
      <c r="M668" s="45" t="str">
        <f ca="1">IF(ISERROR(F654),"",M651)</f>
        <v/>
      </c>
      <c r="N668" s="43" t="str">
        <f ca="1">IF(ISERROR(F654),"",VLOOKUP(B654,INDIRECT($F$8),10+(O666-1)*3,0))</f>
        <v/>
      </c>
    </row>
    <row r="669" spans="1:24" ht="12.75" customHeight="1" x14ac:dyDescent="0.2">
      <c r="A669" s="43"/>
      <c r="B669" s="45"/>
      <c r="C669" s="45"/>
      <c r="D669" s="43"/>
      <c r="E669" s="45"/>
      <c r="F669" s="45"/>
      <c r="G669" s="43"/>
      <c r="H669" s="46"/>
      <c r="I669" s="43"/>
      <c r="J669" s="46"/>
      <c r="K669" s="45"/>
      <c r="L669" s="43"/>
      <c r="M669" s="45"/>
      <c r="N669" s="43"/>
    </row>
    <row r="670" spans="1:24" ht="12.75" customHeight="1" x14ac:dyDescent="0.2">
      <c r="A670" s="43"/>
      <c r="B670" s="45"/>
      <c r="C670" s="45"/>
      <c r="D670" s="43"/>
      <c r="E670" s="45"/>
      <c r="F670" s="45"/>
      <c r="G670" s="43"/>
      <c r="H670" s="46"/>
      <c r="I670" s="43"/>
      <c r="J670" s="46"/>
      <c r="K670" s="45"/>
      <c r="L670" s="43"/>
      <c r="M670" s="45"/>
      <c r="N670" s="43"/>
    </row>
  </sheetData>
  <mergeCells count="2539">
    <mergeCell ref="B665:E665"/>
    <mergeCell ref="G665:H665"/>
    <mergeCell ref="I665:J665"/>
    <mergeCell ref="K665:L665"/>
    <mergeCell ref="B666:E666"/>
    <mergeCell ref="G666:H666"/>
    <mergeCell ref="I666:J666"/>
    <mergeCell ref="K666:L666"/>
    <mergeCell ref="A667:E667"/>
    <mergeCell ref="G667:H667"/>
    <mergeCell ref="I667:J667"/>
    <mergeCell ref="K667:L667"/>
    <mergeCell ref="M667:N667"/>
    <mergeCell ref="A668:A670"/>
    <mergeCell ref="B668:C670"/>
    <mergeCell ref="D668:D670"/>
    <mergeCell ref="E668:F670"/>
    <mergeCell ref="G668:G670"/>
    <mergeCell ref="H668:H670"/>
    <mergeCell ref="I668:I670"/>
    <mergeCell ref="J668:J670"/>
    <mergeCell ref="K668:K670"/>
    <mergeCell ref="L668:L670"/>
    <mergeCell ref="M668:M670"/>
    <mergeCell ref="N668:N670"/>
    <mergeCell ref="B660:E660"/>
    <mergeCell ref="G660:H660"/>
    <mergeCell ref="I660:J660"/>
    <mergeCell ref="K660:L660"/>
    <mergeCell ref="B661:E661"/>
    <mergeCell ref="G661:H661"/>
    <mergeCell ref="I661:J661"/>
    <mergeCell ref="K661:L661"/>
    <mergeCell ref="B662:E662"/>
    <mergeCell ref="G662:H662"/>
    <mergeCell ref="I662:J662"/>
    <mergeCell ref="K662:L662"/>
    <mergeCell ref="B663:E663"/>
    <mergeCell ref="G663:H663"/>
    <mergeCell ref="I663:J663"/>
    <mergeCell ref="K663:L663"/>
    <mergeCell ref="B664:E664"/>
    <mergeCell ref="G664:H664"/>
    <mergeCell ref="I664:J664"/>
    <mergeCell ref="K664:L664"/>
    <mergeCell ref="A655:A656"/>
    <mergeCell ref="B655:C656"/>
    <mergeCell ref="D655:D656"/>
    <mergeCell ref="E655:F656"/>
    <mergeCell ref="G655:H656"/>
    <mergeCell ref="I655:J656"/>
    <mergeCell ref="K655:L656"/>
    <mergeCell ref="M655:N656"/>
    <mergeCell ref="A657:A658"/>
    <mergeCell ref="B657:E658"/>
    <mergeCell ref="F657:F658"/>
    <mergeCell ref="G657:H658"/>
    <mergeCell ref="I657:J658"/>
    <mergeCell ref="K657:L658"/>
    <mergeCell ref="M657:M658"/>
    <mergeCell ref="N657:N658"/>
    <mergeCell ref="B659:E659"/>
    <mergeCell ref="G659:H659"/>
    <mergeCell ref="I659:J659"/>
    <mergeCell ref="K659:L659"/>
    <mergeCell ref="K15:L15"/>
    <mergeCell ref="B16:E16"/>
    <mergeCell ref="G16:H16"/>
    <mergeCell ref="I16:J16"/>
    <mergeCell ref="K16:L16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A21:E21"/>
    <mergeCell ref="G21:H21"/>
    <mergeCell ref="I21:J21"/>
    <mergeCell ref="K21:L21"/>
    <mergeCell ref="M21:N21"/>
    <mergeCell ref="B19:E19"/>
    <mergeCell ref="G19:H19"/>
    <mergeCell ref="I19:J19"/>
    <mergeCell ref="K19:L19"/>
    <mergeCell ref="B20:E20"/>
    <mergeCell ref="G20:H20"/>
    <mergeCell ref="I20:J20"/>
    <mergeCell ref="K20:L20"/>
    <mergeCell ref="B17:E17"/>
    <mergeCell ref="G17:H17"/>
    <mergeCell ref="I17:J17"/>
    <mergeCell ref="K17:L17"/>
    <mergeCell ref="B18:E18"/>
    <mergeCell ref="G18:H18"/>
    <mergeCell ref="I18:J18"/>
    <mergeCell ref="K18:L18"/>
    <mergeCell ref="N11:N12"/>
    <mergeCell ref="B15:E15"/>
    <mergeCell ref="G15:H15"/>
    <mergeCell ref="I15:J15"/>
    <mergeCell ref="K26:L27"/>
    <mergeCell ref="M26:N27"/>
    <mergeCell ref="A28:A29"/>
    <mergeCell ref="B28:E29"/>
    <mergeCell ref="F28:F29"/>
    <mergeCell ref="G28:H29"/>
    <mergeCell ref="I28:J29"/>
    <mergeCell ref="K28:L29"/>
    <mergeCell ref="M28:M29"/>
    <mergeCell ref="N28:N29"/>
    <mergeCell ref="A26:A27"/>
    <mergeCell ref="B26:C27"/>
    <mergeCell ref="D26:D27"/>
    <mergeCell ref="E26:F27"/>
    <mergeCell ref="G26:H27"/>
    <mergeCell ref="I26:J27"/>
    <mergeCell ref="I22:I24"/>
    <mergeCell ref="J22:J24"/>
    <mergeCell ref="K22:K24"/>
    <mergeCell ref="L22:L24"/>
    <mergeCell ref="M22:M24"/>
    <mergeCell ref="N22:N24"/>
    <mergeCell ref="A22:A24"/>
    <mergeCell ref="B22:C24"/>
    <mergeCell ref="D22:D24"/>
    <mergeCell ref="E22:F24"/>
    <mergeCell ref="G22:G24"/>
    <mergeCell ref="H22:H24"/>
    <mergeCell ref="B34:E34"/>
    <mergeCell ref="G34:H34"/>
    <mergeCell ref="I34:J34"/>
    <mergeCell ref="K34:L34"/>
    <mergeCell ref="B35:E35"/>
    <mergeCell ref="G35:H35"/>
    <mergeCell ref="I35:J35"/>
    <mergeCell ref="K35:L35"/>
    <mergeCell ref="B32:E32"/>
    <mergeCell ref="G32:H32"/>
    <mergeCell ref="I32:J32"/>
    <mergeCell ref="K32:L32"/>
    <mergeCell ref="B33:E33"/>
    <mergeCell ref="G33:H33"/>
    <mergeCell ref="I33:J33"/>
    <mergeCell ref="K33:L33"/>
    <mergeCell ref="B30:E30"/>
    <mergeCell ref="G30:H30"/>
    <mergeCell ref="I30:J30"/>
    <mergeCell ref="K30:L30"/>
    <mergeCell ref="B31:E31"/>
    <mergeCell ref="G31:H31"/>
    <mergeCell ref="I31:J31"/>
    <mergeCell ref="K31:L31"/>
    <mergeCell ref="N39:N41"/>
    <mergeCell ref="A39:A41"/>
    <mergeCell ref="B39:C41"/>
    <mergeCell ref="D39:D41"/>
    <mergeCell ref="E39:F41"/>
    <mergeCell ref="G39:G41"/>
    <mergeCell ref="H39:H41"/>
    <mergeCell ref="A38:E38"/>
    <mergeCell ref="G38:H38"/>
    <mergeCell ref="I38:J38"/>
    <mergeCell ref="K38:L38"/>
    <mergeCell ref="M38:N38"/>
    <mergeCell ref="B36:E36"/>
    <mergeCell ref="G36:H36"/>
    <mergeCell ref="I36:J36"/>
    <mergeCell ref="K36:L36"/>
    <mergeCell ref="B37:E37"/>
    <mergeCell ref="G37:H37"/>
    <mergeCell ref="I37:J37"/>
    <mergeCell ref="K37:L37"/>
    <mergeCell ref="F113:F114"/>
    <mergeCell ref="A62:A63"/>
    <mergeCell ref="G55:H55"/>
    <mergeCell ref="I55:J55"/>
    <mergeCell ref="K55:L55"/>
    <mergeCell ref="I39:I41"/>
    <mergeCell ref="J39:J41"/>
    <mergeCell ref="K39:K41"/>
    <mergeCell ref="L39:L41"/>
    <mergeCell ref="M39:M41"/>
    <mergeCell ref="B53:E53"/>
    <mergeCell ref="G53:H53"/>
    <mergeCell ref="I53:J53"/>
    <mergeCell ref="K53:L53"/>
    <mergeCell ref="B54:E54"/>
    <mergeCell ref="G54:H54"/>
    <mergeCell ref="I54:J54"/>
    <mergeCell ref="K54:L54"/>
    <mergeCell ref="A43:A44"/>
    <mergeCell ref="B43:C44"/>
    <mergeCell ref="D43:D44"/>
    <mergeCell ref="E43:F44"/>
    <mergeCell ref="G43:H44"/>
    <mergeCell ref="I43:J44"/>
    <mergeCell ref="I51:J51"/>
    <mergeCell ref="K51:L51"/>
    <mergeCell ref="B52:E52"/>
    <mergeCell ref="G52:H52"/>
    <mergeCell ref="I52:J52"/>
    <mergeCell ref="K52:L52"/>
    <mergeCell ref="A55:E55"/>
    <mergeCell ref="M55:N55"/>
    <mergeCell ref="B103:E103"/>
    <mergeCell ref="G103:H103"/>
    <mergeCell ref="I103:J103"/>
    <mergeCell ref="K103:L103"/>
    <mergeCell ref="G104:H104"/>
    <mergeCell ref="I104:J104"/>
    <mergeCell ref="K104:L104"/>
    <mergeCell ref="I98:J98"/>
    <mergeCell ref="K98:L98"/>
    <mergeCell ref="K100:L100"/>
    <mergeCell ref="B98:E98"/>
    <mergeCell ref="G98:H98"/>
    <mergeCell ref="B105:E105"/>
    <mergeCell ref="G105:H105"/>
    <mergeCell ref="I105:J105"/>
    <mergeCell ref="K105:L105"/>
    <mergeCell ref="A106:E106"/>
    <mergeCell ref="G106:H106"/>
    <mergeCell ref="I106:J106"/>
    <mergeCell ref="K106:L106"/>
    <mergeCell ref="A128:A129"/>
    <mergeCell ref="B128:C129"/>
    <mergeCell ref="D128:D129"/>
    <mergeCell ref="E128:F129"/>
    <mergeCell ref="G128:H129"/>
    <mergeCell ref="I128:J129"/>
    <mergeCell ref="K128:L129"/>
    <mergeCell ref="M128:N129"/>
    <mergeCell ref="A130:A131"/>
    <mergeCell ref="B130:E131"/>
    <mergeCell ref="B121:E121"/>
    <mergeCell ref="G121:H121"/>
    <mergeCell ref="I121:J121"/>
    <mergeCell ref="K121:L121"/>
    <mergeCell ref="B118:E118"/>
    <mergeCell ref="G118:H118"/>
    <mergeCell ref="I118:J118"/>
    <mergeCell ref="K118:L118"/>
    <mergeCell ref="B119:E119"/>
    <mergeCell ref="G119:H119"/>
    <mergeCell ref="I119:J119"/>
    <mergeCell ref="K119:L119"/>
    <mergeCell ref="M123:N123"/>
    <mergeCell ref="B122:E122"/>
    <mergeCell ref="G122:H122"/>
    <mergeCell ref="I122:J122"/>
    <mergeCell ref="K122:L122"/>
    <mergeCell ref="G123:H123"/>
    <mergeCell ref="I123:J123"/>
    <mergeCell ref="K123:L123"/>
    <mergeCell ref="F130:F131"/>
    <mergeCell ref="G130:H131"/>
    <mergeCell ref="K188:L188"/>
    <mergeCell ref="B189:E189"/>
    <mergeCell ref="B187:E187"/>
    <mergeCell ref="G187:H187"/>
    <mergeCell ref="I187:J187"/>
    <mergeCell ref="K187:L187"/>
    <mergeCell ref="B188:E188"/>
    <mergeCell ref="G188:H188"/>
    <mergeCell ref="I188:J188"/>
    <mergeCell ref="G189:H189"/>
    <mergeCell ref="I189:J189"/>
    <mergeCell ref="K156:L156"/>
    <mergeCell ref="B153:E153"/>
    <mergeCell ref="G153:H153"/>
    <mergeCell ref="I153:J153"/>
    <mergeCell ref="K153:L153"/>
    <mergeCell ref="B154:E154"/>
    <mergeCell ref="B167:E167"/>
    <mergeCell ref="G167:H167"/>
    <mergeCell ref="I167:J167"/>
    <mergeCell ref="K167:L167"/>
    <mergeCell ref="B168:E168"/>
    <mergeCell ref="G168:H168"/>
    <mergeCell ref="I168:J168"/>
    <mergeCell ref="K168:L168"/>
    <mergeCell ref="B169:E169"/>
    <mergeCell ref="G169:H169"/>
    <mergeCell ref="I169:J169"/>
    <mergeCell ref="G154:H154"/>
    <mergeCell ref="I154:J154"/>
    <mergeCell ref="K154:L154"/>
    <mergeCell ref="K157:L157"/>
    <mergeCell ref="G255:H255"/>
    <mergeCell ref="I255:J255"/>
    <mergeCell ref="K255:L255"/>
    <mergeCell ref="B256:E256"/>
    <mergeCell ref="B257:E257"/>
    <mergeCell ref="A259:E259"/>
    <mergeCell ref="K260:K262"/>
    <mergeCell ref="L260:L262"/>
    <mergeCell ref="A260:A262"/>
    <mergeCell ref="B260:C262"/>
    <mergeCell ref="D260:D262"/>
    <mergeCell ref="E260:F262"/>
    <mergeCell ref="B203:E203"/>
    <mergeCell ref="G203:H203"/>
    <mergeCell ref="I203:J203"/>
    <mergeCell ref="K203:L203"/>
    <mergeCell ref="B218:E218"/>
    <mergeCell ref="G218:H218"/>
    <mergeCell ref="I218:J218"/>
    <mergeCell ref="K218:L218"/>
    <mergeCell ref="B219:E219"/>
    <mergeCell ref="G219:H219"/>
    <mergeCell ref="I219:J219"/>
    <mergeCell ref="K219:L219"/>
    <mergeCell ref="A208:E208"/>
    <mergeCell ref="G208:H208"/>
    <mergeCell ref="I208:J208"/>
    <mergeCell ref="K208:L208"/>
    <mergeCell ref="B205:E205"/>
    <mergeCell ref="G205:H205"/>
    <mergeCell ref="I205:J205"/>
    <mergeCell ref="K205:L205"/>
    <mergeCell ref="A276:E276"/>
    <mergeCell ref="I285:J285"/>
    <mergeCell ref="K285:L285"/>
    <mergeCell ref="B286:E286"/>
    <mergeCell ref="G286:H286"/>
    <mergeCell ref="I286:J286"/>
    <mergeCell ref="K286:L286"/>
    <mergeCell ref="B287:E287"/>
    <mergeCell ref="G287:H287"/>
    <mergeCell ref="I287:J287"/>
    <mergeCell ref="K287:L287"/>
    <mergeCell ref="G324:H324"/>
    <mergeCell ref="I324:J324"/>
    <mergeCell ref="B253:E253"/>
    <mergeCell ref="G253:H253"/>
    <mergeCell ref="I253:J253"/>
    <mergeCell ref="K253:L253"/>
    <mergeCell ref="K259:L259"/>
    <mergeCell ref="B258:E258"/>
    <mergeCell ref="G258:H258"/>
    <mergeCell ref="G259:H259"/>
    <mergeCell ref="G256:H256"/>
    <mergeCell ref="I256:J256"/>
    <mergeCell ref="K256:L256"/>
    <mergeCell ref="B254:E254"/>
    <mergeCell ref="G254:H254"/>
    <mergeCell ref="I254:J254"/>
    <mergeCell ref="K254:L254"/>
    <mergeCell ref="B255:E255"/>
    <mergeCell ref="H260:H262"/>
    <mergeCell ref="I260:I262"/>
    <mergeCell ref="J260:J262"/>
    <mergeCell ref="B325:E325"/>
    <mergeCell ref="G325:H325"/>
    <mergeCell ref="I325:J325"/>
    <mergeCell ref="K325:L325"/>
    <mergeCell ref="B326:E326"/>
    <mergeCell ref="G326:H326"/>
    <mergeCell ref="I326:J326"/>
    <mergeCell ref="K326:L326"/>
    <mergeCell ref="B303:E303"/>
    <mergeCell ref="G303:H303"/>
    <mergeCell ref="I303:J303"/>
    <mergeCell ref="B302:E302"/>
    <mergeCell ref="G302:H302"/>
    <mergeCell ref="I302:J302"/>
    <mergeCell ref="K302:L302"/>
    <mergeCell ref="K309:L309"/>
    <mergeCell ref="K340:L340"/>
    <mergeCell ref="B338:E338"/>
    <mergeCell ref="G338:H338"/>
    <mergeCell ref="I338:J338"/>
    <mergeCell ref="K338:L338"/>
    <mergeCell ref="B339:E339"/>
    <mergeCell ref="G339:H339"/>
    <mergeCell ref="I339:J339"/>
    <mergeCell ref="K339:L339"/>
    <mergeCell ref="K336:L336"/>
    <mergeCell ref="B337:E337"/>
    <mergeCell ref="G337:H337"/>
    <mergeCell ref="I337:J337"/>
    <mergeCell ref="K337:L337"/>
    <mergeCell ref="B336:E336"/>
    <mergeCell ref="G336:H336"/>
    <mergeCell ref="I336:J336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B355:E355"/>
    <mergeCell ref="G355:H355"/>
    <mergeCell ref="I355:J355"/>
    <mergeCell ref="K355:L355"/>
    <mergeCell ref="B356:E356"/>
    <mergeCell ref="G356:H356"/>
    <mergeCell ref="I356:J356"/>
    <mergeCell ref="K356:L356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E349:F350"/>
    <mergeCell ref="G349:H350"/>
    <mergeCell ref="I349:J350"/>
    <mergeCell ref="K349:L350"/>
    <mergeCell ref="I361:J361"/>
    <mergeCell ref="K361:L361"/>
    <mergeCell ref="B359:E359"/>
    <mergeCell ref="G359:H359"/>
    <mergeCell ref="I359:J359"/>
    <mergeCell ref="K359:L359"/>
    <mergeCell ref="B360:E360"/>
    <mergeCell ref="G360:H360"/>
    <mergeCell ref="I360:J360"/>
    <mergeCell ref="K360:L36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A400:A401"/>
    <mergeCell ref="B400:C401"/>
    <mergeCell ref="D400:D401"/>
    <mergeCell ref="E400:F401"/>
    <mergeCell ref="G400:H401"/>
    <mergeCell ref="I400:J401"/>
    <mergeCell ref="K400:L401"/>
    <mergeCell ref="M400:N401"/>
    <mergeCell ref="K377:L377"/>
    <mergeCell ref="B374:E374"/>
    <mergeCell ref="G374:H374"/>
    <mergeCell ref="I374:J374"/>
    <mergeCell ref="K374:L374"/>
    <mergeCell ref="B375:E375"/>
    <mergeCell ref="G375:H375"/>
    <mergeCell ref="I375:J375"/>
    <mergeCell ref="K375:L375"/>
    <mergeCell ref="B376:E376"/>
    <mergeCell ref="K379:K381"/>
    <mergeCell ref="L379:L381"/>
    <mergeCell ref="M379:M381"/>
    <mergeCell ref="N379:N381"/>
    <mergeCell ref="G378:H378"/>
    <mergeCell ref="I378:J378"/>
    <mergeCell ref="K378:L378"/>
    <mergeCell ref="M383:N384"/>
    <mergeCell ref="A385:A386"/>
    <mergeCell ref="B385:E386"/>
    <mergeCell ref="F385:F386"/>
    <mergeCell ref="G385:H386"/>
    <mergeCell ref="I385:J386"/>
    <mergeCell ref="K385:L386"/>
    <mergeCell ref="A430:A432"/>
    <mergeCell ref="B430:C432"/>
    <mergeCell ref="D430:D432"/>
    <mergeCell ref="E430:F432"/>
    <mergeCell ref="G430:G432"/>
    <mergeCell ref="H430:H432"/>
    <mergeCell ref="A402:A403"/>
    <mergeCell ref="B402:E403"/>
    <mergeCell ref="F402:F403"/>
    <mergeCell ref="G402:H403"/>
    <mergeCell ref="I402:J403"/>
    <mergeCell ref="K402:L403"/>
    <mergeCell ref="M402:M403"/>
    <mergeCell ref="N402:N403"/>
    <mergeCell ref="B404:E404"/>
    <mergeCell ref="B405:E405"/>
    <mergeCell ref="G405:H405"/>
    <mergeCell ref="I405:J405"/>
    <mergeCell ref="K405:L405"/>
    <mergeCell ref="B406:E406"/>
    <mergeCell ref="G406:H406"/>
    <mergeCell ref="I406:J406"/>
    <mergeCell ref="K406:L406"/>
    <mergeCell ref="B407:E407"/>
    <mergeCell ref="G407:H407"/>
    <mergeCell ref="I407:J407"/>
    <mergeCell ref="K407:L407"/>
    <mergeCell ref="B408:E408"/>
    <mergeCell ref="G408:H408"/>
    <mergeCell ref="I408:J408"/>
    <mergeCell ref="K408:L408"/>
    <mergeCell ref="B409:E409"/>
    <mergeCell ref="B434:C435"/>
    <mergeCell ref="D434:D435"/>
    <mergeCell ref="E434:F435"/>
    <mergeCell ref="G434:H435"/>
    <mergeCell ref="I434:J435"/>
    <mergeCell ref="K434:L435"/>
    <mergeCell ref="A434:A435"/>
    <mergeCell ref="M434:N435"/>
    <mergeCell ref="G424:H424"/>
    <mergeCell ref="I424:J424"/>
    <mergeCell ref="K424:L424"/>
    <mergeCell ref="B425:E425"/>
    <mergeCell ref="G425:H425"/>
    <mergeCell ref="I425:J425"/>
    <mergeCell ref="K425:L425"/>
    <mergeCell ref="B426:E426"/>
    <mergeCell ref="G426:H426"/>
    <mergeCell ref="I426:J426"/>
    <mergeCell ref="K426:L426"/>
    <mergeCell ref="B427:E427"/>
    <mergeCell ref="G427:H427"/>
    <mergeCell ref="I427:J427"/>
    <mergeCell ref="K427:L427"/>
    <mergeCell ref="B428:E428"/>
    <mergeCell ref="G428:H428"/>
    <mergeCell ref="I428:J428"/>
    <mergeCell ref="K428:L428"/>
    <mergeCell ref="A429:E429"/>
    <mergeCell ref="G429:H429"/>
    <mergeCell ref="I429:J429"/>
    <mergeCell ref="K429:L429"/>
    <mergeCell ref="M429:N429"/>
    <mergeCell ref="B458:E458"/>
    <mergeCell ref="G458:H458"/>
    <mergeCell ref="I458:J458"/>
    <mergeCell ref="K458:L458"/>
    <mergeCell ref="B459:E459"/>
    <mergeCell ref="G459:H459"/>
    <mergeCell ref="I459:J459"/>
    <mergeCell ref="K459:L459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5:E455"/>
    <mergeCell ref="G455:H455"/>
    <mergeCell ref="I455:J455"/>
    <mergeCell ref="K455:L455"/>
    <mergeCell ref="K463:L463"/>
    <mergeCell ref="G474:H474"/>
    <mergeCell ref="I474:J474"/>
    <mergeCell ref="K474:L474"/>
    <mergeCell ref="B460:E460"/>
    <mergeCell ref="G460:H460"/>
    <mergeCell ref="I460:J460"/>
    <mergeCell ref="K460:L460"/>
    <mergeCell ref="B461:E461"/>
    <mergeCell ref="G461:H461"/>
    <mergeCell ref="I461:J461"/>
    <mergeCell ref="K461:L461"/>
    <mergeCell ref="H464:H466"/>
    <mergeCell ref="I464:I466"/>
    <mergeCell ref="J464:J466"/>
    <mergeCell ref="K464:K466"/>
    <mergeCell ref="L464:L466"/>
    <mergeCell ref="B472:E472"/>
    <mergeCell ref="G472:H472"/>
    <mergeCell ref="I472:J472"/>
    <mergeCell ref="K472:L472"/>
    <mergeCell ref="B473:E473"/>
    <mergeCell ref="G473:H473"/>
    <mergeCell ref="I473:J473"/>
    <mergeCell ref="K473:L473"/>
    <mergeCell ref="B474:E474"/>
    <mergeCell ref="B513:E513"/>
    <mergeCell ref="G513:H513"/>
    <mergeCell ref="I513:J513"/>
    <mergeCell ref="K513:L513"/>
    <mergeCell ref="G514:H514"/>
    <mergeCell ref="I514:J514"/>
    <mergeCell ref="K514:L514"/>
    <mergeCell ref="A514:E514"/>
    <mergeCell ref="M514:N514"/>
    <mergeCell ref="A515:A517"/>
    <mergeCell ref="B515:C517"/>
    <mergeCell ref="D515:D517"/>
    <mergeCell ref="E515:F517"/>
    <mergeCell ref="G515:G517"/>
    <mergeCell ref="H515:H517"/>
    <mergeCell ref="I515:I517"/>
    <mergeCell ref="J515:J517"/>
    <mergeCell ref="K515:K517"/>
    <mergeCell ref="L515:L517"/>
    <mergeCell ref="M515:M517"/>
    <mergeCell ref="N515:N517"/>
    <mergeCell ref="B547:E547"/>
    <mergeCell ref="G547:H547"/>
    <mergeCell ref="I547:J547"/>
    <mergeCell ref="K547:L547"/>
    <mergeCell ref="A548:E548"/>
    <mergeCell ref="G548:H548"/>
    <mergeCell ref="I548:J548"/>
    <mergeCell ref="K548:L548"/>
    <mergeCell ref="B545:E545"/>
    <mergeCell ref="G545:H545"/>
    <mergeCell ref="I545:J545"/>
    <mergeCell ref="K545:L545"/>
    <mergeCell ref="B546:E546"/>
    <mergeCell ref="G546:H546"/>
    <mergeCell ref="I546:J546"/>
    <mergeCell ref="K546:L546"/>
    <mergeCell ref="B549:C551"/>
    <mergeCell ref="D549:D551"/>
    <mergeCell ref="B615:E615"/>
    <mergeCell ref="G615:H615"/>
    <mergeCell ref="G616:H616"/>
    <mergeCell ref="G613:H613"/>
    <mergeCell ref="I613:J613"/>
    <mergeCell ref="K613:L613"/>
    <mergeCell ref="I615:J615"/>
    <mergeCell ref="K615:L615"/>
    <mergeCell ref="I616:J616"/>
    <mergeCell ref="K616:L616"/>
    <mergeCell ref="K609:L609"/>
    <mergeCell ref="B610:E610"/>
    <mergeCell ref="B598:E598"/>
    <mergeCell ref="G598:H598"/>
    <mergeCell ref="I598:J598"/>
    <mergeCell ref="B626:E626"/>
    <mergeCell ref="G626:H626"/>
    <mergeCell ref="I626:J626"/>
    <mergeCell ref="K626:L626"/>
    <mergeCell ref="B613:E613"/>
    <mergeCell ref="G609:H609"/>
    <mergeCell ref="I609:J609"/>
    <mergeCell ref="B614:E614"/>
    <mergeCell ref="G614:H614"/>
    <mergeCell ref="I614:J614"/>
    <mergeCell ref="K614:L614"/>
    <mergeCell ref="A616:E616"/>
    <mergeCell ref="A623:A624"/>
    <mergeCell ref="B623:E624"/>
    <mergeCell ref="F623:F624"/>
    <mergeCell ref="G623:H624"/>
    <mergeCell ref="I623:J624"/>
    <mergeCell ref="B87:E87"/>
    <mergeCell ref="G87:H87"/>
    <mergeCell ref="I87:J87"/>
    <mergeCell ref="K87:L87"/>
    <mergeCell ref="B88:E88"/>
    <mergeCell ref="G84:H84"/>
    <mergeCell ref="I84:J84"/>
    <mergeCell ref="K84:L84"/>
    <mergeCell ref="B82:E82"/>
    <mergeCell ref="G82:H82"/>
    <mergeCell ref="I82:J82"/>
    <mergeCell ref="K82:L82"/>
    <mergeCell ref="B83:E83"/>
    <mergeCell ref="G83:H83"/>
    <mergeCell ref="I83:J83"/>
    <mergeCell ref="K83:L83"/>
    <mergeCell ref="K137:L137"/>
    <mergeCell ref="B133:E133"/>
    <mergeCell ref="G133:H133"/>
    <mergeCell ref="I133:J133"/>
    <mergeCell ref="K133:L133"/>
    <mergeCell ref="B134:E134"/>
    <mergeCell ref="G134:H134"/>
    <mergeCell ref="I134:J134"/>
    <mergeCell ref="K134:L134"/>
    <mergeCell ref="B135:E135"/>
    <mergeCell ref="G135:H135"/>
    <mergeCell ref="I135:J135"/>
    <mergeCell ref="B120:E120"/>
    <mergeCell ref="G120:H120"/>
    <mergeCell ref="I120:J120"/>
    <mergeCell ref="K120:L120"/>
    <mergeCell ref="I138:J138"/>
    <mergeCell ref="K138:L138"/>
    <mergeCell ref="B139:E139"/>
    <mergeCell ref="G139:H139"/>
    <mergeCell ref="I139:J139"/>
    <mergeCell ref="K139:L139"/>
    <mergeCell ref="G140:H140"/>
    <mergeCell ref="I140:J140"/>
    <mergeCell ref="K140:L140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B183:E183"/>
    <mergeCell ref="G183:H183"/>
    <mergeCell ref="B150:E150"/>
    <mergeCell ref="G150:H150"/>
    <mergeCell ref="I150:J150"/>
    <mergeCell ref="K150:L150"/>
    <mergeCell ref="B151:E151"/>
    <mergeCell ref="G151:H151"/>
    <mergeCell ref="I151:J151"/>
    <mergeCell ref="K151:L151"/>
    <mergeCell ref="B152:E152"/>
    <mergeCell ref="G152:H152"/>
    <mergeCell ref="I152:J152"/>
    <mergeCell ref="K174:L174"/>
    <mergeCell ref="G174:H174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M208:N208"/>
    <mergeCell ref="A209:A211"/>
    <mergeCell ref="B209:C211"/>
    <mergeCell ref="D209:D211"/>
    <mergeCell ref="E209:F211"/>
    <mergeCell ref="G209:G211"/>
    <mergeCell ref="H209:H211"/>
    <mergeCell ref="I209:I211"/>
    <mergeCell ref="J209:J211"/>
    <mergeCell ref="K209:K211"/>
    <mergeCell ref="L209:L211"/>
    <mergeCell ref="M209:M211"/>
    <mergeCell ref="N209:N211"/>
    <mergeCell ref="B235:E235"/>
    <mergeCell ref="B236:E236"/>
    <mergeCell ref="G236:H236"/>
    <mergeCell ref="I236:J236"/>
    <mergeCell ref="K236:L236"/>
    <mergeCell ref="G235:H235"/>
    <mergeCell ref="I235:J235"/>
    <mergeCell ref="K235:L235"/>
    <mergeCell ref="B234:E234"/>
    <mergeCell ref="G234:H234"/>
    <mergeCell ref="K220:L220"/>
    <mergeCell ref="B221:E221"/>
    <mergeCell ref="G221:H221"/>
    <mergeCell ref="I221:J221"/>
    <mergeCell ref="K221:L221"/>
    <mergeCell ref="B222:E222"/>
    <mergeCell ref="G222:H222"/>
    <mergeCell ref="I222:J222"/>
    <mergeCell ref="K222:L222"/>
    <mergeCell ref="B223:E223"/>
    <mergeCell ref="G223:H223"/>
    <mergeCell ref="I223:J223"/>
    <mergeCell ref="K223:L223"/>
    <mergeCell ref="G224:H224"/>
    <mergeCell ref="I224:J224"/>
    <mergeCell ref="K224:L224"/>
    <mergeCell ref="B220:E220"/>
    <mergeCell ref="G220:H220"/>
    <mergeCell ref="I220:J220"/>
    <mergeCell ref="B271:E271"/>
    <mergeCell ref="G271:H271"/>
    <mergeCell ref="I271:J271"/>
    <mergeCell ref="K271:L271"/>
    <mergeCell ref="I242:J242"/>
    <mergeCell ref="K242:L242"/>
    <mergeCell ref="B240:E240"/>
    <mergeCell ref="A283:A284"/>
    <mergeCell ref="B283:E284"/>
    <mergeCell ref="F283:F284"/>
    <mergeCell ref="G283:H284"/>
    <mergeCell ref="I283:J284"/>
    <mergeCell ref="K283:L284"/>
    <mergeCell ref="A243:A245"/>
    <mergeCell ref="B243:C245"/>
    <mergeCell ref="D243:D245"/>
    <mergeCell ref="E243:F245"/>
    <mergeCell ref="G243:G245"/>
    <mergeCell ref="H243:H245"/>
    <mergeCell ref="I243:I245"/>
    <mergeCell ref="J243:J245"/>
    <mergeCell ref="K243:K245"/>
    <mergeCell ref="L243:L245"/>
    <mergeCell ref="B252:E252"/>
    <mergeCell ref="G252:H252"/>
    <mergeCell ref="I252:J252"/>
    <mergeCell ref="K252:L252"/>
    <mergeCell ref="G260:G262"/>
    <mergeCell ref="A249:A250"/>
    <mergeCell ref="G249:H250"/>
    <mergeCell ref="I249:J250"/>
    <mergeCell ref="K249:L250"/>
    <mergeCell ref="A264:A265"/>
    <mergeCell ref="B264:C265"/>
    <mergeCell ref="D264:D265"/>
    <mergeCell ref="E264:F265"/>
    <mergeCell ref="G264:H265"/>
    <mergeCell ref="I264:J265"/>
    <mergeCell ref="K264:L265"/>
    <mergeCell ref="M264:N265"/>
    <mergeCell ref="A266:A267"/>
    <mergeCell ref="B266:E267"/>
    <mergeCell ref="F266:F267"/>
    <mergeCell ref="G266:H267"/>
    <mergeCell ref="I266:J267"/>
    <mergeCell ref="B270:E270"/>
    <mergeCell ref="G270:H270"/>
    <mergeCell ref="I270:J270"/>
    <mergeCell ref="K270:L270"/>
    <mergeCell ref="K303:L303"/>
    <mergeCell ref="G304:H304"/>
    <mergeCell ref="I304:J304"/>
    <mergeCell ref="K304:L304"/>
    <mergeCell ref="B307:E307"/>
    <mergeCell ref="G307:H307"/>
    <mergeCell ref="I307:J307"/>
    <mergeCell ref="K307:L307"/>
    <mergeCell ref="B308:E308"/>
    <mergeCell ref="G308:H308"/>
    <mergeCell ref="I308:J308"/>
    <mergeCell ref="K308:L308"/>
    <mergeCell ref="B309:E309"/>
    <mergeCell ref="G309:H309"/>
    <mergeCell ref="I309:J309"/>
    <mergeCell ref="I320:J320"/>
    <mergeCell ref="K320:L320"/>
    <mergeCell ref="B304:E304"/>
    <mergeCell ref="B305:E305"/>
    <mergeCell ref="G305:H305"/>
    <mergeCell ref="I305:J305"/>
    <mergeCell ref="K305:L305"/>
    <mergeCell ref="B306:E306"/>
    <mergeCell ref="G306:H306"/>
    <mergeCell ref="I306:J306"/>
    <mergeCell ref="K306:L306"/>
    <mergeCell ref="A310:E310"/>
    <mergeCell ref="G310:H310"/>
    <mergeCell ref="I310:J310"/>
    <mergeCell ref="K310:L310"/>
    <mergeCell ref="A317:A318"/>
    <mergeCell ref="B317:E318"/>
    <mergeCell ref="M349:N350"/>
    <mergeCell ref="G345:G347"/>
    <mergeCell ref="H345:H347"/>
    <mergeCell ref="I345:I347"/>
    <mergeCell ref="J345:J347"/>
    <mergeCell ref="K345:K347"/>
    <mergeCell ref="L345:L347"/>
    <mergeCell ref="A344:E344"/>
    <mergeCell ref="G344:H344"/>
    <mergeCell ref="I344:J344"/>
    <mergeCell ref="K344:L344"/>
    <mergeCell ref="M344:N344"/>
    <mergeCell ref="B340:E340"/>
    <mergeCell ref="B341:E341"/>
    <mergeCell ref="G341:H341"/>
    <mergeCell ref="I341:J341"/>
    <mergeCell ref="K341:L341"/>
    <mergeCell ref="A345:A347"/>
    <mergeCell ref="B345:C347"/>
    <mergeCell ref="D345:D347"/>
    <mergeCell ref="E345:F347"/>
    <mergeCell ref="I342:J342"/>
    <mergeCell ref="K342:L342"/>
    <mergeCell ref="I343:J343"/>
    <mergeCell ref="K343:L343"/>
    <mergeCell ref="G343:H343"/>
    <mergeCell ref="G340:H340"/>
    <mergeCell ref="I340:J340"/>
    <mergeCell ref="B342:E342"/>
    <mergeCell ref="G342:H342"/>
    <mergeCell ref="B343:E343"/>
    <mergeCell ref="M463:N463"/>
    <mergeCell ref="A463:E463"/>
    <mergeCell ref="A464:A466"/>
    <mergeCell ref="B464:C466"/>
    <mergeCell ref="D464:D466"/>
    <mergeCell ref="E464:F466"/>
    <mergeCell ref="G464:G466"/>
    <mergeCell ref="A451:A452"/>
    <mergeCell ref="G451:H452"/>
    <mergeCell ref="I451:J452"/>
    <mergeCell ref="K451:L452"/>
    <mergeCell ref="G404:H404"/>
    <mergeCell ref="I404:J404"/>
    <mergeCell ref="K404:L404"/>
    <mergeCell ref="A368:A369"/>
    <mergeCell ref="B368:E369"/>
    <mergeCell ref="F368:F369"/>
    <mergeCell ref="G368:H369"/>
    <mergeCell ref="I368:J369"/>
    <mergeCell ref="K368:L369"/>
    <mergeCell ref="M368:M369"/>
    <mergeCell ref="N368:N369"/>
    <mergeCell ref="B370:E370"/>
    <mergeCell ref="G370:H370"/>
    <mergeCell ref="I370:J370"/>
    <mergeCell ref="K370:L370"/>
    <mergeCell ref="B462:E462"/>
    <mergeCell ref="G462:H462"/>
    <mergeCell ref="I462:J462"/>
    <mergeCell ref="K462:L462"/>
    <mergeCell ref="G463:H463"/>
    <mergeCell ref="I463:J463"/>
    <mergeCell ref="A480:E480"/>
    <mergeCell ref="M480:N480"/>
    <mergeCell ref="I495:J495"/>
    <mergeCell ref="K495:L495"/>
    <mergeCell ref="I480:J480"/>
    <mergeCell ref="K480:L480"/>
    <mergeCell ref="B477:E477"/>
    <mergeCell ref="G477:H477"/>
    <mergeCell ref="I477:J477"/>
    <mergeCell ref="K477:L477"/>
    <mergeCell ref="B478:E478"/>
    <mergeCell ref="G478:H478"/>
    <mergeCell ref="I478:J478"/>
    <mergeCell ref="K478:L478"/>
    <mergeCell ref="B475:E475"/>
    <mergeCell ref="G475:H475"/>
    <mergeCell ref="K494:L494"/>
    <mergeCell ref="B495:E495"/>
    <mergeCell ref="G495:H495"/>
    <mergeCell ref="I475:J475"/>
    <mergeCell ref="K475:L475"/>
    <mergeCell ref="B476:E476"/>
    <mergeCell ref="G476:H476"/>
    <mergeCell ref="I476:J476"/>
    <mergeCell ref="K476:L476"/>
    <mergeCell ref="B479:E479"/>
    <mergeCell ref="G479:H479"/>
    <mergeCell ref="I479:J479"/>
    <mergeCell ref="K479:L479"/>
    <mergeCell ref="G480:H480"/>
    <mergeCell ref="A481:A483"/>
    <mergeCell ref="B481:C483"/>
    <mergeCell ref="B507:E507"/>
    <mergeCell ref="G507:H507"/>
    <mergeCell ref="I507:J507"/>
    <mergeCell ref="K507:L507"/>
    <mergeCell ref="B508:E508"/>
    <mergeCell ref="K564:L564"/>
    <mergeCell ref="B561:E561"/>
    <mergeCell ref="G561:H561"/>
    <mergeCell ref="I561:J561"/>
    <mergeCell ref="K561:L561"/>
    <mergeCell ref="B562:E562"/>
    <mergeCell ref="G562:H562"/>
    <mergeCell ref="I562:J562"/>
    <mergeCell ref="K562:L562"/>
    <mergeCell ref="B559:E559"/>
    <mergeCell ref="G559:H559"/>
    <mergeCell ref="I559:J559"/>
    <mergeCell ref="K559:L559"/>
    <mergeCell ref="B560:E560"/>
    <mergeCell ref="G560:H560"/>
    <mergeCell ref="E549:F551"/>
    <mergeCell ref="B541:E541"/>
    <mergeCell ref="G541:H541"/>
    <mergeCell ref="I541:J541"/>
    <mergeCell ref="K541:L541"/>
    <mergeCell ref="B523:E523"/>
    <mergeCell ref="G523:H523"/>
    <mergeCell ref="I523:J523"/>
    <mergeCell ref="K523:L523"/>
    <mergeCell ref="G524:H524"/>
    <mergeCell ref="I524:J524"/>
    <mergeCell ref="K524:L524"/>
    <mergeCell ref="G577:H577"/>
    <mergeCell ref="I577:J577"/>
    <mergeCell ref="B575:E575"/>
    <mergeCell ref="A582:E582"/>
    <mergeCell ref="M582:N582"/>
    <mergeCell ref="K582:L582"/>
    <mergeCell ref="G575:H575"/>
    <mergeCell ref="I575:J575"/>
    <mergeCell ref="I563:J563"/>
    <mergeCell ref="K563:L563"/>
    <mergeCell ref="G564:H564"/>
    <mergeCell ref="I564:J564"/>
    <mergeCell ref="B557:E557"/>
    <mergeCell ref="G557:H557"/>
    <mergeCell ref="I557:J557"/>
    <mergeCell ref="K557:L557"/>
    <mergeCell ref="B540:E540"/>
    <mergeCell ref="G540:H540"/>
    <mergeCell ref="I540:J540"/>
    <mergeCell ref="K540:L540"/>
    <mergeCell ref="B580:E580"/>
    <mergeCell ref="G580:H580"/>
    <mergeCell ref="I580:J580"/>
    <mergeCell ref="K580:L580"/>
    <mergeCell ref="B581:E581"/>
    <mergeCell ref="G581:H581"/>
    <mergeCell ref="I581:J581"/>
    <mergeCell ref="K581:L581"/>
    <mergeCell ref="M548:N548"/>
    <mergeCell ref="A549:A551"/>
    <mergeCell ref="G566:G568"/>
    <mergeCell ref="H566:H568"/>
    <mergeCell ref="A589:A590"/>
    <mergeCell ref="G589:H590"/>
    <mergeCell ref="I589:J590"/>
    <mergeCell ref="K589:L590"/>
    <mergeCell ref="K598:L598"/>
    <mergeCell ref="G599:H599"/>
    <mergeCell ref="I599:J599"/>
    <mergeCell ref="K599:L599"/>
    <mergeCell ref="B596:E596"/>
    <mergeCell ref="G596:H596"/>
    <mergeCell ref="I596:J596"/>
    <mergeCell ref="K596:L596"/>
    <mergeCell ref="B597:E597"/>
    <mergeCell ref="G597:H597"/>
    <mergeCell ref="I597:J597"/>
    <mergeCell ref="K597:L597"/>
    <mergeCell ref="B593:E593"/>
    <mergeCell ref="B591:E591"/>
    <mergeCell ref="G591:H591"/>
    <mergeCell ref="I591:J591"/>
    <mergeCell ref="K591:L591"/>
    <mergeCell ref="B592:E592"/>
    <mergeCell ref="G592:H592"/>
    <mergeCell ref="I592:J592"/>
    <mergeCell ref="I594:J594"/>
    <mergeCell ref="K594:L594"/>
    <mergeCell ref="I595:J595"/>
    <mergeCell ref="K595:L595"/>
    <mergeCell ref="B594:E594"/>
    <mergeCell ref="G594:H594"/>
    <mergeCell ref="F589:F590"/>
    <mergeCell ref="K43:L44"/>
    <mergeCell ref="M43:N44"/>
    <mergeCell ref="A45:A46"/>
    <mergeCell ref="B45:E46"/>
    <mergeCell ref="F45:F46"/>
    <mergeCell ref="G45:H46"/>
    <mergeCell ref="I45:J46"/>
    <mergeCell ref="K45:L46"/>
    <mergeCell ref="M45:M46"/>
    <mergeCell ref="N45:N46"/>
    <mergeCell ref="B47:E47"/>
    <mergeCell ref="G47:H47"/>
    <mergeCell ref="I47:J47"/>
    <mergeCell ref="K47:L47"/>
    <mergeCell ref="B48:E48"/>
    <mergeCell ref="G48:H48"/>
    <mergeCell ref="I48:J48"/>
    <mergeCell ref="K48:L48"/>
    <mergeCell ref="B49:E49"/>
    <mergeCell ref="G49:H49"/>
    <mergeCell ref="I49:J49"/>
    <mergeCell ref="K49:L49"/>
    <mergeCell ref="B50:E50"/>
    <mergeCell ref="G50:H50"/>
    <mergeCell ref="I50:J50"/>
    <mergeCell ref="K50:L50"/>
    <mergeCell ref="B51:E51"/>
    <mergeCell ref="G51:H51"/>
    <mergeCell ref="B56:C58"/>
    <mergeCell ref="D56:D58"/>
    <mergeCell ref="E56:F58"/>
    <mergeCell ref="G56:G58"/>
    <mergeCell ref="H56:H58"/>
    <mergeCell ref="I56:I58"/>
    <mergeCell ref="J56:J58"/>
    <mergeCell ref="K56:K58"/>
    <mergeCell ref="L56:L58"/>
    <mergeCell ref="M56:M58"/>
    <mergeCell ref="N56:N58"/>
    <mergeCell ref="A60:A61"/>
    <mergeCell ref="B60:C61"/>
    <mergeCell ref="D60:D61"/>
    <mergeCell ref="E60:F61"/>
    <mergeCell ref="G60:H61"/>
    <mergeCell ref="I60:J61"/>
    <mergeCell ref="K60:L61"/>
    <mergeCell ref="M60:N61"/>
    <mergeCell ref="A56:A58"/>
    <mergeCell ref="M62:M63"/>
    <mergeCell ref="N62:N63"/>
    <mergeCell ref="B64:E64"/>
    <mergeCell ref="B65:E65"/>
    <mergeCell ref="G65:H65"/>
    <mergeCell ref="I65:J65"/>
    <mergeCell ref="K65:L65"/>
    <mergeCell ref="B66:E66"/>
    <mergeCell ref="G66:H66"/>
    <mergeCell ref="I66:J66"/>
    <mergeCell ref="K66:L66"/>
    <mergeCell ref="B67:E67"/>
    <mergeCell ref="G67:H67"/>
    <mergeCell ref="I67:J67"/>
    <mergeCell ref="K67:L67"/>
    <mergeCell ref="B68:E68"/>
    <mergeCell ref="G68:H68"/>
    <mergeCell ref="I68:J68"/>
    <mergeCell ref="K68:L68"/>
    <mergeCell ref="B62:E63"/>
    <mergeCell ref="F62:F63"/>
    <mergeCell ref="G62:H63"/>
    <mergeCell ref="I62:J63"/>
    <mergeCell ref="K62:L63"/>
    <mergeCell ref="G64:H64"/>
    <mergeCell ref="I64:J64"/>
    <mergeCell ref="K64:L64"/>
    <mergeCell ref="B69:E69"/>
    <mergeCell ref="G69:H69"/>
    <mergeCell ref="I69:J69"/>
    <mergeCell ref="K69:L69"/>
    <mergeCell ref="B70:E70"/>
    <mergeCell ref="G70:H70"/>
    <mergeCell ref="I70:J70"/>
    <mergeCell ref="K70:L70"/>
    <mergeCell ref="B71:E71"/>
    <mergeCell ref="G71:H71"/>
    <mergeCell ref="I71:J71"/>
    <mergeCell ref="K71:L71"/>
    <mergeCell ref="A72:E72"/>
    <mergeCell ref="G72:H72"/>
    <mergeCell ref="I72:J72"/>
    <mergeCell ref="K72:L72"/>
    <mergeCell ref="M72:N72"/>
    <mergeCell ref="A73:A75"/>
    <mergeCell ref="B73:C75"/>
    <mergeCell ref="D73:D75"/>
    <mergeCell ref="E73:F75"/>
    <mergeCell ref="G73:G75"/>
    <mergeCell ref="H73:H75"/>
    <mergeCell ref="I73:I75"/>
    <mergeCell ref="J73:J75"/>
    <mergeCell ref="K73:K75"/>
    <mergeCell ref="L73:L75"/>
    <mergeCell ref="M73:M75"/>
    <mergeCell ref="N73:N75"/>
    <mergeCell ref="A77:A78"/>
    <mergeCell ref="B77:C78"/>
    <mergeCell ref="D77:D78"/>
    <mergeCell ref="E77:F78"/>
    <mergeCell ref="G77:H78"/>
    <mergeCell ref="I77:J78"/>
    <mergeCell ref="K77:L78"/>
    <mergeCell ref="M77:N78"/>
    <mergeCell ref="A79:A80"/>
    <mergeCell ref="B79:E80"/>
    <mergeCell ref="F79:F80"/>
    <mergeCell ref="G79:H80"/>
    <mergeCell ref="I79:J80"/>
    <mergeCell ref="K79:L80"/>
    <mergeCell ref="M79:M80"/>
    <mergeCell ref="N79:N80"/>
    <mergeCell ref="B84:E84"/>
    <mergeCell ref="B85:E85"/>
    <mergeCell ref="G85:H85"/>
    <mergeCell ref="I85:J85"/>
    <mergeCell ref="K85:L85"/>
    <mergeCell ref="B86:E86"/>
    <mergeCell ref="G86:H86"/>
    <mergeCell ref="I86:J86"/>
    <mergeCell ref="K86:L86"/>
    <mergeCell ref="B81:E81"/>
    <mergeCell ref="G81:H81"/>
    <mergeCell ref="I81:J81"/>
    <mergeCell ref="K81:L81"/>
    <mergeCell ref="G88:H88"/>
    <mergeCell ref="I88:J88"/>
    <mergeCell ref="K88:L88"/>
    <mergeCell ref="A89:E89"/>
    <mergeCell ref="G89:H89"/>
    <mergeCell ref="I89:J89"/>
    <mergeCell ref="K89:L89"/>
    <mergeCell ref="M89:N89"/>
    <mergeCell ref="A90:A92"/>
    <mergeCell ref="B90:C92"/>
    <mergeCell ref="D90:D92"/>
    <mergeCell ref="E90:F92"/>
    <mergeCell ref="G90:G92"/>
    <mergeCell ref="H90:H92"/>
    <mergeCell ref="I90:I92"/>
    <mergeCell ref="J90:J92"/>
    <mergeCell ref="K90:K92"/>
    <mergeCell ref="L90:L92"/>
    <mergeCell ref="M90:M92"/>
    <mergeCell ref="N90:N92"/>
    <mergeCell ref="A94:A95"/>
    <mergeCell ref="B94:C95"/>
    <mergeCell ref="D94:D95"/>
    <mergeCell ref="E94:F95"/>
    <mergeCell ref="G94:H95"/>
    <mergeCell ref="I94:J95"/>
    <mergeCell ref="K94:L95"/>
    <mergeCell ref="M94:N95"/>
    <mergeCell ref="A96:A97"/>
    <mergeCell ref="B96:E97"/>
    <mergeCell ref="F96:F97"/>
    <mergeCell ref="G96:H97"/>
    <mergeCell ref="I96:J97"/>
    <mergeCell ref="K96:L97"/>
    <mergeCell ref="M96:M97"/>
    <mergeCell ref="N96:N97"/>
    <mergeCell ref="B104:E104"/>
    <mergeCell ref="B101:E101"/>
    <mergeCell ref="G101:H101"/>
    <mergeCell ref="I101:J101"/>
    <mergeCell ref="K101:L101"/>
    <mergeCell ref="B102:E102"/>
    <mergeCell ref="G102:H102"/>
    <mergeCell ref="I102:J102"/>
    <mergeCell ref="K102:L102"/>
    <mergeCell ref="B99:E99"/>
    <mergeCell ref="G99:H99"/>
    <mergeCell ref="I99:J99"/>
    <mergeCell ref="K99:L99"/>
    <mergeCell ref="B100:E100"/>
    <mergeCell ref="G100:H100"/>
    <mergeCell ref="I100:J100"/>
    <mergeCell ref="M106:N106"/>
    <mergeCell ref="A107:A109"/>
    <mergeCell ref="B107:C109"/>
    <mergeCell ref="D107:D109"/>
    <mergeCell ref="E107:F109"/>
    <mergeCell ref="G107:G109"/>
    <mergeCell ref="H107:H109"/>
    <mergeCell ref="I107:I109"/>
    <mergeCell ref="J107:J109"/>
    <mergeCell ref="K107:K109"/>
    <mergeCell ref="L107:L109"/>
    <mergeCell ref="M107:M109"/>
    <mergeCell ref="N107:N109"/>
    <mergeCell ref="B111:C112"/>
    <mergeCell ref="D111:D112"/>
    <mergeCell ref="E111:F112"/>
    <mergeCell ref="M111:N112"/>
    <mergeCell ref="I111:J112"/>
    <mergeCell ref="K111:L112"/>
    <mergeCell ref="A111:A112"/>
    <mergeCell ref="G111:H112"/>
    <mergeCell ref="G113:H114"/>
    <mergeCell ref="I113:J114"/>
    <mergeCell ref="K113:L114"/>
    <mergeCell ref="M113:M114"/>
    <mergeCell ref="N113:N114"/>
    <mergeCell ref="A123:E123"/>
    <mergeCell ref="A124:A126"/>
    <mergeCell ref="B124:C126"/>
    <mergeCell ref="D124:D126"/>
    <mergeCell ref="E124:F126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B115:E115"/>
    <mergeCell ref="G115:H115"/>
    <mergeCell ref="I115:J115"/>
    <mergeCell ref="K115:L115"/>
    <mergeCell ref="B116:E116"/>
    <mergeCell ref="G116:H116"/>
    <mergeCell ref="I116:J116"/>
    <mergeCell ref="K116:L116"/>
    <mergeCell ref="B117:E117"/>
    <mergeCell ref="G117:H117"/>
    <mergeCell ref="I117:J117"/>
    <mergeCell ref="K117:L117"/>
    <mergeCell ref="A113:A114"/>
    <mergeCell ref="B113:E114"/>
    <mergeCell ref="I130:J131"/>
    <mergeCell ref="K130:L131"/>
    <mergeCell ref="M130:M131"/>
    <mergeCell ref="N130:N131"/>
    <mergeCell ref="B132:E132"/>
    <mergeCell ref="G132:H132"/>
    <mergeCell ref="I132:J132"/>
    <mergeCell ref="K132:L132"/>
    <mergeCell ref="A140:E140"/>
    <mergeCell ref="M140:N140"/>
    <mergeCell ref="A141:A143"/>
    <mergeCell ref="B141:C143"/>
    <mergeCell ref="D141:D143"/>
    <mergeCell ref="E141:F143"/>
    <mergeCell ref="G141:G143"/>
    <mergeCell ref="H141:H143"/>
    <mergeCell ref="I141:I143"/>
    <mergeCell ref="J141:J143"/>
    <mergeCell ref="K141:K143"/>
    <mergeCell ref="L141:L143"/>
    <mergeCell ref="M141:M143"/>
    <mergeCell ref="N141:N143"/>
    <mergeCell ref="K135:L135"/>
    <mergeCell ref="B136:E136"/>
    <mergeCell ref="G136:H136"/>
    <mergeCell ref="I136:J136"/>
    <mergeCell ref="K136:L136"/>
    <mergeCell ref="B137:E137"/>
    <mergeCell ref="G137:H137"/>
    <mergeCell ref="I137:J137"/>
    <mergeCell ref="B138:E138"/>
    <mergeCell ref="G138:H138"/>
    <mergeCell ref="A145:A146"/>
    <mergeCell ref="B145:C146"/>
    <mergeCell ref="D145:D146"/>
    <mergeCell ref="E145:F146"/>
    <mergeCell ref="G145:H146"/>
    <mergeCell ref="I145:J146"/>
    <mergeCell ref="K145:L146"/>
    <mergeCell ref="M145:N146"/>
    <mergeCell ref="A147:A148"/>
    <mergeCell ref="B147:E148"/>
    <mergeCell ref="F147:F148"/>
    <mergeCell ref="G147:H148"/>
    <mergeCell ref="I147:J148"/>
    <mergeCell ref="K147:L148"/>
    <mergeCell ref="M147:M148"/>
    <mergeCell ref="N147:N148"/>
    <mergeCell ref="B149:E149"/>
    <mergeCell ref="G149:H149"/>
    <mergeCell ref="I149:J149"/>
    <mergeCell ref="K149:L149"/>
    <mergeCell ref="K152:L152"/>
    <mergeCell ref="A157:E157"/>
    <mergeCell ref="M157:N157"/>
    <mergeCell ref="A158:A160"/>
    <mergeCell ref="B158:C160"/>
    <mergeCell ref="D158:D160"/>
    <mergeCell ref="E158:F160"/>
    <mergeCell ref="G158:G160"/>
    <mergeCell ref="H158:H160"/>
    <mergeCell ref="I158:I160"/>
    <mergeCell ref="J158:J160"/>
    <mergeCell ref="K158:K160"/>
    <mergeCell ref="L158:L160"/>
    <mergeCell ref="M158:M160"/>
    <mergeCell ref="N158:N160"/>
    <mergeCell ref="A162:A163"/>
    <mergeCell ref="B162:C163"/>
    <mergeCell ref="D162:D163"/>
    <mergeCell ref="E162:F163"/>
    <mergeCell ref="G162:H163"/>
    <mergeCell ref="I162:J163"/>
    <mergeCell ref="K162:L163"/>
    <mergeCell ref="M162:N163"/>
    <mergeCell ref="G157:H157"/>
    <mergeCell ref="I157:J157"/>
    <mergeCell ref="B155:E155"/>
    <mergeCell ref="G155:H155"/>
    <mergeCell ref="I155:J155"/>
    <mergeCell ref="K155:L155"/>
    <mergeCell ref="B156:E156"/>
    <mergeCell ref="G156:H156"/>
    <mergeCell ref="I156:J156"/>
    <mergeCell ref="A164:A165"/>
    <mergeCell ref="B164:E165"/>
    <mergeCell ref="F164:F165"/>
    <mergeCell ref="G164:H165"/>
    <mergeCell ref="I164:J165"/>
    <mergeCell ref="K164:L165"/>
    <mergeCell ref="M164:M165"/>
    <mergeCell ref="N164:N165"/>
    <mergeCell ref="B166:E166"/>
    <mergeCell ref="G166:H166"/>
    <mergeCell ref="I166:J166"/>
    <mergeCell ref="K166:L166"/>
    <mergeCell ref="K169:L169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72:E172"/>
    <mergeCell ref="G172:H172"/>
    <mergeCell ref="I172:J172"/>
    <mergeCell ref="K172:L172"/>
    <mergeCell ref="A174:E174"/>
    <mergeCell ref="M174:N174"/>
    <mergeCell ref="A175:A177"/>
    <mergeCell ref="B175:C177"/>
    <mergeCell ref="D175:D177"/>
    <mergeCell ref="E175:F177"/>
    <mergeCell ref="G175:G177"/>
    <mergeCell ref="H175:H177"/>
    <mergeCell ref="I175:I177"/>
    <mergeCell ref="J175:J177"/>
    <mergeCell ref="K175:K177"/>
    <mergeCell ref="L175:L177"/>
    <mergeCell ref="M175:M177"/>
    <mergeCell ref="N175:N177"/>
    <mergeCell ref="B173:E173"/>
    <mergeCell ref="G173:H173"/>
    <mergeCell ref="I173:J173"/>
    <mergeCell ref="K173:L173"/>
    <mergeCell ref="I174:J174"/>
    <mergeCell ref="A179:A180"/>
    <mergeCell ref="B179:C180"/>
    <mergeCell ref="D179:D180"/>
    <mergeCell ref="E179:F180"/>
    <mergeCell ref="G179:H180"/>
    <mergeCell ref="I179:J180"/>
    <mergeCell ref="K179:L180"/>
    <mergeCell ref="M179:N180"/>
    <mergeCell ref="A181:A182"/>
    <mergeCell ref="B181:E182"/>
    <mergeCell ref="F181:F182"/>
    <mergeCell ref="G181:H182"/>
    <mergeCell ref="I181:J182"/>
    <mergeCell ref="K181:L182"/>
    <mergeCell ref="M181:M182"/>
    <mergeCell ref="N181:N182"/>
    <mergeCell ref="B184:E184"/>
    <mergeCell ref="I183:J183"/>
    <mergeCell ref="K183:L183"/>
    <mergeCell ref="G184:H184"/>
    <mergeCell ref="I184:J184"/>
    <mergeCell ref="K184:L184"/>
    <mergeCell ref="K189:L189"/>
    <mergeCell ref="B190:E190"/>
    <mergeCell ref="G190:H190"/>
    <mergeCell ref="I190:J190"/>
    <mergeCell ref="K190:L190"/>
    <mergeCell ref="A191:E191"/>
    <mergeCell ref="G191:H191"/>
    <mergeCell ref="I191:J191"/>
    <mergeCell ref="K191:L191"/>
    <mergeCell ref="M191:N191"/>
    <mergeCell ref="A192:A194"/>
    <mergeCell ref="B192:C194"/>
    <mergeCell ref="D192:D194"/>
    <mergeCell ref="E192:F194"/>
    <mergeCell ref="G192:G194"/>
    <mergeCell ref="H192:H194"/>
    <mergeCell ref="I192:I194"/>
    <mergeCell ref="J192:J194"/>
    <mergeCell ref="K192:K194"/>
    <mergeCell ref="L192:L194"/>
    <mergeCell ref="M192:M194"/>
    <mergeCell ref="N192:N194"/>
    <mergeCell ref="A196:A197"/>
    <mergeCell ref="B196:C197"/>
    <mergeCell ref="D196:D197"/>
    <mergeCell ref="E196:F197"/>
    <mergeCell ref="G196:H197"/>
    <mergeCell ref="I196:J197"/>
    <mergeCell ref="K196:L197"/>
    <mergeCell ref="M196:N197"/>
    <mergeCell ref="A198:A199"/>
    <mergeCell ref="B198:E199"/>
    <mergeCell ref="F198:F199"/>
    <mergeCell ref="G198:H199"/>
    <mergeCell ref="I198:J199"/>
    <mergeCell ref="K198:L199"/>
    <mergeCell ref="M198:M199"/>
    <mergeCell ref="N198:N199"/>
    <mergeCell ref="B204:E204"/>
    <mergeCell ref="B200:E200"/>
    <mergeCell ref="G200:H200"/>
    <mergeCell ref="I200:J200"/>
    <mergeCell ref="K200:L200"/>
    <mergeCell ref="B201:E201"/>
    <mergeCell ref="G201:H201"/>
    <mergeCell ref="I201:J201"/>
    <mergeCell ref="K201:L201"/>
    <mergeCell ref="G204:H204"/>
    <mergeCell ref="I204:J204"/>
    <mergeCell ref="K204:L204"/>
    <mergeCell ref="B202:E202"/>
    <mergeCell ref="G202:H202"/>
    <mergeCell ref="I202:J202"/>
    <mergeCell ref="K202:L202"/>
    <mergeCell ref="A213:A214"/>
    <mergeCell ref="B213:C214"/>
    <mergeCell ref="D213:D214"/>
    <mergeCell ref="E213:F214"/>
    <mergeCell ref="G213:H214"/>
    <mergeCell ref="I213:J214"/>
    <mergeCell ref="K213:L214"/>
    <mergeCell ref="M213:N214"/>
    <mergeCell ref="B224:E224"/>
    <mergeCell ref="A225:E225"/>
    <mergeCell ref="G225:H225"/>
    <mergeCell ref="I225:J225"/>
    <mergeCell ref="K225:L225"/>
    <mergeCell ref="M225:N225"/>
    <mergeCell ref="I217:J217"/>
    <mergeCell ref="K217:L217"/>
    <mergeCell ref="B217:E217"/>
    <mergeCell ref="G217:H217"/>
    <mergeCell ref="A215:A216"/>
    <mergeCell ref="B215:E216"/>
    <mergeCell ref="F215:F216"/>
    <mergeCell ref="G215:H216"/>
    <mergeCell ref="I215:J216"/>
    <mergeCell ref="K215:L216"/>
    <mergeCell ref="M215:M216"/>
    <mergeCell ref="N215:N216"/>
    <mergeCell ref="A226:A228"/>
    <mergeCell ref="B226:C228"/>
    <mergeCell ref="D226:D228"/>
    <mergeCell ref="E226:F228"/>
    <mergeCell ref="G226:G228"/>
    <mergeCell ref="H226:H228"/>
    <mergeCell ref="I226:I228"/>
    <mergeCell ref="J226:J228"/>
    <mergeCell ref="K226:K228"/>
    <mergeCell ref="L226:L228"/>
    <mergeCell ref="M226:M228"/>
    <mergeCell ref="N226:N228"/>
    <mergeCell ref="A230:A231"/>
    <mergeCell ref="B230:C231"/>
    <mergeCell ref="D230:D231"/>
    <mergeCell ref="E230:F231"/>
    <mergeCell ref="G230:H231"/>
    <mergeCell ref="I230:J231"/>
    <mergeCell ref="K230:L231"/>
    <mergeCell ref="M230:N231"/>
    <mergeCell ref="A232:A233"/>
    <mergeCell ref="B232:E233"/>
    <mergeCell ref="F232:F233"/>
    <mergeCell ref="G232:H233"/>
    <mergeCell ref="I232:J233"/>
    <mergeCell ref="K232:L233"/>
    <mergeCell ref="M232:M233"/>
    <mergeCell ref="N232:N233"/>
    <mergeCell ref="A242:E242"/>
    <mergeCell ref="M242:N242"/>
    <mergeCell ref="I237:J237"/>
    <mergeCell ref="K237:L237"/>
    <mergeCell ref="I238:J238"/>
    <mergeCell ref="K238:L238"/>
    <mergeCell ref="B237:E237"/>
    <mergeCell ref="G237:H237"/>
    <mergeCell ref="B238:E238"/>
    <mergeCell ref="G238:H238"/>
    <mergeCell ref="B239:E239"/>
    <mergeCell ref="G239:H239"/>
    <mergeCell ref="I239:J239"/>
    <mergeCell ref="K239:L239"/>
    <mergeCell ref="I234:J234"/>
    <mergeCell ref="K234:L234"/>
    <mergeCell ref="G240:H240"/>
    <mergeCell ref="I240:J240"/>
    <mergeCell ref="K240:L240"/>
    <mergeCell ref="B241:E241"/>
    <mergeCell ref="G241:H241"/>
    <mergeCell ref="I241:J241"/>
    <mergeCell ref="K241:L241"/>
    <mergeCell ref="G242:H242"/>
    <mergeCell ref="M243:M245"/>
    <mergeCell ref="N243:N245"/>
    <mergeCell ref="A247:A248"/>
    <mergeCell ref="B247:C248"/>
    <mergeCell ref="D247:D248"/>
    <mergeCell ref="E247:F248"/>
    <mergeCell ref="G247:H248"/>
    <mergeCell ref="I247:J248"/>
    <mergeCell ref="K247:L248"/>
    <mergeCell ref="M247:N248"/>
    <mergeCell ref="B249:E250"/>
    <mergeCell ref="F249:F250"/>
    <mergeCell ref="M249:M250"/>
    <mergeCell ref="N249:N250"/>
    <mergeCell ref="B251:E251"/>
    <mergeCell ref="G251:H251"/>
    <mergeCell ref="I251:J251"/>
    <mergeCell ref="K251:L251"/>
    <mergeCell ref="M260:M262"/>
    <mergeCell ref="N260:N262"/>
    <mergeCell ref="G257:H257"/>
    <mergeCell ref="I257:J257"/>
    <mergeCell ref="K257:L257"/>
    <mergeCell ref="I258:J258"/>
    <mergeCell ref="K258:L258"/>
    <mergeCell ref="I259:J259"/>
    <mergeCell ref="M266:M267"/>
    <mergeCell ref="N266:N267"/>
    <mergeCell ref="B268:E268"/>
    <mergeCell ref="G268:H268"/>
    <mergeCell ref="I268:J268"/>
    <mergeCell ref="K268:L268"/>
    <mergeCell ref="B269:E269"/>
    <mergeCell ref="G269:H269"/>
    <mergeCell ref="I269:J269"/>
    <mergeCell ref="K269:L269"/>
    <mergeCell ref="K266:L267"/>
    <mergeCell ref="M259:N259"/>
    <mergeCell ref="M276:N276"/>
    <mergeCell ref="A277:A279"/>
    <mergeCell ref="B277:C279"/>
    <mergeCell ref="D277:D279"/>
    <mergeCell ref="E277:F279"/>
    <mergeCell ref="G277:G279"/>
    <mergeCell ref="H277:H279"/>
    <mergeCell ref="I277:I279"/>
    <mergeCell ref="J277:J279"/>
    <mergeCell ref="K277:K279"/>
    <mergeCell ref="L277:L279"/>
    <mergeCell ref="M277:M279"/>
    <mergeCell ref="N277:N279"/>
    <mergeCell ref="B272:E272"/>
    <mergeCell ref="G272:H272"/>
    <mergeCell ref="I272:J272"/>
    <mergeCell ref="K272:L272"/>
    <mergeCell ref="G275:H275"/>
    <mergeCell ref="I275:J275"/>
    <mergeCell ref="K275:L275"/>
    <mergeCell ref="B273:E273"/>
    <mergeCell ref="G273:H273"/>
    <mergeCell ref="I273:J273"/>
    <mergeCell ref="K273:L273"/>
    <mergeCell ref="B274:E274"/>
    <mergeCell ref="G274:H274"/>
    <mergeCell ref="I274:J274"/>
    <mergeCell ref="K274:L274"/>
    <mergeCell ref="B275:E275"/>
    <mergeCell ref="G276:H276"/>
    <mergeCell ref="I276:J276"/>
    <mergeCell ref="K276:L276"/>
    <mergeCell ref="A281:A282"/>
    <mergeCell ref="B281:C282"/>
    <mergeCell ref="D281:D282"/>
    <mergeCell ref="E281:F282"/>
    <mergeCell ref="G281:H282"/>
    <mergeCell ref="I281:J282"/>
    <mergeCell ref="K281:L282"/>
    <mergeCell ref="M281:N282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90:E290"/>
    <mergeCell ref="G290:H290"/>
    <mergeCell ref="I290:J290"/>
    <mergeCell ref="K290:L290"/>
    <mergeCell ref="M283:M284"/>
    <mergeCell ref="N283:N284"/>
    <mergeCell ref="B285:E285"/>
    <mergeCell ref="G285:H285"/>
    <mergeCell ref="G291:H291"/>
    <mergeCell ref="I291:J291"/>
    <mergeCell ref="K291:L291"/>
    <mergeCell ref="B292:E292"/>
    <mergeCell ref="G292:H292"/>
    <mergeCell ref="I292:J292"/>
    <mergeCell ref="K292:L292"/>
    <mergeCell ref="A293:E293"/>
    <mergeCell ref="M293:N293"/>
    <mergeCell ref="A294:A296"/>
    <mergeCell ref="B294:C296"/>
    <mergeCell ref="D294:D296"/>
    <mergeCell ref="E294:F296"/>
    <mergeCell ref="G294:G296"/>
    <mergeCell ref="H294:H296"/>
    <mergeCell ref="I294:I296"/>
    <mergeCell ref="J294:J296"/>
    <mergeCell ref="K294:K296"/>
    <mergeCell ref="L294:L296"/>
    <mergeCell ref="M294:M296"/>
    <mergeCell ref="N294:N296"/>
    <mergeCell ref="B291:E291"/>
    <mergeCell ref="A298:A299"/>
    <mergeCell ref="B298:C299"/>
    <mergeCell ref="D298:D299"/>
    <mergeCell ref="E298:F299"/>
    <mergeCell ref="G298:H299"/>
    <mergeCell ref="I298:J299"/>
    <mergeCell ref="K298:L299"/>
    <mergeCell ref="M298:N299"/>
    <mergeCell ref="G293:H293"/>
    <mergeCell ref="I293:J293"/>
    <mergeCell ref="K293:L293"/>
    <mergeCell ref="A300:A301"/>
    <mergeCell ref="B300:E301"/>
    <mergeCell ref="F300:F301"/>
    <mergeCell ref="G300:H301"/>
    <mergeCell ref="I300:J301"/>
    <mergeCell ref="K300:L301"/>
    <mergeCell ref="M300:M301"/>
    <mergeCell ref="N300:N301"/>
    <mergeCell ref="M310:N310"/>
    <mergeCell ref="A311:A313"/>
    <mergeCell ref="B311:C313"/>
    <mergeCell ref="D311:D313"/>
    <mergeCell ref="E311:F313"/>
    <mergeCell ref="G311:G313"/>
    <mergeCell ref="H311:H313"/>
    <mergeCell ref="I311:I313"/>
    <mergeCell ref="J311:J313"/>
    <mergeCell ref="K311:K313"/>
    <mergeCell ref="L311:L313"/>
    <mergeCell ref="M311:M313"/>
    <mergeCell ref="N311:N313"/>
    <mergeCell ref="A315:A316"/>
    <mergeCell ref="B315:C316"/>
    <mergeCell ref="D315:D316"/>
    <mergeCell ref="E315:F316"/>
    <mergeCell ref="G315:H316"/>
    <mergeCell ref="I315:J316"/>
    <mergeCell ref="K315:L316"/>
    <mergeCell ref="M315:N316"/>
    <mergeCell ref="F317:F318"/>
    <mergeCell ref="G317:H318"/>
    <mergeCell ref="I317:J318"/>
    <mergeCell ref="K317:L318"/>
    <mergeCell ref="M317:M318"/>
    <mergeCell ref="N317:N318"/>
    <mergeCell ref="B324:E324"/>
    <mergeCell ref="K321:L321"/>
    <mergeCell ref="B320:E320"/>
    <mergeCell ref="G320:H320"/>
    <mergeCell ref="B321:E321"/>
    <mergeCell ref="G321:H321"/>
    <mergeCell ref="G319:H319"/>
    <mergeCell ref="I319:J319"/>
    <mergeCell ref="K319:L319"/>
    <mergeCell ref="B319:E319"/>
    <mergeCell ref="K324:L324"/>
    <mergeCell ref="B322:E322"/>
    <mergeCell ref="G322:H322"/>
    <mergeCell ref="I322:J322"/>
    <mergeCell ref="K322:L322"/>
    <mergeCell ref="B323:E323"/>
    <mergeCell ref="G323:H323"/>
    <mergeCell ref="I323:J323"/>
    <mergeCell ref="K323:L323"/>
    <mergeCell ref="I321:J321"/>
    <mergeCell ref="A327:E327"/>
    <mergeCell ref="G327:H327"/>
    <mergeCell ref="I327:J327"/>
    <mergeCell ref="K327:L327"/>
    <mergeCell ref="M327:N327"/>
    <mergeCell ref="A328:A330"/>
    <mergeCell ref="B328:C330"/>
    <mergeCell ref="D328:D330"/>
    <mergeCell ref="E328:F330"/>
    <mergeCell ref="G328:G330"/>
    <mergeCell ref="H328:H330"/>
    <mergeCell ref="I328:I330"/>
    <mergeCell ref="J328:J330"/>
    <mergeCell ref="K328:K330"/>
    <mergeCell ref="L328:L330"/>
    <mergeCell ref="M328:M330"/>
    <mergeCell ref="N328:N330"/>
    <mergeCell ref="A332:A333"/>
    <mergeCell ref="B332:C333"/>
    <mergeCell ref="D332:D333"/>
    <mergeCell ref="E332:F333"/>
    <mergeCell ref="G332:H333"/>
    <mergeCell ref="I332:J333"/>
    <mergeCell ref="K332:L333"/>
    <mergeCell ref="M332:N333"/>
    <mergeCell ref="A334:A335"/>
    <mergeCell ref="B334:E335"/>
    <mergeCell ref="F334:F335"/>
    <mergeCell ref="G334:H335"/>
    <mergeCell ref="I334:J335"/>
    <mergeCell ref="K334:L335"/>
    <mergeCell ref="M334:M335"/>
    <mergeCell ref="N334:N335"/>
    <mergeCell ref="A361:E361"/>
    <mergeCell ref="M361:N361"/>
    <mergeCell ref="M351:M352"/>
    <mergeCell ref="N351:N352"/>
    <mergeCell ref="A351:A352"/>
    <mergeCell ref="B351:E352"/>
    <mergeCell ref="F351:F352"/>
    <mergeCell ref="G351:H352"/>
    <mergeCell ref="I351:J352"/>
    <mergeCell ref="K351:L352"/>
    <mergeCell ref="G361:H361"/>
    <mergeCell ref="M345:M347"/>
    <mergeCell ref="N345:N347"/>
    <mergeCell ref="A349:A350"/>
    <mergeCell ref="B349:C350"/>
    <mergeCell ref="D349:D350"/>
    <mergeCell ref="A362:A364"/>
    <mergeCell ref="B362:C364"/>
    <mergeCell ref="D362:D364"/>
    <mergeCell ref="E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A366:A367"/>
    <mergeCell ref="B366:C367"/>
    <mergeCell ref="D366:D367"/>
    <mergeCell ref="E366:F367"/>
    <mergeCell ref="G366:H367"/>
    <mergeCell ref="I366:J367"/>
    <mergeCell ref="K366:L367"/>
    <mergeCell ref="M366:N367"/>
    <mergeCell ref="B373:E373"/>
    <mergeCell ref="G373:H373"/>
    <mergeCell ref="I373:J373"/>
    <mergeCell ref="K373:L373"/>
    <mergeCell ref="G376:H376"/>
    <mergeCell ref="I376:J376"/>
    <mergeCell ref="K376:L376"/>
    <mergeCell ref="B377:E377"/>
    <mergeCell ref="G377:H377"/>
    <mergeCell ref="I377:J377"/>
    <mergeCell ref="A383:A384"/>
    <mergeCell ref="B383:C384"/>
    <mergeCell ref="D383:D384"/>
    <mergeCell ref="E383:F384"/>
    <mergeCell ref="G383:H384"/>
    <mergeCell ref="I383:J384"/>
    <mergeCell ref="K383:L384"/>
    <mergeCell ref="M385:M386"/>
    <mergeCell ref="N385:N386"/>
    <mergeCell ref="A378:E378"/>
    <mergeCell ref="M378:N378"/>
    <mergeCell ref="A379:A381"/>
    <mergeCell ref="B379:C381"/>
    <mergeCell ref="D379:D381"/>
    <mergeCell ref="E379:F381"/>
    <mergeCell ref="G379:G381"/>
    <mergeCell ref="H379:H381"/>
    <mergeCell ref="I379:I381"/>
    <mergeCell ref="J379:J381"/>
    <mergeCell ref="B387:E387"/>
    <mergeCell ref="G387:H387"/>
    <mergeCell ref="I387:J387"/>
    <mergeCell ref="K387:L387"/>
    <mergeCell ref="B388:E388"/>
    <mergeCell ref="G388:H388"/>
    <mergeCell ref="I388:J388"/>
    <mergeCell ref="K388:L388"/>
    <mergeCell ref="B389:E389"/>
    <mergeCell ref="G389:H389"/>
    <mergeCell ref="I389:J389"/>
    <mergeCell ref="K389:L389"/>
    <mergeCell ref="B390:E390"/>
    <mergeCell ref="G390:H390"/>
    <mergeCell ref="I390:J390"/>
    <mergeCell ref="K390:L390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M395:N395"/>
    <mergeCell ref="A396:A398"/>
    <mergeCell ref="B396:C398"/>
    <mergeCell ref="D396:D398"/>
    <mergeCell ref="E396:F398"/>
    <mergeCell ref="G396:G398"/>
    <mergeCell ref="H396:H398"/>
    <mergeCell ref="I396:I398"/>
    <mergeCell ref="J396:J398"/>
    <mergeCell ref="K396:K398"/>
    <mergeCell ref="L396:L398"/>
    <mergeCell ref="M396:M398"/>
    <mergeCell ref="N396:N398"/>
    <mergeCell ref="G395:H395"/>
    <mergeCell ref="I395:J395"/>
    <mergeCell ref="K395:L395"/>
    <mergeCell ref="A395:E395"/>
    <mergeCell ref="B393:E393"/>
    <mergeCell ref="G393:H393"/>
    <mergeCell ref="I393:J393"/>
    <mergeCell ref="K393:L393"/>
    <mergeCell ref="B394:E394"/>
    <mergeCell ref="G394:H394"/>
    <mergeCell ref="I394:J394"/>
    <mergeCell ref="K394:L394"/>
    <mergeCell ref="G409:H409"/>
    <mergeCell ref="I409:J409"/>
    <mergeCell ref="K409:L409"/>
    <mergeCell ref="B410:E410"/>
    <mergeCell ref="G410:H410"/>
    <mergeCell ref="I410:J410"/>
    <mergeCell ref="K410:L410"/>
    <mergeCell ref="B411:E411"/>
    <mergeCell ref="G411:H411"/>
    <mergeCell ref="I411:J411"/>
    <mergeCell ref="K411:L411"/>
    <mergeCell ref="A412:E412"/>
    <mergeCell ref="G412:H412"/>
    <mergeCell ref="I412:J412"/>
    <mergeCell ref="K412:L412"/>
    <mergeCell ref="M412:N412"/>
    <mergeCell ref="A413:A415"/>
    <mergeCell ref="B413:C415"/>
    <mergeCell ref="D413:D415"/>
    <mergeCell ref="E413:F415"/>
    <mergeCell ref="G413:G415"/>
    <mergeCell ref="H413:H415"/>
    <mergeCell ref="I413:I415"/>
    <mergeCell ref="J413:J415"/>
    <mergeCell ref="K413:K415"/>
    <mergeCell ref="L413:L415"/>
    <mergeCell ref="M413:M415"/>
    <mergeCell ref="N413:N415"/>
    <mergeCell ref="A417:A418"/>
    <mergeCell ref="B417:C418"/>
    <mergeCell ref="D417:D418"/>
    <mergeCell ref="E417:F418"/>
    <mergeCell ref="G417:H418"/>
    <mergeCell ref="I417:J418"/>
    <mergeCell ref="K417:L418"/>
    <mergeCell ref="M417:N418"/>
    <mergeCell ref="A419:A420"/>
    <mergeCell ref="B419:E420"/>
    <mergeCell ref="F419:F420"/>
    <mergeCell ref="G419:H420"/>
    <mergeCell ref="I419:J420"/>
    <mergeCell ref="K419:L420"/>
    <mergeCell ref="M419:M420"/>
    <mergeCell ref="N419:N420"/>
    <mergeCell ref="B424:E424"/>
    <mergeCell ref="B422:E422"/>
    <mergeCell ref="G422:H422"/>
    <mergeCell ref="I422:J422"/>
    <mergeCell ref="K422:L422"/>
    <mergeCell ref="B423:E423"/>
    <mergeCell ref="G423:H423"/>
    <mergeCell ref="I423:J423"/>
    <mergeCell ref="K423:L423"/>
    <mergeCell ref="B421:E421"/>
    <mergeCell ref="G421:H421"/>
    <mergeCell ref="I421:J421"/>
    <mergeCell ref="K421:L421"/>
    <mergeCell ref="I430:I432"/>
    <mergeCell ref="J430:J432"/>
    <mergeCell ref="K430:K432"/>
    <mergeCell ref="L430:L432"/>
    <mergeCell ref="M430:M432"/>
    <mergeCell ref="N430:N432"/>
    <mergeCell ref="A436:A437"/>
    <mergeCell ref="B436:E437"/>
    <mergeCell ref="F436:F437"/>
    <mergeCell ref="G436:H437"/>
    <mergeCell ref="I436:J437"/>
    <mergeCell ref="K436:L437"/>
    <mergeCell ref="M436:M437"/>
    <mergeCell ref="N436:N437"/>
    <mergeCell ref="B444:E444"/>
    <mergeCell ref="B445:E445"/>
    <mergeCell ref="G445:H445"/>
    <mergeCell ref="I445:J445"/>
    <mergeCell ref="K445:L445"/>
    <mergeCell ref="K442:L442"/>
    <mergeCell ref="B439:E439"/>
    <mergeCell ref="G439:H439"/>
    <mergeCell ref="I439:J439"/>
    <mergeCell ref="K439:L439"/>
    <mergeCell ref="B440:E440"/>
    <mergeCell ref="G440:H440"/>
    <mergeCell ref="I440:J440"/>
    <mergeCell ref="K440:L440"/>
    <mergeCell ref="B438:E438"/>
    <mergeCell ref="G438:H438"/>
    <mergeCell ref="I438:J438"/>
    <mergeCell ref="K438:L438"/>
    <mergeCell ref="A446:E446"/>
    <mergeCell ref="G446:H446"/>
    <mergeCell ref="I446:J446"/>
    <mergeCell ref="K446:L446"/>
    <mergeCell ref="M446:N446"/>
    <mergeCell ref="B443:E443"/>
    <mergeCell ref="G443:H443"/>
    <mergeCell ref="I443:J443"/>
    <mergeCell ref="K443:L443"/>
    <mergeCell ref="G444:H444"/>
    <mergeCell ref="I444:J444"/>
    <mergeCell ref="K444:L444"/>
    <mergeCell ref="B441:E441"/>
    <mergeCell ref="G441:H441"/>
    <mergeCell ref="I441:J441"/>
    <mergeCell ref="K441:L441"/>
    <mergeCell ref="B442:E442"/>
    <mergeCell ref="G442:H442"/>
    <mergeCell ref="I442:J442"/>
    <mergeCell ref="A447:A449"/>
    <mergeCell ref="B447:C449"/>
    <mergeCell ref="D447:D449"/>
    <mergeCell ref="E447:F449"/>
    <mergeCell ref="G447:G449"/>
    <mergeCell ref="H447:H449"/>
    <mergeCell ref="I447:I449"/>
    <mergeCell ref="J447:J449"/>
    <mergeCell ref="K447:K449"/>
    <mergeCell ref="L447:L449"/>
    <mergeCell ref="M447:M449"/>
    <mergeCell ref="N447:N449"/>
    <mergeCell ref="B451:C452"/>
    <mergeCell ref="D451:D452"/>
    <mergeCell ref="E451:F452"/>
    <mergeCell ref="M451:N452"/>
    <mergeCell ref="A453:A454"/>
    <mergeCell ref="B453:E454"/>
    <mergeCell ref="F453:F454"/>
    <mergeCell ref="G453:H454"/>
    <mergeCell ref="I453:J454"/>
    <mergeCell ref="K453:L454"/>
    <mergeCell ref="M453:M454"/>
    <mergeCell ref="N453:N454"/>
    <mergeCell ref="M464:M466"/>
    <mergeCell ref="N464:N466"/>
    <mergeCell ref="A468:A469"/>
    <mergeCell ref="B468:C469"/>
    <mergeCell ref="D468:D469"/>
    <mergeCell ref="E468:F469"/>
    <mergeCell ref="G468:H469"/>
    <mergeCell ref="I468:J469"/>
    <mergeCell ref="K468:L469"/>
    <mergeCell ref="M468:N469"/>
    <mergeCell ref="A470:A471"/>
    <mergeCell ref="B470:E471"/>
    <mergeCell ref="F470:F471"/>
    <mergeCell ref="G470:H471"/>
    <mergeCell ref="I470:J471"/>
    <mergeCell ref="K470:L471"/>
    <mergeCell ref="M470:M471"/>
    <mergeCell ref="N470:N471"/>
    <mergeCell ref="D481:D483"/>
    <mergeCell ref="E481:F483"/>
    <mergeCell ref="G481:G483"/>
    <mergeCell ref="H481:H483"/>
    <mergeCell ref="I481:I483"/>
    <mergeCell ref="J481:J483"/>
    <mergeCell ref="K481:K483"/>
    <mergeCell ref="L481:L483"/>
    <mergeCell ref="M481:M483"/>
    <mergeCell ref="N481:N483"/>
    <mergeCell ref="A485:A486"/>
    <mergeCell ref="B485:C486"/>
    <mergeCell ref="D485:D486"/>
    <mergeCell ref="E485:F486"/>
    <mergeCell ref="G485:H486"/>
    <mergeCell ref="I485:J486"/>
    <mergeCell ref="K485:L486"/>
    <mergeCell ref="M485:N486"/>
    <mergeCell ref="A487:A488"/>
    <mergeCell ref="B487:E488"/>
    <mergeCell ref="F487:F488"/>
    <mergeCell ref="G487:H488"/>
    <mergeCell ref="I487:J488"/>
    <mergeCell ref="K487:L488"/>
    <mergeCell ref="M487:M488"/>
    <mergeCell ref="N487:N488"/>
    <mergeCell ref="B489:E489"/>
    <mergeCell ref="G489:H489"/>
    <mergeCell ref="I489:J489"/>
    <mergeCell ref="K489:L489"/>
    <mergeCell ref="B490:E490"/>
    <mergeCell ref="G490:H490"/>
    <mergeCell ref="I490:J490"/>
    <mergeCell ref="K490:L490"/>
    <mergeCell ref="B491:E491"/>
    <mergeCell ref="G491:H491"/>
    <mergeCell ref="I491:J491"/>
    <mergeCell ref="K491:L491"/>
    <mergeCell ref="B492:E492"/>
    <mergeCell ref="G492:H492"/>
    <mergeCell ref="I492:J492"/>
    <mergeCell ref="K492:L492"/>
    <mergeCell ref="A497:E497"/>
    <mergeCell ref="M497:N497"/>
    <mergeCell ref="A498:A500"/>
    <mergeCell ref="B498:C500"/>
    <mergeCell ref="D498:D500"/>
    <mergeCell ref="E498:F500"/>
    <mergeCell ref="G498:G500"/>
    <mergeCell ref="H498:H500"/>
    <mergeCell ref="I498:I500"/>
    <mergeCell ref="J498:J500"/>
    <mergeCell ref="K498:K500"/>
    <mergeCell ref="L498:L500"/>
    <mergeCell ref="M498:M500"/>
    <mergeCell ref="N498:N500"/>
    <mergeCell ref="B493:E493"/>
    <mergeCell ref="G493:H493"/>
    <mergeCell ref="I493:J493"/>
    <mergeCell ref="K493:L493"/>
    <mergeCell ref="B496:E496"/>
    <mergeCell ref="G496:H496"/>
    <mergeCell ref="I496:J496"/>
    <mergeCell ref="K496:L496"/>
    <mergeCell ref="G497:H497"/>
    <mergeCell ref="I497:J497"/>
    <mergeCell ref="K497:L497"/>
    <mergeCell ref="B494:E494"/>
    <mergeCell ref="G494:H494"/>
    <mergeCell ref="I494:J494"/>
    <mergeCell ref="A502:A503"/>
    <mergeCell ref="B502:C503"/>
    <mergeCell ref="D502:D503"/>
    <mergeCell ref="E502:F503"/>
    <mergeCell ref="G502:H503"/>
    <mergeCell ref="I502:J503"/>
    <mergeCell ref="K502:L503"/>
    <mergeCell ref="M502:N503"/>
    <mergeCell ref="A504:A505"/>
    <mergeCell ref="B504:E505"/>
    <mergeCell ref="F504:F505"/>
    <mergeCell ref="G504:H505"/>
    <mergeCell ref="I504:J505"/>
    <mergeCell ref="K504:L505"/>
    <mergeCell ref="M504:M505"/>
    <mergeCell ref="N504:N505"/>
    <mergeCell ref="B506:E506"/>
    <mergeCell ref="G506:H506"/>
    <mergeCell ref="I506:J506"/>
    <mergeCell ref="K506:L506"/>
    <mergeCell ref="G508:H508"/>
    <mergeCell ref="I508:J508"/>
    <mergeCell ref="K508:L508"/>
    <mergeCell ref="B509:E509"/>
    <mergeCell ref="G509:H509"/>
    <mergeCell ref="I509:J509"/>
    <mergeCell ref="K509:L509"/>
    <mergeCell ref="B510:E510"/>
    <mergeCell ref="G510:H510"/>
    <mergeCell ref="I510:J510"/>
    <mergeCell ref="K510:L510"/>
    <mergeCell ref="B511:E511"/>
    <mergeCell ref="G511:H511"/>
    <mergeCell ref="I511:J511"/>
    <mergeCell ref="K511:L511"/>
    <mergeCell ref="B512:E512"/>
    <mergeCell ref="G512:H512"/>
    <mergeCell ref="I512:J512"/>
    <mergeCell ref="K512:L512"/>
    <mergeCell ref="A519:A520"/>
    <mergeCell ref="B519:C520"/>
    <mergeCell ref="D519:D520"/>
    <mergeCell ref="E519:F520"/>
    <mergeCell ref="G519:H520"/>
    <mergeCell ref="I519:J520"/>
    <mergeCell ref="K519:L520"/>
    <mergeCell ref="M519:N520"/>
    <mergeCell ref="A521:A522"/>
    <mergeCell ref="B521:E522"/>
    <mergeCell ref="F521:F522"/>
    <mergeCell ref="G521:H522"/>
    <mergeCell ref="I521:J522"/>
    <mergeCell ref="K521:L522"/>
    <mergeCell ref="M521:M522"/>
    <mergeCell ref="N521:N522"/>
    <mergeCell ref="B524:E524"/>
    <mergeCell ref="B525:E525"/>
    <mergeCell ref="G525:H525"/>
    <mergeCell ref="I525:J525"/>
    <mergeCell ref="K525:L525"/>
    <mergeCell ref="B526:E526"/>
    <mergeCell ref="G526:H526"/>
    <mergeCell ref="I526:J526"/>
    <mergeCell ref="K526:L526"/>
    <mergeCell ref="B527:E527"/>
    <mergeCell ref="G527:H527"/>
    <mergeCell ref="I527:J527"/>
    <mergeCell ref="K527:L527"/>
    <mergeCell ref="B528:E528"/>
    <mergeCell ref="G528:H528"/>
    <mergeCell ref="I528:J528"/>
    <mergeCell ref="K528:L528"/>
    <mergeCell ref="B529:E529"/>
    <mergeCell ref="G529:H529"/>
    <mergeCell ref="I529:J529"/>
    <mergeCell ref="K529:L529"/>
    <mergeCell ref="B530:E530"/>
    <mergeCell ref="G530:H530"/>
    <mergeCell ref="I530:J530"/>
    <mergeCell ref="K530:L530"/>
    <mergeCell ref="A531:E531"/>
    <mergeCell ref="G531:H531"/>
    <mergeCell ref="I531:J531"/>
    <mergeCell ref="K531:L531"/>
    <mergeCell ref="M531:N531"/>
    <mergeCell ref="A532:A534"/>
    <mergeCell ref="B532:C534"/>
    <mergeCell ref="D532:D534"/>
    <mergeCell ref="E532:F534"/>
    <mergeCell ref="G532:G534"/>
    <mergeCell ref="H532:H534"/>
    <mergeCell ref="I532:I534"/>
    <mergeCell ref="J532:J534"/>
    <mergeCell ref="K532:K534"/>
    <mergeCell ref="L532:L534"/>
    <mergeCell ref="M532:M534"/>
    <mergeCell ref="N532:N534"/>
    <mergeCell ref="A536:A537"/>
    <mergeCell ref="B536:C537"/>
    <mergeCell ref="D536:D537"/>
    <mergeCell ref="E536:F537"/>
    <mergeCell ref="G536:H537"/>
    <mergeCell ref="I536:J537"/>
    <mergeCell ref="K536:L537"/>
    <mergeCell ref="M536:N537"/>
    <mergeCell ref="A538:A539"/>
    <mergeCell ref="B538:E539"/>
    <mergeCell ref="F538:F539"/>
    <mergeCell ref="G538:H539"/>
    <mergeCell ref="I538:J539"/>
    <mergeCell ref="K538:L539"/>
    <mergeCell ref="M538:M539"/>
    <mergeCell ref="N538:N539"/>
    <mergeCell ref="B544:E544"/>
    <mergeCell ref="G544:H544"/>
    <mergeCell ref="I544:J544"/>
    <mergeCell ref="K544:L544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K566:K568"/>
    <mergeCell ref="L566:L568"/>
    <mergeCell ref="M566:M568"/>
    <mergeCell ref="N566:N568"/>
    <mergeCell ref="G549:G551"/>
    <mergeCell ref="H549:H551"/>
    <mergeCell ref="I549:I551"/>
    <mergeCell ref="J549:J551"/>
    <mergeCell ref="K549:K551"/>
    <mergeCell ref="L549:L551"/>
    <mergeCell ref="M549:M551"/>
    <mergeCell ref="N549:N551"/>
    <mergeCell ref="A553:A554"/>
    <mergeCell ref="B553:C554"/>
    <mergeCell ref="D553:D554"/>
    <mergeCell ref="E553:F554"/>
    <mergeCell ref="G553:H554"/>
    <mergeCell ref="I553:J554"/>
    <mergeCell ref="K553:L554"/>
    <mergeCell ref="M553:N554"/>
    <mergeCell ref="A555:A556"/>
    <mergeCell ref="B555:E556"/>
    <mergeCell ref="F555:F556"/>
    <mergeCell ref="G555:H556"/>
    <mergeCell ref="I555:J556"/>
    <mergeCell ref="K555:L556"/>
    <mergeCell ref="M555:M556"/>
    <mergeCell ref="N555:N556"/>
    <mergeCell ref="B558:E558"/>
    <mergeCell ref="G558:H558"/>
    <mergeCell ref="I560:J560"/>
    <mergeCell ref="K560:L560"/>
    <mergeCell ref="I558:J558"/>
    <mergeCell ref="K558:L558"/>
    <mergeCell ref="B563:E563"/>
    <mergeCell ref="G563:H563"/>
    <mergeCell ref="A570:A571"/>
    <mergeCell ref="B570:C571"/>
    <mergeCell ref="D570:D571"/>
    <mergeCell ref="E570:F571"/>
    <mergeCell ref="G570:H571"/>
    <mergeCell ref="I570:J571"/>
    <mergeCell ref="K570:L571"/>
    <mergeCell ref="M570:N571"/>
    <mergeCell ref="A572:A573"/>
    <mergeCell ref="B572:E573"/>
    <mergeCell ref="F572:F573"/>
    <mergeCell ref="G572:H573"/>
    <mergeCell ref="I572:J573"/>
    <mergeCell ref="K572:L573"/>
    <mergeCell ref="M572:M573"/>
    <mergeCell ref="N572:N573"/>
    <mergeCell ref="B564:E564"/>
    <mergeCell ref="A565:E565"/>
    <mergeCell ref="G565:H565"/>
    <mergeCell ref="I565:J565"/>
    <mergeCell ref="K565:L565"/>
    <mergeCell ref="M565:N565"/>
    <mergeCell ref="A566:A568"/>
    <mergeCell ref="B566:C568"/>
    <mergeCell ref="D566:D568"/>
    <mergeCell ref="E566:F568"/>
    <mergeCell ref="I566:I568"/>
    <mergeCell ref="J566:J568"/>
    <mergeCell ref="K575:L575"/>
    <mergeCell ref="B576:E576"/>
    <mergeCell ref="G576:H576"/>
    <mergeCell ref="I576:J576"/>
    <mergeCell ref="K576:L576"/>
    <mergeCell ref="B574:E574"/>
    <mergeCell ref="A583:A585"/>
    <mergeCell ref="B583:C585"/>
    <mergeCell ref="D583:D585"/>
    <mergeCell ref="E583:F585"/>
    <mergeCell ref="G583:G585"/>
    <mergeCell ref="H583:H585"/>
    <mergeCell ref="I583:I585"/>
    <mergeCell ref="J583:J585"/>
    <mergeCell ref="K583:K585"/>
    <mergeCell ref="L583:L585"/>
    <mergeCell ref="M583:M585"/>
    <mergeCell ref="G574:H574"/>
    <mergeCell ref="I574:J574"/>
    <mergeCell ref="K574:L574"/>
    <mergeCell ref="K577:L577"/>
    <mergeCell ref="B578:E578"/>
    <mergeCell ref="G578:H578"/>
    <mergeCell ref="I578:J578"/>
    <mergeCell ref="K578:L578"/>
    <mergeCell ref="B579:E579"/>
    <mergeCell ref="G579:H579"/>
    <mergeCell ref="I579:J579"/>
    <mergeCell ref="K579:L579"/>
    <mergeCell ref="G582:H582"/>
    <mergeCell ref="I582:J582"/>
    <mergeCell ref="B577:E577"/>
    <mergeCell ref="N583:N585"/>
    <mergeCell ref="A587:A588"/>
    <mergeCell ref="B587:C588"/>
    <mergeCell ref="D587:D588"/>
    <mergeCell ref="E587:F588"/>
    <mergeCell ref="G587:H588"/>
    <mergeCell ref="I587:J588"/>
    <mergeCell ref="K587:L588"/>
    <mergeCell ref="M587:N588"/>
    <mergeCell ref="A599:E599"/>
    <mergeCell ref="M599:N599"/>
    <mergeCell ref="A600:A602"/>
    <mergeCell ref="B600:C602"/>
    <mergeCell ref="D600:D602"/>
    <mergeCell ref="E600:F602"/>
    <mergeCell ref="G600:G602"/>
    <mergeCell ref="H600:H602"/>
    <mergeCell ref="I600:I602"/>
    <mergeCell ref="J600:J602"/>
    <mergeCell ref="K600:K602"/>
    <mergeCell ref="L600:L602"/>
    <mergeCell ref="M600:M602"/>
    <mergeCell ref="N600:N602"/>
    <mergeCell ref="M589:M590"/>
    <mergeCell ref="N589:N590"/>
    <mergeCell ref="B595:E595"/>
    <mergeCell ref="G595:H595"/>
    <mergeCell ref="K592:L592"/>
    <mergeCell ref="G593:H593"/>
    <mergeCell ref="I593:J593"/>
    <mergeCell ref="K593:L593"/>
    <mergeCell ref="B589:E590"/>
    <mergeCell ref="A604:A605"/>
    <mergeCell ref="B604:C605"/>
    <mergeCell ref="D604:D605"/>
    <mergeCell ref="E604:F605"/>
    <mergeCell ref="G604:H605"/>
    <mergeCell ref="I604:J605"/>
    <mergeCell ref="K604:L605"/>
    <mergeCell ref="M604:N605"/>
    <mergeCell ref="G610:H610"/>
    <mergeCell ref="I610:J610"/>
    <mergeCell ref="K610:L610"/>
    <mergeCell ref="B611:E611"/>
    <mergeCell ref="G611:H611"/>
    <mergeCell ref="I611:J611"/>
    <mergeCell ref="K611:L611"/>
    <mergeCell ref="B612:E612"/>
    <mergeCell ref="G612:H612"/>
    <mergeCell ref="I612:J612"/>
    <mergeCell ref="K612:L612"/>
    <mergeCell ref="A606:A607"/>
    <mergeCell ref="B606:E607"/>
    <mergeCell ref="F606:F607"/>
    <mergeCell ref="G606:H607"/>
    <mergeCell ref="I606:J607"/>
    <mergeCell ref="K606:L607"/>
    <mergeCell ref="M606:M607"/>
    <mergeCell ref="N606:N607"/>
    <mergeCell ref="B608:E608"/>
    <mergeCell ref="G608:H608"/>
    <mergeCell ref="I608:J608"/>
    <mergeCell ref="K608:L608"/>
    <mergeCell ref="B609:E609"/>
    <mergeCell ref="M616:N616"/>
    <mergeCell ref="A617:A619"/>
    <mergeCell ref="B617:C619"/>
    <mergeCell ref="D617:D619"/>
    <mergeCell ref="E617:F619"/>
    <mergeCell ref="G617:G619"/>
    <mergeCell ref="H617:H619"/>
    <mergeCell ref="I617:I619"/>
    <mergeCell ref="J617:J619"/>
    <mergeCell ref="K617:K619"/>
    <mergeCell ref="L617:L619"/>
    <mergeCell ref="M617:M619"/>
    <mergeCell ref="N617:N619"/>
    <mergeCell ref="A621:A622"/>
    <mergeCell ref="B621:C622"/>
    <mergeCell ref="D621:D622"/>
    <mergeCell ref="E621:F622"/>
    <mergeCell ref="G621:H622"/>
    <mergeCell ref="I621:J622"/>
    <mergeCell ref="K621:L622"/>
    <mergeCell ref="M621:N622"/>
    <mergeCell ref="K623:L624"/>
    <mergeCell ref="M623:M624"/>
    <mergeCell ref="N623:N624"/>
    <mergeCell ref="B625:E625"/>
    <mergeCell ref="G625:H625"/>
    <mergeCell ref="I625:J625"/>
    <mergeCell ref="K625:L625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29:E629"/>
    <mergeCell ref="G629:H629"/>
    <mergeCell ref="I629:J629"/>
    <mergeCell ref="K629:L629"/>
    <mergeCell ref="B627:E627"/>
    <mergeCell ref="G627:H627"/>
    <mergeCell ref="I627:J627"/>
    <mergeCell ref="K627:L627"/>
    <mergeCell ref="B628:E628"/>
    <mergeCell ref="G628:H628"/>
    <mergeCell ref="I628:J628"/>
    <mergeCell ref="K628:L628"/>
    <mergeCell ref="B632:E632"/>
    <mergeCell ref="G632:H632"/>
    <mergeCell ref="I632:J632"/>
    <mergeCell ref="K632:L632"/>
    <mergeCell ref="A633:E633"/>
    <mergeCell ref="M633:N633"/>
    <mergeCell ref="A634:A636"/>
    <mergeCell ref="B634:C636"/>
    <mergeCell ref="D634:D636"/>
    <mergeCell ref="E634:F636"/>
    <mergeCell ref="G634:G636"/>
    <mergeCell ref="H634:H636"/>
    <mergeCell ref="I634:I636"/>
    <mergeCell ref="J634:J636"/>
    <mergeCell ref="K634:K636"/>
    <mergeCell ref="L634:L636"/>
    <mergeCell ref="M634:M636"/>
    <mergeCell ref="N634:N636"/>
    <mergeCell ref="G633:H633"/>
    <mergeCell ref="I633:J633"/>
    <mergeCell ref="K633:L633"/>
    <mergeCell ref="A638:A639"/>
    <mergeCell ref="B638:C639"/>
    <mergeCell ref="D638:D639"/>
    <mergeCell ref="E638:F639"/>
    <mergeCell ref="G638:H639"/>
    <mergeCell ref="I638:J639"/>
    <mergeCell ref="K638:L639"/>
    <mergeCell ref="M638:N639"/>
    <mergeCell ref="A640:A641"/>
    <mergeCell ref="B640:E641"/>
    <mergeCell ref="F640:F641"/>
    <mergeCell ref="G640:H641"/>
    <mergeCell ref="I640:J641"/>
    <mergeCell ref="K640:L641"/>
    <mergeCell ref="M640:M641"/>
    <mergeCell ref="N640:N641"/>
    <mergeCell ref="B644:E644"/>
    <mergeCell ref="B642:E642"/>
    <mergeCell ref="G642:H642"/>
    <mergeCell ref="I642:J642"/>
    <mergeCell ref="K642:L642"/>
    <mergeCell ref="B643:E643"/>
    <mergeCell ref="G643:H643"/>
    <mergeCell ref="I643:J643"/>
    <mergeCell ref="K643:L643"/>
    <mergeCell ref="G644:H644"/>
    <mergeCell ref="I644:J644"/>
    <mergeCell ref="K644:L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B649:E649"/>
    <mergeCell ref="G649:H649"/>
    <mergeCell ref="I649:J649"/>
    <mergeCell ref="K649:L649"/>
    <mergeCell ref="A650:E650"/>
    <mergeCell ref="G650:H650"/>
    <mergeCell ref="I650:J650"/>
    <mergeCell ref="K650:L650"/>
    <mergeCell ref="M650:N650"/>
    <mergeCell ref="A651:A653"/>
    <mergeCell ref="B651:C653"/>
    <mergeCell ref="D651:D653"/>
    <mergeCell ref="E651:F653"/>
    <mergeCell ref="G651:G653"/>
    <mergeCell ref="H651:H653"/>
    <mergeCell ref="I651:I653"/>
    <mergeCell ref="J651:J653"/>
    <mergeCell ref="K651:K653"/>
    <mergeCell ref="L651:L653"/>
    <mergeCell ref="M651:M653"/>
    <mergeCell ref="N651:N653"/>
  </mergeCells>
  <pageMargins left="0.70866141732283472" right="0.70866141732283472" top="0.35433070866141736" bottom="0.35433070866141736" header="0.11811023622047245" footer="0.31496062992125984"/>
  <pageSetup paperSize="8" scale="99" orientation="portrait" horizontalDpi="4294967293" verticalDpi="300" r:id="rId1"/>
  <headerFooter>
    <oddFooter xml:space="preserve">&amp;L&amp;"Times New Roman,Bold"&amp;10Prepared by                        Checked by
Date: 03.02.2026&amp;C&amp;"Times New Roman,Bold"&amp;10Controller(GBPIET)
&amp;R&amp;"Times New Roman,Bold"&amp;10
Director (GBPIET)                        Contoller(UTU)               
</oddFooter>
  </headerFooter>
  <rowBreaks count="9" manualBreakCount="9">
    <brk id="75" max="16383" man="1"/>
    <brk id="143" max="16383" man="1"/>
    <brk id="211" max="16383" man="1"/>
    <brk id="279" max="16383" man="1"/>
    <brk id="347" max="16383" man="1"/>
    <brk id="415" max="16383" man="1"/>
    <brk id="483" max="16383" man="1"/>
    <brk id="551" max="16383" man="1"/>
    <brk id="619" max="16383" man="1"/>
  </rowBreaks>
  <colBreaks count="1" manualBreakCount="1">
    <brk id="14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7BEB-5A56-49D3-92FB-8EF7C99F4803}">
  <dimension ref="A1:Z647"/>
  <sheetViews>
    <sheetView topLeftCell="A594" zoomScaleNormal="100" workbookViewId="0">
      <selection activeCell="N629" sqref="N629:N631"/>
    </sheetView>
  </sheetViews>
  <sheetFormatPr baseColWidth="10" defaultColWidth="8.83203125" defaultRowHeight="12.75" customHeight="1" x14ac:dyDescent="0.2"/>
  <sheetData>
    <row r="1" spans="1:26" ht="12.75" customHeight="1" x14ac:dyDescent="0.2">
      <c r="A1" s="51" t="s">
        <v>19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Y1" s="2" t="s">
        <v>9</v>
      </c>
      <c r="Z1" s="3" t="s">
        <v>10</v>
      </c>
    </row>
    <row r="2" spans="1:26" ht="12.75" customHeight="1" x14ac:dyDescent="0.2">
      <c r="A2" s="52" t="s">
        <v>20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Y2" s="4" t="s">
        <v>11</v>
      </c>
      <c r="Z2" s="4">
        <v>10</v>
      </c>
    </row>
    <row r="3" spans="1:26" ht="12.75" customHeight="1" x14ac:dyDescent="0.2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Y3" s="4" t="s">
        <v>54</v>
      </c>
      <c r="Z3" s="4">
        <v>9</v>
      </c>
    </row>
    <row r="4" spans="1:26" ht="12.75" customHeight="1" x14ac:dyDescent="0.2">
      <c r="A4" s="52" t="s">
        <v>21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Y4" s="4" t="s">
        <v>8</v>
      </c>
      <c r="Z4" s="4">
        <v>8</v>
      </c>
    </row>
    <row r="5" spans="1:26" ht="12.75" customHeight="1" x14ac:dyDescent="0.2">
      <c r="A5" s="55" t="s">
        <v>165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Y5" s="4" t="s">
        <v>55</v>
      </c>
      <c r="Z5" s="4">
        <v>7</v>
      </c>
    </row>
    <row r="6" spans="1:26" ht="12.75" customHeight="1" x14ac:dyDescent="0.2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Y6" s="4" t="s">
        <v>12</v>
      </c>
      <c r="Z6" s="4">
        <v>6</v>
      </c>
    </row>
    <row r="7" spans="1:26" ht="12.75" customHeight="1" x14ac:dyDescent="0.2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Y7" s="4" t="s">
        <v>13</v>
      </c>
      <c r="Z7" s="4">
        <v>5</v>
      </c>
    </row>
    <row r="8" spans="1:26" ht="12.75" customHeight="1" x14ac:dyDescent="0.2">
      <c r="A8" s="5" t="s">
        <v>43</v>
      </c>
      <c r="B8" s="5">
        <v>1</v>
      </c>
      <c r="C8" s="5" t="s">
        <v>22</v>
      </c>
      <c r="D8" s="5" t="s">
        <v>23</v>
      </c>
      <c r="E8" s="5" t="s">
        <v>13</v>
      </c>
      <c r="F8" s="5" t="s">
        <v>132</v>
      </c>
      <c r="G8" s="5" t="s">
        <v>59</v>
      </c>
      <c r="H8" s="5">
        <v>38</v>
      </c>
      <c r="I8" s="5">
        <v>10</v>
      </c>
      <c r="J8" s="6"/>
      <c r="K8" s="6"/>
      <c r="L8" s="6"/>
      <c r="M8" s="6"/>
      <c r="N8" s="6"/>
      <c r="Y8" s="4" t="s">
        <v>14</v>
      </c>
      <c r="Z8" s="4">
        <v>4</v>
      </c>
    </row>
    <row r="9" spans="1:26" ht="12.75" customHeight="1" x14ac:dyDescent="0.2">
      <c r="A9" s="47" t="s">
        <v>24</v>
      </c>
      <c r="B9" s="47" t="str">
        <f ca="1">VLOOKUP(B8,INDIRECT($F$8),4,0)</f>
        <v>ALOK NEGI</v>
      </c>
      <c r="C9" s="47"/>
      <c r="D9" s="47" t="s">
        <v>25</v>
      </c>
      <c r="E9" s="47" t="str">
        <f ca="1">VLOOKUP(B8,INDIRECT($F$8),5,0)</f>
        <v>PRATAP SINGH NEGI</v>
      </c>
      <c r="F9" s="47"/>
      <c r="G9" s="47" t="s">
        <v>26</v>
      </c>
      <c r="H9" s="47"/>
      <c r="I9" s="48">
        <f ca="1">VLOOKUP(B8,INDIRECT($F$8),2,0)</f>
        <v>240090600001</v>
      </c>
      <c r="J9" s="48"/>
      <c r="K9" s="47" t="s">
        <v>27</v>
      </c>
      <c r="L9" s="47"/>
      <c r="M9" s="48" t="str">
        <f ca="1">VLOOKUP(B8,INDIRECT($F$8),3,0)</f>
        <v>UTU/2406100187</v>
      </c>
      <c r="N9" s="48"/>
      <c r="Y9" s="4" t="s">
        <v>15</v>
      </c>
      <c r="Z9" s="4">
        <v>0</v>
      </c>
    </row>
    <row r="10" spans="1:26" ht="12.75" customHeight="1" x14ac:dyDescent="0.2">
      <c r="A10" s="47"/>
      <c r="B10" s="47"/>
      <c r="C10" s="47"/>
      <c r="D10" s="47"/>
      <c r="E10" s="47"/>
      <c r="F10" s="47"/>
      <c r="G10" s="47"/>
      <c r="H10" s="47"/>
      <c r="I10" s="48"/>
      <c r="J10" s="48"/>
      <c r="K10" s="47"/>
      <c r="L10" s="47"/>
      <c r="M10" s="48"/>
      <c r="N10" s="48"/>
      <c r="Y10" s="4" t="s">
        <v>16</v>
      </c>
      <c r="Z10" s="4">
        <v>0</v>
      </c>
    </row>
    <row r="11" spans="1:26" ht="12.75" customHeight="1" x14ac:dyDescent="0.2">
      <c r="A11" s="45" t="s">
        <v>28</v>
      </c>
      <c r="B11" s="45" t="s">
        <v>29</v>
      </c>
      <c r="C11" s="45"/>
      <c r="D11" s="45"/>
      <c r="E11" s="45"/>
      <c r="F11" s="45" t="s">
        <v>30</v>
      </c>
      <c r="G11" s="45" t="s">
        <v>31</v>
      </c>
      <c r="H11" s="45"/>
      <c r="I11" s="45" t="s">
        <v>32</v>
      </c>
      <c r="J11" s="45"/>
      <c r="K11" s="45" t="s">
        <v>33</v>
      </c>
      <c r="L11" s="45"/>
      <c r="M11" s="45" t="s">
        <v>9</v>
      </c>
      <c r="N11" s="45" t="s">
        <v>34</v>
      </c>
      <c r="Y11" s="4" t="s">
        <v>17</v>
      </c>
      <c r="Z11" s="4">
        <v>0</v>
      </c>
    </row>
    <row r="12" spans="1:26" ht="12.75" customHeight="1" x14ac:dyDescent="0.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18</v>
      </c>
      <c r="Z12" s="4">
        <v>0</v>
      </c>
    </row>
    <row r="13" spans="1:26" ht="12.75" customHeight="1" x14ac:dyDescent="0.2">
      <c r="A13" s="7" t="str">
        <f ca="1">IF(ISERROR(F8),"",VLOOKUP(C8,INDIRECT($F$8),6+(O13-1)*3,0))</f>
        <v>CAT 022</v>
      </c>
      <c r="B13" s="41" t="str">
        <f ca="1">IF(ISERROR(F8),"",VLOOKUP(D8,INDIRECT($F$8),6+(O13-1)*3,0))</f>
        <v>Network Security</v>
      </c>
      <c r="C13" s="41"/>
      <c r="D13" s="41"/>
      <c r="E13" s="41"/>
      <c r="F13" s="7">
        <f ca="1">IF(ISERROR(F8),"",VLOOKUP(E8,INDIRECT($F$8),6+(O13-1)*3,0))</f>
        <v>4</v>
      </c>
      <c r="G13" s="42" t="str">
        <f ca="1">IF(ISERROR(F8),"",_xlfn.TEXTJOIN("/",FALSE,P13,S13))</f>
        <v>0/100</v>
      </c>
      <c r="H13" s="42"/>
      <c r="I13" s="42" t="str">
        <f ca="1">IF(ISERROR(F8),"",_xlfn.TEXTJOIN("/",FALSE,Q13,T13))</f>
        <v>0/50</v>
      </c>
      <c r="J13" s="42"/>
      <c r="K13" s="42" t="str">
        <f ca="1">IF(ISERROR(F8),"",_xlfn.TEXTJOIN("/",FALSE,R13,U13))</f>
        <v>0/150</v>
      </c>
      <c r="L13" s="42"/>
      <c r="M13" s="7" t="str">
        <f ca="1">IF(ISERROR(F8),"",IF(ISTEXT(P13),IF(P13="A","Ab",IF(P13="D","Dt",IF(P13="UFM","UFM",IF(P13="NA","")))),IF(AND(ISBLANK(P13),ISBLANK(R13)),"",IF(P13&lt;0.3*S13,"F",IF(ISBLANK(R13),"",IF(ISTEXT(R13),R13,IF(R13&gt;=0.9*U13,"O",IF(R13&gt;=0.85*U13,"A+",IF(R13&gt;=0.8*U13,"A",IF(R13&gt;=0.7*U13,"B+",IF(R13&gt;=0.6*U13,"B",IF(R13&gt;=0.5*U13,"C",IF(R13&gt;=0.4*U13,"P",IF(R13&lt;0.4*U13,"F",R13))))))))))))))</f>
        <v>F</v>
      </c>
      <c r="N13" s="8">
        <f t="shared" ref="N13:N19" ca="1" si="0">INDEX($Z$2:$Z$13,MATCH(M13,$Y$2:$Y$13,0))</f>
        <v>0</v>
      </c>
      <c r="O13">
        <v>1</v>
      </c>
      <c r="P13" s="1">
        <f ca="1">IF(ISERROR(F8),"",IF(ISTEXT(VLOOKUP(B8,INDIRECT($F$8),6+(O13-1)*3)),(VLOOKUP(B8,INDIRECT($F$8),6+(O13-1)*3)),SUM(VLOOKUP(B8,INDIRECT($F$8),6+(O13-1)*3),IF(W20,W13,0))))</f>
        <v>0</v>
      </c>
      <c r="Q13" s="1">
        <f ca="1">IF(ISERROR(F8),"",VLOOKUP(B8,INDIRECT($F$8),7+(O13-1)*3))</f>
        <v>0</v>
      </c>
      <c r="R13" s="1">
        <f ca="1">IF(ISERROR(F8),"",SUM(P13:Q13))</f>
        <v>0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>CAT 022</v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11</v>
      </c>
      <c r="X13" s="1" t="str">
        <f ca="1">IF(ISERROR(F8),"",IF(W13=0,"",_xlfn.TEXTJOIN("",FALSE," G+",W13," in ",A13)))</f>
        <v xml:space="preserve"> G+11 in CAT 022</v>
      </c>
      <c r="Y13" s="4" t="str">
        <f>""</f>
        <v/>
      </c>
      <c r="Z13" s="4" t="str">
        <f>""</f>
        <v/>
      </c>
    </row>
    <row r="14" spans="1:26" ht="12.75" customHeight="1" x14ac:dyDescent="0.2">
      <c r="A14" s="7" t="str">
        <f ca="1">IF(ISERROR(F8),"",VLOOKUP(C8,INDIRECT($F$8),6+(O14-1)*3,0))</f>
        <v>Enroll No.</v>
      </c>
      <c r="B14" s="41">
        <f ca="1">IF(ISERROR(F8),"",VLOOKUP(D8,INDIRECT($F$8),6+(O14-1)*3,0))</f>
        <v>0</v>
      </c>
      <c r="C14" s="41"/>
      <c r="D14" s="41"/>
      <c r="E14" s="41"/>
      <c r="F14" s="7">
        <f ca="1">IF(ISERROR(F8),"",VLOOKUP(E8,INDIRECT($F$8),6+(O14-1)*3,0))</f>
        <v>0</v>
      </c>
      <c r="G14" s="42" t="str">
        <f ca="1">IF(ISERROR(F8),"",_xlfn.TEXTJOIN("/",FALSE,P14,S14))</f>
        <v>UTU/2406100187/0</v>
      </c>
      <c r="H14" s="42"/>
      <c r="I14" s="42" t="str">
        <f ca="1">IF(ISERROR(F8),"",_xlfn.TEXTJOIN("/",FALSE,Q14,T14))</f>
        <v>ALOK NEGI/0</v>
      </c>
      <c r="J14" s="42"/>
      <c r="K14" s="42" t="str">
        <f ca="1">IF(ISERROR(F8),"",_xlfn.TEXTJOIN("/",FALSE,R14,U14))</f>
        <v>0/0</v>
      </c>
      <c r="L14" s="42"/>
      <c r="M14" s="7" t="b">
        <f ca="1">IF(ISERROR(F8),"",IF(ISTEXT(P14),IF(P14="A","Ab",IF(P14="D","Dt",IF(P14="UFM","UFM",IF(P14="NA","")))),IF(AND(ISBLANK(P14),ISBLANK(R14)),"",IF(P14&lt;0.3*S14,"F",IF(ISBLANK(R14),"",IF(ISTEXT(R14),R14,IF(R14&gt;=0.9*U14,"O",IF(R14&gt;=0.85*U14,"A+",IF(R14&gt;=0.8*U14,"A",IF(R14&gt;=0.7*U14,"B+",IF(R14&gt;=0.6*U14,"B",IF(R14&gt;=0.5*U14,"C",IF(R14&gt;=0.4*U14,"P",IF(R14&lt;0.4*U14,"F",R14))))))))))))))</f>
        <v>0</v>
      </c>
      <c r="N14" s="8" t="e">
        <f t="shared" ca="1" si="0"/>
        <v>#N/A</v>
      </c>
      <c r="O14" t="b" cm="1">
        <f t="array" aca="1" ref="O14" ca="1">IF(NOT(ISBLANK(INDIRECT("SEM_IV!I"&amp;INT((ROW(O14)-14)/16)+6))),2,IF(NOT(ISBLANK(INDIRECT("SEM_IV!L"&amp;INT((ROW(O14)-14)/16)+6))),3))</f>
        <v>0</v>
      </c>
      <c r="P14" s="1" t="str">
        <f ca="1">IF(ISERROR(F8),"",IF(ISTEXT(VLOOKUP(B8,INDIRECT($F$8),6+(O14-1)*3)),(VLOOKUP(B8,INDIRECT($F$8),6+(O14-1)*3)),SUM(VLOOKUP(B8,INDIRECT($F$8),6+(O14-1)*3),IF(W20,W14,0))))</f>
        <v>UTU/2406100187</v>
      </c>
      <c r="Q14" s="1" t="str">
        <f ca="1">IF(ISERROR(F8),"",VLOOKUP(B8,INDIRECT($F$8),7+(O14-1)*3))</f>
        <v>ALOK NEGI</v>
      </c>
      <c r="R14" s="1">
        <f ca="1">IF(ISERROR(F8),"",SUM(P14:Q14))</f>
        <v>0</v>
      </c>
      <c r="S14" s="1">
        <f ca="1">IF(ISERROR(F8),"",VLOOKUP(A8,INDIRECT($F$8),6+(O14-1)*3))</f>
        <v>0</v>
      </c>
      <c r="T14" s="1">
        <f ca="1">IF(ISERROR(F8),"",VLOOKUP(A8,INDIRECT($F$8),7+(O14-1)*3))</f>
        <v>0</v>
      </c>
      <c r="U14" s="1">
        <f ca="1">IF(ISERROR(F8),"",VLOOKUP(A8,INDIRECT($F$8),8+(O14-1)*3))</f>
        <v>0</v>
      </c>
      <c r="V14" s="1" t="e">
        <f ca="1">IF(ISERROR(F8),"",IF(N14=0,A14,""))</f>
        <v>#N/A</v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11</v>
      </c>
      <c r="X14" s="1" t="str">
        <f ca="1">IF(ISERROR(F8),"",IF(W14=0,"",_xlfn.TEXTJOIN("",FALSE," G+",W14," in ",A14)))</f>
        <v xml:space="preserve"> G+11 in Enroll No.</v>
      </c>
    </row>
    <row r="15" spans="1:26" ht="12.75" customHeight="1" x14ac:dyDescent="0.2">
      <c r="A15" s="7" t="str">
        <f ca="1">IF(ISERROR(F8),"",VLOOKUP(C8,INDIRECT($F$8),6+(O15-1)*3,0))</f>
        <v>CAT 030</v>
      </c>
      <c r="B15" s="41" t="str">
        <f ca="1">IF(ISERROR(F8),"",VLOOKUP(D8,INDIRECT($F$8),6+(O15-1)*3,0))</f>
        <v>Software Testing &amp; Quality Assurance</v>
      </c>
      <c r="C15" s="41"/>
      <c r="D15" s="41"/>
      <c r="E15" s="41"/>
      <c r="F15" s="7">
        <f ca="1">IF(ISERROR(F8),"",VLOOKUP(E8,INDIRECT($F$8),6+(O15-1)*3,0))</f>
        <v>4</v>
      </c>
      <c r="G15" s="42" t="str">
        <f ca="1">IF(ISERROR(F8),"",_xlfn.TEXTJOIN("/",FALSE,P15,S15))</f>
        <v>0/100</v>
      </c>
      <c r="H15" s="42"/>
      <c r="I15" s="42" t="str">
        <f ca="1">IF(ISERROR(F8),"",_xlfn.TEXTJOIN("/",FALSE,Q15,T15))</f>
        <v>0/50</v>
      </c>
      <c r="J15" s="42"/>
      <c r="K15" s="42" t="str">
        <f ca="1">IF(ISERROR(F8),"",_xlfn.TEXTJOIN("/",FALSE,R15,U15))</f>
        <v>0/150</v>
      </c>
      <c r="L15" s="42"/>
      <c r="M15" s="7" t="str">
        <f ca="1">IF(ISERROR(F8),"",IF(ISTEXT(P15),IF(P15="A","Ab",IF(P15="D","Dt",IF(P15="UFM","UFM",IF(P15="NA","")))),IF(AND(ISBLANK(P15),ISBLANK(R15)),"",IF(P15&lt;0.3*S15,"F",IF(ISBLANK(R15),"",IF(ISTEXT(R15),R15,IF(R15&gt;=0.9*U15,"O",IF(R15&gt;=0.85*U15,"A+",IF(R15&gt;=0.8*U15,"A",IF(R15&gt;=0.7*U15,"B+",IF(R15&gt;=0.6*U15,"B",IF(R15&gt;=0.5*U15,"C",IF(R15&gt;=0.4*U15,"P",IF(R15&lt;0.4*U15,"F",R15))))))))))))))</f>
        <v>F</v>
      </c>
      <c r="N15" s="8">
        <f t="shared" ca="1" si="0"/>
        <v>0</v>
      </c>
      <c r="O15">
        <f ca="1">IF(O14&gt;0,4,"")</f>
        <v>4</v>
      </c>
      <c r="P15" s="1">
        <f ca="1">IF(ISERROR(F8),"",IF(ISTEXT(VLOOKUP(B8,INDIRECT($F$8),6+(O15-1)*3)),(VLOOKUP(B8,INDIRECT($F$8),6+(O15-1)*3)),SUM(VLOOKUP(B8,INDIRECT($F$8),6+(O15-1)*3),IF(W20,W15,0))))</f>
        <v>0</v>
      </c>
      <c r="Q15" s="1">
        <f ca="1">IF(ISERROR(F8),"",VLOOKUP(B8,INDIRECT($F$8),7+(O15-1)*3))</f>
        <v>0</v>
      </c>
      <c r="R15" s="1">
        <f ca="1">IF(ISERROR(F8),"",SUM(P15:Q15))</f>
        <v>0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>CAT 030</v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11</v>
      </c>
      <c r="X15" s="1" t="str">
        <f ca="1">IF(ISERROR(F8),"",IF(W15=0,"",_xlfn.TEXTJOIN("",FALSE," G+",W15," in ",A15)))</f>
        <v xml:space="preserve"> G+11 in CAT 030</v>
      </c>
    </row>
    <row r="16" spans="1:26" ht="12.75" customHeight="1" x14ac:dyDescent="0.2">
      <c r="A16" s="7" t="str">
        <f ca="1">IF(ISERROR(F8),"",VLOOKUP(C8,INDIRECT($F$8),6+(O16-1)*3,0))</f>
        <v>Enroll No.</v>
      </c>
      <c r="B16" s="41">
        <f ca="1">IF(ISERROR(F8),"",VLOOKUP(D8,INDIRECT($F$8),6+(O16-1)*3,0))</f>
        <v>0</v>
      </c>
      <c r="C16" s="41"/>
      <c r="D16" s="41"/>
      <c r="E16" s="41"/>
      <c r="F16" s="7">
        <f ca="1">IF(ISERROR(F8),"",VLOOKUP(E8,INDIRECT($F$8),6+(O16-1)*3,0))</f>
        <v>0</v>
      </c>
      <c r="G16" s="42" t="str">
        <f ca="1">IF(ISERROR(F8),"",_xlfn.TEXTJOIN("/",FALSE,P16,S16))</f>
        <v>UTU/2406100187/0</v>
      </c>
      <c r="H16" s="42"/>
      <c r="I16" s="42" t="str">
        <f ca="1">IF(ISERROR(F8),"",_xlfn.TEXTJOIN("/",FALSE,Q16,T16))</f>
        <v>ALOK NEGI/0</v>
      </c>
      <c r="J16" s="42"/>
      <c r="K16" s="42" t="str">
        <f ca="1">IF(ISERROR(F8),"",_xlfn.TEXTJOIN("/",FALSE,R16,U16))</f>
        <v>0/0</v>
      </c>
      <c r="L16" s="42"/>
      <c r="M16" s="7" t="b">
        <f ca="1">IF(ISERROR(F8),"",IF(ISTEXT(P16),IF(P16="A","Ab",IF(P16="D","Dt",IF(P16="UFM","UFM",IF(P16="NA","")))),IF(AND(ISBLANK(P16),ISBLANK(R16)),"",IF(P16&lt;0.3*S16,"F",IF(ISBLANK(R16),"",IF(ISTEXT(R16),R16,IF(R16&gt;=0.9*U16,"O",IF(R16&gt;=0.85*U16,"A+",IF(R16&gt;=0.8*U16,"A",IF(R16&gt;=0.7*U16,"B+",IF(R16&gt;=0.6*U16,"B",IF(R16&gt;=0.5*U16,"C",IF(R16&gt;=0.4*U16,"P",IF(R16&lt;0.4*U16,"F",R16))))))))))))))</f>
        <v>0</v>
      </c>
      <c r="N16" s="8" t="e">
        <f t="shared" ca="1" si="0"/>
        <v>#N/A</v>
      </c>
      <c r="O16" t="b" cm="1">
        <f t="array" aca="1" ref="O16" ca="1">IF(NOT(ISBLANK(INDIRECT("SEM_IV!R"&amp;INT((ROW(O16)-16)/16)+6))),5,IF(NOT(ISBLANK(INDIRECT("SEM_IV!U"&amp;INT((ROW(O16)-16)/16)+6))),6))</f>
        <v>0</v>
      </c>
      <c r="P16" s="1" t="str">
        <f ca="1">IF(ISERROR(F8),"",IF(ISTEXT(VLOOKUP(B8,INDIRECT($F$8),6+(O16-1)*3)),(VLOOKUP(B8,INDIRECT($F$8),6+(O16-1)*3)),SUM(VLOOKUP(B8,INDIRECT($F$8),6+(O16-1)*3),IF(W20,W16,0))))</f>
        <v>UTU/2406100187</v>
      </c>
      <c r="Q16" s="1" t="str">
        <f ca="1">IF(ISERROR(F8),"",VLOOKUP(B8,INDIRECT($F$8),7+(O16-1)*3))</f>
        <v>ALOK NEGI</v>
      </c>
      <c r="R16" s="1">
        <f ca="1">IF(ISERROR(F8),"",SUM(P16:Q16))</f>
        <v>0</v>
      </c>
      <c r="S16" s="1">
        <f ca="1">IF(ISERROR(F8),"",VLOOKUP(A8,INDIRECT($F$8),6+(O16-1)*3))</f>
        <v>0</v>
      </c>
      <c r="T16" s="1">
        <f ca="1">IF(ISERROR(F8),"",VLOOKUP(A8,INDIRECT($F$8),7+(O16-1)*3))</f>
        <v>0</v>
      </c>
      <c r="U16" s="1">
        <f ca="1">IF(ISERROR(F8),"",VLOOKUP(A8,INDIRECT($F$8),8+(O16-1)*3))</f>
        <v>0</v>
      </c>
      <c r="V16" s="1" t="e">
        <f ca="1">IF(ISERROR(F8),"",IF(N16=0,A16,""))</f>
        <v>#N/A</v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11</v>
      </c>
      <c r="X16" s="1" t="str">
        <f ca="1">IF(ISERROR(F8),"",IF(W16=0,"",_xlfn.TEXTJOIN("",FALSE," G+",W16," in ",A16)))</f>
        <v xml:space="preserve"> G+11 in Enroll No.</v>
      </c>
    </row>
    <row r="17" spans="1:24" ht="12.75" customHeight="1" x14ac:dyDescent="0.2">
      <c r="A17" s="7" t="str">
        <f ca="1">IF(ISERROR(F8),"",VLOOKUP(C8,INDIRECT($F$8),6+(O17-1)*3,0))</f>
        <v>CAP 011</v>
      </c>
      <c r="B17" s="41" t="str">
        <f ca="1">IF(ISERROR(F8),"",VLOOKUP(D8,INDIRECT($F$8),6+(O17-1)*3,0))</f>
        <v>Network Security Lab</v>
      </c>
      <c r="C17" s="41"/>
      <c r="D17" s="41"/>
      <c r="E17" s="41"/>
      <c r="F17" s="7">
        <f ca="1">IF(ISERROR(F8),"",VLOOKUP(E8,INDIRECT($F$8),6+(O17-1)*3,0))</f>
        <v>1</v>
      </c>
      <c r="G17" s="42" t="str">
        <f ca="1">IF(ISERROR(F8),"",_xlfn.TEXTJOIN("/",FALSE,P17,S17))</f>
        <v>0/30</v>
      </c>
      <c r="H17" s="42"/>
      <c r="I17" s="42" t="str">
        <f ca="1">IF(ISERROR(F8),"",_xlfn.TEXTJOIN("/",FALSE,Q17,T17))</f>
        <v>0/20</v>
      </c>
      <c r="J17" s="42"/>
      <c r="K17" s="42" t="str">
        <f ca="1">IF(ISERROR(F8),"",_xlfn.TEXTJOIN("/",FALSE,R17,U17))</f>
        <v>0/50</v>
      </c>
      <c r="L17" s="42"/>
      <c r="M17" s="7" t="str">
        <f ca="1">IF(ISERROR(F8),"",IF(ISTEXT(P17),IF(P17="A","Ab",IF(P17="D","Dt",IF(P17="UFM","UFM",IF(P17="NA","")))),IF(AND(ISBLANK(P17),ISBLANK(R17)),"",IF(P17&lt;0.3*S17,"F",IF(ISBLANK(R17),"",IF(ISTEXT(R17),R17,IF(R17&gt;=0.9*U17,"O",IF(R17&gt;=0.85*U17,"A+",IF(R17&gt;=0.8*U17,"A",IF(R17&gt;=0.7*U17,"B+",IF(R17&gt;=0.6*U17,"B",IF(R17&gt;=0.5*U17,"C",IF(R17&gt;=0.4*U17,"P",IF(R17&lt;0.4*U17,"F",R17))))))))))))))</f>
        <v>F</v>
      </c>
      <c r="N17" s="8">
        <f t="shared" ca="1" si="0"/>
        <v>0</v>
      </c>
      <c r="O17">
        <f ca="1">IF(O16&gt;0,7,"")</f>
        <v>7</v>
      </c>
      <c r="P17" s="1">
        <f ca="1">IF(ISERROR(F8),"",IF(ISTEXT(VLOOKUP(B8,INDIRECT($F$8),6+(O17-1)*3)),(VLOOKUP(B8,INDIRECT($F$8),6+(O17-1)*3)),SUM(VLOOKUP(B8,INDIRECT($F$8),6+(O17-1)*3),IF(W20,W17,0))))</f>
        <v>0</v>
      </c>
      <c r="Q17" s="1">
        <f ca="1">IF(ISERROR(F8),"",VLOOKUP(B8,INDIRECT($F$8),7+(O17-1)*3))</f>
        <v>0</v>
      </c>
      <c r="R17" s="1">
        <f ca="1">IF(ISERROR(F8),"",SUM(P17:Q17))</f>
        <v>0</v>
      </c>
      <c r="S17" s="1">
        <f ca="1">IF(ISERROR(F8),"",VLOOKUP(A8,INDIRECT($F$8),6+(O17-1)*3))</f>
        <v>30</v>
      </c>
      <c r="T17" s="1">
        <f ca="1">IF(ISERROR(F8),"",VLOOKUP(A8,INDIRECT($F$8),7+(O17-1)*3))</f>
        <v>20</v>
      </c>
      <c r="U17" s="1">
        <f ca="1">IF(ISERROR(F8),"",VLOOKUP(A8,INDIRECT($F$8),8+(O17-1)*3))</f>
        <v>50</v>
      </c>
      <c r="V17" s="1" t="str">
        <f ca="1">IF(ISERROR(F8),"",IF(N17=0,A17,""))</f>
        <v>CAP 011</v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11</v>
      </c>
      <c r="X17" s="1" t="str">
        <f ca="1">IF(ISERROR(F8),"",IF(W17=0,"",_xlfn.TEXTJOIN("",FALSE," G+",W17," in ",A17)))</f>
        <v xml:space="preserve"> G+11 in CAP 011</v>
      </c>
    </row>
    <row r="18" spans="1:24" ht="12.75" customHeight="1" x14ac:dyDescent="0.2">
      <c r="A18" s="7" t="str">
        <f ca="1">IF(ISERROR(F8),"",VLOOKUP(C8,INDIRECT($F$8),6+(O18-1)*3,0))</f>
        <v>Enroll No.</v>
      </c>
      <c r="B18" s="41">
        <f ca="1">IF(ISERROR(F8),"",VLOOKUP(D8,INDIRECT($F$8),6+(O18-1)*3,0))</f>
        <v>0</v>
      </c>
      <c r="C18" s="41"/>
      <c r="D18" s="41"/>
      <c r="E18" s="41"/>
      <c r="F18" s="7">
        <f ca="1">IF(ISERROR(F8),"",VLOOKUP(E8,INDIRECT($F$8),6+(O18-1)*3,0))</f>
        <v>0</v>
      </c>
      <c r="G18" s="42" t="str">
        <f ca="1">IF(ISERROR(F8),"",_xlfn.TEXTJOIN("/",FALSE,P18,S18))</f>
        <v>UTU/2406100187/0</v>
      </c>
      <c r="H18" s="42"/>
      <c r="I18" s="42" t="str">
        <f ca="1">IF(ISERROR(F8),"",_xlfn.TEXTJOIN("/",FALSE,Q18,T18))</f>
        <v>ALOK NEGI/0</v>
      </c>
      <c r="J18" s="42"/>
      <c r="K18" s="42" t="str">
        <f ca="1">IF(ISERROR(F8),"",_xlfn.TEXTJOIN("/",FALSE,R18,U18))</f>
        <v>0/0</v>
      </c>
      <c r="L18" s="42"/>
      <c r="M18" s="7" t="b">
        <f ca="1">IF(ISERROR(F8),"",IF(ISTEXT(P18),IF(P18="A","Ab",IF(P18="D","Dt",IF(P18="UFM","UFM",IF(P18="NA","")))),IF(AND(ISBLANK(P18),ISBLANK(R18)),"",IF(P18&lt;0.3*S18,"F",IF(ISBLANK(R18),"",IF(ISTEXT(R18),R18,IF(R18&gt;=0.9*U18,"O",IF(R18&gt;=0.85*U18,"A+",IF(R18&gt;=0.8*U18,"A",IF(R18&gt;=0.7*U18,"B+",IF(R18&gt;=0.6*U18,"B",IF(R18&gt;=0.5*U18,"C",IF(R18&gt;=0.4*U18,"P",IF(R18&lt;0.4*U18,"F",R18))))))))))))))</f>
        <v>0</v>
      </c>
      <c r="N18" s="8" t="e">
        <f t="shared" ca="1" si="0"/>
        <v>#N/A</v>
      </c>
      <c r="O18" t="b" cm="1">
        <f t="array" aca="1" ref="O18" ca="1">IF(NOT(ISBLANK(INDIRECT("SEM_IV!AA"&amp;INT((ROW(O18)-18)/16)+6))),8,IF(NOT(ISBLANK(INDIRECT("SEM_IV!AD"&amp;INT((ROW(O18)-18)/16)+6))),9))</f>
        <v>0</v>
      </c>
      <c r="P18" s="1" t="str">
        <f ca="1">IF(ISERROR(F8),"",IF(ISTEXT(VLOOKUP(B8,INDIRECT($F$8),6+(O18-1)*3)),(VLOOKUP(B8,INDIRECT($F$8),6+(O18-1)*3)),SUM(VLOOKUP(B8,INDIRECT($F$8),6+(O18-1)*3),IF(W20,W18,0))))</f>
        <v>UTU/2406100187</v>
      </c>
      <c r="Q18" s="1" t="str">
        <f ca="1">IF(ISERROR(F8),"",VLOOKUP(B8,INDIRECT($F$8),7+(O18-1)*3))</f>
        <v>ALOK NEGI</v>
      </c>
      <c r="R18" s="1">
        <f ca="1">IF(ISERROR(F8),"",SUM(P18:Q18))</f>
        <v>0</v>
      </c>
      <c r="S18" s="1">
        <f ca="1">IF(ISERROR(F8),"",VLOOKUP(A8,INDIRECT($F$8),6+(O18-1)*3))</f>
        <v>0</v>
      </c>
      <c r="T18" s="1">
        <f ca="1">IF(ISERROR(F8),"",VLOOKUP(A8,INDIRECT($F$8),7+(O18-1)*3))</f>
        <v>0</v>
      </c>
      <c r="U18" s="1">
        <f ca="1">IF(ISERROR(F8),"",VLOOKUP(A8,INDIRECT($F$8),8+(O18-1)*3))</f>
        <v>0</v>
      </c>
      <c r="V18" s="1" t="e">
        <f ca="1">IF(ISERROR(F8),"",IF(N18=0,A18,""))</f>
        <v>#N/A</v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11</v>
      </c>
      <c r="X18" s="1" t="str">
        <f ca="1">IF(ISERROR(F8),"",IF(W18=0,"",_xlfn.TEXTJOIN("",FALSE," G+",W18," in ",A18)))</f>
        <v xml:space="preserve"> G+11 in Enroll No.</v>
      </c>
    </row>
    <row r="19" spans="1:24" ht="12.75" customHeight="1" x14ac:dyDescent="0.2">
      <c r="A19" s="7" t="str">
        <f ca="1">IF(ISERROR(F8),"",VLOOKUP(C8,INDIRECT($F$8),6+(O19-1)*3,0))</f>
        <v>CAP 013</v>
      </c>
      <c r="B19" s="41" t="str">
        <f ca="1">IF(ISERROR(F8),"",VLOOKUP(D8,INDIRECT($F$8),6+(O19-1)*3-Z19,0))</f>
        <v>Major Project</v>
      </c>
      <c r="C19" s="41"/>
      <c r="D19" s="41"/>
      <c r="E19" s="41"/>
      <c r="F19" s="7">
        <f ca="1">IF(ISERROR(F8),"",VLOOKUP(E8,INDIRECT($F$8),6+(O19-1)*3,0))</f>
        <v>6</v>
      </c>
      <c r="G19" s="42" t="str">
        <f ca="1">IF(ISERROR(F8),"",_xlfn.TEXTJOIN("/",FALSE,P19,S19))</f>
        <v>0/200</v>
      </c>
      <c r="H19" s="42"/>
      <c r="I19" s="42" t="str">
        <f ca="1">IF(ISERROR(F8),"",_xlfn.TEXTJOIN("/",FALSE,Q19,T19))</f>
        <v>0/100</v>
      </c>
      <c r="J19" s="42"/>
      <c r="K19" s="42" t="str">
        <f ca="1">IF(ISERROR(F8),"",_xlfn.TEXTJOIN("/",FALSE,R19,U19))</f>
        <v>0/300</v>
      </c>
      <c r="L19" s="42"/>
      <c r="M19" s="7" t="str">
        <f ca="1">IF(ISERROR(F8),"",IF(ISTEXT(P19),IF(P19="A","Ab",IF(P19="D","Dt",IF(P19="UFM","UFM",IF(P19="NA","")))),IF(AND(ISBLANK(P19),ISBLANK(R19)),"",IF(P19&lt;0.3*S19,"F",IF(ISBLANK(R19),"",IF(ISTEXT(R19),R19,IF(R19&gt;=0.9*U19,"O",IF(R19&gt;=0.85*U19,"A+",IF(R19&gt;=0.8*U19,"A",IF(R19&gt;=0.7*U19,"B+",IF(R19&gt;=0.6*U19,"B",IF(R19&gt;=0.5*U19,"C",IF(R19&gt;=0.4*U19,"P",IF(R19&lt;0.4*U19,"F",R19))))))))))))))</f>
        <v>F</v>
      </c>
      <c r="N19" s="8">
        <f t="shared" ca="1" si="0"/>
        <v>0</v>
      </c>
      <c r="O19">
        <f ca="1">IF(O18&gt;0,10,"")</f>
        <v>10</v>
      </c>
      <c r="P19" s="1">
        <f ca="1">IF(ISERROR(F8),"",IF(ISTEXT(VLOOKUP(B8,INDIRECT($F$8),6+(O19-1)*3)),(VLOOKUP(B8,INDIRECT($F$8),6+(O19-1)*3)),SUM(VLOOKUP(B8,INDIRECT($F$8),6+(O19-1)*3),IF(W20,W19,0))))</f>
        <v>0</v>
      </c>
      <c r="Q19" s="1">
        <f ca="1">IF(ISERROR(F8),"",VLOOKUP(B8,INDIRECT($F$8),7+(O19-1)*3))</f>
        <v>0</v>
      </c>
      <c r="R19" s="1">
        <f ca="1">IF(ISERROR(F8),"",SUM(P19:Q19))</f>
        <v>0</v>
      </c>
      <c r="S19" s="1">
        <f ca="1">IF(ISERROR(F8),"",VLOOKUP(A8,INDIRECT($F$8),6+(O19-1)*3))</f>
        <v>200</v>
      </c>
      <c r="T19" s="1">
        <f ca="1">IF(ISERROR(F8),"",VLOOKUP(A8,INDIRECT($F$8),7+(O19-1)*3))</f>
        <v>100</v>
      </c>
      <c r="U19" s="1">
        <f ca="1">IF(ISERROR(F8),"",VLOOKUP(A8,INDIRECT($F$8),8+(O19-1)*3))</f>
        <v>300</v>
      </c>
      <c r="V19" s="1" t="str">
        <f ca="1">IF(ISERROR(F8),"",IF(N19=0,A19,""))</f>
        <v>CAP 013</v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11</v>
      </c>
      <c r="X19" s="1" t="str">
        <f ca="1">IF(ISERROR(F8),"",IF(W19=0,"",_xlfn.TEXTJOIN("",FALSE," G+",W19," in ",A19)))</f>
        <v xml:space="preserve"> G+11 in CAP 013</v>
      </c>
    </row>
    <row r="20" spans="1:24" ht="12.75" customHeight="1" x14ac:dyDescent="0.2">
      <c r="A20" s="44" t="s">
        <v>35</v>
      </c>
      <c r="B20" s="44"/>
      <c r="C20" s="44"/>
      <c r="D20" s="44"/>
      <c r="E20" s="44"/>
      <c r="F20" s="9">
        <f ca="1">SUM(F13:F19)</f>
        <v>15</v>
      </c>
      <c r="G20" s="44" t="str">
        <f ca="1">_xlfn.TEXTJOIN("/",TRUE,SUMIF(F13:F19,"&gt;0",P13:P19),SUMIF(F13:F19,"&gt;0",S13:S19))</f>
        <v>0/430</v>
      </c>
      <c r="H20" s="44"/>
      <c r="I20" s="44" t="str">
        <f ca="1">_xlfn.TEXTJOIN("/",TRUE,SUMIF(F13:F19,"&gt;0",Q13:Q19),SUMIF(F13:F19,"&gt;0",T13:T19))</f>
        <v>0/220</v>
      </c>
      <c r="J20" s="44"/>
      <c r="K20" s="44" t="str">
        <f ca="1">_xlfn.TEXTJOIN("/",TRUE,SUMIF(F13:F19,"&gt;0",R13:R19),SUMIF(F13:F19,"&gt;0",U13:U19))</f>
        <v>0/650</v>
      </c>
      <c r="L20" s="44"/>
      <c r="M20" s="43" t="e">
        <f ca="1">SUMPRODUCT(N13:N19,F13:F19)</f>
        <v>#N/A</v>
      </c>
      <c r="N20" s="43"/>
      <c r="V20" s="1" t="e">
        <f ca="1">_xlfn.TEXTJOIN(", ",TRUE,V13:V19)</f>
        <v>#N/A</v>
      </c>
      <c r="W20" t="b">
        <f ca="1">IF(SUM(W13:W19)&lt;=W12,TRUE,FALSE)</f>
        <v>0</v>
      </c>
      <c r="X20" s="1" t="str">
        <f ca="1">_xlfn.TEXTJOIN(",",TRUE,X13:X19)</f>
        <v xml:space="preserve"> G+11 in CAT 022, G+11 in Enroll No., G+11 in CAT 030, G+11 in Enroll No., G+11 in CAP 011, G+11 in Enroll No., G+11 in CAP 013</v>
      </c>
    </row>
    <row r="21" spans="1:24" ht="12.75" customHeight="1" x14ac:dyDescent="0.2">
      <c r="A21" s="43" t="s">
        <v>36</v>
      </c>
      <c r="B21" s="45" t="e">
        <f ca="1">IF(V20="","PASS","CARRY OVER")</f>
        <v>#N/A</v>
      </c>
      <c r="C21" s="45"/>
      <c r="D21" s="43" t="s">
        <v>37</v>
      </c>
      <c r="E21" s="45" t="e">
        <f ca="1">IF(V20="",IF(X20="","",X20),_xlfn.TEXTJOIN(" ",TRUE,"BACK IN",V20))</f>
        <v>#N/A</v>
      </c>
      <c r="F21" s="45"/>
      <c r="G21" s="43" t="s">
        <v>38</v>
      </c>
      <c r="H21" s="46" t="e">
        <f ca="1">M20/F20</f>
        <v>#N/A</v>
      </c>
      <c r="I21" s="43" t="s">
        <v>39</v>
      </c>
      <c r="J21" s="46" t="e">
        <f ca="1">IF(ISERROR(F8),"",VLOOKUP(B8,INDIRECT($F$8),12+(O19-1)*3,0))</f>
        <v>#N/A</v>
      </c>
      <c r="K21" s="45" t="s">
        <v>40</v>
      </c>
      <c r="L21" s="43">
        <f ca="1">SUMIF(N13:N19,"&gt;0",F13:F19)</f>
        <v>0</v>
      </c>
      <c r="M21" s="45" t="s">
        <v>41</v>
      </c>
      <c r="N21" s="43" t="e">
        <f ca="1">IF(ISERROR(F8),"",VLOOKUP(B8,INDIRECT($F$8),10+(O19-1)*3,0))</f>
        <v>#N/A</v>
      </c>
    </row>
    <row r="22" spans="1:24" ht="12.75" customHeight="1" x14ac:dyDescent="0.2">
      <c r="A22" s="43"/>
      <c r="B22" s="45"/>
      <c r="C22" s="45"/>
      <c r="D22" s="43"/>
      <c r="E22" s="45"/>
      <c r="F22" s="45"/>
      <c r="G22" s="43"/>
      <c r="H22" s="46"/>
      <c r="I22" s="43"/>
      <c r="J22" s="46"/>
      <c r="K22" s="45"/>
      <c r="L22" s="43"/>
      <c r="M22" s="45"/>
      <c r="N22" s="43"/>
    </row>
    <row r="23" spans="1:24" ht="12.75" customHeight="1" x14ac:dyDescent="0.2">
      <c r="A23" s="43"/>
      <c r="B23" s="45"/>
      <c r="C23" s="45"/>
      <c r="D23" s="43"/>
      <c r="E23" s="45"/>
      <c r="F23" s="45"/>
      <c r="G23" s="43"/>
      <c r="H23" s="46"/>
      <c r="I23" s="43"/>
      <c r="J23" s="46"/>
      <c r="K23" s="45"/>
      <c r="L23" s="43"/>
      <c r="M23" s="45"/>
      <c r="N23" s="43"/>
    </row>
    <row r="24" spans="1:24" ht="12.75" customHeight="1" x14ac:dyDescent="0.2">
      <c r="A24" s="11" t="str">
        <f>A8</f>
        <v>MM</v>
      </c>
      <c r="B24" s="11">
        <f>B8+1</f>
        <v>2</v>
      </c>
      <c r="C24" s="11" t="str">
        <f>C8</f>
        <v>SC</v>
      </c>
      <c r="D24" s="11" t="str">
        <f>D8</f>
        <v>SN</v>
      </c>
      <c r="E24" s="11" t="str">
        <f>E8</f>
        <v>C</v>
      </c>
      <c r="F24" s="11" t="str">
        <f ca="1">VLOOKUP(B24,INDIRECT($F$8),4,0)</f>
        <v>AMAN POKHRIYAL</v>
      </c>
    </row>
    <row r="25" spans="1:24" ht="12.75" customHeight="1" x14ac:dyDescent="0.2">
      <c r="A25" s="47" t="str">
        <f ca="1">IF(ISERROR(F24),"",A9)</f>
        <v>Name:</v>
      </c>
      <c r="B25" s="47" t="str">
        <f ca="1">IFERROR(VLOOKUP(B24,INDIRECT($F$8),4,0),"")</f>
        <v>AMAN POKHRIYAL</v>
      </c>
      <c r="C25" s="47"/>
      <c r="D25" s="47" t="str">
        <f ca="1">IF(ISERROR(F24),"",D9)</f>
        <v>Father's Name:</v>
      </c>
      <c r="E25" s="47" t="str">
        <f ca="1">IFERROR(VLOOKUP(B24,INDIRECT($F$8),5,0),"")</f>
        <v>VINOD PRASSAD POKHRIYAL</v>
      </c>
      <c r="F25" s="47"/>
      <c r="G25" s="47" t="str">
        <f ca="1">IF(ISERROR(F24),"",G9)</f>
        <v>University Roll No:</v>
      </c>
      <c r="H25" s="47"/>
      <c r="I25" s="48">
        <f ca="1">IFERROR(VLOOKUP(B24,INDIRECT($F$8),2,0),"")</f>
        <v>240090600002</v>
      </c>
      <c r="J25" s="48"/>
      <c r="K25" s="47" t="str">
        <f ca="1">IF(ISERROR(F24),"",K9)</f>
        <v>University Enrol. No:</v>
      </c>
      <c r="L25" s="47"/>
      <c r="M25" s="48" t="str">
        <f ca="1">IFERROR(VLOOKUP(B24,INDIRECT($F$8),3,0),"")</f>
        <v>UTU/2406100171</v>
      </c>
      <c r="N25" s="48"/>
    </row>
    <row r="26" spans="1:24" ht="12.75" customHeight="1" x14ac:dyDescent="0.2">
      <c r="A26" s="47"/>
      <c r="B26" s="47"/>
      <c r="C26" s="47"/>
      <c r="D26" s="47"/>
      <c r="E26" s="47"/>
      <c r="F26" s="47"/>
      <c r="G26" s="47"/>
      <c r="H26" s="47"/>
      <c r="I26" s="48"/>
      <c r="J26" s="48"/>
      <c r="K26" s="47"/>
      <c r="L26" s="47"/>
      <c r="M26" s="48"/>
      <c r="N26" s="48"/>
    </row>
    <row r="27" spans="1:24" ht="12.75" customHeight="1" x14ac:dyDescent="0.2">
      <c r="A27" s="45" t="str">
        <f ca="1">IF(ISERROR(F24),"",A11)</f>
        <v>Subject Code</v>
      </c>
      <c r="B27" s="45" t="str">
        <f ca="1">IF(ISERROR(F24),"",B11)</f>
        <v>Subject Name</v>
      </c>
      <c r="C27" s="45"/>
      <c r="D27" s="45"/>
      <c r="E27" s="45"/>
      <c r="F27" s="45" t="str">
        <f ca="1">IF(ISERROR(F24),"",F11)</f>
        <v>Credits</v>
      </c>
      <c r="G27" s="45" t="str">
        <f ca="1">IF(ISERROR(F24),"",G11)</f>
        <v>External Marks</v>
      </c>
      <c r="H27" s="45"/>
      <c r="I27" s="45" t="str">
        <f ca="1">IF(ISERROR(F24),"",I11)</f>
        <v>Sessional Marks</v>
      </c>
      <c r="J27" s="45"/>
      <c r="K27" s="45" t="str">
        <f ca="1">IF(ISERROR(F24),"",K11)</f>
        <v>Total Marks</v>
      </c>
      <c r="L27" s="45"/>
      <c r="M27" s="45" t="str">
        <f ca="1">IF(ISERROR(F24),"",M11)</f>
        <v>Grade</v>
      </c>
      <c r="N27" s="45" t="str">
        <f ca="1">IF(ISERROR(F24),"",N11)</f>
        <v>Grade Points</v>
      </c>
    </row>
    <row r="28" spans="1:24" ht="12.75" customHeight="1" x14ac:dyDescent="0.2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W28">
        <f ca="1">IF(ISNUMBER(MATCH($F$8,{"I","III","V","VII"},0)),10,10-INDEX(INDIRECT(_xlfn.TEXTJOIN("",TRUE,"SEM_",$G$8,"!",ADDRESS(6,4+$I$8*3+4),":",ADDRESS(5+$H$8,4+$I$8*3+4))),MATCH(INDIRECT(_xlfn.TEXTJOIN("",TRUE,"TC_",$F$8,"!",ADDRESS(ROW(I25),COLUMN(I25)))),INDIRECT(_xlfn.TEXTJOIN("",TRUE,"SEM_",$G$8,"!",ADDRESS(6,2),":",ADDRESS(5+$H$8,2))))))</f>
        <v>10</v>
      </c>
    </row>
    <row r="29" spans="1:24" ht="12.75" customHeight="1" x14ac:dyDescent="0.2">
      <c r="A29" s="7" t="str">
        <f ca="1">IF(ISERROR(F24),"",VLOOKUP(C24,INDIRECT($F$8),6+(O29-1)*3,0))</f>
        <v>CAT 022</v>
      </c>
      <c r="B29" s="41" t="str">
        <f ca="1">IF(ISERROR(F24),"",VLOOKUP(D24,INDIRECT($F$8),6+(O29-1)*3,0))</f>
        <v>Network Security</v>
      </c>
      <c r="C29" s="41"/>
      <c r="D29" s="41"/>
      <c r="E29" s="41"/>
      <c r="F29" s="7">
        <f ca="1">IF(ISERROR(F24),"",VLOOKUP(E24,INDIRECT($F$8),6+(O29-1)*3,0))</f>
        <v>4</v>
      </c>
      <c r="G29" s="42" t="str">
        <f ca="1">IF(ISERROR(F24),"",_xlfn.TEXTJOIN("/",FALSE,P29,S29))</f>
        <v>0/100</v>
      </c>
      <c r="H29" s="42"/>
      <c r="I29" s="42" t="str">
        <f ca="1">IF(ISERROR(F24),"",_xlfn.TEXTJOIN("/",FALSE,Q29,T29))</f>
        <v>0/50</v>
      </c>
      <c r="J29" s="42"/>
      <c r="K29" s="42" t="str">
        <f ca="1">IF(ISERROR(F24),"",_xlfn.TEXTJOIN("/",FALSE,R29,U29))</f>
        <v>0/150</v>
      </c>
      <c r="L29" s="42"/>
      <c r="M29" s="7" t="str">
        <f ca="1">IF(ISERROR(F24),"",IF(ISTEXT(P29),IF(P29="A","Ab",IF(P29="D","Dt",IF(P29="UFM","UFM",IF(P29="NA","")))),IF(AND(ISBLANK(P29),ISBLANK(R29)),"",IF(P29&lt;0.3*S29,"F",IF(ISBLANK(R29),"",IF(ISTEXT(R29),R29,IF(R29&gt;=0.9*U29,"O",IF(R29&gt;=0.85*U29,"A+",IF(R29&gt;=0.8*U29,"A",IF(R29&gt;=0.7*U29,"B+",IF(R29&gt;=0.6*U29,"B",IF(R29&gt;=0.5*U29,"C",IF(R29&gt;=0.4*U29,"P",IF(R29&lt;0.4*U29,"F",R29))))))))))))))</f>
        <v>F</v>
      </c>
      <c r="N29" s="8">
        <f t="shared" ref="N29:N35" ca="1" si="1">INDEX($Z$2:$Z$13,MATCH(M29,$Y$2:$Y$13,0))</f>
        <v>0</v>
      </c>
      <c r="O29">
        <v>1</v>
      </c>
      <c r="P29" s="1">
        <f ca="1">IF(ISERROR(F24),"",IF(ISTEXT(VLOOKUP(B24,INDIRECT($F$8),6+(O29-1)*3)),(VLOOKUP(B24,INDIRECT($F$8),6+(O29-1)*3)),SUM(VLOOKUP(B24,INDIRECT($F$8),6+(O29-1)*3),IF(W36,W29,0))))</f>
        <v>0</v>
      </c>
      <c r="Q29" s="1">
        <f ca="1">IF(ISERROR(F24),"",VLOOKUP(B24,INDIRECT($F$8),7+(O29-1)*3))</f>
        <v>0</v>
      </c>
      <c r="R29" s="1">
        <f ca="1">IF(ISERROR(F24),"",SUM(P29:Q29))</f>
        <v>0</v>
      </c>
      <c r="S29" s="1">
        <f ca="1">IF(ISERROR(F24),"",VLOOKUP(A24,INDIRECT($F$8),6+(O29-1)*3))</f>
        <v>100</v>
      </c>
      <c r="T29" s="1">
        <f ca="1">IF(ISERROR(F24),"",VLOOKUP(A24,INDIRECT($F$8),7+(O29-1)*3))</f>
        <v>50</v>
      </c>
      <c r="U29" s="1">
        <f ca="1">IF(ISERROR(F24),"",VLOOKUP(A24,INDIRECT($F$8),8+(O29-1)*3))</f>
        <v>150</v>
      </c>
      <c r="V29" s="1" t="str">
        <f ca="1">IF(ISERROR(F24),"",IF(N29=0,A29,""))</f>
        <v>CAT 022</v>
      </c>
      <c r="W29" s="1">
        <f ca="1">IF(ISERROR(F24),"",IF(ISTEXT(VLOOKUP(B24,INDIRECT($F$8),6+(O29-1)*3)),11,IF(VLOOKUP(B24,INDIRECT($F$8),6+(O29-1)*3)&lt;S29*0.3,IF(VLOOKUP(B24,INDIRECT($F$8),8+(O29-1)*3)&lt;U29*0.4,IF(AND(0.4*U29-VLOOKUP(B24,INDIRECT($F$8),8+(O29-1)*3)&lt;=5,0.3*S29-VLOOKUP(B24,INDIRECT($F$8),6+(O29-1)*3)&lt;=5),MAX(0.4*U29-VLOOKUP(B24,INDIRECT($F$8),8+(O29-1)*3),0.3*S29-VLOOKUP(B24,INDIRECT($F$8),6+(O29-1)*3)),11),IF(0.3*S29-VLOOKUP(B24,INDIRECT($F$8),6+(O29-1)*3)&lt;=5,0.3*S29-VLOOKUP(B24,INDIRECT($F$8),6+(O29-1)*3),11)),IF(VLOOKUP(B24,INDIRECT($F$8),8+(O29-1)*3)&lt;U29*0.4,IF(U29*0.4-VLOOKUP(B24,INDIRECT($F$8),8+(O29-1)*3)&lt;=5,U29*0.4-VLOOKUP(B24,INDIRECT($F$8),8+(O29-1)*3),11),0))))</f>
        <v>11</v>
      </c>
      <c r="X29" s="1" t="str">
        <f ca="1">IF(ISERROR(F24),"",IF(W29=0,"",_xlfn.TEXTJOIN("",FALSE," G+",W29," in ",A29)))</f>
        <v xml:space="preserve"> G+11 in CAT 022</v>
      </c>
    </row>
    <row r="30" spans="1:24" ht="12.75" customHeight="1" x14ac:dyDescent="0.2">
      <c r="A30" s="7" t="str">
        <f ca="1">IF(ISERROR(F24),"",VLOOKUP(C24,INDIRECT($F$8),6+(O30-1)*3,0))</f>
        <v>Enroll No.</v>
      </c>
      <c r="B30" s="41">
        <f ca="1">IF(ISERROR(F24),"",VLOOKUP(D24,INDIRECT($F$8),6+(O30-1)*3,0))</f>
        <v>0</v>
      </c>
      <c r="C30" s="41"/>
      <c r="D30" s="41"/>
      <c r="E30" s="41"/>
      <c r="F30" s="7">
        <f ca="1">IF(ISERROR(F24),"",VLOOKUP(E24,INDIRECT($F$8),6+(O30-1)*3,0))</f>
        <v>0</v>
      </c>
      <c r="G30" s="42" t="str">
        <f ca="1">IF(ISERROR(F24),"",_xlfn.TEXTJOIN("/",FALSE,P30,S30))</f>
        <v>UTU/2406100171/0</v>
      </c>
      <c r="H30" s="42"/>
      <c r="I30" s="42" t="str">
        <f ca="1">IF(ISERROR(F24),"",_xlfn.TEXTJOIN("/",FALSE,Q30,T30))</f>
        <v>AMAN POKHRIYAL/0</v>
      </c>
      <c r="J30" s="42"/>
      <c r="K30" s="42" t="str">
        <f ca="1">IF(ISERROR(F24),"",_xlfn.TEXTJOIN("/",FALSE,R30,U30))</f>
        <v>0/0</v>
      </c>
      <c r="L30" s="42"/>
      <c r="M30" s="7" t="b">
        <f ca="1">IF(ISERROR(F24),"",IF(ISTEXT(P30),IF(P30="A","Ab",IF(P30="D","Dt",IF(P30="UFM","UFM",IF(P30="NA","")))),IF(AND(ISBLANK(P30),ISBLANK(R30)),"",IF(P30&lt;0.3*S30,"F",IF(ISBLANK(R30),"",IF(ISTEXT(R30),R30,IF(R30&gt;=0.9*U30,"O",IF(R30&gt;=0.85*U30,"A+",IF(R30&gt;=0.8*U30,"A",IF(R30&gt;=0.7*U30,"B+",IF(R30&gt;=0.6*U30,"B",IF(R30&gt;=0.5*U30,"C",IF(R30&gt;=0.4*U30,"P",IF(R30&lt;0.4*U30,"F",R30))))))))))))))</f>
        <v>0</v>
      </c>
      <c r="N30" s="8" t="e">
        <f t="shared" ca="1" si="1"/>
        <v>#N/A</v>
      </c>
      <c r="O30" t="b" cm="1">
        <f t="array" aca="1" ref="O30" ca="1">IF(NOT(ISBLANK(INDIRECT("SEM_IV!I"&amp;INT((ROW(O30)-14)/16)+6))),2,IF(NOT(ISBLANK(INDIRECT("SEM_IV!L"&amp;INT((ROW(O30)-14)/16)+6))),3))</f>
        <v>0</v>
      </c>
      <c r="P30" s="1" t="str">
        <f ca="1">IF(ISERROR(F24),"",IF(ISTEXT(VLOOKUP(B24,INDIRECT($F$8),6+(O30-1)*3)),(VLOOKUP(B24,INDIRECT($F$8),6+(O30-1)*3)),SUM(VLOOKUP(B24,INDIRECT($F$8),6+(O30-1)*3),IF(W36,W30,0))))</f>
        <v>UTU/2406100171</v>
      </c>
      <c r="Q30" s="1" t="str">
        <f ca="1">IF(ISERROR(F24),"",VLOOKUP(B24,INDIRECT($F$8),7+(O30-1)*3))</f>
        <v>AMAN POKHRIYAL</v>
      </c>
      <c r="R30" s="1">
        <f ca="1">IF(ISERROR(F24),"",SUM(P30:Q30))</f>
        <v>0</v>
      </c>
      <c r="S30" s="1">
        <f ca="1">IF(ISERROR(F24),"",VLOOKUP(A24,INDIRECT($F$8),6+(O30-1)*3))</f>
        <v>0</v>
      </c>
      <c r="T30" s="1">
        <f ca="1">IF(ISERROR(F24),"",VLOOKUP(A24,INDIRECT($F$8),7+(O30-1)*3))</f>
        <v>0</v>
      </c>
      <c r="U30" s="1">
        <f ca="1">IF(ISERROR(F24),"",VLOOKUP(A24,INDIRECT($F$8),8+(O30-1)*3))</f>
        <v>0</v>
      </c>
      <c r="V30" s="1" t="e">
        <f ca="1">IF(ISERROR(F24),"",IF(N30=0,A30,""))</f>
        <v>#N/A</v>
      </c>
      <c r="W30" s="1">
        <f ca="1">IF(ISERROR(F24),"",IF(ISTEXT(VLOOKUP(B24,INDIRECT($F$8),6+(O30-1)*3)),11,IF(VLOOKUP(B24,INDIRECT($F$8),6+(O30-1)*3)&lt;S30*0.3,IF(VLOOKUP(B24,INDIRECT($F$8),8+(O30-1)*3)&lt;U30*0.4,IF(AND(0.4*U30-VLOOKUP(B24,INDIRECT($F$8),8+(O30-1)*3)&lt;=5,0.3*S30-VLOOKUP(B24,INDIRECT($F$8),6+(O30-1)*3)&lt;=5),MAX(0.4*U30-VLOOKUP(B24,INDIRECT($F$8),8+(O30-1)*3),0.3*S30-VLOOKUP(B24,INDIRECT($F$8),6+(O30-1)*3)),11),IF(0.3*S30-VLOOKUP(B24,INDIRECT($F$8),6+(O30-1)*3)&lt;=5,0.3*S30-VLOOKUP(B24,INDIRECT($F$8),6+(O30-1)*3),11)),IF(VLOOKUP(B24,INDIRECT($F$8),8+(O30-1)*3)&lt;U30*0.4,IF(U30*0.4-VLOOKUP(B24,INDIRECT($F$8),8+(O30-1)*3)&lt;=5,U30*0.4-VLOOKUP(B24,INDIRECT($F$8),8+(O30-1)*3),11),0))))</f>
        <v>11</v>
      </c>
      <c r="X30" s="1" t="str">
        <f ca="1">IF(ISERROR(F24),"",IF(W30=0,"",_xlfn.TEXTJOIN("",FALSE," G+",W30," in ",A30)))</f>
        <v xml:space="preserve"> G+11 in Enroll No.</v>
      </c>
    </row>
    <row r="31" spans="1:24" ht="12.75" customHeight="1" x14ac:dyDescent="0.2">
      <c r="A31" s="7" t="str">
        <f ca="1">IF(ISERROR(F24),"",VLOOKUP(C24,INDIRECT($F$8),6+(O31-1)*3,0))</f>
        <v>CAT 030</v>
      </c>
      <c r="B31" s="41" t="str">
        <f ca="1">IF(ISERROR(F24),"",VLOOKUP(D24,INDIRECT($F$8),6+(O31-1)*3,0))</f>
        <v>Software Testing &amp; Quality Assurance</v>
      </c>
      <c r="C31" s="41"/>
      <c r="D31" s="41"/>
      <c r="E31" s="41"/>
      <c r="F31" s="7">
        <f ca="1">IF(ISERROR(F24),"",VLOOKUP(E24,INDIRECT($F$8),6+(O31-1)*3,0))</f>
        <v>4</v>
      </c>
      <c r="G31" s="42" t="str">
        <f ca="1">IF(ISERROR(F24),"",_xlfn.TEXTJOIN("/",FALSE,P31,S31))</f>
        <v>0/100</v>
      </c>
      <c r="H31" s="42"/>
      <c r="I31" s="42" t="str">
        <f ca="1">IF(ISERROR(F24),"",_xlfn.TEXTJOIN("/",FALSE,Q31,T31))</f>
        <v>0/50</v>
      </c>
      <c r="J31" s="42"/>
      <c r="K31" s="42" t="str">
        <f ca="1">IF(ISERROR(F24),"",_xlfn.TEXTJOIN("/",FALSE,R31,U31))</f>
        <v>0/150</v>
      </c>
      <c r="L31" s="42"/>
      <c r="M31" s="7" t="str">
        <f ca="1">IF(ISERROR(F24),"",IF(ISTEXT(P31),IF(P31="A","Ab",IF(P31="D","Dt",IF(P31="UFM","UFM",IF(P31="NA","")))),IF(AND(ISBLANK(P31),ISBLANK(R31)),"",IF(P31&lt;0.3*S31,"F",IF(ISBLANK(R31),"",IF(ISTEXT(R31),R31,IF(R31&gt;=0.9*U31,"O",IF(R31&gt;=0.85*U31,"A+",IF(R31&gt;=0.8*U31,"A",IF(R31&gt;=0.7*U31,"B+",IF(R31&gt;=0.6*U31,"B",IF(R31&gt;=0.5*U31,"C",IF(R31&gt;=0.4*U31,"P",IF(R31&lt;0.4*U31,"F",R31))))))))))))))</f>
        <v>F</v>
      </c>
      <c r="N31" s="8">
        <f t="shared" ca="1" si="1"/>
        <v>0</v>
      </c>
      <c r="O31">
        <f ca="1">IF(O30&gt;0,4,"")</f>
        <v>4</v>
      </c>
      <c r="P31" s="1">
        <f ca="1">IF(ISERROR(F24),"",IF(ISTEXT(VLOOKUP(B24,INDIRECT($F$8),6+(O31-1)*3)),(VLOOKUP(B24,INDIRECT($F$8),6+(O31-1)*3)),SUM(VLOOKUP(B24,INDIRECT($F$8),6+(O31-1)*3),IF(W36,W31,0))))</f>
        <v>0</v>
      </c>
      <c r="Q31" s="1">
        <f ca="1">IF(ISERROR(F24),"",VLOOKUP(B24,INDIRECT($F$8),7+(O31-1)*3))</f>
        <v>0</v>
      </c>
      <c r="R31" s="1">
        <f ca="1">IF(ISERROR(F24),"",SUM(P31:Q31))</f>
        <v>0</v>
      </c>
      <c r="S31" s="1">
        <f ca="1">IF(ISERROR(F24),"",VLOOKUP(A24,INDIRECT($F$8),6+(O31-1)*3))</f>
        <v>100</v>
      </c>
      <c r="T31" s="1">
        <f ca="1">IF(ISERROR(F24),"",VLOOKUP(A24,INDIRECT($F$8),7+(O31-1)*3))</f>
        <v>50</v>
      </c>
      <c r="U31" s="1">
        <f ca="1">IF(ISERROR(F24),"",VLOOKUP(A24,INDIRECT($F$8),8+(O31-1)*3))</f>
        <v>150</v>
      </c>
      <c r="V31" s="1" t="str">
        <f ca="1">IF(ISERROR(F24),"",IF(N31=0,A31,""))</f>
        <v>CAT 030</v>
      </c>
      <c r="W31" s="1">
        <f ca="1">IF(ISERROR(F24),"",IF(ISTEXT(VLOOKUP(B24,INDIRECT($F$8),6+(O31-1)*3)),11,IF(VLOOKUP(B24,INDIRECT($F$8),6+(O31-1)*3)&lt;S31*0.3,IF(VLOOKUP(B24,INDIRECT($F$8),8+(O31-1)*3)&lt;U31*0.4,IF(AND(0.4*U31-VLOOKUP(B24,INDIRECT($F$8),8+(O31-1)*3)&lt;=5,0.3*S31-VLOOKUP(B24,INDIRECT($F$8),6+(O31-1)*3)&lt;=5),MAX(0.4*U31-VLOOKUP(B24,INDIRECT($F$8),8+(O31-1)*3),0.3*S31-VLOOKUP(B24,INDIRECT($F$8),6+(O31-1)*3)),11),IF(0.3*S31-VLOOKUP(B24,INDIRECT($F$8),6+(O31-1)*3)&lt;=5,0.3*S31-VLOOKUP(B24,INDIRECT($F$8),6+(O31-1)*3),11)),IF(VLOOKUP(B24,INDIRECT($F$8),8+(O31-1)*3)&lt;U31*0.4,IF(U31*0.4-VLOOKUP(B24,INDIRECT($F$8),8+(O31-1)*3)&lt;=5,U31*0.4-VLOOKUP(B24,INDIRECT($F$8),8+(O31-1)*3),11),0))))</f>
        <v>11</v>
      </c>
      <c r="X31" s="1" t="str">
        <f ca="1">IF(ISERROR(F24),"",IF(W31=0,"",_xlfn.TEXTJOIN("",FALSE," G+",W31," in ",A31)))</f>
        <v xml:space="preserve"> G+11 in CAT 030</v>
      </c>
    </row>
    <row r="32" spans="1:24" ht="12.75" customHeight="1" x14ac:dyDescent="0.2">
      <c r="A32" s="7" t="str">
        <f ca="1">IF(ISERROR(F24),"",VLOOKUP(C24,INDIRECT($F$8),6+(O32-1)*3,0))</f>
        <v>Enroll No.</v>
      </c>
      <c r="B32" s="41">
        <f ca="1">IF(ISERROR(F24),"",VLOOKUP(D24,INDIRECT($F$8),6+(O32-1)*3,0))</f>
        <v>0</v>
      </c>
      <c r="C32" s="41"/>
      <c r="D32" s="41"/>
      <c r="E32" s="41"/>
      <c r="F32" s="7">
        <f ca="1">IF(ISERROR(F24),"",VLOOKUP(E24,INDIRECT($F$8),6+(O32-1)*3,0))</f>
        <v>0</v>
      </c>
      <c r="G32" s="42" t="str">
        <f ca="1">IF(ISERROR(F24),"",_xlfn.TEXTJOIN("/",FALSE,P32,S32))</f>
        <v>UTU/2406100171/0</v>
      </c>
      <c r="H32" s="42"/>
      <c r="I32" s="42" t="str">
        <f ca="1">IF(ISERROR(F24),"",_xlfn.TEXTJOIN("/",FALSE,Q32,T32))</f>
        <v>AMAN POKHRIYAL/0</v>
      </c>
      <c r="J32" s="42"/>
      <c r="K32" s="42" t="str">
        <f ca="1">IF(ISERROR(F24),"",_xlfn.TEXTJOIN("/",FALSE,R32,U32))</f>
        <v>0/0</v>
      </c>
      <c r="L32" s="42"/>
      <c r="M32" s="7" t="b">
        <f ca="1">IF(ISERROR(F24),"",IF(ISTEXT(P32),IF(P32="A","Ab",IF(P32="D","Dt",IF(P32="UFM","UFM",IF(P32="NA","")))),IF(AND(ISBLANK(P32),ISBLANK(R32)),"",IF(P32&lt;0.3*S32,"F",IF(ISBLANK(R32),"",IF(ISTEXT(R32),R32,IF(R32&gt;=0.9*U32,"O",IF(R32&gt;=0.85*U32,"A+",IF(R32&gt;=0.8*U32,"A",IF(R32&gt;=0.7*U32,"B+",IF(R32&gt;=0.6*U32,"B",IF(R32&gt;=0.5*U32,"C",IF(R32&gt;=0.4*U32,"P",IF(R32&lt;0.4*U32,"F",R32))))))))))))))</f>
        <v>0</v>
      </c>
      <c r="N32" s="8" t="e">
        <f t="shared" ca="1" si="1"/>
        <v>#N/A</v>
      </c>
      <c r="O32" t="b" cm="1">
        <f t="array" aca="1" ref="O32" ca="1">IF(NOT(ISBLANK(INDIRECT("SEM_IV!R"&amp;INT((ROW(O32)-16)/16)+6))),5,IF(NOT(ISBLANK(INDIRECT("SEM_IV!U"&amp;INT((ROW(O32)-16)/16)+6))),6))</f>
        <v>0</v>
      </c>
      <c r="P32" s="1" t="str">
        <f ca="1">IF(ISERROR(F24),"",IF(ISTEXT(VLOOKUP(B24,INDIRECT($F$8),6+(O32-1)*3)),(VLOOKUP(B24,INDIRECT($F$8),6+(O32-1)*3)),SUM(VLOOKUP(B24,INDIRECT($F$8),6+(O32-1)*3),IF(W36,W32,0))))</f>
        <v>UTU/2406100171</v>
      </c>
      <c r="Q32" s="1" t="str">
        <f ca="1">IF(ISERROR(F24),"",VLOOKUP(B24,INDIRECT($F$8),7+(O32-1)*3))</f>
        <v>AMAN POKHRIYAL</v>
      </c>
      <c r="R32" s="1">
        <f ca="1">IF(ISERROR(F24),"",SUM(P32:Q32))</f>
        <v>0</v>
      </c>
      <c r="S32" s="1">
        <f ca="1">IF(ISERROR(F24),"",VLOOKUP(A24,INDIRECT($F$8),6+(O32-1)*3))</f>
        <v>0</v>
      </c>
      <c r="T32" s="1">
        <f ca="1">IF(ISERROR(F24),"",VLOOKUP(A24,INDIRECT($F$8),7+(O32-1)*3))</f>
        <v>0</v>
      </c>
      <c r="U32" s="1">
        <f ca="1">IF(ISERROR(F24),"",VLOOKUP(A24,INDIRECT($F$8),8+(O32-1)*3))</f>
        <v>0</v>
      </c>
      <c r="V32" s="1" t="e">
        <f ca="1">IF(ISERROR(F24),"",IF(N32=0,A32,""))</f>
        <v>#N/A</v>
      </c>
      <c r="W32" s="1">
        <f ca="1">IF(ISERROR(F24),"",IF(ISTEXT(VLOOKUP(B24,INDIRECT($F$8),6+(O32-1)*3)),11,IF(VLOOKUP(B24,INDIRECT($F$8),6+(O32-1)*3)&lt;S32*0.3,IF(VLOOKUP(B24,INDIRECT($F$8),8+(O32-1)*3)&lt;U32*0.4,IF(AND(0.4*U32-VLOOKUP(B24,INDIRECT($F$8),8+(O32-1)*3)&lt;=5,0.3*S32-VLOOKUP(B24,INDIRECT($F$8),6+(O32-1)*3)&lt;=5),MAX(0.4*U32-VLOOKUP(B24,INDIRECT($F$8),8+(O32-1)*3),0.3*S32-VLOOKUP(B24,INDIRECT($F$8),6+(O32-1)*3)),11),IF(0.3*S32-VLOOKUP(B24,INDIRECT($F$8),6+(O32-1)*3)&lt;=5,0.3*S32-VLOOKUP(B24,INDIRECT($F$8),6+(O32-1)*3),11)),IF(VLOOKUP(B24,INDIRECT($F$8),8+(O32-1)*3)&lt;U32*0.4,IF(U32*0.4-VLOOKUP(B24,INDIRECT($F$8),8+(O32-1)*3)&lt;=5,U32*0.4-VLOOKUP(B24,INDIRECT($F$8),8+(O32-1)*3),11),0))))</f>
        <v>11</v>
      </c>
      <c r="X32" s="1" t="str">
        <f ca="1">IF(ISERROR(F24),"",IF(W32=0,"",_xlfn.TEXTJOIN("",FALSE," G+",W32," in ",A32)))</f>
        <v xml:space="preserve"> G+11 in Enroll No.</v>
      </c>
    </row>
    <row r="33" spans="1:24" ht="12.75" customHeight="1" x14ac:dyDescent="0.2">
      <c r="A33" s="7" t="str">
        <f ca="1">IF(ISERROR(F24),"",VLOOKUP(C24,INDIRECT($F$8),6+(O33-1)*3,0))</f>
        <v>CAP 011</v>
      </c>
      <c r="B33" s="41" t="str">
        <f ca="1">IF(ISERROR(F24),"",VLOOKUP(D24,INDIRECT($F$8),6+(O33-1)*3,0))</f>
        <v>Network Security Lab</v>
      </c>
      <c r="C33" s="41"/>
      <c r="D33" s="41"/>
      <c r="E33" s="41"/>
      <c r="F33" s="7">
        <f ca="1">IF(ISERROR(F24),"",VLOOKUP(E24,INDIRECT($F$8),6+(O33-1)*3,0))</f>
        <v>1</v>
      </c>
      <c r="G33" s="42" t="str">
        <f ca="1">IF(ISERROR(F24),"",_xlfn.TEXTJOIN("/",FALSE,P33,S33))</f>
        <v>0/30</v>
      </c>
      <c r="H33" s="42"/>
      <c r="I33" s="42" t="str">
        <f ca="1">IF(ISERROR(F24),"",_xlfn.TEXTJOIN("/",FALSE,Q33,T33))</f>
        <v>0/20</v>
      </c>
      <c r="J33" s="42"/>
      <c r="K33" s="42" t="str">
        <f ca="1">IF(ISERROR(F24),"",_xlfn.TEXTJOIN("/",FALSE,R33,U33))</f>
        <v>0/50</v>
      </c>
      <c r="L33" s="42"/>
      <c r="M33" s="7" t="str">
        <f ca="1">IF(ISERROR(F24),"",IF(ISTEXT(P33),IF(P33="A","Ab",IF(P33="D","Dt",IF(P33="UFM","UFM",IF(P33="NA","")))),IF(AND(ISBLANK(P33),ISBLANK(R33)),"",IF(P33&lt;0.3*S33,"F",IF(ISBLANK(R33),"",IF(ISTEXT(R33),R33,IF(R33&gt;=0.9*U33,"O",IF(R33&gt;=0.85*U33,"A+",IF(R33&gt;=0.8*U33,"A",IF(R33&gt;=0.7*U33,"B+",IF(R33&gt;=0.6*U33,"B",IF(R33&gt;=0.5*U33,"C",IF(R33&gt;=0.4*U33,"P",IF(R33&lt;0.4*U33,"F",R33))))))))))))))</f>
        <v>F</v>
      </c>
      <c r="N33" s="8">
        <f t="shared" ca="1" si="1"/>
        <v>0</v>
      </c>
      <c r="O33">
        <f ca="1">IF(O32&gt;0,7,"")</f>
        <v>7</v>
      </c>
      <c r="P33" s="1">
        <f ca="1">IF(ISERROR(F24),"",IF(ISTEXT(VLOOKUP(B24,INDIRECT($F$8),6+(O33-1)*3)),(VLOOKUP(B24,INDIRECT($F$8),6+(O33-1)*3)),SUM(VLOOKUP(B24,INDIRECT($F$8),6+(O33-1)*3),IF(W36,W33,0))))</f>
        <v>0</v>
      </c>
      <c r="Q33" s="1">
        <f ca="1">IF(ISERROR(F24),"",VLOOKUP(B24,INDIRECT($F$8),7+(O33-1)*3))</f>
        <v>0</v>
      </c>
      <c r="R33" s="1">
        <f ca="1">IF(ISERROR(F24),"",SUM(P33:Q33))</f>
        <v>0</v>
      </c>
      <c r="S33" s="1">
        <f ca="1">IF(ISERROR(F24),"",VLOOKUP(A24,INDIRECT($F$8),6+(O33-1)*3))</f>
        <v>30</v>
      </c>
      <c r="T33" s="1">
        <f ca="1">IF(ISERROR(F24),"",VLOOKUP(A24,INDIRECT($F$8),7+(O33-1)*3))</f>
        <v>20</v>
      </c>
      <c r="U33" s="1">
        <f ca="1">IF(ISERROR(F24),"",VLOOKUP(A24,INDIRECT($F$8),8+(O33-1)*3))</f>
        <v>50</v>
      </c>
      <c r="V33" s="1" t="str">
        <f ca="1">IF(ISERROR(F24),"",IF(N33=0,A33,""))</f>
        <v>CAP 011</v>
      </c>
      <c r="W33" s="1">
        <f ca="1">IF(ISERROR(F24),"",IF(ISTEXT(VLOOKUP(B24,INDIRECT($F$8),6+(O33-1)*3)),11,IF(VLOOKUP(B24,INDIRECT($F$8),6+(O33-1)*3)&lt;S33*0.3,IF(VLOOKUP(B24,INDIRECT($F$8),8+(O33-1)*3)&lt;U33*0.4,IF(AND(0.4*U33-VLOOKUP(B24,INDIRECT($F$8),8+(O33-1)*3)&lt;=5,0.3*S33-VLOOKUP(B24,INDIRECT($F$8),6+(O33-1)*3)&lt;=5),MAX(0.4*U33-VLOOKUP(B24,INDIRECT($F$8),8+(O33-1)*3),0.3*S33-VLOOKUP(B24,INDIRECT($F$8),6+(O33-1)*3)),11),IF(0.3*S33-VLOOKUP(B24,INDIRECT($F$8),6+(O33-1)*3)&lt;=5,0.3*S33-VLOOKUP(B24,INDIRECT($F$8),6+(O33-1)*3),11)),IF(VLOOKUP(B24,INDIRECT($F$8),8+(O33-1)*3)&lt;U33*0.4,IF(U33*0.4-VLOOKUP(B24,INDIRECT($F$8),8+(O33-1)*3)&lt;=5,U33*0.4-VLOOKUP(B24,INDIRECT($F$8),8+(O33-1)*3),11),0))))</f>
        <v>11</v>
      </c>
      <c r="X33" s="1" t="str">
        <f ca="1">IF(ISERROR(F24),"",IF(W33=0,"",_xlfn.TEXTJOIN("",FALSE," G+",W33," in ",A33)))</f>
        <v xml:space="preserve"> G+11 in CAP 011</v>
      </c>
    </row>
    <row r="34" spans="1:24" ht="12.75" customHeight="1" x14ac:dyDescent="0.2">
      <c r="A34" s="7" t="str">
        <f ca="1">IF(ISERROR(F24),"",VLOOKUP(C24,INDIRECT($F$8),6+(O34-1)*3,0))</f>
        <v>Enroll No.</v>
      </c>
      <c r="B34" s="41">
        <f ca="1">IF(ISERROR(F24),"",VLOOKUP(D24,INDIRECT($F$8),6+(O34-1)*3,0))</f>
        <v>0</v>
      </c>
      <c r="C34" s="41"/>
      <c r="D34" s="41"/>
      <c r="E34" s="41"/>
      <c r="F34" s="7">
        <f ca="1">IF(ISERROR(F24),"",VLOOKUP(E24,INDIRECT($F$8),6+(O34-1)*3,0))</f>
        <v>0</v>
      </c>
      <c r="G34" s="42" t="str">
        <f ca="1">IF(ISERROR(F24),"",_xlfn.TEXTJOIN("/",FALSE,P34,S34))</f>
        <v>UTU/2406100171/0</v>
      </c>
      <c r="H34" s="42"/>
      <c r="I34" s="42" t="str">
        <f ca="1">IF(ISERROR(F24),"",_xlfn.TEXTJOIN("/",FALSE,Q34,T34))</f>
        <v>AMAN POKHRIYAL/0</v>
      </c>
      <c r="J34" s="42"/>
      <c r="K34" s="42" t="str">
        <f ca="1">IF(ISERROR(F24),"",_xlfn.TEXTJOIN("/",FALSE,R34,U34))</f>
        <v>0/0</v>
      </c>
      <c r="L34" s="42"/>
      <c r="M34" s="7" t="b">
        <f ca="1">IF(ISERROR(F24),"",IF(ISTEXT(P34),IF(P34="A","Ab",IF(P34="D","Dt",IF(P34="UFM","UFM",IF(P34="NA","")))),IF(AND(ISBLANK(P34),ISBLANK(R34)),"",IF(P34&lt;0.3*S34,"F",IF(ISBLANK(R34),"",IF(ISTEXT(R34),R34,IF(R34&gt;=0.9*U34,"O",IF(R34&gt;=0.85*U34,"A+",IF(R34&gt;=0.8*U34,"A",IF(R34&gt;=0.7*U34,"B+",IF(R34&gt;=0.6*U34,"B",IF(R34&gt;=0.5*U34,"C",IF(R34&gt;=0.4*U34,"P",IF(R34&lt;0.4*U34,"F",R34))))))))))))))</f>
        <v>0</v>
      </c>
      <c r="N34" s="8" t="e">
        <f t="shared" ca="1" si="1"/>
        <v>#N/A</v>
      </c>
      <c r="O34" t="b" cm="1">
        <f t="array" aca="1" ref="O34" ca="1">IF(NOT(ISBLANK(INDIRECT("SEM_IV!AA"&amp;INT((ROW(O34)-18)/16)+6))),8,IF(NOT(ISBLANK(INDIRECT("SEM_IV!AD"&amp;INT((ROW(O34)-18)/16)+6))),9))</f>
        <v>0</v>
      </c>
      <c r="P34" s="1" t="str">
        <f ca="1">IF(ISERROR(F24),"",IF(ISTEXT(VLOOKUP(B24,INDIRECT($F$8),6+(O34-1)*3)),(VLOOKUP(B24,INDIRECT($F$8),6+(O34-1)*3)),SUM(VLOOKUP(B24,INDIRECT($F$8),6+(O34-1)*3),IF(W36,W34,0))))</f>
        <v>UTU/2406100171</v>
      </c>
      <c r="Q34" s="1" t="str">
        <f ca="1">IF(ISERROR(F24),"",VLOOKUP(B24,INDIRECT($F$8),7+(O34-1)*3))</f>
        <v>AMAN POKHRIYAL</v>
      </c>
      <c r="R34" s="1">
        <f ca="1">IF(ISERROR(F24),"",SUM(P34:Q34))</f>
        <v>0</v>
      </c>
      <c r="S34" s="1">
        <f ca="1">IF(ISERROR(F24),"",VLOOKUP(A24,INDIRECT($F$8),6+(O34-1)*3))</f>
        <v>0</v>
      </c>
      <c r="T34" s="1">
        <f ca="1">IF(ISERROR(F24),"",VLOOKUP(A24,INDIRECT($F$8),7+(O34-1)*3))</f>
        <v>0</v>
      </c>
      <c r="U34" s="1">
        <f ca="1">IF(ISERROR(F24),"",VLOOKUP(A24,INDIRECT($F$8),8+(O34-1)*3))</f>
        <v>0</v>
      </c>
      <c r="V34" s="1" t="e">
        <f ca="1">IF(ISERROR(F24),"",IF(N34=0,A34,""))</f>
        <v>#N/A</v>
      </c>
      <c r="W34" s="1">
        <f ca="1">IF(ISERROR(F24),"",IF(ISTEXT(VLOOKUP(B24,INDIRECT($F$8),6+(O34-1)*3)),11,IF(VLOOKUP(B24,INDIRECT($F$8),6+(O34-1)*3)&lt;S34*0.3,IF(VLOOKUP(B24,INDIRECT($F$8),8+(O34-1)*3)&lt;U34*0.4,IF(AND(0.4*U34-VLOOKUP(B24,INDIRECT($F$8),8+(O34-1)*3)&lt;=5,0.3*S34-VLOOKUP(B24,INDIRECT($F$8),6+(O34-1)*3)&lt;=5),MAX(0.4*U34-VLOOKUP(B24,INDIRECT($F$8),8+(O34-1)*3),0.3*S34-VLOOKUP(B24,INDIRECT($F$8),6+(O34-1)*3)),11),IF(0.3*S34-VLOOKUP(B24,INDIRECT($F$8),6+(O34-1)*3)&lt;=5,0.3*S34-VLOOKUP(B24,INDIRECT($F$8),6+(O34-1)*3),11)),IF(VLOOKUP(B24,INDIRECT($F$8),8+(O34-1)*3)&lt;U34*0.4,IF(U34*0.4-VLOOKUP(B24,INDIRECT($F$8),8+(O34-1)*3)&lt;=5,U34*0.4-VLOOKUP(B24,INDIRECT($F$8),8+(O34-1)*3),11),0))))</f>
        <v>11</v>
      </c>
      <c r="X34" s="1" t="str">
        <f ca="1">IF(ISERROR(F24),"",IF(W34=0,"",_xlfn.TEXTJOIN("",FALSE," G+",W34," in ",A34)))</f>
        <v xml:space="preserve"> G+11 in Enroll No.</v>
      </c>
    </row>
    <row r="35" spans="1:24" ht="12.75" customHeight="1" x14ac:dyDescent="0.2">
      <c r="A35" s="7" t="str">
        <f ca="1">IF(ISERROR(F24),"",VLOOKUP(C24,INDIRECT($F$8),6+(O35-1)*3,0))</f>
        <v>CAP 013</v>
      </c>
      <c r="B35" s="41" t="str">
        <f ca="1">IF(ISERROR(F24),"",VLOOKUP(D24,INDIRECT($F$8),6+(O35-1)*3-Z35,0))</f>
        <v>Major Project</v>
      </c>
      <c r="C35" s="41"/>
      <c r="D35" s="41"/>
      <c r="E35" s="41"/>
      <c r="F35" s="7">
        <f ca="1">IF(ISERROR(F24),"",VLOOKUP(E24,INDIRECT($F$8),6+(O35-1)*3,0))</f>
        <v>6</v>
      </c>
      <c r="G35" s="42" t="str">
        <f ca="1">IF(ISERROR(F24),"",_xlfn.TEXTJOIN("/",FALSE,P35,S35))</f>
        <v>0/200</v>
      </c>
      <c r="H35" s="42"/>
      <c r="I35" s="42" t="str">
        <f ca="1">IF(ISERROR(F24),"",_xlfn.TEXTJOIN("/",FALSE,Q35,T35))</f>
        <v>0/100</v>
      </c>
      <c r="J35" s="42"/>
      <c r="K35" s="42" t="str">
        <f ca="1">IF(ISERROR(F24),"",_xlfn.TEXTJOIN("/",FALSE,R35,U35))</f>
        <v>0/300</v>
      </c>
      <c r="L35" s="42"/>
      <c r="M35" s="7" t="str">
        <f ca="1">IF(ISERROR(F24),"",IF(ISTEXT(P35),IF(P35="A","Ab",IF(P35="D","Dt",IF(P35="UFM","UFM",IF(P35="NA","")))),IF(AND(ISBLANK(P35),ISBLANK(R35)),"",IF(P35&lt;0.3*S35,"F",IF(ISBLANK(R35),"",IF(ISTEXT(R35),R35,IF(R35&gt;=0.9*U35,"O",IF(R35&gt;=0.85*U35,"A+",IF(R35&gt;=0.8*U35,"A",IF(R35&gt;=0.7*U35,"B+",IF(R35&gt;=0.6*U35,"B",IF(R35&gt;=0.5*U35,"C",IF(R35&gt;=0.4*U35,"P",IF(R35&lt;0.4*U35,"F",R35))))))))))))))</f>
        <v>F</v>
      </c>
      <c r="N35" s="8">
        <f t="shared" ca="1" si="1"/>
        <v>0</v>
      </c>
      <c r="O35">
        <f ca="1">IF(O34&gt;0,10,"")</f>
        <v>10</v>
      </c>
      <c r="P35" s="1">
        <f ca="1">IF(ISERROR(F24),"",IF(ISTEXT(VLOOKUP(B24,INDIRECT($F$8),6+(O35-1)*3)),(VLOOKUP(B24,INDIRECT($F$8),6+(O35-1)*3)),SUM(VLOOKUP(B24,INDIRECT($F$8),6+(O35-1)*3),IF(W36,W35,0))))</f>
        <v>0</v>
      </c>
      <c r="Q35" s="1">
        <f ca="1">IF(ISERROR(F24),"",VLOOKUP(B24,INDIRECT($F$8),7+(O35-1)*3))</f>
        <v>0</v>
      </c>
      <c r="R35" s="1">
        <f ca="1">IF(ISERROR(F24),"",SUM(P35:Q35))</f>
        <v>0</v>
      </c>
      <c r="S35" s="1">
        <f ca="1">IF(ISERROR(F24),"",VLOOKUP(A24,INDIRECT($F$8),6+(O35-1)*3))</f>
        <v>200</v>
      </c>
      <c r="T35" s="1">
        <f ca="1">IF(ISERROR(F24),"",VLOOKUP(A24,INDIRECT($F$8),7+(O35-1)*3))</f>
        <v>100</v>
      </c>
      <c r="U35" s="1">
        <f ca="1">IF(ISERROR(F24),"",VLOOKUP(A24,INDIRECT($F$8),8+(O35-1)*3))</f>
        <v>300</v>
      </c>
      <c r="V35" s="1" t="str">
        <f ca="1">IF(ISERROR(F24),"",IF(N35=0,A35,""))</f>
        <v>CAP 013</v>
      </c>
      <c r="W35" s="1">
        <f ca="1">IF(ISERROR(F24),"",IF(ISTEXT(VLOOKUP(B24,INDIRECT($F$8),6+(O35-1)*3)),11,IF(VLOOKUP(B24,INDIRECT($F$8),6+(O35-1)*3)&lt;S35*0.3,IF(VLOOKUP(B24,INDIRECT($F$8),8+(O35-1)*3)&lt;U35*0.4,IF(AND(0.4*U35-VLOOKUP(B24,INDIRECT($F$8),8+(O35-1)*3)&lt;=5,0.3*S35-VLOOKUP(B24,INDIRECT($F$8),6+(O35-1)*3)&lt;=5),MAX(0.4*U35-VLOOKUP(B24,INDIRECT($F$8),8+(O35-1)*3),0.3*S35-VLOOKUP(B24,INDIRECT($F$8),6+(O35-1)*3)),11),IF(0.3*S35-VLOOKUP(B24,INDIRECT($F$8),6+(O35-1)*3)&lt;=5,0.3*S35-VLOOKUP(B24,INDIRECT($F$8),6+(O35-1)*3),11)),IF(VLOOKUP(B24,INDIRECT($F$8),8+(O35-1)*3)&lt;U35*0.4,IF(U35*0.4-VLOOKUP(B24,INDIRECT($F$8),8+(O35-1)*3)&lt;=5,U35*0.4-VLOOKUP(B24,INDIRECT($F$8),8+(O35-1)*3),11),0))))</f>
        <v>11</v>
      </c>
      <c r="X35" s="1" t="str">
        <f ca="1">IF(ISERROR(F24),"",IF(W35=0,"",_xlfn.TEXTJOIN("",FALSE," G+",W35," in ",A35)))</f>
        <v xml:space="preserve"> G+11 in CAP 013</v>
      </c>
    </row>
    <row r="36" spans="1:24" ht="12.75" customHeight="1" x14ac:dyDescent="0.2">
      <c r="A36" s="43" t="str">
        <f ca="1">IF(ISERROR(F24),"",A20)</f>
        <v>Total Credits/ Marks/ Total Grade Points</v>
      </c>
      <c r="B36" s="43"/>
      <c r="C36" s="43"/>
      <c r="D36" s="43"/>
      <c r="E36" s="43"/>
      <c r="F36" s="10">
        <f ca="1">IF(ISERROR(F24),"",SUM(F29:F35))</f>
        <v>15</v>
      </c>
      <c r="G36" s="44" t="str">
        <f ca="1">IF(ISERROR(F24),"",_xlfn.TEXTJOIN("/",TRUE,SUMIF(F29:F35,"&gt;0",P29:P35),SUMIF(F29:F35,"&gt;0",S29:S35)))</f>
        <v>0/430</v>
      </c>
      <c r="H36" s="44"/>
      <c r="I36" s="44" t="str">
        <f ca="1">IF(ISERROR(F24),"",_xlfn.TEXTJOIN("/",TRUE,SUMIF(F29:F35,"&gt;0",Q29:Q35),SUMIF(F29:F35,"&gt;0",T29:T35)))</f>
        <v>0/220</v>
      </c>
      <c r="J36" s="44"/>
      <c r="K36" s="44" t="str">
        <f ca="1">IF(ISERROR(F24),"",_xlfn.TEXTJOIN("/",TRUE,SUMIF(F29:F35,"&gt;0",R29:R35),SUMIF(F29:F35,"&gt;0",U29:U35)))</f>
        <v>0/650</v>
      </c>
      <c r="L36" s="44"/>
      <c r="M36" s="43" t="e">
        <f ca="1">IF(ISERROR(F24),"",SUMPRODUCT(N29:N35,F29:F35))</f>
        <v>#N/A</v>
      </c>
      <c r="N36" s="43"/>
      <c r="V36" s="1" t="e">
        <f ca="1">IF(ISERROR(F24),"",_xlfn.TEXTJOIN(", ",TRUE,V29:V35))</f>
        <v>#N/A</v>
      </c>
      <c r="W36" t="b">
        <f ca="1">IF(ISERROR(F24),"",IF(SUM(W29:W35)&lt;=W28,TRUE,FALSE))</f>
        <v>0</v>
      </c>
      <c r="X36" s="1" t="str">
        <f ca="1">IF(ISERROR(F24),"",_xlfn.TEXTJOIN(",",TRUE,X29:X35))</f>
        <v xml:space="preserve"> G+11 in CAT 022, G+11 in Enroll No., G+11 in CAT 030, G+11 in Enroll No., G+11 in CAP 011, G+11 in Enroll No., G+11 in CAP 013</v>
      </c>
    </row>
    <row r="37" spans="1:24" ht="12.75" customHeight="1" x14ac:dyDescent="0.2">
      <c r="A37" s="43" t="str">
        <f ca="1">IF(ISERROR(F24),"",A21)</f>
        <v>Result:</v>
      </c>
      <c r="B37" s="45" t="e">
        <f ca="1">IF(ISERROR(F24),"",IF(V36="","PASS","CARRY OVER"))</f>
        <v>#N/A</v>
      </c>
      <c r="C37" s="45"/>
      <c r="D37" s="43" t="str">
        <f ca="1">IF(ISERROR(F24),"",D21)</f>
        <v>Remark:</v>
      </c>
      <c r="E37" s="45" t="e">
        <f ca="1">IF(ISERROR(F24),"",IF(V36="",IF(X36="","",X36),_xlfn.TEXTJOIN(" ",TRUE,"BACK IN",V36)))</f>
        <v>#N/A</v>
      </c>
      <c r="F37" s="45"/>
      <c r="G37" s="43" t="str">
        <f ca="1">IF(ISERROR(F24),"",G21)</f>
        <v>SGPA:</v>
      </c>
      <c r="H37" s="46" t="e">
        <f ca="1">IF(ISERROR(F24),"",M36/F36)</f>
        <v>#N/A</v>
      </c>
      <c r="I37" s="43" t="str">
        <f ca="1">IF(ISERROR(F24),"",I21)</f>
        <v>CGPA:</v>
      </c>
      <c r="J37" s="46" t="e">
        <f ca="1">IF(ISERROR(F24),"",VLOOKUP(B24,INDIRECT($F$8),12+(O35-1)*3,0))</f>
        <v>#N/A</v>
      </c>
      <c r="K37" s="45" t="str">
        <f ca="1">IF(ISERROR(F24),"",K21)</f>
        <v>Earned Credits:</v>
      </c>
      <c r="L37" s="43">
        <f ca="1">IF(ISERROR(F24),"",SUMIF(N29:N35,"&gt;0",F29:F35))</f>
        <v>0</v>
      </c>
      <c r="M37" s="45" t="str">
        <f ca="1">IF(ISERROR(F24),"",M21)</f>
        <v>Cuml. Earned Credits:</v>
      </c>
      <c r="N37" s="43" t="e">
        <f ca="1">IF(ISERROR(F24),"",VLOOKUP(B24,INDIRECT($F$8),10+(O35-1)*3,0))</f>
        <v>#N/A</v>
      </c>
    </row>
    <row r="38" spans="1:24" ht="12.75" customHeight="1" x14ac:dyDescent="0.2">
      <c r="A38" s="43"/>
      <c r="B38" s="45"/>
      <c r="C38" s="45"/>
      <c r="D38" s="43"/>
      <c r="E38" s="45"/>
      <c r="F38" s="45"/>
      <c r="G38" s="43"/>
      <c r="H38" s="46"/>
      <c r="I38" s="43"/>
      <c r="J38" s="46"/>
      <c r="K38" s="45"/>
      <c r="L38" s="43"/>
      <c r="M38" s="45"/>
      <c r="N38" s="43"/>
    </row>
    <row r="39" spans="1:24" ht="12.75" customHeight="1" x14ac:dyDescent="0.2">
      <c r="A39" s="43"/>
      <c r="B39" s="45"/>
      <c r="C39" s="45"/>
      <c r="D39" s="43"/>
      <c r="E39" s="45"/>
      <c r="F39" s="45"/>
      <c r="G39" s="43"/>
      <c r="H39" s="46"/>
      <c r="I39" s="43"/>
      <c r="J39" s="46"/>
      <c r="K39" s="45"/>
      <c r="L39" s="43"/>
      <c r="M39" s="45"/>
      <c r="N39" s="43"/>
    </row>
    <row r="40" spans="1:24" ht="12.75" customHeight="1" x14ac:dyDescent="0.2">
      <c r="A40" s="11" t="str">
        <f>A24</f>
        <v>MM</v>
      </c>
      <c r="B40" s="11">
        <f>B24+1</f>
        <v>3</v>
      </c>
      <c r="C40" s="11" t="str">
        <f>C24</f>
        <v>SC</v>
      </c>
      <c r="D40" s="11" t="str">
        <f>D24</f>
        <v>SN</v>
      </c>
      <c r="E40" s="11" t="str">
        <f>E24</f>
        <v>C</v>
      </c>
      <c r="F40" s="11" t="str">
        <f ca="1">VLOOKUP(B40,INDIRECT($F$8),4,0)</f>
        <v>ANAS SAIFI</v>
      </c>
    </row>
    <row r="41" spans="1:24" ht="12.75" customHeight="1" x14ac:dyDescent="0.2">
      <c r="A41" s="47" t="str">
        <f ca="1">IF(ISERROR(F40),"",A25)</f>
        <v>Name:</v>
      </c>
      <c r="B41" s="47" t="str">
        <f ca="1">IFERROR(VLOOKUP(B40,INDIRECT($F$8),4,0),"")</f>
        <v>ANAS SAIFI</v>
      </c>
      <c r="C41" s="47"/>
      <c r="D41" s="47" t="str">
        <f ca="1">IF(ISERROR(F40),"",D25)</f>
        <v>Father's Name:</v>
      </c>
      <c r="E41" s="47" t="str">
        <f ca="1">IFERROR(VLOOKUP(B40,INDIRECT($F$8),5,0),"")</f>
        <v>SALMUDDIN SAIFI</v>
      </c>
      <c r="F41" s="47"/>
      <c r="G41" s="47" t="str">
        <f ca="1">IF(ISERROR(F40),"",G25)</f>
        <v>University Roll No:</v>
      </c>
      <c r="H41" s="47"/>
      <c r="I41" s="48">
        <f ca="1">IFERROR(VLOOKUP(B40,INDIRECT($F$8),2,0),"")</f>
        <v>240090600003</v>
      </c>
      <c r="J41" s="48"/>
      <c r="K41" s="47" t="str">
        <f ca="1">IF(ISERROR(F40),"",K25)</f>
        <v>University Enrol. No:</v>
      </c>
      <c r="L41" s="47"/>
      <c r="M41" s="48" t="str">
        <f ca="1">IFERROR(VLOOKUP(B40,INDIRECT($F$8),3,0),"")</f>
        <v>UTU/2406100173</v>
      </c>
      <c r="N41" s="48"/>
    </row>
    <row r="42" spans="1:24" ht="12.75" customHeight="1" x14ac:dyDescent="0.2">
      <c r="A42" s="47"/>
      <c r="B42" s="47"/>
      <c r="C42" s="47"/>
      <c r="D42" s="47"/>
      <c r="E42" s="47"/>
      <c r="F42" s="47"/>
      <c r="G42" s="47"/>
      <c r="H42" s="47"/>
      <c r="I42" s="48"/>
      <c r="J42" s="48"/>
      <c r="K42" s="47"/>
      <c r="L42" s="47"/>
      <c r="M42" s="48"/>
      <c r="N42" s="48"/>
    </row>
    <row r="43" spans="1:24" ht="12.75" customHeight="1" x14ac:dyDescent="0.2">
      <c r="A43" s="45" t="str">
        <f ca="1">IF(ISERROR(F40),"",A27)</f>
        <v>Subject Code</v>
      </c>
      <c r="B43" s="45" t="str">
        <f ca="1">IF(ISERROR(F40),"",B27)</f>
        <v>Subject Name</v>
      </c>
      <c r="C43" s="45"/>
      <c r="D43" s="45"/>
      <c r="E43" s="45"/>
      <c r="F43" s="45" t="str">
        <f ca="1">IF(ISERROR(F40),"",F27)</f>
        <v>Credits</v>
      </c>
      <c r="G43" s="45" t="str">
        <f ca="1">IF(ISERROR(F40),"",G27)</f>
        <v>External Marks</v>
      </c>
      <c r="H43" s="45"/>
      <c r="I43" s="45" t="str">
        <f ca="1">IF(ISERROR(F40),"",I27)</f>
        <v>Sessional Marks</v>
      </c>
      <c r="J43" s="45"/>
      <c r="K43" s="45" t="str">
        <f ca="1">IF(ISERROR(F40),"",K27)</f>
        <v>Total Marks</v>
      </c>
      <c r="L43" s="45"/>
      <c r="M43" s="45" t="str">
        <f ca="1">IF(ISERROR(F40),"",M27)</f>
        <v>Grade</v>
      </c>
      <c r="N43" s="45" t="str">
        <f ca="1">IF(ISERROR(F40),"",N27)</f>
        <v>Grade Points</v>
      </c>
    </row>
    <row r="44" spans="1:24" ht="12.75" customHeight="1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W44">
        <f ca="1">IF(ISNUMBER(MATCH($F$8,{"I","III","V","VII"},0)),10,10-INDEX(INDIRECT(_xlfn.TEXTJOIN("",TRUE,"SEM_",$G$8,"!",ADDRESS(6,4+$I$8*3+4),":",ADDRESS(5+$H$8,4+$I$8*3+4))),MATCH(INDIRECT(_xlfn.TEXTJOIN("",TRUE,"TC_",$F$8,"!",ADDRESS(ROW(I41),COLUMN(I41)))),INDIRECT(_xlfn.TEXTJOIN("",TRUE,"SEM_",$G$8,"!",ADDRESS(6,2),":",ADDRESS(5+$H$8,2))))))</f>
        <v>10</v>
      </c>
    </row>
    <row r="45" spans="1:24" ht="12.75" customHeight="1" x14ac:dyDescent="0.2">
      <c r="A45" s="7" t="str">
        <f ca="1">IF(ISERROR(F40),"",VLOOKUP(C40,INDIRECT($F$8),6+(O45-1)*3,0))</f>
        <v>CAT 022</v>
      </c>
      <c r="B45" s="41" t="str">
        <f ca="1">IF(ISERROR(F40),"",VLOOKUP(D40,INDIRECT($F$8),6+(O45-1)*3,0))</f>
        <v>Network Security</v>
      </c>
      <c r="C45" s="41"/>
      <c r="D45" s="41"/>
      <c r="E45" s="41"/>
      <c r="F45" s="7">
        <f ca="1">IF(ISERROR(F40),"",VLOOKUP(E40,INDIRECT($F$8),6+(O45-1)*3,0))</f>
        <v>4</v>
      </c>
      <c r="G45" s="42" t="str">
        <f ca="1">IF(ISERROR(F40),"",_xlfn.TEXTJOIN("/",FALSE,P45,S45))</f>
        <v>0/100</v>
      </c>
      <c r="H45" s="42"/>
      <c r="I45" s="42" t="str">
        <f ca="1">IF(ISERROR(F40),"",_xlfn.TEXTJOIN("/",FALSE,Q45,T45))</f>
        <v>0/50</v>
      </c>
      <c r="J45" s="42"/>
      <c r="K45" s="42" t="str">
        <f ca="1">IF(ISERROR(F40),"",_xlfn.TEXTJOIN("/",FALSE,R45,U45))</f>
        <v>0/150</v>
      </c>
      <c r="L45" s="42"/>
      <c r="M45" s="7" t="str">
        <f ca="1">IF(ISERROR(F40),"",IF(ISTEXT(P45),IF(P45="A","Ab",IF(P45="D","Dt",IF(P45="UFM","UFM",IF(P45="NA","")))),IF(AND(ISBLANK(P45),ISBLANK(R45)),"",IF(P45&lt;0.3*S45,"F",IF(ISBLANK(R45),"",IF(ISTEXT(R45),R45,IF(R45&gt;=0.9*U45,"O",IF(R45&gt;=0.85*U45,"A+",IF(R45&gt;=0.8*U45,"A",IF(R45&gt;=0.7*U45,"B+",IF(R45&gt;=0.6*U45,"B",IF(R45&gt;=0.5*U45,"C",IF(R45&gt;=0.4*U45,"P",IF(R45&lt;0.4*U45,"F",R45))))))))))))))</f>
        <v>F</v>
      </c>
      <c r="N45" s="8">
        <f t="shared" ref="N45:N51" ca="1" si="2">INDEX($Z$2:$Z$13,MATCH(M45,$Y$2:$Y$13,0))</f>
        <v>0</v>
      </c>
      <c r="O45">
        <v>1</v>
      </c>
      <c r="P45" s="1">
        <f ca="1">IF(ISERROR(F40),"",IF(ISTEXT(VLOOKUP(B40,INDIRECT($F$8),6+(O45-1)*3)),(VLOOKUP(B40,INDIRECT($F$8),6+(O45-1)*3)),SUM(VLOOKUP(B40,INDIRECT($F$8),6+(O45-1)*3),IF(W52,W45,0))))</f>
        <v>0</v>
      </c>
      <c r="Q45" s="1">
        <f ca="1">IF(ISERROR(F40),"",VLOOKUP(B40,INDIRECT($F$8),7+(O45-1)*3))</f>
        <v>0</v>
      </c>
      <c r="R45" s="1">
        <f ca="1">IF(ISERROR(F40),"",SUM(P45:Q45))</f>
        <v>0</v>
      </c>
      <c r="S45" s="1">
        <f ca="1">IF(ISERROR(F40),"",VLOOKUP(A40,INDIRECT($F$8),6+(O45-1)*3))</f>
        <v>100</v>
      </c>
      <c r="T45" s="1">
        <f ca="1">IF(ISERROR(F40),"",VLOOKUP(A40,INDIRECT($F$8),7+(O45-1)*3))</f>
        <v>50</v>
      </c>
      <c r="U45" s="1">
        <f ca="1">IF(ISERROR(F40),"",VLOOKUP(A40,INDIRECT($F$8),8+(O45-1)*3))</f>
        <v>150</v>
      </c>
      <c r="V45" s="1" t="str">
        <f ca="1">IF(ISERROR(F40),"",IF(N45=0,A45,""))</f>
        <v>CAT 022</v>
      </c>
      <c r="W45" s="1">
        <f ca="1">IF(ISERROR(F40),"",IF(ISTEXT(VLOOKUP(B40,INDIRECT($F$8),6+(O45-1)*3)),11,IF(VLOOKUP(B40,INDIRECT($F$8),6+(O45-1)*3)&lt;S45*0.3,IF(VLOOKUP(B40,INDIRECT($F$8),8+(O45-1)*3)&lt;U45*0.4,IF(AND(0.4*U45-VLOOKUP(B40,INDIRECT($F$8),8+(O45-1)*3)&lt;=5,0.3*S45-VLOOKUP(B40,INDIRECT($F$8),6+(O45-1)*3)&lt;=5),MAX(0.4*U45-VLOOKUP(B40,INDIRECT($F$8),8+(O45-1)*3),0.3*S45-VLOOKUP(B40,INDIRECT($F$8),6+(O45-1)*3)),11),IF(0.3*S45-VLOOKUP(B40,INDIRECT($F$8),6+(O45-1)*3)&lt;=5,0.3*S45-VLOOKUP(B40,INDIRECT($F$8),6+(O45-1)*3),11)),IF(VLOOKUP(B40,INDIRECT($F$8),8+(O45-1)*3)&lt;U45*0.4,IF(U45*0.4-VLOOKUP(B40,INDIRECT($F$8),8+(O45-1)*3)&lt;=5,U45*0.4-VLOOKUP(B40,INDIRECT($F$8),8+(O45-1)*3),11),0))))</f>
        <v>11</v>
      </c>
      <c r="X45" s="1" t="str">
        <f ca="1">IF(ISERROR(F40),"",IF(W45=0,"",_xlfn.TEXTJOIN("",FALSE," G+",W45," in ",A45)))</f>
        <v xml:space="preserve"> G+11 in CAT 022</v>
      </c>
    </row>
    <row r="46" spans="1:24" ht="12.75" customHeight="1" x14ac:dyDescent="0.2">
      <c r="A46" s="7" t="str">
        <f ca="1">IF(ISERROR(F40),"",VLOOKUP(C40,INDIRECT($F$8),6+(O46-1)*3,0))</f>
        <v>Enroll No.</v>
      </c>
      <c r="B46" s="41">
        <f ca="1">IF(ISERROR(F40),"",VLOOKUP(D40,INDIRECT($F$8),6+(O46-1)*3,0))</f>
        <v>0</v>
      </c>
      <c r="C46" s="41"/>
      <c r="D46" s="41"/>
      <c r="E46" s="41"/>
      <c r="F46" s="7">
        <f ca="1">IF(ISERROR(F40),"",VLOOKUP(E40,INDIRECT($F$8),6+(O46-1)*3,0))</f>
        <v>0</v>
      </c>
      <c r="G46" s="42" t="str">
        <f ca="1">IF(ISERROR(F40),"",_xlfn.TEXTJOIN("/",FALSE,P46,S46))</f>
        <v>UTU/2406100173/0</v>
      </c>
      <c r="H46" s="42"/>
      <c r="I46" s="42" t="str">
        <f ca="1">IF(ISERROR(F40),"",_xlfn.TEXTJOIN("/",FALSE,Q46,T46))</f>
        <v>ANAS SAIFI/0</v>
      </c>
      <c r="J46" s="42"/>
      <c r="K46" s="42" t="str">
        <f ca="1">IF(ISERROR(F40),"",_xlfn.TEXTJOIN("/",FALSE,R46,U46))</f>
        <v>0/0</v>
      </c>
      <c r="L46" s="42"/>
      <c r="M46" s="7" t="b">
        <f ca="1">IF(ISERROR(F40),"",IF(ISTEXT(P46),IF(P46="A","Ab",IF(P46="D","Dt",IF(P46="UFM","UFM",IF(P46="NA","")))),IF(AND(ISBLANK(P46),ISBLANK(R46)),"",IF(P46&lt;0.3*S46,"F",IF(ISBLANK(R46),"",IF(ISTEXT(R46),R46,IF(R46&gt;=0.9*U46,"O",IF(R46&gt;=0.85*U46,"A+",IF(R46&gt;=0.8*U46,"A",IF(R46&gt;=0.7*U46,"B+",IF(R46&gt;=0.6*U46,"B",IF(R46&gt;=0.5*U46,"C",IF(R46&gt;=0.4*U46,"P",IF(R46&lt;0.4*U46,"F",R46))))))))))))))</f>
        <v>0</v>
      </c>
      <c r="N46" s="8" t="e">
        <f t="shared" ca="1" si="2"/>
        <v>#N/A</v>
      </c>
      <c r="O46" t="b" cm="1">
        <f t="array" aca="1" ref="O46" ca="1">IF(NOT(ISBLANK(INDIRECT("SEM_IV!I"&amp;INT((ROW(O46)-14)/16)+6))),2,IF(NOT(ISBLANK(INDIRECT("SEM_IV!L"&amp;INT((ROW(O46)-14)/16)+6))),3))</f>
        <v>0</v>
      </c>
      <c r="P46" s="1" t="str">
        <f ca="1">IF(ISERROR(F40),"",IF(ISTEXT(VLOOKUP(B40,INDIRECT($F$8),6+(O46-1)*3)),(VLOOKUP(B40,INDIRECT($F$8),6+(O46-1)*3)),SUM(VLOOKUP(B40,INDIRECT($F$8),6+(O46-1)*3),IF(W52,W46,0))))</f>
        <v>UTU/2406100173</v>
      </c>
      <c r="Q46" s="1" t="str">
        <f ca="1">IF(ISERROR(F40),"",VLOOKUP(B40,INDIRECT($F$8),7+(O46-1)*3))</f>
        <v>ANAS SAIFI</v>
      </c>
      <c r="R46" s="1">
        <f ca="1">IF(ISERROR(F40),"",SUM(P46:Q46))</f>
        <v>0</v>
      </c>
      <c r="S46" s="1">
        <f ca="1">IF(ISERROR(F40),"",VLOOKUP(A40,INDIRECT($F$8),6+(O46-1)*3))</f>
        <v>0</v>
      </c>
      <c r="T46" s="1">
        <f ca="1">IF(ISERROR(F40),"",VLOOKUP(A40,INDIRECT($F$8),7+(O46-1)*3))</f>
        <v>0</v>
      </c>
      <c r="U46" s="1">
        <f ca="1">IF(ISERROR(F40),"",VLOOKUP(A40,INDIRECT($F$8),8+(O46-1)*3))</f>
        <v>0</v>
      </c>
      <c r="V46" s="1" t="e">
        <f ca="1">IF(ISERROR(F40),"",IF(N46=0,A46,""))</f>
        <v>#N/A</v>
      </c>
      <c r="W46" s="1">
        <f ca="1">IF(ISERROR(F40),"",IF(ISTEXT(VLOOKUP(B40,INDIRECT($F$8),6+(O46-1)*3)),11,IF(VLOOKUP(B40,INDIRECT($F$8),6+(O46-1)*3)&lt;S46*0.3,IF(VLOOKUP(B40,INDIRECT($F$8),8+(O46-1)*3)&lt;U46*0.4,IF(AND(0.4*U46-VLOOKUP(B40,INDIRECT($F$8),8+(O46-1)*3)&lt;=5,0.3*S46-VLOOKUP(B40,INDIRECT($F$8),6+(O46-1)*3)&lt;=5),MAX(0.4*U46-VLOOKUP(B40,INDIRECT($F$8),8+(O46-1)*3),0.3*S46-VLOOKUP(B40,INDIRECT($F$8),6+(O46-1)*3)),11),IF(0.3*S46-VLOOKUP(B40,INDIRECT($F$8),6+(O46-1)*3)&lt;=5,0.3*S46-VLOOKUP(B40,INDIRECT($F$8),6+(O46-1)*3),11)),IF(VLOOKUP(B40,INDIRECT($F$8),8+(O46-1)*3)&lt;U46*0.4,IF(U46*0.4-VLOOKUP(B40,INDIRECT($F$8),8+(O46-1)*3)&lt;=5,U46*0.4-VLOOKUP(B40,INDIRECT($F$8),8+(O46-1)*3),11),0))))</f>
        <v>11</v>
      </c>
      <c r="X46" s="1" t="str">
        <f ca="1">IF(ISERROR(F40),"",IF(W46=0,"",_xlfn.TEXTJOIN("",FALSE," G+",W46," in ",A46)))</f>
        <v xml:space="preserve"> G+11 in Enroll No.</v>
      </c>
    </row>
    <row r="47" spans="1:24" ht="12.75" customHeight="1" x14ac:dyDescent="0.2">
      <c r="A47" s="7" t="str">
        <f ca="1">IF(ISERROR(F40),"",VLOOKUP(C40,INDIRECT($F$8),6+(O47-1)*3,0))</f>
        <v>CAT 030</v>
      </c>
      <c r="B47" s="41" t="str">
        <f ca="1">IF(ISERROR(F40),"",VLOOKUP(D40,INDIRECT($F$8),6+(O47-1)*3,0))</f>
        <v>Software Testing &amp; Quality Assurance</v>
      </c>
      <c r="C47" s="41"/>
      <c r="D47" s="41"/>
      <c r="E47" s="41"/>
      <c r="F47" s="7">
        <f ca="1">IF(ISERROR(F40),"",VLOOKUP(E40,INDIRECT($F$8),6+(O47-1)*3,0))</f>
        <v>4</v>
      </c>
      <c r="G47" s="42" t="str">
        <f ca="1">IF(ISERROR(F40),"",_xlfn.TEXTJOIN("/",FALSE,P47,S47))</f>
        <v>0/100</v>
      </c>
      <c r="H47" s="42"/>
      <c r="I47" s="42" t="str">
        <f ca="1">IF(ISERROR(F40),"",_xlfn.TEXTJOIN("/",FALSE,Q47,T47))</f>
        <v>0/50</v>
      </c>
      <c r="J47" s="42"/>
      <c r="K47" s="42" t="str">
        <f ca="1">IF(ISERROR(F40),"",_xlfn.TEXTJOIN("/",FALSE,R47,U47))</f>
        <v>0/150</v>
      </c>
      <c r="L47" s="42"/>
      <c r="M47" s="7" t="str">
        <f ca="1">IF(ISERROR(F40),"",IF(ISTEXT(P47),IF(P47="A","Ab",IF(P47="D","Dt",IF(P47="UFM","UFM",IF(P47="NA","")))),IF(AND(ISBLANK(P47),ISBLANK(R47)),"",IF(P47&lt;0.3*S47,"F",IF(ISBLANK(R47),"",IF(ISTEXT(R47),R47,IF(R47&gt;=0.9*U47,"O",IF(R47&gt;=0.85*U47,"A+",IF(R47&gt;=0.8*U47,"A",IF(R47&gt;=0.7*U47,"B+",IF(R47&gt;=0.6*U47,"B",IF(R47&gt;=0.5*U47,"C",IF(R47&gt;=0.4*U47,"P",IF(R47&lt;0.4*U47,"F",R47))))))))))))))</f>
        <v>F</v>
      </c>
      <c r="N47" s="8">
        <f t="shared" ca="1" si="2"/>
        <v>0</v>
      </c>
      <c r="O47">
        <f ca="1">IF(O46&gt;0,4,"")</f>
        <v>4</v>
      </c>
      <c r="P47" s="1">
        <f ca="1">IF(ISERROR(F40),"",IF(ISTEXT(VLOOKUP(B40,INDIRECT($F$8),6+(O47-1)*3)),(VLOOKUP(B40,INDIRECT($F$8),6+(O47-1)*3)),SUM(VLOOKUP(B40,INDIRECT($F$8),6+(O47-1)*3),IF(W52,W47,0))))</f>
        <v>0</v>
      </c>
      <c r="Q47" s="1">
        <f ca="1">IF(ISERROR(F40),"",VLOOKUP(B40,INDIRECT($F$8),7+(O47-1)*3))</f>
        <v>0</v>
      </c>
      <c r="R47" s="1">
        <f ca="1">IF(ISERROR(F40),"",SUM(P47:Q47))</f>
        <v>0</v>
      </c>
      <c r="S47" s="1">
        <f ca="1">IF(ISERROR(F40),"",VLOOKUP(A40,INDIRECT($F$8),6+(O47-1)*3))</f>
        <v>100</v>
      </c>
      <c r="T47" s="1">
        <f ca="1">IF(ISERROR(F40),"",VLOOKUP(A40,INDIRECT($F$8),7+(O47-1)*3))</f>
        <v>50</v>
      </c>
      <c r="U47" s="1">
        <f ca="1">IF(ISERROR(F40),"",VLOOKUP(A40,INDIRECT($F$8),8+(O47-1)*3))</f>
        <v>150</v>
      </c>
      <c r="V47" s="1" t="str">
        <f ca="1">IF(ISERROR(F40),"",IF(N47=0,A47,""))</f>
        <v>CAT 030</v>
      </c>
      <c r="W47" s="1">
        <f ca="1">IF(ISERROR(F40),"",IF(ISTEXT(VLOOKUP(B40,INDIRECT($F$8),6+(O47-1)*3)),11,IF(VLOOKUP(B40,INDIRECT($F$8),6+(O47-1)*3)&lt;S47*0.3,IF(VLOOKUP(B40,INDIRECT($F$8),8+(O47-1)*3)&lt;U47*0.4,IF(AND(0.4*U47-VLOOKUP(B40,INDIRECT($F$8),8+(O47-1)*3)&lt;=5,0.3*S47-VLOOKUP(B40,INDIRECT($F$8),6+(O47-1)*3)&lt;=5),MAX(0.4*U47-VLOOKUP(B40,INDIRECT($F$8),8+(O47-1)*3),0.3*S47-VLOOKUP(B40,INDIRECT($F$8),6+(O47-1)*3)),11),IF(0.3*S47-VLOOKUP(B40,INDIRECT($F$8),6+(O47-1)*3)&lt;=5,0.3*S47-VLOOKUP(B40,INDIRECT($F$8),6+(O47-1)*3),11)),IF(VLOOKUP(B40,INDIRECT($F$8),8+(O47-1)*3)&lt;U47*0.4,IF(U47*0.4-VLOOKUP(B40,INDIRECT($F$8),8+(O47-1)*3)&lt;=5,U47*0.4-VLOOKUP(B40,INDIRECT($F$8),8+(O47-1)*3),11),0))))</f>
        <v>11</v>
      </c>
      <c r="X47" s="1" t="str">
        <f ca="1">IF(ISERROR(F40),"",IF(W47=0,"",_xlfn.TEXTJOIN("",FALSE," G+",W47," in ",A47)))</f>
        <v xml:space="preserve"> G+11 in CAT 030</v>
      </c>
    </row>
    <row r="48" spans="1:24" ht="12.75" customHeight="1" x14ac:dyDescent="0.2">
      <c r="A48" s="7" t="str">
        <f ca="1">IF(ISERROR(F40),"",VLOOKUP(C40,INDIRECT($F$8),6+(O48-1)*3,0))</f>
        <v>Enroll No.</v>
      </c>
      <c r="B48" s="41">
        <f ca="1">IF(ISERROR(F40),"",VLOOKUP(D40,INDIRECT($F$8),6+(O48-1)*3,0))</f>
        <v>0</v>
      </c>
      <c r="C48" s="41"/>
      <c r="D48" s="41"/>
      <c r="E48" s="41"/>
      <c r="F48" s="7">
        <f ca="1">IF(ISERROR(F40),"",VLOOKUP(E40,INDIRECT($F$8),6+(O48-1)*3,0))</f>
        <v>0</v>
      </c>
      <c r="G48" s="42" t="str">
        <f ca="1">IF(ISERROR(F40),"",_xlfn.TEXTJOIN("/",FALSE,P48,S48))</f>
        <v>UTU/2406100173/0</v>
      </c>
      <c r="H48" s="42"/>
      <c r="I48" s="42" t="str">
        <f ca="1">IF(ISERROR(F40),"",_xlfn.TEXTJOIN("/",FALSE,Q48,T48))</f>
        <v>ANAS SAIFI/0</v>
      </c>
      <c r="J48" s="42"/>
      <c r="K48" s="42" t="str">
        <f ca="1">IF(ISERROR(F40),"",_xlfn.TEXTJOIN("/",FALSE,R48,U48))</f>
        <v>0/0</v>
      </c>
      <c r="L48" s="42"/>
      <c r="M48" s="7" t="b">
        <f ca="1">IF(ISERROR(F40),"",IF(ISTEXT(P48),IF(P48="A","Ab",IF(P48="D","Dt",IF(P48="UFM","UFM",IF(P48="NA","")))),IF(AND(ISBLANK(P48),ISBLANK(R48)),"",IF(P48&lt;0.3*S48,"F",IF(ISBLANK(R48),"",IF(ISTEXT(R48),R48,IF(R48&gt;=0.9*U48,"O",IF(R48&gt;=0.85*U48,"A+",IF(R48&gt;=0.8*U48,"A",IF(R48&gt;=0.7*U48,"B+",IF(R48&gt;=0.6*U48,"B",IF(R48&gt;=0.5*U48,"C",IF(R48&gt;=0.4*U48,"P",IF(R48&lt;0.4*U48,"F",R48))))))))))))))</f>
        <v>0</v>
      </c>
      <c r="N48" s="8" t="e">
        <f t="shared" ca="1" si="2"/>
        <v>#N/A</v>
      </c>
      <c r="O48" t="b" cm="1">
        <f t="array" aca="1" ref="O48" ca="1">IF(NOT(ISBLANK(INDIRECT("SEM_IV!R"&amp;INT((ROW(O48)-16)/16)+6))),5,IF(NOT(ISBLANK(INDIRECT("SEM_IV!U"&amp;INT((ROW(O48)-16)/16)+6))),6))</f>
        <v>0</v>
      </c>
      <c r="P48" s="1" t="str">
        <f ca="1">IF(ISERROR(F40),"",IF(ISTEXT(VLOOKUP(B40,INDIRECT($F$8),6+(O48-1)*3)),(VLOOKUP(B40,INDIRECT($F$8),6+(O48-1)*3)),SUM(VLOOKUP(B40,INDIRECT($F$8),6+(O48-1)*3),IF(W52,W48,0))))</f>
        <v>UTU/2406100173</v>
      </c>
      <c r="Q48" s="1" t="str">
        <f ca="1">IF(ISERROR(F40),"",VLOOKUP(B40,INDIRECT($F$8),7+(O48-1)*3))</f>
        <v>ANAS SAIFI</v>
      </c>
      <c r="R48" s="1">
        <f ca="1">IF(ISERROR(F40),"",SUM(P48:Q48))</f>
        <v>0</v>
      </c>
      <c r="S48" s="1">
        <f ca="1">IF(ISERROR(F40),"",VLOOKUP(A40,INDIRECT($F$8),6+(O48-1)*3))</f>
        <v>0</v>
      </c>
      <c r="T48" s="1">
        <f ca="1">IF(ISERROR(F40),"",VLOOKUP(A40,INDIRECT($F$8),7+(O48-1)*3))</f>
        <v>0</v>
      </c>
      <c r="U48" s="1">
        <f ca="1">IF(ISERROR(F40),"",VLOOKUP(A40,INDIRECT($F$8),8+(O48-1)*3))</f>
        <v>0</v>
      </c>
      <c r="V48" s="1" t="e">
        <f ca="1">IF(ISERROR(F40),"",IF(N48=0,A48,""))</f>
        <v>#N/A</v>
      </c>
      <c r="W48" s="1">
        <f ca="1">IF(ISERROR(F40),"",IF(ISTEXT(VLOOKUP(B40,INDIRECT($F$8),6+(O48-1)*3)),11,IF(VLOOKUP(B40,INDIRECT($F$8),6+(O48-1)*3)&lt;S48*0.3,IF(VLOOKUP(B40,INDIRECT($F$8),8+(O48-1)*3)&lt;U48*0.4,IF(AND(0.4*U48-VLOOKUP(B40,INDIRECT($F$8),8+(O48-1)*3)&lt;=5,0.3*S48-VLOOKUP(B40,INDIRECT($F$8),6+(O48-1)*3)&lt;=5),MAX(0.4*U48-VLOOKUP(B40,INDIRECT($F$8),8+(O48-1)*3),0.3*S48-VLOOKUP(B40,INDIRECT($F$8),6+(O48-1)*3)),11),IF(0.3*S48-VLOOKUP(B40,INDIRECT($F$8),6+(O48-1)*3)&lt;=5,0.3*S48-VLOOKUP(B40,INDIRECT($F$8),6+(O48-1)*3),11)),IF(VLOOKUP(B40,INDIRECT($F$8),8+(O48-1)*3)&lt;U48*0.4,IF(U48*0.4-VLOOKUP(B40,INDIRECT($F$8),8+(O48-1)*3)&lt;=5,U48*0.4-VLOOKUP(B40,INDIRECT($F$8),8+(O48-1)*3),11),0))))</f>
        <v>11</v>
      </c>
      <c r="X48" s="1" t="str">
        <f ca="1">IF(ISERROR(F40),"",IF(W48=0,"",_xlfn.TEXTJOIN("",FALSE," G+",W48," in ",A48)))</f>
        <v xml:space="preserve"> G+11 in Enroll No.</v>
      </c>
    </row>
    <row r="49" spans="1:24" ht="12.75" customHeight="1" x14ac:dyDescent="0.2">
      <c r="A49" s="7" t="str">
        <f ca="1">IF(ISERROR(F40),"",VLOOKUP(C40,INDIRECT($F$8),6+(O49-1)*3,0))</f>
        <v>CAP 011</v>
      </c>
      <c r="B49" s="41" t="str">
        <f ca="1">IF(ISERROR(F40),"",VLOOKUP(D40,INDIRECT($F$8),6+(O49-1)*3,0))</f>
        <v>Network Security Lab</v>
      </c>
      <c r="C49" s="41"/>
      <c r="D49" s="41"/>
      <c r="E49" s="41"/>
      <c r="F49" s="7">
        <f ca="1">IF(ISERROR(F40),"",VLOOKUP(E40,INDIRECT($F$8),6+(O49-1)*3,0))</f>
        <v>1</v>
      </c>
      <c r="G49" s="42" t="str">
        <f ca="1">IF(ISERROR(F40),"",_xlfn.TEXTJOIN("/",FALSE,P49,S49))</f>
        <v>0/30</v>
      </c>
      <c r="H49" s="42"/>
      <c r="I49" s="42" t="str">
        <f ca="1">IF(ISERROR(F40),"",_xlfn.TEXTJOIN("/",FALSE,Q49,T49))</f>
        <v>0/20</v>
      </c>
      <c r="J49" s="42"/>
      <c r="K49" s="42" t="str">
        <f ca="1">IF(ISERROR(F40),"",_xlfn.TEXTJOIN("/",FALSE,R49,U49))</f>
        <v>0/50</v>
      </c>
      <c r="L49" s="42"/>
      <c r="M49" s="7" t="str">
        <f ca="1">IF(ISERROR(F40),"",IF(ISTEXT(P49),IF(P49="A","Ab",IF(P49="D","Dt",IF(P49="UFM","UFM",IF(P49="NA","")))),IF(AND(ISBLANK(P49),ISBLANK(R49)),"",IF(P49&lt;0.3*S49,"F",IF(ISBLANK(R49),"",IF(ISTEXT(R49),R49,IF(R49&gt;=0.9*U49,"O",IF(R49&gt;=0.85*U49,"A+",IF(R49&gt;=0.8*U49,"A",IF(R49&gt;=0.7*U49,"B+",IF(R49&gt;=0.6*U49,"B",IF(R49&gt;=0.5*U49,"C",IF(R49&gt;=0.4*U49,"P",IF(R49&lt;0.4*U49,"F",R49))))))))))))))</f>
        <v>F</v>
      </c>
      <c r="N49" s="8">
        <f t="shared" ca="1" si="2"/>
        <v>0</v>
      </c>
      <c r="O49">
        <f ca="1">IF(O48&gt;0,7,"")</f>
        <v>7</v>
      </c>
      <c r="P49" s="1">
        <f ca="1">IF(ISERROR(F40),"",IF(ISTEXT(VLOOKUP(B40,INDIRECT($F$8),6+(O49-1)*3)),(VLOOKUP(B40,INDIRECT($F$8),6+(O49-1)*3)),SUM(VLOOKUP(B40,INDIRECT($F$8),6+(O49-1)*3),IF(W52,W49,0))))</f>
        <v>0</v>
      </c>
      <c r="Q49" s="1">
        <f ca="1">IF(ISERROR(F40),"",VLOOKUP(B40,INDIRECT($F$8),7+(O49-1)*3))</f>
        <v>0</v>
      </c>
      <c r="R49" s="1">
        <f ca="1">IF(ISERROR(F40),"",SUM(P49:Q49))</f>
        <v>0</v>
      </c>
      <c r="S49" s="1">
        <f ca="1">IF(ISERROR(F40),"",VLOOKUP(A40,INDIRECT($F$8),6+(O49-1)*3))</f>
        <v>30</v>
      </c>
      <c r="T49" s="1">
        <f ca="1">IF(ISERROR(F40),"",VLOOKUP(A40,INDIRECT($F$8),7+(O49-1)*3))</f>
        <v>20</v>
      </c>
      <c r="U49" s="1">
        <f ca="1">IF(ISERROR(F40),"",VLOOKUP(A40,INDIRECT($F$8),8+(O49-1)*3))</f>
        <v>50</v>
      </c>
      <c r="V49" s="1" t="str">
        <f ca="1">IF(ISERROR(F40),"",IF(N49=0,A49,""))</f>
        <v>CAP 011</v>
      </c>
      <c r="W49" s="1">
        <f ca="1">IF(ISERROR(F40),"",IF(ISTEXT(VLOOKUP(B40,INDIRECT($F$8),6+(O49-1)*3)),11,IF(VLOOKUP(B40,INDIRECT($F$8),6+(O49-1)*3)&lt;S49*0.3,IF(VLOOKUP(B40,INDIRECT($F$8),8+(O49-1)*3)&lt;U49*0.4,IF(AND(0.4*U49-VLOOKUP(B40,INDIRECT($F$8),8+(O49-1)*3)&lt;=5,0.3*S49-VLOOKUP(B40,INDIRECT($F$8),6+(O49-1)*3)&lt;=5),MAX(0.4*U49-VLOOKUP(B40,INDIRECT($F$8),8+(O49-1)*3),0.3*S49-VLOOKUP(B40,INDIRECT($F$8),6+(O49-1)*3)),11),IF(0.3*S49-VLOOKUP(B40,INDIRECT($F$8),6+(O49-1)*3)&lt;=5,0.3*S49-VLOOKUP(B40,INDIRECT($F$8),6+(O49-1)*3),11)),IF(VLOOKUP(B40,INDIRECT($F$8),8+(O49-1)*3)&lt;U49*0.4,IF(U49*0.4-VLOOKUP(B40,INDIRECT($F$8),8+(O49-1)*3)&lt;=5,U49*0.4-VLOOKUP(B40,INDIRECT($F$8),8+(O49-1)*3),11),0))))</f>
        <v>11</v>
      </c>
      <c r="X49" s="1" t="str">
        <f ca="1">IF(ISERROR(F40),"",IF(W49=0,"",_xlfn.TEXTJOIN("",FALSE," G+",W49," in ",A49)))</f>
        <v xml:space="preserve"> G+11 in CAP 011</v>
      </c>
    </row>
    <row r="50" spans="1:24" ht="12.75" customHeight="1" x14ac:dyDescent="0.2">
      <c r="A50" s="7" t="str">
        <f ca="1">IF(ISERROR(F40),"",VLOOKUP(C40,INDIRECT($F$8),6+(O50-1)*3,0))</f>
        <v>Enroll No.</v>
      </c>
      <c r="B50" s="41">
        <f ca="1">IF(ISERROR(F40),"",VLOOKUP(D40,INDIRECT($F$8),6+(O50-1)*3,0))</f>
        <v>0</v>
      </c>
      <c r="C50" s="41"/>
      <c r="D50" s="41"/>
      <c r="E50" s="41"/>
      <c r="F50" s="7">
        <f ca="1">IF(ISERROR(F40),"",VLOOKUP(E40,INDIRECT($F$8),6+(O50-1)*3,0))</f>
        <v>0</v>
      </c>
      <c r="G50" s="42" t="str">
        <f ca="1">IF(ISERROR(F40),"",_xlfn.TEXTJOIN("/",FALSE,P50,S50))</f>
        <v>UTU/2406100173/0</v>
      </c>
      <c r="H50" s="42"/>
      <c r="I50" s="42" t="str">
        <f ca="1">IF(ISERROR(F40),"",_xlfn.TEXTJOIN("/",FALSE,Q50,T50))</f>
        <v>ANAS SAIFI/0</v>
      </c>
      <c r="J50" s="42"/>
      <c r="K50" s="42" t="str">
        <f ca="1">IF(ISERROR(F40),"",_xlfn.TEXTJOIN("/",FALSE,R50,U50))</f>
        <v>0/0</v>
      </c>
      <c r="L50" s="42"/>
      <c r="M50" s="7" t="b">
        <f ca="1">IF(ISERROR(F40),"",IF(ISTEXT(P50),IF(P50="A","Ab",IF(P50="D","Dt",IF(P50="UFM","UFM",IF(P50="NA","")))),IF(AND(ISBLANK(P50),ISBLANK(R50)),"",IF(P50&lt;0.3*S50,"F",IF(ISBLANK(R50),"",IF(ISTEXT(R50),R50,IF(R50&gt;=0.9*U50,"O",IF(R50&gt;=0.85*U50,"A+",IF(R50&gt;=0.8*U50,"A",IF(R50&gt;=0.7*U50,"B+",IF(R50&gt;=0.6*U50,"B",IF(R50&gt;=0.5*U50,"C",IF(R50&gt;=0.4*U50,"P",IF(R50&lt;0.4*U50,"F",R50))))))))))))))</f>
        <v>0</v>
      </c>
      <c r="N50" s="8" t="e">
        <f t="shared" ca="1" si="2"/>
        <v>#N/A</v>
      </c>
      <c r="O50" t="b" cm="1">
        <f t="array" aca="1" ref="O50" ca="1">IF(NOT(ISBLANK(INDIRECT("SEM_IV!AA"&amp;INT((ROW(O50)-18)/16)+6))),8,IF(NOT(ISBLANK(INDIRECT("SEM_IV!AD"&amp;INT((ROW(O50)-18)/16)+6))),9))</f>
        <v>0</v>
      </c>
      <c r="P50" s="1" t="str">
        <f ca="1">IF(ISERROR(F40),"",IF(ISTEXT(VLOOKUP(B40,INDIRECT($F$8),6+(O50-1)*3)),(VLOOKUP(B40,INDIRECT($F$8),6+(O50-1)*3)),SUM(VLOOKUP(B40,INDIRECT($F$8),6+(O50-1)*3),IF(W52,W50,0))))</f>
        <v>UTU/2406100173</v>
      </c>
      <c r="Q50" s="1" t="str">
        <f ca="1">IF(ISERROR(F40),"",VLOOKUP(B40,INDIRECT($F$8),7+(O50-1)*3))</f>
        <v>ANAS SAIFI</v>
      </c>
      <c r="R50" s="1">
        <f ca="1">IF(ISERROR(F40),"",SUM(P50:Q50))</f>
        <v>0</v>
      </c>
      <c r="S50" s="1">
        <f ca="1">IF(ISERROR(F40),"",VLOOKUP(A40,INDIRECT($F$8),6+(O50-1)*3))</f>
        <v>0</v>
      </c>
      <c r="T50" s="1">
        <f ca="1">IF(ISERROR(F40),"",VLOOKUP(A40,INDIRECT($F$8),7+(O50-1)*3))</f>
        <v>0</v>
      </c>
      <c r="U50" s="1">
        <f ca="1">IF(ISERROR(F40),"",VLOOKUP(A40,INDIRECT($F$8),8+(O50-1)*3))</f>
        <v>0</v>
      </c>
      <c r="V50" s="1" t="e">
        <f ca="1">IF(ISERROR(F40),"",IF(N50=0,A50,""))</f>
        <v>#N/A</v>
      </c>
      <c r="W50" s="1">
        <f ca="1">IF(ISERROR(F40),"",IF(ISTEXT(VLOOKUP(B40,INDIRECT($F$8),6+(O50-1)*3)),11,IF(VLOOKUP(B40,INDIRECT($F$8),6+(O50-1)*3)&lt;S50*0.3,IF(VLOOKUP(B40,INDIRECT($F$8),8+(O50-1)*3)&lt;U50*0.4,IF(AND(0.4*U50-VLOOKUP(B40,INDIRECT($F$8),8+(O50-1)*3)&lt;=5,0.3*S50-VLOOKUP(B40,INDIRECT($F$8),6+(O50-1)*3)&lt;=5),MAX(0.4*U50-VLOOKUP(B40,INDIRECT($F$8),8+(O50-1)*3),0.3*S50-VLOOKUP(B40,INDIRECT($F$8),6+(O50-1)*3)),11),IF(0.3*S50-VLOOKUP(B40,INDIRECT($F$8),6+(O50-1)*3)&lt;=5,0.3*S50-VLOOKUP(B40,INDIRECT($F$8),6+(O50-1)*3),11)),IF(VLOOKUP(B40,INDIRECT($F$8),8+(O50-1)*3)&lt;U50*0.4,IF(U50*0.4-VLOOKUP(B40,INDIRECT($F$8),8+(O50-1)*3)&lt;=5,U50*0.4-VLOOKUP(B40,INDIRECT($F$8),8+(O50-1)*3),11),0))))</f>
        <v>11</v>
      </c>
      <c r="X50" s="1" t="str">
        <f ca="1">IF(ISERROR(F40),"",IF(W50=0,"",_xlfn.TEXTJOIN("",FALSE," G+",W50," in ",A50)))</f>
        <v xml:space="preserve"> G+11 in Enroll No.</v>
      </c>
    </row>
    <row r="51" spans="1:24" ht="12.75" customHeight="1" x14ac:dyDescent="0.2">
      <c r="A51" s="7" t="str">
        <f ca="1">IF(ISERROR(F40),"",VLOOKUP(C40,INDIRECT($F$8),6+(O51-1)*3,0))</f>
        <v>CAP 013</v>
      </c>
      <c r="B51" s="41" t="str">
        <f ca="1">IF(ISERROR(F40),"",VLOOKUP(D40,INDIRECT($F$8),6+(O51-1)*3-Z51,0))</f>
        <v>Major Project</v>
      </c>
      <c r="C51" s="41"/>
      <c r="D51" s="41"/>
      <c r="E51" s="41"/>
      <c r="F51" s="7">
        <f ca="1">IF(ISERROR(F40),"",VLOOKUP(E40,INDIRECT($F$8),6+(O51-1)*3,0))</f>
        <v>6</v>
      </c>
      <c r="G51" s="42" t="str">
        <f ca="1">IF(ISERROR(F40),"",_xlfn.TEXTJOIN("/",FALSE,P51,S51))</f>
        <v>0/200</v>
      </c>
      <c r="H51" s="42"/>
      <c r="I51" s="42" t="str">
        <f ca="1">IF(ISERROR(F40),"",_xlfn.TEXTJOIN("/",FALSE,Q51,T51))</f>
        <v>0/100</v>
      </c>
      <c r="J51" s="42"/>
      <c r="K51" s="42" t="str">
        <f ca="1">IF(ISERROR(F40),"",_xlfn.TEXTJOIN("/",FALSE,R51,U51))</f>
        <v>0/300</v>
      </c>
      <c r="L51" s="42"/>
      <c r="M51" s="7" t="str">
        <f ca="1">IF(ISERROR(F40),"",IF(ISTEXT(P51),IF(P51="A","Ab",IF(P51="D","Dt",IF(P51="UFM","UFM",IF(P51="NA","")))),IF(AND(ISBLANK(P51),ISBLANK(R51)),"",IF(P51&lt;0.3*S51,"F",IF(ISBLANK(R51),"",IF(ISTEXT(R51),R51,IF(R51&gt;=0.9*U51,"O",IF(R51&gt;=0.85*U51,"A+",IF(R51&gt;=0.8*U51,"A",IF(R51&gt;=0.7*U51,"B+",IF(R51&gt;=0.6*U51,"B",IF(R51&gt;=0.5*U51,"C",IF(R51&gt;=0.4*U51,"P",IF(R51&lt;0.4*U51,"F",R51))))))))))))))</f>
        <v>F</v>
      </c>
      <c r="N51" s="8">
        <f t="shared" ca="1" si="2"/>
        <v>0</v>
      </c>
      <c r="O51">
        <f ca="1">IF(O50&gt;0,10,"")</f>
        <v>10</v>
      </c>
      <c r="P51" s="1">
        <f ca="1">IF(ISERROR(F40),"",IF(ISTEXT(VLOOKUP(B40,INDIRECT($F$8),6+(O51-1)*3)),(VLOOKUP(B40,INDIRECT($F$8),6+(O51-1)*3)),SUM(VLOOKUP(B40,INDIRECT($F$8),6+(O51-1)*3),IF(W52,W51,0))))</f>
        <v>0</v>
      </c>
      <c r="Q51" s="1">
        <f ca="1">IF(ISERROR(F40),"",VLOOKUP(B40,INDIRECT($F$8),7+(O51-1)*3))</f>
        <v>0</v>
      </c>
      <c r="R51" s="1">
        <f ca="1">IF(ISERROR(F40),"",SUM(P51:Q51))</f>
        <v>0</v>
      </c>
      <c r="S51" s="1">
        <f ca="1">IF(ISERROR(F40),"",VLOOKUP(A40,INDIRECT($F$8),6+(O51-1)*3))</f>
        <v>200</v>
      </c>
      <c r="T51" s="1">
        <f ca="1">IF(ISERROR(F40),"",VLOOKUP(A40,INDIRECT($F$8),7+(O51-1)*3))</f>
        <v>100</v>
      </c>
      <c r="U51" s="1">
        <f ca="1">IF(ISERROR(F40),"",VLOOKUP(A40,INDIRECT($F$8),8+(O51-1)*3))</f>
        <v>300</v>
      </c>
      <c r="V51" s="1" t="str">
        <f ca="1">IF(ISERROR(F40),"",IF(N51=0,A51,""))</f>
        <v>CAP 013</v>
      </c>
      <c r="W51" s="1">
        <f ca="1">IF(ISERROR(F40),"",IF(ISTEXT(VLOOKUP(B40,INDIRECT($F$8),6+(O51-1)*3)),11,IF(VLOOKUP(B40,INDIRECT($F$8),6+(O51-1)*3)&lt;S51*0.3,IF(VLOOKUP(B40,INDIRECT($F$8),8+(O51-1)*3)&lt;U51*0.4,IF(AND(0.4*U51-VLOOKUP(B40,INDIRECT($F$8),8+(O51-1)*3)&lt;=5,0.3*S51-VLOOKUP(B40,INDIRECT($F$8),6+(O51-1)*3)&lt;=5),MAX(0.4*U51-VLOOKUP(B40,INDIRECT($F$8),8+(O51-1)*3),0.3*S51-VLOOKUP(B40,INDIRECT($F$8),6+(O51-1)*3)),11),IF(0.3*S51-VLOOKUP(B40,INDIRECT($F$8),6+(O51-1)*3)&lt;=5,0.3*S51-VLOOKUP(B40,INDIRECT($F$8),6+(O51-1)*3),11)),IF(VLOOKUP(B40,INDIRECT($F$8),8+(O51-1)*3)&lt;U51*0.4,IF(U51*0.4-VLOOKUP(B40,INDIRECT($F$8),8+(O51-1)*3)&lt;=5,U51*0.4-VLOOKUP(B40,INDIRECT($F$8),8+(O51-1)*3),11),0))))</f>
        <v>11</v>
      </c>
      <c r="X51" s="1" t="str">
        <f ca="1">IF(ISERROR(F40),"",IF(W51=0,"",_xlfn.TEXTJOIN("",FALSE," G+",W51," in ",A51)))</f>
        <v xml:space="preserve"> G+11 in CAP 013</v>
      </c>
    </row>
    <row r="52" spans="1:24" ht="12.75" customHeight="1" x14ac:dyDescent="0.2">
      <c r="A52" s="43" t="str">
        <f ca="1">IF(ISERROR(F40),"",A36)</f>
        <v>Total Credits/ Marks/ Total Grade Points</v>
      </c>
      <c r="B52" s="43"/>
      <c r="C52" s="43"/>
      <c r="D52" s="43"/>
      <c r="E52" s="43"/>
      <c r="F52" s="10">
        <f ca="1">IF(ISERROR(F40),"",SUM(F45:F51))</f>
        <v>15</v>
      </c>
      <c r="G52" s="44" t="str">
        <f ca="1">IF(ISERROR(F40),"",_xlfn.TEXTJOIN("/",TRUE,SUMIF(F45:F51,"&gt;0",P45:P51),SUMIF(F45:F51,"&gt;0",S45:S51)))</f>
        <v>0/430</v>
      </c>
      <c r="H52" s="44"/>
      <c r="I52" s="44" t="str">
        <f ca="1">IF(ISERROR(F40),"",_xlfn.TEXTJOIN("/",TRUE,SUMIF(F45:F51,"&gt;0",Q45:Q51),SUMIF(F45:F51,"&gt;0",T45:T51)))</f>
        <v>0/220</v>
      </c>
      <c r="J52" s="44"/>
      <c r="K52" s="44" t="str">
        <f ca="1">IF(ISERROR(F40),"",_xlfn.TEXTJOIN("/",TRUE,SUMIF(F45:F51,"&gt;0",R45:R51),SUMIF(F45:F51,"&gt;0",U45:U51)))</f>
        <v>0/650</v>
      </c>
      <c r="L52" s="44"/>
      <c r="M52" s="43" t="e">
        <f ca="1">IF(ISERROR(F40),"",SUMPRODUCT(N45:N51,F45:F51))</f>
        <v>#N/A</v>
      </c>
      <c r="N52" s="43"/>
      <c r="V52" s="1" t="e">
        <f ca="1">IF(ISERROR(F40),"",_xlfn.TEXTJOIN(", ",TRUE,V45:V51))</f>
        <v>#N/A</v>
      </c>
      <c r="W52" t="b">
        <f ca="1">IF(ISERROR(F40),"",IF(SUM(W45:W51)&lt;=W44,TRUE,FALSE))</f>
        <v>0</v>
      </c>
      <c r="X52" s="1" t="str">
        <f ca="1">IF(ISERROR(F40),"",_xlfn.TEXTJOIN(",",TRUE,X45:X51))</f>
        <v xml:space="preserve"> G+11 in CAT 022, G+11 in Enroll No., G+11 in CAT 030, G+11 in Enroll No., G+11 in CAP 011, G+11 in Enroll No., G+11 in CAP 013</v>
      </c>
    </row>
    <row r="53" spans="1:24" ht="12.75" customHeight="1" x14ac:dyDescent="0.2">
      <c r="A53" s="43" t="str">
        <f ca="1">IF(ISERROR(F40),"",A37)</f>
        <v>Result:</v>
      </c>
      <c r="B53" s="45" t="e">
        <f ca="1">IF(ISERROR(F40),"",IF(V52="","PASS","CARRY OVER"))</f>
        <v>#N/A</v>
      </c>
      <c r="C53" s="45"/>
      <c r="D53" s="43" t="str">
        <f ca="1">IF(ISERROR(F40),"",D37)</f>
        <v>Remark:</v>
      </c>
      <c r="E53" s="45" t="e">
        <f ca="1">IF(ISERROR(F40),"",IF(V52="",IF(X52="","",X52),_xlfn.TEXTJOIN(" ",TRUE,"BACK IN",V52)))</f>
        <v>#N/A</v>
      </c>
      <c r="F53" s="45"/>
      <c r="G53" s="43" t="str">
        <f ca="1">IF(ISERROR(F40),"",G37)</f>
        <v>SGPA:</v>
      </c>
      <c r="H53" s="46" t="e">
        <f ca="1">IF(ISERROR(F40),"",M52/F52)</f>
        <v>#N/A</v>
      </c>
      <c r="I53" s="43" t="str">
        <f ca="1">IF(ISERROR(F40),"",I37)</f>
        <v>CGPA:</v>
      </c>
      <c r="J53" s="46" t="e">
        <f ca="1">IF(ISERROR(F40),"",VLOOKUP(B40,INDIRECT($F$8),12+(O51-1)*3,0))</f>
        <v>#N/A</v>
      </c>
      <c r="K53" s="45" t="str">
        <f ca="1">IF(ISERROR(F40),"",K37)</f>
        <v>Earned Credits:</v>
      </c>
      <c r="L53" s="43">
        <f ca="1">IF(ISERROR(F40),"",SUMIF(N45:N51,"&gt;0",F45:F51))</f>
        <v>0</v>
      </c>
      <c r="M53" s="45" t="str">
        <f ca="1">IF(ISERROR(F40),"",M37)</f>
        <v>Cuml. Earned Credits:</v>
      </c>
      <c r="N53" s="43" t="e">
        <f ca="1">IF(ISERROR(F40),"",VLOOKUP(B40,INDIRECT($F$8),10+(O51-1)*3,0))</f>
        <v>#N/A</v>
      </c>
    </row>
    <row r="54" spans="1:24" ht="12.75" customHeight="1" x14ac:dyDescent="0.2">
      <c r="A54" s="43"/>
      <c r="B54" s="45"/>
      <c r="C54" s="45"/>
      <c r="D54" s="43"/>
      <c r="E54" s="45"/>
      <c r="F54" s="45"/>
      <c r="G54" s="43"/>
      <c r="H54" s="46"/>
      <c r="I54" s="43"/>
      <c r="J54" s="46"/>
      <c r="K54" s="45"/>
      <c r="L54" s="43"/>
      <c r="M54" s="45"/>
      <c r="N54" s="43"/>
    </row>
    <row r="55" spans="1:24" ht="12.75" customHeight="1" x14ac:dyDescent="0.2">
      <c r="A55" s="43"/>
      <c r="B55" s="45"/>
      <c r="C55" s="45"/>
      <c r="D55" s="43"/>
      <c r="E55" s="45"/>
      <c r="F55" s="45"/>
      <c r="G55" s="43"/>
      <c r="H55" s="46"/>
      <c r="I55" s="43"/>
      <c r="J55" s="46"/>
      <c r="K55" s="45"/>
      <c r="L55" s="43"/>
      <c r="M55" s="45"/>
      <c r="N55" s="43"/>
    </row>
    <row r="56" spans="1:24" ht="12.75" customHeight="1" x14ac:dyDescent="0.2">
      <c r="A56" s="11" t="str">
        <f>A40</f>
        <v>MM</v>
      </c>
      <c r="B56" s="11">
        <f>B40+1</f>
        <v>4</v>
      </c>
      <c r="C56" s="11" t="str">
        <f>C40</f>
        <v>SC</v>
      </c>
      <c r="D56" s="11" t="str">
        <f>D40</f>
        <v>SN</v>
      </c>
      <c r="E56" s="11" t="str">
        <f>E40</f>
        <v>C</v>
      </c>
      <c r="F56" s="11" t="str">
        <f ca="1">VLOOKUP(B56,INDIRECT($F$8),4,0)</f>
        <v>ANJALI GUSAIN</v>
      </c>
    </row>
    <row r="57" spans="1:24" ht="12.75" customHeight="1" x14ac:dyDescent="0.2">
      <c r="A57" s="47" t="str">
        <f ca="1">IF(ISERROR(F56),"",A41)</f>
        <v>Name:</v>
      </c>
      <c r="B57" s="47" t="str">
        <f ca="1">IFERROR(VLOOKUP(B56,INDIRECT($F$8),4,0),"")</f>
        <v>ANJALI GUSAIN</v>
      </c>
      <c r="C57" s="47"/>
      <c r="D57" s="47" t="str">
        <f ca="1">IF(ISERROR(F56),"",D41)</f>
        <v>Father's Name:</v>
      </c>
      <c r="E57" s="47" t="str">
        <f ca="1">IFERROR(VLOOKUP(B56,INDIRECT($F$8),5,0),"")</f>
        <v>JAIBEER SINGH GUSAIN</v>
      </c>
      <c r="F57" s="47"/>
      <c r="G57" s="47" t="str">
        <f ca="1">IF(ISERROR(F56),"",G41)</f>
        <v>University Roll No:</v>
      </c>
      <c r="H57" s="47"/>
      <c r="I57" s="48">
        <f ca="1">IFERROR(VLOOKUP(B56,INDIRECT($F$8),2,0),"")</f>
        <v>240090600004</v>
      </c>
      <c r="J57" s="48"/>
      <c r="K57" s="47" t="str">
        <f ca="1">IF(ISERROR(F56),"",K41)</f>
        <v>University Enrol. No:</v>
      </c>
      <c r="L57" s="47"/>
      <c r="M57" s="48" t="str">
        <f ca="1">IFERROR(VLOOKUP(B56,INDIRECT($F$8),3,0),"")</f>
        <v>UTU/2406100161</v>
      </c>
      <c r="N57" s="48"/>
    </row>
    <row r="58" spans="1:24" ht="12.75" customHeight="1" x14ac:dyDescent="0.2">
      <c r="A58" s="47"/>
      <c r="B58" s="47"/>
      <c r="C58" s="47"/>
      <c r="D58" s="47"/>
      <c r="E58" s="47"/>
      <c r="F58" s="47"/>
      <c r="G58" s="47"/>
      <c r="H58" s="47"/>
      <c r="I58" s="48"/>
      <c r="J58" s="48"/>
      <c r="K58" s="47"/>
      <c r="L58" s="47"/>
      <c r="M58" s="48"/>
      <c r="N58" s="48"/>
    </row>
    <row r="59" spans="1:24" ht="12.75" customHeight="1" x14ac:dyDescent="0.2">
      <c r="A59" s="45" t="str">
        <f ca="1">IF(ISERROR(F56),"",A43)</f>
        <v>Subject Code</v>
      </c>
      <c r="B59" s="45" t="str">
        <f ca="1">IF(ISERROR(F56),"",B43)</f>
        <v>Subject Name</v>
      </c>
      <c r="C59" s="45"/>
      <c r="D59" s="45"/>
      <c r="E59" s="45"/>
      <c r="F59" s="45" t="str">
        <f ca="1">IF(ISERROR(F56),"",F43)</f>
        <v>Credits</v>
      </c>
      <c r="G59" s="45" t="str">
        <f ca="1">IF(ISERROR(F56),"",G43)</f>
        <v>External Marks</v>
      </c>
      <c r="H59" s="45"/>
      <c r="I59" s="45" t="str">
        <f ca="1">IF(ISERROR(F56),"",I43)</f>
        <v>Sessional Marks</v>
      </c>
      <c r="J59" s="45"/>
      <c r="K59" s="45" t="str">
        <f ca="1">IF(ISERROR(F56),"",K43)</f>
        <v>Total Marks</v>
      </c>
      <c r="L59" s="45"/>
      <c r="M59" s="45" t="str">
        <f ca="1">IF(ISERROR(F56),"",M43)</f>
        <v>Grade</v>
      </c>
      <c r="N59" s="45" t="str">
        <f ca="1">IF(ISERROR(F56),"",N43)</f>
        <v>Grade Points</v>
      </c>
    </row>
    <row r="60" spans="1:24" ht="12.75" customHeight="1" x14ac:dyDescent="0.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W60">
        <f ca="1">IF(ISNUMBER(MATCH($F$8,{"I","III","V","VII"},0)),10,10-INDEX(INDIRECT(_xlfn.TEXTJOIN("",TRUE,"SEM_",$G$8,"!",ADDRESS(6,4+$I$8*3+4),":",ADDRESS(5+$H$8,4+$I$8*3+4))),MATCH(INDIRECT(_xlfn.TEXTJOIN("",TRUE,"TC_",$F$8,"!",ADDRESS(ROW(I57),COLUMN(I57)))),INDIRECT(_xlfn.TEXTJOIN("",TRUE,"SEM_",$G$8,"!",ADDRESS(6,2),":",ADDRESS(5+$H$8,2))))))</f>
        <v>10</v>
      </c>
    </row>
    <row r="61" spans="1:24" ht="12.75" customHeight="1" x14ac:dyDescent="0.2">
      <c r="A61" s="7" t="str">
        <f ca="1">IF(ISERROR(F56),"",VLOOKUP(C56,INDIRECT($F$8),6+(O61-1)*3,0))</f>
        <v>CAT 022</v>
      </c>
      <c r="B61" s="41" t="str">
        <f ca="1">IF(ISERROR(F56),"",VLOOKUP(D56,INDIRECT($F$8),6+(O61-1)*3,0))</f>
        <v>Network Security</v>
      </c>
      <c r="C61" s="41"/>
      <c r="D61" s="41"/>
      <c r="E61" s="41"/>
      <c r="F61" s="7">
        <f ca="1">IF(ISERROR(F56),"",VLOOKUP(E56,INDIRECT($F$8),6+(O61-1)*3,0))</f>
        <v>4</v>
      </c>
      <c r="G61" s="42" t="str">
        <f ca="1">IF(ISERROR(F56),"",_xlfn.TEXTJOIN("/",FALSE,P61,S61))</f>
        <v>0/100</v>
      </c>
      <c r="H61" s="42"/>
      <c r="I61" s="42" t="str">
        <f ca="1">IF(ISERROR(F56),"",_xlfn.TEXTJOIN("/",FALSE,Q61,T61))</f>
        <v>0/50</v>
      </c>
      <c r="J61" s="42"/>
      <c r="K61" s="42" t="str">
        <f ca="1">IF(ISERROR(F56),"",_xlfn.TEXTJOIN("/",FALSE,R61,U61))</f>
        <v>0/150</v>
      </c>
      <c r="L61" s="42"/>
      <c r="M61" s="7" t="str">
        <f ca="1">IF(ISERROR(F56),"",IF(ISTEXT(P61),IF(P61="A","Ab",IF(P61="D","Dt",IF(P61="UFM","UFM",IF(P61="NA","")))),IF(AND(ISBLANK(P61),ISBLANK(R61)),"",IF(P61&lt;0.3*S61,"F",IF(ISBLANK(R61),"",IF(ISTEXT(R61),R61,IF(R61&gt;=0.9*U61,"O",IF(R61&gt;=0.85*U61,"A+",IF(R61&gt;=0.8*U61,"A",IF(R61&gt;=0.7*U61,"B+",IF(R61&gt;=0.6*U61,"B",IF(R61&gt;=0.5*U61,"C",IF(R61&gt;=0.4*U61,"P",IF(R61&lt;0.4*U61,"F",R61))))))))))))))</f>
        <v>F</v>
      </c>
      <c r="N61" s="8">
        <f t="shared" ref="N61:N67" ca="1" si="3">INDEX($Z$2:$Z$13,MATCH(M61,$Y$2:$Y$13,0))</f>
        <v>0</v>
      </c>
      <c r="O61">
        <v>1</v>
      </c>
      <c r="P61" s="1">
        <f ca="1">IF(ISERROR(F56),"",IF(ISTEXT(VLOOKUP(B56,INDIRECT($F$8),6+(O61-1)*3)),(VLOOKUP(B56,INDIRECT($F$8),6+(O61-1)*3)),SUM(VLOOKUP(B56,INDIRECT($F$8),6+(O61-1)*3),IF(W68,W61,0))))</f>
        <v>0</v>
      </c>
      <c r="Q61" s="1">
        <f ca="1">IF(ISERROR(F56),"",VLOOKUP(B56,INDIRECT($F$8),7+(O61-1)*3))</f>
        <v>0</v>
      </c>
      <c r="R61" s="1">
        <f ca="1">IF(ISERROR(F56),"",SUM(P61:Q61))</f>
        <v>0</v>
      </c>
      <c r="S61" s="1">
        <f ca="1">IF(ISERROR(F56),"",VLOOKUP(A56,INDIRECT($F$8),6+(O61-1)*3))</f>
        <v>100</v>
      </c>
      <c r="T61" s="1">
        <f ca="1">IF(ISERROR(F56),"",VLOOKUP(A56,INDIRECT($F$8),7+(O61-1)*3))</f>
        <v>50</v>
      </c>
      <c r="U61" s="1">
        <f ca="1">IF(ISERROR(F56),"",VLOOKUP(A56,INDIRECT($F$8),8+(O61-1)*3))</f>
        <v>150</v>
      </c>
      <c r="V61" s="1" t="str">
        <f ca="1">IF(ISERROR(F56),"",IF(N61=0,A61,""))</f>
        <v>CAT 022</v>
      </c>
      <c r="W61" s="1">
        <f ca="1">IF(ISERROR(F56),"",IF(ISTEXT(VLOOKUP(B56,INDIRECT($F$8),6+(O61-1)*3)),11,IF(VLOOKUP(B56,INDIRECT($F$8),6+(O61-1)*3)&lt;S61*0.3,IF(VLOOKUP(B56,INDIRECT($F$8),8+(O61-1)*3)&lt;U61*0.4,IF(AND(0.4*U61-VLOOKUP(B56,INDIRECT($F$8),8+(O61-1)*3)&lt;=5,0.3*S61-VLOOKUP(B56,INDIRECT($F$8),6+(O61-1)*3)&lt;=5),MAX(0.4*U61-VLOOKUP(B56,INDIRECT($F$8),8+(O61-1)*3),0.3*S61-VLOOKUP(B56,INDIRECT($F$8),6+(O61-1)*3)),11),IF(0.3*S61-VLOOKUP(B56,INDIRECT($F$8),6+(O61-1)*3)&lt;=5,0.3*S61-VLOOKUP(B56,INDIRECT($F$8),6+(O61-1)*3),11)),IF(VLOOKUP(B56,INDIRECT($F$8),8+(O61-1)*3)&lt;U61*0.4,IF(U61*0.4-VLOOKUP(B56,INDIRECT($F$8),8+(O61-1)*3)&lt;=5,U61*0.4-VLOOKUP(B56,INDIRECT($F$8),8+(O61-1)*3),11),0))))</f>
        <v>11</v>
      </c>
      <c r="X61" s="1" t="str">
        <f ca="1">IF(ISERROR(F56),"",IF(W61=0,"",_xlfn.TEXTJOIN("",FALSE," G+",W61," in ",A61)))</f>
        <v xml:space="preserve"> G+11 in CAT 022</v>
      </c>
    </row>
    <row r="62" spans="1:24" ht="12.75" customHeight="1" x14ac:dyDescent="0.2">
      <c r="A62" s="7" t="str">
        <f ca="1">IF(ISERROR(F56),"",VLOOKUP(C56,INDIRECT($F$8),6+(O62-1)*3,0))</f>
        <v>Enroll No.</v>
      </c>
      <c r="B62" s="41">
        <f ca="1">IF(ISERROR(F56),"",VLOOKUP(D56,INDIRECT($F$8),6+(O62-1)*3,0))</f>
        <v>0</v>
      </c>
      <c r="C62" s="41"/>
      <c r="D62" s="41"/>
      <c r="E62" s="41"/>
      <c r="F62" s="7">
        <f ca="1">IF(ISERROR(F56),"",VLOOKUP(E56,INDIRECT($F$8),6+(O62-1)*3,0))</f>
        <v>0</v>
      </c>
      <c r="G62" s="42" t="str">
        <f ca="1">IF(ISERROR(F56),"",_xlfn.TEXTJOIN("/",FALSE,P62,S62))</f>
        <v>UTU/2406100161/0</v>
      </c>
      <c r="H62" s="42"/>
      <c r="I62" s="42" t="str">
        <f ca="1">IF(ISERROR(F56),"",_xlfn.TEXTJOIN("/",FALSE,Q62,T62))</f>
        <v>ANJALI GUSAIN/0</v>
      </c>
      <c r="J62" s="42"/>
      <c r="K62" s="42" t="str">
        <f ca="1">IF(ISERROR(F56),"",_xlfn.TEXTJOIN("/",FALSE,R62,U62))</f>
        <v>0/0</v>
      </c>
      <c r="L62" s="42"/>
      <c r="M62" s="7" t="b">
        <f ca="1">IF(ISERROR(F56),"",IF(ISTEXT(P62),IF(P62="A","Ab",IF(P62="D","Dt",IF(P62="UFM","UFM",IF(P62="NA","")))),IF(AND(ISBLANK(P62),ISBLANK(R62)),"",IF(P62&lt;0.3*S62,"F",IF(ISBLANK(R62),"",IF(ISTEXT(R62),R62,IF(R62&gt;=0.9*U62,"O",IF(R62&gt;=0.85*U62,"A+",IF(R62&gt;=0.8*U62,"A",IF(R62&gt;=0.7*U62,"B+",IF(R62&gt;=0.6*U62,"B",IF(R62&gt;=0.5*U62,"C",IF(R62&gt;=0.4*U62,"P",IF(R62&lt;0.4*U62,"F",R62))))))))))))))</f>
        <v>0</v>
      </c>
      <c r="N62" s="8" t="e">
        <f t="shared" ca="1" si="3"/>
        <v>#N/A</v>
      </c>
      <c r="O62" t="b" cm="1">
        <f t="array" aca="1" ref="O62" ca="1">IF(NOT(ISBLANK(INDIRECT("SEM_IV!I"&amp;INT((ROW(O62)-14)/16)+6))),2,IF(NOT(ISBLANK(INDIRECT("SEM_IV!L"&amp;INT((ROW(O62)-14)/16)+6))),3))</f>
        <v>0</v>
      </c>
      <c r="P62" s="1" t="str">
        <f ca="1">IF(ISERROR(F56),"",IF(ISTEXT(VLOOKUP(B56,INDIRECT($F$8),6+(O62-1)*3)),(VLOOKUP(B56,INDIRECT($F$8),6+(O62-1)*3)),SUM(VLOOKUP(B56,INDIRECT($F$8),6+(O62-1)*3),IF(W68,W62,0))))</f>
        <v>UTU/2406100161</v>
      </c>
      <c r="Q62" s="1" t="str">
        <f ca="1">IF(ISERROR(F56),"",VLOOKUP(B56,INDIRECT($F$8),7+(O62-1)*3))</f>
        <v>ANJALI GUSAIN</v>
      </c>
      <c r="R62" s="1">
        <f ca="1">IF(ISERROR(F56),"",SUM(P62:Q62))</f>
        <v>0</v>
      </c>
      <c r="S62" s="1">
        <f ca="1">IF(ISERROR(F56),"",VLOOKUP(A56,INDIRECT($F$8),6+(O62-1)*3))</f>
        <v>0</v>
      </c>
      <c r="T62" s="1">
        <f ca="1">IF(ISERROR(F56),"",VLOOKUP(A56,INDIRECT($F$8),7+(O62-1)*3))</f>
        <v>0</v>
      </c>
      <c r="U62" s="1">
        <f ca="1">IF(ISERROR(F56),"",VLOOKUP(A56,INDIRECT($F$8),8+(O62-1)*3))</f>
        <v>0</v>
      </c>
      <c r="V62" s="1" t="e">
        <f ca="1">IF(ISERROR(F56),"",IF(N62=0,A62,""))</f>
        <v>#N/A</v>
      </c>
      <c r="W62" s="1">
        <f ca="1">IF(ISERROR(F56),"",IF(ISTEXT(VLOOKUP(B56,INDIRECT($F$8),6+(O62-1)*3)),11,IF(VLOOKUP(B56,INDIRECT($F$8),6+(O62-1)*3)&lt;S62*0.3,IF(VLOOKUP(B56,INDIRECT($F$8),8+(O62-1)*3)&lt;U62*0.4,IF(AND(0.4*U62-VLOOKUP(B56,INDIRECT($F$8),8+(O62-1)*3)&lt;=5,0.3*S62-VLOOKUP(B56,INDIRECT($F$8),6+(O62-1)*3)&lt;=5),MAX(0.4*U62-VLOOKUP(B56,INDIRECT($F$8),8+(O62-1)*3),0.3*S62-VLOOKUP(B56,INDIRECT($F$8),6+(O62-1)*3)),11),IF(0.3*S62-VLOOKUP(B56,INDIRECT($F$8),6+(O62-1)*3)&lt;=5,0.3*S62-VLOOKUP(B56,INDIRECT($F$8),6+(O62-1)*3),11)),IF(VLOOKUP(B56,INDIRECT($F$8),8+(O62-1)*3)&lt;U62*0.4,IF(U62*0.4-VLOOKUP(B56,INDIRECT($F$8),8+(O62-1)*3)&lt;=5,U62*0.4-VLOOKUP(B56,INDIRECT($F$8),8+(O62-1)*3),11),0))))</f>
        <v>11</v>
      </c>
      <c r="X62" s="1" t="str">
        <f ca="1">IF(ISERROR(F56),"",IF(W62=0,"",_xlfn.TEXTJOIN("",FALSE," G+",W62," in ",A62)))</f>
        <v xml:space="preserve"> G+11 in Enroll No.</v>
      </c>
    </row>
    <row r="63" spans="1:24" ht="12.75" customHeight="1" x14ac:dyDescent="0.2">
      <c r="A63" s="7" t="str">
        <f ca="1">IF(ISERROR(F56),"",VLOOKUP(C56,INDIRECT($F$8),6+(O63-1)*3,0))</f>
        <v>CAT 030</v>
      </c>
      <c r="B63" s="41" t="str">
        <f ca="1">IF(ISERROR(F56),"",VLOOKUP(D56,INDIRECT($F$8),6+(O63-1)*3,0))</f>
        <v>Software Testing &amp; Quality Assurance</v>
      </c>
      <c r="C63" s="41"/>
      <c r="D63" s="41"/>
      <c r="E63" s="41"/>
      <c r="F63" s="7">
        <f ca="1">IF(ISERROR(F56),"",VLOOKUP(E56,INDIRECT($F$8),6+(O63-1)*3,0))</f>
        <v>4</v>
      </c>
      <c r="G63" s="42" t="str">
        <f ca="1">IF(ISERROR(F56),"",_xlfn.TEXTJOIN("/",FALSE,P63,S63))</f>
        <v>0/100</v>
      </c>
      <c r="H63" s="42"/>
      <c r="I63" s="42" t="str">
        <f ca="1">IF(ISERROR(F56),"",_xlfn.TEXTJOIN("/",FALSE,Q63,T63))</f>
        <v>0/50</v>
      </c>
      <c r="J63" s="42"/>
      <c r="K63" s="42" t="str">
        <f ca="1">IF(ISERROR(F56),"",_xlfn.TEXTJOIN("/",FALSE,R63,U63))</f>
        <v>0/150</v>
      </c>
      <c r="L63" s="42"/>
      <c r="M63" s="7" t="str">
        <f ca="1">IF(ISERROR(F56),"",IF(ISTEXT(P63),IF(P63="A","Ab",IF(P63="D","Dt",IF(P63="UFM","UFM",IF(P63="NA","")))),IF(AND(ISBLANK(P63),ISBLANK(R63)),"",IF(P63&lt;0.3*S63,"F",IF(ISBLANK(R63),"",IF(ISTEXT(R63),R63,IF(R63&gt;=0.9*U63,"O",IF(R63&gt;=0.85*U63,"A+",IF(R63&gt;=0.8*U63,"A",IF(R63&gt;=0.7*U63,"B+",IF(R63&gt;=0.6*U63,"B",IF(R63&gt;=0.5*U63,"C",IF(R63&gt;=0.4*U63,"P",IF(R63&lt;0.4*U63,"F",R63))))))))))))))</f>
        <v>F</v>
      </c>
      <c r="N63" s="8">
        <f t="shared" ca="1" si="3"/>
        <v>0</v>
      </c>
      <c r="O63">
        <f ca="1">IF(O62&gt;0,4,"")</f>
        <v>4</v>
      </c>
      <c r="P63" s="1">
        <f ca="1">IF(ISERROR(F56),"",IF(ISTEXT(VLOOKUP(B56,INDIRECT($F$8),6+(O63-1)*3)),(VLOOKUP(B56,INDIRECT($F$8),6+(O63-1)*3)),SUM(VLOOKUP(B56,INDIRECT($F$8),6+(O63-1)*3),IF(W68,W63,0))))</f>
        <v>0</v>
      </c>
      <c r="Q63" s="1">
        <f ca="1">IF(ISERROR(F56),"",VLOOKUP(B56,INDIRECT($F$8),7+(O63-1)*3))</f>
        <v>0</v>
      </c>
      <c r="R63" s="1">
        <f ca="1">IF(ISERROR(F56),"",SUM(P63:Q63))</f>
        <v>0</v>
      </c>
      <c r="S63" s="1">
        <f ca="1">IF(ISERROR(F56),"",VLOOKUP(A56,INDIRECT($F$8),6+(O63-1)*3))</f>
        <v>100</v>
      </c>
      <c r="T63" s="1">
        <f ca="1">IF(ISERROR(F56),"",VLOOKUP(A56,INDIRECT($F$8),7+(O63-1)*3))</f>
        <v>50</v>
      </c>
      <c r="U63" s="1">
        <f ca="1">IF(ISERROR(F56),"",VLOOKUP(A56,INDIRECT($F$8),8+(O63-1)*3))</f>
        <v>150</v>
      </c>
      <c r="V63" s="1" t="str">
        <f ca="1">IF(ISERROR(F56),"",IF(N63=0,A63,""))</f>
        <v>CAT 030</v>
      </c>
      <c r="W63" s="1">
        <f ca="1">IF(ISERROR(F56),"",IF(ISTEXT(VLOOKUP(B56,INDIRECT($F$8),6+(O63-1)*3)),11,IF(VLOOKUP(B56,INDIRECT($F$8),6+(O63-1)*3)&lt;S63*0.3,IF(VLOOKUP(B56,INDIRECT($F$8),8+(O63-1)*3)&lt;U63*0.4,IF(AND(0.4*U63-VLOOKUP(B56,INDIRECT($F$8),8+(O63-1)*3)&lt;=5,0.3*S63-VLOOKUP(B56,INDIRECT($F$8),6+(O63-1)*3)&lt;=5),MAX(0.4*U63-VLOOKUP(B56,INDIRECT($F$8),8+(O63-1)*3),0.3*S63-VLOOKUP(B56,INDIRECT($F$8),6+(O63-1)*3)),11),IF(0.3*S63-VLOOKUP(B56,INDIRECT($F$8),6+(O63-1)*3)&lt;=5,0.3*S63-VLOOKUP(B56,INDIRECT($F$8),6+(O63-1)*3),11)),IF(VLOOKUP(B56,INDIRECT($F$8),8+(O63-1)*3)&lt;U63*0.4,IF(U63*0.4-VLOOKUP(B56,INDIRECT($F$8),8+(O63-1)*3)&lt;=5,U63*0.4-VLOOKUP(B56,INDIRECT($F$8),8+(O63-1)*3),11),0))))</f>
        <v>11</v>
      </c>
      <c r="X63" s="1" t="str">
        <f ca="1">IF(ISERROR(F56),"",IF(W63=0,"",_xlfn.TEXTJOIN("",FALSE," G+",W63," in ",A63)))</f>
        <v xml:space="preserve"> G+11 in CAT 030</v>
      </c>
    </row>
    <row r="64" spans="1:24" ht="12.75" customHeight="1" x14ac:dyDescent="0.2">
      <c r="A64" s="7" t="str">
        <f ca="1">IF(ISERROR(F56),"",VLOOKUP(C56,INDIRECT($F$8),6+(O64-1)*3,0))</f>
        <v>Enroll No.</v>
      </c>
      <c r="B64" s="41">
        <f ca="1">IF(ISERROR(F56),"",VLOOKUP(D56,INDIRECT($F$8),6+(O64-1)*3,0))</f>
        <v>0</v>
      </c>
      <c r="C64" s="41"/>
      <c r="D64" s="41"/>
      <c r="E64" s="41"/>
      <c r="F64" s="7">
        <f ca="1">IF(ISERROR(F56),"",VLOOKUP(E56,INDIRECT($F$8),6+(O64-1)*3,0))</f>
        <v>0</v>
      </c>
      <c r="G64" s="42" t="str">
        <f ca="1">IF(ISERROR(F56),"",_xlfn.TEXTJOIN("/",FALSE,P64,S64))</f>
        <v>UTU/2406100161/0</v>
      </c>
      <c r="H64" s="42"/>
      <c r="I64" s="42" t="str">
        <f ca="1">IF(ISERROR(F56),"",_xlfn.TEXTJOIN("/",FALSE,Q64,T64))</f>
        <v>ANJALI GUSAIN/0</v>
      </c>
      <c r="J64" s="42"/>
      <c r="K64" s="42" t="str">
        <f ca="1">IF(ISERROR(F56),"",_xlfn.TEXTJOIN("/",FALSE,R64,U64))</f>
        <v>0/0</v>
      </c>
      <c r="L64" s="42"/>
      <c r="M64" s="7" t="b">
        <f ca="1">IF(ISERROR(F56),"",IF(ISTEXT(P64),IF(P64="A","Ab",IF(P64="D","Dt",IF(P64="UFM","UFM",IF(P64="NA","")))),IF(AND(ISBLANK(P64),ISBLANK(R64)),"",IF(P64&lt;0.3*S64,"F",IF(ISBLANK(R64),"",IF(ISTEXT(R64),R64,IF(R64&gt;=0.9*U64,"O",IF(R64&gt;=0.85*U64,"A+",IF(R64&gt;=0.8*U64,"A",IF(R64&gt;=0.7*U64,"B+",IF(R64&gt;=0.6*U64,"B",IF(R64&gt;=0.5*U64,"C",IF(R64&gt;=0.4*U64,"P",IF(R64&lt;0.4*U64,"F",R64))))))))))))))</f>
        <v>0</v>
      </c>
      <c r="N64" s="8" t="e">
        <f t="shared" ca="1" si="3"/>
        <v>#N/A</v>
      </c>
      <c r="O64" t="b" cm="1">
        <f t="array" aca="1" ref="O64" ca="1">IF(NOT(ISBLANK(INDIRECT("SEM_IV!R"&amp;INT((ROW(O64)-16)/16)+6))),5,IF(NOT(ISBLANK(INDIRECT("SEM_IV!U"&amp;INT((ROW(O64)-16)/16)+6))),6))</f>
        <v>0</v>
      </c>
      <c r="P64" s="1" t="str">
        <f ca="1">IF(ISERROR(F56),"",IF(ISTEXT(VLOOKUP(B56,INDIRECT($F$8),6+(O64-1)*3)),(VLOOKUP(B56,INDIRECT($F$8),6+(O64-1)*3)),SUM(VLOOKUP(B56,INDIRECT($F$8),6+(O64-1)*3),IF(W68,W64,0))))</f>
        <v>UTU/2406100161</v>
      </c>
      <c r="Q64" s="1" t="str">
        <f ca="1">IF(ISERROR(F56),"",VLOOKUP(B56,INDIRECT($F$8),7+(O64-1)*3))</f>
        <v>ANJALI GUSAIN</v>
      </c>
      <c r="R64" s="1">
        <f ca="1">IF(ISERROR(F56),"",SUM(P64:Q64))</f>
        <v>0</v>
      </c>
      <c r="S64" s="1">
        <f ca="1">IF(ISERROR(F56),"",VLOOKUP(A56,INDIRECT($F$8),6+(O64-1)*3))</f>
        <v>0</v>
      </c>
      <c r="T64" s="1">
        <f ca="1">IF(ISERROR(F56),"",VLOOKUP(A56,INDIRECT($F$8),7+(O64-1)*3))</f>
        <v>0</v>
      </c>
      <c r="U64" s="1">
        <f ca="1">IF(ISERROR(F56),"",VLOOKUP(A56,INDIRECT($F$8),8+(O64-1)*3))</f>
        <v>0</v>
      </c>
      <c r="V64" s="1" t="e">
        <f ca="1">IF(ISERROR(F56),"",IF(N64=0,A64,""))</f>
        <v>#N/A</v>
      </c>
      <c r="W64" s="1">
        <f ca="1">IF(ISERROR(F56),"",IF(ISTEXT(VLOOKUP(B56,INDIRECT($F$8),6+(O64-1)*3)),11,IF(VLOOKUP(B56,INDIRECT($F$8),6+(O64-1)*3)&lt;S64*0.3,IF(VLOOKUP(B56,INDIRECT($F$8),8+(O64-1)*3)&lt;U64*0.4,IF(AND(0.4*U64-VLOOKUP(B56,INDIRECT($F$8),8+(O64-1)*3)&lt;=5,0.3*S64-VLOOKUP(B56,INDIRECT($F$8),6+(O64-1)*3)&lt;=5),MAX(0.4*U64-VLOOKUP(B56,INDIRECT($F$8),8+(O64-1)*3),0.3*S64-VLOOKUP(B56,INDIRECT($F$8),6+(O64-1)*3)),11),IF(0.3*S64-VLOOKUP(B56,INDIRECT($F$8),6+(O64-1)*3)&lt;=5,0.3*S64-VLOOKUP(B56,INDIRECT($F$8),6+(O64-1)*3),11)),IF(VLOOKUP(B56,INDIRECT($F$8),8+(O64-1)*3)&lt;U64*0.4,IF(U64*0.4-VLOOKUP(B56,INDIRECT($F$8),8+(O64-1)*3)&lt;=5,U64*0.4-VLOOKUP(B56,INDIRECT($F$8),8+(O64-1)*3),11),0))))</f>
        <v>11</v>
      </c>
      <c r="X64" s="1" t="str">
        <f ca="1">IF(ISERROR(F56),"",IF(W64=0,"",_xlfn.TEXTJOIN("",FALSE," G+",W64," in ",A64)))</f>
        <v xml:space="preserve"> G+11 in Enroll No.</v>
      </c>
    </row>
    <row r="65" spans="1:24" ht="12.75" customHeight="1" x14ac:dyDescent="0.2">
      <c r="A65" s="7" t="str">
        <f ca="1">IF(ISERROR(F56),"",VLOOKUP(C56,INDIRECT($F$8),6+(O65-1)*3,0))</f>
        <v>CAP 011</v>
      </c>
      <c r="B65" s="41" t="str">
        <f ca="1">IF(ISERROR(F56),"",VLOOKUP(D56,INDIRECT($F$8),6+(O65-1)*3,0))</f>
        <v>Network Security Lab</v>
      </c>
      <c r="C65" s="41"/>
      <c r="D65" s="41"/>
      <c r="E65" s="41"/>
      <c r="F65" s="7">
        <f ca="1">IF(ISERROR(F56),"",VLOOKUP(E56,INDIRECT($F$8),6+(O65-1)*3,0))</f>
        <v>1</v>
      </c>
      <c r="G65" s="42" t="str">
        <f ca="1">IF(ISERROR(F56),"",_xlfn.TEXTJOIN("/",FALSE,P65,S65))</f>
        <v>0/30</v>
      </c>
      <c r="H65" s="42"/>
      <c r="I65" s="42" t="str">
        <f ca="1">IF(ISERROR(F56),"",_xlfn.TEXTJOIN("/",FALSE,Q65,T65))</f>
        <v>0/20</v>
      </c>
      <c r="J65" s="42"/>
      <c r="K65" s="42" t="str">
        <f ca="1">IF(ISERROR(F56),"",_xlfn.TEXTJOIN("/",FALSE,R65,U65))</f>
        <v>0/50</v>
      </c>
      <c r="L65" s="42"/>
      <c r="M65" s="7" t="str">
        <f ca="1">IF(ISERROR(F56),"",IF(ISTEXT(P65),IF(P65="A","Ab",IF(P65="D","Dt",IF(P65="UFM","UFM",IF(P65="NA","")))),IF(AND(ISBLANK(P65),ISBLANK(R65)),"",IF(P65&lt;0.3*S65,"F",IF(ISBLANK(R65),"",IF(ISTEXT(R65),R65,IF(R65&gt;=0.9*U65,"O",IF(R65&gt;=0.85*U65,"A+",IF(R65&gt;=0.8*U65,"A",IF(R65&gt;=0.7*U65,"B+",IF(R65&gt;=0.6*U65,"B",IF(R65&gt;=0.5*U65,"C",IF(R65&gt;=0.4*U65,"P",IF(R65&lt;0.4*U65,"F",R65))))))))))))))</f>
        <v>F</v>
      </c>
      <c r="N65" s="8">
        <f t="shared" ca="1" si="3"/>
        <v>0</v>
      </c>
      <c r="O65">
        <f ca="1">IF(O64&gt;0,7,"")</f>
        <v>7</v>
      </c>
      <c r="P65" s="1">
        <f ca="1">IF(ISERROR(F56),"",IF(ISTEXT(VLOOKUP(B56,INDIRECT($F$8),6+(O65-1)*3)),(VLOOKUP(B56,INDIRECT($F$8),6+(O65-1)*3)),SUM(VLOOKUP(B56,INDIRECT($F$8),6+(O65-1)*3),IF(W68,W65,0))))</f>
        <v>0</v>
      </c>
      <c r="Q65" s="1">
        <f ca="1">IF(ISERROR(F56),"",VLOOKUP(B56,INDIRECT($F$8),7+(O65-1)*3))</f>
        <v>0</v>
      </c>
      <c r="R65" s="1">
        <f ca="1">IF(ISERROR(F56),"",SUM(P65:Q65))</f>
        <v>0</v>
      </c>
      <c r="S65" s="1">
        <f ca="1">IF(ISERROR(F56),"",VLOOKUP(A56,INDIRECT($F$8),6+(O65-1)*3))</f>
        <v>30</v>
      </c>
      <c r="T65" s="1">
        <f ca="1">IF(ISERROR(F56),"",VLOOKUP(A56,INDIRECT($F$8),7+(O65-1)*3))</f>
        <v>20</v>
      </c>
      <c r="U65" s="1">
        <f ca="1">IF(ISERROR(F56),"",VLOOKUP(A56,INDIRECT($F$8),8+(O65-1)*3))</f>
        <v>50</v>
      </c>
      <c r="V65" s="1" t="str">
        <f ca="1">IF(ISERROR(F56),"",IF(N65=0,A65,""))</f>
        <v>CAP 011</v>
      </c>
      <c r="W65" s="1">
        <f ca="1">IF(ISERROR(F56),"",IF(ISTEXT(VLOOKUP(B56,INDIRECT($F$8),6+(O65-1)*3)),11,IF(VLOOKUP(B56,INDIRECT($F$8),6+(O65-1)*3)&lt;S65*0.3,IF(VLOOKUP(B56,INDIRECT($F$8),8+(O65-1)*3)&lt;U65*0.4,IF(AND(0.4*U65-VLOOKUP(B56,INDIRECT($F$8),8+(O65-1)*3)&lt;=5,0.3*S65-VLOOKUP(B56,INDIRECT($F$8),6+(O65-1)*3)&lt;=5),MAX(0.4*U65-VLOOKUP(B56,INDIRECT($F$8),8+(O65-1)*3),0.3*S65-VLOOKUP(B56,INDIRECT($F$8),6+(O65-1)*3)),11),IF(0.3*S65-VLOOKUP(B56,INDIRECT($F$8),6+(O65-1)*3)&lt;=5,0.3*S65-VLOOKUP(B56,INDIRECT($F$8),6+(O65-1)*3),11)),IF(VLOOKUP(B56,INDIRECT($F$8),8+(O65-1)*3)&lt;U65*0.4,IF(U65*0.4-VLOOKUP(B56,INDIRECT($F$8),8+(O65-1)*3)&lt;=5,U65*0.4-VLOOKUP(B56,INDIRECT($F$8),8+(O65-1)*3),11),0))))</f>
        <v>11</v>
      </c>
      <c r="X65" s="1" t="str">
        <f ca="1">IF(ISERROR(F56),"",IF(W65=0,"",_xlfn.TEXTJOIN("",FALSE," G+",W65," in ",A65)))</f>
        <v xml:space="preserve"> G+11 in CAP 011</v>
      </c>
    </row>
    <row r="66" spans="1:24" ht="12.75" customHeight="1" x14ac:dyDescent="0.2">
      <c r="A66" s="7" t="str">
        <f ca="1">IF(ISERROR(F56),"",VLOOKUP(C56,INDIRECT($F$8),6+(O66-1)*3,0))</f>
        <v>Enroll No.</v>
      </c>
      <c r="B66" s="41">
        <f ca="1">IF(ISERROR(F56),"",VLOOKUP(D56,INDIRECT($F$8),6+(O66-1)*3,0))</f>
        <v>0</v>
      </c>
      <c r="C66" s="41"/>
      <c r="D66" s="41"/>
      <c r="E66" s="41"/>
      <c r="F66" s="7">
        <f ca="1">IF(ISERROR(F56),"",VLOOKUP(E56,INDIRECT($F$8),6+(O66-1)*3,0))</f>
        <v>0</v>
      </c>
      <c r="G66" s="42" t="str">
        <f ca="1">IF(ISERROR(F56),"",_xlfn.TEXTJOIN("/",FALSE,P66,S66))</f>
        <v>UTU/2406100161/0</v>
      </c>
      <c r="H66" s="42"/>
      <c r="I66" s="42" t="str">
        <f ca="1">IF(ISERROR(F56),"",_xlfn.TEXTJOIN("/",FALSE,Q66,T66))</f>
        <v>ANJALI GUSAIN/0</v>
      </c>
      <c r="J66" s="42"/>
      <c r="K66" s="42" t="str">
        <f ca="1">IF(ISERROR(F56),"",_xlfn.TEXTJOIN("/",FALSE,R66,U66))</f>
        <v>0/0</v>
      </c>
      <c r="L66" s="42"/>
      <c r="M66" s="7" t="b">
        <f ca="1">IF(ISERROR(F56),"",IF(ISTEXT(P66),IF(P66="A","Ab",IF(P66="D","Dt",IF(P66="UFM","UFM",IF(P66="NA","")))),IF(AND(ISBLANK(P66),ISBLANK(R66)),"",IF(P66&lt;0.3*S66,"F",IF(ISBLANK(R66),"",IF(ISTEXT(R66),R66,IF(R66&gt;=0.9*U66,"O",IF(R66&gt;=0.85*U66,"A+",IF(R66&gt;=0.8*U66,"A",IF(R66&gt;=0.7*U66,"B+",IF(R66&gt;=0.6*U66,"B",IF(R66&gt;=0.5*U66,"C",IF(R66&gt;=0.4*U66,"P",IF(R66&lt;0.4*U66,"F",R66))))))))))))))</f>
        <v>0</v>
      </c>
      <c r="N66" s="8" t="e">
        <f t="shared" ca="1" si="3"/>
        <v>#N/A</v>
      </c>
      <c r="O66" t="b" cm="1">
        <f t="array" aca="1" ref="O66" ca="1">IF(NOT(ISBLANK(INDIRECT("SEM_IV!AA"&amp;INT((ROW(O66)-18)/16)+6))),8,IF(NOT(ISBLANK(INDIRECT("SEM_IV!AD"&amp;INT((ROW(O66)-18)/16)+6))),9))</f>
        <v>0</v>
      </c>
      <c r="P66" s="1" t="str">
        <f ca="1">IF(ISERROR(F56),"",IF(ISTEXT(VLOOKUP(B56,INDIRECT($F$8),6+(O66-1)*3)),(VLOOKUP(B56,INDIRECT($F$8),6+(O66-1)*3)),SUM(VLOOKUP(B56,INDIRECT($F$8),6+(O66-1)*3),IF(W68,W66,0))))</f>
        <v>UTU/2406100161</v>
      </c>
      <c r="Q66" s="1" t="str">
        <f ca="1">IF(ISERROR(F56),"",VLOOKUP(B56,INDIRECT($F$8),7+(O66-1)*3))</f>
        <v>ANJALI GUSAIN</v>
      </c>
      <c r="R66" s="1">
        <f ca="1">IF(ISERROR(F56),"",SUM(P66:Q66))</f>
        <v>0</v>
      </c>
      <c r="S66" s="1">
        <f ca="1">IF(ISERROR(F56),"",VLOOKUP(A56,INDIRECT($F$8),6+(O66-1)*3))</f>
        <v>0</v>
      </c>
      <c r="T66" s="1">
        <f ca="1">IF(ISERROR(F56),"",VLOOKUP(A56,INDIRECT($F$8),7+(O66-1)*3))</f>
        <v>0</v>
      </c>
      <c r="U66" s="1">
        <f ca="1">IF(ISERROR(F56),"",VLOOKUP(A56,INDIRECT($F$8),8+(O66-1)*3))</f>
        <v>0</v>
      </c>
      <c r="V66" s="1" t="e">
        <f ca="1">IF(ISERROR(F56),"",IF(N66=0,A66,""))</f>
        <v>#N/A</v>
      </c>
      <c r="W66" s="1">
        <f ca="1">IF(ISERROR(F56),"",IF(ISTEXT(VLOOKUP(B56,INDIRECT($F$8),6+(O66-1)*3)),11,IF(VLOOKUP(B56,INDIRECT($F$8),6+(O66-1)*3)&lt;S66*0.3,IF(VLOOKUP(B56,INDIRECT($F$8),8+(O66-1)*3)&lt;U66*0.4,IF(AND(0.4*U66-VLOOKUP(B56,INDIRECT($F$8),8+(O66-1)*3)&lt;=5,0.3*S66-VLOOKUP(B56,INDIRECT($F$8),6+(O66-1)*3)&lt;=5),MAX(0.4*U66-VLOOKUP(B56,INDIRECT($F$8),8+(O66-1)*3),0.3*S66-VLOOKUP(B56,INDIRECT($F$8),6+(O66-1)*3)),11),IF(0.3*S66-VLOOKUP(B56,INDIRECT($F$8),6+(O66-1)*3)&lt;=5,0.3*S66-VLOOKUP(B56,INDIRECT($F$8),6+(O66-1)*3),11)),IF(VLOOKUP(B56,INDIRECT($F$8),8+(O66-1)*3)&lt;U66*0.4,IF(U66*0.4-VLOOKUP(B56,INDIRECT($F$8),8+(O66-1)*3)&lt;=5,U66*0.4-VLOOKUP(B56,INDIRECT($F$8),8+(O66-1)*3),11),0))))</f>
        <v>11</v>
      </c>
      <c r="X66" s="1" t="str">
        <f ca="1">IF(ISERROR(F56),"",IF(W66=0,"",_xlfn.TEXTJOIN("",FALSE," G+",W66," in ",A66)))</f>
        <v xml:space="preserve"> G+11 in Enroll No.</v>
      </c>
    </row>
    <row r="67" spans="1:24" ht="12.75" customHeight="1" x14ac:dyDescent="0.2">
      <c r="A67" s="7" t="str">
        <f ca="1">IF(ISERROR(F56),"",VLOOKUP(C56,INDIRECT($F$8),6+(O67-1)*3,0))</f>
        <v>CAP 013</v>
      </c>
      <c r="B67" s="41" t="str">
        <f ca="1">IF(ISERROR(F56),"",VLOOKUP(D56,INDIRECT($F$8),6+(O67-1)*3-Z67,0))</f>
        <v>Major Project</v>
      </c>
      <c r="C67" s="41"/>
      <c r="D67" s="41"/>
      <c r="E67" s="41"/>
      <c r="F67" s="7">
        <f ca="1">IF(ISERROR(F56),"",VLOOKUP(E56,INDIRECT($F$8),6+(O67-1)*3,0))</f>
        <v>6</v>
      </c>
      <c r="G67" s="42" t="str">
        <f ca="1">IF(ISERROR(F56),"",_xlfn.TEXTJOIN("/",FALSE,P67,S67))</f>
        <v>0/200</v>
      </c>
      <c r="H67" s="42"/>
      <c r="I67" s="42" t="str">
        <f ca="1">IF(ISERROR(F56),"",_xlfn.TEXTJOIN("/",FALSE,Q67,T67))</f>
        <v>0/100</v>
      </c>
      <c r="J67" s="42"/>
      <c r="K67" s="42" t="str">
        <f ca="1">IF(ISERROR(F56),"",_xlfn.TEXTJOIN("/",FALSE,R67,U67))</f>
        <v>0/300</v>
      </c>
      <c r="L67" s="42"/>
      <c r="M67" s="7" t="str">
        <f ca="1">IF(ISERROR(F56),"",IF(ISTEXT(P67),IF(P67="A","Ab",IF(P67="D","Dt",IF(P67="UFM","UFM",IF(P67="NA","")))),IF(AND(ISBLANK(P67),ISBLANK(R67)),"",IF(P67&lt;0.3*S67,"F",IF(ISBLANK(R67),"",IF(ISTEXT(R67),R67,IF(R67&gt;=0.9*U67,"O",IF(R67&gt;=0.85*U67,"A+",IF(R67&gt;=0.8*U67,"A",IF(R67&gt;=0.7*U67,"B+",IF(R67&gt;=0.6*U67,"B",IF(R67&gt;=0.5*U67,"C",IF(R67&gt;=0.4*U67,"P",IF(R67&lt;0.4*U67,"F",R67))))))))))))))</f>
        <v>F</v>
      </c>
      <c r="N67" s="8">
        <f t="shared" ca="1" si="3"/>
        <v>0</v>
      </c>
      <c r="O67">
        <f ca="1">IF(O66&gt;0,10,"")</f>
        <v>10</v>
      </c>
      <c r="P67" s="1">
        <f ca="1">IF(ISERROR(F56),"",IF(ISTEXT(VLOOKUP(B56,INDIRECT($F$8),6+(O67-1)*3)),(VLOOKUP(B56,INDIRECT($F$8),6+(O67-1)*3)),SUM(VLOOKUP(B56,INDIRECT($F$8),6+(O67-1)*3),IF(W68,W67,0))))</f>
        <v>0</v>
      </c>
      <c r="Q67" s="1">
        <f ca="1">IF(ISERROR(F56),"",VLOOKUP(B56,INDIRECT($F$8),7+(O67-1)*3))</f>
        <v>0</v>
      </c>
      <c r="R67" s="1">
        <f ca="1">IF(ISERROR(F56),"",SUM(P67:Q67))</f>
        <v>0</v>
      </c>
      <c r="S67" s="1">
        <f ca="1">IF(ISERROR(F56),"",VLOOKUP(A56,INDIRECT($F$8),6+(O67-1)*3))</f>
        <v>200</v>
      </c>
      <c r="T67" s="1">
        <f ca="1">IF(ISERROR(F56),"",VLOOKUP(A56,INDIRECT($F$8),7+(O67-1)*3))</f>
        <v>100</v>
      </c>
      <c r="U67" s="1">
        <f ca="1">IF(ISERROR(F56),"",VLOOKUP(A56,INDIRECT($F$8),8+(O67-1)*3))</f>
        <v>300</v>
      </c>
      <c r="V67" s="1" t="str">
        <f ca="1">IF(ISERROR(F56),"",IF(N67=0,A67,""))</f>
        <v>CAP 013</v>
      </c>
      <c r="W67" s="1">
        <f ca="1">IF(ISERROR(F56),"",IF(ISTEXT(VLOOKUP(B56,INDIRECT($F$8),6+(O67-1)*3)),11,IF(VLOOKUP(B56,INDIRECT($F$8),6+(O67-1)*3)&lt;S67*0.3,IF(VLOOKUP(B56,INDIRECT($F$8),8+(O67-1)*3)&lt;U67*0.4,IF(AND(0.4*U67-VLOOKUP(B56,INDIRECT($F$8),8+(O67-1)*3)&lt;=5,0.3*S67-VLOOKUP(B56,INDIRECT($F$8),6+(O67-1)*3)&lt;=5),MAX(0.4*U67-VLOOKUP(B56,INDIRECT($F$8),8+(O67-1)*3),0.3*S67-VLOOKUP(B56,INDIRECT($F$8),6+(O67-1)*3)),11),IF(0.3*S67-VLOOKUP(B56,INDIRECT($F$8),6+(O67-1)*3)&lt;=5,0.3*S67-VLOOKUP(B56,INDIRECT($F$8),6+(O67-1)*3),11)),IF(VLOOKUP(B56,INDIRECT($F$8),8+(O67-1)*3)&lt;U67*0.4,IF(U67*0.4-VLOOKUP(B56,INDIRECT($F$8),8+(O67-1)*3)&lt;=5,U67*0.4-VLOOKUP(B56,INDIRECT($F$8),8+(O67-1)*3),11),0))))</f>
        <v>11</v>
      </c>
      <c r="X67" s="1" t="str">
        <f ca="1">IF(ISERROR(F56),"",IF(W67=0,"",_xlfn.TEXTJOIN("",FALSE," G+",W67," in ",A67)))</f>
        <v xml:space="preserve"> G+11 in CAP 013</v>
      </c>
    </row>
    <row r="68" spans="1:24" ht="12.75" customHeight="1" x14ac:dyDescent="0.2">
      <c r="A68" s="43" t="str">
        <f ca="1">IF(ISERROR(F56),"",A52)</f>
        <v>Total Credits/ Marks/ Total Grade Points</v>
      </c>
      <c r="B68" s="43"/>
      <c r="C68" s="43"/>
      <c r="D68" s="43"/>
      <c r="E68" s="43"/>
      <c r="F68" s="10">
        <f ca="1">IF(ISERROR(F56),"",SUM(F61:F67))</f>
        <v>15</v>
      </c>
      <c r="G68" s="44" t="str">
        <f ca="1">IF(ISERROR(F56),"",_xlfn.TEXTJOIN("/",TRUE,SUMIF(F61:F67,"&gt;0",P61:P67),SUMIF(F61:F67,"&gt;0",S61:S67)))</f>
        <v>0/430</v>
      </c>
      <c r="H68" s="44"/>
      <c r="I68" s="44" t="str">
        <f ca="1">IF(ISERROR(F56),"",_xlfn.TEXTJOIN("/",TRUE,SUMIF(F61:F67,"&gt;0",Q61:Q67),SUMIF(F61:F67,"&gt;0",T61:T67)))</f>
        <v>0/220</v>
      </c>
      <c r="J68" s="44"/>
      <c r="K68" s="44" t="str">
        <f ca="1">IF(ISERROR(F56),"",_xlfn.TEXTJOIN("/",TRUE,SUMIF(F61:F67,"&gt;0",R61:R67),SUMIF(F61:F67,"&gt;0",U61:U67)))</f>
        <v>0/650</v>
      </c>
      <c r="L68" s="44"/>
      <c r="M68" s="43" t="e">
        <f ca="1">IF(ISERROR(F56),"",SUMPRODUCT(N61:N67,F61:F67))</f>
        <v>#N/A</v>
      </c>
      <c r="N68" s="43"/>
      <c r="V68" s="1" t="e">
        <f ca="1">IF(ISERROR(F56),"",_xlfn.TEXTJOIN(", ",TRUE,V61:V67))</f>
        <v>#N/A</v>
      </c>
      <c r="W68" t="b">
        <f ca="1">IF(ISERROR(F56),"",IF(SUM(W61:W67)&lt;=W60,TRUE,FALSE))</f>
        <v>0</v>
      </c>
      <c r="X68" s="1" t="str">
        <f ca="1">IF(ISERROR(F56),"",_xlfn.TEXTJOIN(",",TRUE,X61:X67))</f>
        <v xml:space="preserve"> G+11 in CAT 022, G+11 in Enroll No., G+11 in CAT 030, G+11 in Enroll No., G+11 in CAP 011, G+11 in Enroll No., G+11 in CAP 013</v>
      </c>
    </row>
    <row r="69" spans="1:24" ht="12.75" customHeight="1" x14ac:dyDescent="0.2">
      <c r="A69" s="43" t="str">
        <f ca="1">IF(ISERROR(F56),"",A53)</f>
        <v>Result:</v>
      </c>
      <c r="B69" s="45" t="e">
        <f ca="1">IF(ISERROR(F56),"",IF(V68="","PASS","CARRY OVER"))</f>
        <v>#N/A</v>
      </c>
      <c r="C69" s="45"/>
      <c r="D69" s="43" t="str">
        <f ca="1">IF(ISERROR(F56),"",D53)</f>
        <v>Remark:</v>
      </c>
      <c r="E69" s="45" t="e">
        <f ca="1">IF(ISERROR(F56),"",IF(V68="",IF(X68="","",X68),_xlfn.TEXTJOIN(" ",TRUE,"BACK IN",V68)))</f>
        <v>#N/A</v>
      </c>
      <c r="F69" s="45"/>
      <c r="G69" s="43" t="str">
        <f ca="1">IF(ISERROR(F56),"",G53)</f>
        <v>SGPA:</v>
      </c>
      <c r="H69" s="46" t="e">
        <f ca="1">IF(ISERROR(F56),"",M68/F68)</f>
        <v>#N/A</v>
      </c>
      <c r="I69" s="43" t="str">
        <f ca="1">IF(ISERROR(F56),"",I53)</f>
        <v>CGPA:</v>
      </c>
      <c r="J69" s="46" t="e">
        <f ca="1">IF(ISERROR(F56),"",VLOOKUP(B56,INDIRECT($F$8),12+(O67-1)*3,0))</f>
        <v>#N/A</v>
      </c>
      <c r="K69" s="45" t="str">
        <f ca="1">IF(ISERROR(F56),"",K53)</f>
        <v>Earned Credits:</v>
      </c>
      <c r="L69" s="43">
        <f ca="1">IF(ISERROR(F56),"",SUMIF(N61:N67,"&gt;0",F61:F67))</f>
        <v>0</v>
      </c>
      <c r="M69" s="45" t="str">
        <f ca="1">IF(ISERROR(F56),"",M53)</f>
        <v>Cuml. Earned Credits:</v>
      </c>
      <c r="N69" s="43" t="e">
        <f ca="1">IF(ISERROR(F56),"",VLOOKUP(B56,INDIRECT($F$8),10+(O67-1)*3,0))</f>
        <v>#N/A</v>
      </c>
    </row>
    <row r="70" spans="1:24" ht="12.75" customHeight="1" x14ac:dyDescent="0.2">
      <c r="A70" s="43"/>
      <c r="B70" s="45"/>
      <c r="C70" s="45"/>
      <c r="D70" s="43"/>
      <c r="E70" s="45"/>
      <c r="F70" s="45"/>
      <c r="G70" s="43"/>
      <c r="H70" s="46"/>
      <c r="I70" s="43"/>
      <c r="J70" s="46"/>
      <c r="K70" s="45"/>
      <c r="L70" s="43"/>
      <c r="M70" s="45"/>
      <c r="N70" s="43"/>
    </row>
    <row r="71" spans="1:24" ht="12.75" customHeight="1" x14ac:dyDescent="0.2">
      <c r="A71" s="43"/>
      <c r="B71" s="45"/>
      <c r="C71" s="45"/>
      <c r="D71" s="43"/>
      <c r="E71" s="45"/>
      <c r="F71" s="45"/>
      <c r="G71" s="43"/>
      <c r="H71" s="46"/>
      <c r="I71" s="43"/>
      <c r="J71" s="46"/>
      <c r="K71" s="45"/>
      <c r="L71" s="43"/>
      <c r="M71" s="45"/>
      <c r="N71" s="43"/>
    </row>
    <row r="72" spans="1:24" ht="12.75" customHeight="1" x14ac:dyDescent="0.2">
      <c r="A72" s="11" t="str">
        <f>A56</f>
        <v>MM</v>
      </c>
      <c r="B72" s="11">
        <f>B56+1</f>
        <v>5</v>
      </c>
      <c r="C72" s="11" t="str">
        <f>C56</f>
        <v>SC</v>
      </c>
      <c r="D72" s="11" t="str">
        <f>D56</f>
        <v>SN</v>
      </c>
      <c r="E72" s="11" t="str">
        <f>E56</f>
        <v>C</v>
      </c>
      <c r="F72" s="11" t="str">
        <f ca="1">VLOOKUP(B72,INDIRECT($F$8),4,0)</f>
        <v>ANJALI PATWAL</v>
      </c>
    </row>
    <row r="73" spans="1:24" ht="12.75" customHeight="1" x14ac:dyDescent="0.2">
      <c r="A73" s="47" t="str">
        <f ca="1">IF(ISERROR(F72),"",A57)</f>
        <v>Name:</v>
      </c>
      <c r="B73" s="47" t="str">
        <f ca="1">IFERROR(VLOOKUP(B72,INDIRECT($F$8),4,0),"")</f>
        <v>ANJALI PATWAL</v>
      </c>
      <c r="C73" s="47"/>
      <c r="D73" s="47" t="str">
        <f ca="1">IF(ISERROR(F72),"",D57)</f>
        <v>Father's Name:</v>
      </c>
      <c r="E73" s="47" t="str">
        <f ca="1">IFERROR(VLOOKUP(B72,INDIRECT($F$8),5,0),"")</f>
        <v>SANJAY SINGH PATWAL</v>
      </c>
      <c r="F73" s="47"/>
      <c r="G73" s="47" t="str">
        <f ca="1">IF(ISERROR(F72),"",G57)</f>
        <v>University Roll No:</v>
      </c>
      <c r="H73" s="47"/>
      <c r="I73" s="48">
        <f ca="1">IFERROR(VLOOKUP(B72,INDIRECT($F$8),2,0),"")</f>
        <v>240090600005</v>
      </c>
      <c r="J73" s="48"/>
      <c r="K73" s="47" t="str">
        <f ca="1">IF(ISERROR(F72),"",K57)</f>
        <v>University Enrol. No:</v>
      </c>
      <c r="L73" s="47"/>
      <c r="M73" s="48" t="str">
        <f ca="1">IFERROR(VLOOKUP(B72,INDIRECT($F$8),3,0),"")</f>
        <v>UTU/2406100178</v>
      </c>
      <c r="N73" s="48"/>
    </row>
    <row r="74" spans="1:24" ht="12.75" customHeight="1" x14ac:dyDescent="0.2">
      <c r="A74" s="47"/>
      <c r="B74" s="47"/>
      <c r="C74" s="47"/>
      <c r="D74" s="47"/>
      <c r="E74" s="47"/>
      <c r="F74" s="47"/>
      <c r="G74" s="47"/>
      <c r="H74" s="47"/>
      <c r="I74" s="48"/>
      <c r="J74" s="48"/>
      <c r="K74" s="47"/>
      <c r="L74" s="47"/>
      <c r="M74" s="48"/>
      <c r="N74" s="48"/>
    </row>
    <row r="75" spans="1:24" ht="12.75" customHeight="1" x14ac:dyDescent="0.2">
      <c r="A75" s="45" t="str">
        <f ca="1">IF(ISERROR(F72),"",A59)</f>
        <v>Subject Code</v>
      </c>
      <c r="B75" s="45" t="str">
        <f ca="1">IF(ISERROR(F72),"",B59)</f>
        <v>Subject Name</v>
      </c>
      <c r="C75" s="45"/>
      <c r="D75" s="45"/>
      <c r="E75" s="45"/>
      <c r="F75" s="45" t="str">
        <f ca="1">IF(ISERROR(F72),"",F59)</f>
        <v>Credits</v>
      </c>
      <c r="G75" s="45" t="str">
        <f ca="1">IF(ISERROR(F72),"",G59)</f>
        <v>External Marks</v>
      </c>
      <c r="H75" s="45"/>
      <c r="I75" s="45" t="str">
        <f ca="1">IF(ISERROR(F72),"",I59)</f>
        <v>Sessional Marks</v>
      </c>
      <c r="J75" s="45"/>
      <c r="K75" s="45" t="str">
        <f ca="1">IF(ISERROR(F72),"",K59)</f>
        <v>Total Marks</v>
      </c>
      <c r="L75" s="45"/>
      <c r="M75" s="45" t="str">
        <f ca="1">IF(ISERROR(F72),"",M59)</f>
        <v>Grade</v>
      </c>
      <c r="N75" s="45" t="str">
        <f ca="1">IF(ISERROR(F72),"",N59)</f>
        <v>Grade Points</v>
      </c>
    </row>
    <row r="76" spans="1:24" ht="12.75" customHeight="1" x14ac:dyDescent="0.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W76">
        <f ca="1">IF(ISNUMBER(MATCH($F$8,{"I","III","V","VII"},0)),10,10-INDEX(INDIRECT(_xlfn.TEXTJOIN("",TRUE,"SEM_",$G$8,"!",ADDRESS(6,4+$I$8*3+4),":",ADDRESS(5+$H$8,4+$I$8*3+4))),MATCH(INDIRECT(_xlfn.TEXTJOIN("",TRUE,"TC_",$F$8,"!",ADDRESS(ROW(I73),COLUMN(I73)))),INDIRECT(_xlfn.TEXTJOIN("",TRUE,"SEM_",$G$8,"!",ADDRESS(6,2),":",ADDRESS(5+$H$8,2))))))</f>
        <v>10</v>
      </c>
    </row>
    <row r="77" spans="1:24" ht="12.75" customHeight="1" x14ac:dyDescent="0.2">
      <c r="A77" s="7" t="str">
        <f ca="1">IF(ISERROR(F72),"",VLOOKUP(C72,INDIRECT($F$8),6+(O77-1)*3,0))</f>
        <v>CAT 022</v>
      </c>
      <c r="B77" s="41" t="str">
        <f ca="1">IF(ISERROR(F72),"",VLOOKUP(D72,INDIRECT($F$8),6+(O77-1)*3,0))</f>
        <v>Network Security</v>
      </c>
      <c r="C77" s="41"/>
      <c r="D77" s="41"/>
      <c r="E77" s="41"/>
      <c r="F77" s="7">
        <f ca="1">IF(ISERROR(F72),"",VLOOKUP(E72,INDIRECT($F$8),6+(O77-1)*3,0))</f>
        <v>4</v>
      </c>
      <c r="G77" s="42" t="str">
        <f ca="1">IF(ISERROR(F72),"",_xlfn.TEXTJOIN("/",FALSE,P77,S77))</f>
        <v>0/100</v>
      </c>
      <c r="H77" s="42"/>
      <c r="I77" s="42" t="str">
        <f ca="1">IF(ISERROR(F72),"",_xlfn.TEXTJOIN("/",FALSE,Q77,T77))</f>
        <v>0/50</v>
      </c>
      <c r="J77" s="42"/>
      <c r="K77" s="42" t="str">
        <f ca="1">IF(ISERROR(F72),"",_xlfn.TEXTJOIN("/",FALSE,R77,U77))</f>
        <v>0/150</v>
      </c>
      <c r="L77" s="42"/>
      <c r="M77" s="7" t="str">
        <f ca="1">IF(ISERROR(F72),"",IF(ISTEXT(P77),IF(P77="A","Ab",IF(P77="D","Dt",IF(P77="UFM","UFM",IF(P77="NA","")))),IF(AND(ISBLANK(P77),ISBLANK(R77)),"",IF(P77&lt;0.3*S77,"F",IF(ISBLANK(R77),"",IF(ISTEXT(R77),R77,IF(R77&gt;=0.9*U77,"O",IF(R77&gt;=0.85*U77,"A+",IF(R77&gt;=0.8*U77,"A",IF(R77&gt;=0.7*U77,"B+",IF(R77&gt;=0.6*U77,"B",IF(R77&gt;=0.5*U77,"C",IF(R77&gt;=0.4*U77,"P",IF(R77&lt;0.4*U77,"F",R77))))))))))))))</f>
        <v>F</v>
      </c>
      <c r="N77" s="8">
        <f t="shared" ref="N77:N83" ca="1" si="4">INDEX($Z$2:$Z$13,MATCH(M77,$Y$2:$Y$13,0))</f>
        <v>0</v>
      </c>
      <c r="O77">
        <v>1</v>
      </c>
      <c r="P77" s="1">
        <f ca="1">IF(ISERROR(F72),"",IF(ISTEXT(VLOOKUP(B72,INDIRECT($F$8),6+(O77-1)*3)),(VLOOKUP(B72,INDIRECT($F$8),6+(O77-1)*3)),SUM(VLOOKUP(B72,INDIRECT($F$8),6+(O77-1)*3),IF(W84,W77,0))))</f>
        <v>0</v>
      </c>
      <c r="Q77" s="1">
        <f ca="1">IF(ISERROR(F72),"",VLOOKUP(B72,INDIRECT($F$8),7+(O77-1)*3))</f>
        <v>0</v>
      </c>
      <c r="R77" s="1">
        <f ca="1">IF(ISERROR(F72),"",SUM(P77:Q77))</f>
        <v>0</v>
      </c>
      <c r="S77" s="1">
        <f ca="1">IF(ISERROR(F72),"",VLOOKUP(A72,INDIRECT($F$8),6+(O77-1)*3))</f>
        <v>100</v>
      </c>
      <c r="T77" s="1">
        <f ca="1">IF(ISERROR(F72),"",VLOOKUP(A72,INDIRECT($F$8),7+(O77-1)*3))</f>
        <v>50</v>
      </c>
      <c r="U77" s="1">
        <f ca="1">IF(ISERROR(F72),"",VLOOKUP(A72,INDIRECT($F$8),8+(O77-1)*3))</f>
        <v>150</v>
      </c>
      <c r="V77" s="1" t="str">
        <f ca="1">IF(ISERROR(F72),"",IF(N77=0,A77,""))</f>
        <v>CAT 022</v>
      </c>
      <c r="W77" s="1">
        <f ca="1">IF(ISERROR(F72),"",IF(ISTEXT(VLOOKUP(B72,INDIRECT($F$8),6+(O77-1)*3)),11,IF(VLOOKUP(B72,INDIRECT($F$8),6+(O77-1)*3)&lt;S77*0.3,IF(VLOOKUP(B72,INDIRECT($F$8),8+(O77-1)*3)&lt;U77*0.4,IF(AND(0.4*U77-VLOOKUP(B72,INDIRECT($F$8),8+(O77-1)*3)&lt;=5,0.3*S77-VLOOKUP(B72,INDIRECT($F$8),6+(O77-1)*3)&lt;=5),MAX(0.4*U77-VLOOKUP(B72,INDIRECT($F$8),8+(O77-1)*3),0.3*S77-VLOOKUP(B72,INDIRECT($F$8),6+(O77-1)*3)),11),IF(0.3*S77-VLOOKUP(B72,INDIRECT($F$8),6+(O77-1)*3)&lt;=5,0.3*S77-VLOOKUP(B72,INDIRECT($F$8),6+(O77-1)*3),11)),IF(VLOOKUP(B72,INDIRECT($F$8),8+(O77-1)*3)&lt;U77*0.4,IF(U77*0.4-VLOOKUP(B72,INDIRECT($F$8),8+(O77-1)*3)&lt;=5,U77*0.4-VLOOKUP(B72,INDIRECT($F$8),8+(O77-1)*3),11),0))))</f>
        <v>11</v>
      </c>
      <c r="X77" s="1" t="str">
        <f ca="1">IF(ISERROR(F72),"",IF(W77=0,"",_xlfn.TEXTJOIN("",FALSE," G+",W77," in ",A77)))</f>
        <v xml:space="preserve"> G+11 in CAT 022</v>
      </c>
    </row>
    <row r="78" spans="1:24" ht="12.75" customHeight="1" x14ac:dyDescent="0.2">
      <c r="A78" s="7" t="str">
        <f ca="1">IF(ISERROR(F72),"",VLOOKUP(C72,INDIRECT($F$8),6+(O78-1)*3,0))</f>
        <v>Enroll No.</v>
      </c>
      <c r="B78" s="41">
        <f ca="1">IF(ISERROR(F72),"",VLOOKUP(D72,INDIRECT($F$8),6+(O78-1)*3,0))</f>
        <v>0</v>
      </c>
      <c r="C78" s="41"/>
      <c r="D78" s="41"/>
      <c r="E78" s="41"/>
      <c r="F78" s="7">
        <f ca="1">IF(ISERROR(F72),"",VLOOKUP(E72,INDIRECT($F$8),6+(O78-1)*3,0))</f>
        <v>0</v>
      </c>
      <c r="G78" s="42" t="str">
        <f ca="1">IF(ISERROR(F72),"",_xlfn.TEXTJOIN("/",FALSE,P78,S78))</f>
        <v>UTU/2406100178/0</v>
      </c>
      <c r="H78" s="42"/>
      <c r="I78" s="42" t="str">
        <f ca="1">IF(ISERROR(F72),"",_xlfn.TEXTJOIN("/",FALSE,Q78,T78))</f>
        <v>ANJALI PATWAL/0</v>
      </c>
      <c r="J78" s="42"/>
      <c r="K78" s="42" t="str">
        <f ca="1">IF(ISERROR(F72),"",_xlfn.TEXTJOIN("/",FALSE,R78,U78))</f>
        <v>0/0</v>
      </c>
      <c r="L78" s="42"/>
      <c r="M78" s="7" t="b">
        <f ca="1">IF(ISERROR(F72),"",IF(ISTEXT(P78),IF(P78="A","Ab",IF(P78="D","Dt",IF(P78="UFM","UFM",IF(P78="NA","")))),IF(AND(ISBLANK(P78),ISBLANK(R78)),"",IF(P78&lt;0.3*S78,"F",IF(ISBLANK(R78),"",IF(ISTEXT(R78),R78,IF(R78&gt;=0.9*U78,"O",IF(R78&gt;=0.85*U78,"A+",IF(R78&gt;=0.8*U78,"A",IF(R78&gt;=0.7*U78,"B+",IF(R78&gt;=0.6*U78,"B",IF(R78&gt;=0.5*U78,"C",IF(R78&gt;=0.4*U78,"P",IF(R78&lt;0.4*U78,"F",R78))))))))))))))</f>
        <v>0</v>
      </c>
      <c r="N78" s="8" t="e">
        <f t="shared" ca="1" si="4"/>
        <v>#N/A</v>
      </c>
      <c r="O78" t="b" cm="1">
        <f t="array" aca="1" ref="O78" ca="1">IF(NOT(ISBLANK(INDIRECT("SEM_IV!I"&amp;INT((ROW(O78)-14)/16)+6))),2,IF(NOT(ISBLANK(INDIRECT("SEM_IV!L"&amp;INT((ROW(O78)-14)/16)+6))),3))</f>
        <v>0</v>
      </c>
      <c r="P78" s="1" t="str">
        <f ca="1">IF(ISERROR(F72),"",IF(ISTEXT(VLOOKUP(B72,INDIRECT($F$8),6+(O78-1)*3)),(VLOOKUP(B72,INDIRECT($F$8),6+(O78-1)*3)),SUM(VLOOKUP(B72,INDIRECT($F$8),6+(O78-1)*3),IF(W84,W78,0))))</f>
        <v>UTU/2406100178</v>
      </c>
      <c r="Q78" s="1" t="str">
        <f ca="1">IF(ISERROR(F72),"",VLOOKUP(B72,INDIRECT($F$8),7+(O78-1)*3))</f>
        <v>ANJALI PATWAL</v>
      </c>
      <c r="R78" s="1">
        <f ca="1">IF(ISERROR(F72),"",SUM(P78:Q78))</f>
        <v>0</v>
      </c>
      <c r="S78" s="1">
        <f ca="1">IF(ISERROR(F72),"",VLOOKUP(A72,INDIRECT($F$8),6+(O78-1)*3))</f>
        <v>0</v>
      </c>
      <c r="T78" s="1">
        <f ca="1">IF(ISERROR(F72),"",VLOOKUP(A72,INDIRECT($F$8),7+(O78-1)*3))</f>
        <v>0</v>
      </c>
      <c r="U78" s="1">
        <f ca="1">IF(ISERROR(F72),"",VLOOKUP(A72,INDIRECT($F$8),8+(O78-1)*3))</f>
        <v>0</v>
      </c>
      <c r="V78" s="1" t="e">
        <f ca="1">IF(ISERROR(F72),"",IF(N78=0,A78,""))</f>
        <v>#N/A</v>
      </c>
      <c r="W78" s="1">
        <f ca="1">IF(ISERROR(F72),"",IF(ISTEXT(VLOOKUP(B72,INDIRECT($F$8),6+(O78-1)*3)),11,IF(VLOOKUP(B72,INDIRECT($F$8),6+(O78-1)*3)&lt;S78*0.3,IF(VLOOKUP(B72,INDIRECT($F$8),8+(O78-1)*3)&lt;U78*0.4,IF(AND(0.4*U78-VLOOKUP(B72,INDIRECT($F$8),8+(O78-1)*3)&lt;=5,0.3*S78-VLOOKUP(B72,INDIRECT($F$8),6+(O78-1)*3)&lt;=5),MAX(0.4*U78-VLOOKUP(B72,INDIRECT($F$8),8+(O78-1)*3),0.3*S78-VLOOKUP(B72,INDIRECT($F$8),6+(O78-1)*3)),11),IF(0.3*S78-VLOOKUP(B72,INDIRECT($F$8),6+(O78-1)*3)&lt;=5,0.3*S78-VLOOKUP(B72,INDIRECT($F$8),6+(O78-1)*3),11)),IF(VLOOKUP(B72,INDIRECT($F$8),8+(O78-1)*3)&lt;U78*0.4,IF(U78*0.4-VLOOKUP(B72,INDIRECT($F$8),8+(O78-1)*3)&lt;=5,U78*0.4-VLOOKUP(B72,INDIRECT($F$8),8+(O78-1)*3),11),0))))</f>
        <v>11</v>
      </c>
      <c r="X78" s="1" t="str">
        <f ca="1">IF(ISERROR(F72),"",IF(W78=0,"",_xlfn.TEXTJOIN("",FALSE," G+",W78," in ",A78)))</f>
        <v xml:space="preserve"> G+11 in Enroll No.</v>
      </c>
    </row>
    <row r="79" spans="1:24" ht="12.75" customHeight="1" x14ac:dyDescent="0.2">
      <c r="A79" s="7" t="str">
        <f ca="1">IF(ISERROR(F72),"",VLOOKUP(C72,INDIRECT($F$8),6+(O79-1)*3,0))</f>
        <v>CAT 030</v>
      </c>
      <c r="B79" s="41" t="str">
        <f ca="1">IF(ISERROR(F72),"",VLOOKUP(D72,INDIRECT($F$8),6+(O79-1)*3,0))</f>
        <v>Software Testing &amp; Quality Assurance</v>
      </c>
      <c r="C79" s="41"/>
      <c r="D79" s="41"/>
      <c r="E79" s="41"/>
      <c r="F79" s="7">
        <f ca="1">IF(ISERROR(F72),"",VLOOKUP(E72,INDIRECT($F$8),6+(O79-1)*3,0))</f>
        <v>4</v>
      </c>
      <c r="G79" s="42" t="str">
        <f ca="1">IF(ISERROR(F72),"",_xlfn.TEXTJOIN("/",FALSE,P79,S79))</f>
        <v>0/100</v>
      </c>
      <c r="H79" s="42"/>
      <c r="I79" s="42" t="str">
        <f ca="1">IF(ISERROR(F72),"",_xlfn.TEXTJOIN("/",FALSE,Q79,T79))</f>
        <v>0/50</v>
      </c>
      <c r="J79" s="42"/>
      <c r="K79" s="42" t="str">
        <f ca="1">IF(ISERROR(F72),"",_xlfn.TEXTJOIN("/",FALSE,R79,U79))</f>
        <v>0/150</v>
      </c>
      <c r="L79" s="42"/>
      <c r="M79" s="7" t="str">
        <f ca="1">IF(ISERROR(F72),"",IF(ISTEXT(P79),IF(P79="A","Ab",IF(P79="D","Dt",IF(P79="UFM","UFM",IF(P79="NA","")))),IF(AND(ISBLANK(P79),ISBLANK(R79)),"",IF(P79&lt;0.3*S79,"F",IF(ISBLANK(R79),"",IF(ISTEXT(R79),R79,IF(R79&gt;=0.9*U79,"O",IF(R79&gt;=0.85*U79,"A+",IF(R79&gt;=0.8*U79,"A",IF(R79&gt;=0.7*U79,"B+",IF(R79&gt;=0.6*U79,"B",IF(R79&gt;=0.5*U79,"C",IF(R79&gt;=0.4*U79,"P",IF(R79&lt;0.4*U79,"F",R79))))))))))))))</f>
        <v>F</v>
      </c>
      <c r="N79" s="8">
        <f t="shared" ca="1" si="4"/>
        <v>0</v>
      </c>
      <c r="O79">
        <f ca="1">IF(O78&gt;0,4,"")</f>
        <v>4</v>
      </c>
      <c r="P79" s="1">
        <f ca="1">IF(ISERROR(F72),"",IF(ISTEXT(VLOOKUP(B72,INDIRECT($F$8),6+(O79-1)*3)),(VLOOKUP(B72,INDIRECT($F$8),6+(O79-1)*3)),SUM(VLOOKUP(B72,INDIRECT($F$8),6+(O79-1)*3),IF(W84,W79,0))))</f>
        <v>0</v>
      </c>
      <c r="Q79" s="1">
        <f ca="1">IF(ISERROR(F72),"",VLOOKUP(B72,INDIRECT($F$8),7+(O79-1)*3))</f>
        <v>0</v>
      </c>
      <c r="R79" s="1">
        <f ca="1">IF(ISERROR(F72),"",SUM(P79:Q79))</f>
        <v>0</v>
      </c>
      <c r="S79" s="1">
        <f ca="1">IF(ISERROR(F72),"",VLOOKUP(A72,INDIRECT($F$8),6+(O79-1)*3))</f>
        <v>100</v>
      </c>
      <c r="T79" s="1">
        <f ca="1">IF(ISERROR(F72),"",VLOOKUP(A72,INDIRECT($F$8),7+(O79-1)*3))</f>
        <v>50</v>
      </c>
      <c r="U79" s="1">
        <f ca="1">IF(ISERROR(F72),"",VLOOKUP(A72,INDIRECT($F$8),8+(O79-1)*3))</f>
        <v>150</v>
      </c>
      <c r="V79" s="1" t="str">
        <f ca="1">IF(ISERROR(F72),"",IF(N79=0,A79,""))</f>
        <v>CAT 030</v>
      </c>
      <c r="W79" s="1">
        <f ca="1">IF(ISERROR(F72),"",IF(ISTEXT(VLOOKUP(B72,INDIRECT($F$8),6+(O79-1)*3)),11,IF(VLOOKUP(B72,INDIRECT($F$8),6+(O79-1)*3)&lt;S79*0.3,IF(VLOOKUP(B72,INDIRECT($F$8),8+(O79-1)*3)&lt;U79*0.4,IF(AND(0.4*U79-VLOOKUP(B72,INDIRECT($F$8),8+(O79-1)*3)&lt;=5,0.3*S79-VLOOKUP(B72,INDIRECT($F$8),6+(O79-1)*3)&lt;=5),MAX(0.4*U79-VLOOKUP(B72,INDIRECT($F$8),8+(O79-1)*3),0.3*S79-VLOOKUP(B72,INDIRECT($F$8),6+(O79-1)*3)),11),IF(0.3*S79-VLOOKUP(B72,INDIRECT($F$8),6+(O79-1)*3)&lt;=5,0.3*S79-VLOOKUP(B72,INDIRECT($F$8),6+(O79-1)*3),11)),IF(VLOOKUP(B72,INDIRECT($F$8),8+(O79-1)*3)&lt;U79*0.4,IF(U79*0.4-VLOOKUP(B72,INDIRECT($F$8),8+(O79-1)*3)&lt;=5,U79*0.4-VLOOKUP(B72,INDIRECT($F$8),8+(O79-1)*3),11),0))))</f>
        <v>11</v>
      </c>
      <c r="X79" s="1" t="str">
        <f ca="1">IF(ISERROR(F72),"",IF(W79=0,"",_xlfn.TEXTJOIN("",FALSE," G+",W79," in ",A79)))</f>
        <v xml:space="preserve"> G+11 in CAT 030</v>
      </c>
    </row>
    <row r="80" spans="1:24" ht="12.75" customHeight="1" x14ac:dyDescent="0.2">
      <c r="A80" s="7" t="str">
        <f ca="1">IF(ISERROR(F72),"",VLOOKUP(C72,INDIRECT($F$8),6+(O80-1)*3,0))</f>
        <v>Enroll No.</v>
      </c>
      <c r="B80" s="41">
        <f ca="1">IF(ISERROR(F72),"",VLOOKUP(D72,INDIRECT($F$8),6+(O80-1)*3,0))</f>
        <v>0</v>
      </c>
      <c r="C80" s="41"/>
      <c r="D80" s="41"/>
      <c r="E80" s="41"/>
      <c r="F80" s="7">
        <f ca="1">IF(ISERROR(F72),"",VLOOKUP(E72,INDIRECT($F$8),6+(O80-1)*3,0))</f>
        <v>0</v>
      </c>
      <c r="G80" s="42" t="str">
        <f ca="1">IF(ISERROR(F72),"",_xlfn.TEXTJOIN("/",FALSE,P80,S80))</f>
        <v>UTU/2406100178/0</v>
      </c>
      <c r="H80" s="42"/>
      <c r="I80" s="42" t="str">
        <f ca="1">IF(ISERROR(F72),"",_xlfn.TEXTJOIN("/",FALSE,Q80,T80))</f>
        <v>ANJALI PATWAL/0</v>
      </c>
      <c r="J80" s="42"/>
      <c r="K80" s="42" t="str">
        <f ca="1">IF(ISERROR(F72),"",_xlfn.TEXTJOIN("/",FALSE,R80,U80))</f>
        <v>0/0</v>
      </c>
      <c r="L80" s="42"/>
      <c r="M80" s="7" t="b">
        <f ca="1">IF(ISERROR(F72),"",IF(ISTEXT(P80),IF(P80="A","Ab",IF(P80="D","Dt",IF(P80="UFM","UFM",IF(P80="NA","")))),IF(AND(ISBLANK(P80),ISBLANK(R80)),"",IF(P80&lt;0.3*S80,"F",IF(ISBLANK(R80),"",IF(ISTEXT(R80),R80,IF(R80&gt;=0.9*U80,"O",IF(R80&gt;=0.85*U80,"A+",IF(R80&gt;=0.8*U80,"A",IF(R80&gt;=0.7*U80,"B+",IF(R80&gt;=0.6*U80,"B",IF(R80&gt;=0.5*U80,"C",IF(R80&gt;=0.4*U80,"P",IF(R80&lt;0.4*U80,"F",R80))))))))))))))</f>
        <v>0</v>
      </c>
      <c r="N80" s="8" t="e">
        <f t="shared" ca="1" si="4"/>
        <v>#N/A</v>
      </c>
      <c r="O80" t="b" cm="1">
        <f t="array" aca="1" ref="O80" ca="1">IF(NOT(ISBLANK(INDIRECT("SEM_IV!R"&amp;INT((ROW(O80)-16)/16)+6))),5,IF(NOT(ISBLANK(INDIRECT("SEM_IV!U"&amp;INT((ROW(O80)-16)/16)+6))),6))</f>
        <v>0</v>
      </c>
      <c r="P80" s="1" t="str">
        <f ca="1">IF(ISERROR(F72),"",IF(ISTEXT(VLOOKUP(B72,INDIRECT($F$8),6+(O80-1)*3)),(VLOOKUP(B72,INDIRECT($F$8),6+(O80-1)*3)),SUM(VLOOKUP(B72,INDIRECT($F$8),6+(O80-1)*3),IF(W84,W80,0))))</f>
        <v>UTU/2406100178</v>
      </c>
      <c r="Q80" s="1" t="str">
        <f ca="1">IF(ISERROR(F72),"",VLOOKUP(B72,INDIRECT($F$8),7+(O80-1)*3))</f>
        <v>ANJALI PATWAL</v>
      </c>
      <c r="R80" s="1">
        <f ca="1">IF(ISERROR(F72),"",SUM(P80:Q80))</f>
        <v>0</v>
      </c>
      <c r="S80" s="1">
        <f ca="1">IF(ISERROR(F72),"",VLOOKUP(A72,INDIRECT($F$8),6+(O80-1)*3))</f>
        <v>0</v>
      </c>
      <c r="T80" s="1">
        <f ca="1">IF(ISERROR(F72),"",VLOOKUP(A72,INDIRECT($F$8),7+(O80-1)*3))</f>
        <v>0</v>
      </c>
      <c r="U80" s="1">
        <f ca="1">IF(ISERROR(F72),"",VLOOKUP(A72,INDIRECT($F$8),8+(O80-1)*3))</f>
        <v>0</v>
      </c>
      <c r="V80" s="1" t="e">
        <f ca="1">IF(ISERROR(F72),"",IF(N80=0,A80,""))</f>
        <v>#N/A</v>
      </c>
      <c r="W80" s="1">
        <f ca="1">IF(ISERROR(F72),"",IF(ISTEXT(VLOOKUP(B72,INDIRECT($F$8),6+(O80-1)*3)),11,IF(VLOOKUP(B72,INDIRECT($F$8),6+(O80-1)*3)&lt;S80*0.3,IF(VLOOKUP(B72,INDIRECT($F$8),8+(O80-1)*3)&lt;U80*0.4,IF(AND(0.4*U80-VLOOKUP(B72,INDIRECT($F$8),8+(O80-1)*3)&lt;=5,0.3*S80-VLOOKUP(B72,INDIRECT($F$8),6+(O80-1)*3)&lt;=5),MAX(0.4*U80-VLOOKUP(B72,INDIRECT($F$8),8+(O80-1)*3),0.3*S80-VLOOKUP(B72,INDIRECT($F$8),6+(O80-1)*3)),11),IF(0.3*S80-VLOOKUP(B72,INDIRECT($F$8),6+(O80-1)*3)&lt;=5,0.3*S80-VLOOKUP(B72,INDIRECT($F$8),6+(O80-1)*3),11)),IF(VLOOKUP(B72,INDIRECT($F$8),8+(O80-1)*3)&lt;U80*0.4,IF(U80*0.4-VLOOKUP(B72,INDIRECT($F$8),8+(O80-1)*3)&lt;=5,U80*0.4-VLOOKUP(B72,INDIRECT($F$8),8+(O80-1)*3),11),0))))</f>
        <v>11</v>
      </c>
      <c r="X80" s="1" t="str">
        <f ca="1">IF(ISERROR(F72),"",IF(W80=0,"",_xlfn.TEXTJOIN("",FALSE," G+",W80," in ",A80)))</f>
        <v xml:space="preserve"> G+11 in Enroll No.</v>
      </c>
    </row>
    <row r="81" spans="1:24" ht="12.75" customHeight="1" x14ac:dyDescent="0.2">
      <c r="A81" s="7" t="str">
        <f ca="1">IF(ISERROR(F72),"",VLOOKUP(C72,INDIRECT($F$8),6+(O81-1)*3,0))</f>
        <v>CAP 011</v>
      </c>
      <c r="B81" s="41" t="str">
        <f ca="1">IF(ISERROR(F72),"",VLOOKUP(D72,INDIRECT($F$8),6+(O81-1)*3,0))</f>
        <v>Network Security Lab</v>
      </c>
      <c r="C81" s="41"/>
      <c r="D81" s="41"/>
      <c r="E81" s="41"/>
      <c r="F81" s="7">
        <f ca="1">IF(ISERROR(F72),"",VLOOKUP(E72,INDIRECT($F$8),6+(O81-1)*3,0))</f>
        <v>1</v>
      </c>
      <c r="G81" s="42" t="str">
        <f ca="1">IF(ISERROR(F72),"",_xlfn.TEXTJOIN("/",FALSE,P81,S81))</f>
        <v>0/30</v>
      </c>
      <c r="H81" s="42"/>
      <c r="I81" s="42" t="str">
        <f ca="1">IF(ISERROR(F72),"",_xlfn.TEXTJOIN("/",FALSE,Q81,T81))</f>
        <v>0/20</v>
      </c>
      <c r="J81" s="42"/>
      <c r="K81" s="42" t="str">
        <f ca="1">IF(ISERROR(F72),"",_xlfn.TEXTJOIN("/",FALSE,R81,U81))</f>
        <v>0/50</v>
      </c>
      <c r="L81" s="42"/>
      <c r="M81" s="7" t="str">
        <f ca="1">IF(ISERROR(F72),"",IF(ISTEXT(P81),IF(P81="A","Ab",IF(P81="D","Dt",IF(P81="UFM","UFM",IF(P81="NA","")))),IF(AND(ISBLANK(P81),ISBLANK(R81)),"",IF(P81&lt;0.3*S81,"F",IF(ISBLANK(R81),"",IF(ISTEXT(R81),R81,IF(R81&gt;=0.9*U81,"O",IF(R81&gt;=0.85*U81,"A+",IF(R81&gt;=0.8*U81,"A",IF(R81&gt;=0.7*U81,"B+",IF(R81&gt;=0.6*U81,"B",IF(R81&gt;=0.5*U81,"C",IF(R81&gt;=0.4*U81,"P",IF(R81&lt;0.4*U81,"F",R81))))))))))))))</f>
        <v>F</v>
      </c>
      <c r="N81" s="8">
        <f t="shared" ca="1" si="4"/>
        <v>0</v>
      </c>
      <c r="O81">
        <f ca="1">IF(O80&gt;0,7,"")</f>
        <v>7</v>
      </c>
      <c r="P81" s="1">
        <f ca="1">IF(ISERROR(F72),"",IF(ISTEXT(VLOOKUP(B72,INDIRECT($F$8),6+(O81-1)*3)),(VLOOKUP(B72,INDIRECT($F$8),6+(O81-1)*3)),SUM(VLOOKUP(B72,INDIRECT($F$8),6+(O81-1)*3),IF(W84,W81,0))))</f>
        <v>0</v>
      </c>
      <c r="Q81" s="1">
        <f ca="1">IF(ISERROR(F72),"",VLOOKUP(B72,INDIRECT($F$8),7+(O81-1)*3))</f>
        <v>0</v>
      </c>
      <c r="R81" s="1">
        <f ca="1">IF(ISERROR(F72),"",SUM(P81:Q81))</f>
        <v>0</v>
      </c>
      <c r="S81" s="1">
        <f ca="1">IF(ISERROR(F72),"",VLOOKUP(A72,INDIRECT($F$8),6+(O81-1)*3))</f>
        <v>30</v>
      </c>
      <c r="T81" s="1">
        <f ca="1">IF(ISERROR(F72),"",VLOOKUP(A72,INDIRECT($F$8),7+(O81-1)*3))</f>
        <v>20</v>
      </c>
      <c r="U81" s="1">
        <f ca="1">IF(ISERROR(F72),"",VLOOKUP(A72,INDIRECT($F$8),8+(O81-1)*3))</f>
        <v>50</v>
      </c>
      <c r="V81" s="1" t="str">
        <f ca="1">IF(ISERROR(F72),"",IF(N81=0,A81,""))</f>
        <v>CAP 011</v>
      </c>
      <c r="W81" s="1">
        <f ca="1">IF(ISERROR(F72),"",IF(ISTEXT(VLOOKUP(B72,INDIRECT($F$8),6+(O81-1)*3)),11,IF(VLOOKUP(B72,INDIRECT($F$8),6+(O81-1)*3)&lt;S81*0.3,IF(VLOOKUP(B72,INDIRECT($F$8),8+(O81-1)*3)&lt;U81*0.4,IF(AND(0.4*U81-VLOOKUP(B72,INDIRECT($F$8),8+(O81-1)*3)&lt;=5,0.3*S81-VLOOKUP(B72,INDIRECT($F$8),6+(O81-1)*3)&lt;=5),MAX(0.4*U81-VLOOKUP(B72,INDIRECT($F$8),8+(O81-1)*3),0.3*S81-VLOOKUP(B72,INDIRECT($F$8),6+(O81-1)*3)),11),IF(0.3*S81-VLOOKUP(B72,INDIRECT($F$8),6+(O81-1)*3)&lt;=5,0.3*S81-VLOOKUP(B72,INDIRECT($F$8),6+(O81-1)*3),11)),IF(VLOOKUP(B72,INDIRECT($F$8),8+(O81-1)*3)&lt;U81*0.4,IF(U81*0.4-VLOOKUP(B72,INDIRECT($F$8),8+(O81-1)*3)&lt;=5,U81*0.4-VLOOKUP(B72,INDIRECT($F$8),8+(O81-1)*3),11),0))))</f>
        <v>11</v>
      </c>
      <c r="X81" s="1" t="str">
        <f ca="1">IF(ISERROR(F72),"",IF(W81=0,"",_xlfn.TEXTJOIN("",FALSE," G+",W81," in ",A81)))</f>
        <v xml:space="preserve"> G+11 in CAP 011</v>
      </c>
    </row>
    <row r="82" spans="1:24" ht="12.75" customHeight="1" x14ac:dyDescent="0.2">
      <c r="A82" s="7" t="str">
        <f ca="1">IF(ISERROR(F72),"",VLOOKUP(C72,INDIRECT($F$8),6+(O82-1)*3,0))</f>
        <v>Enroll No.</v>
      </c>
      <c r="B82" s="41">
        <f ca="1">IF(ISERROR(F72),"",VLOOKUP(D72,INDIRECT($F$8),6+(O82-1)*3,0))</f>
        <v>0</v>
      </c>
      <c r="C82" s="41"/>
      <c r="D82" s="41"/>
      <c r="E82" s="41"/>
      <c r="F82" s="7">
        <f ca="1">IF(ISERROR(F72),"",VLOOKUP(E72,INDIRECT($F$8),6+(O82-1)*3,0))</f>
        <v>0</v>
      </c>
      <c r="G82" s="42" t="str">
        <f ca="1">IF(ISERROR(F72),"",_xlfn.TEXTJOIN("/",FALSE,P82,S82))</f>
        <v>UTU/2406100178/0</v>
      </c>
      <c r="H82" s="42"/>
      <c r="I82" s="42" t="str">
        <f ca="1">IF(ISERROR(F72),"",_xlfn.TEXTJOIN("/",FALSE,Q82,T82))</f>
        <v>ANJALI PATWAL/0</v>
      </c>
      <c r="J82" s="42"/>
      <c r="K82" s="42" t="str">
        <f ca="1">IF(ISERROR(F72),"",_xlfn.TEXTJOIN("/",FALSE,R82,U82))</f>
        <v>0/0</v>
      </c>
      <c r="L82" s="42"/>
      <c r="M82" s="7" t="b">
        <f ca="1">IF(ISERROR(F72),"",IF(ISTEXT(P82),IF(P82="A","Ab",IF(P82="D","Dt",IF(P82="UFM","UFM",IF(P82="NA","")))),IF(AND(ISBLANK(P82),ISBLANK(R82)),"",IF(P82&lt;0.3*S82,"F",IF(ISBLANK(R82),"",IF(ISTEXT(R82),R82,IF(R82&gt;=0.9*U82,"O",IF(R82&gt;=0.85*U82,"A+",IF(R82&gt;=0.8*U82,"A",IF(R82&gt;=0.7*U82,"B+",IF(R82&gt;=0.6*U82,"B",IF(R82&gt;=0.5*U82,"C",IF(R82&gt;=0.4*U82,"P",IF(R82&lt;0.4*U82,"F",R82))))))))))))))</f>
        <v>0</v>
      </c>
      <c r="N82" s="8" t="e">
        <f t="shared" ca="1" si="4"/>
        <v>#N/A</v>
      </c>
      <c r="O82" t="b" cm="1">
        <f t="array" aca="1" ref="O82" ca="1">IF(NOT(ISBLANK(INDIRECT("SEM_IV!AA"&amp;INT((ROW(O82)-18)/16)+6))),8,IF(NOT(ISBLANK(INDIRECT("SEM_IV!AD"&amp;INT((ROW(O82)-18)/16)+6))),9))</f>
        <v>0</v>
      </c>
      <c r="P82" s="1" t="str">
        <f ca="1">IF(ISERROR(F72),"",IF(ISTEXT(VLOOKUP(B72,INDIRECT($F$8),6+(O82-1)*3)),(VLOOKUP(B72,INDIRECT($F$8),6+(O82-1)*3)),SUM(VLOOKUP(B72,INDIRECT($F$8),6+(O82-1)*3),IF(W84,W82,0))))</f>
        <v>UTU/2406100178</v>
      </c>
      <c r="Q82" s="1" t="str">
        <f ca="1">IF(ISERROR(F72),"",VLOOKUP(B72,INDIRECT($F$8),7+(O82-1)*3))</f>
        <v>ANJALI PATWAL</v>
      </c>
      <c r="R82" s="1">
        <f ca="1">IF(ISERROR(F72),"",SUM(P82:Q82))</f>
        <v>0</v>
      </c>
      <c r="S82" s="1">
        <f ca="1">IF(ISERROR(F72),"",VLOOKUP(A72,INDIRECT($F$8),6+(O82-1)*3))</f>
        <v>0</v>
      </c>
      <c r="T82" s="1">
        <f ca="1">IF(ISERROR(F72),"",VLOOKUP(A72,INDIRECT($F$8),7+(O82-1)*3))</f>
        <v>0</v>
      </c>
      <c r="U82" s="1">
        <f ca="1">IF(ISERROR(F72),"",VLOOKUP(A72,INDIRECT($F$8),8+(O82-1)*3))</f>
        <v>0</v>
      </c>
      <c r="V82" s="1" t="e">
        <f ca="1">IF(ISERROR(F72),"",IF(N82=0,A82,""))</f>
        <v>#N/A</v>
      </c>
      <c r="W82" s="1">
        <f ca="1">IF(ISERROR(F72),"",IF(ISTEXT(VLOOKUP(B72,INDIRECT($F$8),6+(O82-1)*3)),11,IF(VLOOKUP(B72,INDIRECT($F$8),6+(O82-1)*3)&lt;S82*0.3,IF(VLOOKUP(B72,INDIRECT($F$8),8+(O82-1)*3)&lt;U82*0.4,IF(AND(0.4*U82-VLOOKUP(B72,INDIRECT($F$8),8+(O82-1)*3)&lt;=5,0.3*S82-VLOOKUP(B72,INDIRECT($F$8),6+(O82-1)*3)&lt;=5),MAX(0.4*U82-VLOOKUP(B72,INDIRECT($F$8),8+(O82-1)*3),0.3*S82-VLOOKUP(B72,INDIRECT($F$8),6+(O82-1)*3)),11),IF(0.3*S82-VLOOKUP(B72,INDIRECT($F$8),6+(O82-1)*3)&lt;=5,0.3*S82-VLOOKUP(B72,INDIRECT($F$8),6+(O82-1)*3),11)),IF(VLOOKUP(B72,INDIRECT($F$8),8+(O82-1)*3)&lt;U82*0.4,IF(U82*0.4-VLOOKUP(B72,INDIRECT($F$8),8+(O82-1)*3)&lt;=5,U82*0.4-VLOOKUP(B72,INDIRECT($F$8),8+(O82-1)*3),11),0))))</f>
        <v>11</v>
      </c>
      <c r="X82" s="1" t="str">
        <f ca="1">IF(ISERROR(F72),"",IF(W82=0,"",_xlfn.TEXTJOIN("",FALSE," G+",W82," in ",A82)))</f>
        <v xml:space="preserve"> G+11 in Enroll No.</v>
      </c>
    </row>
    <row r="83" spans="1:24" ht="12.75" customHeight="1" x14ac:dyDescent="0.2">
      <c r="A83" s="7" t="str">
        <f ca="1">IF(ISERROR(F72),"",VLOOKUP(C72,INDIRECT($F$8),6+(O83-1)*3,0))</f>
        <v>CAP 013</v>
      </c>
      <c r="B83" s="41" t="str">
        <f ca="1">IF(ISERROR(F72),"",VLOOKUP(D72,INDIRECT($F$8),6+(O83-1)*3-Z83,0))</f>
        <v>Major Project</v>
      </c>
      <c r="C83" s="41"/>
      <c r="D83" s="41"/>
      <c r="E83" s="41"/>
      <c r="F83" s="7">
        <f ca="1">IF(ISERROR(F72),"",VLOOKUP(E72,INDIRECT($F$8),6+(O83-1)*3,0))</f>
        <v>6</v>
      </c>
      <c r="G83" s="42" t="str">
        <f ca="1">IF(ISERROR(F72),"",_xlfn.TEXTJOIN("/",FALSE,P83,S83))</f>
        <v>0/200</v>
      </c>
      <c r="H83" s="42"/>
      <c r="I83" s="42" t="str">
        <f ca="1">IF(ISERROR(F72),"",_xlfn.TEXTJOIN("/",FALSE,Q83,T83))</f>
        <v>0/100</v>
      </c>
      <c r="J83" s="42"/>
      <c r="K83" s="42" t="str">
        <f ca="1">IF(ISERROR(F72),"",_xlfn.TEXTJOIN("/",FALSE,R83,U83))</f>
        <v>0/300</v>
      </c>
      <c r="L83" s="42"/>
      <c r="M83" s="7" t="str">
        <f ca="1">IF(ISERROR(F72),"",IF(ISTEXT(P83),IF(P83="A","Ab",IF(P83="D","Dt",IF(P83="UFM","UFM",IF(P83="NA","")))),IF(AND(ISBLANK(P83),ISBLANK(R83)),"",IF(P83&lt;0.3*S83,"F",IF(ISBLANK(R83),"",IF(ISTEXT(R83),R83,IF(R83&gt;=0.9*U83,"O",IF(R83&gt;=0.85*U83,"A+",IF(R83&gt;=0.8*U83,"A",IF(R83&gt;=0.7*U83,"B+",IF(R83&gt;=0.6*U83,"B",IF(R83&gt;=0.5*U83,"C",IF(R83&gt;=0.4*U83,"P",IF(R83&lt;0.4*U83,"F",R83))))))))))))))</f>
        <v>F</v>
      </c>
      <c r="N83" s="8">
        <f t="shared" ca="1" si="4"/>
        <v>0</v>
      </c>
      <c r="O83">
        <f ca="1">IF(O82&gt;0,10,"")</f>
        <v>10</v>
      </c>
      <c r="P83" s="1">
        <f ca="1">IF(ISERROR(F72),"",IF(ISTEXT(VLOOKUP(B72,INDIRECT($F$8),6+(O83-1)*3)),(VLOOKUP(B72,INDIRECT($F$8),6+(O83-1)*3)),SUM(VLOOKUP(B72,INDIRECT($F$8),6+(O83-1)*3),IF(W84,W83,0))))</f>
        <v>0</v>
      </c>
      <c r="Q83" s="1">
        <f ca="1">IF(ISERROR(F72),"",VLOOKUP(B72,INDIRECT($F$8),7+(O83-1)*3))</f>
        <v>0</v>
      </c>
      <c r="R83" s="1">
        <f ca="1">IF(ISERROR(F72),"",SUM(P83:Q83))</f>
        <v>0</v>
      </c>
      <c r="S83" s="1">
        <f ca="1">IF(ISERROR(F72),"",VLOOKUP(A72,INDIRECT($F$8),6+(O83-1)*3))</f>
        <v>200</v>
      </c>
      <c r="T83" s="1">
        <f ca="1">IF(ISERROR(F72),"",VLOOKUP(A72,INDIRECT($F$8),7+(O83-1)*3))</f>
        <v>100</v>
      </c>
      <c r="U83" s="1">
        <f ca="1">IF(ISERROR(F72),"",VLOOKUP(A72,INDIRECT($F$8),8+(O83-1)*3))</f>
        <v>300</v>
      </c>
      <c r="V83" s="1" t="str">
        <f ca="1">IF(ISERROR(F72),"",IF(N83=0,A83,""))</f>
        <v>CAP 013</v>
      </c>
      <c r="W83" s="1">
        <f ca="1">IF(ISERROR(F72),"",IF(ISTEXT(VLOOKUP(B72,INDIRECT($F$8),6+(O83-1)*3)),11,IF(VLOOKUP(B72,INDIRECT($F$8),6+(O83-1)*3)&lt;S83*0.3,IF(VLOOKUP(B72,INDIRECT($F$8),8+(O83-1)*3)&lt;U83*0.4,IF(AND(0.4*U83-VLOOKUP(B72,INDIRECT($F$8),8+(O83-1)*3)&lt;=5,0.3*S83-VLOOKUP(B72,INDIRECT($F$8),6+(O83-1)*3)&lt;=5),MAX(0.4*U83-VLOOKUP(B72,INDIRECT($F$8),8+(O83-1)*3),0.3*S83-VLOOKUP(B72,INDIRECT($F$8),6+(O83-1)*3)),11),IF(0.3*S83-VLOOKUP(B72,INDIRECT($F$8),6+(O83-1)*3)&lt;=5,0.3*S83-VLOOKUP(B72,INDIRECT($F$8),6+(O83-1)*3),11)),IF(VLOOKUP(B72,INDIRECT($F$8),8+(O83-1)*3)&lt;U83*0.4,IF(U83*0.4-VLOOKUP(B72,INDIRECT($F$8),8+(O83-1)*3)&lt;=5,U83*0.4-VLOOKUP(B72,INDIRECT($F$8),8+(O83-1)*3),11),0))))</f>
        <v>11</v>
      </c>
      <c r="X83" s="1" t="str">
        <f ca="1">IF(ISERROR(F72),"",IF(W83=0,"",_xlfn.TEXTJOIN("",FALSE," G+",W83," in ",A83)))</f>
        <v xml:space="preserve"> G+11 in CAP 013</v>
      </c>
    </row>
    <row r="84" spans="1:24" ht="12.75" customHeight="1" x14ac:dyDescent="0.2">
      <c r="A84" s="43" t="str">
        <f ca="1">IF(ISERROR(F72),"",A68)</f>
        <v>Total Credits/ Marks/ Total Grade Points</v>
      </c>
      <c r="B84" s="43"/>
      <c r="C84" s="43"/>
      <c r="D84" s="43"/>
      <c r="E84" s="43"/>
      <c r="F84" s="10">
        <f ca="1">IF(ISERROR(F72),"",SUM(F77:F83))</f>
        <v>15</v>
      </c>
      <c r="G84" s="44" t="str">
        <f ca="1">IF(ISERROR(F72),"",_xlfn.TEXTJOIN("/",TRUE,SUMIF(F77:F83,"&gt;0",P77:P83),SUMIF(F77:F83,"&gt;0",S77:S83)))</f>
        <v>0/430</v>
      </c>
      <c r="H84" s="44"/>
      <c r="I84" s="44" t="str">
        <f ca="1">IF(ISERROR(F72),"",_xlfn.TEXTJOIN("/",TRUE,SUMIF(F77:F83,"&gt;0",Q77:Q83),SUMIF(F77:F83,"&gt;0",T77:T83)))</f>
        <v>0/220</v>
      </c>
      <c r="J84" s="44"/>
      <c r="K84" s="44" t="str">
        <f ca="1">IF(ISERROR(F72),"",_xlfn.TEXTJOIN("/",TRUE,SUMIF(F77:F83,"&gt;0",R77:R83),SUMIF(F77:F83,"&gt;0",U77:U83)))</f>
        <v>0/650</v>
      </c>
      <c r="L84" s="44"/>
      <c r="M84" s="43" t="e">
        <f ca="1">IF(ISERROR(F72),"",SUMPRODUCT(N77:N83,F77:F83))</f>
        <v>#N/A</v>
      </c>
      <c r="N84" s="43"/>
      <c r="V84" s="1" t="e">
        <f ca="1">IF(ISERROR(F72),"",_xlfn.TEXTJOIN(", ",TRUE,V77:V83))</f>
        <v>#N/A</v>
      </c>
      <c r="W84" t="b">
        <f ca="1">IF(ISERROR(F72),"",IF(SUM(W77:W83)&lt;=W76,TRUE,FALSE))</f>
        <v>0</v>
      </c>
      <c r="X84" s="1" t="str">
        <f ca="1">IF(ISERROR(F72),"",_xlfn.TEXTJOIN(",",TRUE,X77:X83))</f>
        <v xml:space="preserve"> G+11 in CAT 022, G+11 in Enroll No., G+11 in CAT 030, G+11 in Enroll No., G+11 in CAP 011, G+11 in Enroll No., G+11 in CAP 013</v>
      </c>
    </row>
    <row r="85" spans="1:24" ht="12.75" customHeight="1" x14ac:dyDescent="0.2">
      <c r="A85" s="43" t="str">
        <f ca="1">IF(ISERROR(F72),"",A69)</f>
        <v>Result:</v>
      </c>
      <c r="B85" s="45" t="e">
        <f ca="1">IF(ISERROR(F72),"",IF(V84="","PASS","CARRY OVER"))</f>
        <v>#N/A</v>
      </c>
      <c r="C85" s="45"/>
      <c r="D85" s="43" t="str">
        <f ca="1">IF(ISERROR(F72),"",D69)</f>
        <v>Remark:</v>
      </c>
      <c r="E85" s="45" t="e">
        <f ca="1">IF(ISERROR(F72),"",IF(V84="",IF(X84="","",X84),_xlfn.TEXTJOIN(" ",TRUE,"BACK IN",V84)))</f>
        <v>#N/A</v>
      </c>
      <c r="F85" s="45"/>
      <c r="G85" s="43" t="str">
        <f ca="1">IF(ISERROR(F72),"",G69)</f>
        <v>SGPA:</v>
      </c>
      <c r="H85" s="46" t="e">
        <f ca="1">IF(ISERROR(F72),"",M84/F84)</f>
        <v>#N/A</v>
      </c>
      <c r="I85" s="43" t="str">
        <f ca="1">IF(ISERROR(F72),"",I69)</f>
        <v>CGPA:</v>
      </c>
      <c r="J85" s="46" t="e">
        <f ca="1">IF(ISERROR(F72),"",VLOOKUP(B72,INDIRECT($F$8),12+(O83-1)*3,0))</f>
        <v>#N/A</v>
      </c>
      <c r="K85" s="45" t="str">
        <f ca="1">IF(ISERROR(F72),"",K69)</f>
        <v>Earned Credits:</v>
      </c>
      <c r="L85" s="43">
        <f ca="1">IF(ISERROR(F72),"",SUMIF(N77:N83,"&gt;0",F77:F83))</f>
        <v>0</v>
      </c>
      <c r="M85" s="45" t="str">
        <f ca="1">IF(ISERROR(F72),"",M69)</f>
        <v>Cuml. Earned Credits:</v>
      </c>
      <c r="N85" s="43" t="e">
        <f ca="1">IF(ISERROR(F72),"",VLOOKUP(B72,INDIRECT($F$8),10+(O83-1)*3,0))</f>
        <v>#N/A</v>
      </c>
    </row>
    <row r="86" spans="1:24" ht="12.75" customHeight="1" x14ac:dyDescent="0.2">
      <c r="A86" s="43"/>
      <c r="B86" s="45"/>
      <c r="C86" s="45"/>
      <c r="D86" s="43"/>
      <c r="E86" s="45"/>
      <c r="F86" s="45"/>
      <c r="G86" s="43"/>
      <c r="H86" s="46"/>
      <c r="I86" s="43"/>
      <c r="J86" s="46"/>
      <c r="K86" s="45"/>
      <c r="L86" s="43"/>
      <c r="M86" s="45"/>
      <c r="N86" s="43"/>
    </row>
    <row r="87" spans="1:24" ht="12.75" customHeight="1" x14ac:dyDescent="0.2">
      <c r="A87" s="43"/>
      <c r="B87" s="45"/>
      <c r="C87" s="45"/>
      <c r="D87" s="43"/>
      <c r="E87" s="45"/>
      <c r="F87" s="45"/>
      <c r="G87" s="43"/>
      <c r="H87" s="46"/>
      <c r="I87" s="43"/>
      <c r="J87" s="46"/>
      <c r="K87" s="45"/>
      <c r="L87" s="43"/>
      <c r="M87" s="45"/>
      <c r="N87" s="43"/>
    </row>
    <row r="88" spans="1:24" ht="12.75" customHeight="1" x14ac:dyDescent="0.2">
      <c r="A88" s="11" t="str">
        <f>A72</f>
        <v>MM</v>
      </c>
      <c r="B88" s="11">
        <f>B72+1</f>
        <v>6</v>
      </c>
      <c r="C88" s="11" t="str">
        <f>C72</f>
        <v>SC</v>
      </c>
      <c r="D88" s="11" t="str">
        <f>D72</f>
        <v>SN</v>
      </c>
      <c r="E88" s="11" t="str">
        <f>E72</f>
        <v>C</v>
      </c>
      <c r="F88" s="11" t="str">
        <f ca="1">VLOOKUP(B88,INDIRECT($F$8),4,0)</f>
        <v>ASMIT BHATT</v>
      </c>
    </row>
    <row r="89" spans="1:24" ht="12.75" customHeight="1" x14ac:dyDescent="0.2">
      <c r="A89" s="47" t="str">
        <f ca="1">IF(ISERROR(F88),"",A73)</f>
        <v>Name:</v>
      </c>
      <c r="B89" s="47" t="str">
        <f ca="1">IFERROR(VLOOKUP(B88,INDIRECT($F$8),4,0),"")</f>
        <v>ASMIT BHATT</v>
      </c>
      <c r="C89" s="47"/>
      <c r="D89" s="47" t="str">
        <f ca="1">IF(ISERROR(F88),"",D73)</f>
        <v>Father's Name:</v>
      </c>
      <c r="E89" s="47" t="str">
        <f ca="1">IFERROR(VLOOKUP(B88,INDIRECT($F$8),5,0),"")</f>
        <v>JANARDHAN BHATT</v>
      </c>
      <c r="F89" s="47"/>
      <c r="G89" s="47" t="str">
        <f ca="1">IF(ISERROR(F88),"",G73)</f>
        <v>University Roll No:</v>
      </c>
      <c r="H89" s="47"/>
      <c r="I89" s="48">
        <f ca="1">IFERROR(VLOOKUP(B88,INDIRECT($F$8),2,0),"")</f>
        <v>240090600006</v>
      </c>
      <c r="J89" s="48"/>
      <c r="K89" s="47" t="str">
        <f ca="1">IF(ISERROR(F88),"",K73)</f>
        <v>University Enrol. No:</v>
      </c>
      <c r="L89" s="47"/>
      <c r="M89" s="48" t="str">
        <f ca="1">IFERROR(VLOOKUP(B88,INDIRECT($F$8),3,0),"")</f>
        <v>UTU/2406100179</v>
      </c>
      <c r="N89" s="48"/>
    </row>
    <row r="90" spans="1:24" ht="12.75" customHeight="1" x14ac:dyDescent="0.2">
      <c r="A90" s="47"/>
      <c r="B90" s="47"/>
      <c r="C90" s="47"/>
      <c r="D90" s="47"/>
      <c r="E90" s="47"/>
      <c r="F90" s="47"/>
      <c r="G90" s="47"/>
      <c r="H90" s="47"/>
      <c r="I90" s="48"/>
      <c r="J90" s="48"/>
      <c r="K90" s="47"/>
      <c r="L90" s="47"/>
      <c r="M90" s="48"/>
      <c r="N90" s="48"/>
    </row>
    <row r="91" spans="1:24" ht="12.75" customHeight="1" x14ac:dyDescent="0.2">
      <c r="A91" s="45" t="str">
        <f ca="1">IF(ISERROR(F88),"",A75)</f>
        <v>Subject Code</v>
      </c>
      <c r="B91" s="45" t="str">
        <f ca="1">IF(ISERROR(F88),"",B75)</f>
        <v>Subject Name</v>
      </c>
      <c r="C91" s="45"/>
      <c r="D91" s="45"/>
      <c r="E91" s="45"/>
      <c r="F91" s="45" t="str">
        <f ca="1">IF(ISERROR(F88),"",F75)</f>
        <v>Credits</v>
      </c>
      <c r="G91" s="45" t="str">
        <f ca="1">IF(ISERROR(F88),"",G75)</f>
        <v>External Marks</v>
      </c>
      <c r="H91" s="45"/>
      <c r="I91" s="45" t="str">
        <f ca="1">IF(ISERROR(F88),"",I75)</f>
        <v>Sessional Marks</v>
      </c>
      <c r="J91" s="45"/>
      <c r="K91" s="45" t="str">
        <f ca="1">IF(ISERROR(F88),"",K75)</f>
        <v>Total Marks</v>
      </c>
      <c r="L91" s="45"/>
      <c r="M91" s="45" t="str">
        <f ca="1">IF(ISERROR(F88),"",M75)</f>
        <v>Grade</v>
      </c>
      <c r="N91" s="45" t="str">
        <f ca="1">IF(ISERROR(F88),"",N75)</f>
        <v>Grade Points</v>
      </c>
    </row>
    <row r="92" spans="1:24" ht="12.75" customHeight="1" x14ac:dyDescent="0.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W92">
        <f ca="1">IF(ISNUMBER(MATCH($F$8,{"I","III","V","VII"},0)),10,10-INDEX(INDIRECT(_xlfn.TEXTJOIN("",TRUE,"SEM_",$G$8,"!",ADDRESS(6,4+$I$8*3+4),":",ADDRESS(5+$H$8,4+$I$8*3+4))),MATCH(INDIRECT(_xlfn.TEXTJOIN("",TRUE,"TC_",$F$8,"!",ADDRESS(ROW(I89),COLUMN(I89)))),INDIRECT(_xlfn.TEXTJOIN("",TRUE,"SEM_",$G$8,"!",ADDRESS(6,2),":",ADDRESS(5+$H$8,2))))))</f>
        <v>10</v>
      </c>
    </row>
    <row r="93" spans="1:24" ht="12.75" customHeight="1" x14ac:dyDescent="0.2">
      <c r="A93" s="7" t="str">
        <f ca="1">IF(ISERROR(F88),"",VLOOKUP(C88,INDIRECT($F$8),6+(O93-1)*3,0))</f>
        <v>CAT 022</v>
      </c>
      <c r="B93" s="41" t="str">
        <f ca="1">IF(ISERROR(F88),"",VLOOKUP(D88,INDIRECT($F$8),6+(O93-1)*3,0))</f>
        <v>Network Security</v>
      </c>
      <c r="C93" s="41"/>
      <c r="D93" s="41"/>
      <c r="E93" s="41"/>
      <c r="F93" s="7">
        <f ca="1">IF(ISERROR(F88),"",VLOOKUP(E88,INDIRECT($F$8),6+(O93-1)*3,0))</f>
        <v>4</v>
      </c>
      <c r="G93" s="42" t="str">
        <f ca="1">IF(ISERROR(F88),"",_xlfn.TEXTJOIN("/",FALSE,P93,S93))</f>
        <v>0/100</v>
      </c>
      <c r="H93" s="42"/>
      <c r="I93" s="42" t="str">
        <f ca="1">IF(ISERROR(F88),"",_xlfn.TEXTJOIN("/",FALSE,Q93,T93))</f>
        <v>0/50</v>
      </c>
      <c r="J93" s="42"/>
      <c r="K93" s="42" t="str">
        <f ca="1">IF(ISERROR(F88),"",_xlfn.TEXTJOIN("/",FALSE,R93,U93))</f>
        <v>0/150</v>
      </c>
      <c r="L93" s="42"/>
      <c r="M93" s="7" t="str">
        <f ca="1">IF(ISERROR(F88),"",IF(ISTEXT(P93),IF(P93="A","Ab",IF(P93="D","Dt",IF(P93="UFM","UFM",IF(P93="NA","")))),IF(AND(ISBLANK(P93),ISBLANK(R93)),"",IF(P93&lt;0.3*S93,"F",IF(ISBLANK(R93),"",IF(ISTEXT(R93),R93,IF(R93&gt;=0.9*U93,"O",IF(R93&gt;=0.85*U93,"A+",IF(R93&gt;=0.8*U93,"A",IF(R93&gt;=0.7*U93,"B+",IF(R93&gt;=0.6*U93,"B",IF(R93&gt;=0.5*U93,"C",IF(R93&gt;=0.4*U93,"P",IF(R93&lt;0.4*U93,"F",R93))))))))))))))</f>
        <v>F</v>
      </c>
      <c r="N93" s="8">
        <f t="shared" ref="N93:N99" ca="1" si="5">INDEX($Z$2:$Z$13,MATCH(M93,$Y$2:$Y$13,0))</f>
        <v>0</v>
      </c>
      <c r="O93">
        <v>1</v>
      </c>
      <c r="P93" s="1">
        <f ca="1">IF(ISERROR(F88),"",IF(ISTEXT(VLOOKUP(B88,INDIRECT($F$8),6+(O93-1)*3)),(VLOOKUP(B88,INDIRECT($F$8),6+(O93-1)*3)),SUM(VLOOKUP(B88,INDIRECT($F$8),6+(O93-1)*3),IF(W100,W93,0))))</f>
        <v>0</v>
      </c>
      <c r="Q93" s="1">
        <f ca="1">IF(ISERROR(F88),"",VLOOKUP(B88,INDIRECT($F$8),7+(O93-1)*3))</f>
        <v>0</v>
      </c>
      <c r="R93" s="1">
        <f ca="1">IF(ISERROR(F88),"",SUM(P93:Q93))</f>
        <v>0</v>
      </c>
      <c r="S93" s="1">
        <f ca="1">IF(ISERROR(F88),"",VLOOKUP(A88,INDIRECT($F$8),6+(O93-1)*3))</f>
        <v>100</v>
      </c>
      <c r="T93" s="1">
        <f ca="1">IF(ISERROR(F88),"",VLOOKUP(A88,INDIRECT($F$8),7+(O93-1)*3))</f>
        <v>50</v>
      </c>
      <c r="U93" s="1">
        <f ca="1">IF(ISERROR(F88),"",VLOOKUP(A88,INDIRECT($F$8),8+(O93-1)*3))</f>
        <v>150</v>
      </c>
      <c r="V93" s="1" t="str">
        <f ca="1">IF(ISERROR(F88),"",IF(N93=0,A93,""))</f>
        <v>CAT 022</v>
      </c>
      <c r="W93" s="1">
        <f ca="1">IF(ISERROR(F88),"",IF(ISTEXT(VLOOKUP(B88,INDIRECT($F$8),6+(O93-1)*3)),11,IF(VLOOKUP(B88,INDIRECT($F$8),6+(O93-1)*3)&lt;S93*0.3,IF(VLOOKUP(B88,INDIRECT($F$8),8+(O93-1)*3)&lt;U93*0.4,IF(AND(0.4*U93-VLOOKUP(B88,INDIRECT($F$8),8+(O93-1)*3)&lt;=5,0.3*S93-VLOOKUP(B88,INDIRECT($F$8),6+(O93-1)*3)&lt;=5),MAX(0.4*U93-VLOOKUP(B88,INDIRECT($F$8),8+(O93-1)*3),0.3*S93-VLOOKUP(B88,INDIRECT($F$8),6+(O93-1)*3)),11),IF(0.3*S93-VLOOKUP(B88,INDIRECT($F$8),6+(O93-1)*3)&lt;=5,0.3*S93-VLOOKUP(B88,INDIRECT($F$8),6+(O93-1)*3),11)),IF(VLOOKUP(B88,INDIRECT($F$8),8+(O93-1)*3)&lt;U93*0.4,IF(U93*0.4-VLOOKUP(B88,INDIRECT($F$8),8+(O93-1)*3)&lt;=5,U93*0.4-VLOOKUP(B88,INDIRECT($F$8),8+(O93-1)*3),11),0))))</f>
        <v>11</v>
      </c>
      <c r="X93" s="1" t="str">
        <f ca="1">IF(ISERROR(F88),"",IF(W93=0,"",_xlfn.TEXTJOIN("",FALSE," G+",W93," in ",A93)))</f>
        <v xml:space="preserve"> G+11 in CAT 022</v>
      </c>
    </row>
    <row r="94" spans="1:24" ht="12.75" customHeight="1" x14ac:dyDescent="0.2">
      <c r="A94" s="7" t="str">
        <f ca="1">IF(ISERROR(F88),"",VLOOKUP(C88,INDIRECT($F$8),6+(O94-1)*3,0))</f>
        <v>Enroll No.</v>
      </c>
      <c r="B94" s="41">
        <f ca="1">IF(ISERROR(F88),"",VLOOKUP(D88,INDIRECT($F$8),6+(O94-1)*3,0))</f>
        <v>0</v>
      </c>
      <c r="C94" s="41"/>
      <c r="D94" s="41"/>
      <c r="E94" s="41"/>
      <c r="F94" s="7">
        <f ca="1">IF(ISERROR(F88),"",VLOOKUP(E88,INDIRECT($F$8),6+(O94-1)*3,0))</f>
        <v>0</v>
      </c>
      <c r="G94" s="42" t="str">
        <f ca="1">IF(ISERROR(F88),"",_xlfn.TEXTJOIN("/",FALSE,P94,S94))</f>
        <v>UTU/2406100179/0</v>
      </c>
      <c r="H94" s="42"/>
      <c r="I94" s="42" t="str">
        <f ca="1">IF(ISERROR(F88),"",_xlfn.TEXTJOIN("/",FALSE,Q94,T94))</f>
        <v>ASMIT BHATT/0</v>
      </c>
      <c r="J94" s="42"/>
      <c r="K94" s="42" t="str">
        <f ca="1">IF(ISERROR(F88),"",_xlfn.TEXTJOIN("/",FALSE,R94,U94))</f>
        <v>0/0</v>
      </c>
      <c r="L94" s="42"/>
      <c r="M94" s="7" t="b">
        <f ca="1">IF(ISERROR(F88),"",IF(ISTEXT(P94),IF(P94="A","Ab",IF(P94="D","Dt",IF(P94="UFM","UFM",IF(P94="NA","")))),IF(AND(ISBLANK(P94),ISBLANK(R94)),"",IF(P94&lt;0.3*S94,"F",IF(ISBLANK(R94),"",IF(ISTEXT(R94),R94,IF(R94&gt;=0.9*U94,"O",IF(R94&gt;=0.85*U94,"A+",IF(R94&gt;=0.8*U94,"A",IF(R94&gt;=0.7*U94,"B+",IF(R94&gt;=0.6*U94,"B",IF(R94&gt;=0.5*U94,"C",IF(R94&gt;=0.4*U94,"P",IF(R94&lt;0.4*U94,"F",R94))))))))))))))</f>
        <v>0</v>
      </c>
      <c r="N94" s="8" t="e">
        <f t="shared" ca="1" si="5"/>
        <v>#N/A</v>
      </c>
      <c r="O94" t="b" cm="1">
        <f t="array" aca="1" ref="O94" ca="1">IF(NOT(ISBLANK(INDIRECT("SEM_IV!I"&amp;INT((ROW(O94)-14)/16)+6))),2,IF(NOT(ISBLANK(INDIRECT("SEM_IV!L"&amp;INT((ROW(O94)-14)/16)+6))),3))</f>
        <v>0</v>
      </c>
      <c r="P94" s="1" t="str">
        <f ca="1">IF(ISERROR(F88),"",IF(ISTEXT(VLOOKUP(B88,INDIRECT($F$8),6+(O94-1)*3)),(VLOOKUP(B88,INDIRECT($F$8),6+(O94-1)*3)),SUM(VLOOKUP(B88,INDIRECT($F$8),6+(O94-1)*3),IF(W100,W94,0))))</f>
        <v>UTU/2406100179</v>
      </c>
      <c r="Q94" s="1" t="str">
        <f ca="1">IF(ISERROR(F88),"",VLOOKUP(B88,INDIRECT($F$8),7+(O94-1)*3))</f>
        <v>ASMIT BHATT</v>
      </c>
      <c r="R94" s="1">
        <f ca="1">IF(ISERROR(F88),"",SUM(P94:Q94))</f>
        <v>0</v>
      </c>
      <c r="S94" s="1">
        <f ca="1">IF(ISERROR(F88),"",VLOOKUP(A88,INDIRECT($F$8),6+(O94-1)*3))</f>
        <v>0</v>
      </c>
      <c r="T94" s="1">
        <f ca="1">IF(ISERROR(F88),"",VLOOKUP(A88,INDIRECT($F$8),7+(O94-1)*3))</f>
        <v>0</v>
      </c>
      <c r="U94" s="1">
        <f ca="1">IF(ISERROR(F88),"",VLOOKUP(A88,INDIRECT($F$8),8+(O94-1)*3))</f>
        <v>0</v>
      </c>
      <c r="V94" s="1" t="e">
        <f ca="1">IF(ISERROR(F88),"",IF(N94=0,A94,""))</f>
        <v>#N/A</v>
      </c>
      <c r="W94" s="1">
        <f ca="1">IF(ISERROR(F88),"",IF(ISTEXT(VLOOKUP(B88,INDIRECT($F$8),6+(O94-1)*3)),11,IF(VLOOKUP(B88,INDIRECT($F$8),6+(O94-1)*3)&lt;S94*0.3,IF(VLOOKUP(B88,INDIRECT($F$8),8+(O94-1)*3)&lt;U94*0.4,IF(AND(0.4*U94-VLOOKUP(B88,INDIRECT($F$8),8+(O94-1)*3)&lt;=5,0.3*S94-VLOOKUP(B88,INDIRECT($F$8),6+(O94-1)*3)&lt;=5),MAX(0.4*U94-VLOOKUP(B88,INDIRECT($F$8),8+(O94-1)*3),0.3*S94-VLOOKUP(B88,INDIRECT($F$8),6+(O94-1)*3)),11),IF(0.3*S94-VLOOKUP(B88,INDIRECT($F$8),6+(O94-1)*3)&lt;=5,0.3*S94-VLOOKUP(B88,INDIRECT($F$8),6+(O94-1)*3),11)),IF(VLOOKUP(B88,INDIRECT($F$8),8+(O94-1)*3)&lt;U94*0.4,IF(U94*0.4-VLOOKUP(B88,INDIRECT($F$8),8+(O94-1)*3)&lt;=5,U94*0.4-VLOOKUP(B88,INDIRECT($F$8),8+(O94-1)*3),11),0))))</f>
        <v>11</v>
      </c>
      <c r="X94" s="1" t="str">
        <f ca="1">IF(ISERROR(F88),"",IF(W94=0,"",_xlfn.TEXTJOIN("",FALSE," G+",W94," in ",A94)))</f>
        <v xml:space="preserve"> G+11 in Enroll No.</v>
      </c>
    </row>
    <row r="95" spans="1:24" ht="12.75" customHeight="1" x14ac:dyDescent="0.2">
      <c r="A95" s="7" t="str">
        <f ca="1">IF(ISERROR(F88),"",VLOOKUP(C88,INDIRECT($F$8),6+(O95-1)*3,0))</f>
        <v>CAT 030</v>
      </c>
      <c r="B95" s="41" t="str">
        <f ca="1">IF(ISERROR(F88),"",VLOOKUP(D88,INDIRECT($F$8),6+(O95-1)*3,0))</f>
        <v>Software Testing &amp; Quality Assurance</v>
      </c>
      <c r="C95" s="41"/>
      <c r="D95" s="41"/>
      <c r="E95" s="41"/>
      <c r="F95" s="7">
        <f ca="1">IF(ISERROR(F88),"",VLOOKUP(E88,INDIRECT($F$8),6+(O95-1)*3,0))</f>
        <v>4</v>
      </c>
      <c r="G95" s="42" t="str">
        <f ca="1">IF(ISERROR(F88),"",_xlfn.TEXTJOIN("/",FALSE,P95,S95))</f>
        <v>0/100</v>
      </c>
      <c r="H95" s="42"/>
      <c r="I95" s="42" t="str">
        <f ca="1">IF(ISERROR(F88),"",_xlfn.TEXTJOIN("/",FALSE,Q95,T95))</f>
        <v>0/50</v>
      </c>
      <c r="J95" s="42"/>
      <c r="K95" s="42" t="str">
        <f ca="1">IF(ISERROR(F88),"",_xlfn.TEXTJOIN("/",FALSE,R95,U95))</f>
        <v>0/150</v>
      </c>
      <c r="L95" s="42"/>
      <c r="M95" s="7" t="str">
        <f ca="1">IF(ISERROR(F88),"",IF(ISTEXT(P95),IF(P95="A","Ab",IF(P95="D","Dt",IF(P95="UFM","UFM",IF(P95="NA","")))),IF(AND(ISBLANK(P95),ISBLANK(R95)),"",IF(P95&lt;0.3*S95,"F",IF(ISBLANK(R95),"",IF(ISTEXT(R95),R95,IF(R95&gt;=0.9*U95,"O",IF(R95&gt;=0.85*U95,"A+",IF(R95&gt;=0.8*U95,"A",IF(R95&gt;=0.7*U95,"B+",IF(R95&gt;=0.6*U95,"B",IF(R95&gt;=0.5*U95,"C",IF(R95&gt;=0.4*U95,"P",IF(R95&lt;0.4*U95,"F",R95))))))))))))))</f>
        <v>F</v>
      </c>
      <c r="N95" s="8">
        <f t="shared" ca="1" si="5"/>
        <v>0</v>
      </c>
      <c r="O95">
        <f ca="1">IF(O94&gt;0,4,"")</f>
        <v>4</v>
      </c>
      <c r="P95" s="1">
        <f ca="1">IF(ISERROR(F88),"",IF(ISTEXT(VLOOKUP(B88,INDIRECT($F$8),6+(O95-1)*3)),(VLOOKUP(B88,INDIRECT($F$8),6+(O95-1)*3)),SUM(VLOOKUP(B88,INDIRECT($F$8),6+(O95-1)*3),IF(W100,W95,0))))</f>
        <v>0</v>
      </c>
      <c r="Q95" s="1">
        <f ca="1">IF(ISERROR(F88),"",VLOOKUP(B88,INDIRECT($F$8),7+(O95-1)*3))</f>
        <v>0</v>
      </c>
      <c r="R95" s="1">
        <f ca="1">IF(ISERROR(F88),"",SUM(P95:Q95))</f>
        <v>0</v>
      </c>
      <c r="S95" s="1">
        <f ca="1">IF(ISERROR(F88),"",VLOOKUP(A88,INDIRECT($F$8),6+(O95-1)*3))</f>
        <v>100</v>
      </c>
      <c r="T95" s="1">
        <f ca="1">IF(ISERROR(F88),"",VLOOKUP(A88,INDIRECT($F$8),7+(O95-1)*3))</f>
        <v>50</v>
      </c>
      <c r="U95" s="1">
        <f ca="1">IF(ISERROR(F88),"",VLOOKUP(A88,INDIRECT($F$8),8+(O95-1)*3))</f>
        <v>150</v>
      </c>
      <c r="V95" s="1" t="str">
        <f ca="1">IF(ISERROR(F88),"",IF(N95=0,A95,""))</f>
        <v>CAT 030</v>
      </c>
      <c r="W95" s="1">
        <f ca="1">IF(ISERROR(F88),"",IF(ISTEXT(VLOOKUP(B88,INDIRECT($F$8),6+(O95-1)*3)),11,IF(VLOOKUP(B88,INDIRECT($F$8),6+(O95-1)*3)&lt;S95*0.3,IF(VLOOKUP(B88,INDIRECT($F$8),8+(O95-1)*3)&lt;U95*0.4,IF(AND(0.4*U95-VLOOKUP(B88,INDIRECT($F$8),8+(O95-1)*3)&lt;=5,0.3*S95-VLOOKUP(B88,INDIRECT($F$8),6+(O95-1)*3)&lt;=5),MAX(0.4*U95-VLOOKUP(B88,INDIRECT($F$8),8+(O95-1)*3),0.3*S95-VLOOKUP(B88,INDIRECT($F$8),6+(O95-1)*3)),11),IF(0.3*S95-VLOOKUP(B88,INDIRECT($F$8),6+(O95-1)*3)&lt;=5,0.3*S95-VLOOKUP(B88,INDIRECT($F$8),6+(O95-1)*3),11)),IF(VLOOKUP(B88,INDIRECT($F$8),8+(O95-1)*3)&lt;U95*0.4,IF(U95*0.4-VLOOKUP(B88,INDIRECT($F$8),8+(O95-1)*3)&lt;=5,U95*0.4-VLOOKUP(B88,INDIRECT($F$8),8+(O95-1)*3),11),0))))</f>
        <v>11</v>
      </c>
      <c r="X95" s="1" t="str">
        <f ca="1">IF(ISERROR(F88),"",IF(W95=0,"",_xlfn.TEXTJOIN("",FALSE," G+",W95," in ",A95)))</f>
        <v xml:space="preserve"> G+11 in CAT 030</v>
      </c>
    </row>
    <row r="96" spans="1:24" ht="12.75" customHeight="1" x14ac:dyDescent="0.2">
      <c r="A96" s="7" t="str">
        <f ca="1">IF(ISERROR(F88),"",VLOOKUP(C88,INDIRECT($F$8),6+(O96-1)*3,0))</f>
        <v>Enroll No.</v>
      </c>
      <c r="B96" s="41">
        <f ca="1">IF(ISERROR(F88),"",VLOOKUP(D88,INDIRECT($F$8),6+(O96-1)*3,0))</f>
        <v>0</v>
      </c>
      <c r="C96" s="41"/>
      <c r="D96" s="41"/>
      <c r="E96" s="41"/>
      <c r="F96" s="7">
        <f ca="1">IF(ISERROR(F88),"",VLOOKUP(E88,INDIRECT($F$8),6+(O96-1)*3,0))</f>
        <v>0</v>
      </c>
      <c r="G96" s="42" t="str">
        <f ca="1">IF(ISERROR(F88),"",_xlfn.TEXTJOIN("/",FALSE,P96,S96))</f>
        <v>UTU/2406100179/0</v>
      </c>
      <c r="H96" s="42"/>
      <c r="I96" s="42" t="str">
        <f ca="1">IF(ISERROR(F88),"",_xlfn.TEXTJOIN("/",FALSE,Q96,T96))</f>
        <v>ASMIT BHATT/0</v>
      </c>
      <c r="J96" s="42"/>
      <c r="K96" s="42" t="str">
        <f ca="1">IF(ISERROR(F88),"",_xlfn.TEXTJOIN("/",FALSE,R96,U96))</f>
        <v>0/0</v>
      </c>
      <c r="L96" s="42"/>
      <c r="M96" s="7" t="b">
        <f ca="1">IF(ISERROR(F88),"",IF(ISTEXT(P96),IF(P96="A","Ab",IF(P96="D","Dt",IF(P96="UFM","UFM",IF(P96="NA","")))),IF(AND(ISBLANK(P96),ISBLANK(R96)),"",IF(P96&lt;0.3*S96,"F",IF(ISBLANK(R96),"",IF(ISTEXT(R96),R96,IF(R96&gt;=0.9*U96,"O",IF(R96&gt;=0.85*U96,"A+",IF(R96&gt;=0.8*U96,"A",IF(R96&gt;=0.7*U96,"B+",IF(R96&gt;=0.6*U96,"B",IF(R96&gt;=0.5*U96,"C",IF(R96&gt;=0.4*U96,"P",IF(R96&lt;0.4*U96,"F",R96))))))))))))))</f>
        <v>0</v>
      </c>
      <c r="N96" s="8" t="e">
        <f t="shared" ca="1" si="5"/>
        <v>#N/A</v>
      </c>
      <c r="O96" t="b" cm="1">
        <f t="array" aca="1" ref="O96" ca="1">IF(NOT(ISBLANK(INDIRECT("SEM_IV!R"&amp;INT((ROW(O96)-16)/16)+6))),5,IF(NOT(ISBLANK(INDIRECT("SEM_IV!U"&amp;INT((ROW(O96)-16)/16)+6))),6))</f>
        <v>0</v>
      </c>
      <c r="P96" s="1" t="str">
        <f ca="1">IF(ISERROR(F88),"",IF(ISTEXT(VLOOKUP(B88,INDIRECT($F$8),6+(O96-1)*3)),(VLOOKUP(B88,INDIRECT($F$8),6+(O96-1)*3)),SUM(VLOOKUP(B88,INDIRECT($F$8),6+(O96-1)*3),IF(W100,W96,0))))</f>
        <v>UTU/2406100179</v>
      </c>
      <c r="Q96" s="1" t="str">
        <f ca="1">IF(ISERROR(F88),"",VLOOKUP(B88,INDIRECT($F$8),7+(O96-1)*3))</f>
        <v>ASMIT BHATT</v>
      </c>
      <c r="R96" s="1">
        <f ca="1">IF(ISERROR(F88),"",SUM(P96:Q96))</f>
        <v>0</v>
      </c>
      <c r="S96" s="1">
        <f ca="1">IF(ISERROR(F88),"",VLOOKUP(A88,INDIRECT($F$8),6+(O96-1)*3))</f>
        <v>0</v>
      </c>
      <c r="T96" s="1">
        <f ca="1">IF(ISERROR(F88),"",VLOOKUP(A88,INDIRECT($F$8),7+(O96-1)*3))</f>
        <v>0</v>
      </c>
      <c r="U96" s="1">
        <f ca="1">IF(ISERROR(F88),"",VLOOKUP(A88,INDIRECT($F$8),8+(O96-1)*3))</f>
        <v>0</v>
      </c>
      <c r="V96" s="1" t="e">
        <f ca="1">IF(ISERROR(F88),"",IF(N96=0,A96,""))</f>
        <v>#N/A</v>
      </c>
      <c r="W96" s="1">
        <f ca="1">IF(ISERROR(F88),"",IF(ISTEXT(VLOOKUP(B88,INDIRECT($F$8),6+(O96-1)*3)),11,IF(VLOOKUP(B88,INDIRECT($F$8),6+(O96-1)*3)&lt;S96*0.3,IF(VLOOKUP(B88,INDIRECT($F$8),8+(O96-1)*3)&lt;U96*0.4,IF(AND(0.4*U96-VLOOKUP(B88,INDIRECT($F$8),8+(O96-1)*3)&lt;=5,0.3*S96-VLOOKUP(B88,INDIRECT($F$8),6+(O96-1)*3)&lt;=5),MAX(0.4*U96-VLOOKUP(B88,INDIRECT($F$8),8+(O96-1)*3),0.3*S96-VLOOKUP(B88,INDIRECT($F$8),6+(O96-1)*3)),11),IF(0.3*S96-VLOOKUP(B88,INDIRECT($F$8),6+(O96-1)*3)&lt;=5,0.3*S96-VLOOKUP(B88,INDIRECT($F$8),6+(O96-1)*3),11)),IF(VLOOKUP(B88,INDIRECT($F$8),8+(O96-1)*3)&lt;U96*0.4,IF(U96*0.4-VLOOKUP(B88,INDIRECT($F$8),8+(O96-1)*3)&lt;=5,U96*0.4-VLOOKUP(B88,INDIRECT($F$8),8+(O96-1)*3),11),0))))</f>
        <v>11</v>
      </c>
      <c r="X96" s="1" t="str">
        <f ca="1">IF(ISERROR(F88),"",IF(W96=0,"",_xlfn.TEXTJOIN("",FALSE," G+",W96," in ",A96)))</f>
        <v xml:space="preserve"> G+11 in Enroll No.</v>
      </c>
    </row>
    <row r="97" spans="1:24" ht="12.75" customHeight="1" x14ac:dyDescent="0.2">
      <c r="A97" s="7" t="str">
        <f ca="1">IF(ISERROR(F88),"",VLOOKUP(C88,INDIRECT($F$8),6+(O97-1)*3,0))</f>
        <v>CAP 011</v>
      </c>
      <c r="B97" s="41" t="str">
        <f ca="1">IF(ISERROR(F88),"",VLOOKUP(D88,INDIRECT($F$8),6+(O97-1)*3,0))</f>
        <v>Network Security Lab</v>
      </c>
      <c r="C97" s="41"/>
      <c r="D97" s="41"/>
      <c r="E97" s="41"/>
      <c r="F97" s="7">
        <f ca="1">IF(ISERROR(F88),"",VLOOKUP(E88,INDIRECT($F$8),6+(O97-1)*3,0))</f>
        <v>1</v>
      </c>
      <c r="G97" s="42" t="str">
        <f ca="1">IF(ISERROR(F88),"",_xlfn.TEXTJOIN("/",FALSE,P97,S97))</f>
        <v>0/30</v>
      </c>
      <c r="H97" s="42"/>
      <c r="I97" s="42" t="str">
        <f ca="1">IF(ISERROR(F88),"",_xlfn.TEXTJOIN("/",FALSE,Q97,T97))</f>
        <v>0/20</v>
      </c>
      <c r="J97" s="42"/>
      <c r="K97" s="42" t="str">
        <f ca="1">IF(ISERROR(F88),"",_xlfn.TEXTJOIN("/",FALSE,R97,U97))</f>
        <v>0/50</v>
      </c>
      <c r="L97" s="42"/>
      <c r="M97" s="7" t="str">
        <f ca="1">IF(ISERROR(F88),"",IF(ISTEXT(P97),IF(P97="A","Ab",IF(P97="D","Dt",IF(P97="UFM","UFM",IF(P97="NA","")))),IF(AND(ISBLANK(P97),ISBLANK(R97)),"",IF(P97&lt;0.3*S97,"F",IF(ISBLANK(R97),"",IF(ISTEXT(R97),R97,IF(R97&gt;=0.9*U97,"O",IF(R97&gt;=0.85*U97,"A+",IF(R97&gt;=0.8*U97,"A",IF(R97&gt;=0.7*U97,"B+",IF(R97&gt;=0.6*U97,"B",IF(R97&gt;=0.5*U97,"C",IF(R97&gt;=0.4*U97,"P",IF(R97&lt;0.4*U97,"F",R97))))))))))))))</f>
        <v>F</v>
      </c>
      <c r="N97" s="8">
        <f t="shared" ca="1" si="5"/>
        <v>0</v>
      </c>
      <c r="O97">
        <f ca="1">IF(O96&gt;0,7,"")</f>
        <v>7</v>
      </c>
      <c r="P97" s="1">
        <f ca="1">IF(ISERROR(F88),"",IF(ISTEXT(VLOOKUP(B88,INDIRECT($F$8),6+(O97-1)*3)),(VLOOKUP(B88,INDIRECT($F$8),6+(O97-1)*3)),SUM(VLOOKUP(B88,INDIRECT($F$8),6+(O97-1)*3),IF(W100,W97,0))))</f>
        <v>0</v>
      </c>
      <c r="Q97" s="1">
        <f ca="1">IF(ISERROR(F88),"",VLOOKUP(B88,INDIRECT($F$8),7+(O97-1)*3))</f>
        <v>0</v>
      </c>
      <c r="R97" s="1">
        <f ca="1">IF(ISERROR(F88),"",SUM(P97:Q97))</f>
        <v>0</v>
      </c>
      <c r="S97" s="1">
        <f ca="1">IF(ISERROR(F88),"",VLOOKUP(A88,INDIRECT($F$8),6+(O97-1)*3))</f>
        <v>30</v>
      </c>
      <c r="T97" s="1">
        <f ca="1">IF(ISERROR(F88),"",VLOOKUP(A88,INDIRECT($F$8),7+(O97-1)*3))</f>
        <v>20</v>
      </c>
      <c r="U97" s="1">
        <f ca="1">IF(ISERROR(F88),"",VLOOKUP(A88,INDIRECT($F$8),8+(O97-1)*3))</f>
        <v>50</v>
      </c>
      <c r="V97" s="1" t="str">
        <f ca="1">IF(ISERROR(F88),"",IF(N97=0,A97,""))</f>
        <v>CAP 011</v>
      </c>
      <c r="W97" s="1">
        <f ca="1">IF(ISERROR(F88),"",IF(ISTEXT(VLOOKUP(B88,INDIRECT($F$8),6+(O97-1)*3)),11,IF(VLOOKUP(B88,INDIRECT($F$8),6+(O97-1)*3)&lt;S97*0.3,IF(VLOOKUP(B88,INDIRECT($F$8),8+(O97-1)*3)&lt;U97*0.4,IF(AND(0.4*U97-VLOOKUP(B88,INDIRECT($F$8),8+(O97-1)*3)&lt;=5,0.3*S97-VLOOKUP(B88,INDIRECT($F$8),6+(O97-1)*3)&lt;=5),MAX(0.4*U97-VLOOKUP(B88,INDIRECT($F$8),8+(O97-1)*3),0.3*S97-VLOOKUP(B88,INDIRECT($F$8),6+(O97-1)*3)),11),IF(0.3*S97-VLOOKUP(B88,INDIRECT($F$8),6+(O97-1)*3)&lt;=5,0.3*S97-VLOOKUP(B88,INDIRECT($F$8),6+(O97-1)*3),11)),IF(VLOOKUP(B88,INDIRECT($F$8),8+(O97-1)*3)&lt;U97*0.4,IF(U97*0.4-VLOOKUP(B88,INDIRECT($F$8),8+(O97-1)*3)&lt;=5,U97*0.4-VLOOKUP(B88,INDIRECT($F$8),8+(O97-1)*3),11),0))))</f>
        <v>11</v>
      </c>
      <c r="X97" s="1" t="str">
        <f ca="1">IF(ISERROR(F88),"",IF(W97=0,"",_xlfn.TEXTJOIN("",FALSE," G+",W97," in ",A97)))</f>
        <v xml:space="preserve"> G+11 in CAP 011</v>
      </c>
    </row>
    <row r="98" spans="1:24" ht="12.75" customHeight="1" x14ac:dyDescent="0.2">
      <c r="A98" s="7" t="str">
        <f ca="1">IF(ISERROR(F88),"",VLOOKUP(C88,INDIRECT($F$8),6+(O98-1)*3,0))</f>
        <v>Enroll No.</v>
      </c>
      <c r="B98" s="41">
        <f ca="1">IF(ISERROR(F88),"",VLOOKUP(D88,INDIRECT($F$8),6+(O98-1)*3,0))</f>
        <v>0</v>
      </c>
      <c r="C98" s="41"/>
      <c r="D98" s="41"/>
      <c r="E98" s="41"/>
      <c r="F98" s="7">
        <f ca="1">IF(ISERROR(F88),"",VLOOKUP(E88,INDIRECT($F$8),6+(O98-1)*3,0))</f>
        <v>0</v>
      </c>
      <c r="G98" s="42" t="str">
        <f ca="1">IF(ISERROR(F88),"",_xlfn.TEXTJOIN("/",FALSE,P98,S98))</f>
        <v>UTU/2406100179/0</v>
      </c>
      <c r="H98" s="42"/>
      <c r="I98" s="42" t="str">
        <f ca="1">IF(ISERROR(F88),"",_xlfn.TEXTJOIN("/",FALSE,Q98,T98))</f>
        <v>ASMIT BHATT/0</v>
      </c>
      <c r="J98" s="42"/>
      <c r="K98" s="42" t="str">
        <f ca="1">IF(ISERROR(F88),"",_xlfn.TEXTJOIN("/",FALSE,R98,U98))</f>
        <v>0/0</v>
      </c>
      <c r="L98" s="42"/>
      <c r="M98" s="7" t="b">
        <f ca="1">IF(ISERROR(F88),"",IF(ISTEXT(P98),IF(P98="A","Ab",IF(P98="D","Dt",IF(P98="UFM","UFM",IF(P98="NA","")))),IF(AND(ISBLANK(P98),ISBLANK(R98)),"",IF(P98&lt;0.3*S98,"F",IF(ISBLANK(R98),"",IF(ISTEXT(R98),R98,IF(R98&gt;=0.9*U98,"O",IF(R98&gt;=0.85*U98,"A+",IF(R98&gt;=0.8*U98,"A",IF(R98&gt;=0.7*U98,"B+",IF(R98&gt;=0.6*U98,"B",IF(R98&gt;=0.5*U98,"C",IF(R98&gt;=0.4*U98,"P",IF(R98&lt;0.4*U98,"F",R98))))))))))))))</f>
        <v>0</v>
      </c>
      <c r="N98" s="8" t="e">
        <f t="shared" ca="1" si="5"/>
        <v>#N/A</v>
      </c>
      <c r="O98" t="b" cm="1">
        <f t="array" aca="1" ref="O98" ca="1">IF(NOT(ISBLANK(INDIRECT("SEM_IV!AA"&amp;INT((ROW(O98)-18)/16)+6))),8,IF(NOT(ISBLANK(INDIRECT("SEM_IV!AD"&amp;INT((ROW(O98)-18)/16)+6))),9))</f>
        <v>0</v>
      </c>
      <c r="P98" s="1" t="str">
        <f ca="1">IF(ISERROR(F88),"",IF(ISTEXT(VLOOKUP(B88,INDIRECT($F$8),6+(O98-1)*3)),(VLOOKUP(B88,INDIRECT($F$8),6+(O98-1)*3)),SUM(VLOOKUP(B88,INDIRECT($F$8),6+(O98-1)*3),IF(W100,W98,0))))</f>
        <v>UTU/2406100179</v>
      </c>
      <c r="Q98" s="1" t="str">
        <f ca="1">IF(ISERROR(F88),"",VLOOKUP(B88,INDIRECT($F$8),7+(O98-1)*3))</f>
        <v>ASMIT BHATT</v>
      </c>
      <c r="R98" s="1">
        <f ca="1">IF(ISERROR(F88),"",SUM(P98:Q98))</f>
        <v>0</v>
      </c>
      <c r="S98" s="1">
        <f ca="1">IF(ISERROR(F88),"",VLOOKUP(A88,INDIRECT($F$8),6+(O98-1)*3))</f>
        <v>0</v>
      </c>
      <c r="T98" s="1">
        <f ca="1">IF(ISERROR(F88),"",VLOOKUP(A88,INDIRECT($F$8),7+(O98-1)*3))</f>
        <v>0</v>
      </c>
      <c r="U98" s="1">
        <f ca="1">IF(ISERROR(F88),"",VLOOKUP(A88,INDIRECT($F$8),8+(O98-1)*3))</f>
        <v>0</v>
      </c>
      <c r="V98" s="1" t="e">
        <f ca="1">IF(ISERROR(F88),"",IF(N98=0,A98,""))</f>
        <v>#N/A</v>
      </c>
      <c r="W98" s="1">
        <f ca="1">IF(ISERROR(F88),"",IF(ISTEXT(VLOOKUP(B88,INDIRECT($F$8),6+(O98-1)*3)),11,IF(VLOOKUP(B88,INDIRECT($F$8),6+(O98-1)*3)&lt;S98*0.3,IF(VLOOKUP(B88,INDIRECT($F$8),8+(O98-1)*3)&lt;U98*0.4,IF(AND(0.4*U98-VLOOKUP(B88,INDIRECT($F$8),8+(O98-1)*3)&lt;=5,0.3*S98-VLOOKUP(B88,INDIRECT($F$8),6+(O98-1)*3)&lt;=5),MAX(0.4*U98-VLOOKUP(B88,INDIRECT($F$8),8+(O98-1)*3),0.3*S98-VLOOKUP(B88,INDIRECT($F$8),6+(O98-1)*3)),11),IF(0.3*S98-VLOOKUP(B88,INDIRECT($F$8),6+(O98-1)*3)&lt;=5,0.3*S98-VLOOKUP(B88,INDIRECT($F$8),6+(O98-1)*3),11)),IF(VLOOKUP(B88,INDIRECT($F$8),8+(O98-1)*3)&lt;U98*0.4,IF(U98*0.4-VLOOKUP(B88,INDIRECT($F$8),8+(O98-1)*3)&lt;=5,U98*0.4-VLOOKUP(B88,INDIRECT($F$8),8+(O98-1)*3),11),0))))</f>
        <v>11</v>
      </c>
      <c r="X98" s="1" t="str">
        <f ca="1">IF(ISERROR(F88),"",IF(W98=0,"",_xlfn.TEXTJOIN("",FALSE," G+",W98," in ",A98)))</f>
        <v xml:space="preserve"> G+11 in Enroll No.</v>
      </c>
    </row>
    <row r="99" spans="1:24" ht="12.75" customHeight="1" x14ac:dyDescent="0.2">
      <c r="A99" s="7" t="str">
        <f ca="1">IF(ISERROR(F88),"",VLOOKUP(C88,INDIRECT($F$8),6+(O99-1)*3,0))</f>
        <v>CAP 013</v>
      </c>
      <c r="B99" s="41" t="str">
        <f ca="1">IF(ISERROR(F88),"",VLOOKUP(D88,INDIRECT($F$8),6+(O99-1)*3-Z99,0))</f>
        <v>Major Project</v>
      </c>
      <c r="C99" s="41"/>
      <c r="D99" s="41"/>
      <c r="E99" s="41"/>
      <c r="F99" s="7">
        <f ca="1">IF(ISERROR(F88),"",VLOOKUP(E88,INDIRECT($F$8),6+(O99-1)*3,0))</f>
        <v>6</v>
      </c>
      <c r="G99" s="42" t="str">
        <f ca="1">IF(ISERROR(F88),"",_xlfn.TEXTJOIN("/",FALSE,P99,S99))</f>
        <v>0/200</v>
      </c>
      <c r="H99" s="42"/>
      <c r="I99" s="42" t="str">
        <f ca="1">IF(ISERROR(F88),"",_xlfn.TEXTJOIN("/",FALSE,Q99,T99))</f>
        <v>0/100</v>
      </c>
      <c r="J99" s="42"/>
      <c r="K99" s="42" t="str">
        <f ca="1">IF(ISERROR(F88),"",_xlfn.TEXTJOIN("/",FALSE,R99,U99))</f>
        <v>0/300</v>
      </c>
      <c r="L99" s="42"/>
      <c r="M99" s="7" t="str">
        <f ca="1">IF(ISERROR(F88),"",IF(ISTEXT(P99),IF(P99="A","Ab",IF(P99="D","Dt",IF(P99="UFM","UFM",IF(P99="NA","")))),IF(AND(ISBLANK(P99),ISBLANK(R99)),"",IF(P99&lt;0.3*S99,"F",IF(ISBLANK(R99),"",IF(ISTEXT(R99),R99,IF(R99&gt;=0.9*U99,"O",IF(R99&gt;=0.85*U99,"A+",IF(R99&gt;=0.8*U99,"A",IF(R99&gt;=0.7*U99,"B+",IF(R99&gt;=0.6*U99,"B",IF(R99&gt;=0.5*U99,"C",IF(R99&gt;=0.4*U99,"P",IF(R99&lt;0.4*U99,"F",R99))))))))))))))</f>
        <v>F</v>
      </c>
      <c r="N99" s="8">
        <f t="shared" ca="1" si="5"/>
        <v>0</v>
      </c>
      <c r="O99">
        <f ca="1">IF(O98&gt;0,10,"")</f>
        <v>10</v>
      </c>
      <c r="P99" s="1">
        <f ca="1">IF(ISERROR(F88),"",IF(ISTEXT(VLOOKUP(B88,INDIRECT($F$8),6+(O99-1)*3)),(VLOOKUP(B88,INDIRECT($F$8),6+(O99-1)*3)),SUM(VLOOKUP(B88,INDIRECT($F$8),6+(O99-1)*3),IF(W100,W99,0))))</f>
        <v>0</v>
      </c>
      <c r="Q99" s="1">
        <f ca="1">IF(ISERROR(F88),"",VLOOKUP(B88,INDIRECT($F$8),7+(O99-1)*3))</f>
        <v>0</v>
      </c>
      <c r="R99" s="1">
        <f ca="1">IF(ISERROR(F88),"",SUM(P99:Q99))</f>
        <v>0</v>
      </c>
      <c r="S99" s="1">
        <f ca="1">IF(ISERROR(F88),"",VLOOKUP(A88,INDIRECT($F$8),6+(O99-1)*3))</f>
        <v>200</v>
      </c>
      <c r="T99" s="1">
        <f ca="1">IF(ISERROR(F88),"",VLOOKUP(A88,INDIRECT($F$8),7+(O99-1)*3))</f>
        <v>100</v>
      </c>
      <c r="U99" s="1">
        <f ca="1">IF(ISERROR(F88),"",VLOOKUP(A88,INDIRECT($F$8),8+(O99-1)*3))</f>
        <v>300</v>
      </c>
      <c r="V99" s="1" t="str">
        <f ca="1">IF(ISERROR(F88),"",IF(N99=0,A99,""))</f>
        <v>CAP 013</v>
      </c>
      <c r="W99" s="1">
        <f ca="1">IF(ISERROR(F88),"",IF(ISTEXT(VLOOKUP(B88,INDIRECT($F$8),6+(O99-1)*3)),11,IF(VLOOKUP(B88,INDIRECT($F$8),6+(O99-1)*3)&lt;S99*0.3,IF(VLOOKUP(B88,INDIRECT($F$8),8+(O99-1)*3)&lt;U99*0.4,IF(AND(0.4*U99-VLOOKUP(B88,INDIRECT($F$8),8+(O99-1)*3)&lt;=5,0.3*S99-VLOOKUP(B88,INDIRECT($F$8),6+(O99-1)*3)&lt;=5),MAX(0.4*U99-VLOOKUP(B88,INDIRECT($F$8),8+(O99-1)*3),0.3*S99-VLOOKUP(B88,INDIRECT($F$8),6+(O99-1)*3)),11),IF(0.3*S99-VLOOKUP(B88,INDIRECT($F$8),6+(O99-1)*3)&lt;=5,0.3*S99-VLOOKUP(B88,INDIRECT($F$8),6+(O99-1)*3),11)),IF(VLOOKUP(B88,INDIRECT($F$8),8+(O99-1)*3)&lt;U99*0.4,IF(U99*0.4-VLOOKUP(B88,INDIRECT($F$8),8+(O99-1)*3)&lt;=5,U99*0.4-VLOOKUP(B88,INDIRECT($F$8),8+(O99-1)*3),11),0))))</f>
        <v>11</v>
      </c>
      <c r="X99" s="1" t="str">
        <f ca="1">IF(ISERROR(F88),"",IF(W99=0,"",_xlfn.TEXTJOIN("",FALSE," G+",W99," in ",A99)))</f>
        <v xml:space="preserve"> G+11 in CAP 013</v>
      </c>
    </row>
    <row r="100" spans="1:24" ht="12.75" customHeight="1" x14ac:dyDescent="0.2">
      <c r="A100" s="43" t="str">
        <f ca="1">IF(ISERROR(F88),"",A84)</f>
        <v>Total Credits/ Marks/ Total Grade Points</v>
      </c>
      <c r="B100" s="43"/>
      <c r="C100" s="43"/>
      <c r="D100" s="43"/>
      <c r="E100" s="43"/>
      <c r="F100" s="10">
        <f ca="1">IF(ISERROR(F88),"",SUM(F93:F99))</f>
        <v>15</v>
      </c>
      <c r="G100" s="44" t="str">
        <f ca="1">IF(ISERROR(F88),"",_xlfn.TEXTJOIN("/",TRUE,SUMIF(F93:F99,"&gt;0",P93:P99),SUMIF(F93:F99,"&gt;0",S93:S99)))</f>
        <v>0/430</v>
      </c>
      <c r="H100" s="44"/>
      <c r="I100" s="44" t="str">
        <f ca="1">IF(ISERROR(F88),"",_xlfn.TEXTJOIN("/",TRUE,SUMIF(F93:F99,"&gt;0",Q93:Q99),SUMIF(F93:F99,"&gt;0",T93:T99)))</f>
        <v>0/220</v>
      </c>
      <c r="J100" s="44"/>
      <c r="K100" s="44" t="str">
        <f ca="1">IF(ISERROR(F88),"",_xlfn.TEXTJOIN("/",TRUE,SUMIF(F93:F99,"&gt;0",R93:R99),SUMIF(F93:F99,"&gt;0",U93:U99)))</f>
        <v>0/650</v>
      </c>
      <c r="L100" s="44"/>
      <c r="M100" s="43" t="e">
        <f ca="1">IF(ISERROR(F88),"",SUMPRODUCT(N93:N99,F93:F99))</f>
        <v>#N/A</v>
      </c>
      <c r="N100" s="43"/>
      <c r="V100" s="1" t="e">
        <f ca="1">IF(ISERROR(F88),"",_xlfn.TEXTJOIN(", ",TRUE,V93:V99))</f>
        <v>#N/A</v>
      </c>
      <c r="W100" t="b">
        <f ca="1">IF(ISERROR(F88),"",IF(SUM(W93:W99)&lt;=W92,TRUE,FALSE))</f>
        <v>0</v>
      </c>
      <c r="X100" s="1" t="str">
        <f ca="1">IF(ISERROR(F88),"",_xlfn.TEXTJOIN(",",TRUE,X93:X99))</f>
        <v xml:space="preserve"> G+11 in CAT 022, G+11 in Enroll No., G+11 in CAT 030, G+11 in Enroll No., G+11 in CAP 011, G+11 in Enroll No., G+11 in CAP 013</v>
      </c>
    </row>
    <row r="101" spans="1:24" ht="12.75" customHeight="1" x14ac:dyDescent="0.2">
      <c r="A101" s="43" t="str">
        <f ca="1">IF(ISERROR(F88),"",A85)</f>
        <v>Result:</v>
      </c>
      <c r="B101" s="45" t="e">
        <f ca="1">IF(ISERROR(F88),"",IF(V100="","PASS","CARRY OVER"))</f>
        <v>#N/A</v>
      </c>
      <c r="C101" s="45"/>
      <c r="D101" s="43" t="str">
        <f ca="1">IF(ISERROR(F88),"",D85)</f>
        <v>Remark:</v>
      </c>
      <c r="E101" s="45" t="e">
        <f ca="1">IF(ISERROR(F88),"",IF(V100="",IF(X100="","",X100),_xlfn.TEXTJOIN(" ",TRUE,"BACK IN",V100)))</f>
        <v>#N/A</v>
      </c>
      <c r="F101" s="45"/>
      <c r="G101" s="43" t="str">
        <f ca="1">IF(ISERROR(F88),"",G85)</f>
        <v>SGPA:</v>
      </c>
      <c r="H101" s="46" t="e">
        <f ca="1">IF(ISERROR(F88),"",M100/F100)</f>
        <v>#N/A</v>
      </c>
      <c r="I101" s="43" t="str">
        <f ca="1">IF(ISERROR(F88),"",I85)</f>
        <v>CGPA:</v>
      </c>
      <c r="J101" s="46" t="e">
        <f ca="1">IF(ISERROR(F88),"",VLOOKUP(B88,INDIRECT($F$8),12+(O99-1)*3,0))</f>
        <v>#N/A</v>
      </c>
      <c r="K101" s="45" t="str">
        <f ca="1">IF(ISERROR(F88),"",K85)</f>
        <v>Earned Credits:</v>
      </c>
      <c r="L101" s="43">
        <f ca="1">IF(ISERROR(F88),"",SUMIF(N93:N99,"&gt;0",F93:F99))</f>
        <v>0</v>
      </c>
      <c r="M101" s="45" t="str">
        <f ca="1">IF(ISERROR(F88),"",M85)</f>
        <v>Cuml. Earned Credits:</v>
      </c>
      <c r="N101" s="43" t="e">
        <f ca="1">IF(ISERROR(F88),"",VLOOKUP(B88,INDIRECT($F$8),10+(O99-1)*3,0))</f>
        <v>#N/A</v>
      </c>
    </row>
    <row r="102" spans="1:24" ht="12.75" customHeight="1" x14ac:dyDescent="0.2">
      <c r="A102" s="43"/>
      <c r="B102" s="45"/>
      <c r="C102" s="45"/>
      <c r="D102" s="43"/>
      <c r="E102" s="45"/>
      <c r="F102" s="45"/>
      <c r="G102" s="43"/>
      <c r="H102" s="46"/>
      <c r="I102" s="43"/>
      <c r="J102" s="46"/>
      <c r="K102" s="45"/>
      <c r="L102" s="43"/>
      <c r="M102" s="45"/>
      <c r="N102" s="43"/>
    </row>
    <row r="103" spans="1:24" ht="12.75" customHeight="1" x14ac:dyDescent="0.2">
      <c r="A103" s="43"/>
      <c r="B103" s="45"/>
      <c r="C103" s="45"/>
      <c r="D103" s="43"/>
      <c r="E103" s="45"/>
      <c r="F103" s="45"/>
      <c r="G103" s="43"/>
      <c r="H103" s="46"/>
      <c r="I103" s="43"/>
      <c r="J103" s="46"/>
      <c r="K103" s="45"/>
      <c r="L103" s="43"/>
      <c r="M103" s="45"/>
      <c r="N103" s="43"/>
    </row>
    <row r="104" spans="1:24" ht="12.75" customHeight="1" x14ac:dyDescent="0.2">
      <c r="A104" s="11" t="str">
        <f>A88</f>
        <v>MM</v>
      </c>
      <c r="B104" s="11">
        <f>B88+1</f>
        <v>7</v>
      </c>
      <c r="C104" s="11" t="str">
        <f>C88</f>
        <v>SC</v>
      </c>
      <c r="D104" s="11" t="str">
        <f>D88</f>
        <v>SN</v>
      </c>
      <c r="E104" s="11" t="str">
        <f>E88</f>
        <v>C</v>
      </c>
      <c r="F104" s="11" t="str">
        <f ca="1">VLOOKUP(B104,INDIRECT($F$8),4,0)</f>
        <v>AYUSH MAURYA</v>
      </c>
    </row>
    <row r="105" spans="1:24" ht="12.75" customHeight="1" x14ac:dyDescent="0.2">
      <c r="A105" s="47" t="str">
        <f ca="1">IF(ISERROR(F104),"",A89)</f>
        <v>Name:</v>
      </c>
      <c r="B105" s="47" t="str">
        <f ca="1">IFERROR(VLOOKUP(B104,INDIRECT($F$8),4,0),"")</f>
        <v>AYUSH MAURYA</v>
      </c>
      <c r="C105" s="47"/>
      <c r="D105" s="47" t="str">
        <f ca="1">IF(ISERROR(F104),"",D89)</f>
        <v>Father's Name:</v>
      </c>
      <c r="E105" s="47" t="str">
        <f ca="1">IFERROR(VLOOKUP(B104,INDIRECT($F$8),5,0),"")</f>
        <v>BABU RAM</v>
      </c>
      <c r="F105" s="47"/>
      <c r="G105" s="47" t="str">
        <f ca="1">IF(ISERROR(F104),"",G89)</f>
        <v>University Roll No:</v>
      </c>
      <c r="H105" s="47"/>
      <c r="I105" s="48">
        <f ca="1">IFERROR(VLOOKUP(B104,INDIRECT($F$8),2,0),"")</f>
        <v>240090600007</v>
      </c>
      <c r="J105" s="48"/>
      <c r="K105" s="47" t="str">
        <f ca="1">IF(ISERROR(F104),"",K89)</f>
        <v>University Enrol. No:</v>
      </c>
      <c r="L105" s="47"/>
      <c r="M105" s="48" t="str">
        <f ca="1">IFERROR(VLOOKUP(B104,INDIRECT($F$8),3,0),"")</f>
        <v>UTU/2406100174</v>
      </c>
      <c r="N105" s="48"/>
    </row>
    <row r="106" spans="1:24" ht="12.75" customHeight="1" x14ac:dyDescent="0.2">
      <c r="A106" s="47"/>
      <c r="B106" s="47"/>
      <c r="C106" s="47"/>
      <c r="D106" s="47"/>
      <c r="E106" s="47"/>
      <c r="F106" s="47"/>
      <c r="G106" s="47"/>
      <c r="H106" s="47"/>
      <c r="I106" s="48"/>
      <c r="J106" s="48"/>
      <c r="K106" s="47"/>
      <c r="L106" s="47"/>
      <c r="M106" s="48"/>
      <c r="N106" s="48"/>
    </row>
    <row r="107" spans="1:24" ht="12.75" customHeight="1" x14ac:dyDescent="0.2">
      <c r="A107" s="45" t="str">
        <f ca="1">IF(ISERROR(F104),"",A91)</f>
        <v>Subject Code</v>
      </c>
      <c r="B107" s="45" t="str">
        <f ca="1">IF(ISERROR(F104),"",B91)</f>
        <v>Subject Name</v>
      </c>
      <c r="C107" s="45"/>
      <c r="D107" s="45"/>
      <c r="E107" s="45"/>
      <c r="F107" s="45" t="str">
        <f ca="1">IF(ISERROR(F104),"",F91)</f>
        <v>Credits</v>
      </c>
      <c r="G107" s="45" t="str">
        <f ca="1">IF(ISERROR(F104),"",G91)</f>
        <v>External Marks</v>
      </c>
      <c r="H107" s="45"/>
      <c r="I107" s="45" t="str">
        <f ca="1">IF(ISERROR(F104),"",I91)</f>
        <v>Sessional Marks</v>
      </c>
      <c r="J107" s="45"/>
      <c r="K107" s="45" t="str">
        <f ca="1">IF(ISERROR(F104),"",K91)</f>
        <v>Total Marks</v>
      </c>
      <c r="L107" s="45"/>
      <c r="M107" s="45" t="str">
        <f ca="1">IF(ISERROR(F104),"",M91)</f>
        <v>Grade</v>
      </c>
      <c r="N107" s="45" t="str">
        <f ca="1">IF(ISERROR(F104),"",N91)</f>
        <v>Grade Points</v>
      </c>
    </row>
    <row r="108" spans="1:24" ht="12.75" customHeight="1" x14ac:dyDescent="0.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W108">
        <f ca="1">IF(ISNUMBER(MATCH($F$8,{"I","III","V","VII"},0)),10,10-INDEX(INDIRECT(_xlfn.TEXTJOIN("",TRUE,"SEM_",$G$8,"!",ADDRESS(6,4+$I$8*3+4),":",ADDRESS(5+$H$8,4+$I$8*3+4))),MATCH(INDIRECT(_xlfn.TEXTJOIN("",TRUE,"TC_",$F$8,"!",ADDRESS(ROW(I105),COLUMN(I105)))),INDIRECT(_xlfn.TEXTJOIN("",TRUE,"SEM_",$G$8,"!",ADDRESS(6,2),":",ADDRESS(5+$H$8,2))))))</f>
        <v>10</v>
      </c>
    </row>
    <row r="109" spans="1:24" ht="12.75" customHeight="1" x14ac:dyDescent="0.2">
      <c r="A109" s="7" t="str">
        <f ca="1">IF(ISERROR(F104),"",VLOOKUP(C104,INDIRECT($F$8),6+(O109-1)*3,0))</f>
        <v>CAT 022</v>
      </c>
      <c r="B109" s="41" t="str">
        <f ca="1">IF(ISERROR(F104),"",VLOOKUP(D104,INDIRECT($F$8),6+(O109-1)*3,0))</f>
        <v>Network Security</v>
      </c>
      <c r="C109" s="41"/>
      <c r="D109" s="41"/>
      <c r="E109" s="41"/>
      <c r="F109" s="7">
        <f ca="1">IF(ISERROR(F104),"",VLOOKUP(E104,INDIRECT($F$8),6+(O109-1)*3,0))</f>
        <v>4</v>
      </c>
      <c r="G109" s="42" t="str">
        <f ca="1">IF(ISERROR(F104),"",_xlfn.TEXTJOIN("/",FALSE,P109,S109))</f>
        <v>0/100</v>
      </c>
      <c r="H109" s="42"/>
      <c r="I109" s="42" t="str">
        <f ca="1">IF(ISERROR(F104),"",_xlfn.TEXTJOIN("/",FALSE,Q109,T109))</f>
        <v>0/50</v>
      </c>
      <c r="J109" s="42"/>
      <c r="K109" s="42" t="str">
        <f ca="1">IF(ISERROR(F104),"",_xlfn.TEXTJOIN("/",FALSE,R109,U109))</f>
        <v>0/150</v>
      </c>
      <c r="L109" s="42"/>
      <c r="M109" s="7" t="str">
        <f ca="1">IF(ISERROR(F104),"",IF(ISTEXT(P109),IF(P109="A","Ab",IF(P109="D","Dt",IF(P109="UFM","UFM",IF(P109="NA","")))),IF(AND(ISBLANK(P109),ISBLANK(R109)),"",IF(P109&lt;0.3*S109,"F",IF(ISBLANK(R109),"",IF(ISTEXT(R109),R109,IF(R109&gt;=0.9*U109,"O",IF(R109&gt;=0.85*U109,"A+",IF(R109&gt;=0.8*U109,"A",IF(R109&gt;=0.7*U109,"B+",IF(R109&gt;=0.6*U109,"B",IF(R109&gt;=0.5*U109,"C",IF(R109&gt;=0.4*U109,"P",IF(R109&lt;0.4*U109,"F",R109))))))))))))))</f>
        <v>F</v>
      </c>
      <c r="N109" s="8">
        <f t="shared" ref="N109:N115" ca="1" si="6">INDEX($Z$2:$Z$13,MATCH(M109,$Y$2:$Y$13,0))</f>
        <v>0</v>
      </c>
      <c r="O109">
        <v>1</v>
      </c>
      <c r="P109" s="1">
        <f ca="1">IF(ISERROR(F104),"",IF(ISTEXT(VLOOKUP(B104,INDIRECT($F$8),6+(O109-1)*3)),(VLOOKUP(B104,INDIRECT($F$8),6+(O109-1)*3)),SUM(VLOOKUP(B104,INDIRECT($F$8),6+(O109-1)*3),IF(W116,W109,0))))</f>
        <v>0</v>
      </c>
      <c r="Q109" s="1">
        <f ca="1">IF(ISERROR(F104),"",VLOOKUP(B104,INDIRECT($F$8),7+(O109-1)*3))</f>
        <v>0</v>
      </c>
      <c r="R109" s="1">
        <f ca="1">IF(ISERROR(F104),"",SUM(P109:Q109))</f>
        <v>0</v>
      </c>
      <c r="S109" s="1">
        <f ca="1">IF(ISERROR(F104),"",VLOOKUP(A104,INDIRECT($F$8),6+(O109-1)*3))</f>
        <v>100</v>
      </c>
      <c r="T109" s="1">
        <f ca="1">IF(ISERROR(F104),"",VLOOKUP(A104,INDIRECT($F$8),7+(O109-1)*3))</f>
        <v>50</v>
      </c>
      <c r="U109" s="1">
        <f ca="1">IF(ISERROR(F104),"",VLOOKUP(A104,INDIRECT($F$8),8+(O109-1)*3))</f>
        <v>150</v>
      </c>
      <c r="V109" s="1" t="str">
        <f ca="1">IF(ISERROR(F104),"",IF(N109=0,A109,""))</f>
        <v>CAT 022</v>
      </c>
      <c r="W109" s="1">
        <f ca="1">IF(ISERROR(F104),"",IF(ISTEXT(VLOOKUP(B104,INDIRECT($F$8),6+(O109-1)*3)),11,IF(VLOOKUP(B104,INDIRECT($F$8),6+(O109-1)*3)&lt;S109*0.3,IF(VLOOKUP(B104,INDIRECT($F$8),8+(O109-1)*3)&lt;U109*0.4,IF(AND(0.4*U109-VLOOKUP(B104,INDIRECT($F$8),8+(O109-1)*3)&lt;=5,0.3*S109-VLOOKUP(B104,INDIRECT($F$8),6+(O109-1)*3)&lt;=5),MAX(0.4*U109-VLOOKUP(B104,INDIRECT($F$8),8+(O109-1)*3),0.3*S109-VLOOKUP(B104,INDIRECT($F$8),6+(O109-1)*3)),11),IF(0.3*S109-VLOOKUP(B104,INDIRECT($F$8),6+(O109-1)*3)&lt;=5,0.3*S109-VLOOKUP(B104,INDIRECT($F$8),6+(O109-1)*3),11)),IF(VLOOKUP(B104,INDIRECT($F$8),8+(O109-1)*3)&lt;U109*0.4,IF(U109*0.4-VLOOKUP(B104,INDIRECT($F$8),8+(O109-1)*3)&lt;=5,U109*0.4-VLOOKUP(B104,INDIRECT($F$8),8+(O109-1)*3),11),0))))</f>
        <v>11</v>
      </c>
      <c r="X109" s="1" t="str">
        <f ca="1">IF(ISERROR(F104),"",IF(W109=0,"",_xlfn.TEXTJOIN("",FALSE," G+",W109," in ",A109)))</f>
        <v xml:space="preserve"> G+11 in CAT 022</v>
      </c>
    </row>
    <row r="110" spans="1:24" ht="12.75" customHeight="1" x14ac:dyDescent="0.2">
      <c r="A110" s="7" t="str">
        <f ca="1">IF(ISERROR(F104),"",VLOOKUP(C104,INDIRECT($F$8),6+(O110-1)*3,0))</f>
        <v>Enroll No.</v>
      </c>
      <c r="B110" s="41">
        <f ca="1">IF(ISERROR(F104),"",VLOOKUP(D104,INDIRECT($F$8),6+(O110-1)*3,0))</f>
        <v>0</v>
      </c>
      <c r="C110" s="41"/>
      <c r="D110" s="41"/>
      <c r="E110" s="41"/>
      <c r="F110" s="7">
        <f ca="1">IF(ISERROR(F104),"",VLOOKUP(E104,INDIRECT($F$8),6+(O110-1)*3,0))</f>
        <v>0</v>
      </c>
      <c r="G110" s="42" t="str">
        <f ca="1">IF(ISERROR(F104),"",_xlfn.TEXTJOIN("/",FALSE,P110,S110))</f>
        <v>UTU/2406100174/0</v>
      </c>
      <c r="H110" s="42"/>
      <c r="I110" s="42" t="str">
        <f ca="1">IF(ISERROR(F104),"",_xlfn.TEXTJOIN("/",FALSE,Q110,T110))</f>
        <v>AYUSH MAURYA/0</v>
      </c>
      <c r="J110" s="42"/>
      <c r="K110" s="42" t="str">
        <f ca="1">IF(ISERROR(F104),"",_xlfn.TEXTJOIN("/",FALSE,R110,U110))</f>
        <v>0/0</v>
      </c>
      <c r="L110" s="42"/>
      <c r="M110" s="7" t="b">
        <f ca="1">IF(ISERROR(F104),"",IF(ISTEXT(P110),IF(P110="A","Ab",IF(P110="D","Dt",IF(P110="UFM","UFM",IF(P110="NA","")))),IF(AND(ISBLANK(P110),ISBLANK(R110)),"",IF(P110&lt;0.3*S110,"F",IF(ISBLANK(R110),"",IF(ISTEXT(R110),R110,IF(R110&gt;=0.9*U110,"O",IF(R110&gt;=0.85*U110,"A+",IF(R110&gt;=0.8*U110,"A",IF(R110&gt;=0.7*U110,"B+",IF(R110&gt;=0.6*U110,"B",IF(R110&gt;=0.5*U110,"C",IF(R110&gt;=0.4*U110,"P",IF(R110&lt;0.4*U110,"F",R110))))))))))))))</f>
        <v>0</v>
      </c>
      <c r="N110" s="8" t="e">
        <f t="shared" ca="1" si="6"/>
        <v>#N/A</v>
      </c>
      <c r="O110" t="b" cm="1">
        <f t="array" aca="1" ref="O110" ca="1">IF(NOT(ISBLANK(INDIRECT("SEM_IV!I"&amp;INT((ROW(O110)-14)/16)+6))),2,IF(NOT(ISBLANK(INDIRECT("SEM_IV!L"&amp;INT((ROW(O110)-14)/16)+6))),3))</f>
        <v>0</v>
      </c>
      <c r="P110" s="1" t="str">
        <f ca="1">IF(ISERROR(F104),"",IF(ISTEXT(VLOOKUP(B104,INDIRECT($F$8),6+(O110-1)*3)),(VLOOKUP(B104,INDIRECT($F$8),6+(O110-1)*3)),SUM(VLOOKUP(B104,INDIRECT($F$8),6+(O110-1)*3),IF(W116,W110,0))))</f>
        <v>UTU/2406100174</v>
      </c>
      <c r="Q110" s="1" t="str">
        <f ca="1">IF(ISERROR(F104),"",VLOOKUP(B104,INDIRECT($F$8),7+(O110-1)*3))</f>
        <v>AYUSH MAURYA</v>
      </c>
      <c r="R110" s="1">
        <f ca="1">IF(ISERROR(F104),"",SUM(P110:Q110))</f>
        <v>0</v>
      </c>
      <c r="S110" s="1">
        <f ca="1">IF(ISERROR(F104),"",VLOOKUP(A104,INDIRECT($F$8),6+(O110-1)*3))</f>
        <v>0</v>
      </c>
      <c r="T110" s="1">
        <f ca="1">IF(ISERROR(F104),"",VLOOKUP(A104,INDIRECT($F$8),7+(O110-1)*3))</f>
        <v>0</v>
      </c>
      <c r="U110" s="1">
        <f ca="1">IF(ISERROR(F104),"",VLOOKUP(A104,INDIRECT($F$8),8+(O110-1)*3))</f>
        <v>0</v>
      </c>
      <c r="V110" s="1" t="e">
        <f ca="1">IF(ISERROR(F104),"",IF(N110=0,A110,""))</f>
        <v>#N/A</v>
      </c>
      <c r="W110" s="1">
        <f ca="1">IF(ISERROR(F104),"",IF(ISTEXT(VLOOKUP(B104,INDIRECT($F$8),6+(O110-1)*3)),11,IF(VLOOKUP(B104,INDIRECT($F$8),6+(O110-1)*3)&lt;S110*0.3,IF(VLOOKUP(B104,INDIRECT($F$8),8+(O110-1)*3)&lt;U110*0.4,IF(AND(0.4*U110-VLOOKUP(B104,INDIRECT($F$8),8+(O110-1)*3)&lt;=5,0.3*S110-VLOOKUP(B104,INDIRECT($F$8),6+(O110-1)*3)&lt;=5),MAX(0.4*U110-VLOOKUP(B104,INDIRECT($F$8),8+(O110-1)*3),0.3*S110-VLOOKUP(B104,INDIRECT($F$8),6+(O110-1)*3)),11),IF(0.3*S110-VLOOKUP(B104,INDIRECT($F$8),6+(O110-1)*3)&lt;=5,0.3*S110-VLOOKUP(B104,INDIRECT($F$8),6+(O110-1)*3),11)),IF(VLOOKUP(B104,INDIRECT($F$8),8+(O110-1)*3)&lt;U110*0.4,IF(U110*0.4-VLOOKUP(B104,INDIRECT($F$8),8+(O110-1)*3)&lt;=5,U110*0.4-VLOOKUP(B104,INDIRECT($F$8),8+(O110-1)*3),11),0))))</f>
        <v>11</v>
      </c>
      <c r="X110" s="1" t="str">
        <f ca="1">IF(ISERROR(F104),"",IF(W110=0,"",_xlfn.TEXTJOIN("",FALSE," G+",W110," in ",A110)))</f>
        <v xml:space="preserve"> G+11 in Enroll No.</v>
      </c>
    </row>
    <row r="111" spans="1:24" ht="12.75" customHeight="1" x14ac:dyDescent="0.2">
      <c r="A111" s="7" t="str">
        <f ca="1">IF(ISERROR(F104),"",VLOOKUP(C104,INDIRECT($F$8),6+(O111-1)*3,0))</f>
        <v>CAT 030</v>
      </c>
      <c r="B111" s="41" t="str">
        <f ca="1">IF(ISERROR(F104),"",VLOOKUP(D104,INDIRECT($F$8),6+(O111-1)*3,0))</f>
        <v>Software Testing &amp; Quality Assurance</v>
      </c>
      <c r="C111" s="41"/>
      <c r="D111" s="41"/>
      <c r="E111" s="41"/>
      <c r="F111" s="7">
        <f ca="1">IF(ISERROR(F104),"",VLOOKUP(E104,INDIRECT($F$8),6+(O111-1)*3,0))</f>
        <v>4</v>
      </c>
      <c r="G111" s="42" t="str">
        <f ca="1">IF(ISERROR(F104),"",_xlfn.TEXTJOIN("/",FALSE,P111,S111))</f>
        <v>0/100</v>
      </c>
      <c r="H111" s="42"/>
      <c r="I111" s="42" t="str">
        <f ca="1">IF(ISERROR(F104),"",_xlfn.TEXTJOIN("/",FALSE,Q111,T111))</f>
        <v>0/50</v>
      </c>
      <c r="J111" s="42"/>
      <c r="K111" s="42" t="str">
        <f ca="1">IF(ISERROR(F104),"",_xlfn.TEXTJOIN("/",FALSE,R111,U111))</f>
        <v>0/150</v>
      </c>
      <c r="L111" s="42"/>
      <c r="M111" s="7" t="str">
        <f ca="1">IF(ISERROR(F104),"",IF(ISTEXT(P111),IF(P111="A","Ab",IF(P111="D","Dt",IF(P111="UFM","UFM",IF(P111="NA","")))),IF(AND(ISBLANK(P111),ISBLANK(R111)),"",IF(P111&lt;0.3*S111,"F",IF(ISBLANK(R111),"",IF(ISTEXT(R111),R111,IF(R111&gt;=0.9*U111,"O",IF(R111&gt;=0.85*U111,"A+",IF(R111&gt;=0.8*U111,"A",IF(R111&gt;=0.7*U111,"B+",IF(R111&gt;=0.6*U111,"B",IF(R111&gt;=0.5*U111,"C",IF(R111&gt;=0.4*U111,"P",IF(R111&lt;0.4*U111,"F",R111))))))))))))))</f>
        <v>F</v>
      </c>
      <c r="N111" s="8">
        <f t="shared" ca="1" si="6"/>
        <v>0</v>
      </c>
      <c r="O111">
        <f ca="1">IF(O110&gt;0,4,"")</f>
        <v>4</v>
      </c>
      <c r="P111" s="1">
        <f ca="1">IF(ISERROR(F104),"",IF(ISTEXT(VLOOKUP(B104,INDIRECT($F$8),6+(O111-1)*3)),(VLOOKUP(B104,INDIRECT($F$8),6+(O111-1)*3)),SUM(VLOOKUP(B104,INDIRECT($F$8),6+(O111-1)*3),IF(W116,W111,0))))</f>
        <v>0</v>
      </c>
      <c r="Q111" s="1">
        <f ca="1">IF(ISERROR(F104),"",VLOOKUP(B104,INDIRECT($F$8),7+(O111-1)*3))</f>
        <v>0</v>
      </c>
      <c r="R111" s="1">
        <f ca="1">IF(ISERROR(F104),"",SUM(P111:Q111))</f>
        <v>0</v>
      </c>
      <c r="S111" s="1">
        <f ca="1">IF(ISERROR(F104),"",VLOOKUP(A104,INDIRECT($F$8),6+(O111-1)*3))</f>
        <v>100</v>
      </c>
      <c r="T111" s="1">
        <f ca="1">IF(ISERROR(F104),"",VLOOKUP(A104,INDIRECT($F$8),7+(O111-1)*3))</f>
        <v>50</v>
      </c>
      <c r="U111" s="1">
        <f ca="1">IF(ISERROR(F104),"",VLOOKUP(A104,INDIRECT($F$8),8+(O111-1)*3))</f>
        <v>150</v>
      </c>
      <c r="V111" s="1" t="str">
        <f ca="1">IF(ISERROR(F104),"",IF(N111=0,A111,""))</f>
        <v>CAT 030</v>
      </c>
      <c r="W111" s="1">
        <f ca="1">IF(ISERROR(F104),"",IF(ISTEXT(VLOOKUP(B104,INDIRECT($F$8),6+(O111-1)*3)),11,IF(VLOOKUP(B104,INDIRECT($F$8),6+(O111-1)*3)&lt;S111*0.3,IF(VLOOKUP(B104,INDIRECT($F$8),8+(O111-1)*3)&lt;U111*0.4,IF(AND(0.4*U111-VLOOKUP(B104,INDIRECT($F$8),8+(O111-1)*3)&lt;=5,0.3*S111-VLOOKUP(B104,INDIRECT($F$8),6+(O111-1)*3)&lt;=5),MAX(0.4*U111-VLOOKUP(B104,INDIRECT($F$8),8+(O111-1)*3),0.3*S111-VLOOKUP(B104,INDIRECT($F$8),6+(O111-1)*3)),11),IF(0.3*S111-VLOOKUP(B104,INDIRECT($F$8),6+(O111-1)*3)&lt;=5,0.3*S111-VLOOKUP(B104,INDIRECT($F$8),6+(O111-1)*3),11)),IF(VLOOKUP(B104,INDIRECT($F$8),8+(O111-1)*3)&lt;U111*0.4,IF(U111*0.4-VLOOKUP(B104,INDIRECT($F$8),8+(O111-1)*3)&lt;=5,U111*0.4-VLOOKUP(B104,INDIRECT($F$8),8+(O111-1)*3),11),0))))</f>
        <v>11</v>
      </c>
      <c r="X111" s="1" t="str">
        <f ca="1">IF(ISERROR(F104),"",IF(W111=0,"",_xlfn.TEXTJOIN("",FALSE," G+",W111," in ",A111)))</f>
        <v xml:space="preserve"> G+11 in CAT 030</v>
      </c>
    </row>
    <row r="112" spans="1:24" ht="12.75" customHeight="1" x14ac:dyDescent="0.2">
      <c r="A112" s="7" t="str">
        <f ca="1">IF(ISERROR(F104),"",VLOOKUP(C104,INDIRECT($F$8),6+(O112-1)*3,0))</f>
        <v>Enroll No.</v>
      </c>
      <c r="B112" s="41">
        <f ca="1">IF(ISERROR(F104),"",VLOOKUP(D104,INDIRECT($F$8),6+(O112-1)*3,0))</f>
        <v>0</v>
      </c>
      <c r="C112" s="41"/>
      <c r="D112" s="41"/>
      <c r="E112" s="41"/>
      <c r="F112" s="7">
        <f ca="1">IF(ISERROR(F104),"",VLOOKUP(E104,INDIRECT($F$8),6+(O112-1)*3,0))</f>
        <v>0</v>
      </c>
      <c r="G112" s="42" t="str">
        <f ca="1">IF(ISERROR(F104),"",_xlfn.TEXTJOIN("/",FALSE,P112,S112))</f>
        <v>UTU/2406100174/0</v>
      </c>
      <c r="H112" s="42"/>
      <c r="I112" s="42" t="str">
        <f ca="1">IF(ISERROR(F104),"",_xlfn.TEXTJOIN("/",FALSE,Q112,T112))</f>
        <v>AYUSH MAURYA/0</v>
      </c>
      <c r="J112" s="42"/>
      <c r="K112" s="42" t="str">
        <f ca="1">IF(ISERROR(F104),"",_xlfn.TEXTJOIN("/",FALSE,R112,U112))</f>
        <v>0/0</v>
      </c>
      <c r="L112" s="42"/>
      <c r="M112" s="7" t="b">
        <f ca="1">IF(ISERROR(F104),"",IF(ISTEXT(P112),IF(P112="A","Ab",IF(P112="D","Dt",IF(P112="UFM","UFM",IF(P112="NA","")))),IF(AND(ISBLANK(P112),ISBLANK(R112)),"",IF(P112&lt;0.3*S112,"F",IF(ISBLANK(R112),"",IF(ISTEXT(R112),R112,IF(R112&gt;=0.9*U112,"O",IF(R112&gt;=0.85*U112,"A+",IF(R112&gt;=0.8*U112,"A",IF(R112&gt;=0.7*U112,"B+",IF(R112&gt;=0.6*U112,"B",IF(R112&gt;=0.5*U112,"C",IF(R112&gt;=0.4*U112,"P",IF(R112&lt;0.4*U112,"F",R112))))))))))))))</f>
        <v>0</v>
      </c>
      <c r="N112" s="8" t="e">
        <f t="shared" ca="1" si="6"/>
        <v>#N/A</v>
      </c>
      <c r="O112" t="b" cm="1">
        <f t="array" aca="1" ref="O112" ca="1">IF(NOT(ISBLANK(INDIRECT("SEM_IV!R"&amp;INT((ROW(O112)-16)/16)+6))),5,IF(NOT(ISBLANK(INDIRECT("SEM_IV!U"&amp;INT((ROW(O112)-16)/16)+6))),6))</f>
        <v>0</v>
      </c>
      <c r="P112" s="1" t="str">
        <f ca="1">IF(ISERROR(F104),"",IF(ISTEXT(VLOOKUP(B104,INDIRECT($F$8),6+(O112-1)*3)),(VLOOKUP(B104,INDIRECT($F$8),6+(O112-1)*3)),SUM(VLOOKUP(B104,INDIRECT($F$8),6+(O112-1)*3),IF(W116,W112,0))))</f>
        <v>UTU/2406100174</v>
      </c>
      <c r="Q112" s="1" t="str">
        <f ca="1">IF(ISERROR(F104),"",VLOOKUP(B104,INDIRECT($F$8),7+(O112-1)*3))</f>
        <v>AYUSH MAURYA</v>
      </c>
      <c r="R112" s="1">
        <f ca="1">IF(ISERROR(F104),"",SUM(P112:Q112))</f>
        <v>0</v>
      </c>
      <c r="S112" s="1">
        <f ca="1">IF(ISERROR(F104),"",VLOOKUP(A104,INDIRECT($F$8),6+(O112-1)*3))</f>
        <v>0</v>
      </c>
      <c r="T112" s="1">
        <f ca="1">IF(ISERROR(F104),"",VLOOKUP(A104,INDIRECT($F$8),7+(O112-1)*3))</f>
        <v>0</v>
      </c>
      <c r="U112" s="1">
        <f ca="1">IF(ISERROR(F104),"",VLOOKUP(A104,INDIRECT($F$8),8+(O112-1)*3))</f>
        <v>0</v>
      </c>
      <c r="V112" s="1" t="e">
        <f ca="1">IF(ISERROR(F104),"",IF(N112=0,A112,""))</f>
        <v>#N/A</v>
      </c>
      <c r="W112" s="1">
        <f ca="1">IF(ISERROR(F104),"",IF(ISTEXT(VLOOKUP(B104,INDIRECT($F$8),6+(O112-1)*3)),11,IF(VLOOKUP(B104,INDIRECT($F$8),6+(O112-1)*3)&lt;S112*0.3,IF(VLOOKUP(B104,INDIRECT($F$8),8+(O112-1)*3)&lt;U112*0.4,IF(AND(0.4*U112-VLOOKUP(B104,INDIRECT($F$8),8+(O112-1)*3)&lt;=5,0.3*S112-VLOOKUP(B104,INDIRECT($F$8),6+(O112-1)*3)&lt;=5),MAX(0.4*U112-VLOOKUP(B104,INDIRECT($F$8),8+(O112-1)*3),0.3*S112-VLOOKUP(B104,INDIRECT($F$8),6+(O112-1)*3)),11),IF(0.3*S112-VLOOKUP(B104,INDIRECT($F$8),6+(O112-1)*3)&lt;=5,0.3*S112-VLOOKUP(B104,INDIRECT($F$8),6+(O112-1)*3),11)),IF(VLOOKUP(B104,INDIRECT($F$8),8+(O112-1)*3)&lt;U112*0.4,IF(U112*0.4-VLOOKUP(B104,INDIRECT($F$8),8+(O112-1)*3)&lt;=5,U112*0.4-VLOOKUP(B104,INDIRECT($F$8),8+(O112-1)*3),11),0))))</f>
        <v>11</v>
      </c>
      <c r="X112" s="1" t="str">
        <f ca="1">IF(ISERROR(F104),"",IF(W112=0,"",_xlfn.TEXTJOIN("",FALSE," G+",W112," in ",A112)))</f>
        <v xml:space="preserve"> G+11 in Enroll No.</v>
      </c>
    </row>
    <row r="113" spans="1:24" ht="12.75" customHeight="1" x14ac:dyDescent="0.2">
      <c r="A113" s="7" t="str">
        <f ca="1">IF(ISERROR(F104),"",VLOOKUP(C104,INDIRECT($F$8),6+(O113-1)*3,0))</f>
        <v>CAP 011</v>
      </c>
      <c r="B113" s="41" t="str">
        <f ca="1">IF(ISERROR(F104),"",VLOOKUP(D104,INDIRECT($F$8),6+(O113-1)*3,0))</f>
        <v>Network Security Lab</v>
      </c>
      <c r="C113" s="41"/>
      <c r="D113" s="41"/>
      <c r="E113" s="41"/>
      <c r="F113" s="7">
        <f ca="1">IF(ISERROR(F104),"",VLOOKUP(E104,INDIRECT($F$8),6+(O113-1)*3,0))</f>
        <v>1</v>
      </c>
      <c r="G113" s="42" t="str">
        <f ca="1">IF(ISERROR(F104),"",_xlfn.TEXTJOIN("/",FALSE,P113,S113))</f>
        <v>0/30</v>
      </c>
      <c r="H113" s="42"/>
      <c r="I113" s="42" t="str">
        <f ca="1">IF(ISERROR(F104),"",_xlfn.TEXTJOIN("/",FALSE,Q113,T113))</f>
        <v>0/20</v>
      </c>
      <c r="J113" s="42"/>
      <c r="K113" s="42" t="str">
        <f ca="1">IF(ISERROR(F104),"",_xlfn.TEXTJOIN("/",FALSE,R113,U113))</f>
        <v>0/50</v>
      </c>
      <c r="L113" s="42"/>
      <c r="M113" s="7" t="str">
        <f ca="1">IF(ISERROR(F104),"",IF(ISTEXT(P113),IF(P113="A","Ab",IF(P113="D","Dt",IF(P113="UFM","UFM",IF(P113="NA","")))),IF(AND(ISBLANK(P113),ISBLANK(R113)),"",IF(P113&lt;0.3*S113,"F",IF(ISBLANK(R113),"",IF(ISTEXT(R113),R113,IF(R113&gt;=0.9*U113,"O",IF(R113&gt;=0.85*U113,"A+",IF(R113&gt;=0.8*U113,"A",IF(R113&gt;=0.7*U113,"B+",IF(R113&gt;=0.6*U113,"B",IF(R113&gt;=0.5*U113,"C",IF(R113&gt;=0.4*U113,"P",IF(R113&lt;0.4*U113,"F",R113))))))))))))))</f>
        <v>F</v>
      </c>
      <c r="N113" s="8">
        <f t="shared" ca="1" si="6"/>
        <v>0</v>
      </c>
      <c r="O113">
        <f ca="1">IF(O112&gt;0,7,"")</f>
        <v>7</v>
      </c>
      <c r="P113" s="1">
        <f ca="1">IF(ISERROR(F104),"",IF(ISTEXT(VLOOKUP(B104,INDIRECT($F$8),6+(O113-1)*3)),(VLOOKUP(B104,INDIRECT($F$8),6+(O113-1)*3)),SUM(VLOOKUP(B104,INDIRECT($F$8),6+(O113-1)*3),IF(W116,W113,0))))</f>
        <v>0</v>
      </c>
      <c r="Q113" s="1">
        <f ca="1">IF(ISERROR(F104),"",VLOOKUP(B104,INDIRECT($F$8),7+(O113-1)*3))</f>
        <v>0</v>
      </c>
      <c r="R113" s="1">
        <f ca="1">IF(ISERROR(F104),"",SUM(P113:Q113))</f>
        <v>0</v>
      </c>
      <c r="S113" s="1">
        <f ca="1">IF(ISERROR(F104),"",VLOOKUP(A104,INDIRECT($F$8),6+(O113-1)*3))</f>
        <v>30</v>
      </c>
      <c r="T113" s="1">
        <f ca="1">IF(ISERROR(F104),"",VLOOKUP(A104,INDIRECT($F$8),7+(O113-1)*3))</f>
        <v>20</v>
      </c>
      <c r="U113" s="1">
        <f ca="1">IF(ISERROR(F104),"",VLOOKUP(A104,INDIRECT($F$8),8+(O113-1)*3))</f>
        <v>50</v>
      </c>
      <c r="V113" s="1" t="str">
        <f ca="1">IF(ISERROR(F104),"",IF(N113=0,A113,""))</f>
        <v>CAP 011</v>
      </c>
      <c r="W113" s="1">
        <f ca="1">IF(ISERROR(F104),"",IF(ISTEXT(VLOOKUP(B104,INDIRECT($F$8),6+(O113-1)*3)),11,IF(VLOOKUP(B104,INDIRECT($F$8),6+(O113-1)*3)&lt;S113*0.3,IF(VLOOKUP(B104,INDIRECT($F$8),8+(O113-1)*3)&lt;U113*0.4,IF(AND(0.4*U113-VLOOKUP(B104,INDIRECT($F$8),8+(O113-1)*3)&lt;=5,0.3*S113-VLOOKUP(B104,INDIRECT($F$8),6+(O113-1)*3)&lt;=5),MAX(0.4*U113-VLOOKUP(B104,INDIRECT($F$8),8+(O113-1)*3),0.3*S113-VLOOKUP(B104,INDIRECT($F$8),6+(O113-1)*3)),11),IF(0.3*S113-VLOOKUP(B104,INDIRECT($F$8),6+(O113-1)*3)&lt;=5,0.3*S113-VLOOKUP(B104,INDIRECT($F$8),6+(O113-1)*3),11)),IF(VLOOKUP(B104,INDIRECT($F$8),8+(O113-1)*3)&lt;U113*0.4,IF(U113*0.4-VLOOKUP(B104,INDIRECT($F$8),8+(O113-1)*3)&lt;=5,U113*0.4-VLOOKUP(B104,INDIRECT($F$8),8+(O113-1)*3),11),0))))</f>
        <v>11</v>
      </c>
      <c r="X113" s="1" t="str">
        <f ca="1">IF(ISERROR(F104),"",IF(W113=0,"",_xlfn.TEXTJOIN("",FALSE," G+",W113," in ",A113)))</f>
        <v xml:space="preserve"> G+11 in CAP 011</v>
      </c>
    </row>
    <row r="114" spans="1:24" ht="12.75" customHeight="1" x14ac:dyDescent="0.2">
      <c r="A114" s="7" t="str">
        <f ca="1">IF(ISERROR(F104),"",VLOOKUP(C104,INDIRECT($F$8),6+(O114-1)*3,0))</f>
        <v>Enroll No.</v>
      </c>
      <c r="B114" s="41">
        <f ca="1">IF(ISERROR(F104),"",VLOOKUP(D104,INDIRECT($F$8),6+(O114-1)*3,0))</f>
        <v>0</v>
      </c>
      <c r="C114" s="41"/>
      <c r="D114" s="41"/>
      <c r="E114" s="41"/>
      <c r="F114" s="7">
        <f ca="1">IF(ISERROR(F104),"",VLOOKUP(E104,INDIRECT($F$8),6+(O114-1)*3,0))</f>
        <v>0</v>
      </c>
      <c r="G114" s="42" t="str">
        <f ca="1">IF(ISERROR(F104),"",_xlfn.TEXTJOIN("/",FALSE,P114,S114))</f>
        <v>UTU/2406100174/0</v>
      </c>
      <c r="H114" s="42"/>
      <c r="I114" s="42" t="str">
        <f ca="1">IF(ISERROR(F104),"",_xlfn.TEXTJOIN("/",FALSE,Q114,T114))</f>
        <v>AYUSH MAURYA/0</v>
      </c>
      <c r="J114" s="42"/>
      <c r="K114" s="42" t="str">
        <f ca="1">IF(ISERROR(F104),"",_xlfn.TEXTJOIN("/",FALSE,R114,U114))</f>
        <v>0/0</v>
      </c>
      <c r="L114" s="42"/>
      <c r="M114" s="7" t="b">
        <f ca="1">IF(ISERROR(F104),"",IF(ISTEXT(P114),IF(P114="A","Ab",IF(P114="D","Dt",IF(P114="UFM","UFM",IF(P114="NA","")))),IF(AND(ISBLANK(P114),ISBLANK(R114)),"",IF(P114&lt;0.3*S114,"F",IF(ISBLANK(R114),"",IF(ISTEXT(R114),R114,IF(R114&gt;=0.9*U114,"O",IF(R114&gt;=0.85*U114,"A+",IF(R114&gt;=0.8*U114,"A",IF(R114&gt;=0.7*U114,"B+",IF(R114&gt;=0.6*U114,"B",IF(R114&gt;=0.5*U114,"C",IF(R114&gt;=0.4*U114,"P",IF(R114&lt;0.4*U114,"F",R114))))))))))))))</f>
        <v>0</v>
      </c>
      <c r="N114" s="8" t="e">
        <f t="shared" ca="1" si="6"/>
        <v>#N/A</v>
      </c>
      <c r="O114" t="b" cm="1">
        <f t="array" aca="1" ref="O114" ca="1">IF(NOT(ISBLANK(INDIRECT("SEM_IV!AA"&amp;INT((ROW(O114)-18)/16)+6))),8,IF(NOT(ISBLANK(INDIRECT("SEM_IV!AD"&amp;INT((ROW(O114)-18)/16)+6))),9))</f>
        <v>0</v>
      </c>
      <c r="P114" s="1" t="str">
        <f ca="1">IF(ISERROR(F104),"",IF(ISTEXT(VLOOKUP(B104,INDIRECT($F$8),6+(O114-1)*3)),(VLOOKUP(B104,INDIRECT($F$8),6+(O114-1)*3)),SUM(VLOOKUP(B104,INDIRECT($F$8),6+(O114-1)*3),IF(W116,W114,0))))</f>
        <v>UTU/2406100174</v>
      </c>
      <c r="Q114" s="1" t="str">
        <f ca="1">IF(ISERROR(F104),"",VLOOKUP(B104,INDIRECT($F$8),7+(O114-1)*3))</f>
        <v>AYUSH MAURYA</v>
      </c>
      <c r="R114" s="1">
        <f ca="1">IF(ISERROR(F104),"",SUM(P114:Q114))</f>
        <v>0</v>
      </c>
      <c r="S114" s="1">
        <f ca="1">IF(ISERROR(F104),"",VLOOKUP(A104,INDIRECT($F$8),6+(O114-1)*3))</f>
        <v>0</v>
      </c>
      <c r="T114" s="1">
        <f ca="1">IF(ISERROR(F104),"",VLOOKUP(A104,INDIRECT($F$8),7+(O114-1)*3))</f>
        <v>0</v>
      </c>
      <c r="U114" s="1">
        <f ca="1">IF(ISERROR(F104),"",VLOOKUP(A104,INDIRECT($F$8),8+(O114-1)*3))</f>
        <v>0</v>
      </c>
      <c r="V114" s="1" t="e">
        <f ca="1">IF(ISERROR(F104),"",IF(N114=0,A114,""))</f>
        <v>#N/A</v>
      </c>
      <c r="W114" s="1">
        <f ca="1">IF(ISERROR(F104),"",IF(ISTEXT(VLOOKUP(B104,INDIRECT($F$8),6+(O114-1)*3)),11,IF(VLOOKUP(B104,INDIRECT($F$8),6+(O114-1)*3)&lt;S114*0.3,IF(VLOOKUP(B104,INDIRECT($F$8),8+(O114-1)*3)&lt;U114*0.4,IF(AND(0.4*U114-VLOOKUP(B104,INDIRECT($F$8),8+(O114-1)*3)&lt;=5,0.3*S114-VLOOKUP(B104,INDIRECT($F$8),6+(O114-1)*3)&lt;=5),MAX(0.4*U114-VLOOKUP(B104,INDIRECT($F$8),8+(O114-1)*3),0.3*S114-VLOOKUP(B104,INDIRECT($F$8),6+(O114-1)*3)),11),IF(0.3*S114-VLOOKUP(B104,INDIRECT($F$8),6+(O114-1)*3)&lt;=5,0.3*S114-VLOOKUP(B104,INDIRECT($F$8),6+(O114-1)*3),11)),IF(VLOOKUP(B104,INDIRECT($F$8),8+(O114-1)*3)&lt;U114*0.4,IF(U114*0.4-VLOOKUP(B104,INDIRECT($F$8),8+(O114-1)*3)&lt;=5,U114*0.4-VLOOKUP(B104,INDIRECT($F$8),8+(O114-1)*3),11),0))))</f>
        <v>11</v>
      </c>
      <c r="X114" s="1" t="str">
        <f ca="1">IF(ISERROR(F104),"",IF(W114=0,"",_xlfn.TEXTJOIN("",FALSE," G+",W114," in ",A114)))</f>
        <v xml:space="preserve"> G+11 in Enroll No.</v>
      </c>
    </row>
    <row r="115" spans="1:24" ht="12.75" customHeight="1" x14ac:dyDescent="0.2">
      <c r="A115" s="7" t="str">
        <f ca="1">IF(ISERROR(F104),"",VLOOKUP(C104,INDIRECT($F$8),6+(O115-1)*3,0))</f>
        <v>CAP 013</v>
      </c>
      <c r="B115" s="41" t="str">
        <f ca="1">IF(ISERROR(F104),"",VLOOKUP(D104,INDIRECT($F$8),6+(O115-1)*3-Z115,0))</f>
        <v>Major Project</v>
      </c>
      <c r="C115" s="41"/>
      <c r="D115" s="41"/>
      <c r="E115" s="41"/>
      <c r="F115" s="7">
        <f ca="1">IF(ISERROR(F104),"",VLOOKUP(E104,INDIRECT($F$8),6+(O115-1)*3,0))</f>
        <v>6</v>
      </c>
      <c r="G115" s="42" t="str">
        <f ca="1">IF(ISERROR(F104),"",_xlfn.TEXTJOIN("/",FALSE,P115,S115))</f>
        <v>0/200</v>
      </c>
      <c r="H115" s="42"/>
      <c r="I115" s="42" t="str">
        <f ca="1">IF(ISERROR(F104),"",_xlfn.TEXTJOIN("/",FALSE,Q115,T115))</f>
        <v>0/100</v>
      </c>
      <c r="J115" s="42"/>
      <c r="K115" s="42" t="str">
        <f ca="1">IF(ISERROR(F104),"",_xlfn.TEXTJOIN("/",FALSE,R115,U115))</f>
        <v>0/300</v>
      </c>
      <c r="L115" s="42"/>
      <c r="M115" s="7" t="str">
        <f ca="1">IF(ISERROR(F104),"",IF(ISTEXT(P115),IF(P115="A","Ab",IF(P115="D","Dt",IF(P115="UFM","UFM",IF(P115="NA","")))),IF(AND(ISBLANK(P115),ISBLANK(R115)),"",IF(P115&lt;0.3*S115,"F",IF(ISBLANK(R115),"",IF(ISTEXT(R115),R115,IF(R115&gt;=0.9*U115,"O",IF(R115&gt;=0.85*U115,"A+",IF(R115&gt;=0.8*U115,"A",IF(R115&gt;=0.7*U115,"B+",IF(R115&gt;=0.6*U115,"B",IF(R115&gt;=0.5*U115,"C",IF(R115&gt;=0.4*U115,"P",IF(R115&lt;0.4*U115,"F",R115))))))))))))))</f>
        <v>F</v>
      </c>
      <c r="N115" s="8">
        <f t="shared" ca="1" si="6"/>
        <v>0</v>
      </c>
      <c r="O115">
        <f ca="1">IF(O114&gt;0,10,"")</f>
        <v>10</v>
      </c>
      <c r="P115" s="1">
        <f ca="1">IF(ISERROR(F104),"",IF(ISTEXT(VLOOKUP(B104,INDIRECT($F$8),6+(O115-1)*3)),(VLOOKUP(B104,INDIRECT($F$8),6+(O115-1)*3)),SUM(VLOOKUP(B104,INDIRECT($F$8),6+(O115-1)*3),IF(W116,W115,0))))</f>
        <v>0</v>
      </c>
      <c r="Q115" s="1">
        <f ca="1">IF(ISERROR(F104),"",VLOOKUP(B104,INDIRECT($F$8),7+(O115-1)*3))</f>
        <v>0</v>
      </c>
      <c r="R115" s="1">
        <f ca="1">IF(ISERROR(F104),"",SUM(P115:Q115))</f>
        <v>0</v>
      </c>
      <c r="S115" s="1">
        <f ca="1">IF(ISERROR(F104),"",VLOOKUP(A104,INDIRECT($F$8),6+(O115-1)*3))</f>
        <v>200</v>
      </c>
      <c r="T115" s="1">
        <f ca="1">IF(ISERROR(F104),"",VLOOKUP(A104,INDIRECT($F$8),7+(O115-1)*3))</f>
        <v>100</v>
      </c>
      <c r="U115" s="1">
        <f ca="1">IF(ISERROR(F104),"",VLOOKUP(A104,INDIRECT($F$8),8+(O115-1)*3))</f>
        <v>300</v>
      </c>
      <c r="V115" s="1" t="str">
        <f ca="1">IF(ISERROR(F104),"",IF(N115=0,A115,""))</f>
        <v>CAP 013</v>
      </c>
      <c r="W115" s="1">
        <f ca="1">IF(ISERROR(F104),"",IF(ISTEXT(VLOOKUP(B104,INDIRECT($F$8),6+(O115-1)*3)),11,IF(VLOOKUP(B104,INDIRECT($F$8),6+(O115-1)*3)&lt;S115*0.3,IF(VLOOKUP(B104,INDIRECT($F$8),8+(O115-1)*3)&lt;U115*0.4,IF(AND(0.4*U115-VLOOKUP(B104,INDIRECT($F$8),8+(O115-1)*3)&lt;=5,0.3*S115-VLOOKUP(B104,INDIRECT($F$8),6+(O115-1)*3)&lt;=5),MAX(0.4*U115-VLOOKUP(B104,INDIRECT($F$8),8+(O115-1)*3),0.3*S115-VLOOKUP(B104,INDIRECT($F$8),6+(O115-1)*3)),11),IF(0.3*S115-VLOOKUP(B104,INDIRECT($F$8),6+(O115-1)*3)&lt;=5,0.3*S115-VLOOKUP(B104,INDIRECT($F$8),6+(O115-1)*3),11)),IF(VLOOKUP(B104,INDIRECT($F$8),8+(O115-1)*3)&lt;U115*0.4,IF(U115*0.4-VLOOKUP(B104,INDIRECT($F$8),8+(O115-1)*3)&lt;=5,U115*0.4-VLOOKUP(B104,INDIRECT($F$8),8+(O115-1)*3),11),0))))</f>
        <v>11</v>
      </c>
      <c r="X115" s="1" t="str">
        <f ca="1">IF(ISERROR(F104),"",IF(W115=0,"",_xlfn.TEXTJOIN("",FALSE," G+",W115," in ",A115)))</f>
        <v xml:space="preserve"> G+11 in CAP 013</v>
      </c>
    </row>
    <row r="116" spans="1:24" ht="12.75" customHeight="1" x14ac:dyDescent="0.2">
      <c r="A116" s="43" t="str">
        <f ca="1">IF(ISERROR(F104),"",A100)</f>
        <v>Total Credits/ Marks/ Total Grade Points</v>
      </c>
      <c r="B116" s="43"/>
      <c r="C116" s="43"/>
      <c r="D116" s="43"/>
      <c r="E116" s="43"/>
      <c r="F116" s="10">
        <f ca="1">IF(ISERROR(F104),"",SUM(F109:F115))</f>
        <v>15</v>
      </c>
      <c r="G116" s="44" t="str">
        <f ca="1">IF(ISERROR(F104),"",_xlfn.TEXTJOIN("/",TRUE,SUMIF(F109:F115,"&gt;0",P109:P115),SUMIF(F109:F115,"&gt;0",S109:S115)))</f>
        <v>0/430</v>
      </c>
      <c r="H116" s="44"/>
      <c r="I116" s="44" t="str">
        <f ca="1">IF(ISERROR(F104),"",_xlfn.TEXTJOIN("/",TRUE,SUMIF(F109:F115,"&gt;0",Q109:Q115),SUMIF(F109:F115,"&gt;0",T109:T115)))</f>
        <v>0/220</v>
      </c>
      <c r="J116" s="44"/>
      <c r="K116" s="44" t="str">
        <f ca="1">IF(ISERROR(F104),"",_xlfn.TEXTJOIN("/",TRUE,SUMIF(F109:F115,"&gt;0",R109:R115),SUMIF(F109:F115,"&gt;0",U109:U115)))</f>
        <v>0/650</v>
      </c>
      <c r="L116" s="44"/>
      <c r="M116" s="43" t="e">
        <f ca="1">IF(ISERROR(F104),"",SUMPRODUCT(N109:N115,F109:F115))</f>
        <v>#N/A</v>
      </c>
      <c r="N116" s="43"/>
      <c r="V116" s="1" t="e">
        <f ca="1">IF(ISERROR(F104),"",_xlfn.TEXTJOIN(", ",TRUE,V109:V115))</f>
        <v>#N/A</v>
      </c>
      <c r="W116" t="b">
        <f ca="1">IF(ISERROR(F104),"",IF(SUM(W109:W115)&lt;=W108,TRUE,FALSE))</f>
        <v>0</v>
      </c>
      <c r="X116" s="1" t="str">
        <f ca="1">IF(ISERROR(F104),"",_xlfn.TEXTJOIN(",",TRUE,X109:X115))</f>
        <v xml:space="preserve"> G+11 in CAT 022, G+11 in Enroll No., G+11 in CAT 030, G+11 in Enroll No., G+11 in CAP 011, G+11 in Enroll No., G+11 in CAP 013</v>
      </c>
    </row>
    <row r="117" spans="1:24" ht="12.75" customHeight="1" x14ac:dyDescent="0.2">
      <c r="A117" s="43" t="str">
        <f ca="1">IF(ISERROR(F104),"",A101)</f>
        <v>Result:</v>
      </c>
      <c r="B117" s="45" t="e">
        <f ca="1">IF(ISERROR(F104),"",IF(V116="","PASS","CARRY OVER"))</f>
        <v>#N/A</v>
      </c>
      <c r="C117" s="45"/>
      <c r="D117" s="43" t="str">
        <f ca="1">IF(ISERROR(F104),"",D101)</f>
        <v>Remark:</v>
      </c>
      <c r="E117" s="45" t="e">
        <f ca="1">IF(ISERROR(F104),"",IF(V116="",IF(X116="","",X116),_xlfn.TEXTJOIN(" ",TRUE,"BACK IN",V116)))</f>
        <v>#N/A</v>
      </c>
      <c r="F117" s="45"/>
      <c r="G117" s="43" t="str">
        <f ca="1">IF(ISERROR(F104),"",G101)</f>
        <v>SGPA:</v>
      </c>
      <c r="H117" s="46" t="e">
        <f ca="1">IF(ISERROR(F104),"",M116/F116)</f>
        <v>#N/A</v>
      </c>
      <c r="I117" s="43" t="str">
        <f ca="1">IF(ISERROR(F104),"",I101)</f>
        <v>CGPA:</v>
      </c>
      <c r="J117" s="46" t="e">
        <f ca="1">IF(ISERROR(F104),"",VLOOKUP(B104,INDIRECT($F$8),12+(O115-1)*3,0))</f>
        <v>#N/A</v>
      </c>
      <c r="K117" s="45" t="str">
        <f ca="1">IF(ISERROR(F104),"",K101)</f>
        <v>Earned Credits:</v>
      </c>
      <c r="L117" s="43">
        <f ca="1">IF(ISERROR(F104),"",SUMIF(N109:N115,"&gt;0",F109:F115))</f>
        <v>0</v>
      </c>
      <c r="M117" s="45" t="str">
        <f ca="1">IF(ISERROR(F104),"",M101)</f>
        <v>Cuml. Earned Credits:</v>
      </c>
      <c r="N117" s="43" t="e">
        <f ca="1">IF(ISERROR(F104),"",VLOOKUP(B104,INDIRECT($F$8),10+(O115-1)*3,0))</f>
        <v>#N/A</v>
      </c>
    </row>
    <row r="118" spans="1:24" ht="12.75" customHeight="1" x14ac:dyDescent="0.2">
      <c r="A118" s="43"/>
      <c r="B118" s="45"/>
      <c r="C118" s="45"/>
      <c r="D118" s="43"/>
      <c r="E118" s="45"/>
      <c r="F118" s="45"/>
      <c r="G118" s="43"/>
      <c r="H118" s="46"/>
      <c r="I118" s="43"/>
      <c r="J118" s="46"/>
      <c r="K118" s="45"/>
      <c r="L118" s="43"/>
      <c r="M118" s="45"/>
      <c r="N118" s="43"/>
    </row>
    <row r="119" spans="1:24" ht="12.75" customHeight="1" x14ac:dyDescent="0.2">
      <c r="A119" s="43"/>
      <c r="B119" s="45"/>
      <c r="C119" s="45"/>
      <c r="D119" s="43"/>
      <c r="E119" s="45"/>
      <c r="F119" s="45"/>
      <c r="G119" s="43"/>
      <c r="H119" s="46"/>
      <c r="I119" s="43"/>
      <c r="J119" s="46"/>
      <c r="K119" s="45"/>
      <c r="L119" s="43"/>
      <c r="M119" s="45"/>
      <c r="N119" s="43"/>
    </row>
    <row r="120" spans="1:24" ht="12.75" customHeight="1" x14ac:dyDescent="0.2">
      <c r="A120" s="11" t="str">
        <f>A104</f>
        <v>MM</v>
      </c>
      <c r="B120" s="11">
        <f>B104+1</f>
        <v>8</v>
      </c>
      <c r="C120" s="11" t="str">
        <f>C104</f>
        <v>SC</v>
      </c>
      <c r="D120" s="11" t="str">
        <f>D104</f>
        <v>SN</v>
      </c>
      <c r="E120" s="11" t="str">
        <f>E104</f>
        <v>C</v>
      </c>
      <c r="F120" s="11" t="str">
        <f ca="1">VLOOKUP(B120,INDIRECT($F$8),4,0)</f>
        <v>AYUSH RAWAT</v>
      </c>
    </row>
    <row r="121" spans="1:24" ht="12.75" customHeight="1" x14ac:dyDescent="0.2">
      <c r="A121" s="47" t="str">
        <f ca="1">IF(ISERROR(F120),"",A105)</f>
        <v>Name:</v>
      </c>
      <c r="B121" s="47" t="str">
        <f ca="1">IFERROR(VLOOKUP(B120,INDIRECT($F$8),4,0),"")</f>
        <v>AYUSH RAWAT</v>
      </c>
      <c r="C121" s="47"/>
      <c r="D121" s="47" t="str">
        <f ca="1">IF(ISERROR(F120),"",D105)</f>
        <v>Father's Name:</v>
      </c>
      <c r="E121" s="47" t="str">
        <f ca="1">IFERROR(VLOOKUP(B120,INDIRECT($F$8),5,0),"")</f>
        <v>MUKESH RAWAT</v>
      </c>
      <c r="F121" s="47"/>
      <c r="G121" s="47" t="str">
        <f ca="1">IF(ISERROR(F120),"",G105)</f>
        <v>University Roll No:</v>
      </c>
      <c r="H121" s="47"/>
      <c r="I121" s="48">
        <f ca="1">IFERROR(VLOOKUP(B120,INDIRECT($F$8),2,0),"")</f>
        <v>240090600008</v>
      </c>
      <c r="J121" s="48"/>
      <c r="K121" s="47" t="str">
        <f ca="1">IF(ISERROR(F120),"",K105)</f>
        <v>University Enrol. No:</v>
      </c>
      <c r="L121" s="47"/>
      <c r="M121" s="48" t="str">
        <f ca="1">IFERROR(VLOOKUP(B120,INDIRECT($F$8),3,0),"")</f>
        <v>UTU/2406100183</v>
      </c>
      <c r="N121" s="48"/>
    </row>
    <row r="122" spans="1:24" ht="12.75" customHeight="1" x14ac:dyDescent="0.2">
      <c r="A122" s="47"/>
      <c r="B122" s="47"/>
      <c r="C122" s="47"/>
      <c r="D122" s="47"/>
      <c r="E122" s="47"/>
      <c r="F122" s="47"/>
      <c r="G122" s="47"/>
      <c r="H122" s="47"/>
      <c r="I122" s="48"/>
      <c r="J122" s="48"/>
      <c r="K122" s="47"/>
      <c r="L122" s="47"/>
      <c r="M122" s="48"/>
      <c r="N122" s="48"/>
    </row>
    <row r="123" spans="1:24" ht="12.75" customHeight="1" x14ac:dyDescent="0.2">
      <c r="A123" s="45" t="str">
        <f ca="1">IF(ISERROR(F120),"",A107)</f>
        <v>Subject Code</v>
      </c>
      <c r="B123" s="45" t="str">
        <f ca="1">IF(ISERROR(F120),"",B107)</f>
        <v>Subject Name</v>
      </c>
      <c r="C123" s="45"/>
      <c r="D123" s="45"/>
      <c r="E123" s="45"/>
      <c r="F123" s="45" t="str">
        <f ca="1">IF(ISERROR(F120),"",F107)</f>
        <v>Credits</v>
      </c>
      <c r="G123" s="45" t="str">
        <f ca="1">IF(ISERROR(F120),"",G107)</f>
        <v>External Marks</v>
      </c>
      <c r="H123" s="45"/>
      <c r="I123" s="45" t="str">
        <f ca="1">IF(ISERROR(F120),"",I107)</f>
        <v>Sessional Marks</v>
      </c>
      <c r="J123" s="45"/>
      <c r="K123" s="45" t="str">
        <f ca="1">IF(ISERROR(F120),"",K107)</f>
        <v>Total Marks</v>
      </c>
      <c r="L123" s="45"/>
      <c r="M123" s="45" t="str">
        <f ca="1">IF(ISERROR(F120),"",M107)</f>
        <v>Grade</v>
      </c>
      <c r="N123" s="45" t="str">
        <f ca="1">IF(ISERROR(F120),"",N107)</f>
        <v>Grade Points</v>
      </c>
    </row>
    <row r="124" spans="1:24" ht="12.75" customHeight="1" x14ac:dyDescent="0.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W124">
        <f ca="1">IF(ISNUMBER(MATCH($F$8,{"I","III","V","VII"},0)),10,10-INDEX(INDIRECT(_xlfn.TEXTJOIN("",TRUE,"SEM_",$G$8,"!",ADDRESS(6,4+$I$8*3+4),":",ADDRESS(5+$H$8,4+$I$8*3+4))),MATCH(INDIRECT(_xlfn.TEXTJOIN("",TRUE,"TC_",$F$8,"!",ADDRESS(ROW(I121),COLUMN(I121)))),INDIRECT(_xlfn.TEXTJOIN("",TRUE,"SEM_",$G$8,"!",ADDRESS(6,2),":",ADDRESS(5+$H$8,2))))))</f>
        <v>10</v>
      </c>
    </row>
    <row r="125" spans="1:24" ht="12.75" customHeight="1" x14ac:dyDescent="0.2">
      <c r="A125" s="7" t="str">
        <f ca="1">IF(ISERROR(F120),"",VLOOKUP(C120,INDIRECT($F$8),6+(O125-1)*3,0))</f>
        <v>CAT 022</v>
      </c>
      <c r="B125" s="41" t="str">
        <f ca="1">IF(ISERROR(F120),"",VLOOKUP(D120,INDIRECT($F$8),6+(O125-1)*3,0))</f>
        <v>Network Security</v>
      </c>
      <c r="C125" s="41"/>
      <c r="D125" s="41"/>
      <c r="E125" s="41"/>
      <c r="F125" s="7">
        <f ca="1">IF(ISERROR(F120),"",VLOOKUP(E120,INDIRECT($F$8),6+(O125-1)*3,0))</f>
        <v>4</v>
      </c>
      <c r="G125" s="42" t="str">
        <f ca="1">IF(ISERROR(F120),"",_xlfn.TEXTJOIN("/",FALSE,P125,S125))</f>
        <v>0/100</v>
      </c>
      <c r="H125" s="42"/>
      <c r="I125" s="42" t="str">
        <f ca="1">IF(ISERROR(F120),"",_xlfn.TEXTJOIN("/",FALSE,Q125,T125))</f>
        <v>0/50</v>
      </c>
      <c r="J125" s="42"/>
      <c r="K125" s="42" t="str">
        <f ca="1">IF(ISERROR(F120),"",_xlfn.TEXTJOIN("/",FALSE,R125,U125))</f>
        <v>0/150</v>
      </c>
      <c r="L125" s="42"/>
      <c r="M125" s="7" t="str">
        <f ca="1">IF(ISERROR(F120),"",IF(ISTEXT(P125),IF(P125="A","Ab",IF(P125="D","Dt",IF(P125="UFM","UFM",IF(P125="NA","")))),IF(AND(ISBLANK(P125),ISBLANK(R125)),"",IF(P125&lt;0.3*S125,"F",IF(ISBLANK(R125),"",IF(ISTEXT(R125),R125,IF(R125&gt;=0.9*U125,"O",IF(R125&gt;=0.85*U125,"A+",IF(R125&gt;=0.8*U125,"A",IF(R125&gt;=0.7*U125,"B+",IF(R125&gt;=0.6*U125,"B",IF(R125&gt;=0.5*U125,"C",IF(R125&gt;=0.4*U125,"P",IF(R125&lt;0.4*U125,"F",R125))))))))))))))</f>
        <v>F</v>
      </c>
      <c r="N125" s="8">
        <f t="shared" ref="N125:N131" ca="1" si="7">INDEX($Z$2:$Z$13,MATCH(M125,$Y$2:$Y$13,0))</f>
        <v>0</v>
      </c>
      <c r="O125">
        <v>1</v>
      </c>
      <c r="P125" s="1">
        <f ca="1">IF(ISERROR(F120),"",IF(ISTEXT(VLOOKUP(B120,INDIRECT($F$8),6+(O125-1)*3)),(VLOOKUP(B120,INDIRECT($F$8),6+(O125-1)*3)),SUM(VLOOKUP(B120,INDIRECT($F$8),6+(O125-1)*3),IF(W132,W125,0))))</f>
        <v>0</v>
      </c>
      <c r="Q125" s="1">
        <f ca="1">IF(ISERROR(F120),"",VLOOKUP(B120,INDIRECT($F$8),7+(O125-1)*3))</f>
        <v>0</v>
      </c>
      <c r="R125" s="1">
        <f ca="1">IF(ISERROR(F120),"",SUM(P125:Q125))</f>
        <v>0</v>
      </c>
      <c r="S125" s="1">
        <f ca="1">IF(ISERROR(F120),"",VLOOKUP(A120,INDIRECT($F$8),6+(O125-1)*3))</f>
        <v>100</v>
      </c>
      <c r="T125" s="1">
        <f ca="1">IF(ISERROR(F120),"",VLOOKUP(A120,INDIRECT($F$8),7+(O125-1)*3))</f>
        <v>50</v>
      </c>
      <c r="U125" s="1">
        <f ca="1">IF(ISERROR(F120),"",VLOOKUP(A120,INDIRECT($F$8),8+(O125-1)*3))</f>
        <v>150</v>
      </c>
      <c r="V125" s="1" t="str">
        <f ca="1">IF(ISERROR(F120),"",IF(N125=0,A125,""))</f>
        <v>CAT 022</v>
      </c>
      <c r="W125" s="1">
        <f ca="1">IF(ISERROR(F120),"",IF(ISTEXT(VLOOKUP(B120,INDIRECT($F$8),6+(O125-1)*3)),11,IF(VLOOKUP(B120,INDIRECT($F$8),6+(O125-1)*3)&lt;S125*0.3,IF(VLOOKUP(B120,INDIRECT($F$8),8+(O125-1)*3)&lt;U125*0.4,IF(AND(0.4*U125-VLOOKUP(B120,INDIRECT($F$8),8+(O125-1)*3)&lt;=5,0.3*S125-VLOOKUP(B120,INDIRECT($F$8),6+(O125-1)*3)&lt;=5),MAX(0.4*U125-VLOOKUP(B120,INDIRECT($F$8),8+(O125-1)*3),0.3*S125-VLOOKUP(B120,INDIRECT($F$8),6+(O125-1)*3)),11),IF(0.3*S125-VLOOKUP(B120,INDIRECT($F$8),6+(O125-1)*3)&lt;=5,0.3*S125-VLOOKUP(B120,INDIRECT($F$8),6+(O125-1)*3),11)),IF(VLOOKUP(B120,INDIRECT($F$8),8+(O125-1)*3)&lt;U125*0.4,IF(U125*0.4-VLOOKUP(B120,INDIRECT($F$8),8+(O125-1)*3)&lt;=5,U125*0.4-VLOOKUP(B120,INDIRECT($F$8),8+(O125-1)*3),11),0))))</f>
        <v>11</v>
      </c>
      <c r="X125" s="1" t="str">
        <f ca="1">IF(ISERROR(F120),"",IF(W125=0,"",_xlfn.TEXTJOIN("",FALSE," G+",W125," in ",A125)))</f>
        <v xml:space="preserve"> G+11 in CAT 022</v>
      </c>
    </row>
    <row r="126" spans="1:24" ht="12.75" customHeight="1" x14ac:dyDescent="0.2">
      <c r="A126" s="7" t="str">
        <f ca="1">IF(ISERROR(F120),"",VLOOKUP(C120,INDIRECT($F$8),6+(O126-1)*3,0))</f>
        <v>Enroll No.</v>
      </c>
      <c r="B126" s="41">
        <f ca="1">IF(ISERROR(F120),"",VLOOKUP(D120,INDIRECT($F$8),6+(O126-1)*3,0))</f>
        <v>0</v>
      </c>
      <c r="C126" s="41"/>
      <c r="D126" s="41"/>
      <c r="E126" s="41"/>
      <c r="F126" s="7">
        <f ca="1">IF(ISERROR(F120),"",VLOOKUP(E120,INDIRECT($F$8),6+(O126-1)*3,0))</f>
        <v>0</v>
      </c>
      <c r="G126" s="42" t="str">
        <f ca="1">IF(ISERROR(F120),"",_xlfn.TEXTJOIN("/",FALSE,P126,S126))</f>
        <v>UTU/2406100183/0</v>
      </c>
      <c r="H126" s="42"/>
      <c r="I126" s="42" t="str">
        <f ca="1">IF(ISERROR(F120),"",_xlfn.TEXTJOIN("/",FALSE,Q126,T126))</f>
        <v>AYUSH RAWAT/0</v>
      </c>
      <c r="J126" s="42"/>
      <c r="K126" s="42" t="str">
        <f ca="1">IF(ISERROR(F120),"",_xlfn.TEXTJOIN("/",FALSE,R126,U126))</f>
        <v>0/0</v>
      </c>
      <c r="L126" s="42"/>
      <c r="M126" s="7" t="b">
        <f ca="1">IF(ISERROR(F120),"",IF(ISTEXT(P126),IF(P126="A","Ab",IF(P126="D","Dt",IF(P126="UFM","UFM",IF(P126="NA","")))),IF(AND(ISBLANK(P126),ISBLANK(R126)),"",IF(P126&lt;0.3*S126,"F",IF(ISBLANK(R126),"",IF(ISTEXT(R126),R126,IF(R126&gt;=0.9*U126,"O",IF(R126&gt;=0.85*U126,"A+",IF(R126&gt;=0.8*U126,"A",IF(R126&gt;=0.7*U126,"B+",IF(R126&gt;=0.6*U126,"B",IF(R126&gt;=0.5*U126,"C",IF(R126&gt;=0.4*U126,"P",IF(R126&lt;0.4*U126,"F",R126))))))))))))))</f>
        <v>0</v>
      </c>
      <c r="N126" s="8" t="e">
        <f t="shared" ca="1" si="7"/>
        <v>#N/A</v>
      </c>
      <c r="O126" t="b" cm="1">
        <f t="array" aca="1" ref="O126" ca="1">IF(NOT(ISBLANK(INDIRECT("SEM_IV!I"&amp;INT((ROW(O126)-14)/16)+6))),2,IF(NOT(ISBLANK(INDIRECT("SEM_IV!L"&amp;INT((ROW(O126)-14)/16)+6))),3))</f>
        <v>0</v>
      </c>
      <c r="P126" s="1" t="str">
        <f ca="1">IF(ISERROR(F120),"",IF(ISTEXT(VLOOKUP(B120,INDIRECT($F$8),6+(O126-1)*3)),(VLOOKUP(B120,INDIRECT($F$8),6+(O126-1)*3)),SUM(VLOOKUP(B120,INDIRECT($F$8),6+(O126-1)*3),IF(W132,W126,0))))</f>
        <v>UTU/2406100183</v>
      </c>
      <c r="Q126" s="1" t="str">
        <f ca="1">IF(ISERROR(F120),"",VLOOKUP(B120,INDIRECT($F$8),7+(O126-1)*3))</f>
        <v>AYUSH RAWAT</v>
      </c>
      <c r="R126" s="1">
        <f ca="1">IF(ISERROR(F120),"",SUM(P126:Q126))</f>
        <v>0</v>
      </c>
      <c r="S126" s="1">
        <f ca="1">IF(ISERROR(F120),"",VLOOKUP(A120,INDIRECT($F$8),6+(O126-1)*3))</f>
        <v>0</v>
      </c>
      <c r="T126" s="1">
        <f ca="1">IF(ISERROR(F120),"",VLOOKUP(A120,INDIRECT($F$8),7+(O126-1)*3))</f>
        <v>0</v>
      </c>
      <c r="U126" s="1">
        <f ca="1">IF(ISERROR(F120),"",VLOOKUP(A120,INDIRECT($F$8),8+(O126-1)*3))</f>
        <v>0</v>
      </c>
      <c r="V126" s="1" t="e">
        <f ca="1">IF(ISERROR(F120),"",IF(N126=0,A126,""))</f>
        <v>#N/A</v>
      </c>
      <c r="W126" s="1">
        <f ca="1">IF(ISERROR(F120),"",IF(ISTEXT(VLOOKUP(B120,INDIRECT($F$8),6+(O126-1)*3)),11,IF(VLOOKUP(B120,INDIRECT($F$8),6+(O126-1)*3)&lt;S126*0.3,IF(VLOOKUP(B120,INDIRECT($F$8),8+(O126-1)*3)&lt;U126*0.4,IF(AND(0.4*U126-VLOOKUP(B120,INDIRECT($F$8),8+(O126-1)*3)&lt;=5,0.3*S126-VLOOKUP(B120,INDIRECT($F$8),6+(O126-1)*3)&lt;=5),MAX(0.4*U126-VLOOKUP(B120,INDIRECT($F$8),8+(O126-1)*3),0.3*S126-VLOOKUP(B120,INDIRECT($F$8),6+(O126-1)*3)),11),IF(0.3*S126-VLOOKUP(B120,INDIRECT($F$8),6+(O126-1)*3)&lt;=5,0.3*S126-VLOOKUP(B120,INDIRECT($F$8),6+(O126-1)*3),11)),IF(VLOOKUP(B120,INDIRECT($F$8),8+(O126-1)*3)&lt;U126*0.4,IF(U126*0.4-VLOOKUP(B120,INDIRECT($F$8),8+(O126-1)*3)&lt;=5,U126*0.4-VLOOKUP(B120,INDIRECT($F$8),8+(O126-1)*3),11),0))))</f>
        <v>11</v>
      </c>
      <c r="X126" s="1" t="str">
        <f ca="1">IF(ISERROR(F120),"",IF(W126=0,"",_xlfn.TEXTJOIN("",FALSE," G+",W126," in ",A126)))</f>
        <v xml:space="preserve"> G+11 in Enroll No.</v>
      </c>
    </row>
    <row r="127" spans="1:24" ht="12.75" customHeight="1" x14ac:dyDescent="0.2">
      <c r="A127" s="7" t="str">
        <f ca="1">IF(ISERROR(F120),"",VLOOKUP(C120,INDIRECT($F$8),6+(O127-1)*3,0))</f>
        <v>CAT 030</v>
      </c>
      <c r="B127" s="41" t="str">
        <f ca="1">IF(ISERROR(F120),"",VLOOKUP(D120,INDIRECT($F$8),6+(O127-1)*3,0))</f>
        <v>Software Testing &amp; Quality Assurance</v>
      </c>
      <c r="C127" s="41"/>
      <c r="D127" s="41"/>
      <c r="E127" s="41"/>
      <c r="F127" s="7">
        <f ca="1">IF(ISERROR(F120),"",VLOOKUP(E120,INDIRECT($F$8),6+(O127-1)*3,0))</f>
        <v>4</v>
      </c>
      <c r="G127" s="42" t="str">
        <f ca="1">IF(ISERROR(F120),"",_xlfn.TEXTJOIN("/",FALSE,P127,S127))</f>
        <v>0/100</v>
      </c>
      <c r="H127" s="42"/>
      <c r="I127" s="42" t="str">
        <f ca="1">IF(ISERROR(F120),"",_xlfn.TEXTJOIN("/",FALSE,Q127,T127))</f>
        <v>0/50</v>
      </c>
      <c r="J127" s="42"/>
      <c r="K127" s="42" t="str">
        <f ca="1">IF(ISERROR(F120),"",_xlfn.TEXTJOIN("/",FALSE,R127,U127))</f>
        <v>0/150</v>
      </c>
      <c r="L127" s="42"/>
      <c r="M127" s="7" t="str">
        <f ca="1">IF(ISERROR(F120),"",IF(ISTEXT(P127),IF(P127="A","Ab",IF(P127="D","Dt",IF(P127="UFM","UFM",IF(P127="NA","")))),IF(AND(ISBLANK(P127),ISBLANK(R127)),"",IF(P127&lt;0.3*S127,"F",IF(ISBLANK(R127),"",IF(ISTEXT(R127),R127,IF(R127&gt;=0.9*U127,"O",IF(R127&gt;=0.85*U127,"A+",IF(R127&gt;=0.8*U127,"A",IF(R127&gt;=0.7*U127,"B+",IF(R127&gt;=0.6*U127,"B",IF(R127&gt;=0.5*U127,"C",IF(R127&gt;=0.4*U127,"P",IF(R127&lt;0.4*U127,"F",R127))))))))))))))</f>
        <v>F</v>
      </c>
      <c r="N127" s="8">
        <f t="shared" ca="1" si="7"/>
        <v>0</v>
      </c>
      <c r="O127">
        <f ca="1">IF(O126&gt;0,4,"")</f>
        <v>4</v>
      </c>
      <c r="P127" s="1">
        <f ca="1">IF(ISERROR(F120),"",IF(ISTEXT(VLOOKUP(B120,INDIRECT($F$8),6+(O127-1)*3)),(VLOOKUP(B120,INDIRECT($F$8),6+(O127-1)*3)),SUM(VLOOKUP(B120,INDIRECT($F$8),6+(O127-1)*3),IF(W132,W127,0))))</f>
        <v>0</v>
      </c>
      <c r="Q127" s="1">
        <f ca="1">IF(ISERROR(F120),"",VLOOKUP(B120,INDIRECT($F$8),7+(O127-1)*3))</f>
        <v>0</v>
      </c>
      <c r="R127" s="1">
        <f ca="1">IF(ISERROR(F120),"",SUM(P127:Q127))</f>
        <v>0</v>
      </c>
      <c r="S127" s="1">
        <f ca="1">IF(ISERROR(F120),"",VLOOKUP(A120,INDIRECT($F$8),6+(O127-1)*3))</f>
        <v>100</v>
      </c>
      <c r="T127" s="1">
        <f ca="1">IF(ISERROR(F120),"",VLOOKUP(A120,INDIRECT($F$8),7+(O127-1)*3))</f>
        <v>50</v>
      </c>
      <c r="U127" s="1">
        <f ca="1">IF(ISERROR(F120),"",VLOOKUP(A120,INDIRECT($F$8),8+(O127-1)*3))</f>
        <v>150</v>
      </c>
      <c r="V127" s="1" t="str">
        <f ca="1">IF(ISERROR(F120),"",IF(N127=0,A127,""))</f>
        <v>CAT 030</v>
      </c>
      <c r="W127" s="1">
        <f ca="1">IF(ISERROR(F120),"",IF(ISTEXT(VLOOKUP(B120,INDIRECT($F$8),6+(O127-1)*3)),11,IF(VLOOKUP(B120,INDIRECT($F$8),6+(O127-1)*3)&lt;S127*0.3,IF(VLOOKUP(B120,INDIRECT($F$8),8+(O127-1)*3)&lt;U127*0.4,IF(AND(0.4*U127-VLOOKUP(B120,INDIRECT($F$8),8+(O127-1)*3)&lt;=5,0.3*S127-VLOOKUP(B120,INDIRECT($F$8),6+(O127-1)*3)&lt;=5),MAX(0.4*U127-VLOOKUP(B120,INDIRECT($F$8),8+(O127-1)*3),0.3*S127-VLOOKUP(B120,INDIRECT($F$8),6+(O127-1)*3)),11),IF(0.3*S127-VLOOKUP(B120,INDIRECT($F$8),6+(O127-1)*3)&lt;=5,0.3*S127-VLOOKUP(B120,INDIRECT($F$8),6+(O127-1)*3),11)),IF(VLOOKUP(B120,INDIRECT($F$8),8+(O127-1)*3)&lt;U127*0.4,IF(U127*0.4-VLOOKUP(B120,INDIRECT($F$8),8+(O127-1)*3)&lt;=5,U127*0.4-VLOOKUP(B120,INDIRECT($F$8),8+(O127-1)*3),11),0))))</f>
        <v>11</v>
      </c>
      <c r="X127" s="1" t="str">
        <f ca="1">IF(ISERROR(F120),"",IF(W127=0,"",_xlfn.TEXTJOIN("",FALSE," G+",W127," in ",A127)))</f>
        <v xml:space="preserve"> G+11 in CAT 030</v>
      </c>
    </row>
    <row r="128" spans="1:24" ht="12.75" customHeight="1" x14ac:dyDescent="0.2">
      <c r="A128" s="7" t="str">
        <f ca="1">IF(ISERROR(F120),"",VLOOKUP(C120,INDIRECT($F$8),6+(O128-1)*3,0))</f>
        <v>Enroll No.</v>
      </c>
      <c r="B128" s="41">
        <f ca="1">IF(ISERROR(F120),"",VLOOKUP(D120,INDIRECT($F$8),6+(O128-1)*3,0))</f>
        <v>0</v>
      </c>
      <c r="C128" s="41"/>
      <c r="D128" s="41"/>
      <c r="E128" s="41"/>
      <c r="F128" s="7">
        <f ca="1">IF(ISERROR(F120),"",VLOOKUP(E120,INDIRECT($F$8),6+(O128-1)*3,0))</f>
        <v>0</v>
      </c>
      <c r="G128" s="42" t="str">
        <f ca="1">IF(ISERROR(F120),"",_xlfn.TEXTJOIN("/",FALSE,P128,S128))</f>
        <v>UTU/2406100183/0</v>
      </c>
      <c r="H128" s="42"/>
      <c r="I128" s="42" t="str">
        <f ca="1">IF(ISERROR(F120),"",_xlfn.TEXTJOIN("/",FALSE,Q128,T128))</f>
        <v>AYUSH RAWAT/0</v>
      </c>
      <c r="J128" s="42"/>
      <c r="K128" s="42" t="str">
        <f ca="1">IF(ISERROR(F120),"",_xlfn.TEXTJOIN("/",FALSE,R128,U128))</f>
        <v>0/0</v>
      </c>
      <c r="L128" s="42"/>
      <c r="M128" s="7" t="b">
        <f ca="1">IF(ISERROR(F120),"",IF(ISTEXT(P128),IF(P128="A","Ab",IF(P128="D","Dt",IF(P128="UFM","UFM",IF(P128="NA","")))),IF(AND(ISBLANK(P128),ISBLANK(R128)),"",IF(P128&lt;0.3*S128,"F",IF(ISBLANK(R128),"",IF(ISTEXT(R128),R128,IF(R128&gt;=0.9*U128,"O",IF(R128&gt;=0.85*U128,"A+",IF(R128&gt;=0.8*U128,"A",IF(R128&gt;=0.7*U128,"B+",IF(R128&gt;=0.6*U128,"B",IF(R128&gt;=0.5*U128,"C",IF(R128&gt;=0.4*U128,"P",IF(R128&lt;0.4*U128,"F",R128))))))))))))))</f>
        <v>0</v>
      </c>
      <c r="N128" s="8" t="e">
        <f t="shared" ca="1" si="7"/>
        <v>#N/A</v>
      </c>
      <c r="O128" t="b" cm="1">
        <f t="array" aca="1" ref="O128" ca="1">IF(NOT(ISBLANK(INDIRECT("SEM_IV!R"&amp;INT((ROW(O128)-16)/16)+6))),5,IF(NOT(ISBLANK(INDIRECT("SEM_IV!U"&amp;INT((ROW(O128)-16)/16)+6))),6))</f>
        <v>0</v>
      </c>
      <c r="P128" s="1" t="str">
        <f ca="1">IF(ISERROR(F120),"",IF(ISTEXT(VLOOKUP(B120,INDIRECT($F$8),6+(O128-1)*3)),(VLOOKUP(B120,INDIRECT($F$8),6+(O128-1)*3)),SUM(VLOOKUP(B120,INDIRECT($F$8),6+(O128-1)*3),IF(W132,W128,0))))</f>
        <v>UTU/2406100183</v>
      </c>
      <c r="Q128" s="1" t="str">
        <f ca="1">IF(ISERROR(F120),"",VLOOKUP(B120,INDIRECT($F$8),7+(O128-1)*3))</f>
        <v>AYUSH RAWAT</v>
      </c>
      <c r="R128" s="1">
        <f ca="1">IF(ISERROR(F120),"",SUM(P128:Q128))</f>
        <v>0</v>
      </c>
      <c r="S128" s="1">
        <f ca="1">IF(ISERROR(F120),"",VLOOKUP(A120,INDIRECT($F$8),6+(O128-1)*3))</f>
        <v>0</v>
      </c>
      <c r="T128" s="1">
        <f ca="1">IF(ISERROR(F120),"",VLOOKUP(A120,INDIRECT($F$8),7+(O128-1)*3))</f>
        <v>0</v>
      </c>
      <c r="U128" s="1">
        <f ca="1">IF(ISERROR(F120),"",VLOOKUP(A120,INDIRECT($F$8),8+(O128-1)*3))</f>
        <v>0</v>
      </c>
      <c r="V128" s="1" t="e">
        <f ca="1">IF(ISERROR(F120),"",IF(N128=0,A128,""))</f>
        <v>#N/A</v>
      </c>
      <c r="W128" s="1">
        <f ca="1">IF(ISERROR(F120),"",IF(ISTEXT(VLOOKUP(B120,INDIRECT($F$8),6+(O128-1)*3)),11,IF(VLOOKUP(B120,INDIRECT($F$8),6+(O128-1)*3)&lt;S128*0.3,IF(VLOOKUP(B120,INDIRECT($F$8),8+(O128-1)*3)&lt;U128*0.4,IF(AND(0.4*U128-VLOOKUP(B120,INDIRECT($F$8),8+(O128-1)*3)&lt;=5,0.3*S128-VLOOKUP(B120,INDIRECT($F$8),6+(O128-1)*3)&lt;=5),MAX(0.4*U128-VLOOKUP(B120,INDIRECT($F$8),8+(O128-1)*3),0.3*S128-VLOOKUP(B120,INDIRECT($F$8),6+(O128-1)*3)),11),IF(0.3*S128-VLOOKUP(B120,INDIRECT($F$8),6+(O128-1)*3)&lt;=5,0.3*S128-VLOOKUP(B120,INDIRECT($F$8),6+(O128-1)*3),11)),IF(VLOOKUP(B120,INDIRECT($F$8),8+(O128-1)*3)&lt;U128*0.4,IF(U128*0.4-VLOOKUP(B120,INDIRECT($F$8),8+(O128-1)*3)&lt;=5,U128*0.4-VLOOKUP(B120,INDIRECT($F$8),8+(O128-1)*3),11),0))))</f>
        <v>11</v>
      </c>
      <c r="X128" s="1" t="str">
        <f ca="1">IF(ISERROR(F120),"",IF(W128=0,"",_xlfn.TEXTJOIN("",FALSE," G+",W128," in ",A128)))</f>
        <v xml:space="preserve"> G+11 in Enroll No.</v>
      </c>
    </row>
    <row r="129" spans="1:24" ht="12.75" customHeight="1" x14ac:dyDescent="0.2">
      <c r="A129" s="7" t="str">
        <f ca="1">IF(ISERROR(F120),"",VLOOKUP(C120,INDIRECT($F$8),6+(O129-1)*3,0))</f>
        <v>CAP 011</v>
      </c>
      <c r="B129" s="41" t="str">
        <f ca="1">IF(ISERROR(F120),"",VLOOKUP(D120,INDIRECT($F$8),6+(O129-1)*3,0))</f>
        <v>Network Security Lab</v>
      </c>
      <c r="C129" s="41"/>
      <c r="D129" s="41"/>
      <c r="E129" s="41"/>
      <c r="F129" s="7">
        <f ca="1">IF(ISERROR(F120),"",VLOOKUP(E120,INDIRECT($F$8),6+(O129-1)*3,0))</f>
        <v>1</v>
      </c>
      <c r="G129" s="42" t="str">
        <f ca="1">IF(ISERROR(F120),"",_xlfn.TEXTJOIN("/",FALSE,P129,S129))</f>
        <v>0/30</v>
      </c>
      <c r="H129" s="42"/>
      <c r="I129" s="42" t="str">
        <f ca="1">IF(ISERROR(F120),"",_xlfn.TEXTJOIN("/",FALSE,Q129,T129))</f>
        <v>0/20</v>
      </c>
      <c r="J129" s="42"/>
      <c r="K129" s="42" t="str">
        <f ca="1">IF(ISERROR(F120),"",_xlfn.TEXTJOIN("/",FALSE,R129,U129))</f>
        <v>0/50</v>
      </c>
      <c r="L129" s="42"/>
      <c r="M129" s="7" t="str">
        <f ca="1">IF(ISERROR(F120),"",IF(ISTEXT(P129),IF(P129="A","Ab",IF(P129="D","Dt",IF(P129="UFM","UFM",IF(P129="NA","")))),IF(AND(ISBLANK(P129),ISBLANK(R129)),"",IF(P129&lt;0.3*S129,"F",IF(ISBLANK(R129),"",IF(ISTEXT(R129),R129,IF(R129&gt;=0.9*U129,"O",IF(R129&gt;=0.85*U129,"A+",IF(R129&gt;=0.8*U129,"A",IF(R129&gt;=0.7*U129,"B+",IF(R129&gt;=0.6*U129,"B",IF(R129&gt;=0.5*U129,"C",IF(R129&gt;=0.4*U129,"P",IF(R129&lt;0.4*U129,"F",R129))))))))))))))</f>
        <v>F</v>
      </c>
      <c r="N129" s="8">
        <f t="shared" ca="1" si="7"/>
        <v>0</v>
      </c>
      <c r="O129">
        <f ca="1">IF(O128&gt;0,7,"")</f>
        <v>7</v>
      </c>
      <c r="P129" s="1">
        <f ca="1">IF(ISERROR(F120),"",IF(ISTEXT(VLOOKUP(B120,INDIRECT($F$8),6+(O129-1)*3)),(VLOOKUP(B120,INDIRECT($F$8),6+(O129-1)*3)),SUM(VLOOKUP(B120,INDIRECT($F$8),6+(O129-1)*3),IF(W132,W129,0))))</f>
        <v>0</v>
      </c>
      <c r="Q129" s="1">
        <f ca="1">IF(ISERROR(F120),"",VLOOKUP(B120,INDIRECT($F$8),7+(O129-1)*3))</f>
        <v>0</v>
      </c>
      <c r="R129" s="1">
        <f ca="1">IF(ISERROR(F120),"",SUM(P129:Q129))</f>
        <v>0</v>
      </c>
      <c r="S129" s="1">
        <f ca="1">IF(ISERROR(F120),"",VLOOKUP(A120,INDIRECT($F$8),6+(O129-1)*3))</f>
        <v>30</v>
      </c>
      <c r="T129" s="1">
        <f ca="1">IF(ISERROR(F120),"",VLOOKUP(A120,INDIRECT($F$8),7+(O129-1)*3))</f>
        <v>20</v>
      </c>
      <c r="U129" s="1">
        <f ca="1">IF(ISERROR(F120),"",VLOOKUP(A120,INDIRECT($F$8),8+(O129-1)*3))</f>
        <v>50</v>
      </c>
      <c r="V129" s="1" t="str">
        <f ca="1">IF(ISERROR(F120),"",IF(N129=0,A129,""))</f>
        <v>CAP 011</v>
      </c>
      <c r="W129" s="1">
        <f ca="1">IF(ISERROR(F120),"",IF(ISTEXT(VLOOKUP(B120,INDIRECT($F$8),6+(O129-1)*3)),11,IF(VLOOKUP(B120,INDIRECT($F$8),6+(O129-1)*3)&lt;S129*0.3,IF(VLOOKUP(B120,INDIRECT($F$8),8+(O129-1)*3)&lt;U129*0.4,IF(AND(0.4*U129-VLOOKUP(B120,INDIRECT($F$8),8+(O129-1)*3)&lt;=5,0.3*S129-VLOOKUP(B120,INDIRECT($F$8),6+(O129-1)*3)&lt;=5),MAX(0.4*U129-VLOOKUP(B120,INDIRECT($F$8),8+(O129-1)*3),0.3*S129-VLOOKUP(B120,INDIRECT($F$8),6+(O129-1)*3)),11),IF(0.3*S129-VLOOKUP(B120,INDIRECT($F$8),6+(O129-1)*3)&lt;=5,0.3*S129-VLOOKUP(B120,INDIRECT($F$8),6+(O129-1)*3),11)),IF(VLOOKUP(B120,INDIRECT($F$8),8+(O129-1)*3)&lt;U129*0.4,IF(U129*0.4-VLOOKUP(B120,INDIRECT($F$8),8+(O129-1)*3)&lt;=5,U129*0.4-VLOOKUP(B120,INDIRECT($F$8),8+(O129-1)*3),11),0))))</f>
        <v>11</v>
      </c>
      <c r="X129" s="1" t="str">
        <f ca="1">IF(ISERROR(F120),"",IF(W129=0,"",_xlfn.TEXTJOIN("",FALSE," G+",W129," in ",A129)))</f>
        <v xml:space="preserve"> G+11 in CAP 011</v>
      </c>
    </row>
    <row r="130" spans="1:24" ht="12.75" customHeight="1" x14ac:dyDescent="0.2">
      <c r="A130" s="7" t="str">
        <f ca="1">IF(ISERROR(F120),"",VLOOKUP(C120,INDIRECT($F$8),6+(O130-1)*3,0))</f>
        <v>Enroll No.</v>
      </c>
      <c r="B130" s="41">
        <f ca="1">IF(ISERROR(F120),"",VLOOKUP(D120,INDIRECT($F$8),6+(O130-1)*3,0))</f>
        <v>0</v>
      </c>
      <c r="C130" s="41"/>
      <c r="D130" s="41"/>
      <c r="E130" s="41"/>
      <c r="F130" s="7">
        <f ca="1">IF(ISERROR(F120),"",VLOOKUP(E120,INDIRECT($F$8),6+(O130-1)*3,0))</f>
        <v>0</v>
      </c>
      <c r="G130" s="42" t="str">
        <f ca="1">IF(ISERROR(F120),"",_xlfn.TEXTJOIN("/",FALSE,P130,S130))</f>
        <v>UTU/2406100183/0</v>
      </c>
      <c r="H130" s="42"/>
      <c r="I130" s="42" t="str">
        <f ca="1">IF(ISERROR(F120),"",_xlfn.TEXTJOIN("/",FALSE,Q130,T130))</f>
        <v>AYUSH RAWAT/0</v>
      </c>
      <c r="J130" s="42"/>
      <c r="K130" s="42" t="str">
        <f ca="1">IF(ISERROR(F120),"",_xlfn.TEXTJOIN("/",FALSE,R130,U130))</f>
        <v>0/0</v>
      </c>
      <c r="L130" s="42"/>
      <c r="M130" s="7" t="b">
        <f ca="1">IF(ISERROR(F120),"",IF(ISTEXT(P130),IF(P130="A","Ab",IF(P130="D","Dt",IF(P130="UFM","UFM",IF(P130="NA","")))),IF(AND(ISBLANK(P130),ISBLANK(R130)),"",IF(P130&lt;0.3*S130,"F",IF(ISBLANK(R130),"",IF(ISTEXT(R130),R130,IF(R130&gt;=0.9*U130,"O",IF(R130&gt;=0.85*U130,"A+",IF(R130&gt;=0.8*U130,"A",IF(R130&gt;=0.7*U130,"B+",IF(R130&gt;=0.6*U130,"B",IF(R130&gt;=0.5*U130,"C",IF(R130&gt;=0.4*U130,"P",IF(R130&lt;0.4*U130,"F",R130))))))))))))))</f>
        <v>0</v>
      </c>
      <c r="N130" s="8" t="e">
        <f t="shared" ca="1" si="7"/>
        <v>#N/A</v>
      </c>
      <c r="O130" t="b" cm="1">
        <f t="array" aca="1" ref="O130" ca="1">IF(NOT(ISBLANK(INDIRECT("SEM_IV!AA"&amp;INT((ROW(O130)-18)/16)+6))),8,IF(NOT(ISBLANK(INDIRECT("SEM_IV!AD"&amp;INT((ROW(O130)-18)/16)+6))),9))</f>
        <v>0</v>
      </c>
      <c r="P130" s="1" t="str">
        <f ca="1">IF(ISERROR(F120),"",IF(ISTEXT(VLOOKUP(B120,INDIRECT($F$8),6+(O130-1)*3)),(VLOOKUP(B120,INDIRECT($F$8),6+(O130-1)*3)),SUM(VLOOKUP(B120,INDIRECT($F$8),6+(O130-1)*3),IF(W132,W130,0))))</f>
        <v>UTU/2406100183</v>
      </c>
      <c r="Q130" s="1" t="str">
        <f ca="1">IF(ISERROR(F120),"",VLOOKUP(B120,INDIRECT($F$8),7+(O130-1)*3))</f>
        <v>AYUSH RAWAT</v>
      </c>
      <c r="R130" s="1">
        <f ca="1">IF(ISERROR(F120),"",SUM(P130:Q130))</f>
        <v>0</v>
      </c>
      <c r="S130" s="1">
        <f ca="1">IF(ISERROR(F120),"",VLOOKUP(A120,INDIRECT($F$8),6+(O130-1)*3))</f>
        <v>0</v>
      </c>
      <c r="T130" s="1">
        <f ca="1">IF(ISERROR(F120),"",VLOOKUP(A120,INDIRECT($F$8),7+(O130-1)*3))</f>
        <v>0</v>
      </c>
      <c r="U130" s="1">
        <f ca="1">IF(ISERROR(F120),"",VLOOKUP(A120,INDIRECT($F$8),8+(O130-1)*3))</f>
        <v>0</v>
      </c>
      <c r="V130" s="1" t="e">
        <f ca="1">IF(ISERROR(F120),"",IF(N130=0,A130,""))</f>
        <v>#N/A</v>
      </c>
      <c r="W130" s="1">
        <f ca="1">IF(ISERROR(F120),"",IF(ISTEXT(VLOOKUP(B120,INDIRECT($F$8),6+(O130-1)*3)),11,IF(VLOOKUP(B120,INDIRECT($F$8),6+(O130-1)*3)&lt;S130*0.3,IF(VLOOKUP(B120,INDIRECT($F$8),8+(O130-1)*3)&lt;U130*0.4,IF(AND(0.4*U130-VLOOKUP(B120,INDIRECT($F$8),8+(O130-1)*3)&lt;=5,0.3*S130-VLOOKUP(B120,INDIRECT($F$8),6+(O130-1)*3)&lt;=5),MAX(0.4*U130-VLOOKUP(B120,INDIRECT($F$8),8+(O130-1)*3),0.3*S130-VLOOKUP(B120,INDIRECT($F$8),6+(O130-1)*3)),11),IF(0.3*S130-VLOOKUP(B120,INDIRECT($F$8),6+(O130-1)*3)&lt;=5,0.3*S130-VLOOKUP(B120,INDIRECT($F$8),6+(O130-1)*3),11)),IF(VLOOKUP(B120,INDIRECT($F$8),8+(O130-1)*3)&lt;U130*0.4,IF(U130*0.4-VLOOKUP(B120,INDIRECT($F$8),8+(O130-1)*3)&lt;=5,U130*0.4-VLOOKUP(B120,INDIRECT($F$8),8+(O130-1)*3),11),0))))</f>
        <v>11</v>
      </c>
      <c r="X130" s="1" t="str">
        <f ca="1">IF(ISERROR(F120),"",IF(W130=0,"",_xlfn.TEXTJOIN("",FALSE," G+",W130," in ",A130)))</f>
        <v xml:space="preserve"> G+11 in Enroll No.</v>
      </c>
    </row>
    <row r="131" spans="1:24" ht="12.75" customHeight="1" x14ac:dyDescent="0.2">
      <c r="A131" s="7" t="str">
        <f ca="1">IF(ISERROR(F120),"",VLOOKUP(C120,INDIRECT($F$8),6+(O131-1)*3,0))</f>
        <v>CAP 013</v>
      </c>
      <c r="B131" s="41" t="str">
        <f ca="1">IF(ISERROR(F120),"",VLOOKUP(D120,INDIRECT($F$8),6+(O131-1)*3-Z131,0))</f>
        <v>Major Project</v>
      </c>
      <c r="C131" s="41"/>
      <c r="D131" s="41"/>
      <c r="E131" s="41"/>
      <c r="F131" s="7">
        <f ca="1">IF(ISERROR(F120),"",VLOOKUP(E120,INDIRECT($F$8),6+(O131-1)*3,0))</f>
        <v>6</v>
      </c>
      <c r="G131" s="42" t="str">
        <f ca="1">IF(ISERROR(F120),"",_xlfn.TEXTJOIN("/",FALSE,P131,S131))</f>
        <v>0/200</v>
      </c>
      <c r="H131" s="42"/>
      <c r="I131" s="42" t="str">
        <f ca="1">IF(ISERROR(F120),"",_xlfn.TEXTJOIN("/",FALSE,Q131,T131))</f>
        <v>0/100</v>
      </c>
      <c r="J131" s="42"/>
      <c r="K131" s="42" t="str">
        <f ca="1">IF(ISERROR(F120),"",_xlfn.TEXTJOIN("/",FALSE,R131,U131))</f>
        <v>0/300</v>
      </c>
      <c r="L131" s="42"/>
      <c r="M131" s="7" t="str">
        <f ca="1">IF(ISERROR(F120),"",IF(ISTEXT(P131),IF(P131="A","Ab",IF(P131="D","Dt",IF(P131="UFM","UFM",IF(P131="NA","")))),IF(AND(ISBLANK(P131),ISBLANK(R131)),"",IF(P131&lt;0.3*S131,"F",IF(ISBLANK(R131),"",IF(ISTEXT(R131),R131,IF(R131&gt;=0.9*U131,"O",IF(R131&gt;=0.85*U131,"A+",IF(R131&gt;=0.8*U131,"A",IF(R131&gt;=0.7*U131,"B+",IF(R131&gt;=0.6*U131,"B",IF(R131&gt;=0.5*U131,"C",IF(R131&gt;=0.4*U131,"P",IF(R131&lt;0.4*U131,"F",R131))))))))))))))</f>
        <v>F</v>
      </c>
      <c r="N131" s="8">
        <f t="shared" ca="1" si="7"/>
        <v>0</v>
      </c>
      <c r="O131">
        <f ca="1">IF(O130&gt;0,10,"")</f>
        <v>10</v>
      </c>
      <c r="P131" s="1">
        <f ca="1">IF(ISERROR(F120),"",IF(ISTEXT(VLOOKUP(B120,INDIRECT($F$8),6+(O131-1)*3)),(VLOOKUP(B120,INDIRECT($F$8),6+(O131-1)*3)),SUM(VLOOKUP(B120,INDIRECT($F$8),6+(O131-1)*3),IF(W132,W131,0))))</f>
        <v>0</v>
      </c>
      <c r="Q131" s="1">
        <f ca="1">IF(ISERROR(F120),"",VLOOKUP(B120,INDIRECT($F$8),7+(O131-1)*3))</f>
        <v>0</v>
      </c>
      <c r="R131" s="1">
        <f ca="1">IF(ISERROR(F120),"",SUM(P131:Q131))</f>
        <v>0</v>
      </c>
      <c r="S131" s="1">
        <f ca="1">IF(ISERROR(F120),"",VLOOKUP(A120,INDIRECT($F$8),6+(O131-1)*3))</f>
        <v>200</v>
      </c>
      <c r="T131" s="1">
        <f ca="1">IF(ISERROR(F120),"",VLOOKUP(A120,INDIRECT($F$8),7+(O131-1)*3))</f>
        <v>100</v>
      </c>
      <c r="U131" s="1">
        <f ca="1">IF(ISERROR(F120),"",VLOOKUP(A120,INDIRECT($F$8),8+(O131-1)*3))</f>
        <v>300</v>
      </c>
      <c r="V131" s="1" t="str">
        <f ca="1">IF(ISERROR(F120),"",IF(N131=0,A131,""))</f>
        <v>CAP 013</v>
      </c>
      <c r="W131" s="1">
        <f ca="1">IF(ISERROR(F120),"",IF(ISTEXT(VLOOKUP(B120,INDIRECT($F$8),6+(O131-1)*3)),11,IF(VLOOKUP(B120,INDIRECT($F$8),6+(O131-1)*3)&lt;S131*0.3,IF(VLOOKUP(B120,INDIRECT($F$8),8+(O131-1)*3)&lt;U131*0.4,IF(AND(0.4*U131-VLOOKUP(B120,INDIRECT($F$8),8+(O131-1)*3)&lt;=5,0.3*S131-VLOOKUP(B120,INDIRECT($F$8),6+(O131-1)*3)&lt;=5),MAX(0.4*U131-VLOOKUP(B120,INDIRECT($F$8),8+(O131-1)*3),0.3*S131-VLOOKUP(B120,INDIRECT($F$8),6+(O131-1)*3)),11),IF(0.3*S131-VLOOKUP(B120,INDIRECT($F$8),6+(O131-1)*3)&lt;=5,0.3*S131-VLOOKUP(B120,INDIRECT($F$8),6+(O131-1)*3),11)),IF(VLOOKUP(B120,INDIRECT($F$8),8+(O131-1)*3)&lt;U131*0.4,IF(U131*0.4-VLOOKUP(B120,INDIRECT($F$8),8+(O131-1)*3)&lt;=5,U131*0.4-VLOOKUP(B120,INDIRECT($F$8),8+(O131-1)*3),11),0))))</f>
        <v>11</v>
      </c>
      <c r="X131" s="1" t="str">
        <f ca="1">IF(ISERROR(F120),"",IF(W131=0,"",_xlfn.TEXTJOIN("",FALSE," G+",W131," in ",A131)))</f>
        <v xml:space="preserve"> G+11 in CAP 013</v>
      </c>
    </row>
    <row r="132" spans="1:24" ht="12.75" customHeight="1" x14ac:dyDescent="0.2">
      <c r="A132" s="43" t="str">
        <f ca="1">IF(ISERROR(F120),"",A116)</f>
        <v>Total Credits/ Marks/ Total Grade Points</v>
      </c>
      <c r="B132" s="43"/>
      <c r="C132" s="43"/>
      <c r="D132" s="43"/>
      <c r="E132" s="43"/>
      <c r="F132" s="10">
        <f ca="1">IF(ISERROR(F120),"",SUM(F125:F131))</f>
        <v>15</v>
      </c>
      <c r="G132" s="44" t="str">
        <f ca="1">IF(ISERROR(F120),"",_xlfn.TEXTJOIN("/",TRUE,SUMIF(F125:F131,"&gt;0",P125:P131),SUMIF(F125:F131,"&gt;0",S125:S131)))</f>
        <v>0/430</v>
      </c>
      <c r="H132" s="44"/>
      <c r="I132" s="44" t="str">
        <f ca="1">IF(ISERROR(F120),"",_xlfn.TEXTJOIN("/",TRUE,SUMIF(F125:F131,"&gt;0",Q125:Q131),SUMIF(F125:F131,"&gt;0",T125:T131)))</f>
        <v>0/220</v>
      </c>
      <c r="J132" s="44"/>
      <c r="K132" s="44" t="str">
        <f ca="1">IF(ISERROR(F120),"",_xlfn.TEXTJOIN("/",TRUE,SUMIF(F125:F131,"&gt;0",R125:R131),SUMIF(F125:F131,"&gt;0",U125:U131)))</f>
        <v>0/650</v>
      </c>
      <c r="L132" s="44"/>
      <c r="M132" s="43" t="e">
        <f ca="1">IF(ISERROR(F120),"",SUMPRODUCT(N125:N131,F125:F131))</f>
        <v>#N/A</v>
      </c>
      <c r="N132" s="43"/>
      <c r="V132" s="1" t="e">
        <f ca="1">IF(ISERROR(F120),"",_xlfn.TEXTJOIN(", ",TRUE,V125:V131))</f>
        <v>#N/A</v>
      </c>
      <c r="W132" t="b">
        <f ca="1">IF(ISERROR(F120),"",IF(SUM(W125:W131)&lt;=W124,TRUE,FALSE))</f>
        <v>0</v>
      </c>
      <c r="X132" s="1" t="str">
        <f ca="1">IF(ISERROR(F120),"",_xlfn.TEXTJOIN(",",TRUE,X125:X131))</f>
        <v xml:space="preserve"> G+11 in CAT 022, G+11 in Enroll No., G+11 in CAT 030, G+11 in Enroll No., G+11 in CAP 011, G+11 in Enroll No., G+11 in CAP 013</v>
      </c>
    </row>
    <row r="133" spans="1:24" ht="12.75" customHeight="1" x14ac:dyDescent="0.2">
      <c r="A133" s="43" t="str">
        <f ca="1">IF(ISERROR(F120),"",A117)</f>
        <v>Result:</v>
      </c>
      <c r="B133" s="45" t="e">
        <f ca="1">IF(ISERROR(F120),"",IF(V132="","PASS","CARRY OVER"))</f>
        <v>#N/A</v>
      </c>
      <c r="C133" s="45"/>
      <c r="D133" s="43" t="str">
        <f ca="1">IF(ISERROR(F120),"",D117)</f>
        <v>Remark:</v>
      </c>
      <c r="E133" s="45" t="e">
        <f ca="1">IF(ISERROR(F120),"",IF(V132="",IF(X132="","",X132),_xlfn.TEXTJOIN(" ",TRUE,"BACK IN",V132)))</f>
        <v>#N/A</v>
      </c>
      <c r="F133" s="45"/>
      <c r="G133" s="43" t="str">
        <f ca="1">IF(ISERROR(F120),"",G117)</f>
        <v>SGPA:</v>
      </c>
      <c r="H133" s="46" t="e">
        <f ca="1">IF(ISERROR(F120),"",M132/F132)</f>
        <v>#N/A</v>
      </c>
      <c r="I133" s="43" t="str">
        <f ca="1">IF(ISERROR(F120),"",I117)</f>
        <v>CGPA:</v>
      </c>
      <c r="J133" s="46" t="e">
        <f ca="1">IF(ISERROR(F120),"",VLOOKUP(B120,INDIRECT($F$8),12+(O131-1)*3,0))</f>
        <v>#N/A</v>
      </c>
      <c r="K133" s="45" t="str">
        <f ca="1">IF(ISERROR(F120),"",K117)</f>
        <v>Earned Credits:</v>
      </c>
      <c r="L133" s="43">
        <f ca="1">IF(ISERROR(F120),"",SUMIF(N125:N131,"&gt;0",F125:F131))</f>
        <v>0</v>
      </c>
      <c r="M133" s="45" t="str">
        <f ca="1">IF(ISERROR(F120),"",M117)</f>
        <v>Cuml. Earned Credits:</v>
      </c>
      <c r="N133" s="43" t="e">
        <f ca="1">IF(ISERROR(F120),"",VLOOKUP(B120,INDIRECT($F$8),10+(O131-1)*3,0))</f>
        <v>#N/A</v>
      </c>
    </row>
    <row r="134" spans="1:24" ht="12.75" customHeight="1" x14ac:dyDescent="0.2">
      <c r="A134" s="43"/>
      <c r="B134" s="45"/>
      <c r="C134" s="45"/>
      <c r="D134" s="43"/>
      <c r="E134" s="45"/>
      <c r="F134" s="45"/>
      <c r="G134" s="43"/>
      <c r="H134" s="46"/>
      <c r="I134" s="43"/>
      <c r="J134" s="46"/>
      <c r="K134" s="45"/>
      <c r="L134" s="43"/>
      <c r="M134" s="45"/>
      <c r="N134" s="43"/>
    </row>
    <row r="135" spans="1:24" ht="12.75" customHeight="1" x14ac:dyDescent="0.2">
      <c r="A135" s="43"/>
      <c r="B135" s="45"/>
      <c r="C135" s="45"/>
      <c r="D135" s="43"/>
      <c r="E135" s="45"/>
      <c r="F135" s="45"/>
      <c r="G135" s="43"/>
      <c r="H135" s="46"/>
      <c r="I135" s="43"/>
      <c r="J135" s="46"/>
      <c r="K135" s="45"/>
      <c r="L135" s="43"/>
      <c r="M135" s="45"/>
      <c r="N135" s="43"/>
    </row>
    <row r="136" spans="1:24" ht="12.75" customHeight="1" x14ac:dyDescent="0.2">
      <c r="A136" s="11" t="str">
        <f>A120</f>
        <v>MM</v>
      </c>
      <c r="B136" s="11">
        <f>B120+1</f>
        <v>9</v>
      </c>
      <c r="C136" s="11" t="str">
        <f>C120</f>
        <v>SC</v>
      </c>
      <c r="D136" s="11" t="str">
        <f>D120</f>
        <v>SN</v>
      </c>
      <c r="E136" s="11" t="str">
        <f>E120</f>
        <v>C</v>
      </c>
      <c r="F136" s="11" t="str">
        <f ca="1">VLOOKUP(B136,INDIRECT($F$8),4,0)</f>
        <v>CHIRAG KASHYAP</v>
      </c>
    </row>
    <row r="137" spans="1:24" ht="12.75" customHeight="1" x14ac:dyDescent="0.2">
      <c r="A137" s="47" t="str">
        <f ca="1">IF(ISERROR(F136),"",A121)</f>
        <v>Name:</v>
      </c>
      <c r="B137" s="47" t="str">
        <f ca="1">IFERROR(VLOOKUP(B136,INDIRECT($F$8),4,0),"")</f>
        <v>CHIRAG KASHYAP</v>
      </c>
      <c r="C137" s="47"/>
      <c r="D137" s="47" t="str">
        <f ca="1">IF(ISERROR(F136),"",D121)</f>
        <v>Father's Name:</v>
      </c>
      <c r="E137" s="47" t="str">
        <f ca="1">IFERROR(VLOOKUP(B136,INDIRECT($F$8),5,0),"")</f>
        <v>NARENDRA SINGH</v>
      </c>
      <c r="F137" s="47"/>
      <c r="G137" s="47" t="str">
        <f ca="1">IF(ISERROR(F136),"",G121)</f>
        <v>University Roll No:</v>
      </c>
      <c r="H137" s="47"/>
      <c r="I137" s="48">
        <f ca="1">IFERROR(VLOOKUP(B136,INDIRECT($F$8),2,0),"")</f>
        <v>240090600009</v>
      </c>
      <c r="J137" s="48"/>
      <c r="K137" s="47" t="str">
        <f ca="1">IF(ISERROR(F136),"",K121)</f>
        <v>University Enrol. No:</v>
      </c>
      <c r="L137" s="47"/>
      <c r="M137" s="48" t="str">
        <f ca="1">IFERROR(VLOOKUP(B136,INDIRECT($F$8),3,0),"")</f>
        <v>UTU/2406100172</v>
      </c>
      <c r="N137" s="48"/>
    </row>
    <row r="138" spans="1:24" ht="12.75" customHeight="1" x14ac:dyDescent="0.2">
      <c r="A138" s="47"/>
      <c r="B138" s="47"/>
      <c r="C138" s="47"/>
      <c r="D138" s="47"/>
      <c r="E138" s="47"/>
      <c r="F138" s="47"/>
      <c r="G138" s="47"/>
      <c r="H138" s="47"/>
      <c r="I138" s="48"/>
      <c r="J138" s="48"/>
      <c r="K138" s="47"/>
      <c r="L138" s="47"/>
      <c r="M138" s="48"/>
      <c r="N138" s="48"/>
    </row>
    <row r="139" spans="1:24" ht="12.75" customHeight="1" x14ac:dyDescent="0.2">
      <c r="A139" s="45" t="str">
        <f ca="1">IF(ISERROR(F136),"",A123)</f>
        <v>Subject Code</v>
      </c>
      <c r="B139" s="45" t="str">
        <f ca="1">IF(ISERROR(F136),"",B123)</f>
        <v>Subject Name</v>
      </c>
      <c r="C139" s="45"/>
      <c r="D139" s="45"/>
      <c r="E139" s="45"/>
      <c r="F139" s="45" t="str">
        <f ca="1">IF(ISERROR(F136),"",F123)</f>
        <v>Credits</v>
      </c>
      <c r="G139" s="45" t="str">
        <f ca="1">IF(ISERROR(F136),"",G123)</f>
        <v>External Marks</v>
      </c>
      <c r="H139" s="45"/>
      <c r="I139" s="45" t="str">
        <f ca="1">IF(ISERROR(F136),"",I123)</f>
        <v>Sessional Marks</v>
      </c>
      <c r="J139" s="45"/>
      <c r="K139" s="45" t="str">
        <f ca="1">IF(ISERROR(F136),"",K123)</f>
        <v>Total Marks</v>
      </c>
      <c r="L139" s="45"/>
      <c r="M139" s="45" t="str">
        <f ca="1">IF(ISERROR(F136),"",M123)</f>
        <v>Grade</v>
      </c>
      <c r="N139" s="45" t="str">
        <f ca="1">IF(ISERROR(F136),"",N123)</f>
        <v>Grade Points</v>
      </c>
    </row>
    <row r="140" spans="1:24" ht="12.75" customHeight="1" x14ac:dyDescent="0.2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W140">
        <f ca="1">IF(ISNUMBER(MATCH($F$8,{"I","III","V","VII"},0)),10,10-INDEX(INDIRECT(_xlfn.TEXTJOIN("",TRUE,"SEM_",$G$8,"!",ADDRESS(6,4+$I$8*3+4),":",ADDRESS(5+$H$8,4+$I$8*3+4))),MATCH(INDIRECT(_xlfn.TEXTJOIN("",TRUE,"TC_",$F$8,"!",ADDRESS(ROW(I137),COLUMN(I137)))),INDIRECT(_xlfn.TEXTJOIN("",TRUE,"SEM_",$G$8,"!",ADDRESS(6,2),":",ADDRESS(5+$H$8,2))))))</f>
        <v>10</v>
      </c>
    </row>
    <row r="141" spans="1:24" ht="12.75" customHeight="1" x14ac:dyDescent="0.2">
      <c r="A141" s="7" t="str">
        <f ca="1">IF(ISERROR(F136),"",VLOOKUP(C136,INDIRECT($F$8),6+(O141-1)*3,0))</f>
        <v>CAT 022</v>
      </c>
      <c r="B141" s="41" t="str">
        <f ca="1">IF(ISERROR(F136),"",VLOOKUP(D136,INDIRECT($F$8),6+(O141-1)*3,0))</f>
        <v>Network Security</v>
      </c>
      <c r="C141" s="41"/>
      <c r="D141" s="41"/>
      <c r="E141" s="41"/>
      <c r="F141" s="7">
        <f ca="1">IF(ISERROR(F136),"",VLOOKUP(E136,INDIRECT($F$8),6+(O141-1)*3,0))</f>
        <v>4</v>
      </c>
      <c r="G141" s="42" t="str">
        <f ca="1">IF(ISERROR(F136),"",_xlfn.TEXTJOIN("/",FALSE,P141,S141))</f>
        <v>0/100</v>
      </c>
      <c r="H141" s="42"/>
      <c r="I141" s="42" t="str">
        <f ca="1">IF(ISERROR(F136),"",_xlfn.TEXTJOIN("/",FALSE,Q141,T141))</f>
        <v>0/50</v>
      </c>
      <c r="J141" s="42"/>
      <c r="K141" s="42" t="str">
        <f ca="1">IF(ISERROR(F136),"",_xlfn.TEXTJOIN("/",FALSE,R141,U141))</f>
        <v>0/150</v>
      </c>
      <c r="L141" s="42"/>
      <c r="M141" s="7" t="str">
        <f ca="1">IF(ISERROR(F136),"",IF(ISTEXT(P141),IF(P141="A","Ab",IF(P141="D","Dt",IF(P141="UFM","UFM",IF(P141="NA","")))),IF(AND(ISBLANK(P141),ISBLANK(R141)),"",IF(P141&lt;0.3*S141,"F",IF(ISBLANK(R141),"",IF(ISTEXT(R141),R141,IF(R141&gt;=0.9*U141,"O",IF(R141&gt;=0.85*U141,"A+",IF(R141&gt;=0.8*U141,"A",IF(R141&gt;=0.7*U141,"B+",IF(R141&gt;=0.6*U141,"B",IF(R141&gt;=0.5*U141,"C",IF(R141&gt;=0.4*U141,"P",IF(R141&lt;0.4*U141,"F",R141))))))))))))))</f>
        <v>F</v>
      </c>
      <c r="N141" s="8">
        <f t="shared" ref="N141:N147" ca="1" si="8">INDEX($Z$2:$Z$13,MATCH(M141,$Y$2:$Y$13,0))</f>
        <v>0</v>
      </c>
      <c r="O141">
        <v>1</v>
      </c>
      <c r="P141" s="1">
        <f ca="1">IF(ISERROR(F136),"",IF(ISTEXT(VLOOKUP(B136,INDIRECT($F$8),6+(O141-1)*3)),(VLOOKUP(B136,INDIRECT($F$8),6+(O141-1)*3)),SUM(VLOOKUP(B136,INDIRECT($F$8),6+(O141-1)*3),IF(W148,W141,0))))</f>
        <v>0</v>
      </c>
      <c r="Q141" s="1">
        <f ca="1">IF(ISERROR(F136),"",VLOOKUP(B136,INDIRECT($F$8),7+(O141-1)*3))</f>
        <v>0</v>
      </c>
      <c r="R141" s="1">
        <f ca="1">IF(ISERROR(F136),"",SUM(P141:Q141))</f>
        <v>0</v>
      </c>
      <c r="S141" s="1">
        <f ca="1">IF(ISERROR(F136),"",VLOOKUP(A136,INDIRECT($F$8),6+(O141-1)*3))</f>
        <v>100</v>
      </c>
      <c r="T141" s="1">
        <f ca="1">IF(ISERROR(F136),"",VLOOKUP(A136,INDIRECT($F$8),7+(O141-1)*3))</f>
        <v>50</v>
      </c>
      <c r="U141" s="1">
        <f ca="1">IF(ISERROR(F136),"",VLOOKUP(A136,INDIRECT($F$8),8+(O141-1)*3))</f>
        <v>150</v>
      </c>
      <c r="V141" s="1" t="str">
        <f ca="1">IF(ISERROR(F136),"",IF(N141=0,A141,""))</f>
        <v>CAT 022</v>
      </c>
      <c r="W141" s="1">
        <f ca="1">IF(ISERROR(F136),"",IF(ISTEXT(VLOOKUP(B136,INDIRECT($F$8),6+(O141-1)*3)),11,IF(VLOOKUP(B136,INDIRECT($F$8),6+(O141-1)*3)&lt;S141*0.3,IF(VLOOKUP(B136,INDIRECT($F$8),8+(O141-1)*3)&lt;U141*0.4,IF(AND(0.4*U141-VLOOKUP(B136,INDIRECT($F$8),8+(O141-1)*3)&lt;=5,0.3*S141-VLOOKUP(B136,INDIRECT($F$8),6+(O141-1)*3)&lt;=5),MAX(0.4*U141-VLOOKUP(B136,INDIRECT($F$8),8+(O141-1)*3),0.3*S141-VLOOKUP(B136,INDIRECT($F$8),6+(O141-1)*3)),11),IF(0.3*S141-VLOOKUP(B136,INDIRECT($F$8),6+(O141-1)*3)&lt;=5,0.3*S141-VLOOKUP(B136,INDIRECT($F$8),6+(O141-1)*3),11)),IF(VLOOKUP(B136,INDIRECT($F$8),8+(O141-1)*3)&lt;U141*0.4,IF(U141*0.4-VLOOKUP(B136,INDIRECT($F$8),8+(O141-1)*3)&lt;=5,U141*0.4-VLOOKUP(B136,INDIRECT($F$8),8+(O141-1)*3),11),0))))</f>
        <v>11</v>
      </c>
      <c r="X141" s="1" t="str">
        <f ca="1">IF(ISERROR(F136),"",IF(W141=0,"",_xlfn.TEXTJOIN("",FALSE," G+",W141," in ",A141)))</f>
        <v xml:space="preserve"> G+11 in CAT 022</v>
      </c>
    </row>
    <row r="142" spans="1:24" ht="12.75" customHeight="1" x14ac:dyDescent="0.2">
      <c r="A142" s="7" t="str">
        <f ca="1">IF(ISERROR(F136),"",VLOOKUP(C136,INDIRECT($F$8),6+(O142-1)*3,0))</f>
        <v>Enroll No.</v>
      </c>
      <c r="B142" s="41">
        <f ca="1">IF(ISERROR(F136),"",VLOOKUP(D136,INDIRECT($F$8),6+(O142-1)*3,0))</f>
        <v>0</v>
      </c>
      <c r="C142" s="41"/>
      <c r="D142" s="41"/>
      <c r="E142" s="41"/>
      <c r="F142" s="7">
        <f ca="1">IF(ISERROR(F136),"",VLOOKUP(E136,INDIRECT($F$8),6+(O142-1)*3,0))</f>
        <v>0</v>
      </c>
      <c r="G142" s="42" t="str">
        <f ca="1">IF(ISERROR(F136),"",_xlfn.TEXTJOIN("/",FALSE,P142,S142))</f>
        <v>UTU/2406100172/0</v>
      </c>
      <c r="H142" s="42"/>
      <c r="I142" s="42" t="str">
        <f ca="1">IF(ISERROR(F136),"",_xlfn.TEXTJOIN("/",FALSE,Q142,T142))</f>
        <v>CHIRAG KASHYAP/0</v>
      </c>
      <c r="J142" s="42"/>
      <c r="K142" s="42" t="str">
        <f ca="1">IF(ISERROR(F136),"",_xlfn.TEXTJOIN("/",FALSE,R142,U142))</f>
        <v>0/0</v>
      </c>
      <c r="L142" s="42"/>
      <c r="M142" s="7" t="b">
        <f ca="1">IF(ISERROR(F136),"",IF(ISTEXT(P142),IF(P142="A","Ab",IF(P142="D","Dt",IF(P142="UFM","UFM",IF(P142="NA","")))),IF(AND(ISBLANK(P142),ISBLANK(R142)),"",IF(P142&lt;0.3*S142,"F",IF(ISBLANK(R142),"",IF(ISTEXT(R142),R142,IF(R142&gt;=0.9*U142,"O",IF(R142&gt;=0.85*U142,"A+",IF(R142&gt;=0.8*U142,"A",IF(R142&gt;=0.7*U142,"B+",IF(R142&gt;=0.6*U142,"B",IF(R142&gt;=0.5*U142,"C",IF(R142&gt;=0.4*U142,"P",IF(R142&lt;0.4*U142,"F",R142))))))))))))))</f>
        <v>0</v>
      </c>
      <c r="N142" s="8" t="e">
        <f t="shared" ca="1" si="8"/>
        <v>#N/A</v>
      </c>
      <c r="O142" t="b" cm="1">
        <f t="array" aca="1" ref="O142" ca="1">IF(NOT(ISBLANK(INDIRECT("SEM_IV!I"&amp;INT((ROW(O142)-14)/16)+6))),2,IF(NOT(ISBLANK(INDIRECT("SEM_IV!L"&amp;INT((ROW(O142)-14)/16)+6))),3))</f>
        <v>0</v>
      </c>
      <c r="P142" s="1" t="str">
        <f ca="1">IF(ISERROR(F136),"",IF(ISTEXT(VLOOKUP(B136,INDIRECT($F$8),6+(O142-1)*3)),(VLOOKUP(B136,INDIRECT($F$8),6+(O142-1)*3)),SUM(VLOOKUP(B136,INDIRECT($F$8),6+(O142-1)*3),IF(W148,W142,0))))</f>
        <v>UTU/2406100172</v>
      </c>
      <c r="Q142" s="1" t="str">
        <f ca="1">IF(ISERROR(F136),"",VLOOKUP(B136,INDIRECT($F$8),7+(O142-1)*3))</f>
        <v>CHIRAG KASHYAP</v>
      </c>
      <c r="R142" s="1">
        <f ca="1">IF(ISERROR(F136),"",SUM(P142:Q142))</f>
        <v>0</v>
      </c>
      <c r="S142" s="1">
        <f ca="1">IF(ISERROR(F136),"",VLOOKUP(A136,INDIRECT($F$8),6+(O142-1)*3))</f>
        <v>0</v>
      </c>
      <c r="T142" s="1">
        <f ca="1">IF(ISERROR(F136),"",VLOOKUP(A136,INDIRECT($F$8),7+(O142-1)*3))</f>
        <v>0</v>
      </c>
      <c r="U142" s="1">
        <f ca="1">IF(ISERROR(F136),"",VLOOKUP(A136,INDIRECT($F$8),8+(O142-1)*3))</f>
        <v>0</v>
      </c>
      <c r="V142" s="1" t="e">
        <f ca="1">IF(ISERROR(F136),"",IF(N142=0,A142,""))</f>
        <v>#N/A</v>
      </c>
      <c r="W142" s="1">
        <f ca="1">IF(ISERROR(F136),"",IF(ISTEXT(VLOOKUP(B136,INDIRECT($F$8),6+(O142-1)*3)),11,IF(VLOOKUP(B136,INDIRECT($F$8),6+(O142-1)*3)&lt;S142*0.3,IF(VLOOKUP(B136,INDIRECT($F$8),8+(O142-1)*3)&lt;U142*0.4,IF(AND(0.4*U142-VLOOKUP(B136,INDIRECT($F$8),8+(O142-1)*3)&lt;=5,0.3*S142-VLOOKUP(B136,INDIRECT($F$8),6+(O142-1)*3)&lt;=5),MAX(0.4*U142-VLOOKUP(B136,INDIRECT($F$8),8+(O142-1)*3),0.3*S142-VLOOKUP(B136,INDIRECT($F$8),6+(O142-1)*3)),11),IF(0.3*S142-VLOOKUP(B136,INDIRECT($F$8),6+(O142-1)*3)&lt;=5,0.3*S142-VLOOKUP(B136,INDIRECT($F$8),6+(O142-1)*3),11)),IF(VLOOKUP(B136,INDIRECT($F$8),8+(O142-1)*3)&lt;U142*0.4,IF(U142*0.4-VLOOKUP(B136,INDIRECT($F$8),8+(O142-1)*3)&lt;=5,U142*0.4-VLOOKUP(B136,INDIRECT($F$8),8+(O142-1)*3),11),0))))</f>
        <v>11</v>
      </c>
      <c r="X142" s="1" t="str">
        <f ca="1">IF(ISERROR(F136),"",IF(W142=0,"",_xlfn.TEXTJOIN("",FALSE," G+",W142," in ",A142)))</f>
        <v xml:space="preserve"> G+11 in Enroll No.</v>
      </c>
    </row>
    <row r="143" spans="1:24" ht="12.75" customHeight="1" x14ac:dyDescent="0.2">
      <c r="A143" s="7" t="str">
        <f ca="1">IF(ISERROR(F136),"",VLOOKUP(C136,INDIRECT($F$8),6+(O143-1)*3,0))</f>
        <v>CAT 030</v>
      </c>
      <c r="B143" s="41" t="str">
        <f ca="1">IF(ISERROR(F136),"",VLOOKUP(D136,INDIRECT($F$8),6+(O143-1)*3,0))</f>
        <v>Software Testing &amp; Quality Assurance</v>
      </c>
      <c r="C143" s="41"/>
      <c r="D143" s="41"/>
      <c r="E143" s="41"/>
      <c r="F143" s="7">
        <f ca="1">IF(ISERROR(F136),"",VLOOKUP(E136,INDIRECT($F$8),6+(O143-1)*3,0))</f>
        <v>4</v>
      </c>
      <c r="G143" s="42" t="str">
        <f ca="1">IF(ISERROR(F136),"",_xlfn.TEXTJOIN("/",FALSE,P143,S143))</f>
        <v>0/100</v>
      </c>
      <c r="H143" s="42"/>
      <c r="I143" s="42" t="str">
        <f ca="1">IF(ISERROR(F136),"",_xlfn.TEXTJOIN("/",FALSE,Q143,T143))</f>
        <v>0/50</v>
      </c>
      <c r="J143" s="42"/>
      <c r="K143" s="42" t="str">
        <f ca="1">IF(ISERROR(F136),"",_xlfn.TEXTJOIN("/",FALSE,R143,U143))</f>
        <v>0/150</v>
      </c>
      <c r="L143" s="42"/>
      <c r="M143" s="7" t="str">
        <f ca="1">IF(ISERROR(F136),"",IF(ISTEXT(P143),IF(P143="A","Ab",IF(P143="D","Dt",IF(P143="UFM","UFM",IF(P143="NA","")))),IF(AND(ISBLANK(P143),ISBLANK(R143)),"",IF(P143&lt;0.3*S143,"F",IF(ISBLANK(R143),"",IF(ISTEXT(R143),R143,IF(R143&gt;=0.9*U143,"O",IF(R143&gt;=0.85*U143,"A+",IF(R143&gt;=0.8*U143,"A",IF(R143&gt;=0.7*U143,"B+",IF(R143&gt;=0.6*U143,"B",IF(R143&gt;=0.5*U143,"C",IF(R143&gt;=0.4*U143,"P",IF(R143&lt;0.4*U143,"F",R143))))))))))))))</f>
        <v>F</v>
      </c>
      <c r="N143" s="8">
        <f t="shared" ca="1" si="8"/>
        <v>0</v>
      </c>
      <c r="O143">
        <f ca="1">IF(O142&gt;0,4,"")</f>
        <v>4</v>
      </c>
      <c r="P143" s="1">
        <f ca="1">IF(ISERROR(F136),"",IF(ISTEXT(VLOOKUP(B136,INDIRECT($F$8),6+(O143-1)*3)),(VLOOKUP(B136,INDIRECT($F$8),6+(O143-1)*3)),SUM(VLOOKUP(B136,INDIRECT($F$8),6+(O143-1)*3),IF(W148,W143,0))))</f>
        <v>0</v>
      </c>
      <c r="Q143" s="1">
        <f ca="1">IF(ISERROR(F136),"",VLOOKUP(B136,INDIRECT($F$8),7+(O143-1)*3))</f>
        <v>0</v>
      </c>
      <c r="R143" s="1">
        <f ca="1">IF(ISERROR(F136),"",SUM(P143:Q143))</f>
        <v>0</v>
      </c>
      <c r="S143" s="1">
        <f ca="1">IF(ISERROR(F136),"",VLOOKUP(A136,INDIRECT($F$8),6+(O143-1)*3))</f>
        <v>100</v>
      </c>
      <c r="T143" s="1">
        <f ca="1">IF(ISERROR(F136),"",VLOOKUP(A136,INDIRECT($F$8),7+(O143-1)*3))</f>
        <v>50</v>
      </c>
      <c r="U143" s="1">
        <f ca="1">IF(ISERROR(F136),"",VLOOKUP(A136,INDIRECT($F$8),8+(O143-1)*3))</f>
        <v>150</v>
      </c>
      <c r="V143" s="1" t="str">
        <f ca="1">IF(ISERROR(F136),"",IF(N143=0,A143,""))</f>
        <v>CAT 030</v>
      </c>
      <c r="W143" s="1">
        <f ca="1">IF(ISERROR(F136),"",IF(ISTEXT(VLOOKUP(B136,INDIRECT($F$8),6+(O143-1)*3)),11,IF(VLOOKUP(B136,INDIRECT($F$8),6+(O143-1)*3)&lt;S143*0.3,IF(VLOOKUP(B136,INDIRECT($F$8),8+(O143-1)*3)&lt;U143*0.4,IF(AND(0.4*U143-VLOOKUP(B136,INDIRECT($F$8),8+(O143-1)*3)&lt;=5,0.3*S143-VLOOKUP(B136,INDIRECT($F$8),6+(O143-1)*3)&lt;=5),MAX(0.4*U143-VLOOKUP(B136,INDIRECT($F$8),8+(O143-1)*3),0.3*S143-VLOOKUP(B136,INDIRECT($F$8),6+(O143-1)*3)),11),IF(0.3*S143-VLOOKUP(B136,INDIRECT($F$8),6+(O143-1)*3)&lt;=5,0.3*S143-VLOOKUP(B136,INDIRECT($F$8),6+(O143-1)*3),11)),IF(VLOOKUP(B136,INDIRECT($F$8),8+(O143-1)*3)&lt;U143*0.4,IF(U143*0.4-VLOOKUP(B136,INDIRECT($F$8),8+(O143-1)*3)&lt;=5,U143*0.4-VLOOKUP(B136,INDIRECT($F$8),8+(O143-1)*3),11),0))))</f>
        <v>11</v>
      </c>
      <c r="X143" s="1" t="str">
        <f ca="1">IF(ISERROR(F136),"",IF(W143=0,"",_xlfn.TEXTJOIN("",FALSE," G+",W143," in ",A143)))</f>
        <v xml:space="preserve"> G+11 in CAT 030</v>
      </c>
    </row>
    <row r="144" spans="1:24" ht="12.75" customHeight="1" x14ac:dyDescent="0.2">
      <c r="A144" s="7" t="str">
        <f ca="1">IF(ISERROR(F136),"",VLOOKUP(C136,INDIRECT($F$8),6+(O144-1)*3,0))</f>
        <v>Enroll No.</v>
      </c>
      <c r="B144" s="41">
        <f ca="1">IF(ISERROR(F136),"",VLOOKUP(D136,INDIRECT($F$8),6+(O144-1)*3,0))</f>
        <v>0</v>
      </c>
      <c r="C144" s="41"/>
      <c r="D144" s="41"/>
      <c r="E144" s="41"/>
      <c r="F144" s="7">
        <f ca="1">IF(ISERROR(F136),"",VLOOKUP(E136,INDIRECT($F$8),6+(O144-1)*3,0))</f>
        <v>0</v>
      </c>
      <c r="G144" s="42" t="str">
        <f ca="1">IF(ISERROR(F136),"",_xlfn.TEXTJOIN("/",FALSE,P144,S144))</f>
        <v>UTU/2406100172/0</v>
      </c>
      <c r="H144" s="42"/>
      <c r="I144" s="42" t="str">
        <f ca="1">IF(ISERROR(F136),"",_xlfn.TEXTJOIN("/",FALSE,Q144,T144))</f>
        <v>CHIRAG KASHYAP/0</v>
      </c>
      <c r="J144" s="42"/>
      <c r="K144" s="42" t="str">
        <f ca="1">IF(ISERROR(F136),"",_xlfn.TEXTJOIN("/",FALSE,R144,U144))</f>
        <v>0/0</v>
      </c>
      <c r="L144" s="42"/>
      <c r="M144" s="7" t="b">
        <f ca="1">IF(ISERROR(F136),"",IF(ISTEXT(P144),IF(P144="A","Ab",IF(P144="D","Dt",IF(P144="UFM","UFM",IF(P144="NA","")))),IF(AND(ISBLANK(P144),ISBLANK(R144)),"",IF(P144&lt;0.3*S144,"F",IF(ISBLANK(R144),"",IF(ISTEXT(R144),R144,IF(R144&gt;=0.9*U144,"O",IF(R144&gt;=0.85*U144,"A+",IF(R144&gt;=0.8*U144,"A",IF(R144&gt;=0.7*U144,"B+",IF(R144&gt;=0.6*U144,"B",IF(R144&gt;=0.5*U144,"C",IF(R144&gt;=0.4*U144,"P",IF(R144&lt;0.4*U144,"F",R144))))))))))))))</f>
        <v>0</v>
      </c>
      <c r="N144" s="8" t="e">
        <f t="shared" ca="1" si="8"/>
        <v>#N/A</v>
      </c>
      <c r="O144" t="b" cm="1">
        <f t="array" aca="1" ref="O144" ca="1">IF(NOT(ISBLANK(INDIRECT("SEM_IV!R"&amp;INT((ROW(O144)-16)/16)+6))),5,IF(NOT(ISBLANK(INDIRECT("SEM_IV!U"&amp;INT((ROW(O144)-16)/16)+6))),6))</f>
        <v>0</v>
      </c>
      <c r="P144" s="1" t="str">
        <f ca="1">IF(ISERROR(F136),"",IF(ISTEXT(VLOOKUP(B136,INDIRECT($F$8),6+(O144-1)*3)),(VLOOKUP(B136,INDIRECT($F$8),6+(O144-1)*3)),SUM(VLOOKUP(B136,INDIRECT($F$8),6+(O144-1)*3),IF(W148,W144,0))))</f>
        <v>UTU/2406100172</v>
      </c>
      <c r="Q144" s="1" t="str">
        <f ca="1">IF(ISERROR(F136),"",VLOOKUP(B136,INDIRECT($F$8),7+(O144-1)*3))</f>
        <v>CHIRAG KASHYAP</v>
      </c>
      <c r="R144" s="1">
        <f ca="1">IF(ISERROR(F136),"",SUM(P144:Q144))</f>
        <v>0</v>
      </c>
      <c r="S144" s="1">
        <f ca="1">IF(ISERROR(F136),"",VLOOKUP(A136,INDIRECT($F$8),6+(O144-1)*3))</f>
        <v>0</v>
      </c>
      <c r="T144" s="1">
        <f ca="1">IF(ISERROR(F136),"",VLOOKUP(A136,INDIRECT($F$8),7+(O144-1)*3))</f>
        <v>0</v>
      </c>
      <c r="U144" s="1">
        <f ca="1">IF(ISERROR(F136),"",VLOOKUP(A136,INDIRECT($F$8),8+(O144-1)*3))</f>
        <v>0</v>
      </c>
      <c r="V144" s="1" t="e">
        <f ca="1">IF(ISERROR(F136),"",IF(N144=0,A144,""))</f>
        <v>#N/A</v>
      </c>
      <c r="W144" s="1">
        <f ca="1">IF(ISERROR(F136),"",IF(ISTEXT(VLOOKUP(B136,INDIRECT($F$8),6+(O144-1)*3)),11,IF(VLOOKUP(B136,INDIRECT($F$8),6+(O144-1)*3)&lt;S144*0.3,IF(VLOOKUP(B136,INDIRECT($F$8),8+(O144-1)*3)&lt;U144*0.4,IF(AND(0.4*U144-VLOOKUP(B136,INDIRECT($F$8),8+(O144-1)*3)&lt;=5,0.3*S144-VLOOKUP(B136,INDIRECT($F$8),6+(O144-1)*3)&lt;=5),MAX(0.4*U144-VLOOKUP(B136,INDIRECT($F$8),8+(O144-1)*3),0.3*S144-VLOOKUP(B136,INDIRECT($F$8),6+(O144-1)*3)),11),IF(0.3*S144-VLOOKUP(B136,INDIRECT($F$8),6+(O144-1)*3)&lt;=5,0.3*S144-VLOOKUP(B136,INDIRECT($F$8),6+(O144-1)*3),11)),IF(VLOOKUP(B136,INDIRECT($F$8),8+(O144-1)*3)&lt;U144*0.4,IF(U144*0.4-VLOOKUP(B136,INDIRECT($F$8),8+(O144-1)*3)&lt;=5,U144*0.4-VLOOKUP(B136,INDIRECT($F$8),8+(O144-1)*3),11),0))))</f>
        <v>11</v>
      </c>
      <c r="X144" s="1" t="str">
        <f ca="1">IF(ISERROR(F136),"",IF(W144=0,"",_xlfn.TEXTJOIN("",FALSE," G+",W144," in ",A144)))</f>
        <v xml:space="preserve"> G+11 in Enroll No.</v>
      </c>
    </row>
    <row r="145" spans="1:24" ht="12.75" customHeight="1" x14ac:dyDescent="0.2">
      <c r="A145" s="7" t="str">
        <f ca="1">IF(ISERROR(F136),"",VLOOKUP(C136,INDIRECT($F$8),6+(O145-1)*3,0))</f>
        <v>CAP 011</v>
      </c>
      <c r="B145" s="41" t="str">
        <f ca="1">IF(ISERROR(F136),"",VLOOKUP(D136,INDIRECT($F$8),6+(O145-1)*3,0))</f>
        <v>Network Security Lab</v>
      </c>
      <c r="C145" s="41"/>
      <c r="D145" s="41"/>
      <c r="E145" s="41"/>
      <c r="F145" s="7">
        <f ca="1">IF(ISERROR(F136),"",VLOOKUP(E136,INDIRECT($F$8),6+(O145-1)*3,0))</f>
        <v>1</v>
      </c>
      <c r="G145" s="42" t="str">
        <f ca="1">IF(ISERROR(F136),"",_xlfn.TEXTJOIN("/",FALSE,P145,S145))</f>
        <v>0/30</v>
      </c>
      <c r="H145" s="42"/>
      <c r="I145" s="42" t="str">
        <f ca="1">IF(ISERROR(F136),"",_xlfn.TEXTJOIN("/",FALSE,Q145,T145))</f>
        <v>0/20</v>
      </c>
      <c r="J145" s="42"/>
      <c r="K145" s="42" t="str">
        <f ca="1">IF(ISERROR(F136),"",_xlfn.TEXTJOIN("/",FALSE,R145,U145))</f>
        <v>0/50</v>
      </c>
      <c r="L145" s="42"/>
      <c r="M145" s="7" t="str">
        <f ca="1">IF(ISERROR(F136),"",IF(ISTEXT(P145),IF(P145="A","Ab",IF(P145="D","Dt",IF(P145="UFM","UFM",IF(P145="NA","")))),IF(AND(ISBLANK(P145),ISBLANK(R145)),"",IF(P145&lt;0.3*S145,"F",IF(ISBLANK(R145),"",IF(ISTEXT(R145),R145,IF(R145&gt;=0.9*U145,"O",IF(R145&gt;=0.85*U145,"A+",IF(R145&gt;=0.8*U145,"A",IF(R145&gt;=0.7*U145,"B+",IF(R145&gt;=0.6*U145,"B",IF(R145&gt;=0.5*U145,"C",IF(R145&gt;=0.4*U145,"P",IF(R145&lt;0.4*U145,"F",R145))))))))))))))</f>
        <v>F</v>
      </c>
      <c r="N145" s="8">
        <f t="shared" ca="1" si="8"/>
        <v>0</v>
      </c>
      <c r="O145">
        <f ca="1">IF(O144&gt;0,7,"")</f>
        <v>7</v>
      </c>
      <c r="P145" s="1">
        <f ca="1">IF(ISERROR(F136),"",IF(ISTEXT(VLOOKUP(B136,INDIRECT($F$8),6+(O145-1)*3)),(VLOOKUP(B136,INDIRECT($F$8),6+(O145-1)*3)),SUM(VLOOKUP(B136,INDIRECT($F$8),6+(O145-1)*3),IF(W148,W145,0))))</f>
        <v>0</v>
      </c>
      <c r="Q145" s="1">
        <f ca="1">IF(ISERROR(F136),"",VLOOKUP(B136,INDIRECT($F$8),7+(O145-1)*3))</f>
        <v>0</v>
      </c>
      <c r="R145" s="1">
        <f ca="1">IF(ISERROR(F136),"",SUM(P145:Q145))</f>
        <v>0</v>
      </c>
      <c r="S145" s="1">
        <f ca="1">IF(ISERROR(F136),"",VLOOKUP(A136,INDIRECT($F$8),6+(O145-1)*3))</f>
        <v>30</v>
      </c>
      <c r="T145" s="1">
        <f ca="1">IF(ISERROR(F136),"",VLOOKUP(A136,INDIRECT($F$8),7+(O145-1)*3))</f>
        <v>20</v>
      </c>
      <c r="U145" s="1">
        <f ca="1">IF(ISERROR(F136),"",VLOOKUP(A136,INDIRECT($F$8),8+(O145-1)*3))</f>
        <v>50</v>
      </c>
      <c r="V145" s="1" t="str">
        <f ca="1">IF(ISERROR(F136),"",IF(N145=0,A145,""))</f>
        <v>CAP 011</v>
      </c>
      <c r="W145" s="1">
        <f ca="1">IF(ISERROR(F136),"",IF(ISTEXT(VLOOKUP(B136,INDIRECT($F$8),6+(O145-1)*3)),11,IF(VLOOKUP(B136,INDIRECT($F$8),6+(O145-1)*3)&lt;S145*0.3,IF(VLOOKUP(B136,INDIRECT($F$8),8+(O145-1)*3)&lt;U145*0.4,IF(AND(0.4*U145-VLOOKUP(B136,INDIRECT($F$8),8+(O145-1)*3)&lt;=5,0.3*S145-VLOOKUP(B136,INDIRECT($F$8),6+(O145-1)*3)&lt;=5),MAX(0.4*U145-VLOOKUP(B136,INDIRECT($F$8),8+(O145-1)*3),0.3*S145-VLOOKUP(B136,INDIRECT($F$8),6+(O145-1)*3)),11),IF(0.3*S145-VLOOKUP(B136,INDIRECT($F$8),6+(O145-1)*3)&lt;=5,0.3*S145-VLOOKUP(B136,INDIRECT($F$8),6+(O145-1)*3),11)),IF(VLOOKUP(B136,INDIRECT($F$8),8+(O145-1)*3)&lt;U145*0.4,IF(U145*0.4-VLOOKUP(B136,INDIRECT($F$8),8+(O145-1)*3)&lt;=5,U145*0.4-VLOOKUP(B136,INDIRECT($F$8),8+(O145-1)*3),11),0))))</f>
        <v>11</v>
      </c>
      <c r="X145" s="1" t="str">
        <f ca="1">IF(ISERROR(F136),"",IF(W145=0,"",_xlfn.TEXTJOIN("",FALSE," G+",W145," in ",A145)))</f>
        <v xml:space="preserve"> G+11 in CAP 011</v>
      </c>
    </row>
    <row r="146" spans="1:24" ht="12.75" customHeight="1" x14ac:dyDescent="0.2">
      <c r="A146" s="7" t="str">
        <f ca="1">IF(ISERROR(F136),"",VLOOKUP(C136,INDIRECT($F$8),6+(O146-1)*3,0))</f>
        <v>Enroll No.</v>
      </c>
      <c r="B146" s="41">
        <f ca="1">IF(ISERROR(F136),"",VLOOKUP(D136,INDIRECT($F$8),6+(O146-1)*3,0))</f>
        <v>0</v>
      </c>
      <c r="C146" s="41"/>
      <c r="D146" s="41"/>
      <c r="E146" s="41"/>
      <c r="F146" s="7">
        <f ca="1">IF(ISERROR(F136),"",VLOOKUP(E136,INDIRECT($F$8),6+(O146-1)*3,0))</f>
        <v>0</v>
      </c>
      <c r="G146" s="42" t="str">
        <f ca="1">IF(ISERROR(F136),"",_xlfn.TEXTJOIN("/",FALSE,P146,S146))</f>
        <v>UTU/2406100172/0</v>
      </c>
      <c r="H146" s="42"/>
      <c r="I146" s="42" t="str">
        <f ca="1">IF(ISERROR(F136),"",_xlfn.TEXTJOIN("/",FALSE,Q146,T146))</f>
        <v>CHIRAG KASHYAP/0</v>
      </c>
      <c r="J146" s="42"/>
      <c r="K146" s="42" t="str">
        <f ca="1">IF(ISERROR(F136),"",_xlfn.TEXTJOIN("/",FALSE,R146,U146))</f>
        <v>0/0</v>
      </c>
      <c r="L146" s="42"/>
      <c r="M146" s="7" t="b">
        <f ca="1">IF(ISERROR(F136),"",IF(ISTEXT(P146),IF(P146="A","Ab",IF(P146="D","Dt",IF(P146="UFM","UFM",IF(P146="NA","")))),IF(AND(ISBLANK(P146),ISBLANK(R146)),"",IF(P146&lt;0.3*S146,"F",IF(ISBLANK(R146),"",IF(ISTEXT(R146),R146,IF(R146&gt;=0.9*U146,"O",IF(R146&gt;=0.85*U146,"A+",IF(R146&gt;=0.8*U146,"A",IF(R146&gt;=0.7*U146,"B+",IF(R146&gt;=0.6*U146,"B",IF(R146&gt;=0.5*U146,"C",IF(R146&gt;=0.4*U146,"P",IF(R146&lt;0.4*U146,"F",R146))))))))))))))</f>
        <v>0</v>
      </c>
      <c r="N146" s="8" t="e">
        <f t="shared" ca="1" si="8"/>
        <v>#N/A</v>
      </c>
      <c r="O146" t="b" cm="1">
        <f t="array" aca="1" ref="O146" ca="1">IF(NOT(ISBLANK(INDIRECT("SEM_IV!AA"&amp;INT((ROW(O146)-18)/16)+6))),8,IF(NOT(ISBLANK(INDIRECT("SEM_IV!AD"&amp;INT((ROW(O146)-18)/16)+6))),9))</f>
        <v>0</v>
      </c>
      <c r="P146" s="1" t="str">
        <f ca="1">IF(ISERROR(F136),"",IF(ISTEXT(VLOOKUP(B136,INDIRECT($F$8),6+(O146-1)*3)),(VLOOKUP(B136,INDIRECT($F$8),6+(O146-1)*3)),SUM(VLOOKUP(B136,INDIRECT($F$8),6+(O146-1)*3),IF(W148,W146,0))))</f>
        <v>UTU/2406100172</v>
      </c>
      <c r="Q146" s="1" t="str">
        <f ca="1">IF(ISERROR(F136),"",VLOOKUP(B136,INDIRECT($F$8),7+(O146-1)*3))</f>
        <v>CHIRAG KASHYAP</v>
      </c>
      <c r="R146" s="1">
        <f ca="1">IF(ISERROR(F136),"",SUM(P146:Q146))</f>
        <v>0</v>
      </c>
      <c r="S146" s="1">
        <f ca="1">IF(ISERROR(F136),"",VLOOKUP(A136,INDIRECT($F$8),6+(O146-1)*3))</f>
        <v>0</v>
      </c>
      <c r="T146" s="1">
        <f ca="1">IF(ISERROR(F136),"",VLOOKUP(A136,INDIRECT($F$8),7+(O146-1)*3))</f>
        <v>0</v>
      </c>
      <c r="U146" s="1">
        <f ca="1">IF(ISERROR(F136),"",VLOOKUP(A136,INDIRECT($F$8),8+(O146-1)*3))</f>
        <v>0</v>
      </c>
      <c r="V146" s="1" t="e">
        <f ca="1">IF(ISERROR(F136),"",IF(N146=0,A146,""))</f>
        <v>#N/A</v>
      </c>
      <c r="W146" s="1">
        <f ca="1">IF(ISERROR(F136),"",IF(ISTEXT(VLOOKUP(B136,INDIRECT($F$8),6+(O146-1)*3)),11,IF(VLOOKUP(B136,INDIRECT($F$8),6+(O146-1)*3)&lt;S146*0.3,IF(VLOOKUP(B136,INDIRECT($F$8),8+(O146-1)*3)&lt;U146*0.4,IF(AND(0.4*U146-VLOOKUP(B136,INDIRECT($F$8),8+(O146-1)*3)&lt;=5,0.3*S146-VLOOKUP(B136,INDIRECT($F$8),6+(O146-1)*3)&lt;=5),MAX(0.4*U146-VLOOKUP(B136,INDIRECT($F$8),8+(O146-1)*3),0.3*S146-VLOOKUP(B136,INDIRECT($F$8),6+(O146-1)*3)),11),IF(0.3*S146-VLOOKUP(B136,INDIRECT($F$8),6+(O146-1)*3)&lt;=5,0.3*S146-VLOOKUP(B136,INDIRECT($F$8),6+(O146-1)*3),11)),IF(VLOOKUP(B136,INDIRECT($F$8),8+(O146-1)*3)&lt;U146*0.4,IF(U146*0.4-VLOOKUP(B136,INDIRECT($F$8),8+(O146-1)*3)&lt;=5,U146*0.4-VLOOKUP(B136,INDIRECT($F$8),8+(O146-1)*3),11),0))))</f>
        <v>11</v>
      </c>
      <c r="X146" s="1" t="str">
        <f ca="1">IF(ISERROR(F136),"",IF(W146=0,"",_xlfn.TEXTJOIN("",FALSE," G+",W146," in ",A146)))</f>
        <v xml:space="preserve"> G+11 in Enroll No.</v>
      </c>
    </row>
    <row r="147" spans="1:24" ht="12.75" customHeight="1" x14ac:dyDescent="0.2">
      <c r="A147" s="7" t="str">
        <f ca="1">IF(ISERROR(F136),"",VLOOKUP(C136,INDIRECT($F$8),6+(O147-1)*3,0))</f>
        <v>CAP 013</v>
      </c>
      <c r="B147" s="41" t="str">
        <f ca="1">IF(ISERROR(F136),"",VLOOKUP(D136,INDIRECT($F$8),6+(O147-1)*3-Z147,0))</f>
        <v>Major Project</v>
      </c>
      <c r="C147" s="41"/>
      <c r="D147" s="41"/>
      <c r="E147" s="41"/>
      <c r="F147" s="7">
        <f ca="1">IF(ISERROR(F136),"",VLOOKUP(E136,INDIRECT($F$8),6+(O147-1)*3,0))</f>
        <v>6</v>
      </c>
      <c r="G147" s="42" t="str">
        <f ca="1">IF(ISERROR(F136),"",_xlfn.TEXTJOIN("/",FALSE,P147,S147))</f>
        <v>0/200</v>
      </c>
      <c r="H147" s="42"/>
      <c r="I147" s="42" t="str">
        <f ca="1">IF(ISERROR(F136),"",_xlfn.TEXTJOIN("/",FALSE,Q147,T147))</f>
        <v>0/100</v>
      </c>
      <c r="J147" s="42"/>
      <c r="K147" s="42" t="str">
        <f ca="1">IF(ISERROR(F136),"",_xlfn.TEXTJOIN("/",FALSE,R147,U147))</f>
        <v>0/300</v>
      </c>
      <c r="L147" s="42"/>
      <c r="M147" s="7" t="str">
        <f ca="1">IF(ISERROR(F136),"",IF(ISTEXT(P147),IF(P147="A","Ab",IF(P147="D","Dt",IF(P147="UFM","UFM",IF(P147="NA","")))),IF(AND(ISBLANK(P147),ISBLANK(R147)),"",IF(P147&lt;0.3*S147,"F",IF(ISBLANK(R147),"",IF(ISTEXT(R147),R147,IF(R147&gt;=0.9*U147,"O",IF(R147&gt;=0.85*U147,"A+",IF(R147&gt;=0.8*U147,"A",IF(R147&gt;=0.7*U147,"B+",IF(R147&gt;=0.6*U147,"B",IF(R147&gt;=0.5*U147,"C",IF(R147&gt;=0.4*U147,"P",IF(R147&lt;0.4*U147,"F",R147))))))))))))))</f>
        <v>F</v>
      </c>
      <c r="N147" s="8">
        <f t="shared" ca="1" si="8"/>
        <v>0</v>
      </c>
      <c r="O147">
        <f ca="1">IF(O146&gt;0,10,"")</f>
        <v>10</v>
      </c>
      <c r="P147" s="1">
        <f ca="1">IF(ISERROR(F136),"",IF(ISTEXT(VLOOKUP(B136,INDIRECT($F$8),6+(O147-1)*3)),(VLOOKUP(B136,INDIRECT($F$8),6+(O147-1)*3)),SUM(VLOOKUP(B136,INDIRECT($F$8),6+(O147-1)*3),IF(W148,W147,0))))</f>
        <v>0</v>
      </c>
      <c r="Q147" s="1">
        <f ca="1">IF(ISERROR(F136),"",VLOOKUP(B136,INDIRECT($F$8),7+(O147-1)*3))</f>
        <v>0</v>
      </c>
      <c r="R147" s="1">
        <f ca="1">IF(ISERROR(F136),"",SUM(P147:Q147))</f>
        <v>0</v>
      </c>
      <c r="S147" s="1">
        <f ca="1">IF(ISERROR(F136),"",VLOOKUP(A136,INDIRECT($F$8),6+(O147-1)*3))</f>
        <v>200</v>
      </c>
      <c r="T147" s="1">
        <f ca="1">IF(ISERROR(F136),"",VLOOKUP(A136,INDIRECT($F$8),7+(O147-1)*3))</f>
        <v>100</v>
      </c>
      <c r="U147" s="1">
        <f ca="1">IF(ISERROR(F136),"",VLOOKUP(A136,INDIRECT($F$8),8+(O147-1)*3))</f>
        <v>300</v>
      </c>
      <c r="V147" s="1" t="str">
        <f ca="1">IF(ISERROR(F136),"",IF(N147=0,A147,""))</f>
        <v>CAP 013</v>
      </c>
      <c r="W147" s="1">
        <f ca="1">IF(ISERROR(F136),"",IF(ISTEXT(VLOOKUP(B136,INDIRECT($F$8),6+(O147-1)*3)),11,IF(VLOOKUP(B136,INDIRECT($F$8),6+(O147-1)*3)&lt;S147*0.3,IF(VLOOKUP(B136,INDIRECT($F$8),8+(O147-1)*3)&lt;U147*0.4,IF(AND(0.4*U147-VLOOKUP(B136,INDIRECT($F$8),8+(O147-1)*3)&lt;=5,0.3*S147-VLOOKUP(B136,INDIRECT($F$8),6+(O147-1)*3)&lt;=5),MAX(0.4*U147-VLOOKUP(B136,INDIRECT($F$8),8+(O147-1)*3),0.3*S147-VLOOKUP(B136,INDIRECT($F$8),6+(O147-1)*3)),11),IF(0.3*S147-VLOOKUP(B136,INDIRECT($F$8),6+(O147-1)*3)&lt;=5,0.3*S147-VLOOKUP(B136,INDIRECT($F$8),6+(O147-1)*3),11)),IF(VLOOKUP(B136,INDIRECT($F$8),8+(O147-1)*3)&lt;U147*0.4,IF(U147*0.4-VLOOKUP(B136,INDIRECT($F$8),8+(O147-1)*3)&lt;=5,U147*0.4-VLOOKUP(B136,INDIRECT($F$8),8+(O147-1)*3),11),0))))</f>
        <v>11</v>
      </c>
      <c r="X147" s="1" t="str">
        <f ca="1">IF(ISERROR(F136),"",IF(W147=0,"",_xlfn.TEXTJOIN("",FALSE," G+",W147," in ",A147)))</f>
        <v xml:space="preserve"> G+11 in CAP 013</v>
      </c>
    </row>
    <row r="148" spans="1:24" ht="12.75" customHeight="1" x14ac:dyDescent="0.2">
      <c r="A148" s="43" t="str">
        <f ca="1">IF(ISERROR(F136),"",A132)</f>
        <v>Total Credits/ Marks/ Total Grade Points</v>
      </c>
      <c r="B148" s="43"/>
      <c r="C148" s="43"/>
      <c r="D148" s="43"/>
      <c r="E148" s="43"/>
      <c r="F148" s="10">
        <f ca="1">IF(ISERROR(F136),"",SUM(F141:F147))</f>
        <v>15</v>
      </c>
      <c r="G148" s="44" t="str">
        <f ca="1">IF(ISERROR(F136),"",_xlfn.TEXTJOIN("/",TRUE,SUMIF(F141:F147,"&gt;0",P141:P147),SUMIF(F141:F147,"&gt;0",S141:S147)))</f>
        <v>0/430</v>
      </c>
      <c r="H148" s="44"/>
      <c r="I148" s="44" t="str">
        <f ca="1">IF(ISERROR(F136),"",_xlfn.TEXTJOIN("/",TRUE,SUMIF(F141:F147,"&gt;0",Q141:Q147),SUMIF(F141:F147,"&gt;0",T141:T147)))</f>
        <v>0/220</v>
      </c>
      <c r="J148" s="44"/>
      <c r="K148" s="44" t="str">
        <f ca="1">IF(ISERROR(F136),"",_xlfn.TEXTJOIN("/",TRUE,SUMIF(F141:F147,"&gt;0",R141:R147),SUMIF(F141:F147,"&gt;0",U141:U147)))</f>
        <v>0/650</v>
      </c>
      <c r="L148" s="44"/>
      <c r="M148" s="43" t="e">
        <f ca="1">IF(ISERROR(F136),"",SUMPRODUCT(N141:N147,F141:F147))</f>
        <v>#N/A</v>
      </c>
      <c r="N148" s="43"/>
      <c r="V148" s="1" t="e">
        <f ca="1">IF(ISERROR(F136),"",_xlfn.TEXTJOIN(", ",TRUE,V141:V147))</f>
        <v>#N/A</v>
      </c>
      <c r="W148" t="b">
        <f ca="1">IF(ISERROR(F136),"",IF(SUM(W141:W147)&lt;=W140,TRUE,FALSE))</f>
        <v>0</v>
      </c>
      <c r="X148" s="1" t="str">
        <f ca="1">IF(ISERROR(F136),"",_xlfn.TEXTJOIN(",",TRUE,X141:X147))</f>
        <v xml:space="preserve"> G+11 in CAT 022, G+11 in Enroll No., G+11 in CAT 030, G+11 in Enroll No., G+11 in CAP 011, G+11 in Enroll No., G+11 in CAP 013</v>
      </c>
    </row>
    <row r="149" spans="1:24" ht="12.75" customHeight="1" x14ac:dyDescent="0.2">
      <c r="A149" s="43" t="str">
        <f ca="1">IF(ISERROR(F136),"",A133)</f>
        <v>Result:</v>
      </c>
      <c r="B149" s="45" t="e">
        <f ca="1">IF(ISERROR(F136),"",IF(V148="","PASS","CARRY OVER"))</f>
        <v>#N/A</v>
      </c>
      <c r="C149" s="45"/>
      <c r="D149" s="43" t="str">
        <f ca="1">IF(ISERROR(F136),"",D133)</f>
        <v>Remark:</v>
      </c>
      <c r="E149" s="45" t="e">
        <f ca="1">IF(ISERROR(F136),"",IF(V148="",IF(X148="","",X148),_xlfn.TEXTJOIN(" ",TRUE,"BACK IN",V148)))</f>
        <v>#N/A</v>
      </c>
      <c r="F149" s="45"/>
      <c r="G149" s="43" t="str">
        <f ca="1">IF(ISERROR(F136),"",G133)</f>
        <v>SGPA:</v>
      </c>
      <c r="H149" s="46" t="e">
        <f ca="1">IF(ISERROR(F136),"",M148/F148)</f>
        <v>#N/A</v>
      </c>
      <c r="I149" s="43" t="str">
        <f ca="1">IF(ISERROR(F136),"",I133)</f>
        <v>CGPA:</v>
      </c>
      <c r="J149" s="46" t="e">
        <f ca="1">IF(ISERROR(F136),"",VLOOKUP(B136,INDIRECT($F$8),12+(O147-1)*3,0))</f>
        <v>#N/A</v>
      </c>
      <c r="K149" s="45" t="str">
        <f ca="1">IF(ISERROR(F136),"",K133)</f>
        <v>Earned Credits:</v>
      </c>
      <c r="L149" s="43">
        <f ca="1">IF(ISERROR(F136),"",SUMIF(N141:N147,"&gt;0",F141:F147))</f>
        <v>0</v>
      </c>
      <c r="M149" s="45" t="str">
        <f ca="1">IF(ISERROR(F136),"",M133)</f>
        <v>Cuml. Earned Credits:</v>
      </c>
      <c r="N149" s="43" t="e">
        <f ca="1">IF(ISERROR(F136),"",VLOOKUP(B136,INDIRECT($F$8),10+(O147-1)*3,0))</f>
        <v>#N/A</v>
      </c>
    </row>
    <row r="150" spans="1:24" ht="12.75" customHeight="1" x14ac:dyDescent="0.2">
      <c r="A150" s="43"/>
      <c r="B150" s="45"/>
      <c r="C150" s="45"/>
      <c r="D150" s="43"/>
      <c r="E150" s="45"/>
      <c r="F150" s="45"/>
      <c r="G150" s="43"/>
      <c r="H150" s="46"/>
      <c r="I150" s="43"/>
      <c r="J150" s="46"/>
      <c r="K150" s="45"/>
      <c r="L150" s="43"/>
      <c r="M150" s="45"/>
      <c r="N150" s="43"/>
    </row>
    <row r="151" spans="1:24" ht="12.75" customHeight="1" x14ac:dyDescent="0.2">
      <c r="A151" s="43"/>
      <c r="B151" s="45"/>
      <c r="C151" s="45"/>
      <c r="D151" s="43"/>
      <c r="E151" s="45"/>
      <c r="F151" s="45"/>
      <c r="G151" s="43"/>
      <c r="H151" s="46"/>
      <c r="I151" s="43"/>
      <c r="J151" s="46"/>
      <c r="K151" s="45"/>
      <c r="L151" s="43"/>
      <c r="M151" s="45"/>
      <c r="N151" s="43"/>
    </row>
    <row r="152" spans="1:24" ht="12.75" customHeight="1" x14ac:dyDescent="0.2">
      <c r="A152" s="11" t="str">
        <f>A136</f>
        <v>MM</v>
      </c>
      <c r="B152" s="11">
        <f>B136+1</f>
        <v>10</v>
      </c>
      <c r="C152" s="11" t="str">
        <f>C136</f>
        <v>SC</v>
      </c>
      <c r="D152" s="11" t="str">
        <f>D136</f>
        <v>SN</v>
      </c>
      <c r="E152" s="11" t="str">
        <f>E136</f>
        <v>C</v>
      </c>
      <c r="F152" s="11" t="str">
        <f ca="1">VLOOKUP(B152,INDIRECT($F$8),4,0)</f>
        <v>DEVENDRA SINGH RANA</v>
      </c>
    </row>
    <row r="153" spans="1:24" ht="12.75" customHeight="1" x14ac:dyDescent="0.2">
      <c r="A153" s="47" t="str">
        <f ca="1">IF(ISERROR(F152),"",A137)</f>
        <v>Name:</v>
      </c>
      <c r="B153" s="47" t="str">
        <f ca="1">IFERROR(VLOOKUP(B152,INDIRECT($F$8),4,0),"")</f>
        <v>DEVENDRA SINGH RANA</v>
      </c>
      <c r="C153" s="47"/>
      <c r="D153" s="47" t="str">
        <f ca="1">IF(ISERROR(F152),"",D137)</f>
        <v>Father's Name:</v>
      </c>
      <c r="E153" s="47" t="str">
        <f ca="1">IFERROR(VLOOKUP(B152,INDIRECT($F$8),5,0),"")</f>
        <v>DHYAN SINGH RANA</v>
      </c>
      <c r="F153" s="47"/>
      <c r="G153" s="47" t="str">
        <f ca="1">IF(ISERROR(F152),"",G137)</f>
        <v>University Roll No:</v>
      </c>
      <c r="H153" s="47"/>
      <c r="I153" s="48">
        <f ca="1">IFERROR(VLOOKUP(B152,INDIRECT($F$8),2,0),"")</f>
        <v>240090600010</v>
      </c>
      <c r="J153" s="48"/>
      <c r="K153" s="47" t="str">
        <f ca="1">IF(ISERROR(F152),"",K137)</f>
        <v>University Enrol. No:</v>
      </c>
      <c r="L153" s="47"/>
      <c r="M153" s="48" t="str">
        <f ca="1">IFERROR(VLOOKUP(B152,INDIRECT($F$8),3,0),"")</f>
        <v>UTU/2406100181</v>
      </c>
      <c r="N153" s="48"/>
    </row>
    <row r="154" spans="1:24" ht="12.75" customHeight="1" x14ac:dyDescent="0.2">
      <c r="A154" s="47"/>
      <c r="B154" s="47"/>
      <c r="C154" s="47"/>
      <c r="D154" s="47"/>
      <c r="E154" s="47"/>
      <c r="F154" s="47"/>
      <c r="G154" s="47"/>
      <c r="H154" s="47"/>
      <c r="I154" s="48"/>
      <c r="J154" s="48"/>
      <c r="K154" s="47"/>
      <c r="L154" s="47"/>
      <c r="M154" s="48"/>
      <c r="N154" s="48"/>
    </row>
    <row r="155" spans="1:24" ht="12.75" customHeight="1" x14ac:dyDescent="0.2">
      <c r="A155" s="45" t="str">
        <f ca="1">IF(ISERROR(F152),"",A139)</f>
        <v>Subject Code</v>
      </c>
      <c r="B155" s="45" t="str">
        <f ca="1">IF(ISERROR(F152),"",B139)</f>
        <v>Subject Name</v>
      </c>
      <c r="C155" s="45"/>
      <c r="D155" s="45"/>
      <c r="E155" s="45"/>
      <c r="F155" s="45" t="str">
        <f ca="1">IF(ISERROR(F152),"",F139)</f>
        <v>Credits</v>
      </c>
      <c r="G155" s="45" t="str">
        <f ca="1">IF(ISERROR(F152),"",G139)</f>
        <v>External Marks</v>
      </c>
      <c r="H155" s="45"/>
      <c r="I155" s="45" t="str">
        <f ca="1">IF(ISERROR(F152),"",I139)</f>
        <v>Sessional Marks</v>
      </c>
      <c r="J155" s="45"/>
      <c r="K155" s="45" t="str">
        <f ca="1">IF(ISERROR(F152),"",K139)</f>
        <v>Total Marks</v>
      </c>
      <c r="L155" s="45"/>
      <c r="M155" s="45" t="str">
        <f ca="1">IF(ISERROR(F152),"",M139)</f>
        <v>Grade</v>
      </c>
      <c r="N155" s="45" t="str">
        <f ca="1">IF(ISERROR(F152),"",N139)</f>
        <v>Grade Points</v>
      </c>
    </row>
    <row r="156" spans="1:24" ht="12.75" customHeight="1" x14ac:dyDescent="0.2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W156">
        <f ca="1">IF(ISNUMBER(MATCH($F$8,{"I","III","V","VII"},0)),10,10-INDEX(INDIRECT(_xlfn.TEXTJOIN("",TRUE,"SEM_",$G$8,"!",ADDRESS(6,4+$I$8*3+4),":",ADDRESS(5+$H$8,4+$I$8*3+4))),MATCH(INDIRECT(_xlfn.TEXTJOIN("",TRUE,"TC_",$F$8,"!",ADDRESS(ROW(I153),COLUMN(I153)))),INDIRECT(_xlfn.TEXTJOIN("",TRUE,"SEM_",$G$8,"!",ADDRESS(6,2),":",ADDRESS(5+$H$8,2))))))</f>
        <v>10</v>
      </c>
    </row>
    <row r="157" spans="1:24" ht="12.75" customHeight="1" x14ac:dyDescent="0.2">
      <c r="A157" s="7" t="str">
        <f ca="1">IF(ISERROR(F152),"",VLOOKUP(C152,INDIRECT($F$8),6+(O157-1)*3,0))</f>
        <v>CAT 022</v>
      </c>
      <c r="B157" s="41" t="str">
        <f ca="1">IF(ISERROR(F152),"",VLOOKUP(D152,INDIRECT($F$8),6+(O157-1)*3,0))</f>
        <v>Network Security</v>
      </c>
      <c r="C157" s="41"/>
      <c r="D157" s="41"/>
      <c r="E157" s="41"/>
      <c r="F157" s="7">
        <f ca="1">IF(ISERROR(F152),"",VLOOKUP(E152,INDIRECT($F$8),6+(O157-1)*3,0))</f>
        <v>4</v>
      </c>
      <c r="G157" s="42" t="str">
        <f ca="1">IF(ISERROR(F152),"",_xlfn.TEXTJOIN("/",FALSE,P157,S157))</f>
        <v>0/100</v>
      </c>
      <c r="H157" s="42"/>
      <c r="I157" s="42" t="str">
        <f ca="1">IF(ISERROR(F152),"",_xlfn.TEXTJOIN("/",FALSE,Q157,T157))</f>
        <v>0/50</v>
      </c>
      <c r="J157" s="42"/>
      <c r="K157" s="42" t="str">
        <f ca="1">IF(ISERROR(F152),"",_xlfn.TEXTJOIN("/",FALSE,R157,U157))</f>
        <v>0/150</v>
      </c>
      <c r="L157" s="42"/>
      <c r="M157" s="7" t="str">
        <f ca="1">IF(ISERROR(F152),"",IF(ISTEXT(P157),IF(P157="A","Ab",IF(P157="D","Dt",IF(P157="UFM","UFM",IF(P157="NA","")))),IF(AND(ISBLANK(P157),ISBLANK(R157)),"",IF(P157&lt;0.3*S157,"F",IF(ISBLANK(R157),"",IF(ISTEXT(R157),R157,IF(R157&gt;=0.9*U157,"O",IF(R157&gt;=0.85*U157,"A+",IF(R157&gt;=0.8*U157,"A",IF(R157&gt;=0.7*U157,"B+",IF(R157&gt;=0.6*U157,"B",IF(R157&gt;=0.5*U157,"C",IF(R157&gt;=0.4*U157,"P",IF(R157&lt;0.4*U157,"F",R157))))))))))))))</f>
        <v>F</v>
      </c>
      <c r="N157" s="8">
        <f t="shared" ref="N157:N163" ca="1" si="9">INDEX($Z$2:$Z$13,MATCH(M157,$Y$2:$Y$13,0))</f>
        <v>0</v>
      </c>
      <c r="O157">
        <v>1</v>
      </c>
      <c r="P157" s="1">
        <f ca="1">IF(ISERROR(F152),"",IF(ISTEXT(VLOOKUP(B152,INDIRECT($F$8),6+(O157-1)*3)),(VLOOKUP(B152,INDIRECT($F$8),6+(O157-1)*3)),SUM(VLOOKUP(B152,INDIRECT($F$8),6+(O157-1)*3),IF(W164,W157,0))))</f>
        <v>0</v>
      </c>
      <c r="Q157" s="1">
        <f ca="1">IF(ISERROR(F152),"",VLOOKUP(B152,INDIRECT($F$8),7+(O157-1)*3))</f>
        <v>0</v>
      </c>
      <c r="R157" s="1">
        <f ca="1">IF(ISERROR(F152),"",SUM(P157:Q157))</f>
        <v>0</v>
      </c>
      <c r="S157" s="1">
        <f ca="1">IF(ISERROR(F152),"",VLOOKUP(A152,INDIRECT($F$8),6+(O157-1)*3))</f>
        <v>100</v>
      </c>
      <c r="T157" s="1">
        <f ca="1">IF(ISERROR(F152),"",VLOOKUP(A152,INDIRECT($F$8),7+(O157-1)*3))</f>
        <v>50</v>
      </c>
      <c r="U157" s="1">
        <f ca="1">IF(ISERROR(F152),"",VLOOKUP(A152,INDIRECT($F$8),8+(O157-1)*3))</f>
        <v>150</v>
      </c>
      <c r="V157" s="1" t="str">
        <f ca="1">IF(ISERROR(F152),"",IF(N157=0,A157,""))</f>
        <v>CAT 022</v>
      </c>
      <c r="W157" s="1">
        <f ca="1">IF(ISERROR(F152),"",IF(ISTEXT(VLOOKUP(B152,INDIRECT($F$8),6+(O157-1)*3)),11,IF(VLOOKUP(B152,INDIRECT($F$8),6+(O157-1)*3)&lt;S157*0.3,IF(VLOOKUP(B152,INDIRECT($F$8),8+(O157-1)*3)&lt;U157*0.4,IF(AND(0.4*U157-VLOOKUP(B152,INDIRECT($F$8),8+(O157-1)*3)&lt;=5,0.3*S157-VLOOKUP(B152,INDIRECT($F$8),6+(O157-1)*3)&lt;=5),MAX(0.4*U157-VLOOKUP(B152,INDIRECT($F$8),8+(O157-1)*3),0.3*S157-VLOOKUP(B152,INDIRECT($F$8),6+(O157-1)*3)),11),IF(0.3*S157-VLOOKUP(B152,INDIRECT($F$8),6+(O157-1)*3)&lt;=5,0.3*S157-VLOOKUP(B152,INDIRECT($F$8),6+(O157-1)*3),11)),IF(VLOOKUP(B152,INDIRECT($F$8),8+(O157-1)*3)&lt;U157*0.4,IF(U157*0.4-VLOOKUP(B152,INDIRECT($F$8),8+(O157-1)*3)&lt;=5,U157*0.4-VLOOKUP(B152,INDIRECT($F$8),8+(O157-1)*3),11),0))))</f>
        <v>11</v>
      </c>
      <c r="X157" s="1" t="str">
        <f ca="1">IF(ISERROR(F152),"",IF(W157=0,"",_xlfn.TEXTJOIN("",FALSE," G+",W157," in ",A157)))</f>
        <v xml:space="preserve"> G+11 in CAT 022</v>
      </c>
    </row>
    <row r="158" spans="1:24" ht="12.75" customHeight="1" x14ac:dyDescent="0.2">
      <c r="A158" s="7" t="str">
        <f ca="1">IF(ISERROR(F152),"",VLOOKUP(C152,INDIRECT($F$8),6+(O158-1)*3,0))</f>
        <v>Enroll No.</v>
      </c>
      <c r="B158" s="41">
        <f ca="1">IF(ISERROR(F152),"",VLOOKUP(D152,INDIRECT($F$8),6+(O158-1)*3,0))</f>
        <v>0</v>
      </c>
      <c r="C158" s="41"/>
      <c r="D158" s="41"/>
      <c r="E158" s="41"/>
      <c r="F158" s="7">
        <f ca="1">IF(ISERROR(F152),"",VLOOKUP(E152,INDIRECT($F$8),6+(O158-1)*3,0))</f>
        <v>0</v>
      </c>
      <c r="G158" s="42" t="str">
        <f ca="1">IF(ISERROR(F152),"",_xlfn.TEXTJOIN("/",FALSE,P158,S158))</f>
        <v>UTU/2406100181/0</v>
      </c>
      <c r="H158" s="42"/>
      <c r="I158" s="42" t="str">
        <f ca="1">IF(ISERROR(F152),"",_xlfn.TEXTJOIN("/",FALSE,Q158,T158))</f>
        <v>DEVENDRA SINGH RANA/0</v>
      </c>
      <c r="J158" s="42"/>
      <c r="K158" s="42" t="str">
        <f ca="1">IF(ISERROR(F152),"",_xlfn.TEXTJOIN("/",FALSE,R158,U158))</f>
        <v>0/0</v>
      </c>
      <c r="L158" s="42"/>
      <c r="M158" s="7" t="b">
        <f ca="1">IF(ISERROR(F152),"",IF(ISTEXT(P158),IF(P158="A","Ab",IF(P158="D","Dt",IF(P158="UFM","UFM",IF(P158="NA","")))),IF(AND(ISBLANK(P158),ISBLANK(R158)),"",IF(P158&lt;0.3*S158,"F",IF(ISBLANK(R158),"",IF(ISTEXT(R158),R158,IF(R158&gt;=0.9*U158,"O",IF(R158&gt;=0.85*U158,"A+",IF(R158&gt;=0.8*U158,"A",IF(R158&gt;=0.7*U158,"B+",IF(R158&gt;=0.6*U158,"B",IF(R158&gt;=0.5*U158,"C",IF(R158&gt;=0.4*U158,"P",IF(R158&lt;0.4*U158,"F",R158))))))))))))))</f>
        <v>0</v>
      </c>
      <c r="N158" s="8" t="e">
        <f t="shared" ca="1" si="9"/>
        <v>#N/A</v>
      </c>
      <c r="O158" t="b" cm="1">
        <f t="array" aca="1" ref="O158" ca="1">IF(NOT(ISBLANK(INDIRECT("SEM_IV!I"&amp;INT((ROW(O158)-14)/16)+6))),2,IF(NOT(ISBLANK(INDIRECT("SEM_IV!L"&amp;INT((ROW(O158)-14)/16)+6))),3))</f>
        <v>0</v>
      </c>
      <c r="P158" s="1" t="str">
        <f ca="1">IF(ISERROR(F152),"",IF(ISTEXT(VLOOKUP(B152,INDIRECT($F$8),6+(O158-1)*3)),(VLOOKUP(B152,INDIRECT($F$8),6+(O158-1)*3)),SUM(VLOOKUP(B152,INDIRECT($F$8),6+(O158-1)*3),IF(W164,W158,0))))</f>
        <v>UTU/2406100181</v>
      </c>
      <c r="Q158" s="1" t="str">
        <f ca="1">IF(ISERROR(F152),"",VLOOKUP(B152,INDIRECT($F$8),7+(O158-1)*3))</f>
        <v>DEVENDRA SINGH RANA</v>
      </c>
      <c r="R158" s="1">
        <f ca="1">IF(ISERROR(F152),"",SUM(P158:Q158))</f>
        <v>0</v>
      </c>
      <c r="S158" s="1">
        <f ca="1">IF(ISERROR(F152),"",VLOOKUP(A152,INDIRECT($F$8),6+(O158-1)*3))</f>
        <v>0</v>
      </c>
      <c r="T158" s="1">
        <f ca="1">IF(ISERROR(F152),"",VLOOKUP(A152,INDIRECT($F$8),7+(O158-1)*3))</f>
        <v>0</v>
      </c>
      <c r="U158" s="1">
        <f ca="1">IF(ISERROR(F152),"",VLOOKUP(A152,INDIRECT($F$8),8+(O158-1)*3))</f>
        <v>0</v>
      </c>
      <c r="V158" s="1" t="e">
        <f ca="1">IF(ISERROR(F152),"",IF(N158=0,A158,""))</f>
        <v>#N/A</v>
      </c>
      <c r="W158" s="1">
        <f ca="1">IF(ISERROR(F152),"",IF(ISTEXT(VLOOKUP(B152,INDIRECT($F$8),6+(O158-1)*3)),11,IF(VLOOKUP(B152,INDIRECT($F$8),6+(O158-1)*3)&lt;S158*0.3,IF(VLOOKUP(B152,INDIRECT($F$8),8+(O158-1)*3)&lt;U158*0.4,IF(AND(0.4*U158-VLOOKUP(B152,INDIRECT($F$8),8+(O158-1)*3)&lt;=5,0.3*S158-VLOOKUP(B152,INDIRECT($F$8),6+(O158-1)*3)&lt;=5),MAX(0.4*U158-VLOOKUP(B152,INDIRECT($F$8),8+(O158-1)*3),0.3*S158-VLOOKUP(B152,INDIRECT($F$8),6+(O158-1)*3)),11),IF(0.3*S158-VLOOKUP(B152,INDIRECT($F$8),6+(O158-1)*3)&lt;=5,0.3*S158-VLOOKUP(B152,INDIRECT($F$8),6+(O158-1)*3),11)),IF(VLOOKUP(B152,INDIRECT($F$8),8+(O158-1)*3)&lt;U158*0.4,IF(U158*0.4-VLOOKUP(B152,INDIRECT($F$8),8+(O158-1)*3)&lt;=5,U158*0.4-VLOOKUP(B152,INDIRECT($F$8),8+(O158-1)*3),11),0))))</f>
        <v>11</v>
      </c>
      <c r="X158" s="1" t="str">
        <f ca="1">IF(ISERROR(F152),"",IF(W158=0,"",_xlfn.TEXTJOIN("",FALSE," G+",W158," in ",A158)))</f>
        <v xml:space="preserve"> G+11 in Enroll No.</v>
      </c>
    </row>
    <row r="159" spans="1:24" ht="12.75" customHeight="1" x14ac:dyDescent="0.2">
      <c r="A159" s="7" t="str">
        <f ca="1">IF(ISERROR(F152),"",VLOOKUP(C152,INDIRECT($F$8),6+(O159-1)*3,0))</f>
        <v>CAT 030</v>
      </c>
      <c r="B159" s="41" t="str">
        <f ca="1">IF(ISERROR(F152),"",VLOOKUP(D152,INDIRECT($F$8),6+(O159-1)*3,0))</f>
        <v>Software Testing &amp; Quality Assurance</v>
      </c>
      <c r="C159" s="41"/>
      <c r="D159" s="41"/>
      <c r="E159" s="41"/>
      <c r="F159" s="7">
        <f ca="1">IF(ISERROR(F152),"",VLOOKUP(E152,INDIRECT($F$8),6+(O159-1)*3,0))</f>
        <v>4</v>
      </c>
      <c r="G159" s="42" t="str">
        <f ca="1">IF(ISERROR(F152),"",_xlfn.TEXTJOIN("/",FALSE,P159,S159))</f>
        <v>0/100</v>
      </c>
      <c r="H159" s="42"/>
      <c r="I159" s="42" t="str">
        <f ca="1">IF(ISERROR(F152),"",_xlfn.TEXTJOIN("/",FALSE,Q159,T159))</f>
        <v>0/50</v>
      </c>
      <c r="J159" s="42"/>
      <c r="K159" s="42" t="str">
        <f ca="1">IF(ISERROR(F152),"",_xlfn.TEXTJOIN("/",FALSE,R159,U159))</f>
        <v>0/150</v>
      </c>
      <c r="L159" s="42"/>
      <c r="M159" s="7" t="str">
        <f ca="1">IF(ISERROR(F152),"",IF(ISTEXT(P159),IF(P159="A","Ab",IF(P159="D","Dt",IF(P159="UFM","UFM",IF(P159="NA","")))),IF(AND(ISBLANK(P159),ISBLANK(R159)),"",IF(P159&lt;0.3*S159,"F",IF(ISBLANK(R159),"",IF(ISTEXT(R159),R159,IF(R159&gt;=0.9*U159,"O",IF(R159&gt;=0.85*U159,"A+",IF(R159&gt;=0.8*U159,"A",IF(R159&gt;=0.7*U159,"B+",IF(R159&gt;=0.6*U159,"B",IF(R159&gt;=0.5*U159,"C",IF(R159&gt;=0.4*U159,"P",IF(R159&lt;0.4*U159,"F",R159))))))))))))))</f>
        <v>F</v>
      </c>
      <c r="N159" s="8">
        <f t="shared" ca="1" si="9"/>
        <v>0</v>
      </c>
      <c r="O159">
        <f ca="1">IF(O158&gt;0,4,"")</f>
        <v>4</v>
      </c>
      <c r="P159" s="1">
        <f ca="1">IF(ISERROR(F152),"",IF(ISTEXT(VLOOKUP(B152,INDIRECT($F$8),6+(O159-1)*3)),(VLOOKUP(B152,INDIRECT($F$8),6+(O159-1)*3)),SUM(VLOOKUP(B152,INDIRECT($F$8),6+(O159-1)*3),IF(W164,W159,0))))</f>
        <v>0</v>
      </c>
      <c r="Q159" s="1">
        <f ca="1">IF(ISERROR(F152),"",VLOOKUP(B152,INDIRECT($F$8),7+(O159-1)*3))</f>
        <v>0</v>
      </c>
      <c r="R159" s="1">
        <f ca="1">IF(ISERROR(F152),"",SUM(P159:Q159))</f>
        <v>0</v>
      </c>
      <c r="S159" s="1">
        <f ca="1">IF(ISERROR(F152),"",VLOOKUP(A152,INDIRECT($F$8),6+(O159-1)*3))</f>
        <v>100</v>
      </c>
      <c r="T159" s="1">
        <f ca="1">IF(ISERROR(F152),"",VLOOKUP(A152,INDIRECT($F$8),7+(O159-1)*3))</f>
        <v>50</v>
      </c>
      <c r="U159" s="1">
        <f ca="1">IF(ISERROR(F152),"",VLOOKUP(A152,INDIRECT($F$8),8+(O159-1)*3))</f>
        <v>150</v>
      </c>
      <c r="V159" s="1" t="str">
        <f ca="1">IF(ISERROR(F152),"",IF(N159=0,A159,""))</f>
        <v>CAT 030</v>
      </c>
      <c r="W159" s="1">
        <f ca="1">IF(ISERROR(F152),"",IF(ISTEXT(VLOOKUP(B152,INDIRECT($F$8),6+(O159-1)*3)),11,IF(VLOOKUP(B152,INDIRECT($F$8),6+(O159-1)*3)&lt;S159*0.3,IF(VLOOKUP(B152,INDIRECT($F$8),8+(O159-1)*3)&lt;U159*0.4,IF(AND(0.4*U159-VLOOKUP(B152,INDIRECT($F$8),8+(O159-1)*3)&lt;=5,0.3*S159-VLOOKUP(B152,INDIRECT($F$8),6+(O159-1)*3)&lt;=5),MAX(0.4*U159-VLOOKUP(B152,INDIRECT($F$8),8+(O159-1)*3),0.3*S159-VLOOKUP(B152,INDIRECT($F$8),6+(O159-1)*3)),11),IF(0.3*S159-VLOOKUP(B152,INDIRECT($F$8),6+(O159-1)*3)&lt;=5,0.3*S159-VLOOKUP(B152,INDIRECT($F$8),6+(O159-1)*3),11)),IF(VLOOKUP(B152,INDIRECT($F$8),8+(O159-1)*3)&lt;U159*0.4,IF(U159*0.4-VLOOKUP(B152,INDIRECT($F$8),8+(O159-1)*3)&lt;=5,U159*0.4-VLOOKUP(B152,INDIRECT($F$8),8+(O159-1)*3),11),0))))</f>
        <v>11</v>
      </c>
      <c r="X159" s="1" t="str">
        <f ca="1">IF(ISERROR(F152),"",IF(W159=0,"",_xlfn.TEXTJOIN("",FALSE," G+",W159," in ",A159)))</f>
        <v xml:space="preserve"> G+11 in CAT 030</v>
      </c>
    </row>
    <row r="160" spans="1:24" ht="12.75" customHeight="1" x14ac:dyDescent="0.2">
      <c r="A160" s="7" t="str">
        <f ca="1">IF(ISERROR(F152),"",VLOOKUP(C152,INDIRECT($F$8),6+(O160-1)*3,0))</f>
        <v>Enroll No.</v>
      </c>
      <c r="B160" s="41">
        <f ca="1">IF(ISERROR(F152),"",VLOOKUP(D152,INDIRECT($F$8),6+(O160-1)*3,0))</f>
        <v>0</v>
      </c>
      <c r="C160" s="41"/>
      <c r="D160" s="41"/>
      <c r="E160" s="41"/>
      <c r="F160" s="7">
        <f ca="1">IF(ISERROR(F152),"",VLOOKUP(E152,INDIRECT($F$8),6+(O160-1)*3,0))</f>
        <v>0</v>
      </c>
      <c r="G160" s="42" t="str">
        <f ca="1">IF(ISERROR(F152),"",_xlfn.TEXTJOIN("/",FALSE,P160,S160))</f>
        <v>UTU/2406100181/0</v>
      </c>
      <c r="H160" s="42"/>
      <c r="I160" s="42" t="str">
        <f ca="1">IF(ISERROR(F152),"",_xlfn.TEXTJOIN("/",FALSE,Q160,T160))</f>
        <v>DEVENDRA SINGH RANA/0</v>
      </c>
      <c r="J160" s="42"/>
      <c r="K160" s="42" t="str">
        <f ca="1">IF(ISERROR(F152),"",_xlfn.TEXTJOIN("/",FALSE,R160,U160))</f>
        <v>0/0</v>
      </c>
      <c r="L160" s="42"/>
      <c r="M160" s="7" t="b">
        <f ca="1">IF(ISERROR(F152),"",IF(ISTEXT(P160),IF(P160="A","Ab",IF(P160="D","Dt",IF(P160="UFM","UFM",IF(P160="NA","")))),IF(AND(ISBLANK(P160),ISBLANK(R160)),"",IF(P160&lt;0.3*S160,"F",IF(ISBLANK(R160),"",IF(ISTEXT(R160),R160,IF(R160&gt;=0.9*U160,"O",IF(R160&gt;=0.85*U160,"A+",IF(R160&gt;=0.8*U160,"A",IF(R160&gt;=0.7*U160,"B+",IF(R160&gt;=0.6*U160,"B",IF(R160&gt;=0.5*U160,"C",IF(R160&gt;=0.4*U160,"P",IF(R160&lt;0.4*U160,"F",R160))))))))))))))</f>
        <v>0</v>
      </c>
      <c r="N160" s="8" t="e">
        <f t="shared" ca="1" si="9"/>
        <v>#N/A</v>
      </c>
      <c r="O160" t="b" cm="1">
        <f t="array" aca="1" ref="O160" ca="1">IF(NOT(ISBLANK(INDIRECT("SEM_IV!R"&amp;INT((ROW(O160)-16)/16)+6))),5,IF(NOT(ISBLANK(INDIRECT("SEM_IV!U"&amp;INT((ROW(O160)-16)/16)+6))),6))</f>
        <v>0</v>
      </c>
      <c r="P160" s="1" t="str">
        <f ca="1">IF(ISERROR(F152),"",IF(ISTEXT(VLOOKUP(B152,INDIRECT($F$8),6+(O160-1)*3)),(VLOOKUP(B152,INDIRECT($F$8),6+(O160-1)*3)),SUM(VLOOKUP(B152,INDIRECT($F$8),6+(O160-1)*3),IF(W164,W160,0))))</f>
        <v>UTU/2406100181</v>
      </c>
      <c r="Q160" s="1" t="str">
        <f ca="1">IF(ISERROR(F152),"",VLOOKUP(B152,INDIRECT($F$8),7+(O160-1)*3))</f>
        <v>DEVENDRA SINGH RANA</v>
      </c>
      <c r="R160" s="1">
        <f ca="1">IF(ISERROR(F152),"",SUM(P160:Q160))</f>
        <v>0</v>
      </c>
      <c r="S160" s="1">
        <f ca="1">IF(ISERROR(F152),"",VLOOKUP(A152,INDIRECT($F$8),6+(O160-1)*3))</f>
        <v>0</v>
      </c>
      <c r="T160" s="1">
        <f ca="1">IF(ISERROR(F152),"",VLOOKUP(A152,INDIRECT($F$8),7+(O160-1)*3))</f>
        <v>0</v>
      </c>
      <c r="U160" s="1">
        <f ca="1">IF(ISERROR(F152),"",VLOOKUP(A152,INDIRECT($F$8),8+(O160-1)*3))</f>
        <v>0</v>
      </c>
      <c r="V160" s="1" t="e">
        <f ca="1">IF(ISERROR(F152),"",IF(N160=0,A160,""))</f>
        <v>#N/A</v>
      </c>
      <c r="W160" s="1">
        <f ca="1">IF(ISERROR(F152),"",IF(ISTEXT(VLOOKUP(B152,INDIRECT($F$8),6+(O160-1)*3)),11,IF(VLOOKUP(B152,INDIRECT($F$8),6+(O160-1)*3)&lt;S160*0.3,IF(VLOOKUP(B152,INDIRECT($F$8),8+(O160-1)*3)&lt;U160*0.4,IF(AND(0.4*U160-VLOOKUP(B152,INDIRECT($F$8),8+(O160-1)*3)&lt;=5,0.3*S160-VLOOKUP(B152,INDIRECT($F$8),6+(O160-1)*3)&lt;=5),MAX(0.4*U160-VLOOKUP(B152,INDIRECT($F$8),8+(O160-1)*3),0.3*S160-VLOOKUP(B152,INDIRECT($F$8),6+(O160-1)*3)),11),IF(0.3*S160-VLOOKUP(B152,INDIRECT($F$8),6+(O160-1)*3)&lt;=5,0.3*S160-VLOOKUP(B152,INDIRECT($F$8),6+(O160-1)*3),11)),IF(VLOOKUP(B152,INDIRECT($F$8),8+(O160-1)*3)&lt;U160*0.4,IF(U160*0.4-VLOOKUP(B152,INDIRECT($F$8),8+(O160-1)*3)&lt;=5,U160*0.4-VLOOKUP(B152,INDIRECT($F$8),8+(O160-1)*3),11),0))))</f>
        <v>11</v>
      </c>
      <c r="X160" s="1" t="str">
        <f ca="1">IF(ISERROR(F152),"",IF(W160=0,"",_xlfn.TEXTJOIN("",FALSE," G+",W160," in ",A160)))</f>
        <v xml:space="preserve"> G+11 in Enroll No.</v>
      </c>
    </row>
    <row r="161" spans="1:24" ht="12.75" customHeight="1" x14ac:dyDescent="0.2">
      <c r="A161" s="7" t="str">
        <f ca="1">IF(ISERROR(F152),"",VLOOKUP(C152,INDIRECT($F$8),6+(O161-1)*3,0))</f>
        <v>CAP 011</v>
      </c>
      <c r="B161" s="41" t="str">
        <f ca="1">IF(ISERROR(F152),"",VLOOKUP(D152,INDIRECT($F$8),6+(O161-1)*3,0))</f>
        <v>Network Security Lab</v>
      </c>
      <c r="C161" s="41"/>
      <c r="D161" s="41"/>
      <c r="E161" s="41"/>
      <c r="F161" s="7">
        <f ca="1">IF(ISERROR(F152),"",VLOOKUP(E152,INDIRECT($F$8),6+(O161-1)*3,0))</f>
        <v>1</v>
      </c>
      <c r="G161" s="42" t="str">
        <f ca="1">IF(ISERROR(F152),"",_xlfn.TEXTJOIN("/",FALSE,P161,S161))</f>
        <v>0/30</v>
      </c>
      <c r="H161" s="42"/>
      <c r="I161" s="42" t="str">
        <f ca="1">IF(ISERROR(F152),"",_xlfn.TEXTJOIN("/",FALSE,Q161,T161))</f>
        <v>0/20</v>
      </c>
      <c r="J161" s="42"/>
      <c r="K161" s="42" t="str">
        <f ca="1">IF(ISERROR(F152),"",_xlfn.TEXTJOIN("/",FALSE,R161,U161))</f>
        <v>0/50</v>
      </c>
      <c r="L161" s="42"/>
      <c r="M161" s="7" t="str">
        <f ca="1">IF(ISERROR(F152),"",IF(ISTEXT(P161),IF(P161="A","Ab",IF(P161="D","Dt",IF(P161="UFM","UFM",IF(P161="NA","")))),IF(AND(ISBLANK(P161),ISBLANK(R161)),"",IF(P161&lt;0.3*S161,"F",IF(ISBLANK(R161),"",IF(ISTEXT(R161),R161,IF(R161&gt;=0.9*U161,"O",IF(R161&gt;=0.85*U161,"A+",IF(R161&gt;=0.8*U161,"A",IF(R161&gt;=0.7*U161,"B+",IF(R161&gt;=0.6*U161,"B",IF(R161&gt;=0.5*U161,"C",IF(R161&gt;=0.4*U161,"P",IF(R161&lt;0.4*U161,"F",R161))))))))))))))</f>
        <v>F</v>
      </c>
      <c r="N161" s="8">
        <f t="shared" ca="1" si="9"/>
        <v>0</v>
      </c>
      <c r="O161">
        <f ca="1">IF(O160&gt;0,7,"")</f>
        <v>7</v>
      </c>
      <c r="P161" s="1">
        <f ca="1">IF(ISERROR(F152),"",IF(ISTEXT(VLOOKUP(B152,INDIRECT($F$8),6+(O161-1)*3)),(VLOOKUP(B152,INDIRECT($F$8),6+(O161-1)*3)),SUM(VLOOKUP(B152,INDIRECT($F$8),6+(O161-1)*3),IF(W164,W161,0))))</f>
        <v>0</v>
      </c>
      <c r="Q161" s="1">
        <f ca="1">IF(ISERROR(F152),"",VLOOKUP(B152,INDIRECT($F$8),7+(O161-1)*3))</f>
        <v>0</v>
      </c>
      <c r="R161" s="1">
        <f ca="1">IF(ISERROR(F152),"",SUM(P161:Q161))</f>
        <v>0</v>
      </c>
      <c r="S161" s="1">
        <f ca="1">IF(ISERROR(F152),"",VLOOKUP(A152,INDIRECT($F$8),6+(O161-1)*3))</f>
        <v>30</v>
      </c>
      <c r="T161" s="1">
        <f ca="1">IF(ISERROR(F152),"",VLOOKUP(A152,INDIRECT($F$8),7+(O161-1)*3))</f>
        <v>20</v>
      </c>
      <c r="U161" s="1">
        <f ca="1">IF(ISERROR(F152),"",VLOOKUP(A152,INDIRECT($F$8),8+(O161-1)*3))</f>
        <v>50</v>
      </c>
      <c r="V161" s="1" t="str">
        <f ca="1">IF(ISERROR(F152),"",IF(N161=0,A161,""))</f>
        <v>CAP 011</v>
      </c>
      <c r="W161" s="1">
        <f ca="1">IF(ISERROR(F152),"",IF(ISTEXT(VLOOKUP(B152,INDIRECT($F$8),6+(O161-1)*3)),11,IF(VLOOKUP(B152,INDIRECT($F$8),6+(O161-1)*3)&lt;S161*0.3,IF(VLOOKUP(B152,INDIRECT($F$8),8+(O161-1)*3)&lt;U161*0.4,IF(AND(0.4*U161-VLOOKUP(B152,INDIRECT($F$8),8+(O161-1)*3)&lt;=5,0.3*S161-VLOOKUP(B152,INDIRECT($F$8),6+(O161-1)*3)&lt;=5),MAX(0.4*U161-VLOOKUP(B152,INDIRECT($F$8),8+(O161-1)*3),0.3*S161-VLOOKUP(B152,INDIRECT($F$8),6+(O161-1)*3)),11),IF(0.3*S161-VLOOKUP(B152,INDIRECT($F$8),6+(O161-1)*3)&lt;=5,0.3*S161-VLOOKUP(B152,INDIRECT($F$8),6+(O161-1)*3),11)),IF(VLOOKUP(B152,INDIRECT($F$8),8+(O161-1)*3)&lt;U161*0.4,IF(U161*0.4-VLOOKUP(B152,INDIRECT($F$8),8+(O161-1)*3)&lt;=5,U161*0.4-VLOOKUP(B152,INDIRECT($F$8),8+(O161-1)*3),11),0))))</f>
        <v>11</v>
      </c>
      <c r="X161" s="1" t="str">
        <f ca="1">IF(ISERROR(F152),"",IF(W161=0,"",_xlfn.TEXTJOIN("",FALSE," G+",W161," in ",A161)))</f>
        <v xml:space="preserve"> G+11 in CAP 011</v>
      </c>
    </row>
    <row r="162" spans="1:24" ht="12.75" customHeight="1" x14ac:dyDescent="0.2">
      <c r="A162" s="7" t="str">
        <f ca="1">IF(ISERROR(F152),"",VLOOKUP(C152,INDIRECT($F$8),6+(O162-1)*3,0))</f>
        <v>Enroll No.</v>
      </c>
      <c r="B162" s="41">
        <f ca="1">IF(ISERROR(F152),"",VLOOKUP(D152,INDIRECT($F$8),6+(O162-1)*3,0))</f>
        <v>0</v>
      </c>
      <c r="C162" s="41"/>
      <c r="D162" s="41"/>
      <c r="E162" s="41"/>
      <c r="F162" s="7">
        <f ca="1">IF(ISERROR(F152),"",VLOOKUP(E152,INDIRECT($F$8),6+(O162-1)*3,0))</f>
        <v>0</v>
      </c>
      <c r="G162" s="42" t="str">
        <f ca="1">IF(ISERROR(F152),"",_xlfn.TEXTJOIN("/",FALSE,P162,S162))</f>
        <v>UTU/2406100181/0</v>
      </c>
      <c r="H162" s="42"/>
      <c r="I162" s="42" t="str">
        <f ca="1">IF(ISERROR(F152),"",_xlfn.TEXTJOIN("/",FALSE,Q162,T162))</f>
        <v>DEVENDRA SINGH RANA/0</v>
      </c>
      <c r="J162" s="42"/>
      <c r="K162" s="42" t="str">
        <f ca="1">IF(ISERROR(F152),"",_xlfn.TEXTJOIN("/",FALSE,R162,U162))</f>
        <v>0/0</v>
      </c>
      <c r="L162" s="42"/>
      <c r="M162" s="7" t="b">
        <f ca="1">IF(ISERROR(F152),"",IF(ISTEXT(P162),IF(P162="A","Ab",IF(P162="D","Dt",IF(P162="UFM","UFM",IF(P162="NA","")))),IF(AND(ISBLANK(P162),ISBLANK(R162)),"",IF(P162&lt;0.3*S162,"F",IF(ISBLANK(R162),"",IF(ISTEXT(R162),R162,IF(R162&gt;=0.9*U162,"O",IF(R162&gt;=0.85*U162,"A+",IF(R162&gt;=0.8*U162,"A",IF(R162&gt;=0.7*U162,"B+",IF(R162&gt;=0.6*U162,"B",IF(R162&gt;=0.5*U162,"C",IF(R162&gt;=0.4*U162,"P",IF(R162&lt;0.4*U162,"F",R162))))))))))))))</f>
        <v>0</v>
      </c>
      <c r="N162" s="8" t="e">
        <f t="shared" ca="1" si="9"/>
        <v>#N/A</v>
      </c>
      <c r="O162" t="b" cm="1">
        <f t="array" aca="1" ref="O162" ca="1">IF(NOT(ISBLANK(INDIRECT("SEM_IV!AA"&amp;INT((ROW(O162)-18)/16)+6))),8,IF(NOT(ISBLANK(INDIRECT("SEM_IV!AD"&amp;INT((ROW(O162)-18)/16)+6))),9))</f>
        <v>0</v>
      </c>
      <c r="P162" s="1" t="str">
        <f ca="1">IF(ISERROR(F152),"",IF(ISTEXT(VLOOKUP(B152,INDIRECT($F$8),6+(O162-1)*3)),(VLOOKUP(B152,INDIRECT($F$8),6+(O162-1)*3)),SUM(VLOOKUP(B152,INDIRECT($F$8),6+(O162-1)*3),IF(W164,W162,0))))</f>
        <v>UTU/2406100181</v>
      </c>
      <c r="Q162" s="1" t="str">
        <f ca="1">IF(ISERROR(F152),"",VLOOKUP(B152,INDIRECT($F$8),7+(O162-1)*3))</f>
        <v>DEVENDRA SINGH RANA</v>
      </c>
      <c r="R162" s="1">
        <f ca="1">IF(ISERROR(F152),"",SUM(P162:Q162))</f>
        <v>0</v>
      </c>
      <c r="S162" s="1">
        <f ca="1">IF(ISERROR(F152),"",VLOOKUP(A152,INDIRECT($F$8),6+(O162-1)*3))</f>
        <v>0</v>
      </c>
      <c r="T162" s="1">
        <f ca="1">IF(ISERROR(F152),"",VLOOKUP(A152,INDIRECT($F$8),7+(O162-1)*3))</f>
        <v>0</v>
      </c>
      <c r="U162" s="1">
        <f ca="1">IF(ISERROR(F152),"",VLOOKUP(A152,INDIRECT($F$8),8+(O162-1)*3))</f>
        <v>0</v>
      </c>
      <c r="V162" s="1" t="e">
        <f ca="1">IF(ISERROR(F152),"",IF(N162=0,A162,""))</f>
        <v>#N/A</v>
      </c>
      <c r="W162" s="1">
        <f ca="1">IF(ISERROR(F152),"",IF(ISTEXT(VLOOKUP(B152,INDIRECT($F$8),6+(O162-1)*3)),11,IF(VLOOKUP(B152,INDIRECT($F$8),6+(O162-1)*3)&lt;S162*0.3,IF(VLOOKUP(B152,INDIRECT($F$8),8+(O162-1)*3)&lt;U162*0.4,IF(AND(0.4*U162-VLOOKUP(B152,INDIRECT($F$8),8+(O162-1)*3)&lt;=5,0.3*S162-VLOOKUP(B152,INDIRECT($F$8),6+(O162-1)*3)&lt;=5),MAX(0.4*U162-VLOOKUP(B152,INDIRECT($F$8),8+(O162-1)*3),0.3*S162-VLOOKUP(B152,INDIRECT($F$8),6+(O162-1)*3)),11),IF(0.3*S162-VLOOKUP(B152,INDIRECT($F$8),6+(O162-1)*3)&lt;=5,0.3*S162-VLOOKUP(B152,INDIRECT($F$8),6+(O162-1)*3),11)),IF(VLOOKUP(B152,INDIRECT($F$8),8+(O162-1)*3)&lt;U162*0.4,IF(U162*0.4-VLOOKUP(B152,INDIRECT($F$8),8+(O162-1)*3)&lt;=5,U162*0.4-VLOOKUP(B152,INDIRECT($F$8),8+(O162-1)*3),11),0))))</f>
        <v>11</v>
      </c>
      <c r="X162" s="1" t="str">
        <f ca="1">IF(ISERROR(F152),"",IF(W162=0,"",_xlfn.TEXTJOIN("",FALSE," G+",W162," in ",A162)))</f>
        <v xml:space="preserve"> G+11 in Enroll No.</v>
      </c>
    </row>
    <row r="163" spans="1:24" ht="12.75" customHeight="1" x14ac:dyDescent="0.2">
      <c r="A163" s="7" t="str">
        <f ca="1">IF(ISERROR(F152),"",VLOOKUP(C152,INDIRECT($F$8),6+(O163-1)*3,0))</f>
        <v>CAP 013</v>
      </c>
      <c r="B163" s="41" t="str">
        <f ca="1">IF(ISERROR(F152),"",VLOOKUP(D152,INDIRECT($F$8),6+(O163-1)*3-Z163,0))</f>
        <v>Major Project</v>
      </c>
      <c r="C163" s="41"/>
      <c r="D163" s="41"/>
      <c r="E163" s="41"/>
      <c r="F163" s="7">
        <f ca="1">IF(ISERROR(F152),"",VLOOKUP(E152,INDIRECT($F$8),6+(O163-1)*3,0))</f>
        <v>6</v>
      </c>
      <c r="G163" s="42" t="str">
        <f ca="1">IF(ISERROR(F152),"",_xlfn.TEXTJOIN("/",FALSE,P163,S163))</f>
        <v>0/200</v>
      </c>
      <c r="H163" s="42"/>
      <c r="I163" s="42" t="str">
        <f ca="1">IF(ISERROR(F152),"",_xlfn.TEXTJOIN("/",FALSE,Q163,T163))</f>
        <v>0/100</v>
      </c>
      <c r="J163" s="42"/>
      <c r="K163" s="42" t="str">
        <f ca="1">IF(ISERROR(F152),"",_xlfn.TEXTJOIN("/",FALSE,R163,U163))</f>
        <v>0/300</v>
      </c>
      <c r="L163" s="42"/>
      <c r="M163" s="7" t="str">
        <f ca="1">IF(ISERROR(F152),"",IF(ISTEXT(P163),IF(P163="A","Ab",IF(P163="D","Dt",IF(P163="UFM","UFM",IF(P163="NA","")))),IF(AND(ISBLANK(P163),ISBLANK(R163)),"",IF(P163&lt;0.3*S163,"F",IF(ISBLANK(R163),"",IF(ISTEXT(R163),R163,IF(R163&gt;=0.9*U163,"O",IF(R163&gt;=0.85*U163,"A+",IF(R163&gt;=0.8*U163,"A",IF(R163&gt;=0.7*U163,"B+",IF(R163&gt;=0.6*U163,"B",IF(R163&gt;=0.5*U163,"C",IF(R163&gt;=0.4*U163,"P",IF(R163&lt;0.4*U163,"F",R163))))))))))))))</f>
        <v>F</v>
      </c>
      <c r="N163" s="8">
        <f t="shared" ca="1" si="9"/>
        <v>0</v>
      </c>
      <c r="O163">
        <f ca="1">IF(O162&gt;0,10,"")</f>
        <v>10</v>
      </c>
      <c r="P163" s="1">
        <f ca="1">IF(ISERROR(F152),"",IF(ISTEXT(VLOOKUP(B152,INDIRECT($F$8),6+(O163-1)*3)),(VLOOKUP(B152,INDIRECT($F$8),6+(O163-1)*3)),SUM(VLOOKUP(B152,INDIRECT($F$8),6+(O163-1)*3),IF(W164,W163,0))))</f>
        <v>0</v>
      </c>
      <c r="Q163" s="1">
        <f ca="1">IF(ISERROR(F152),"",VLOOKUP(B152,INDIRECT($F$8),7+(O163-1)*3))</f>
        <v>0</v>
      </c>
      <c r="R163" s="1">
        <f ca="1">IF(ISERROR(F152),"",SUM(P163:Q163))</f>
        <v>0</v>
      </c>
      <c r="S163" s="1">
        <f ca="1">IF(ISERROR(F152),"",VLOOKUP(A152,INDIRECT($F$8),6+(O163-1)*3))</f>
        <v>200</v>
      </c>
      <c r="T163" s="1">
        <f ca="1">IF(ISERROR(F152),"",VLOOKUP(A152,INDIRECT($F$8),7+(O163-1)*3))</f>
        <v>100</v>
      </c>
      <c r="U163" s="1">
        <f ca="1">IF(ISERROR(F152),"",VLOOKUP(A152,INDIRECT($F$8),8+(O163-1)*3))</f>
        <v>300</v>
      </c>
      <c r="V163" s="1" t="str">
        <f ca="1">IF(ISERROR(F152),"",IF(N163=0,A163,""))</f>
        <v>CAP 013</v>
      </c>
      <c r="W163" s="1">
        <f ca="1">IF(ISERROR(F152),"",IF(ISTEXT(VLOOKUP(B152,INDIRECT($F$8),6+(O163-1)*3)),11,IF(VLOOKUP(B152,INDIRECT($F$8),6+(O163-1)*3)&lt;S163*0.3,IF(VLOOKUP(B152,INDIRECT($F$8),8+(O163-1)*3)&lt;U163*0.4,IF(AND(0.4*U163-VLOOKUP(B152,INDIRECT($F$8),8+(O163-1)*3)&lt;=5,0.3*S163-VLOOKUP(B152,INDIRECT($F$8),6+(O163-1)*3)&lt;=5),MAX(0.4*U163-VLOOKUP(B152,INDIRECT($F$8),8+(O163-1)*3),0.3*S163-VLOOKUP(B152,INDIRECT($F$8),6+(O163-1)*3)),11),IF(0.3*S163-VLOOKUP(B152,INDIRECT($F$8),6+(O163-1)*3)&lt;=5,0.3*S163-VLOOKUP(B152,INDIRECT($F$8),6+(O163-1)*3),11)),IF(VLOOKUP(B152,INDIRECT($F$8),8+(O163-1)*3)&lt;U163*0.4,IF(U163*0.4-VLOOKUP(B152,INDIRECT($F$8),8+(O163-1)*3)&lt;=5,U163*0.4-VLOOKUP(B152,INDIRECT($F$8),8+(O163-1)*3),11),0))))</f>
        <v>11</v>
      </c>
      <c r="X163" s="1" t="str">
        <f ca="1">IF(ISERROR(F152),"",IF(W163=0,"",_xlfn.TEXTJOIN("",FALSE," G+",W163," in ",A163)))</f>
        <v xml:space="preserve"> G+11 in CAP 013</v>
      </c>
    </row>
    <row r="164" spans="1:24" ht="12.75" customHeight="1" x14ac:dyDescent="0.2">
      <c r="A164" s="43" t="str">
        <f ca="1">IF(ISERROR(F152),"",A148)</f>
        <v>Total Credits/ Marks/ Total Grade Points</v>
      </c>
      <c r="B164" s="43"/>
      <c r="C164" s="43"/>
      <c r="D164" s="43"/>
      <c r="E164" s="43"/>
      <c r="F164" s="10">
        <f ca="1">IF(ISERROR(F152),"",SUM(F157:F163))</f>
        <v>15</v>
      </c>
      <c r="G164" s="44" t="str">
        <f ca="1">IF(ISERROR(F152),"",_xlfn.TEXTJOIN("/",TRUE,SUMIF(F157:F163,"&gt;0",P157:P163),SUMIF(F157:F163,"&gt;0",S157:S163)))</f>
        <v>0/430</v>
      </c>
      <c r="H164" s="44"/>
      <c r="I164" s="44" t="str">
        <f ca="1">IF(ISERROR(F152),"",_xlfn.TEXTJOIN("/",TRUE,SUMIF(F157:F163,"&gt;0",Q157:Q163),SUMIF(F157:F163,"&gt;0",T157:T163)))</f>
        <v>0/220</v>
      </c>
      <c r="J164" s="44"/>
      <c r="K164" s="44" t="str">
        <f ca="1">IF(ISERROR(F152),"",_xlfn.TEXTJOIN("/",TRUE,SUMIF(F157:F163,"&gt;0",R157:R163),SUMIF(F157:F163,"&gt;0",U157:U163)))</f>
        <v>0/650</v>
      </c>
      <c r="L164" s="44"/>
      <c r="M164" s="43" t="e">
        <f ca="1">IF(ISERROR(F152),"",SUMPRODUCT(N157:N163,F157:F163))</f>
        <v>#N/A</v>
      </c>
      <c r="N164" s="43"/>
      <c r="V164" s="1" t="e">
        <f ca="1">IF(ISERROR(F152),"",_xlfn.TEXTJOIN(", ",TRUE,V157:V163))</f>
        <v>#N/A</v>
      </c>
      <c r="W164" t="b">
        <f ca="1">IF(ISERROR(F152),"",IF(SUM(W157:W163)&lt;=W156,TRUE,FALSE))</f>
        <v>0</v>
      </c>
      <c r="X164" s="1" t="str">
        <f ca="1">IF(ISERROR(F152),"",_xlfn.TEXTJOIN(",",TRUE,X157:X163))</f>
        <v xml:space="preserve"> G+11 in CAT 022, G+11 in Enroll No., G+11 in CAT 030, G+11 in Enroll No., G+11 in CAP 011, G+11 in Enroll No., G+11 in CAP 013</v>
      </c>
    </row>
    <row r="165" spans="1:24" ht="12.75" customHeight="1" x14ac:dyDescent="0.2">
      <c r="A165" s="43" t="str">
        <f ca="1">IF(ISERROR(F152),"",A149)</f>
        <v>Result:</v>
      </c>
      <c r="B165" s="45" t="e">
        <f ca="1">IF(ISERROR(F152),"",IF(V164="","PASS","CARRY OVER"))</f>
        <v>#N/A</v>
      </c>
      <c r="C165" s="45"/>
      <c r="D165" s="43" t="str">
        <f ca="1">IF(ISERROR(F152),"",D149)</f>
        <v>Remark:</v>
      </c>
      <c r="E165" s="45" t="e">
        <f ca="1">IF(ISERROR(F152),"",IF(V164="",IF(X164="","",X164),_xlfn.TEXTJOIN(" ",TRUE,"BACK IN",V164)))</f>
        <v>#N/A</v>
      </c>
      <c r="F165" s="45"/>
      <c r="G165" s="43" t="str">
        <f ca="1">IF(ISERROR(F152),"",G149)</f>
        <v>SGPA:</v>
      </c>
      <c r="H165" s="46" t="e">
        <f ca="1">IF(ISERROR(F152),"",M164/F164)</f>
        <v>#N/A</v>
      </c>
      <c r="I165" s="43" t="str">
        <f ca="1">IF(ISERROR(F152),"",I149)</f>
        <v>CGPA:</v>
      </c>
      <c r="J165" s="46" t="e">
        <f ca="1">IF(ISERROR(F152),"",VLOOKUP(B152,INDIRECT($F$8),12+(O163-1)*3,0))</f>
        <v>#N/A</v>
      </c>
      <c r="K165" s="45" t="str">
        <f ca="1">IF(ISERROR(F152),"",K149)</f>
        <v>Earned Credits:</v>
      </c>
      <c r="L165" s="43">
        <f ca="1">IF(ISERROR(F152),"",SUMIF(N157:N163,"&gt;0",F157:F163))</f>
        <v>0</v>
      </c>
      <c r="M165" s="45" t="str">
        <f ca="1">IF(ISERROR(F152),"",M149)</f>
        <v>Cuml. Earned Credits:</v>
      </c>
      <c r="N165" s="43" t="e">
        <f ca="1">IF(ISERROR(F152),"",VLOOKUP(B152,INDIRECT($F$8),10+(O163-1)*3,0))</f>
        <v>#N/A</v>
      </c>
    </row>
    <row r="166" spans="1:24" ht="12.75" customHeight="1" x14ac:dyDescent="0.2">
      <c r="A166" s="43"/>
      <c r="B166" s="45"/>
      <c r="C166" s="45"/>
      <c r="D166" s="43"/>
      <c r="E166" s="45"/>
      <c r="F166" s="45"/>
      <c r="G166" s="43"/>
      <c r="H166" s="46"/>
      <c r="I166" s="43"/>
      <c r="J166" s="46"/>
      <c r="K166" s="45"/>
      <c r="L166" s="43"/>
      <c r="M166" s="45"/>
      <c r="N166" s="43"/>
    </row>
    <row r="167" spans="1:24" ht="12.75" customHeight="1" x14ac:dyDescent="0.2">
      <c r="A167" s="43"/>
      <c r="B167" s="45"/>
      <c r="C167" s="45"/>
      <c r="D167" s="43"/>
      <c r="E167" s="45"/>
      <c r="F167" s="45"/>
      <c r="G167" s="43"/>
      <c r="H167" s="46"/>
      <c r="I167" s="43"/>
      <c r="J167" s="46"/>
      <c r="K167" s="45"/>
      <c r="L167" s="43"/>
      <c r="M167" s="45"/>
      <c r="N167" s="43"/>
    </row>
    <row r="168" spans="1:24" ht="12.75" customHeight="1" x14ac:dyDescent="0.2">
      <c r="A168" s="11" t="str">
        <f>A152</f>
        <v>MM</v>
      </c>
      <c r="B168" s="11">
        <f>B152+1</f>
        <v>11</v>
      </c>
      <c r="C168" s="11" t="str">
        <f>C152</f>
        <v>SC</v>
      </c>
      <c r="D168" s="11" t="str">
        <f>D152</f>
        <v>SN</v>
      </c>
      <c r="E168" s="11" t="str">
        <f>E152</f>
        <v>C</v>
      </c>
      <c r="F168" s="11" t="str">
        <f ca="1">VLOOKUP(B168,INDIRECT($F$8),4,0)</f>
        <v>DIKSHA PHARTYAL</v>
      </c>
    </row>
    <row r="169" spans="1:24" ht="12.75" customHeight="1" x14ac:dyDescent="0.2">
      <c r="A169" s="47" t="str">
        <f ca="1">IF(ISERROR(F168),"",A153)</f>
        <v>Name:</v>
      </c>
      <c r="B169" s="47" t="str">
        <f ca="1">IFERROR(VLOOKUP(B168,INDIRECT($F$8),4,0),"")</f>
        <v>DIKSHA PHARTYAL</v>
      </c>
      <c r="C169" s="47"/>
      <c r="D169" s="47" t="str">
        <f ca="1">IF(ISERROR(F168),"",D153)</f>
        <v>Father's Name:</v>
      </c>
      <c r="E169" s="47" t="str">
        <f ca="1">IFERROR(VLOOKUP(B168,INDIRECT($F$8),5,0),"")</f>
        <v>UPENDRA SINGH PHARTYAL</v>
      </c>
      <c r="F169" s="47"/>
      <c r="G169" s="47" t="str">
        <f ca="1">IF(ISERROR(F168),"",G153)</f>
        <v>University Roll No:</v>
      </c>
      <c r="H169" s="47"/>
      <c r="I169" s="48">
        <f ca="1">IFERROR(VLOOKUP(B168,INDIRECT($F$8),2,0),"")</f>
        <v>240090600011</v>
      </c>
      <c r="J169" s="48"/>
      <c r="K169" s="47" t="str">
        <f ca="1">IF(ISERROR(F168),"",K153)</f>
        <v>University Enrol. No:</v>
      </c>
      <c r="L169" s="47"/>
      <c r="M169" s="48" t="str">
        <f ca="1">IFERROR(VLOOKUP(B168,INDIRECT($F$8),3,0),"")</f>
        <v>UTU/2406100185</v>
      </c>
      <c r="N169" s="48"/>
    </row>
    <row r="170" spans="1:24" ht="12.75" customHeight="1" x14ac:dyDescent="0.2">
      <c r="A170" s="47"/>
      <c r="B170" s="47"/>
      <c r="C170" s="47"/>
      <c r="D170" s="47"/>
      <c r="E170" s="47"/>
      <c r="F170" s="47"/>
      <c r="G170" s="47"/>
      <c r="H170" s="47"/>
      <c r="I170" s="48"/>
      <c r="J170" s="48"/>
      <c r="K170" s="47"/>
      <c r="L170" s="47"/>
      <c r="M170" s="48"/>
      <c r="N170" s="48"/>
    </row>
    <row r="171" spans="1:24" ht="12.75" customHeight="1" x14ac:dyDescent="0.2">
      <c r="A171" s="45" t="str">
        <f ca="1">IF(ISERROR(F168),"",A155)</f>
        <v>Subject Code</v>
      </c>
      <c r="B171" s="45" t="str">
        <f ca="1">IF(ISERROR(F168),"",B155)</f>
        <v>Subject Name</v>
      </c>
      <c r="C171" s="45"/>
      <c r="D171" s="45"/>
      <c r="E171" s="45"/>
      <c r="F171" s="45" t="str">
        <f ca="1">IF(ISERROR(F168),"",F155)</f>
        <v>Credits</v>
      </c>
      <c r="G171" s="45" t="str">
        <f ca="1">IF(ISERROR(F168),"",G155)</f>
        <v>External Marks</v>
      </c>
      <c r="H171" s="45"/>
      <c r="I171" s="45" t="str">
        <f ca="1">IF(ISERROR(F168),"",I155)</f>
        <v>Sessional Marks</v>
      </c>
      <c r="J171" s="45"/>
      <c r="K171" s="45" t="str">
        <f ca="1">IF(ISERROR(F168),"",K155)</f>
        <v>Total Marks</v>
      </c>
      <c r="L171" s="45"/>
      <c r="M171" s="45" t="str">
        <f ca="1">IF(ISERROR(F168),"",M155)</f>
        <v>Grade</v>
      </c>
      <c r="N171" s="45" t="str">
        <f ca="1">IF(ISERROR(F168),"",N155)</f>
        <v>Grade Points</v>
      </c>
    </row>
    <row r="172" spans="1:24" ht="12.75" customHeight="1" x14ac:dyDescent="0.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W172">
        <f ca="1">IF(ISNUMBER(MATCH($F$8,{"I","III","V","VII"},0)),10,10-INDEX(INDIRECT(_xlfn.TEXTJOIN("",TRUE,"SEM_",$G$8,"!",ADDRESS(6,4+$I$8*3+4),":",ADDRESS(5+$H$8,4+$I$8*3+4))),MATCH(INDIRECT(_xlfn.TEXTJOIN("",TRUE,"TC_",$F$8,"!",ADDRESS(ROW(I169),COLUMN(I169)))),INDIRECT(_xlfn.TEXTJOIN("",TRUE,"SEM_",$G$8,"!",ADDRESS(6,2),":",ADDRESS(5+$H$8,2))))))</f>
        <v>10</v>
      </c>
    </row>
    <row r="173" spans="1:24" ht="12.75" customHeight="1" x14ac:dyDescent="0.2">
      <c r="A173" s="7" t="str">
        <f ca="1">IF(ISERROR(F168),"",VLOOKUP(C168,INDIRECT($F$8),6+(O173-1)*3,0))</f>
        <v>CAT 022</v>
      </c>
      <c r="B173" s="41" t="str">
        <f ca="1">IF(ISERROR(F168),"",VLOOKUP(D168,INDIRECT($F$8),6+(O173-1)*3,0))</f>
        <v>Network Security</v>
      </c>
      <c r="C173" s="41"/>
      <c r="D173" s="41"/>
      <c r="E173" s="41"/>
      <c r="F173" s="7">
        <f ca="1">IF(ISERROR(F168),"",VLOOKUP(E168,INDIRECT($F$8),6+(O173-1)*3,0))</f>
        <v>4</v>
      </c>
      <c r="G173" s="42" t="str">
        <f ca="1">IF(ISERROR(F168),"",_xlfn.TEXTJOIN("/",FALSE,P173,S173))</f>
        <v>0/100</v>
      </c>
      <c r="H173" s="42"/>
      <c r="I173" s="42" t="str">
        <f ca="1">IF(ISERROR(F168),"",_xlfn.TEXTJOIN("/",FALSE,Q173,T173))</f>
        <v>0/50</v>
      </c>
      <c r="J173" s="42"/>
      <c r="K173" s="42" t="str">
        <f ca="1">IF(ISERROR(F168),"",_xlfn.TEXTJOIN("/",FALSE,R173,U173))</f>
        <v>0/150</v>
      </c>
      <c r="L173" s="42"/>
      <c r="M173" s="7" t="str">
        <f ca="1">IF(ISERROR(F168),"",IF(ISTEXT(P173),IF(P173="A","Ab",IF(P173="D","Dt",IF(P173="UFM","UFM",IF(P173="NA","")))),IF(AND(ISBLANK(P173),ISBLANK(R173)),"",IF(P173&lt;0.3*S173,"F",IF(ISBLANK(R173),"",IF(ISTEXT(R173),R173,IF(R173&gt;=0.9*U173,"O",IF(R173&gt;=0.85*U173,"A+",IF(R173&gt;=0.8*U173,"A",IF(R173&gt;=0.7*U173,"B+",IF(R173&gt;=0.6*U173,"B",IF(R173&gt;=0.5*U173,"C",IF(R173&gt;=0.4*U173,"P",IF(R173&lt;0.4*U173,"F",R173))))))))))))))</f>
        <v>F</v>
      </c>
      <c r="N173" s="8">
        <f t="shared" ref="N173:N179" ca="1" si="10">INDEX($Z$2:$Z$13,MATCH(M173,$Y$2:$Y$13,0))</f>
        <v>0</v>
      </c>
      <c r="O173">
        <v>1</v>
      </c>
      <c r="P173" s="1">
        <f ca="1">IF(ISERROR(F168),"",IF(ISTEXT(VLOOKUP(B168,INDIRECT($F$8),6+(O173-1)*3)),(VLOOKUP(B168,INDIRECT($F$8),6+(O173-1)*3)),SUM(VLOOKUP(B168,INDIRECT($F$8),6+(O173-1)*3),IF(W180,W173,0))))</f>
        <v>0</v>
      </c>
      <c r="Q173" s="1">
        <f ca="1">IF(ISERROR(F168),"",VLOOKUP(B168,INDIRECT($F$8),7+(O173-1)*3))</f>
        <v>0</v>
      </c>
      <c r="R173" s="1">
        <f ca="1">IF(ISERROR(F168),"",SUM(P173:Q173))</f>
        <v>0</v>
      </c>
      <c r="S173" s="1">
        <f ca="1">IF(ISERROR(F168),"",VLOOKUP(A168,INDIRECT($F$8),6+(O173-1)*3))</f>
        <v>100</v>
      </c>
      <c r="T173" s="1">
        <f ca="1">IF(ISERROR(F168),"",VLOOKUP(A168,INDIRECT($F$8),7+(O173-1)*3))</f>
        <v>50</v>
      </c>
      <c r="U173" s="1">
        <f ca="1">IF(ISERROR(F168),"",VLOOKUP(A168,INDIRECT($F$8),8+(O173-1)*3))</f>
        <v>150</v>
      </c>
      <c r="V173" s="1" t="str">
        <f ca="1">IF(ISERROR(F168),"",IF(N173=0,A173,""))</f>
        <v>CAT 022</v>
      </c>
      <c r="W173" s="1">
        <f ca="1">IF(ISERROR(F168),"",IF(ISTEXT(VLOOKUP(B168,INDIRECT($F$8),6+(O173-1)*3)),11,IF(VLOOKUP(B168,INDIRECT($F$8),6+(O173-1)*3)&lt;S173*0.3,IF(VLOOKUP(B168,INDIRECT($F$8),8+(O173-1)*3)&lt;U173*0.4,IF(AND(0.4*U173-VLOOKUP(B168,INDIRECT($F$8),8+(O173-1)*3)&lt;=5,0.3*S173-VLOOKUP(B168,INDIRECT($F$8),6+(O173-1)*3)&lt;=5),MAX(0.4*U173-VLOOKUP(B168,INDIRECT($F$8),8+(O173-1)*3),0.3*S173-VLOOKUP(B168,INDIRECT($F$8),6+(O173-1)*3)),11),IF(0.3*S173-VLOOKUP(B168,INDIRECT($F$8),6+(O173-1)*3)&lt;=5,0.3*S173-VLOOKUP(B168,INDIRECT($F$8),6+(O173-1)*3),11)),IF(VLOOKUP(B168,INDIRECT($F$8),8+(O173-1)*3)&lt;U173*0.4,IF(U173*0.4-VLOOKUP(B168,INDIRECT($F$8),8+(O173-1)*3)&lt;=5,U173*0.4-VLOOKUP(B168,INDIRECT($F$8),8+(O173-1)*3),11),0))))</f>
        <v>11</v>
      </c>
      <c r="X173" s="1" t="str">
        <f ca="1">IF(ISERROR(F168),"",IF(W173=0,"",_xlfn.TEXTJOIN("",FALSE," G+",W173," in ",A173)))</f>
        <v xml:space="preserve"> G+11 in CAT 022</v>
      </c>
    </row>
    <row r="174" spans="1:24" ht="12.75" customHeight="1" x14ac:dyDescent="0.2">
      <c r="A174" s="7" t="str">
        <f ca="1">IF(ISERROR(F168),"",VLOOKUP(C168,INDIRECT($F$8),6+(O174-1)*3,0))</f>
        <v>Enroll No.</v>
      </c>
      <c r="B174" s="41">
        <f ca="1">IF(ISERROR(F168),"",VLOOKUP(D168,INDIRECT($F$8),6+(O174-1)*3,0))</f>
        <v>0</v>
      </c>
      <c r="C174" s="41"/>
      <c r="D174" s="41"/>
      <c r="E174" s="41"/>
      <c r="F174" s="7">
        <f ca="1">IF(ISERROR(F168),"",VLOOKUP(E168,INDIRECT($F$8),6+(O174-1)*3,0))</f>
        <v>0</v>
      </c>
      <c r="G174" s="42" t="str">
        <f ca="1">IF(ISERROR(F168),"",_xlfn.TEXTJOIN("/",FALSE,P174,S174))</f>
        <v>UTU/2406100185/0</v>
      </c>
      <c r="H174" s="42"/>
      <c r="I174" s="42" t="str">
        <f ca="1">IF(ISERROR(F168),"",_xlfn.TEXTJOIN("/",FALSE,Q174,T174))</f>
        <v>DIKSHA PHARTYAL/0</v>
      </c>
      <c r="J174" s="42"/>
      <c r="K174" s="42" t="str">
        <f ca="1">IF(ISERROR(F168),"",_xlfn.TEXTJOIN("/",FALSE,R174,U174))</f>
        <v>0/0</v>
      </c>
      <c r="L174" s="42"/>
      <c r="M174" s="7" t="b">
        <f ca="1">IF(ISERROR(F168),"",IF(ISTEXT(P174),IF(P174="A","Ab",IF(P174="D","Dt",IF(P174="UFM","UFM",IF(P174="NA","")))),IF(AND(ISBLANK(P174),ISBLANK(R174)),"",IF(P174&lt;0.3*S174,"F",IF(ISBLANK(R174),"",IF(ISTEXT(R174),R174,IF(R174&gt;=0.9*U174,"O",IF(R174&gt;=0.85*U174,"A+",IF(R174&gt;=0.8*U174,"A",IF(R174&gt;=0.7*U174,"B+",IF(R174&gt;=0.6*U174,"B",IF(R174&gt;=0.5*U174,"C",IF(R174&gt;=0.4*U174,"P",IF(R174&lt;0.4*U174,"F",R174))))))))))))))</f>
        <v>0</v>
      </c>
      <c r="N174" s="8" t="e">
        <f t="shared" ca="1" si="10"/>
        <v>#N/A</v>
      </c>
      <c r="O174" t="b" cm="1">
        <f t="array" aca="1" ref="O174" ca="1">IF(NOT(ISBLANK(INDIRECT("SEM_IV!I"&amp;INT((ROW(O174)-14)/16)+6))),2,IF(NOT(ISBLANK(INDIRECT("SEM_IV!L"&amp;INT((ROW(O174)-14)/16)+6))),3))</f>
        <v>0</v>
      </c>
      <c r="P174" s="1" t="str">
        <f ca="1">IF(ISERROR(F168),"",IF(ISTEXT(VLOOKUP(B168,INDIRECT($F$8),6+(O174-1)*3)),(VLOOKUP(B168,INDIRECT($F$8),6+(O174-1)*3)),SUM(VLOOKUP(B168,INDIRECT($F$8),6+(O174-1)*3),IF(W180,W174,0))))</f>
        <v>UTU/2406100185</v>
      </c>
      <c r="Q174" s="1" t="str">
        <f ca="1">IF(ISERROR(F168),"",VLOOKUP(B168,INDIRECT($F$8),7+(O174-1)*3))</f>
        <v>DIKSHA PHARTYAL</v>
      </c>
      <c r="R174" s="1">
        <f ca="1">IF(ISERROR(F168),"",SUM(P174:Q174))</f>
        <v>0</v>
      </c>
      <c r="S174" s="1">
        <f ca="1">IF(ISERROR(F168),"",VLOOKUP(A168,INDIRECT($F$8),6+(O174-1)*3))</f>
        <v>0</v>
      </c>
      <c r="T174" s="1">
        <f ca="1">IF(ISERROR(F168),"",VLOOKUP(A168,INDIRECT($F$8),7+(O174-1)*3))</f>
        <v>0</v>
      </c>
      <c r="U174" s="1">
        <f ca="1">IF(ISERROR(F168),"",VLOOKUP(A168,INDIRECT($F$8),8+(O174-1)*3))</f>
        <v>0</v>
      </c>
      <c r="V174" s="1" t="e">
        <f ca="1">IF(ISERROR(F168),"",IF(N174=0,A174,""))</f>
        <v>#N/A</v>
      </c>
      <c r="W174" s="1">
        <f ca="1">IF(ISERROR(F168),"",IF(ISTEXT(VLOOKUP(B168,INDIRECT($F$8),6+(O174-1)*3)),11,IF(VLOOKUP(B168,INDIRECT($F$8),6+(O174-1)*3)&lt;S174*0.3,IF(VLOOKUP(B168,INDIRECT($F$8),8+(O174-1)*3)&lt;U174*0.4,IF(AND(0.4*U174-VLOOKUP(B168,INDIRECT($F$8),8+(O174-1)*3)&lt;=5,0.3*S174-VLOOKUP(B168,INDIRECT($F$8),6+(O174-1)*3)&lt;=5),MAX(0.4*U174-VLOOKUP(B168,INDIRECT($F$8),8+(O174-1)*3),0.3*S174-VLOOKUP(B168,INDIRECT($F$8),6+(O174-1)*3)),11),IF(0.3*S174-VLOOKUP(B168,INDIRECT($F$8),6+(O174-1)*3)&lt;=5,0.3*S174-VLOOKUP(B168,INDIRECT($F$8),6+(O174-1)*3),11)),IF(VLOOKUP(B168,INDIRECT($F$8),8+(O174-1)*3)&lt;U174*0.4,IF(U174*0.4-VLOOKUP(B168,INDIRECT($F$8),8+(O174-1)*3)&lt;=5,U174*0.4-VLOOKUP(B168,INDIRECT($F$8),8+(O174-1)*3),11),0))))</f>
        <v>11</v>
      </c>
      <c r="X174" s="1" t="str">
        <f ca="1">IF(ISERROR(F168),"",IF(W174=0,"",_xlfn.TEXTJOIN("",FALSE," G+",W174," in ",A174)))</f>
        <v xml:space="preserve"> G+11 in Enroll No.</v>
      </c>
    </row>
    <row r="175" spans="1:24" ht="12.75" customHeight="1" x14ac:dyDescent="0.2">
      <c r="A175" s="7" t="str">
        <f ca="1">IF(ISERROR(F168),"",VLOOKUP(C168,INDIRECT($F$8),6+(O175-1)*3,0))</f>
        <v>CAT 030</v>
      </c>
      <c r="B175" s="41" t="str">
        <f ca="1">IF(ISERROR(F168),"",VLOOKUP(D168,INDIRECT($F$8),6+(O175-1)*3,0))</f>
        <v>Software Testing &amp; Quality Assurance</v>
      </c>
      <c r="C175" s="41"/>
      <c r="D175" s="41"/>
      <c r="E175" s="41"/>
      <c r="F175" s="7">
        <f ca="1">IF(ISERROR(F168),"",VLOOKUP(E168,INDIRECT($F$8),6+(O175-1)*3,0))</f>
        <v>4</v>
      </c>
      <c r="G175" s="42" t="str">
        <f ca="1">IF(ISERROR(F168),"",_xlfn.TEXTJOIN("/",FALSE,P175,S175))</f>
        <v>0/100</v>
      </c>
      <c r="H175" s="42"/>
      <c r="I175" s="42" t="str">
        <f ca="1">IF(ISERROR(F168),"",_xlfn.TEXTJOIN("/",FALSE,Q175,T175))</f>
        <v>0/50</v>
      </c>
      <c r="J175" s="42"/>
      <c r="K175" s="42" t="str">
        <f ca="1">IF(ISERROR(F168),"",_xlfn.TEXTJOIN("/",FALSE,R175,U175))</f>
        <v>0/150</v>
      </c>
      <c r="L175" s="42"/>
      <c r="M175" s="7" t="str">
        <f ca="1">IF(ISERROR(F168),"",IF(ISTEXT(P175),IF(P175="A","Ab",IF(P175="D","Dt",IF(P175="UFM","UFM",IF(P175="NA","")))),IF(AND(ISBLANK(P175),ISBLANK(R175)),"",IF(P175&lt;0.3*S175,"F",IF(ISBLANK(R175),"",IF(ISTEXT(R175),R175,IF(R175&gt;=0.9*U175,"O",IF(R175&gt;=0.85*U175,"A+",IF(R175&gt;=0.8*U175,"A",IF(R175&gt;=0.7*U175,"B+",IF(R175&gt;=0.6*U175,"B",IF(R175&gt;=0.5*U175,"C",IF(R175&gt;=0.4*U175,"P",IF(R175&lt;0.4*U175,"F",R175))))))))))))))</f>
        <v>F</v>
      </c>
      <c r="N175" s="8">
        <f t="shared" ca="1" si="10"/>
        <v>0</v>
      </c>
      <c r="O175">
        <f ca="1">IF(O174&gt;0,4,"")</f>
        <v>4</v>
      </c>
      <c r="P175" s="1">
        <f ca="1">IF(ISERROR(F168),"",IF(ISTEXT(VLOOKUP(B168,INDIRECT($F$8),6+(O175-1)*3)),(VLOOKUP(B168,INDIRECT($F$8),6+(O175-1)*3)),SUM(VLOOKUP(B168,INDIRECT($F$8),6+(O175-1)*3),IF(W180,W175,0))))</f>
        <v>0</v>
      </c>
      <c r="Q175" s="1">
        <f ca="1">IF(ISERROR(F168),"",VLOOKUP(B168,INDIRECT($F$8),7+(O175-1)*3))</f>
        <v>0</v>
      </c>
      <c r="R175" s="1">
        <f ca="1">IF(ISERROR(F168),"",SUM(P175:Q175))</f>
        <v>0</v>
      </c>
      <c r="S175" s="1">
        <f ca="1">IF(ISERROR(F168),"",VLOOKUP(A168,INDIRECT($F$8),6+(O175-1)*3))</f>
        <v>100</v>
      </c>
      <c r="T175" s="1">
        <f ca="1">IF(ISERROR(F168),"",VLOOKUP(A168,INDIRECT($F$8),7+(O175-1)*3))</f>
        <v>50</v>
      </c>
      <c r="U175" s="1">
        <f ca="1">IF(ISERROR(F168),"",VLOOKUP(A168,INDIRECT($F$8),8+(O175-1)*3))</f>
        <v>150</v>
      </c>
      <c r="V175" s="1" t="str">
        <f ca="1">IF(ISERROR(F168),"",IF(N175=0,A175,""))</f>
        <v>CAT 030</v>
      </c>
      <c r="W175" s="1">
        <f ca="1">IF(ISERROR(F168),"",IF(ISTEXT(VLOOKUP(B168,INDIRECT($F$8),6+(O175-1)*3)),11,IF(VLOOKUP(B168,INDIRECT($F$8),6+(O175-1)*3)&lt;S175*0.3,IF(VLOOKUP(B168,INDIRECT($F$8),8+(O175-1)*3)&lt;U175*0.4,IF(AND(0.4*U175-VLOOKUP(B168,INDIRECT($F$8),8+(O175-1)*3)&lt;=5,0.3*S175-VLOOKUP(B168,INDIRECT($F$8),6+(O175-1)*3)&lt;=5),MAX(0.4*U175-VLOOKUP(B168,INDIRECT($F$8),8+(O175-1)*3),0.3*S175-VLOOKUP(B168,INDIRECT($F$8),6+(O175-1)*3)),11),IF(0.3*S175-VLOOKUP(B168,INDIRECT($F$8),6+(O175-1)*3)&lt;=5,0.3*S175-VLOOKUP(B168,INDIRECT($F$8),6+(O175-1)*3),11)),IF(VLOOKUP(B168,INDIRECT($F$8),8+(O175-1)*3)&lt;U175*0.4,IF(U175*0.4-VLOOKUP(B168,INDIRECT($F$8),8+(O175-1)*3)&lt;=5,U175*0.4-VLOOKUP(B168,INDIRECT($F$8),8+(O175-1)*3),11),0))))</f>
        <v>11</v>
      </c>
      <c r="X175" s="1" t="str">
        <f ca="1">IF(ISERROR(F168),"",IF(W175=0,"",_xlfn.TEXTJOIN("",FALSE," G+",W175," in ",A175)))</f>
        <v xml:space="preserve"> G+11 in CAT 030</v>
      </c>
    </row>
    <row r="176" spans="1:24" ht="12.75" customHeight="1" x14ac:dyDescent="0.2">
      <c r="A176" s="7" t="str">
        <f ca="1">IF(ISERROR(F168),"",VLOOKUP(C168,INDIRECT($F$8),6+(O176-1)*3,0))</f>
        <v>Enroll No.</v>
      </c>
      <c r="B176" s="41">
        <f ca="1">IF(ISERROR(F168),"",VLOOKUP(D168,INDIRECT($F$8),6+(O176-1)*3,0))</f>
        <v>0</v>
      </c>
      <c r="C176" s="41"/>
      <c r="D176" s="41"/>
      <c r="E176" s="41"/>
      <c r="F176" s="7">
        <f ca="1">IF(ISERROR(F168),"",VLOOKUP(E168,INDIRECT($F$8),6+(O176-1)*3,0))</f>
        <v>0</v>
      </c>
      <c r="G176" s="42" t="str">
        <f ca="1">IF(ISERROR(F168),"",_xlfn.TEXTJOIN("/",FALSE,P176,S176))</f>
        <v>UTU/2406100185/0</v>
      </c>
      <c r="H176" s="42"/>
      <c r="I176" s="42" t="str">
        <f ca="1">IF(ISERROR(F168),"",_xlfn.TEXTJOIN("/",FALSE,Q176,T176))</f>
        <v>DIKSHA PHARTYAL/0</v>
      </c>
      <c r="J176" s="42"/>
      <c r="K176" s="42" t="str">
        <f ca="1">IF(ISERROR(F168),"",_xlfn.TEXTJOIN("/",FALSE,R176,U176))</f>
        <v>0/0</v>
      </c>
      <c r="L176" s="42"/>
      <c r="M176" s="7" t="b">
        <f ca="1">IF(ISERROR(F168),"",IF(ISTEXT(P176),IF(P176="A","Ab",IF(P176="D","Dt",IF(P176="UFM","UFM",IF(P176="NA","")))),IF(AND(ISBLANK(P176),ISBLANK(R176)),"",IF(P176&lt;0.3*S176,"F",IF(ISBLANK(R176),"",IF(ISTEXT(R176),R176,IF(R176&gt;=0.9*U176,"O",IF(R176&gt;=0.85*U176,"A+",IF(R176&gt;=0.8*U176,"A",IF(R176&gt;=0.7*U176,"B+",IF(R176&gt;=0.6*U176,"B",IF(R176&gt;=0.5*U176,"C",IF(R176&gt;=0.4*U176,"P",IF(R176&lt;0.4*U176,"F",R176))))))))))))))</f>
        <v>0</v>
      </c>
      <c r="N176" s="8" t="e">
        <f t="shared" ca="1" si="10"/>
        <v>#N/A</v>
      </c>
      <c r="O176" t="b" cm="1">
        <f t="array" aca="1" ref="O176" ca="1">IF(NOT(ISBLANK(INDIRECT("SEM_IV!R"&amp;INT((ROW(O176)-16)/16)+6))),5,IF(NOT(ISBLANK(INDIRECT("SEM_IV!U"&amp;INT((ROW(O176)-16)/16)+6))),6))</f>
        <v>0</v>
      </c>
      <c r="P176" s="1" t="str">
        <f ca="1">IF(ISERROR(F168),"",IF(ISTEXT(VLOOKUP(B168,INDIRECT($F$8),6+(O176-1)*3)),(VLOOKUP(B168,INDIRECT($F$8),6+(O176-1)*3)),SUM(VLOOKUP(B168,INDIRECT($F$8),6+(O176-1)*3),IF(W180,W176,0))))</f>
        <v>UTU/2406100185</v>
      </c>
      <c r="Q176" s="1" t="str">
        <f ca="1">IF(ISERROR(F168),"",VLOOKUP(B168,INDIRECT($F$8),7+(O176-1)*3))</f>
        <v>DIKSHA PHARTYAL</v>
      </c>
      <c r="R176" s="1">
        <f ca="1">IF(ISERROR(F168),"",SUM(P176:Q176))</f>
        <v>0</v>
      </c>
      <c r="S176" s="1">
        <f ca="1">IF(ISERROR(F168),"",VLOOKUP(A168,INDIRECT($F$8),6+(O176-1)*3))</f>
        <v>0</v>
      </c>
      <c r="T176" s="1">
        <f ca="1">IF(ISERROR(F168),"",VLOOKUP(A168,INDIRECT($F$8),7+(O176-1)*3))</f>
        <v>0</v>
      </c>
      <c r="U176" s="1">
        <f ca="1">IF(ISERROR(F168),"",VLOOKUP(A168,INDIRECT($F$8),8+(O176-1)*3))</f>
        <v>0</v>
      </c>
      <c r="V176" s="1" t="e">
        <f ca="1">IF(ISERROR(F168),"",IF(N176=0,A176,""))</f>
        <v>#N/A</v>
      </c>
      <c r="W176" s="1">
        <f ca="1">IF(ISERROR(F168),"",IF(ISTEXT(VLOOKUP(B168,INDIRECT($F$8),6+(O176-1)*3)),11,IF(VLOOKUP(B168,INDIRECT($F$8),6+(O176-1)*3)&lt;S176*0.3,IF(VLOOKUP(B168,INDIRECT($F$8),8+(O176-1)*3)&lt;U176*0.4,IF(AND(0.4*U176-VLOOKUP(B168,INDIRECT($F$8),8+(O176-1)*3)&lt;=5,0.3*S176-VLOOKUP(B168,INDIRECT($F$8),6+(O176-1)*3)&lt;=5),MAX(0.4*U176-VLOOKUP(B168,INDIRECT($F$8),8+(O176-1)*3),0.3*S176-VLOOKUP(B168,INDIRECT($F$8),6+(O176-1)*3)),11),IF(0.3*S176-VLOOKUP(B168,INDIRECT($F$8),6+(O176-1)*3)&lt;=5,0.3*S176-VLOOKUP(B168,INDIRECT($F$8),6+(O176-1)*3),11)),IF(VLOOKUP(B168,INDIRECT($F$8),8+(O176-1)*3)&lt;U176*0.4,IF(U176*0.4-VLOOKUP(B168,INDIRECT($F$8),8+(O176-1)*3)&lt;=5,U176*0.4-VLOOKUP(B168,INDIRECT($F$8),8+(O176-1)*3),11),0))))</f>
        <v>11</v>
      </c>
      <c r="X176" s="1" t="str">
        <f ca="1">IF(ISERROR(F168),"",IF(W176=0,"",_xlfn.TEXTJOIN("",FALSE," G+",W176," in ",A176)))</f>
        <v xml:space="preserve"> G+11 in Enroll No.</v>
      </c>
    </row>
    <row r="177" spans="1:24" ht="12.75" customHeight="1" x14ac:dyDescent="0.2">
      <c r="A177" s="7" t="str">
        <f ca="1">IF(ISERROR(F168),"",VLOOKUP(C168,INDIRECT($F$8),6+(O177-1)*3,0))</f>
        <v>CAP 011</v>
      </c>
      <c r="B177" s="41" t="str">
        <f ca="1">IF(ISERROR(F168),"",VLOOKUP(D168,INDIRECT($F$8),6+(O177-1)*3,0))</f>
        <v>Network Security Lab</v>
      </c>
      <c r="C177" s="41"/>
      <c r="D177" s="41"/>
      <c r="E177" s="41"/>
      <c r="F177" s="7">
        <f ca="1">IF(ISERROR(F168),"",VLOOKUP(E168,INDIRECT($F$8),6+(O177-1)*3,0))</f>
        <v>1</v>
      </c>
      <c r="G177" s="42" t="str">
        <f ca="1">IF(ISERROR(F168),"",_xlfn.TEXTJOIN("/",FALSE,P177,S177))</f>
        <v>0/30</v>
      </c>
      <c r="H177" s="42"/>
      <c r="I177" s="42" t="str">
        <f ca="1">IF(ISERROR(F168),"",_xlfn.TEXTJOIN("/",FALSE,Q177,T177))</f>
        <v>0/20</v>
      </c>
      <c r="J177" s="42"/>
      <c r="K177" s="42" t="str">
        <f ca="1">IF(ISERROR(F168),"",_xlfn.TEXTJOIN("/",FALSE,R177,U177))</f>
        <v>0/50</v>
      </c>
      <c r="L177" s="42"/>
      <c r="M177" s="7" t="str">
        <f ca="1">IF(ISERROR(F168),"",IF(ISTEXT(P177),IF(P177="A","Ab",IF(P177="D","Dt",IF(P177="UFM","UFM",IF(P177="NA","")))),IF(AND(ISBLANK(P177),ISBLANK(R177)),"",IF(P177&lt;0.3*S177,"F",IF(ISBLANK(R177),"",IF(ISTEXT(R177),R177,IF(R177&gt;=0.9*U177,"O",IF(R177&gt;=0.85*U177,"A+",IF(R177&gt;=0.8*U177,"A",IF(R177&gt;=0.7*U177,"B+",IF(R177&gt;=0.6*U177,"B",IF(R177&gt;=0.5*U177,"C",IF(R177&gt;=0.4*U177,"P",IF(R177&lt;0.4*U177,"F",R177))))))))))))))</f>
        <v>F</v>
      </c>
      <c r="N177" s="8">
        <f t="shared" ca="1" si="10"/>
        <v>0</v>
      </c>
      <c r="O177">
        <f ca="1">IF(O176&gt;0,7,"")</f>
        <v>7</v>
      </c>
      <c r="P177" s="1">
        <f ca="1">IF(ISERROR(F168),"",IF(ISTEXT(VLOOKUP(B168,INDIRECT($F$8),6+(O177-1)*3)),(VLOOKUP(B168,INDIRECT($F$8),6+(O177-1)*3)),SUM(VLOOKUP(B168,INDIRECT($F$8),6+(O177-1)*3),IF(W180,W177,0))))</f>
        <v>0</v>
      </c>
      <c r="Q177" s="1">
        <f ca="1">IF(ISERROR(F168),"",VLOOKUP(B168,INDIRECT($F$8),7+(O177-1)*3))</f>
        <v>0</v>
      </c>
      <c r="R177" s="1">
        <f ca="1">IF(ISERROR(F168),"",SUM(P177:Q177))</f>
        <v>0</v>
      </c>
      <c r="S177" s="1">
        <f ca="1">IF(ISERROR(F168),"",VLOOKUP(A168,INDIRECT($F$8),6+(O177-1)*3))</f>
        <v>30</v>
      </c>
      <c r="T177" s="1">
        <f ca="1">IF(ISERROR(F168),"",VLOOKUP(A168,INDIRECT($F$8),7+(O177-1)*3))</f>
        <v>20</v>
      </c>
      <c r="U177" s="1">
        <f ca="1">IF(ISERROR(F168),"",VLOOKUP(A168,INDIRECT($F$8),8+(O177-1)*3))</f>
        <v>50</v>
      </c>
      <c r="V177" s="1" t="str">
        <f ca="1">IF(ISERROR(F168),"",IF(N177=0,A177,""))</f>
        <v>CAP 011</v>
      </c>
      <c r="W177" s="1">
        <f ca="1">IF(ISERROR(F168),"",IF(ISTEXT(VLOOKUP(B168,INDIRECT($F$8),6+(O177-1)*3)),11,IF(VLOOKUP(B168,INDIRECT($F$8),6+(O177-1)*3)&lt;S177*0.3,IF(VLOOKUP(B168,INDIRECT($F$8),8+(O177-1)*3)&lt;U177*0.4,IF(AND(0.4*U177-VLOOKUP(B168,INDIRECT($F$8),8+(O177-1)*3)&lt;=5,0.3*S177-VLOOKUP(B168,INDIRECT($F$8),6+(O177-1)*3)&lt;=5),MAX(0.4*U177-VLOOKUP(B168,INDIRECT($F$8),8+(O177-1)*3),0.3*S177-VLOOKUP(B168,INDIRECT($F$8),6+(O177-1)*3)),11),IF(0.3*S177-VLOOKUP(B168,INDIRECT($F$8),6+(O177-1)*3)&lt;=5,0.3*S177-VLOOKUP(B168,INDIRECT($F$8),6+(O177-1)*3),11)),IF(VLOOKUP(B168,INDIRECT($F$8),8+(O177-1)*3)&lt;U177*0.4,IF(U177*0.4-VLOOKUP(B168,INDIRECT($F$8),8+(O177-1)*3)&lt;=5,U177*0.4-VLOOKUP(B168,INDIRECT($F$8),8+(O177-1)*3),11),0))))</f>
        <v>11</v>
      </c>
      <c r="X177" s="1" t="str">
        <f ca="1">IF(ISERROR(F168),"",IF(W177=0,"",_xlfn.TEXTJOIN("",FALSE," G+",W177," in ",A177)))</f>
        <v xml:space="preserve"> G+11 in CAP 011</v>
      </c>
    </row>
    <row r="178" spans="1:24" ht="12.75" customHeight="1" x14ac:dyDescent="0.2">
      <c r="A178" s="7" t="str">
        <f ca="1">IF(ISERROR(F168),"",VLOOKUP(C168,INDIRECT($F$8),6+(O178-1)*3,0))</f>
        <v>Enroll No.</v>
      </c>
      <c r="B178" s="41">
        <f ca="1">IF(ISERROR(F168),"",VLOOKUP(D168,INDIRECT($F$8),6+(O178-1)*3,0))</f>
        <v>0</v>
      </c>
      <c r="C178" s="41"/>
      <c r="D178" s="41"/>
      <c r="E178" s="41"/>
      <c r="F178" s="7">
        <f ca="1">IF(ISERROR(F168),"",VLOOKUP(E168,INDIRECT($F$8),6+(O178-1)*3,0))</f>
        <v>0</v>
      </c>
      <c r="G178" s="42" t="str">
        <f ca="1">IF(ISERROR(F168),"",_xlfn.TEXTJOIN("/",FALSE,P178,S178))</f>
        <v>UTU/2406100185/0</v>
      </c>
      <c r="H178" s="42"/>
      <c r="I178" s="42" t="str">
        <f ca="1">IF(ISERROR(F168),"",_xlfn.TEXTJOIN("/",FALSE,Q178,T178))</f>
        <v>DIKSHA PHARTYAL/0</v>
      </c>
      <c r="J178" s="42"/>
      <c r="K178" s="42" t="str">
        <f ca="1">IF(ISERROR(F168),"",_xlfn.TEXTJOIN("/",FALSE,R178,U178))</f>
        <v>0/0</v>
      </c>
      <c r="L178" s="42"/>
      <c r="M178" s="7" t="b">
        <f ca="1">IF(ISERROR(F168),"",IF(ISTEXT(P178),IF(P178="A","Ab",IF(P178="D","Dt",IF(P178="UFM","UFM",IF(P178="NA","")))),IF(AND(ISBLANK(P178),ISBLANK(R178)),"",IF(P178&lt;0.3*S178,"F",IF(ISBLANK(R178),"",IF(ISTEXT(R178),R178,IF(R178&gt;=0.9*U178,"O",IF(R178&gt;=0.85*U178,"A+",IF(R178&gt;=0.8*U178,"A",IF(R178&gt;=0.7*U178,"B+",IF(R178&gt;=0.6*U178,"B",IF(R178&gt;=0.5*U178,"C",IF(R178&gt;=0.4*U178,"P",IF(R178&lt;0.4*U178,"F",R178))))))))))))))</f>
        <v>0</v>
      </c>
      <c r="N178" s="8" t="e">
        <f t="shared" ca="1" si="10"/>
        <v>#N/A</v>
      </c>
      <c r="O178" t="b" cm="1">
        <f t="array" aca="1" ref="O178" ca="1">IF(NOT(ISBLANK(INDIRECT("SEM_IV!AA"&amp;INT((ROW(O178)-18)/16)+6))),8,IF(NOT(ISBLANK(INDIRECT("SEM_IV!AD"&amp;INT((ROW(O178)-18)/16)+6))),9))</f>
        <v>0</v>
      </c>
      <c r="P178" s="1" t="str">
        <f ca="1">IF(ISERROR(F168),"",IF(ISTEXT(VLOOKUP(B168,INDIRECT($F$8),6+(O178-1)*3)),(VLOOKUP(B168,INDIRECT($F$8),6+(O178-1)*3)),SUM(VLOOKUP(B168,INDIRECT($F$8),6+(O178-1)*3),IF(W180,W178,0))))</f>
        <v>UTU/2406100185</v>
      </c>
      <c r="Q178" s="1" t="str">
        <f ca="1">IF(ISERROR(F168),"",VLOOKUP(B168,INDIRECT($F$8),7+(O178-1)*3))</f>
        <v>DIKSHA PHARTYAL</v>
      </c>
      <c r="R178" s="1">
        <f ca="1">IF(ISERROR(F168),"",SUM(P178:Q178))</f>
        <v>0</v>
      </c>
      <c r="S178" s="1">
        <f ca="1">IF(ISERROR(F168),"",VLOOKUP(A168,INDIRECT($F$8),6+(O178-1)*3))</f>
        <v>0</v>
      </c>
      <c r="T178" s="1">
        <f ca="1">IF(ISERROR(F168),"",VLOOKUP(A168,INDIRECT($F$8),7+(O178-1)*3))</f>
        <v>0</v>
      </c>
      <c r="U178" s="1">
        <f ca="1">IF(ISERROR(F168),"",VLOOKUP(A168,INDIRECT($F$8),8+(O178-1)*3))</f>
        <v>0</v>
      </c>
      <c r="V178" s="1" t="e">
        <f ca="1">IF(ISERROR(F168),"",IF(N178=0,A178,""))</f>
        <v>#N/A</v>
      </c>
      <c r="W178" s="1">
        <f ca="1">IF(ISERROR(F168),"",IF(ISTEXT(VLOOKUP(B168,INDIRECT($F$8),6+(O178-1)*3)),11,IF(VLOOKUP(B168,INDIRECT($F$8),6+(O178-1)*3)&lt;S178*0.3,IF(VLOOKUP(B168,INDIRECT($F$8),8+(O178-1)*3)&lt;U178*0.4,IF(AND(0.4*U178-VLOOKUP(B168,INDIRECT($F$8),8+(O178-1)*3)&lt;=5,0.3*S178-VLOOKUP(B168,INDIRECT($F$8),6+(O178-1)*3)&lt;=5),MAX(0.4*U178-VLOOKUP(B168,INDIRECT($F$8),8+(O178-1)*3),0.3*S178-VLOOKUP(B168,INDIRECT($F$8),6+(O178-1)*3)),11),IF(0.3*S178-VLOOKUP(B168,INDIRECT($F$8),6+(O178-1)*3)&lt;=5,0.3*S178-VLOOKUP(B168,INDIRECT($F$8),6+(O178-1)*3),11)),IF(VLOOKUP(B168,INDIRECT($F$8),8+(O178-1)*3)&lt;U178*0.4,IF(U178*0.4-VLOOKUP(B168,INDIRECT($F$8),8+(O178-1)*3)&lt;=5,U178*0.4-VLOOKUP(B168,INDIRECT($F$8),8+(O178-1)*3),11),0))))</f>
        <v>11</v>
      </c>
      <c r="X178" s="1" t="str">
        <f ca="1">IF(ISERROR(F168),"",IF(W178=0,"",_xlfn.TEXTJOIN("",FALSE," G+",W178," in ",A178)))</f>
        <v xml:space="preserve"> G+11 in Enroll No.</v>
      </c>
    </row>
    <row r="179" spans="1:24" ht="12.75" customHeight="1" x14ac:dyDescent="0.2">
      <c r="A179" s="7" t="str">
        <f ca="1">IF(ISERROR(F168),"",VLOOKUP(C168,INDIRECT($F$8),6+(O179-1)*3,0))</f>
        <v>CAP 013</v>
      </c>
      <c r="B179" s="41" t="str">
        <f ca="1">IF(ISERROR(F168),"",VLOOKUP(D168,INDIRECT($F$8),6+(O179-1)*3-Z179,0))</f>
        <v>Major Project</v>
      </c>
      <c r="C179" s="41"/>
      <c r="D179" s="41"/>
      <c r="E179" s="41"/>
      <c r="F179" s="7">
        <f ca="1">IF(ISERROR(F168),"",VLOOKUP(E168,INDIRECT($F$8),6+(O179-1)*3,0))</f>
        <v>6</v>
      </c>
      <c r="G179" s="42" t="str">
        <f ca="1">IF(ISERROR(F168),"",_xlfn.TEXTJOIN("/",FALSE,P179,S179))</f>
        <v>0/200</v>
      </c>
      <c r="H179" s="42"/>
      <c r="I179" s="42" t="str">
        <f ca="1">IF(ISERROR(F168),"",_xlfn.TEXTJOIN("/",FALSE,Q179,T179))</f>
        <v>0/100</v>
      </c>
      <c r="J179" s="42"/>
      <c r="K179" s="42" t="str">
        <f ca="1">IF(ISERROR(F168),"",_xlfn.TEXTJOIN("/",FALSE,R179,U179))</f>
        <v>0/300</v>
      </c>
      <c r="L179" s="42"/>
      <c r="M179" s="7" t="str">
        <f ca="1">IF(ISERROR(F168),"",IF(ISTEXT(P179),IF(P179="A","Ab",IF(P179="D","Dt",IF(P179="UFM","UFM",IF(P179="NA","")))),IF(AND(ISBLANK(P179),ISBLANK(R179)),"",IF(P179&lt;0.3*S179,"F",IF(ISBLANK(R179),"",IF(ISTEXT(R179),R179,IF(R179&gt;=0.9*U179,"O",IF(R179&gt;=0.85*U179,"A+",IF(R179&gt;=0.8*U179,"A",IF(R179&gt;=0.7*U179,"B+",IF(R179&gt;=0.6*U179,"B",IF(R179&gt;=0.5*U179,"C",IF(R179&gt;=0.4*U179,"P",IF(R179&lt;0.4*U179,"F",R179))))))))))))))</f>
        <v>F</v>
      </c>
      <c r="N179" s="8">
        <f t="shared" ca="1" si="10"/>
        <v>0</v>
      </c>
      <c r="O179">
        <f ca="1">IF(O178&gt;0,10,"")</f>
        <v>10</v>
      </c>
      <c r="P179" s="1">
        <f ca="1">IF(ISERROR(F168),"",IF(ISTEXT(VLOOKUP(B168,INDIRECT($F$8),6+(O179-1)*3)),(VLOOKUP(B168,INDIRECT($F$8),6+(O179-1)*3)),SUM(VLOOKUP(B168,INDIRECT($F$8),6+(O179-1)*3),IF(W180,W179,0))))</f>
        <v>0</v>
      </c>
      <c r="Q179" s="1">
        <f ca="1">IF(ISERROR(F168),"",VLOOKUP(B168,INDIRECT($F$8),7+(O179-1)*3))</f>
        <v>0</v>
      </c>
      <c r="R179" s="1">
        <f ca="1">IF(ISERROR(F168),"",SUM(P179:Q179))</f>
        <v>0</v>
      </c>
      <c r="S179" s="1">
        <f ca="1">IF(ISERROR(F168),"",VLOOKUP(A168,INDIRECT($F$8),6+(O179-1)*3))</f>
        <v>200</v>
      </c>
      <c r="T179" s="1">
        <f ca="1">IF(ISERROR(F168),"",VLOOKUP(A168,INDIRECT($F$8),7+(O179-1)*3))</f>
        <v>100</v>
      </c>
      <c r="U179" s="1">
        <f ca="1">IF(ISERROR(F168),"",VLOOKUP(A168,INDIRECT($F$8),8+(O179-1)*3))</f>
        <v>300</v>
      </c>
      <c r="V179" s="1" t="str">
        <f ca="1">IF(ISERROR(F168),"",IF(N179=0,A179,""))</f>
        <v>CAP 013</v>
      </c>
      <c r="W179" s="1">
        <f ca="1">IF(ISERROR(F168),"",IF(ISTEXT(VLOOKUP(B168,INDIRECT($F$8),6+(O179-1)*3)),11,IF(VLOOKUP(B168,INDIRECT($F$8),6+(O179-1)*3)&lt;S179*0.3,IF(VLOOKUP(B168,INDIRECT($F$8),8+(O179-1)*3)&lt;U179*0.4,IF(AND(0.4*U179-VLOOKUP(B168,INDIRECT($F$8),8+(O179-1)*3)&lt;=5,0.3*S179-VLOOKUP(B168,INDIRECT($F$8),6+(O179-1)*3)&lt;=5),MAX(0.4*U179-VLOOKUP(B168,INDIRECT($F$8),8+(O179-1)*3),0.3*S179-VLOOKUP(B168,INDIRECT($F$8),6+(O179-1)*3)),11),IF(0.3*S179-VLOOKUP(B168,INDIRECT($F$8),6+(O179-1)*3)&lt;=5,0.3*S179-VLOOKUP(B168,INDIRECT($F$8),6+(O179-1)*3),11)),IF(VLOOKUP(B168,INDIRECT($F$8),8+(O179-1)*3)&lt;U179*0.4,IF(U179*0.4-VLOOKUP(B168,INDIRECT($F$8),8+(O179-1)*3)&lt;=5,U179*0.4-VLOOKUP(B168,INDIRECT($F$8),8+(O179-1)*3),11),0))))</f>
        <v>11</v>
      </c>
      <c r="X179" s="1" t="str">
        <f ca="1">IF(ISERROR(F168),"",IF(W179=0,"",_xlfn.TEXTJOIN("",FALSE," G+",W179," in ",A179)))</f>
        <v xml:space="preserve"> G+11 in CAP 013</v>
      </c>
    </row>
    <row r="180" spans="1:24" ht="12.75" customHeight="1" x14ac:dyDescent="0.2">
      <c r="A180" s="43" t="str">
        <f ca="1">IF(ISERROR(F168),"",A164)</f>
        <v>Total Credits/ Marks/ Total Grade Points</v>
      </c>
      <c r="B180" s="43"/>
      <c r="C180" s="43"/>
      <c r="D180" s="43"/>
      <c r="E180" s="43"/>
      <c r="F180" s="10">
        <f ca="1">IF(ISERROR(F168),"",SUM(F173:F179))</f>
        <v>15</v>
      </c>
      <c r="G180" s="44" t="str">
        <f ca="1">IF(ISERROR(F168),"",_xlfn.TEXTJOIN("/",TRUE,SUMIF(F173:F179,"&gt;0",P173:P179),SUMIF(F173:F179,"&gt;0",S173:S179)))</f>
        <v>0/430</v>
      </c>
      <c r="H180" s="44"/>
      <c r="I180" s="44" t="str">
        <f ca="1">IF(ISERROR(F168),"",_xlfn.TEXTJOIN("/",TRUE,SUMIF(F173:F179,"&gt;0",Q173:Q179),SUMIF(F173:F179,"&gt;0",T173:T179)))</f>
        <v>0/220</v>
      </c>
      <c r="J180" s="44"/>
      <c r="K180" s="44" t="str">
        <f ca="1">IF(ISERROR(F168),"",_xlfn.TEXTJOIN("/",TRUE,SUMIF(F173:F179,"&gt;0",R173:R179),SUMIF(F173:F179,"&gt;0",U173:U179)))</f>
        <v>0/650</v>
      </c>
      <c r="L180" s="44"/>
      <c r="M180" s="43" t="e">
        <f ca="1">IF(ISERROR(F168),"",SUMPRODUCT(N173:N179,F173:F179))</f>
        <v>#N/A</v>
      </c>
      <c r="N180" s="43"/>
      <c r="V180" s="1" t="e">
        <f ca="1">IF(ISERROR(F168),"",_xlfn.TEXTJOIN(", ",TRUE,V173:V179))</f>
        <v>#N/A</v>
      </c>
      <c r="W180" t="b">
        <f ca="1">IF(ISERROR(F168),"",IF(SUM(W173:W179)&lt;=W172,TRUE,FALSE))</f>
        <v>0</v>
      </c>
      <c r="X180" s="1" t="str">
        <f ca="1">IF(ISERROR(F168),"",_xlfn.TEXTJOIN(",",TRUE,X173:X179))</f>
        <v xml:space="preserve"> G+11 in CAT 022, G+11 in Enroll No., G+11 in CAT 030, G+11 in Enroll No., G+11 in CAP 011, G+11 in Enroll No., G+11 in CAP 013</v>
      </c>
    </row>
    <row r="181" spans="1:24" ht="12.75" customHeight="1" x14ac:dyDescent="0.2">
      <c r="A181" s="43" t="str">
        <f ca="1">IF(ISERROR(F168),"",A165)</f>
        <v>Result:</v>
      </c>
      <c r="B181" s="45" t="e">
        <f ca="1">IF(ISERROR(F168),"",IF(V180="","PASS","CARRY OVER"))</f>
        <v>#N/A</v>
      </c>
      <c r="C181" s="45"/>
      <c r="D181" s="43" t="str">
        <f ca="1">IF(ISERROR(F168),"",D165)</f>
        <v>Remark:</v>
      </c>
      <c r="E181" s="45" t="e">
        <f ca="1">IF(ISERROR(F168),"",IF(V180="",IF(X180="","",X180),_xlfn.TEXTJOIN(" ",TRUE,"BACK IN",V180)))</f>
        <v>#N/A</v>
      </c>
      <c r="F181" s="45"/>
      <c r="G181" s="43" t="str">
        <f ca="1">IF(ISERROR(F168),"",G165)</f>
        <v>SGPA:</v>
      </c>
      <c r="H181" s="46" t="e">
        <f ca="1">IF(ISERROR(F168),"",M180/F180)</f>
        <v>#N/A</v>
      </c>
      <c r="I181" s="43" t="str">
        <f ca="1">IF(ISERROR(F168),"",I165)</f>
        <v>CGPA:</v>
      </c>
      <c r="J181" s="46" t="e">
        <f ca="1">IF(ISERROR(F168),"",VLOOKUP(B168,INDIRECT($F$8),12+(O179-1)*3,0))</f>
        <v>#N/A</v>
      </c>
      <c r="K181" s="45" t="str">
        <f ca="1">IF(ISERROR(F168),"",K165)</f>
        <v>Earned Credits:</v>
      </c>
      <c r="L181" s="43">
        <f ca="1">IF(ISERROR(F168),"",SUMIF(N173:N179,"&gt;0",F173:F179))</f>
        <v>0</v>
      </c>
      <c r="M181" s="45" t="str">
        <f ca="1">IF(ISERROR(F168),"",M165)</f>
        <v>Cuml. Earned Credits:</v>
      </c>
      <c r="N181" s="43" t="e">
        <f ca="1">IF(ISERROR(F168),"",VLOOKUP(B168,INDIRECT($F$8),10+(O179-1)*3,0))</f>
        <v>#N/A</v>
      </c>
    </row>
    <row r="182" spans="1:24" ht="12.75" customHeight="1" x14ac:dyDescent="0.2">
      <c r="A182" s="43"/>
      <c r="B182" s="45"/>
      <c r="C182" s="45"/>
      <c r="D182" s="43"/>
      <c r="E182" s="45"/>
      <c r="F182" s="45"/>
      <c r="G182" s="43"/>
      <c r="H182" s="46"/>
      <c r="I182" s="43"/>
      <c r="J182" s="46"/>
      <c r="K182" s="45"/>
      <c r="L182" s="43"/>
      <c r="M182" s="45"/>
      <c r="N182" s="43"/>
    </row>
    <row r="183" spans="1:24" ht="12.75" customHeight="1" x14ac:dyDescent="0.2">
      <c r="A183" s="43"/>
      <c r="B183" s="45"/>
      <c r="C183" s="45"/>
      <c r="D183" s="43"/>
      <c r="E183" s="45"/>
      <c r="F183" s="45"/>
      <c r="G183" s="43"/>
      <c r="H183" s="46"/>
      <c r="I183" s="43"/>
      <c r="J183" s="46"/>
      <c r="K183" s="45"/>
      <c r="L183" s="43"/>
      <c r="M183" s="45"/>
      <c r="N183" s="43"/>
    </row>
    <row r="184" spans="1:24" ht="12.75" customHeight="1" x14ac:dyDescent="0.2">
      <c r="A184" s="11" t="str">
        <f>A168</f>
        <v>MM</v>
      </c>
      <c r="B184" s="11">
        <f>B168+1</f>
        <v>12</v>
      </c>
      <c r="C184" s="11" t="str">
        <f>C168</f>
        <v>SC</v>
      </c>
      <c r="D184" s="11" t="str">
        <f>D168</f>
        <v>SN</v>
      </c>
      <c r="E184" s="11" t="str">
        <f>E168</f>
        <v>C</v>
      </c>
      <c r="F184" s="11" t="str">
        <f ca="1">VLOOKUP(B184,INDIRECT($F$8),4,0)</f>
        <v>KAMAL SINGH BISHT</v>
      </c>
    </row>
    <row r="185" spans="1:24" ht="12.75" customHeight="1" x14ac:dyDescent="0.2">
      <c r="A185" s="47" t="str">
        <f ca="1">IF(ISERROR(F184),"",A169)</f>
        <v>Name:</v>
      </c>
      <c r="B185" s="47" t="str">
        <f ca="1">IFERROR(VLOOKUP(B184,INDIRECT($F$8),4,0),"")</f>
        <v>KAMAL SINGH BISHT</v>
      </c>
      <c r="C185" s="47"/>
      <c r="D185" s="47" t="str">
        <f ca="1">IF(ISERROR(F184),"",D169)</f>
        <v>Father's Name:</v>
      </c>
      <c r="E185" s="47" t="str">
        <f ca="1">IFERROR(VLOOKUP(B184,INDIRECT($F$8),5,0),"")</f>
        <v>SHIV SINGH BISHT</v>
      </c>
      <c r="F185" s="47"/>
      <c r="G185" s="47" t="str">
        <f ca="1">IF(ISERROR(F184),"",G169)</f>
        <v>University Roll No:</v>
      </c>
      <c r="H185" s="47"/>
      <c r="I185" s="48">
        <f ca="1">IFERROR(VLOOKUP(B184,INDIRECT($F$8),2,0),"")</f>
        <v>240090600012</v>
      </c>
      <c r="J185" s="48"/>
      <c r="K185" s="47" t="str">
        <f ca="1">IF(ISERROR(F184),"",K169)</f>
        <v>University Enrol. No:</v>
      </c>
      <c r="L185" s="47"/>
      <c r="M185" s="48" t="str">
        <f ca="1">IFERROR(VLOOKUP(B184,INDIRECT($F$8),3,0),"")</f>
        <v>UTU/2406100182</v>
      </c>
      <c r="N185" s="48"/>
    </row>
    <row r="186" spans="1:24" ht="12.75" customHeight="1" x14ac:dyDescent="0.2">
      <c r="A186" s="47"/>
      <c r="B186" s="47"/>
      <c r="C186" s="47"/>
      <c r="D186" s="47"/>
      <c r="E186" s="47"/>
      <c r="F186" s="47"/>
      <c r="G186" s="47"/>
      <c r="H186" s="47"/>
      <c r="I186" s="48"/>
      <c r="J186" s="48"/>
      <c r="K186" s="47"/>
      <c r="L186" s="47"/>
      <c r="M186" s="48"/>
      <c r="N186" s="48"/>
    </row>
    <row r="187" spans="1:24" ht="12.75" customHeight="1" x14ac:dyDescent="0.2">
      <c r="A187" s="45" t="str">
        <f ca="1">IF(ISERROR(F184),"",A171)</f>
        <v>Subject Code</v>
      </c>
      <c r="B187" s="45" t="str">
        <f ca="1">IF(ISERROR(F184),"",B171)</f>
        <v>Subject Name</v>
      </c>
      <c r="C187" s="45"/>
      <c r="D187" s="45"/>
      <c r="E187" s="45"/>
      <c r="F187" s="45" t="str">
        <f ca="1">IF(ISERROR(F184),"",F171)</f>
        <v>Credits</v>
      </c>
      <c r="G187" s="45" t="str">
        <f ca="1">IF(ISERROR(F184),"",G171)</f>
        <v>External Marks</v>
      </c>
      <c r="H187" s="45"/>
      <c r="I187" s="45" t="str">
        <f ca="1">IF(ISERROR(F184),"",I171)</f>
        <v>Sessional Marks</v>
      </c>
      <c r="J187" s="45"/>
      <c r="K187" s="45" t="str">
        <f ca="1">IF(ISERROR(F184),"",K171)</f>
        <v>Total Marks</v>
      </c>
      <c r="L187" s="45"/>
      <c r="M187" s="45" t="str">
        <f ca="1">IF(ISERROR(F184),"",M171)</f>
        <v>Grade</v>
      </c>
      <c r="N187" s="45" t="str">
        <f ca="1">IF(ISERROR(F184),"",N171)</f>
        <v>Grade Points</v>
      </c>
    </row>
    <row r="188" spans="1:24" ht="12.75" customHeight="1" x14ac:dyDescent="0.2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W188">
        <f ca="1">IF(ISNUMBER(MATCH($F$8,{"I","III","V","VII"},0)),10,10-INDEX(INDIRECT(_xlfn.TEXTJOIN("",TRUE,"SEM_",$G$8,"!",ADDRESS(6,4+$I$8*3+4),":",ADDRESS(5+$H$8,4+$I$8*3+4))),MATCH(INDIRECT(_xlfn.TEXTJOIN("",TRUE,"TC_",$F$8,"!",ADDRESS(ROW(I185),COLUMN(I185)))),INDIRECT(_xlfn.TEXTJOIN("",TRUE,"SEM_",$G$8,"!",ADDRESS(6,2),":",ADDRESS(5+$H$8,2))))))</f>
        <v>10</v>
      </c>
    </row>
    <row r="189" spans="1:24" ht="12.75" customHeight="1" x14ac:dyDescent="0.2">
      <c r="A189" s="7" t="str">
        <f ca="1">IF(ISERROR(F184),"",VLOOKUP(C184,INDIRECT($F$8),6+(O189-1)*3,0))</f>
        <v>CAT 022</v>
      </c>
      <c r="B189" s="41" t="str">
        <f ca="1">IF(ISERROR(F184),"",VLOOKUP(D184,INDIRECT($F$8),6+(O189-1)*3,0))</f>
        <v>Network Security</v>
      </c>
      <c r="C189" s="41"/>
      <c r="D189" s="41"/>
      <c r="E189" s="41"/>
      <c r="F189" s="7">
        <f ca="1">IF(ISERROR(F184),"",VLOOKUP(E184,INDIRECT($F$8),6+(O189-1)*3,0))</f>
        <v>4</v>
      </c>
      <c r="G189" s="42" t="str">
        <f ca="1">IF(ISERROR(F184),"",_xlfn.TEXTJOIN("/",FALSE,P189,S189))</f>
        <v>0/100</v>
      </c>
      <c r="H189" s="42"/>
      <c r="I189" s="42" t="str">
        <f ca="1">IF(ISERROR(F184),"",_xlfn.TEXTJOIN("/",FALSE,Q189,T189))</f>
        <v>0/50</v>
      </c>
      <c r="J189" s="42"/>
      <c r="K189" s="42" t="str">
        <f ca="1">IF(ISERROR(F184),"",_xlfn.TEXTJOIN("/",FALSE,R189,U189))</f>
        <v>0/150</v>
      </c>
      <c r="L189" s="42"/>
      <c r="M189" s="7" t="str">
        <f ca="1">IF(ISERROR(F184),"",IF(ISTEXT(P189),IF(P189="A","Ab",IF(P189="D","Dt",IF(P189="UFM","UFM",IF(P189="NA","")))),IF(AND(ISBLANK(P189),ISBLANK(R189)),"",IF(P189&lt;0.3*S189,"F",IF(ISBLANK(R189),"",IF(ISTEXT(R189),R189,IF(R189&gt;=0.9*U189,"O",IF(R189&gt;=0.85*U189,"A+",IF(R189&gt;=0.8*U189,"A",IF(R189&gt;=0.7*U189,"B+",IF(R189&gt;=0.6*U189,"B",IF(R189&gt;=0.5*U189,"C",IF(R189&gt;=0.4*U189,"P",IF(R189&lt;0.4*U189,"F",R189))))))))))))))</f>
        <v>F</v>
      </c>
      <c r="N189" s="8">
        <f t="shared" ref="N189:N195" ca="1" si="11">INDEX($Z$2:$Z$13,MATCH(M189,$Y$2:$Y$13,0))</f>
        <v>0</v>
      </c>
      <c r="O189">
        <v>1</v>
      </c>
      <c r="P189" s="1">
        <f ca="1">IF(ISERROR(F184),"",IF(ISTEXT(VLOOKUP(B184,INDIRECT($F$8),6+(O189-1)*3)),(VLOOKUP(B184,INDIRECT($F$8),6+(O189-1)*3)),SUM(VLOOKUP(B184,INDIRECT($F$8),6+(O189-1)*3),IF(W196,W189,0))))</f>
        <v>0</v>
      </c>
      <c r="Q189" s="1">
        <f ca="1">IF(ISERROR(F184),"",VLOOKUP(B184,INDIRECT($F$8),7+(O189-1)*3))</f>
        <v>0</v>
      </c>
      <c r="R189" s="1">
        <f ca="1">IF(ISERROR(F184),"",SUM(P189:Q189))</f>
        <v>0</v>
      </c>
      <c r="S189" s="1">
        <f ca="1">IF(ISERROR(F184),"",VLOOKUP(A184,INDIRECT($F$8),6+(O189-1)*3))</f>
        <v>100</v>
      </c>
      <c r="T189" s="1">
        <f ca="1">IF(ISERROR(F184),"",VLOOKUP(A184,INDIRECT($F$8),7+(O189-1)*3))</f>
        <v>50</v>
      </c>
      <c r="U189" s="1">
        <f ca="1">IF(ISERROR(F184),"",VLOOKUP(A184,INDIRECT($F$8),8+(O189-1)*3))</f>
        <v>150</v>
      </c>
      <c r="V189" s="1" t="str">
        <f ca="1">IF(ISERROR(F184),"",IF(N189=0,A189,""))</f>
        <v>CAT 022</v>
      </c>
      <c r="W189" s="1">
        <f ca="1">IF(ISERROR(F184),"",IF(ISTEXT(VLOOKUP(B184,INDIRECT($F$8),6+(O189-1)*3)),11,IF(VLOOKUP(B184,INDIRECT($F$8),6+(O189-1)*3)&lt;S189*0.3,IF(VLOOKUP(B184,INDIRECT($F$8),8+(O189-1)*3)&lt;U189*0.4,IF(AND(0.4*U189-VLOOKUP(B184,INDIRECT($F$8),8+(O189-1)*3)&lt;=5,0.3*S189-VLOOKUP(B184,INDIRECT($F$8),6+(O189-1)*3)&lt;=5),MAX(0.4*U189-VLOOKUP(B184,INDIRECT($F$8),8+(O189-1)*3),0.3*S189-VLOOKUP(B184,INDIRECT($F$8),6+(O189-1)*3)),11),IF(0.3*S189-VLOOKUP(B184,INDIRECT($F$8),6+(O189-1)*3)&lt;=5,0.3*S189-VLOOKUP(B184,INDIRECT($F$8),6+(O189-1)*3),11)),IF(VLOOKUP(B184,INDIRECT($F$8),8+(O189-1)*3)&lt;U189*0.4,IF(U189*0.4-VLOOKUP(B184,INDIRECT($F$8),8+(O189-1)*3)&lt;=5,U189*0.4-VLOOKUP(B184,INDIRECT($F$8),8+(O189-1)*3),11),0))))</f>
        <v>11</v>
      </c>
      <c r="X189" s="1" t="str">
        <f ca="1">IF(ISERROR(F184),"",IF(W189=0,"",_xlfn.TEXTJOIN("",FALSE," G+",W189," in ",A189)))</f>
        <v xml:space="preserve"> G+11 in CAT 022</v>
      </c>
    </row>
    <row r="190" spans="1:24" ht="12.75" customHeight="1" x14ac:dyDescent="0.2">
      <c r="A190" s="7" t="str">
        <f ca="1">IF(ISERROR(F184),"",VLOOKUP(C184,INDIRECT($F$8),6+(O190-1)*3,0))</f>
        <v>Enroll No.</v>
      </c>
      <c r="B190" s="41">
        <f ca="1">IF(ISERROR(F184),"",VLOOKUP(D184,INDIRECT($F$8),6+(O190-1)*3,0))</f>
        <v>0</v>
      </c>
      <c r="C190" s="41"/>
      <c r="D190" s="41"/>
      <c r="E190" s="41"/>
      <c r="F190" s="7">
        <f ca="1">IF(ISERROR(F184),"",VLOOKUP(E184,INDIRECT($F$8),6+(O190-1)*3,0))</f>
        <v>0</v>
      </c>
      <c r="G190" s="42" t="str">
        <f ca="1">IF(ISERROR(F184),"",_xlfn.TEXTJOIN("/",FALSE,P190,S190))</f>
        <v>UTU/2406100182/0</v>
      </c>
      <c r="H190" s="42"/>
      <c r="I190" s="42" t="str">
        <f ca="1">IF(ISERROR(F184),"",_xlfn.TEXTJOIN("/",FALSE,Q190,T190))</f>
        <v>KAMAL SINGH BISHT/0</v>
      </c>
      <c r="J190" s="42"/>
      <c r="K190" s="42" t="str">
        <f ca="1">IF(ISERROR(F184),"",_xlfn.TEXTJOIN("/",FALSE,R190,U190))</f>
        <v>0/0</v>
      </c>
      <c r="L190" s="42"/>
      <c r="M190" s="7" t="b">
        <f ca="1">IF(ISERROR(F184),"",IF(ISTEXT(P190),IF(P190="A","Ab",IF(P190="D","Dt",IF(P190="UFM","UFM",IF(P190="NA","")))),IF(AND(ISBLANK(P190),ISBLANK(R190)),"",IF(P190&lt;0.3*S190,"F",IF(ISBLANK(R190),"",IF(ISTEXT(R190),R190,IF(R190&gt;=0.9*U190,"O",IF(R190&gt;=0.85*U190,"A+",IF(R190&gt;=0.8*U190,"A",IF(R190&gt;=0.7*U190,"B+",IF(R190&gt;=0.6*U190,"B",IF(R190&gt;=0.5*U190,"C",IF(R190&gt;=0.4*U190,"P",IF(R190&lt;0.4*U190,"F",R190))))))))))))))</f>
        <v>0</v>
      </c>
      <c r="N190" s="8" t="e">
        <f t="shared" ca="1" si="11"/>
        <v>#N/A</v>
      </c>
      <c r="O190" t="b" cm="1">
        <f t="array" aca="1" ref="O190" ca="1">IF(NOT(ISBLANK(INDIRECT("SEM_IV!I"&amp;INT((ROW(O190)-14)/16)+6))),2,IF(NOT(ISBLANK(INDIRECT("SEM_IV!L"&amp;INT((ROW(O190)-14)/16)+6))),3))</f>
        <v>0</v>
      </c>
      <c r="P190" s="1" t="str">
        <f ca="1">IF(ISERROR(F184),"",IF(ISTEXT(VLOOKUP(B184,INDIRECT($F$8),6+(O190-1)*3)),(VLOOKUP(B184,INDIRECT($F$8),6+(O190-1)*3)),SUM(VLOOKUP(B184,INDIRECT($F$8),6+(O190-1)*3),IF(W196,W190,0))))</f>
        <v>UTU/2406100182</v>
      </c>
      <c r="Q190" s="1" t="str">
        <f ca="1">IF(ISERROR(F184),"",VLOOKUP(B184,INDIRECT($F$8),7+(O190-1)*3))</f>
        <v>KAMAL SINGH BISHT</v>
      </c>
      <c r="R190" s="1">
        <f ca="1">IF(ISERROR(F184),"",SUM(P190:Q190))</f>
        <v>0</v>
      </c>
      <c r="S190" s="1">
        <f ca="1">IF(ISERROR(F184),"",VLOOKUP(A184,INDIRECT($F$8),6+(O190-1)*3))</f>
        <v>0</v>
      </c>
      <c r="T190" s="1">
        <f ca="1">IF(ISERROR(F184),"",VLOOKUP(A184,INDIRECT($F$8),7+(O190-1)*3))</f>
        <v>0</v>
      </c>
      <c r="U190" s="1">
        <f ca="1">IF(ISERROR(F184),"",VLOOKUP(A184,INDIRECT($F$8),8+(O190-1)*3))</f>
        <v>0</v>
      </c>
      <c r="V190" s="1" t="e">
        <f ca="1">IF(ISERROR(F184),"",IF(N190=0,A190,""))</f>
        <v>#N/A</v>
      </c>
      <c r="W190" s="1">
        <f ca="1">IF(ISERROR(F184),"",IF(ISTEXT(VLOOKUP(B184,INDIRECT($F$8),6+(O190-1)*3)),11,IF(VLOOKUP(B184,INDIRECT($F$8),6+(O190-1)*3)&lt;S190*0.3,IF(VLOOKUP(B184,INDIRECT($F$8),8+(O190-1)*3)&lt;U190*0.4,IF(AND(0.4*U190-VLOOKUP(B184,INDIRECT($F$8),8+(O190-1)*3)&lt;=5,0.3*S190-VLOOKUP(B184,INDIRECT($F$8),6+(O190-1)*3)&lt;=5),MAX(0.4*U190-VLOOKUP(B184,INDIRECT($F$8),8+(O190-1)*3),0.3*S190-VLOOKUP(B184,INDIRECT($F$8),6+(O190-1)*3)),11),IF(0.3*S190-VLOOKUP(B184,INDIRECT($F$8),6+(O190-1)*3)&lt;=5,0.3*S190-VLOOKUP(B184,INDIRECT($F$8),6+(O190-1)*3),11)),IF(VLOOKUP(B184,INDIRECT($F$8),8+(O190-1)*3)&lt;U190*0.4,IF(U190*0.4-VLOOKUP(B184,INDIRECT($F$8),8+(O190-1)*3)&lt;=5,U190*0.4-VLOOKUP(B184,INDIRECT($F$8),8+(O190-1)*3),11),0))))</f>
        <v>11</v>
      </c>
      <c r="X190" s="1" t="str">
        <f ca="1">IF(ISERROR(F184),"",IF(W190=0,"",_xlfn.TEXTJOIN("",FALSE," G+",W190," in ",A190)))</f>
        <v xml:space="preserve"> G+11 in Enroll No.</v>
      </c>
    </row>
    <row r="191" spans="1:24" ht="12.75" customHeight="1" x14ac:dyDescent="0.2">
      <c r="A191" s="7" t="str">
        <f ca="1">IF(ISERROR(F184),"",VLOOKUP(C184,INDIRECT($F$8),6+(O191-1)*3,0))</f>
        <v>CAT 030</v>
      </c>
      <c r="B191" s="41" t="str">
        <f ca="1">IF(ISERROR(F184),"",VLOOKUP(D184,INDIRECT($F$8),6+(O191-1)*3,0))</f>
        <v>Software Testing &amp; Quality Assurance</v>
      </c>
      <c r="C191" s="41"/>
      <c r="D191" s="41"/>
      <c r="E191" s="41"/>
      <c r="F191" s="7">
        <f ca="1">IF(ISERROR(F184),"",VLOOKUP(E184,INDIRECT($F$8),6+(O191-1)*3,0))</f>
        <v>4</v>
      </c>
      <c r="G191" s="42" t="str">
        <f ca="1">IF(ISERROR(F184),"",_xlfn.TEXTJOIN("/",FALSE,P191,S191))</f>
        <v>0/100</v>
      </c>
      <c r="H191" s="42"/>
      <c r="I191" s="42" t="str">
        <f ca="1">IF(ISERROR(F184),"",_xlfn.TEXTJOIN("/",FALSE,Q191,T191))</f>
        <v>0/50</v>
      </c>
      <c r="J191" s="42"/>
      <c r="K191" s="42" t="str">
        <f ca="1">IF(ISERROR(F184),"",_xlfn.TEXTJOIN("/",FALSE,R191,U191))</f>
        <v>0/150</v>
      </c>
      <c r="L191" s="42"/>
      <c r="M191" s="7" t="str">
        <f ca="1">IF(ISERROR(F184),"",IF(ISTEXT(P191),IF(P191="A","Ab",IF(P191="D","Dt",IF(P191="UFM","UFM",IF(P191="NA","")))),IF(AND(ISBLANK(P191),ISBLANK(R191)),"",IF(P191&lt;0.3*S191,"F",IF(ISBLANK(R191),"",IF(ISTEXT(R191),R191,IF(R191&gt;=0.9*U191,"O",IF(R191&gt;=0.85*U191,"A+",IF(R191&gt;=0.8*U191,"A",IF(R191&gt;=0.7*U191,"B+",IF(R191&gt;=0.6*U191,"B",IF(R191&gt;=0.5*U191,"C",IF(R191&gt;=0.4*U191,"P",IF(R191&lt;0.4*U191,"F",R191))))))))))))))</f>
        <v>F</v>
      </c>
      <c r="N191" s="8">
        <f t="shared" ca="1" si="11"/>
        <v>0</v>
      </c>
      <c r="O191">
        <f ca="1">IF(O190&gt;0,4,"")</f>
        <v>4</v>
      </c>
      <c r="P191" s="1">
        <f ca="1">IF(ISERROR(F184),"",IF(ISTEXT(VLOOKUP(B184,INDIRECT($F$8),6+(O191-1)*3)),(VLOOKUP(B184,INDIRECT($F$8),6+(O191-1)*3)),SUM(VLOOKUP(B184,INDIRECT($F$8),6+(O191-1)*3),IF(W196,W191,0))))</f>
        <v>0</v>
      </c>
      <c r="Q191" s="1">
        <f ca="1">IF(ISERROR(F184),"",VLOOKUP(B184,INDIRECT($F$8),7+(O191-1)*3))</f>
        <v>0</v>
      </c>
      <c r="R191" s="1">
        <f ca="1">IF(ISERROR(F184),"",SUM(P191:Q191))</f>
        <v>0</v>
      </c>
      <c r="S191" s="1">
        <f ca="1">IF(ISERROR(F184),"",VLOOKUP(A184,INDIRECT($F$8),6+(O191-1)*3))</f>
        <v>100</v>
      </c>
      <c r="T191" s="1">
        <f ca="1">IF(ISERROR(F184),"",VLOOKUP(A184,INDIRECT($F$8),7+(O191-1)*3))</f>
        <v>50</v>
      </c>
      <c r="U191" s="1">
        <f ca="1">IF(ISERROR(F184),"",VLOOKUP(A184,INDIRECT($F$8),8+(O191-1)*3))</f>
        <v>150</v>
      </c>
      <c r="V191" s="1" t="str">
        <f ca="1">IF(ISERROR(F184),"",IF(N191=0,A191,""))</f>
        <v>CAT 030</v>
      </c>
      <c r="W191" s="1">
        <f ca="1">IF(ISERROR(F184),"",IF(ISTEXT(VLOOKUP(B184,INDIRECT($F$8),6+(O191-1)*3)),11,IF(VLOOKUP(B184,INDIRECT($F$8),6+(O191-1)*3)&lt;S191*0.3,IF(VLOOKUP(B184,INDIRECT($F$8),8+(O191-1)*3)&lt;U191*0.4,IF(AND(0.4*U191-VLOOKUP(B184,INDIRECT($F$8),8+(O191-1)*3)&lt;=5,0.3*S191-VLOOKUP(B184,INDIRECT($F$8),6+(O191-1)*3)&lt;=5),MAX(0.4*U191-VLOOKUP(B184,INDIRECT($F$8),8+(O191-1)*3),0.3*S191-VLOOKUP(B184,INDIRECT($F$8),6+(O191-1)*3)),11),IF(0.3*S191-VLOOKUP(B184,INDIRECT($F$8),6+(O191-1)*3)&lt;=5,0.3*S191-VLOOKUP(B184,INDIRECT($F$8),6+(O191-1)*3),11)),IF(VLOOKUP(B184,INDIRECT($F$8),8+(O191-1)*3)&lt;U191*0.4,IF(U191*0.4-VLOOKUP(B184,INDIRECT($F$8),8+(O191-1)*3)&lt;=5,U191*0.4-VLOOKUP(B184,INDIRECT($F$8),8+(O191-1)*3),11),0))))</f>
        <v>11</v>
      </c>
      <c r="X191" s="1" t="str">
        <f ca="1">IF(ISERROR(F184),"",IF(W191=0,"",_xlfn.TEXTJOIN("",FALSE," G+",W191," in ",A191)))</f>
        <v xml:space="preserve"> G+11 in CAT 030</v>
      </c>
    </row>
    <row r="192" spans="1:24" ht="12.75" customHeight="1" x14ac:dyDescent="0.2">
      <c r="A192" s="7" t="str">
        <f ca="1">IF(ISERROR(F184),"",VLOOKUP(C184,INDIRECT($F$8),6+(O192-1)*3,0))</f>
        <v>Enroll No.</v>
      </c>
      <c r="B192" s="41">
        <f ca="1">IF(ISERROR(F184),"",VLOOKUP(D184,INDIRECT($F$8),6+(O192-1)*3,0))</f>
        <v>0</v>
      </c>
      <c r="C192" s="41"/>
      <c r="D192" s="41"/>
      <c r="E192" s="41"/>
      <c r="F192" s="7">
        <f ca="1">IF(ISERROR(F184),"",VLOOKUP(E184,INDIRECT($F$8),6+(O192-1)*3,0))</f>
        <v>0</v>
      </c>
      <c r="G192" s="42" t="str">
        <f ca="1">IF(ISERROR(F184),"",_xlfn.TEXTJOIN("/",FALSE,P192,S192))</f>
        <v>UTU/2406100182/0</v>
      </c>
      <c r="H192" s="42"/>
      <c r="I192" s="42" t="str">
        <f ca="1">IF(ISERROR(F184),"",_xlfn.TEXTJOIN("/",FALSE,Q192,T192))</f>
        <v>KAMAL SINGH BISHT/0</v>
      </c>
      <c r="J192" s="42"/>
      <c r="K192" s="42" t="str">
        <f ca="1">IF(ISERROR(F184),"",_xlfn.TEXTJOIN("/",FALSE,R192,U192))</f>
        <v>0/0</v>
      </c>
      <c r="L192" s="42"/>
      <c r="M192" s="7" t="b">
        <f ca="1">IF(ISERROR(F184),"",IF(ISTEXT(P192),IF(P192="A","Ab",IF(P192="D","Dt",IF(P192="UFM","UFM",IF(P192="NA","")))),IF(AND(ISBLANK(P192),ISBLANK(R192)),"",IF(P192&lt;0.3*S192,"F",IF(ISBLANK(R192),"",IF(ISTEXT(R192),R192,IF(R192&gt;=0.9*U192,"O",IF(R192&gt;=0.85*U192,"A+",IF(R192&gt;=0.8*U192,"A",IF(R192&gt;=0.7*U192,"B+",IF(R192&gt;=0.6*U192,"B",IF(R192&gt;=0.5*U192,"C",IF(R192&gt;=0.4*U192,"P",IF(R192&lt;0.4*U192,"F",R192))))))))))))))</f>
        <v>0</v>
      </c>
      <c r="N192" s="8" t="e">
        <f t="shared" ca="1" si="11"/>
        <v>#N/A</v>
      </c>
      <c r="O192" t="b" cm="1">
        <f t="array" aca="1" ref="O192" ca="1">IF(NOT(ISBLANK(INDIRECT("SEM_IV!R"&amp;INT((ROW(O192)-16)/16)+6))),5,IF(NOT(ISBLANK(INDIRECT("SEM_IV!U"&amp;INT((ROW(O192)-16)/16)+6))),6))</f>
        <v>0</v>
      </c>
      <c r="P192" s="1" t="str">
        <f ca="1">IF(ISERROR(F184),"",IF(ISTEXT(VLOOKUP(B184,INDIRECT($F$8),6+(O192-1)*3)),(VLOOKUP(B184,INDIRECT($F$8),6+(O192-1)*3)),SUM(VLOOKUP(B184,INDIRECT($F$8),6+(O192-1)*3),IF(W196,W192,0))))</f>
        <v>UTU/2406100182</v>
      </c>
      <c r="Q192" s="1" t="str">
        <f ca="1">IF(ISERROR(F184),"",VLOOKUP(B184,INDIRECT($F$8),7+(O192-1)*3))</f>
        <v>KAMAL SINGH BISHT</v>
      </c>
      <c r="R192" s="1">
        <f ca="1">IF(ISERROR(F184),"",SUM(P192:Q192))</f>
        <v>0</v>
      </c>
      <c r="S192" s="1">
        <f ca="1">IF(ISERROR(F184),"",VLOOKUP(A184,INDIRECT($F$8),6+(O192-1)*3))</f>
        <v>0</v>
      </c>
      <c r="T192" s="1">
        <f ca="1">IF(ISERROR(F184),"",VLOOKUP(A184,INDIRECT($F$8),7+(O192-1)*3))</f>
        <v>0</v>
      </c>
      <c r="U192" s="1">
        <f ca="1">IF(ISERROR(F184),"",VLOOKUP(A184,INDIRECT($F$8),8+(O192-1)*3))</f>
        <v>0</v>
      </c>
      <c r="V192" s="1" t="e">
        <f ca="1">IF(ISERROR(F184),"",IF(N192=0,A192,""))</f>
        <v>#N/A</v>
      </c>
      <c r="W192" s="1">
        <f ca="1">IF(ISERROR(F184),"",IF(ISTEXT(VLOOKUP(B184,INDIRECT($F$8),6+(O192-1)*3)),11,IF(VLOOKUP(B184,INDIRECT($F$8),6+(O192-1)*3)&lt;S192*0.3,IF(VLOOKUP(B184,INDIRECT($F$8),8+(O192-1)*3)&lt;U192*0.4,IF(AND(0.4*U192-VLOOKUP(B184,INDIRECT($F$8),8+(O192-1)*3)&lt;=5,0.3*S192-VLOOKUP(B184,INDIRECT($F$8),6+(O192-1)*3)&lt;=5),MAX(0.4*U192-VLOOKUP(B184,INDIRECT($F$8),8+(O192-1)*3),0.3*S192-VLOOKUP(B184,INDIRECT($F$8),6+(O192-1)*3)),11),IF(0.3*S192-VLOOKUP(B184,INDIRECT($F$8),6+(O192-1)*3)&lt;=5,0.3*S192-VLOOKUP(B184,INDIRECT($F$8),6+(O192-1)*3),11)),IF(VLOOKUP(B184,INDIRECT($F$8),8+(O192-1)*3)&lt;U192*0.4,IF(U192*0.4-VLOOKUP(B184,INDIRECT($F$8),8+(O192-1)*3)&lt;=5,U192*0.4-VLOOKUP(B184,INDIRECT($F$8),8+(O192-1)*3),11),0))))</f>
        <v>11</v>
      </c>
      <c r="X192" s="1" t="str">
        <f ca="1">IF(ISERROR(F184),"",IF(W192=0,"",_xlfn.TEXTJOIN("",FALSE," G+",W192," in ",A192)))</f>
        <v xml:space="preserve"> G+11 in Enroll No.</v>
      </c>
    </row>
    <row r="193" spans="1:24" ht="12.75" customHeight="1" x14ac:dyDescent="0.2">
      <c r="A193" s="7" t="str">
        <f ca="1">IF(ISERROR(F184),"",VLOOKUP(C184,INDIRECT($F$8),6+(O193-1)*3,0))</f>
        <v>CAP 011</v>
      </c>
      <c r="B193" s="41" t="str">
        <f ca="1">IF(ISERROR(F184),"",VLOOKUP(D184,INDIRECT($F$8),6+(O193-1)*3,0))</f>
        <v>Network Security Lab</v>
      </c>
      <c r="C193" s="41"/>
      <c r="D193" s="41"/>
      <c r="E193" s="41"/>
      <c r="F193" s="7">
        <f ca="1">IF(ISERROR(F184),"",VLOOKUP(E184,INDIRECT($F$8),6+(O193-1)*3,0))</f>
        <v>1</v>
      </c>
      <c r="G193" s="42" t="str">
        <f ca="1">IF(ISERROR(F184),"",_xlfn.TEXTJOIN("/",FALSE,P193,S193))</f>
        <v>0/30</v>
      </c>
      <c r="H193" s="42"/>
      <c r="I193" s="42" t="str">
        <f ca="1">IF(ISERROR(F184),"",_xlfn.TEXTJOIN("/",FALSE,Q193,T193))</f>
        <v>0/20</v>
      </c>
      <c r="J193" s="42"/>
      <c r="K193" s="42" t="str">
        <f ca="1">IF(ISERROR(F184),"",_xlfn.TEXTJOIN("/",FALSE,R193,U193))</f>
        <v>0/50</v>
      </c>
      <c r="L193" s="42"/>
      <c r="M193" s="7" t="str">
        <f ca="1">IF(ISERROR(F184),"",IF(ISTEXT(P193),IF(P193="A","Ab",IF(P193="D","Dt",IF(P193="UFM","UFM",IF(P193="NA","")))),IF(AND(ISBLANK(P193),ISBLANK(R193)),"",IF(P193&lt;0.3*S193,"F",IF(ISBLANK(R193),"",IF(ISTEXT(R193),R193,IF(R193&gt;=0.9*U193,"O",IF(R193&gt;=0.85*U193,"A+",IF(R193&gt;=0.8*U193,"A",IF(R193&gt;=0.7*U193,"B+",IF(R193&gt;=0.6*U193,"B",IF(R193&gt;=0.5*U193,"C",IF(R193&gt;=0.4*U193,"P",IF(R193&lt;0.4*U193,"F",R193))))))))))))))</f>
        <v>F</v>
      </c>
      <c r="N193" s="8">
        <f t="shared" ca="1" si="11"/>
        <v>0</v>
      </c>
      <c r="O193">
        <f ca="1">IF(O192&gt;0,7,"")</f>
        <v>7</v>
      </c>
      <c r="P193" s="1">
        <f ca="1">IF(ISERROR(F184),"",IF(ISTEXT(VLOOKUP(B184,INDIRECT($F$8),6+(O193-1)*3)),(VLOOKUP(B184,INDIRECT($F$8),6+(O193-1)*3)),SUM(VLOOKUP(B184,INDIRECT($F$8),6+(O193-1)*3),IF(W196,W193,0))))</f>
        <v>0</v>
      </c>
      <c r="Q193" s="1">
        <f ca="1">IF(ISERROR(F184),"",VLOOKUP(B184,INDIRECT($F$8),7+(O193-1)*3))</f>
        <v>0</v>
      </c>
      <c r="R193" s="1">
        <f ca="1">IF(ISERROR(F184),"",SUM(P193:Q193))</f>
        <v>0</v>
      </c>
      <c r="S193" s="1">
        <f ca="1">IF(ISERROR(F184),"",VLOOKUP(A184,INDIRECT($F$8),6+(O193-1)*3))</f>
        <v>30</v>
      </c>
      <c r="T193" s="1">
        <f ca="1">IF(ISERROR(F184),"",VLOOKUP(A184,INDIRECT($F$8),7+(O193-1)*3))</f>
        <v>20</v>
      </c>
      <c r="U193" s="1">
        <f ca="1">IF(ISERROR(F184),"",VLOOKUP(A184,INDIRECT($F$8),8+(O193-1)*3))</f>
        <v>50</v>
      </c>
      <c r="V193" s="1" t="str">
        <f ca="1">IF(ISERROR(F184),"",IF(N193=0,A193,""))</f>
        <v>CAP 011</v>
      </c>
      <c r="W193" s="1">
        <f ca="1">IF(ISERROR(F184),"",IF(ISTEXT(VLOOKUP(B184,INDIRECT($F$8),6+(O193-1)*3)),11,IF(VLOOKUP(B184,INDIRECT($F$8),6+(O193-1)*3)&lt;S193*0.3,IF(VLOOKUP(B184,INDIRECT($F$8),8+(O193-1)*3)&lt;U193*0.4,IF(AND(0.4*U193-VLOOKUP(B184,INDIRECT($F$8),8+(O193-1)*3)&lt;=5,0.3*S193-VLOOKUP(B184,INDIRECT($F$8),6+(O193-1)*3)&lt;=5),MAX(0.4*U193-VLOOKUP(B184,INDIRECT($F$8),8+(O193-1)*3),0.3*S193-VLOOKUP(B184,INDIRECT($F$8),6+(O193-1)*3)),11),IF(0.3*S193-VLOOKUP(B184,INDIRECT($F$8),6+(O193-1)*3)&lt;=5,0.3*S193-VLOOKUP(B184,INDIRECT($F$8),6+(O193-1)*3),11)),IF(VLOOKUP(B184,INDIRECT($F$8),8+(O193-1)*3)&lt;U193*0.4,IF(U193*0.4-VLOOKUP(B184,INDIRECT($F$8),8+(O193-1)*3)&lt;=5,U193*0.4-VLOOKUP(B184,INDIRECT($F$8),8+(O193-1)*3),11),0))))</f>
        <v>11</v>
      </c>
      <c r="X193" s="1" t="str">
        <f ca="1">IF(ISERROR(F184),"",IF(W193=0,"",_xlfn.TEXTJOIN("",FALSE," G+",W193," in ",A193)))</f>
        <v xml:space="preserve"> G+11 in CAP 011</v>
      </c>
    </row>
    <row r="194" spans="1:24" ht="12.75" customHeight="1" x14ac:dyDescent="0.2">
      <c r="A194" s="7" t="str">
        <f ca="1">IF(ISERROR(F184),"",VLOOKUP(C184,INDIRECT($F$8),6+(O194-1)*3,0))</f>
        <v>Enroll No.</v>
      </c>
      <c r="B194" s="41">
        <f ca="1">IF(ISERROR(F184),"",VLOOKUP(D184,INDIRECT($F$8),6+(O194-1)*3,0))</f>
        <v>0</v>
      </c>
      <c r="C194" s="41"/>
      <c r="D194" s="41"/>
      <c r="E194" s="41"/>
      <c r="F194" s="7">
        <f ca="1">IF(ISERROR(F184),"",VLOOKUP(E184,INDIRECT($F$8),6+(O194-1)*3,0))</f>
        <v>0</v>
      </c>
      <c r="G194" s="42" t="str">
        <f ca="1">IF(ISERROR(F184),"",_xlfn.TEXTJOIN("/",FALSE,P194,S194))</f>
        <v>UTU/2406100182/0</v>
      </c>
      <c r="H194" s="42"/>
      <c r="I194" s="42" t="str">
        <f ca="1">IF(ISERROR(F184),"",_xlfn.TEXTJOIN("/",FALSE,Q194,T194))</f>
        <v>KAMAL SINGH BISHT/0</v>
      </c>
      <c r="J194" s="42"/>
      <c r="K194" s="42" t="str">
        <f ca="1">IF(ISERROR(F184),"",_xlfn.TEXTJOIN("/",FALSE,R194,U194))</f>
        <v>0/0</v>
      </c>
      <c r="L194" s="42"/>
      <c r="M194" s="7" t="b">
        <f ca="1">IF(ISERROR(F184),"",IF(ISTEXT(P194),IF(P194="A","Ab",IF(P194="D","Dt",IF(P194="UFM","UFM",IF(P194="NA","")))),IF(AND(ISBLANK(P194),ISBLANK(R194)),"",IF(P194&lt;0.3*S194,"F",IF(ISBLANK(R194),"",IF(ISTEXT(R194),R194,IF(R194&gt;=0.9*U194,"O",IF(R194&gt;=0.85*U194,"A+",IF(R194&gt;=0.8*U194,"A",IF(R194&gt;=0.7*U194,"B+",IF(R194&gt;=0.6*U194,"B",IF(R194&gt;=0.5*U194,"C",IF(R194&gt;=0.4*U194,"P",IF(R194&lt;0.4*U194,"F",R194))))))))))))))</f>
        <v>0</v>
      </c>
      <c r="N194" s="8" t="e">
        <f t="shared" ca="1" si="11"/>
        <v>#N/A</v>
      </c>
      <c r="O194" t="b" cm="1">
        <f t="array" aca="1" ref="O194" ca="1">IF(NOT(ISBLANK(INDIRECT("SEM_IV!AA"&amp;INT((ROW(O194)-18)/16)+6))),8,IF(NOT(ISBLANK(INDIRECT("SEM_IV!AD"&amp;INT((ROW(O194)-18)/16)+6))),9))</f>
        <v>0</v>
      </c>
      <c r="P194" s="1" t="str">
        <f ca="1">IF(ISERROR(F184),"",IF(ISTEXT(VLOOKUP(B184,INDIRECT($F$8),6+(O194-1)*3)),(VLOOKUP(B184,INDIRECT($F$8),6+(O194-1)*3)),SUM(VLOOKUP(B184,INDIRECT($F$8),6+(O194-1)*3),IF(W196,W194,0))))</f>
        <v>UTU/2406100182</v>
      </c>
      <c r="Q194" s="1" t="str">
        <f ca="1">IF(ISERROR(F184),"",VLOOKUP(B184,INDIRECT($F$8),7+(O194-1)*3))</f>
        <v>KAMAL SINGH BISHT</v>
      </c>
      <c r="R194" s="1">
        <f ca="1">IF(ISERROR(F184),"",SUM(P194:Q194))</f>
        <v>0</v>
      </c>
      <c r="S194" s="1">
        <f ca="1">IF(ISERROR(F184),"",VLOOKUP(A184,INDIRECT($F$8),6+(O194-1)*3))</f>
        <v>0</v>
      </c>
      <c r="T194" s="1">
        <f ca="1">IF(ISERROR(F184),"",VLOOKUP(A184,INDIRECT($F$8),7+(O194-1)*3))</f>
        <v>0</v>
      </c>
      <c r="U194" s="1">
        <f ca="1">IF(ISERROR(F184),"",VLOOKUP(A184,INDIRECT($F$8),8+(O194-1)*3))</f>
        <v>0</v>
      </c>
      <c r="V194" s="1" t="e">
        <f ca="1">IF(ISERROR(F184),"",IF(N194=0,A194,""))</f>
        <v>#N/A</v>
      </c>
      <c r="W194" s="1">
        <f ca="1">IF(ISERROR(F184),"",IF(ISTEXT(VLOOKUP(B184,INDIRECT($F$8),6+(O194-1)*3)),11,IF(VLOOKUP(B184,INDIRECT($F$8),6+(O194-1)*3)&lt;S194*0.3,IF(VLOOKUP(B184,INDIRECT($F$8),8+(O194-1)*3)&lt;U194*0.4,IF(AND(0.4*U194-VLOOKUP(B184,INDIRECT($F$8),8+(O194-1)*3)&lt;=5,0.3*S194-VLOOKUP(B184,INDIRECT($F$8),6+(O194-1)*3)&lt;=5),MAX(0.4*U194-VLOOKUP(B184,INDIRECT($F$8),8+(O194-1)*3),0.3*S194-VLOOKUP(B184,INDIRECT($F$8),6+(O194-1)*3)),11),IF(0.3*S194-VLOOKUP(B184,INDIRECT($F$8),6+(O194-1)*3)&lt;=5,0.3*S194-VLOOKUP(B184,INDIRECT($F$8),6+(O194-1)*3),11)),IF(VLOOKUP(B184,INDIRECT($F$8),8+(O194-1)*3)&lt;U194*0.4,IF(U194*0.4-VLOOKUP(B184,INDIRECT($F$8),8+(O194-1)*3)&lt;=5,U194*0.4-VLOOKUP(B184,INDIRECT($F$8),8+(O194-1)*3),11),0))))</f>
        <v>11</v>
      </c>
      <c r="X194" s="1" t="str">
        <f ca="1">IF(ISERROR(F184),"",IF(W194=0,"",_xlfn.TEXTJOIN("",FALSE," G+",W194," in ",A194)))</f>
        <v xml:space="preserve"> G+11 in Enroll No.</v>
      </c>
    </row>
    <row r="195" spans="1:24" ht="12.75" customHeight="1" x14ac:dyDescent="0.2">
      <c r="A195" s="7" t="str">
        <f ca="1">IF(ISERROR(F184),"",VLOOKUP(C184,INDIRECT($F$8),6+(O195-1)*3,0))</f>
        <v>CAP 013</v>
      </c>
      <c r="B195" s="41" t="str">
        <f ca="1">IF(ISERROR(F184),"",VLOOKUP(D184,INDIRECT($F$8),6+(O195-1)*3-Z195,0))</f>
        <v>Major Project</v>
      </c>
      <c r="C195" s="41"/>
      <c r="D195" s="41"/>
      <c r="E195" s="41"/>
      <c r="F195" s="7">
        <f ca="1">IF(ISERROR(F184),"",VLOOKUP(E184,INDIRECT($F$8),6+(O195-1)*3,0))</f>
        <v>6</v>
      </c>
      <c r="G195" s="42" t="str">
        <f ca="1">IF(ISERROR(F184),"",_xlfn.TEXTJOIN("/",FALSE,P195,S195))</f>
        <v>0/200</v>
      </c>
      <c r="H195" s="42"/>
      <c r="I195" s="42" t="str">
        <f ca="1">IF(ISERROR(F184),"",_xlfn.TEXTJOIN("/",FALSE,Q195,T195))</f>
        <v>0/100</v>
      </c>
      <c r="J195" s="42"/>
      <c r="K195" s="42" t="str">
        <f ca="1">IF(ISERROR(F184),"",_xlfn.TEXTJOIN("/",FALSE,R195,U195))</f>
        <v>0/300</v>
      </c>
      <c r="L195" s="42"/>
      <c r="M195" s="7" t="str">
        <f ca="1">IF(ISERROR(F184),"",IF(ISTEXT(P195),IF(P195="A","Ab",IF(P195="D","Dt",IF(P195="UFM","UFM",IF(P195="NA","")))),IF(AND(ISBLANK(P195),ISBLANK(R195)),"",IF(P195&lt;0.3*S195,"F",IF(ISBLANK(R195),"",IF(ISTEXT(R195),R195,IF(R195&gt;=0.9*U195,"O",IF(R195&gt;=0.85*U195,"A+",IF(R195&gt;=0.8*U195,"A",IF(R195&gt;=0.7*U195,"B+",IF(R195&gt;=0.6*U195,"B",IF(R195&gt;=0.5*U195,"C",IF(R195&gt;=0.4*U195,"P",IF(R195&lt;0.4*U195,"F",R195))))))))))))))</f>
        <v>F</v>
      </c>
      <c r="N195" s="8">
        <f t="shared" ca="1" si="11"/>
        <v>0</v>
      </c>
      <c r="O195">
        <f ca="1">IF(O194&gt;0,10,"")</f>
        <v>10</v>
      </c>
      <c r="P195" s="1">
        <f ca="1">IF(ISERROR(F184),"",IF(ISTEXT(VLOOKUP(B184,INDIRECT($F$8),6+(O195-1)*3)),(VLOOKUP(B184,INDIRECT($F$8),6+(O195-1)*3)),SUM(VLOOKUP(B184,INDIRECT($F$8),6+(O195-1)*3),IF(W196,W195,0))))</f>
        <v>0</v>
      </c>
      <c r="Q195" s="1">
        <f ca="1">IF(ISERROR(F184),"",VLOOKUP(B184,INDIRECT($F$8),7+(O195-1)*3))</f>
        <v>0</v>
      </c>
      <c r="R195" s="1">
        <f ca="1">IF(ISERROR(F184),"",SUM(P195:Q195))</f>
        <v>0</v>
      </c>
      <c r="S195" s="1">
        <f ca="1">IF(ISERROR(F184),"",VLOOKUP(A184,INDIRECT($F$8),6+(O195-1)*3))</f>
        <v>200</v>
      </c>
      <c r="T195" s="1">
        <f ca="1">IF(ISERROR(F184),"",VLOOKUP(A184,INDIRECT($F$8),7+(O195-1)*3))</f>
        <v>100</v>
      </c>
      <c r="U195" s="1">
        <f ca="1">IF(ISERROR(F184),"",VLOOKUP(A184,INDIRECT($F$8),8+(O195-1)*3))</f>
        <v>300</v>
      </c>
      <c r="V195" s="1" t="str">
        <f ca="1">IF(ISERROR(F184),"",IF(N195=0,A195,""))</f>
        <v>CAP 013</v>
      </c>
      <c r="W195" s="1">
        <f ca="1">IF(ISERROR(F184),"",IF(ISTEXT(VLOOKUP(B184,INDIRECT($F$8),6+(O195-1)*3)),11,IF(VLOOKUP(B184,INDIRECT($F$8),6+(O195-1)*3)&lt;S195*0.3,IF(VLOOKUP(B184,INDIRECT($F$8),8+(O195-1)*3)&lt;U195*0.4,IF(AND(0.4*U195-VLOOKUP(B184,INDIRECT($F$8),8+(O195-1)*3)&lt;=5,0.3*S195-VLOOKUP(B184,INDIRECT($F$8),6+(O195-1)*3)&lt;=5),MAX(0.4*U195-VLOOKUP(B184,INDIRECT($F$8),8+(O195-1)*3),0.3*S195-VLOOKUP(B184,INDIRECT($F$8),6+(O195-1)*3)),11),IF(0.3*S195-VLOOKUP(B184,INDIRECT($F$8),6+(O195-1)*3)&lt;=5,0.3*S195-VLOOKUP(B184,INDIRECT($F$8),6+(O195-1)*3),11)),IF(VLOOKUP(B184,INDIRECT($F$8),8+(O195-1)*3)&lt;U195*0.4,IF(U195*0.4-VLOOKUP(B184,INDIRECT($F$8),8+(O195-1)*3)&lt;=5,U195*0.4-VLOOKUP(B184,INDIRECT($F$8),8+(O195-1)*3),11),0))))</f>
        <v>11</v>
      </c>
      <c r="X195" s="1" t="str">
        <f ca="1">IF(ISERROR(F184),"",IF(W195=0,"",_xlfn.TEXTJOIN("",FALSE," G+",W195," in ",A195)))</f>
        <v xml:space="preserve"> G+11 in CAP 013</v>
      </c>
    </row>
    <row r="196" spans="1:24" ht="12.75" customHeight="1" x14ac:dyDescent="0.2">
      <c r="A196" s="43" t="str">
        <f ca="1">IF(ISERROR(F184),"",A180)</f>
        <v>Total Credits/ Marks/ Total Grade Points</v>
      </c>
      <c r="B196" s="43"/>
      <c r="C196" s="43"/>
      <c r="D196" s="43"/>
      <c r="E196" s="43"/>
      <c r="F196" s="10">
        <f ca="1">IF(ISERROR(F184),"",SUM(F189:F195))</f>
        <v>15</v>
      </c>
      <c r="G196" s="44" t="str">
        <f ca="1">IF(ISERROR(F184),"",_xlfn.TEXTJOIN("/",TRUE,SUMIF(F189:F195,"&gt;0",P189:P195),SUMIF(F189:F195,"&gt;0",S189:S195)))</f>
        <v>0/430</v>
      </c>
      <c r="H196" s="44"/>
      <c r="I196" s="44" t="str">
        <f ca="1">IF(ISERROR(F184),"",_xlfn.TEXTJOIN("/",TRUE,SUMIF(F189:F195,"&gt;0",Q189:Q195),SUMIF(F189:F195,"&gt;0",T189:T195)))</f>
        <v>0/220</v>
      </c>
      <c r="J196" s="44"/>
      <c r="K196" s="44" t="str">
        <f ca="1">IF(ISERROR(F184),"",_xlfn.TEXTJOIN("/",TRUE,SUMIF(F189:F195,"&gt;0",R189:R195),SUMIF(F189:F195,"&gt;0",U189:U195)))</f>
        <v>0/650</v>
      </c>
      <c r="L196" s="44"/>
      <c r="M196" s="43" t="e">
        <f ca="1">IF(ISERROR(F184),"",SUMPRODUCT(N189:N195,F189:F195))</f>
        <v>#N/A</v>
      </c>
      <c r="N196" s="43"/>
      <c r="V196" s="1" t="e">
        <f ca="1">IF(ISERROR(F184),"",_xlfn.TEXTJOIN(", ",TRUE,V189:V195))</f>
        <v>#N/A</v>
      </c>
      <c r="W196" t="b">
        <f ca="1">IF(ISERROR(F184),"",IF(SUM(W189:W195)&lt;=W188,TRUE,FALSE))</f>
        <v>0</v>
      </c>
      <c r="X196" s="1" t="str">
        <f ca="1">IF(ISERROR(F184),"",_xlfn.TEXTJOIN(",",TRUE,X189:X195))</f>
        <v xml:space="preserve"> G+11 in CAT 022, G+11 in Enroll No., G+11 in CAT 030, G+11 in Enroll No., G+11 in CAP 011, G+11 in Enroll No., G+11 in CAP 013</v>
      </c>
    </row>
    <row r="197" spans="1:24" ht="12.75" customHeight="1" x14ac:dyDescent="0.2">
      <c r="A197" s="43" t="str">
        <f ca="1">IF(ISERROR(F184),"",A181)</f>
        <v>Result:</v>
      </c>
      <c r="B197" s="45" t="e">
        <f ca="1">IF(ISERROR(F184),"",IF(V196="","PASS","CARRY OVER"))</f>
        <v>#N/A</v>
      </c>
      <c r="C197" s="45"/>
      <c r="D197" s="43" t="str">
        <f ca="1">IF(ISERROR(F184),"",D181)</f>
        <v>Remark:</v>
      </c>
      <c r="E197" s="45" t="e">
        <f ca="1">IF(ISERROR(F184),"",IF(V196="",IF(X196="","",X196),_xlfn.TEXTJOIN(" ",TRUE,"BACK IN",V196)))</f>
        <v>#N/A</v>
      </c>
      <c r="F197" s="45"/>
      <c r="G197" s="43" t="str">
        <f ca="1">IF(ISERROR(F184),"",G181)</f>
        <v>SGPA:</v>
      </c>
      <c r="H197" s="46" t="e">
        <f ca="1">IF(ISERROR(F184),"",M196/F196)</f>
        <v>#N/A</v>
      </c>
      <c r="I197" s="43" t="str">
        <f ca="1">IF(ISERROR(F184),"",I181)</f>
        <v>CGPA:</v>
      </c>
      <c r="J197" s="46" t="e">
        <f ca="1">IF(ISERROR(F184),"",VLOOKUP(B184,INDIRECT($F$8),12+(O195-1)*3,0))</f>
        <v>#N/A</v>
      </c>
      <c r="K197" s="45" t="str">
        <f ca="1">IF(ISERROR(F184),"",K181)</f>
        <v>Earned Credits:</v>
      </c>
      <c r="L197" s="43">
        <f ca="1">IF(ISERROR(F184),"",SUMIF(N189:N195,"&gt;0",F189:F195))</f>
        <v>0</v>
      </c>
      <c r="M197" s="45" t="str">
        <f ca="1">IF(ISERROR(F184),"",M181)</f>
        <v>Cuml. Earned Credits:</v>
      </c>
      <c r="N197" s="43" t="e">
        <f ca="1">IF(ISERROR(F184),"",VLOOKUP(B184,INDIRECT($F$8),10+(O195-1)*3,0))</f>
        <v>#N/A</v>
      </c>
    </row>
    <row r="198" spans="1:24" ht="12.75" customHeight="1" x14ac:dyDescent="0.2">
      <c r="A198" s="43"/>
      <c r="B198" s="45"/>
      <c r="C198" s="45"/>
      <c r="D198" s="43"/>
      <c r="E198" s="45"/>
      <c r="F198" s="45"/>
      <c r="G198" s="43"/>
      <c r="H198" s="46"/>
      <c r="I198" s="43"/>
      <c r="J198" s="46"/>
      <c r="K198" s="45"/>
      <c r="L198" s="43"/>
      <c r="M198" s="45"/>
      <c r="N198" s="43"/>
    </row>
    <row r="199" spans="1:24" ht="12.75" customHeight="1" x14ac:dyDescent="0.2">
      <c r="A199" s="43"/>
      <c r="B199" s="45"/>
      <c r="C199" s="45"/>
      <c r="D199" s="43"/>
      <c r="E199" s="45"/>
      <c r="F199" s="45"/>
      <c r="G199" s="43"/>
      <c r="H199" s="46"/>
      <c r="I199" s="43"/>
      <c r="J199" s="46"/>
      <c r="K199" s="45"/>
      <c r="L199" s="43"/>
      <c r="M199" s="45"/>
      <c r="N199" s="43"/>
    </row>
    <row r="200" spans="1:24" ht="12.75" customHeight="1" x14ac:dyDescent="0.2">
      <c r="A200" s="11" t="str">
        <f>A184</f>
        <v>MM</v>
      </c>
      <c r="B200" s="11">
        <f>B184+1</f>
        <v>13</v>
      </c>
      <c r="C200" s="11" t="str">
        <f>C184</f>
        <v>SC</v>
      </c>
      <c r="D200" s="11" t="str">
        <f>D184</f>
        <v>SN</v>
      </c>
      <c r="E200" s="11" t="str">
        <f>E184</f>
        <v>C</v>
      </c>
      <c r="F200" s="11" t="str">
        <f ca="1">VLOOKUP(B200,INDIRECT($F$8),4,0)</f>
        <v>KRISHNA BHATT</v>
      </c>
    </row>
    <row r="201" spans="1:24" ht="12.75" customHeight="1" x14ac:dyDescent="0.2">
      <c r="A201" s="47" t="str">
        <f ca="1">IF(ISERROR(F200),"",A185)</f>
        <v>Name:</v>
      </c>
      <c r="B201" s="47" t="str">
        <f ca="1">IFERROR(VLOOKUP(B200,INDIRECT($F$8),4,0),"")</f>
        <v>KRISHNA BHATT</v>
      </c>
      <c r="C201" s="47"/>
      <c r="D201" s="47" t="str">
        <f ca="1">IF(ISERROR(F200),"",D185)</f>
        <v>Father's Name:</v>
      </c>
      <c r="E201" s="47" t="str">
        <f ca="1">IFERROR(VLOOKUP(B200,INDIRECT($F$8),5,0),"")</f>
        <v>HARENDRA PRASAD BHATT</v>
      </c>
      <c r="F201" s="47"/>
      <c r="G201" s="47" t="str">
        <f ca="1">IF(ISERROR(F200),"",G185)</f>
        <v>University Roll No:</v>
      </c>
      <c r="H201" s="47"/>
      <c r="I201" s="48">
        <f ca="1">IFERROR(VLOOKUP(B200,INDIRECT($F$8),2,0),"")</f>
        <v>240090600013</v>
      </c>
      <c r="J201" s="48"/>
      <c r="K201" s="47" t="str">
        <f ca="1">IF(ISERROR(F200),"",K185)</f>
        <v>University Enrol. No:</v>
      </c>
      <c r="L201" s="47"/>
      <c r="M201" s="48" t="str">
        <f ca="1">IFERROR(VLOOKUP(B200,INDIRECT($F$8),3,0),"")</f>
        <v>UTU/2406100175</v>
      </c>
      <c r="N201" s="48"/>
    </row>
    <row r="202" spans="1:24" ht="12.75" customHeight="1" x14ac:dyDescent="0.2">
      <c r="A202" s="47"/>
      <c r="B202" s="47"/>
      <c r="C202" s="47"/>
      <c r="D202" s="47"/>
      <c r="E202" s="47"/>
      <c r="F202" s="47"/>
      <c r="G202" s="47"/>
      <c r="H202" s="47"/>
      <c r="I202" s="48"/>
      <c r="J202" s="48"/>
      <c r="K202" s="47"/>
      <c r="L202" s="47"/>
      <c r="M202" s="48"/>
      <c r="N202" s="48"/>
    </row>
    <row r="203" spans="1:24" ht="12.75" customHeight="1" x14ac:dyDescent="0.2">
      <c r="A203" s="45" t="str">
        <f ca="1">IF(ISERROR(F200),"",A187)</f>
        <v>Subject Code</v>
      </c>
      <c r="B203" s="45" t="str">
        <f ca="1">IF(ISERROR(F200),"",B187)</f>
        <v>Subject Name</v>
      </c>
      <c r="C203" s="45"/>
      <c r="D203" s="45"/>
      <c r="E203" s="45"/>
      <c r="F203" s="45" t="str">
        <f ca="1">IF(ISERROR(F200),"",F187)</f>
        <v>Credits</v>
      </c>
      <c r="G203" s="45" t="str">
        <f ca="1">IF(ISERROR(F200),"",G187)</f>
        <v>External Marks</v>
      </c>
      <c r="H203" s="45"/>
      <c r="I203" s="45" t="str">
        <f ca="1">IF(ISERROR(F200),"",I187)</f>
        <v>Sessional Marks</v>
      </c>
      <c r="J203" s="45"/>
      <c r="K203" s="45" t="str">
        <f ca="1">IF(ISERROR(F200),"",K187)</f>
        <v>Total Marks</v>
      </c>
      <c r="L203" s="45"/>
      <c r="M203" s="45" t="str">
        <f ca="1">IF(ISERROR(F200),"",M187)</f>
        <v>Grade</v>
      </c>
      <c r="N203" s="45" t="str">
        <f ca="1">IF(ISERROR(F200),"",N187)</f>
        <v>Grade Points</v>
      </c>
    </row>
    <row r="204" spans="1:24" ht="12.75" customHeight="1" x14ac:dyDescent="0.2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W204">
        <f ca="1">IF(ISNUMBER(MATCH($F$8,{"I","III","V","VII"},0)),10,10-INDEX(INDIRECT(_xlfn.TEXTJOIN("",TRUE,"SEM_",$G$8,"!",ADDRESS(6,4+$I$8*3+4),":",ADDRESS(5+$H$8,4+$I$8*3+4))),MATCH(INDIRECT(_xlfn.TEXTJOIN("",TRUE,"TC_",$F$8,"!",ADDRESS(ROW(I201),COLUMN(I201)))),INDIRECT(_xlfn.TEXTJOIN("",TRUE,"SEM_",$G$8,"!",ADDRESS(6,2),":",ADDRESS(5+$H$8,2))))))</f>
        <v>10</v>
      </c>
    </row>
    <row r="205" spans="1:24" ht="12.75" customHeight="1" x14ac:dyDescent="0.2">
      <c r="A205" s="7" t="str">
        <f ca="1">IF(ISERROR(F200),"",VLOOKUP(C200,INDIRECT($F$8),6+(O205-1)*3,0))</f>
        <v>CAT 022</v>
      </c>
      <c r="B205" s="41" t="str">
        <f ca="1">IF(ISERROR(F200),"",VLOOKUP(D200,INDIRECT($F$8),6+(O205-1)*3,0))</f>
        <v>Network Security</v>
      </c>
      <c r="C205" s="41"/>
      <c r="D205" s="41"/>
      <c r="E205" s="41"/>
      <c r="F205" s="7">
        <f ca="1">IF(ISERROR(F200),"",VLOOKUP(E200,INDIRECT($F$8),6+(O205-1)*3,0))</f>
        <v>4</v>
      </c>
      <c r="G205" s="42" t="str">
        <f ca="1">IF(ISERROR(F200),"",_xlfn.TEXTJOIN("/",FALSE,P205,S205))</f>
        <v>0/100</v>
      </c>
      <c r="H205" s="42"/>
      <c r="I205" s="42" t="str">
        <f ca="1">IF(ISERROR(F200),"",_xlfn.TEXTJOIN("/",FALSE,Q205,T205))</f>
        <v>0/50</v>
      </c>
      <c r="J205" s="42"/>
      <c r="K205" s="42" t="str">
        <f ca="1">IF(ISERROR(F200),"",_xlfn.TEXTJOIN("/",FALSE,R205,U205))</f>
        <v>0/150</v>
      </c>
      <c r="L205" s="42"/>
      <c r="M205" s="7" t="str">
        <f ca="1">IF(ISERROR(F200),"",IF(ISTEXT(P205),IF(P205="A","Ab",IF(P205="D","Dt",IF(P205="UFM","UFM",IF(P205="NA","")))),IF(AND(ISBLANK(P205),ISBLANK(R205)),"",IF(P205&lt;0.3*S205,"F",IF(ISBLANK(R205),"",IF(ISTEXT(R205),R205,IF(R205&gt;=0.9*U205,"O",IF(R205&gt;=0.85*U205,"A+",IF(R205&gt;=0.8*U205,"A",IF(R205&gt;=0.7*U205,"B+",IF(R205&gt;=0.6*U205,"B",IF(R205&gt;=0.5*U205,"C",IF(R205&gt;=0.4*U205,"P",IF(R205&lt;0.4*U205,"F",R205))))))))))))))</f>
        <v>F</v>
      </c>
      <c r="N205" s="8">
        <f t="shared" ref="N205:N211" ca="1" si="12">INDEX($Z$2:$Z$13,MATCH(M205,$Y$2:$Y$13,0))</f>
        <v>0</v>
      </c>
      <c r="O205">
        <v>1</v>
      </c>
      <c r="P205" s="1">
        <f ca="1">IF(ISERROR(F200),"",IF(ISTEXT(VLOOKUP(B200,INDIRECT($F$8),6+(O205-1)*3)),(VLOOKUP(B200,INDIRECT($F$8),6+(O205-1)*3)),SUM(VLOOKUP(B200,INDIRECT($F$8),6+(O205-1)*3),IF(W212,W205,0))))</f>
        <v>0</v>
      </c>
      <c r="Q205" s="1">
        <f ca="1">IF(ISERROR(F200),"",VLOOKUP(B200,INDIRECT($F$8),7+(O205-1)*3))</f>
        <v>0</v>
      </c>
      <c r="R205" s="1">
        <f ca="1">IF(ISERROR(F200),"",SUM(P205:Q205))</f>
        <v>0</v>
      </c>
      <c r="S205" s="1">
        <f ca="1">IF(ISERROR(F200),"",VLOOKUP(A200,INDIRECT($F$8),6+(O205-1)*3))</f>
        <v>100</v>
      </c>
      <c r="T205" s="1">
        <f ca="1">IF(ISERROR(F200),"",VLOOKUP(A200,INDIRECT($F$8),7+(O205-1)*3))</f>
        <v>50</v>
      </c>
      <c r="U205" s="1">
        <f ca="1">IF(ISERROR(F200),"",VLOOKUP(A200,INDIRECT($F$8),8+(O205-1)*3))</f>
        <v>150</v>
      </c>
      <c r="V205" s="1" t="str">
        <f ca="1">IF(ISERROR(F200),"",IF(N205=0,A205,""))</f>
        <v>CAT 022</v>
      </c>
      <c r="W205" s="1">
        <f ca="1">IF(ISERROR(F200),"",IF(ISTEXT(VLOOKUP(B200,INDIRECT($F$8),6+(O205-1)*3)),11,IF(VLOOKUP(B200,INDIRECT($F$8),6+(O205-1)*3)&lt;S205*0.3,IF(VLOOKUP(B200,INDIRECT($F$8),8+(O205-1)*3)&lt;U205*0.4,IF(AND(0.4*U205-VLOOKUP(B200,INDIRECT($F$8),8+(O205-1)*3)&lt;=5,0.3*S205-VLOOKUP(B200,INDIRECT($F$8),6+(O205-1)*3)&lt;=5),MAX(0.4*U205-VLOOKUP(B200,INDIRECT($F$8),8+(O205-1)*3),0.3*S205-VLOOKUP(B200,INDIRECT($F$8),6+(O205-1)*3)),11),IF(0.3*S205-VLOOKUP(B200,INDIRECT($F$8),6+(O205-1)*3)&lt;=5,0.3*S205-VLOOKUP(B200,INDIRECT($F$8),6+(O205-1)*3),11)),IF(VLOOKUP(B200,INDIRECT($F$8),8+(O205-1)*3)&lt;U205*0.4,IF(U205*0.4-VLOOKUP(B200,INDIRECT($F$8),8+(O205-1)*3)&lt;=5,U205*0.4-VLOOKUP(B200,INDIRECT($F$8),8+(O205-1)*3),11),0))))</f>
        <v>11</v>
      </c>
      <c r="X205" s="1" t="str">
        <f ca="1">IF(ISERROR(F200),"",IF(W205=0,"",_xlfn.TEXTJOIN("",FALSE," G+",W205," in ",A205)))</f>
        <v xml:space="preserve"> G+11 in CAT 022</v>
      </c>
    </row>
    <row r="206" spans="1:24" ht="12.75" customHeight="1" x14ac:dyDescent="0.2">
      <c r="A206" s="7" t="str">
        <f ca="1">IF(ISERROR(F200),"",VLOOKUP(C200,INDIRECT($F$8),6+(O206-1)*3,0))</f>
        <v>Enroll No.</v>
      </c>
      <c r="B206" s="41">
        <f ca="1">IF(ISERROR(F200),"",VLOOKUP(D200,INDIRECT($F$8),6+(O206-1)*3,0))</f>
        <v>0</v>
      </c>
      <c r="C206" s="41"/>
      <c r="D206" s="41"/>
      <c r="E206" s="41"/>
      <c r="F206" s="7">
        <f ca="1">IF(ISERROR(F200),"",VLOOKUP(E200,INDIRECT($F$8),6+(O206-1)*3,0))</f>
        <v>0</v>
      </c>
      <c r="G206" s="42" t="str">
        <f ca="1">IF(ISERROR(F200),"",_xlfn.TEXTJOIN("/",FALSE,P206,S206))</f>
        <v>UTU/2406100175/0</v>
      </c>
      <c r="H206" s="42"/>
      <c r="I206" s="42" t="str">
        <f ca="1">IF(ISERROR(F200),"",_xlfn.TEXTJOIN("/",FALSE,Q206,T206))</f>
        <v>KRISHNA BHATT/0</v>
      </c>
      <c r="J206" s="42"/>
      <c r="K206" s="42" t="str">
        <f ca="1">IF(ISERROR(F200),"",_xlfn.TEXTJOIN("/",FALSE,R206,U206))</f>
        <v>0/0</v>
      </c>
      <c r="L206" s="42"/>
      <c r="M206" s="7" t="b">
        <f ca="1">IF(ISERROR(F200),"",IF(ISTEXT(P206),IF(P206="A","Ab",IF(P206="D","Dt",IF(P206="UFM","UFM",IF(P206="NA","")))),IF(AND(ISBLANK(P206),ISBLANK(R206)),"",IF(P206&lt;0.3*S206,"F",IF(ISBLANK(R206),"",IF(ISTEXT(R206),R206,IF(R206&gt;=0.9*U206,"O",IF(R206&gt;=0.85*U206,"A+",IF(R206&gt;=0.8*U206,"A",IF(R206&gt;=0.7*U206,"B+",IF(R206&gt;=0.6*U206,"B",IF(R206&gt;=0.5*U206,"C",IF(R206&gt;=0.4*U206,"P",IF(R206&lt;0.4*U206,"F",R206))))))))))))))</f>
        <v>0</v>
      </c>
      <c r="N206" s="8" t="e">
        <f t="shared" ca="1" si="12"/>
        <v>#N/A</v>
      </c>
      <c r="O206" t="b" cm="1">
        <f t="array" aca="1" ref="O206" ca="1">IF(NOT(ISBLANK(INDIRECT("SEM_IV!I"&amp;INT((ROW(O206)-14)/16)+6))),2,IF(NOT(ISBLANK(INDIRECT("SEM_IV!L"&amp;INT((ROW(O206)-14)/16)+6))),3))</f>
        <v>0</v>
      </c>
      <c r="P206" s="1" t="str">
        <f ca="1">IF(ISERROR(F200),"",IF(ISTEXT(VLOOKUP(B200,INDIRECT($F$8),6+(O206-1)*3)),(VLOOKUP(B200,INDIRECT($F$8),6+(O206-1)*3)),SUM(VLOOKUP(B200,INDIRECT($F$8),6+(O206-1)*3),IF(W212,W206,0))))</f>
        <v>UTU/2406100175</v>
      </c>
      <c r="Q206" s="1" t="str">
        <f ca="1">IF(ISERROR(F200),"",VLOOKUP(B200,INDIRECT($F$8),7+(O206-1)*3))</f>
        <v>KRISHNA BHATT</v>
      </c>
      <c r="R206" s="1">
        <f ca="1">IF(ISERROR(F200),"",SUM(P206:Q206))</f>
        <v>0</v>
      </c>
      <c r="S206" s="1">
        <f ca="1">IF(ISERROR(F200),"",VLOOKUP(A200,INDIRECT($F$8),6+(O206-1)*3))</f>
        <v>0</v>
      </c>
      <c r="T206" s="1">
        <f ca="1">IF(ISERROR(F200),"",VLOOKUP(A200,INDIRECT($F$8),7+(O206-1)*3))</f>
        <v>0</v>
      </c>
      <c r="U206" s="1">
        <f ca="1">IF(ISERROR(F200),"",VLOOKUP(A200,INDIRECT($F$8),8+(O206-1)*3))</f>
        <v>0</v>
      </c>
      <c r="V206" s="1" t="e">
        <f ca="1">IF(ISERROR(F200),"",IF(N206=0,A206,""))</f>
        <v>#N/A</v>
      </c>
      <c r="W206" s="1">
        <f ca="1">IF(ISERROR(F200),"",IF(ISTEXT(VLOOKUP(B200,INDIRECT($F$8),6+(O206-1)*3)),11,IF(VLOOKUP(B200,INDIRECT($F$8),6+(O206-1)*3)&lt;S206*0.3,IF(VLOOKUP(B200,INDIRECT($F$8),8+(O206-1)*3)&lt;U206*0.4,IF(AND(0.4*U206-VLOOKUP(B200,INDIRECT($F$8),8+(O206-1)*3)&lt;=5,0.3*S206-VLOOKUP(B200,INDIRECT($F$8),6+(O206-1)*3)&lt;=5),MAX(0.4*U206-VLOOKUP(B200,INDIRECT($F$8),8+(O206-1)*3),0.3*S206-VLOOKUP(B200,INDIRECT($F$8),6+(O206-1)*3)),11),IF(0.3*S206-VLOOKUP(B200,INDIRECT($F$8),6+(O206-1)*3)&lt;=5,0.3*S206-VLOOKUP(B200,INDIRECT($F$8),6+(O206-1)*3),11)),IF(VLOOKUP(B200,INDIRECT($F$8),8+(O206-1)*3)&lt;U206*0.4,IF(U206*0.4-VLOOKUP(B200,INDIRECT($F$8),8+(O206-1)*3)&lt;=5,U206*0.4-VLOOKUP(B200,INDIRECT($F$8),8+(O206-1)*3),11),0))))</f>
        <v>11</v>
      </c>
      <c r="X206" s="1" t="str">
        <f ca="1">IF(ISERROR(F200),"",IF(W206=0,"",_xlfn.TEXTJOIN("",FALSE," G+",W206," in ",A206)))</f>
        <v xml:space="preserve"> G+11 in Enroll No.</v>
      </c>
    </row>
    <row r="207" spans="1:24" ht="12.75" customHeight="1" x14ac:dyDescent="0.2">
      <c r="A207" s="7" t="str">
        <f ca="1">IF(ISERROR(F200),"",VLOOKUP(C200,INDIRECT($F$8),6+(O207-1)*3,0))</f>
        <v>CAT 030</v>
      </c>
      <c r="B207" s="41" t="str">
        <f ca="1">IF(ISERROR(F200),"",VLOOKUP(D200,INDIRECT($F$8),6+(O207-1)*3,0))</f>
        <v>Software Testing &amp; Quality Assurance</v>
      </c>
      <c r="C207" s="41"/>
      <c r="D207" s="41"/>
      <c r="E207" s="41"/>
      <c r="F207" s="7">
        <f ca="1">IF(ISERROR(F200),"",VLOOKUP(E200,INDIRECT($F$8),6+(O207-1)*3,0))</f>
        <v>4</v>
      </c>
      <c r="G207" s="42" t="str">
        <f ca="1">IF(ISERROR(F200),"",_xlfn.TEXTJOIN("/",FALSE,P207,S207))</f>
        <v>0/100</v>
      </c>
      <c r="H207" s="42"/>
      <c r="I207" s="42" t="str">
        <f ca="1">IF(ISERROR(F200),"",_xlfn.TEXTJOIN("/",FALSE,Q207,T207))</f>
        <v>0/50</v>
      </c>
      <c r="J207" s="42"/>
      <c r="K207" s="42" t="str">
        <f ca="1">IF(ISERROR(F200),"",_xlfn.TEXTJOIN("/",FALSE,R207,U207))</f>
        <v>0/150</v>
      </c>
      <c r="L207" s="42"/>
      <c r="M207" s="7" t="str">
        <f ca="1">IF(ISERROR(F200),"",IF(ISTEXT(P207),IF(P207="A","Ab",IF(P207="D","Dt",IF(P207="UFM","UFM",IF(P207="NA","")))),IF(AND(ISBLANK(P207),ISBLANK(R207)),"",IF(P207&lt;0.3*S207,"F",IF(ISBLANK(R207),"",IF(ISTEXT(R207),R207,IF(R207&gt;=0.9*U207,"O",IF(R207&gt;=0.85*U207,"A+",IF(R207&gt;=0.8*U207,"A",IF(R207&gt;=0.7*U207,"B+",IF(R207&gt;=0.6*U207,"B",IF(R207&gt;=0.5*U207,"C",IF(R207&gt;=0.4*U207,"P",IF(R207&lt;0.4*U207,"F",R207))))))))))))))</f>
        <v>F</v>
      </c>
      <c r="N207" s="8">
        <f t="shared" ca="1" si="12"/>
        <v>0</v>
      </c>
      <c r="O207">
        <f ca="1">IF(O206&gt;0,4,"")</f>
        <v>4</v>
      </c>
      <c r="P207" s="1">
        <f ca="1">IF(ISERROR(F200),"",IF(ISTEXT(VLOOKUP(B200,INDIRECT($F$8),6+(O207-1)*3)),(VLOOKUP(B200,INDIRECT($F$8),6+(O207-1)*3)),SUM(VLOOKUP(B200,INDIRECT($F$8),6+(O207-1)*3),IF(W212,W207,0))))</f>
        <v>0</v>
      </c>
      <c r="Q207" s="1">
        <f ca="1">IF(ISERROR(F200),"",VLOOKUP(B200,INDIRECT($F$8),7+(O207-1)*3))</f>
        <v>0</v>
      </c>
      <c r="R207" s="1">
        <f ca="1">IF(ISERROR(F200),"",SUM(P207:Q207))</f>
        <v>0</v>
      </c>
      <c r="S207" s="1">
        <f ca="1">IF(ISERROR(F200),"",VLOOKUP(A200,INDIRECT($F$8),6+(O207-1)*3))</f>
        <v>100</v>
      </c>
      <c r="T207" s="1">
        <f ca="1">IF(ISERROR(F200),"",VLOOKUP(A200,INDIRECT($F$8),7+(O207-1)*3))</f>
        <v>50</v>
      </c>
      <c r="U207" s="1">
        <f ca="1">IF(ISERROR(F200),"",VLOOKUP(A200,INDIRECT($F$8),8+(O207-1)*3))</f>
        <v>150</v>
      </c>
      <c r="V207" s="1" t="str">
        <f ca="1">IF(ISERROR(F200),"",IF(N207=0,A207,""))</f>
        <v>CAT 030</v>
      </c>
      <c r="W207" s="1">
        <f ca="1">IF(ISERROR(F200),"",IF(ISTEXT(VLOOKUP(B200,INDIRECT($F$8),6+(O207-1)*3)),11,IF(VLOOKUP(B200,INDIRECT($F$8),6+(O207-1)*3)&lt;S207*0.3,IF(VLOOKUP(B200,INDIRECT($F$8),8+(O207-1)*3)&lt;U207*0.4,IF(AND(0.4*U207-VLOOKUP(B200,INDIRECT($F$8),8+(O207-1)*3)&lt;=5,0.3*S207-VLOOKUP(B200,INDIRECT($F$8),6+(O207-1)*3)&lt;=5),MAX(0.4*U207-VLOOKUP(B200,INDIRECT($F$8),8+(O207-1)*3),0.3*S207-VLOOKUP(B200,INDIRECT($F$8),6+(O207-1)*3)),11),IF(0.3*S207-VLOOKUP(B200,INDIRECT($F$8),6+(O207-1)*3)&lt;=5,0.3*S207-VLOOKUP(B200,INDIRECT($F$8),6+(O207-1)*3),11)),IF(VLOOKUP(B200,INDIRECT($F$8),8+(O207-1)*3)&lt;U207*0.4,IF(U207*0.4-VLOOKUP(B200,INDIRECT($F$8),8+(O207-1)*3)&lt;=5,U207*0.4-VLOOKUP(B200,INDIRECT($F$8),8+(O207-1)*3),11),0))))</f>
        <v>11</v>
      </c>
      <c r="X207" s="1" t="str">
        <f ca="1">IF(ISERROR(F200),"",IF(W207=0,"",_xlfn.TEXTJOIN("",FALSE," G+",W207," in ",A207)))</f>
        <v xml:space="preserve"> G+11 in CAT 030</v>
      </c>
    </row>
    <row r="208" spans="1:24" ht="12.75" customHeight="1" x14ac:dyDescent="0.2">
      <c r="A208" s="7" t="str">
        <f ca="1">IF(ISERROR(F200),"",VLOOKUP(C200,INDIRECT($F$8),6+(O208-1)*3,0))</f>
        <v>Enroll No.</v>
      </c>
      <c r="B208" s="41">
        <f ca="1">IF(ISERROR(F200),"",VLOOKUP(D200,INDIRECT($F$8),6+(O208-1)*3,0))</f>
        <v>0</v>
      </c>
      <c r="C208" s="41"/>
      <c r="D208" s="41"/>
      <c r="E208" s="41"/>
      <c r="F208" s="7">
        <f ca="1">IF(ISERROR(F200),"",VLOOKUP(E200,INDIRECT($F$8),6+(O208-1)*3,0))</f>
        <v>0</v>
      </c>
      <c r="G208" s="42" t="str">
        <f ca="1">IF(ISERROR(F200),"",_xlfn.TEXTJOIN("/",FALSE,P208,S208))</f>
        <v>UTU/2406100175/0</v>
      </c>
      <c r="H208" s="42"/>
      <c r="I208" s="42" t="str">
        <f ca="1">IF(ISERROR(F200),"",_xlfn.TEXTJOIN("/",FALSE,Q208,T208))</f>
        <v>KRISHNA BHATT/0</v>
      </c>
      <c r="J208" s="42"/>
      <c r="K208" s="42" t="str">
        <f ca="1">IF(ISERROR(F200),"",_xlfn.TEXTJOIN("/",FALSE,R208,U208))</f>
        <v>0/0</v>
      </c>
      <c r="L208" s="42"/>
      <c r="M208" s="7" t="b">
        <f ca="1">IF(ISERROR(F200),"",IF(ISTEXT(P208),IF(P208="A","Ab",IF(P208="D","Dt",IF(P208="UFM","UFM",IF(P208="NA","")))),IF(AND(ISBLANK(P208),ISBLANK(R208)),"",IF(P208&lt;0.3*S208,"F",IF(ISBLANK(R208),"",IF(ISTEXT(R208),R208,IF(R208&gt;=0.9*U208,"O",IF(R208&gt;=0.85*U208,"A+",IF(R208&gt;=0.8*U208,"A",IF(R208&gt;=0.7*U208,"B+",IF(R208&gt;=0.6*U208,"B",IF(R208&gt;=0.5*U208,"C",IF(R208&gt;=0.4*U208,"P",IF(R208&lt;0.4*U208,"F",R208))))))))))))))</f>
        <v>0</v>
      </c>
      <c r="N208" s="8" t="e">
        <f t="shared" ca="1" si="12"/>
        <v>#N/A</v>
      </c>
      <c r="O208" t="b" cm="1">
        <f t="array" aca="1" ref="O208" ca="1">IF(NOT(ISBLANK(INDIRECT("SEM_IV!R"&amp;INT((ROW(O208)-16)/16)+6))),5,IF(NOT(ISBLANK(INDIRECT("SEM_IV!U"&amp;INT((ROW(O208)-16)/16)+6))),6))</f>
        <v>0</v>
      </c>
      <c r="P208" s="1" t="str">
        <f ca="1">IF(ISERROR(F200),"",IF(ISTEXT(VLOOKUP(B200,INDIRECT($F$8),6+(O208-1)*3)),(VLOOKUP(B200,INDIRECT($F$8),6+(O208-1)*3)),SUM(VLOOKUP(B200,INDIRECT($F$8),6+(O208-1)*3),IF(W212,W208,0))))</f>
        <v>UTU/2406100175</v>
      </c>
      <c r="Q208" s="1" t="str">
        <f ca="1">IF(ISERROR(F200),"",VLOOKUP(B200,INDIRECT($F$8),7+(O208-1)*3))</f>
        <v>KRISHNA BHATT</v>
      </c>
      <c r="R208" s="1">
        <f ca="1">IF(ISERROR(F200),"",SUM(P208:Q208))</f>
        <v>0</v>
      </c>
      <c r="S208" s="1">
        <f ca="1">IF(ISERROR(F200),"",VLOOKUP(A200,INDIRECT($F$8),6+(O208-1)*3))</f>
        <v>0</v>
      </c>
      <c r="T208" s="1">
        <f ca="1">IF(ISERROR(F200),"",VLOOKUP(A200,INDIRECT($F$8),7+(O208-1)*3))</f>
        <v>0</v>
      </c>
      <c r="U208" s="1">
        <f ca="1">IF(ISERROR(F200),"",VLOOKUP(A200,INDIRECT($F$8),8+(O208-1)*3))</f>
        <v>0</v>
      </c>
      <c r="V208" s="1" t="e">
        <f ca="1">IF(ISERROR(F200),"",IF(N208=0,A208,""))</f>
        <v>#N/A</v>
      </c>
      <c r="W208" s="1">
        <f ca="1">IF(ISERROR(F200),"",IF(ISTEXT(VLOOKUP(B200,INDIRECT($F$8),6+(O208-1)*3)),11,IF(VLOOKUP(B200,INDIRECT($F$8),6+(O208-1)*3)&lt;S208*0.3,IF(VLOOKUP(B200,INDIRECT($F$8),8+(O208-1)*3)&lt;U208*0.4,IF(AND(0.4*U208-VLOOKUP(B200,INDIRECT($F$8),8+(O208-1)*3)&lt;=5,0.3*S208-VLOOKUP(B200,INDIRECT($F$8),6+(O208-1)*3)&lt;=5),MAX(0.4*U208-VLOOKUP(B200,INDIRECT($F$8),8+(O208-1)*3),0.3*S208-VLOOKUP(B200,INDIRECT($F$8),6+(O208-1)*3)),11),IF(0.3*S208-VLOOKUP(B200,INDIRECT($F$8),6+(O208-1)*3)&lt;=5,0.3*S208-VLOOKUP(B200,INDIRECT($F$8),6+(O208-1)*3),11)),IF(VLOOKUP(B200,INDIRECT($F$8),8+(O208-1)*3)&lt;U208*0.4,IF(U208*0.4-VLOOKUP(B200,INDIRECT($F$8),8+(O208-1)*3)&lt;=5,U208*0.4-VLOOKUP(B200,INDIRECT($F$8),8+(O208-1)*3),11),0))))</f>
        <v>11</v>
      </c>
      <c r="X208" s="1" t="str">
        <f ca="1">IF(ISERROR(F200),"",IF(W208=0,"",_xlfn.TEXTJOIN("",FALSE," G+",W208," in ",A208)))</f>
        <v xml:space="preserve"> G+11 in Enroll No.</v>
      </c>
    </row>
    <row r="209" spans="1:24" ht="12.75" customHeight="1" x14ac:dyDescent="0.2">
      <c r="A209" s="7" t="str">
        <f ca="1">IF(ISERROR(F200),"",VLOOKUP(C200,INDIRECT($F$8),6+(O209-1)*3,0))</f>
        <v>CAP 011</v>
      </c>
      <c r="B209" s="41" t="str">
        <f ca="1">IF(ISERROR(F200),"",VLOOKUP(D200,INDIRECT($F$8),6+(O209-1)*3,0))</f>
        <v>Network Security Lab</v>
      </c>
      <c r="C209" s="41"/>
      <c r="D209" s="41"/>
      <c r="E209" s="41"/>
      <c r="F209" s="7">
        <f ca="1">IF(ISERROR(F200),"",VLOOKUP(E200,INDIRECT($F$8),6+(O209-1)*3,0))</f>
        <v>1</v>
      </c>
      <c r="G209" s="42" t="str">
        <f ca="1">IF(ISERROR(F200),"",_xlfn.TEXTJOIN("/",FALSE,P209,S209))</f>
        <v>0/30</v>
      </c>
      <c r="H209" s="42"/>
      <c r="I209" s="42" t="str">
        <f ca="1">IF(ISERROR(F200),"",_xlfn.TEXTJOIN("/",FALSE,Q209,T209))</f>
        <v>0/20</v>
      </c>
      <c r="J209" s="42"/>
      <c r="K209" s="42" t="str">
        <f ca="1">IF(ISERROR(F200),"",_xlfn.TEXTJOIN("/",FALSE,R209,U209))</f>
        <v>0/50</v>
      </c>
      <c r="L209" s="42"/>
      <c r="M209" s="7" t="str">
        <f ca="1">IF(ISERROR(F200),"",IF(ISTEXT(P209),IF(P209="A","Ab",IF(P209="D","Dt",IF(P209="UFM","UFM",IF(P209="NA","")))),IF(AND(ISBLANK(P209),ISBLANK(R209)),"",IF(P209&lt;0.3*S209,"F",IF(ISBLANK(R209),"",IF(ISTEXT(R209),R209,IF(R209&gt;=0.9*U209,"O",IF(R209&gt;=0.85*U209,"A+",IF(R209&gt;=0.8*U209,"A",IF(R209&gt;=0.7*U209,"B+",IF(R209&gt;=0.6*U209,"B",IF(R209&gt;=0.5*U209,"C",IF(R209&gt;=0.4*U209,"P",IF(R209&lt;0.4*U209,"F",R209))))))))))))))</f>
        <v>F</v>
      </c>
      <c r="N209" s="8">
        <f t="shared" ca="1" si="12"/>
        <v>0</v>
      </c>
      <c r="O209">
        <f ca="1">IF(O208&gt;0,7,"")</f>
        <v>7</v>
      </c>
      <c r="P209" s="1">
        <f ca="1">IF(ISERROR(F200),"",IF(ISTEXT(VLOOKUP(B200,INDIRECT($F$8),6+(O209-1)*3)),(VLOOKUP(B200,INDIRECT($F$8),6+(O209-1)*3)),SUM(VLOOKUP(B200,INDIRECT($F$8),6+(O209-1)*3),IF(W212,W209,0))))</f>
        <v>0</v>
      </c>
      <c r="Q209" s="1">
        <f ca="1">IF(ISERROR(F200),"",VLOOKUP(B200,INDIRECT($F$8),7+(O209-1)*3))</f>
        <v>0</v>
      </c>
      <c r="R209" s="1">
        <f ca="1">IF(ISERROR(F200),"",SUM(P209:Q209))</f>
        <v>0</v>
      </c>
      <c r="S209" s="1">
        <f ca="1">IF(ISERROR(F200),"",VLOOKUP(A200,INDIRECT($F$8),6+(O209-1)*3))</f>
        <v>30</v>
      </c>
      <c r="T209" s="1">
        <f ca="1">IF(ISERROR(F200),"",VLOOKUP(A200,INDIRECT($F$8),7+(O209-1)*3))</f>
        <v>20</v>
      </c>
      <c r="U209" s="1">
        <f ca="1">IF(ISERROR(F200),"",VLOOKUP(A200,INDIRECT($F$8),8+(O209-1)*3))</f>
        <v>50</v>
      </c>
      <c r="V209" s="1" t="str">
        <f ca="1">IF(ISERROR(F200),"",IF(N209=0,A209,""))</f>
        <v>CAP 011</v>
      </c>
      <c r="W209" s="1">
        <f ca="1">IF(ISERROR(F200),"",IF(ISTEXT(VLOOKUP(B200,INDIRECT($F$8),6+(O209-1)*3)),11,IF(VLOOKUP(B200,INDIRECT($F$8),6+(O209-1)*3)&lt;S209*0.3,IF(VLOOKUP(B200,INDIRECT($F$8),8+(O209-1)*3)&lt;U209*0.4,IF(AND(0.4*U209-VLOOKUP(B200,INDIRECT($F$8),8+(O209-1)*3)&lt;=5,0.3*S209-VLOOKUP(B200,INDIRECT($F$8),6+(O209-1)*3)&lt;=5),MAX(0.4*U209-VLOOKUP(B200,INDIRECT($F$8),8+(O209-1)*3),0.3*S209-VLOOKUP(B200,INDIRECT($F$8),6+(O209-1)*3)),11),IF(0.3*S209-VLOOKUP(B200,INDIRECT($F$8),6+(O209-1)*3)&lt;=5,0.3*S209-VLOOKUP(B200,INDIRECT($F$8),6+(O209-1)*3),11)),IF(VLOOKUP(B200,INDIRECT($F$8),8+(O209-1)*3)&lt;U209*0.4,IF(U209*0.4-VLOOKUP(B200,INDIRECT($F$8),8+(O209-1)*3)&lt;=5,U209*0.4-VLOOKUP(B200,INDIRECT($F$8),8+(O209-1)*3),11),0))))</f>
        <v>11</v>
      </c>
      <c r="X209" s="1" t="str">
        <f ca="1">IF(ISERROR(F200),"",IF(W209=0,"",_xlfn.TEXTJOIN("",FALSE," G+",W209," in ",A209)))</f>
        <v xml:space="preserve"> G+11 in CAP 011</v>
      </c>
    </row>
    <row r="210" spans="1:24" ht="12.75" customHeight="1" x14ac:dyDescent="0.2">
      <c r="A210" s="7" t="str">
        <f ca="1">IF(ISERROR(F200),"",VLOOKUP(C200,INDIRECT($F$8),6+(O210-1)*3,0))</f>
        <v>Enroll No.</v>
      </c>
      <c r="B210" s="41">
        <f ca="1">IF(ISERROR(F200),"",VLOOKUP(D200,INDIRECT($F$8),6+(O210-1)*3,0))</f>
        <v>0</v>
      </c>
      <c r="C210" s="41"/>
      <c r="D210" s="41"/>
      <c r="E210" s="41"/>
      <c r="F210" s="7">
        <f ca="1">IF(ISERROR(F200),"",VLOOKUP(E200,INDIRECT($F$8),6+(O210-1)*3,0))</f>
        <v>0</v>
      </c>
      <c r="G210" s="42" t="str">
        <f ca="1">IF(ISERROR(F200),"",_xlfn.TEXTJOIN("/",FALSE,P210,S210))</f>
        <v>UTU/2406100175/0</v>
      </c>
      <c r="H210" s="42"/>
      <c r="I210" s="42" t="str">
        <f ca="1">IF(ISERROR(F200),"",_xlfn.TEXTJOIN("/",FALSE,Q210,T210))</f>
        <v>KRISHNA BHATT/0</v>
      </c>
      <c r="J210" s="42"/>
      <c r="K210" s="42" t="str">
        <f ca="1">IF(ISERROR(F200),"",_xlfn.TEXTJOIN("/",FALSE,R210,U210))</f>
        <v>0/0</v>
      </c>
      <c r="L210" s="42"/>
      <c r="M210" s="7" t="b">
        <f ca="1">IF(ISERROR(F200),"",IF(ISTEXT(P210),IF(P210="A","Ab",IF(P210="D","Dt",IF(P210="UFM","UFM",IF(P210="NA","")))),IF(AND(ISBLANK(P210),ISBLANK(R210)),"",IF(P210&lt;0.3*S210,"F",IF(ISBLANK(R210),"",IF(ISTEXT(R210),R210,IF(R210&gt;=0.9*U210,"O",IF(R210&gt;=0.85*U210,"A+",IF(R210&gt;=0.8*U210,"A",IF(R210&gt;=0.7*U210,"B+",IF(R210&gt;=0.6*U210,"B",IF(R210&gt;=0.5*U210,"C",IF(R210&gt;=0.4*U210,"P",IF(R210&lt;0.4*U210,"F",R210))))))))))))))</f>
        <v>0</v>
      </c>
      <c r="N210" s="8" t="e">
        <f t="shared" ca="1" si="12"/>
        <v>#N/A</v>
      </c>
      <c r="O210" t="b" cm="1">
        <f t="array" aca="1" ref="O210" ca="1">IF(NOT(ISBLANK(INDIRECT("SEM_IV!AA"&amp;INT((ROW(O210)-18)/16)+6))),8,IF(NOT(ISBLANK(INDIRECT("SEM_IV!AD"&amp;INT((ROW(O210)-18)/16)+6))),9))</f>
        <v>0</v>
      </c>
      <c r="P210" s="1" t="str">
        <f ca="1">IF(ISERROR(F200),"",IF(ISTEXT(VLOOKUP(B200,INDIRECT($F$8),6+(O210-1)*3)),(VLOOKUP(B200,INDIRECT($F$8),6+(O210-1)*3)),SUM(VLOOKUP(B200,INDIRECT($F$8),6+(O210-1)*3),IF(W212,W210,0))))</f>
        <v>UTU/2406100175</v>
      </c>
      <c r="Q210" s="1" t="str">
        <f ca="1">IF(ISERROR(F200),"",VLOOKUP(B200,INDIRECT($F$8),7+(O210-1)*3))</f>
        <v>KRISHNA BHATT</v>
      </c>
      <c r="R210" s="1">
        <f ca="1">IF(ISERROR(F200),"",SUM(P210:Q210))</f>
        <v>0</v>
      </c>
      <c r="S210" s="1">
        <f ca="1">IF(ISERROR(F200),"",VLOOKUP(A200,INDIRECT($F$8),6+(O210-1)*3))</f>
        <v>0</v>
      </c>
      <c r="T210" s="1">
        <f ca="1">IF(ISERROR(F200),"",VLOOKUP(A200,INDIRECT($F$8),7+(O210-1)*3))</f>
        <v>0</v>
      </c>
      <c r="U210" s="1">
        <f ca="1">IF(ISERROR(F200),"",VLOOKUP(A200,INDIRECT($F$8),8+(O210-1)*3))</f>
        <v>0</v>
      </c>
      <c r="V210" s="1" t="e">
        <f ca="1">IF(ISERROR(F200),"",IF(N210=0,A210,""))</f>
        <v>#N/A</v>
      </c>
      <c r="W210" s="1">
        <f ca="1">IF(ISERROR(F200),"",IF(ISTEXT(VLOOKUP(B200,INDIRECT($F$8),6+(O210-1)*3)),11,IF(VLOOKUP(B200,INDIRECT($F$8),6+(O210-1)*3)&lt;S210*0.3,IF(VLOOKUP(B200,INDIRECT($F$8),8+(O210-1)*3)&lt;U210*0.4,IF(AND(0.4*U210-VLOOKUP(B200,INDIRECT($F$8),8+(O210-1)*3)&lt;=5,0.3*S210-VLOOKUP(B200,INDIRECT($F$8),6+(O210-1)*3)&lt;=5),MAX(0.4*U210-VLOOKUP(B200,INDIRECT($F$8),8+(O210-1)*3),0.3*S210-VLOOKUP(B200,INDIRECT($F$8),6+(O210-1)*3)),11),IF(0.3*S210-VLOOKUP(B200,INDIRECT($F$8),6+(O210-1)*3)&lt;=5,0.3*S210-VLOOKUP(B200,INDIRECT($F$8),6+(O210-1)*3),11)),IF(VLOOKUP(B200,INDIRECT($F$8),8+(O210-1)*3)&lt;U210*0.4,IF(U210*0.4-VLOOKUP(B200,INDIRECT($F$8),8+(O210-1)*3)&lt;=5,U210*0.4-VLOOKUP(B200,INDIRECT($F$8),8+(O210-1)*3),11),0))))</f>
        <v>11</v>
      </c>
      <c r="X210" s="1" t="str">
        <f ca="1">IF(ISERROR(F200),"",IF(W210=0,"",_xlfn.TEXTJOIN("",FALSE," G+",W210," in ",A210)))</f>
        <v xml:space="preserve"> G+11 in Enroll No.</v>
      </c>
    </row>
    <row r="211" spans="1:24" ht="12.75" customHeight="1" x14ac:dyDescent="0.2">
      <c r="A211" s="7" t="str">
        <f ca="1">IF(ISERROR(F200),"",VLOOKUP(C200,INDIRECT($F$8),6+(O211-1)*3,0))</f>
        <v>CAP 013</v>
      </c>
      <c r="B211" s="41" t="str">
        <f ca="1">IF(ISERROR(F200),"",VLOOKUP(D200,INDIRECT($F$8),6+(O211-1)*3-Z211,0))</f>
        <v>Major Project</v>
      </c>
      <c r="C211" s="41"/>
      <c r="D211" s="41"/>
      <c r="E211" s="41"/>
      <c r="F211" s="7">
        <f ca="1">IF(ISERROR(F200),"",VLOOKUP(E200,INDIRECT($F$8),6+(O211-1)*3,0))</f>
        <v>6</v>
      </c>
      <c r="G211" s="42" t="str">
        <f ca="1">IF(ISERROR(F200),"",_xlfn.TEXTJOIN("/",FALSE,P211,S211))</f>
        <v>0/200</v>
      </c>
      <c r="H211" s="42"/>
      <c r="I211" s="42" t="str">
        <f ca="1">IF(ISERROR(F200),"",_xlfn.TEXTJOIN("/",FALSE,Q211,T211))</f>
        <v>0/100</v>
      </c>
      <c r="J211" s="42"/>
      <c r="K211" s="42" t="str">
        <f ca="1">IF(ISERROR(F200),"",_xlfn.TEXTJOIN("/",FALSE,R211,U211))</f>
        <v>0/300</v>
      </c>
      <c r="L211" s="42"/>
      <c r="M211" s="7" t="str">
        <f ca="1">IF(ISERROR(F200),"",IF(ISTEXT(P211),IF(P211="A","Ab",IF(P211="D","Dt",IF(P211="UFM","UFM",IF(P211="NA","")))),IF(AND(ISBLANK(P211),ISBLANK(R211)),"",IF(P211&lt;0.3*S211,"F",IF(ISBLANK(R211),"",IF(ISTEXT(R211),R211,IF(R211&gt;=0.9*U211,"O",IF(R211&gt;=0.85*U211,"A+",IF(R211&gt;=0.8*U211,"A",IF(R211&gt;=0.7*U211,"B+",IF(R211&gt;=0.6*U211,"B",IF(R211&gt;=0.5*U211,"C",IF(R211&gt;=0.4*U211,"P",IF(R211&lt;0.4*U211,"F",R211))))))))))))))</f>
        <v>F</v>
      </c>
      <c r="N211" s="8">
        <f t="shared" ca="1" si="12"/>
        <v>0</v>
      </c>
      <c r="O211">
        <f ca="1">IF(O210&gt;0,10,"")</f>
        <v>10</v>
      </c>
      <c r="P211" s="1">
        <f ca="1">IF(ISERROR(F200),"",IF(ISTEXT(VLOOKUP(B200,INDIRECT($F$8),6+(O211-1)*3)),(VLOOKUP(B200,INDIRECT($F$8),6+(O211-1)*3)),SUM(VLOOKUP(B200,INDIRECT($F$8),6+(O211-1)*3),IF(W212,W211,0))))</f>
        <v>0</v>
      </c>
      <c r="Q211" s="1">
        <f ca="1">IF(ISERROR(F200),"",VLOOKUP(B200,INDIRECT($F$8),7+(O211-1)*3))</f>
        <v>0</v>
      </c>
      <c r="R211" s="1">
        <f ca="1">IF(ISERROR(F200),"",SUM(P211:Q211))</f>
        <v>0</v>
      </c>
      <c r="S211" s="1">
        <f ca="1">IF(ISERROR(F200),"",VLOOKUP(A200,INDIRECT($F$8),6+(O211-1)*3))</f>
        <v>200</v>
      </c>
      <c r="T211" s="1">
        <f ca="1">IF(ISERROR(F200),"",VLOOKUP(A200,INDIRECT($F$8),7+(O211-1)*3))</f>
        <v>100</v>
      </c>
      <c r="U211" s="1">
        <f ca="1">IF(ISERROR(F200),"",VLOOKUP(A200,INDIRECT($F$8),8+(O211-1)*3))</f>
        <v>300</v>
      </c>
      <c r="V211" s="1" t="str">
        <f ca="1">IF(ISERROR(F200),"",IF(N211=0,A211,""))</f>
        <v>CAP 013</v>
      </c>
      <c r="W211" s="1">
        <f ca="1">IF(ISERROR(F200),"",IF(ISTEXT(VLOOKUP(B200,INDIRECT($F$8),6+(O211-1)*3)),11,IF(VLOOKUP(B200,INDIRECT($F$8),6+(O211-1)*3)&lt;S211*0.3,IF(VLOOKUP(B200,INDIRECT($F$8),8+(O211-1)*3)&lt;U211*0.4,IF(AND(0.4*U211-VLOOKUP(B200,INDIRECT($F$8),8+(O211-1)*3)&lt;=5,0.3*S211-VLOOKUP(B200,INDIRECT($F$8),6+(O211-1)*3)&lt;=5),MAX(0.4*U211-VLOOKUP(B200,INDIRECT($F$8),8+(O211-1)*3),0.3*S211-VLOOKUP(B200,INDIRECT($F$8),6+(O211-1)*3)),11),IF(0.3*S211-VLOOKUP(B200,INDIRECT($F$8),6+(O211-1)*3)&lt;=5,0.3*S211-VLOOKUP(B200,INDIRECT($F$8),6+(O211-1)*3),11)),IF(VLOOKUP(B200,INDIRECT($F$8),8+(O211-1)*3)&lt;U211*0.4,IF(U211*0.4-VLOOKUP(B200,INDIRECT($F$8),8+(O211-1)*3)&lt;=5,U211*0.4-VLOOKUP(B200,INDIRECT($F$8),8+(O211-1)*3),11),0))))</f>
        <v>11</v>
      </c>
      <c r="X211" s="1" t="str">
        <f ca="1">IF(ISERROR(F200),"",IF(W211=0,"",_xlfn.TEXTJOIN("",FALSE," G+",W211," in ",A211)))</f>
        <v xml:space="preserve"> G+11 in CAP 013</v>
      </c>
    </row>
    <row r="212" spans="1:24" ht="12.75" customHeight="1" x14ac:dyDescent="0.2">
      <c r="A212" s="43" t="str">
        <f ca="1">IF(ISERROR(F200),"",A196)</f>
        <v>Total Credits/ Marks/ Total Grade Points</v>
      </c>
      <c r="B212" s="43"/>
      <c r="C212" s="43"/>
      <c r="D212" s="43"/>
      <c r="E212" s="43"/>
      <c r="F212" s="10">
        <f ca="1">IF(ISERROR(F200),"",SUM(F205:F211))</f>
        <v>15</v>
      </c>
      <c r="G212" s="44" t="str">
        <f ca="1">IF(ISERROR(F200),"",_xlfn.TEXTJOIN("/",TRUE,SUMIF(F205:F211,"&gt;0",P205:P211),SUMIF(F205:F211,"&gt;0",S205:S211)))</f>
        <v>0/430</v>
      </c>
      <c r="H212" s="44"/>
      <c r="I212" s="44" t="str">
        <f ca="1">IF(ISERROR(F200),"",_xlfn.TEXTJOIN("/",TRUE,SUMIF(F205:F211,"&gt;0",Q205:Q211),SUMIF(F205:F211,"&gt;0",T205:T211)))</f>
        <v>0/220</v>
      </c>
      <c r="J212" s="44"/>
      <c r="K212" s="44" t="str">
        <f ca="1">IF(ISERROR(F200),"",_xlfn.TEXTJOIN("/",TRUE,SUMIF(F205:F211,"&gt;0",R205:R211),SUMIF(F205:F211,"&gt;0",U205:U211)))</f>
        <v>0/650</v>
      </c>
      <c r="L212" s="44"/>
      <c r="M212" s="43" t="e">
        <f ca="1">IF(ISERROR(F200),"",SUMPRODUCT(N205:N211,F205:F211))</f>
        <v>#N/A</v>
      </c>
      <c r="N212" s="43"/>
      <c r="V212" s="1" t="e">
        <f ca="1">IF(ISERROR(F200),"",_xlfn.TEXTJOIN(", ",TRUE,V205:V211))</f>
        <v>#N/A</v>
      </c>
      <c r="W212" t="b">
        <f ca="1">IF(ISERROR(F200),"",IF(SUM(W205:W211)&lt;=W204,TRUE,FALSE))</f>
        <v>0</v>
      </c>
      <c r="X212" s="1" t="str">
        <f ca="1">IF(ISERROR(F200),"",_xlfn.TEXTJOIN(",",TRUE,X205:X211))</f>
        <v xml:space="preserve"> G+11 in CAT 022, G+11 in Enroll No., G+11 in CAT 030, G+11 in Enroll No., G+11 in CAP 011, G+11 in Enroll No., G+11 in CAP 013</v>
      </c>
    </row>
    <row r="213" spans="1:24" ht="12.75" customHeight="1" x14ac:dyDescent="0.2">
      <c r="A213" s="43" t="str">
        <f ca="1">IF(ISERROR(F200),"",A197)</f>
        <v>Result:</v>
      </c>
      <c r="B213" s="45" t="e">
        <f ca="1">IF(ISERROR(F200),"",IF(V212="","PASS","CARRY OVER"))</f>
        <v>#N/A</v>
      </c>
      <c r="C213" s="45"/>
      <c r="D213" s="43" t="str">
        <f ca="1">IF(ISERROR(F200),"",D197)</f>
        <v>Remark:</v>
      </c>
      <c r="E213" s="45" t="e">
        <f ca="1">IF(ISERROR(F200),"",IF(V212="",IF(X212="","",X212),_xlfn.TEXTJOIN(" ",TRUE,"BACK IN",V212)))</f>
        <v>#N/A</v>
      </c>
      <c r="F213" s="45"/>
      <c r="G213" s="43" t="str">
        <f ca="1">IF(ISERROR(F200),"",G197)</f>
        <v>SGPA:</v>
      </c>
      <c r="H213" s="46" t="e">
        <f ca="1">IF(ISERROR(F200),"",M212/F212)</f>
        <v>#N/A</v>
      </c>
      <c r="I213" s="43" t="str">
        <f ca="1">IF(ISERROR(F200),"",I197)</f>
        <v>CGPA:</v>
      </c>
      <c r="J213" s="46" t="e">
        <f ca="1">IF(ISERROR(F200),"",VLOOKUP(B200,INDIRECT($F$8),12+(O211-1)*3,0))</f>
        <v>#N/A</v>
      </c>
      <c r="K213" s="45" t="str">
        <f ca="1">IF(ISERROR(F200),"",K197)</f>
        <v>Earned Credits:</v>
      </c>
      <c r="L213" s="43">
        <f ca="1">IF(ISERROR(F200),"",SUMIF(N205:N211,"&gt;0",F205:F211))</f>
        <v>0</v>
      </c>
      <c r="M213" s="45" t="str">
        <f ca="1">IF(ISERROR(F200),"",M197)</f>
        <v>Cuml. Earned Credits:</v>
      </c>
      <c r="N213" s="43" t="e">
        <f ca="1">IF(ISERROR(F200),"",VLOOKUP(B200,INDIRECT($F$8),10+(O211-1)*3,0))</f>
        <v>#N/A</v>
      </c>
    </row>
    <row r="214" spans="1:24" ht="12.75" customHeight="1" x14ac:dyDescent="0.2">
      <c r="A214" s="43"/>
      <c r="B214" s="45"/>
      <c r="C214" s="45"/>
      <c r="D214" s="43"/>
      <c r="E214" s="45"/>
      <c r="F214" s="45"/>
      <c r="G214" s="43"/>
      <c r="H214" s="46"/>
      <c r="I214" s="43"/>
      <c r="J214" s="46"/>
      <c r="K214" s="45"/>
      <c r="L214" s="43"/>
      <c r="M214" s="45"/>
      <c r="N214" s="43"/>
    </row>
    <row r="215" spans="1:24" ht="12.75" customHeight="1" x14ac:dyDescent="0.2">
      <c r="A215" s="43"/>
      <c r="B215" s="45"/>
      <c r="C215" s="45"/>
      <c r="D215" s="43"/>
      <c r="E215" s="45"/>
      <c r="F215" s="45"/>
      <c r="G215" s="43"/>
      <c r="H215" s="46"/>
      <c r="I215" s="43"/>
      <c r="J215" s="46"/>
      <c r="K215" s="45"/>
      <c r="L215" s="43"/>
      <c r="M215" s="45"/>
      <c r="N215" s="43"/>
    </row>
    <row r="216" spans="1:24" ht="12.75" customHeight="1" x14ac:dyDescent="0.2">
      <c r="A216" s="11" t="str">
        <f>A200</f>
        <v>MM</v>
      </c>
      <c r="B216" s="11">
        <f>B200+1</f>
        <v>14</v>
      </c>
      <c r="C216" s="11" t="str">
        <f>C200</f>
        <v>SC</v>
      </c>
      <c r="D216" s="11" t="str">
        <f>D200</f>
        <v>SN</v>
      </c>
      <c r="E216" s="11" t="str">
        <f>E200</f>
        <v>C</v>
      </c>
      <c r="F216" s="11" t="str">
        <f ca="1">VLOOKUP(B216,INDIRECT($F$8),4,0)</f>
        <v>MANSI SAINI</v>
      </c>
    </row>
    <row r="217" spans="1:24" ht="12.75" customHeight="1" x14ac:dyDescent="0.2">
      <c r="A217" s="47" t="str">
        <f ca="1">IF(ISERROR(F216),"",A201)</f>
        <v>Name:</v>
      </c>
      <c r="B217" s="47" t="str">
        <f ca="1">IFERROR(VLOOKUP(B216,INDIRECT($F$8),4,0),"")</f>
        <v>MANSI SAINI</v>
      </c>
      <c r="C217" s="47"/>
      <c r="D217" s="47" t="str">
        <f ca="1">IF(ISERROR(F216),"",D201)</f>
        <v>Father's Name:</v>
      </c>
      <c r="E217" s="47" t="str">
        <f ca="1">IFERROR(VLOOKUP(B216,INDIRECT($F$8),5,0),"")</f>
        <v>ASHOK KUMAR SAINI</v>
      </c>
      <c r="F217" s="47"/>
      <c r="G217" s="47" t="str">
        <f ca="1">IF(ISERROR(F216),"",G201)</f>
        <v>University Roll No:</v>
      </c>
      <c r="H217" s="47"/>
      <c r="I217" s="48">
        <f ca="1">IFERROR(VLOOKUP(B216,INDIRECT($F$8),2,0),"")</f>
        <v>240090600014</v>
      </c>
      <c r="J217" s="48"/>
      <c r="K217" s="47" t="str">
        <f ca="1">IF(ISERROR(F216),"",K201)</f>
        <v>University Enrol. No:</v>
      </c>
      <c r="L217" s="47"/>
      <c r="M217" s="48" t="str">
        <f ca="1">IFERROR(VLOOKUP(B216,INDIRECT($F$8),3,0),"")</f>
        <v>UTU/2406100188</v>
      </c>
      <c r="N217" s="48"/>
    </row>
    <row r="218" spans="1:24" ht="12.75" customHeight="1" x14ac:dyDescent="0.2">
      <c r="A218" s="47"/>
      <c r="B218" s="47"/>
      <c r="C218" s="47"/>
      <c r="D218" s="47"/>
      <c r="E218" s="47"/>
      <c r="F218" s="47"/>
      <c r="G218" s="47"/>
      <c r="H218" s="47"/>
      <c r="I218" s="48"/>
      <c r="J218" s="48"/>
      <c r="K218" s="47"/>
      <c r="L218" s="47"/>
      <c r="M218" s="48"/>
      <c r="N218" s="48"/>
    </row>
    <row r="219" spans="1:24" ht="12.75" customHeight="1" x14ac:dyDescent="0.2">
      <c r="A219" s="45" t="str">
        <f ca="1">IF(ISERROR(F216),"",A203)</f>
        <v>Subject Code</v>
      </c>
      <c r="B219" s="45" t="str">
        <f ca="1">IF(ISERROR(F216),"",B203)</f>
        <v>Subject Name</v>
      </c>
      <c r="C219" s="45"/>
      <c r="D219" s="45"/>
      <c r="E219" s="45"/>
      <c r="F219" s="45" t="str">
        <f ca="1">IF(ISERROR(F216),"",F203)</f>
        <v>Credits</v>
      </c>
      <c r="G219" s="45" t="str">
        <f ca="1">IF(ISERROR(F216),"",G203)</f>
        <v>External Marks</v>
      </c>
      <c r="H219" s="45"/>
      <c r="I219" s="45" t="str">
        <f ca="1">IF(ISERROR(F216),"",I203)</f>
        <v>Sessional Marks</v>
      </c>
      <c r="J219" s="45"/>
      <c r="K219" s="45" t="str">
        <f ca="1">IF(ISERROR(F216),"",K203)</f>
        <v>Total Marks</v>
      </c>
      <c r="L219" s="45"/>
      <c r="M219" s="45" t="str">
        <f ca="1">IF(ISERROR(F216),"",M203)</f>
        <v>Grade</v>
      </c>
      <c r="N219" s="45" t="str">
        <f ca="1">IF(ISERROR(F216),"",N203)</f>
        <v>Grade Points</v>
      </c>
    </row>
    <row r="220" spans="1:24" ht="12.75" customHeight="1" x14ac:dyDescent="0.2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W220">
        <f ca="1">IF(ISNUMBER(MATCH($F$8,{"I","III","V","VII"},0)),10,10-INDEX(INDIRECT(_xlfn.TEXTJOIN("",TRUE,"SEM_",$G$8,"!",ADDRESS(6,4+$I$8*3+4),":",ADDRESS(5+$H$8,4+$I$8*3+4))),MATCH(INDIRECT(_xlfn.TEXTJOIN("",TRUE,"TC_",$F$8,"!",ADDRESS(ROW(I217),COLUMN(I217)))),INDIRECT(_xlfn.TEXTJOIN("",TRUE,"SEM_",$G$8,"!",ADDRESS(6,2),":",ADDRESS(5+$H$8,2))))))</f>
        <v>10</v>
      </c>
    </row>
    <row r="221" spans="1:24" ht="12.75" customHeight="1" x14ac:dyDescent="0.2">
      <c r="A221" s="7" t="str">
        <f ca="1">IF(ISERROR(F216),"",VLOOKUP(C216,INDIRECT($F$8),6+(O221-1)*3,0))</f>
        <v>CAT 022</v>
      </c>
      <c r="B221" s="41" t="str">
        <f ca="1">IF(ISERROR(F216),"",VLOOKUP(D216,INDIRECT($F$8),6+(O221-1)*3,0))</f>
        <v>Network Security</v>
      </c>
      <c r="C221" s="41"/>
      <c r="D221" s="41"/>
      <c r="E221" s="41"/>
      <c r="F221" s="7">
        <f ca="1">IF(ISERROR(F216),"",VLOOKUP(E216,INDIRECT($F$8),6+(O221-1)*3,0))</f>
        <v>4</v>
      </c>
      <c r="G221" s="42" t="str">
        <f ca="1">IF(ISERROR(F216),"",_xlfn.TEXTJOIN("/",FALSE,P221,S221))</f>
        <v>0/100</v>
      </c>
      <c r="H221" s="42"/>
      <c r="I221" s="42" t="str">
        <f ca="1">IF(ISERROR(F216),"",_xlfn.TEXTJOIN("/",FALSE,Q221,T221))</f>
        <v>0/50</v>
      </c>
      <c r="J221" s="42"/>
      <c r="K221" s="42" t="str">
        <f ca="1">IF(ISERROR(F216),"",_xlfn.TEXTJOIN("/",FALSE,R221,U221))</f>
        <v>0/150</v>
      </c>
      <c r="L221" s="42"/>
      <c r="M221" s="7" t="str">
        <f ca="1">IF(ISERROR(F216),"",IF(ISTEXT(P221),IF(P221="A","Ab",IF(P221="D","Dt",IF(P221="UFM","UFM",IF(P221="NA","")))),IF(AND(ISBLANK(P221),ISBLANK(R221)),"",IF(P221&lt;0.3*S221,"F",IF(ISBLANK(R221),"",IF(ISTEXT(R221),R221,IF(R221&gt;=0.9*U221,"O",IF(R221&gt;=0.85*U221,"A+",IF(R221&gt;=0.8*U221,"A",IF(R221&gt;=0.7*U221,"B+",IF(R221&gt;=0.6*U221,"B",IF(R221&gt;=0.5*U221,"C",IF(R221&gt;=0.4*U221,"P",IF(R221&lt;0.4*U221,"F",R221))))))))))))))</f>
        <v>F</v>
      </c>
      <c r="N221" s="8">
        <f t="shared" ref="N221:N227" ca="1" si="13">INDEX($Z$2:$Z$13,MATCH(M221,$Y$2:$Y$13,0))</f>
        <v>0</v>
      </c>
      <c r="O221">
        <v>1</v>
      </c>
      <c r="P221" s="1">
        <f ca="1">IF(ISERROR(F216),"",IF(ISTEXT(VLOOKUP(B216,INDIRECT($F$8),6+(O221-1)*3)),(VLOOKUP(B216,INDIRECT($F$8),6+(O221-1)*3)),SUM(VLOOKUP(B216,INDIRECT($F$8),6+(O221-1)*3),IF(W228,W221,0))))</f>
        <v>0</v>
      </c>
      <c r="Q221" s="1">
        <f ca="1">IF(ISERROR(F216),"",VLOOKUP(B216,INDIRECT($F$8),7+(O221-1)*3))</f>
        <v>0</v>
      </c>
      <c r="R221" s="1">
        <f ca="1">IF(ISERROR(F216),"",SUM(P221:Q221))</f>
        <v>0</v>
      </c>
      <c r="S221" s="1">
        <f ca="1">IF(ISERROR(F216),"",VLOOKUP(A216,INDIRECT($F$8),6+(O221-1)*3))</f>
        <v>100</v>
      </c>
      <c r="T221" s="1">
        <f ca="1">IF(ISERROR(F216),"",VLOOKUP(A216,INDIRECT($F$8),7+(O221-1)*3))</f>
        <v>50</v>
      </c>
      <c r="U221" s="1">
        <f ca="1">IF(ISERROR(F216),"",VLOOKUP(A216,INDIRECT($F$8),8+(O221-1)*3))</f>
        <v>150</v>
      </c>
      <c r="V221" s="1" t="str">
        <f ca="1">IF(ISERROR(F216),"",IF(N221=0,A221,""))</f>
        <v>CAT 022</v>
      </c>
      <c r="W221" s="1">
        <f ca="1">IF(ISERROR(F216),"",IF(ISTEXT(VLOOKUP(B216,INDIRECT($F$8),6+(O221-1)*3)),11,IF(VLOOKUP(B216,INDIRECT($F$8),6+(O221-1)*3)&lt;S221*0.3,IF(VLOOKUP(B216,INDIRECT($F$8),8+(O221-1)*3)&lt;U221*0.4,IF(AND(0.4*U221-VLOOKUP(B216,INDIRECT($F$8),8+(O221-1)*3)&lt;=5,0.3*S221-VLOOKUP(B216,INDIRECT($F$8),6+(O221-1)*3)&lt;=5),MAX(0.4*U221-VLOOKUP(B216,INDIRECT($F$8),8+(O221-1)*3),0.3*S221-VLOOKUP(B216,INDIRECT($F$8),6+(O221-1)*3)),11),IF(0.3*S221-VLOOKUP(B216,INDIRECT($F$8),6+(O221-1)*3)&lt;=5,0.3*S221-VLOOKUP(B216,INDIRECT($F$8),6+(O221-1)*3),11)),IF(VLOOKUP(B216,INDIRECT($F$8),8+(O221-1)*3)&lt;U221*0.4,IF(U221*0.4-VLOOKUP(B216,INDIRECT($F$8),8+(O221-1)*3)&lt;=5,U221*0.4-VLOOKUP(B216,INDIRECT($F$8),8+(O221-1)*3),11),0))))</f>
        <v>11</v>
      </c>
      <c r="X221" s="1" t="str">
        <f ca="1">IF(ISERROR(F216),"",IF(W221=0,"",_xlfn.TEXTJOIN("",FALSE," G+",W221," in ",A221)))</f>
        <v xml:space="preserve"> G+11 in CAT 022</v>
      </c>
    </row>
    <row r="222" spans="1:24" ht="12.75" customHeight="1" x14ac:dyDescent="0.2">
      <c r="A222" s="7" t="str">
        <f ca="1">IF(ISERROR(F216),"",VLOOKUP(C216,INDIRECT($F$8),6+(O222-1)*3,0))</f>
        <v>Enroll No.</v>
      </c>
      <c r="B222" s="41">
        <f ca="1">IF(ISERROR(F216),"",VLOOKUP(D216,INDIRECT($F$8),6+(O222-1)*3,0))</f>
        <v>0</v>
      </c>
      <c r="C222" s="41"/>
      <c r="D222" s="41"/>
      <c r="E222" s="41"/>
      <c r="F222" s="7">
        <f ca="1">IF(ISERROR(F216),"",VLOOKUP(E216,INDIRECT($F$8),6+(O222-1)*3,0))</f>
        <v>0</v>
      </c>
      <c r="G222" s="42" t="str">
        <f ca="1">IF(ISERROR(F216),"",_xlfn.TEXTJOIN("/",FALSE,P222,S222))</f>
        <v>UTU/2406100188/0</v>
      </c>
      <c r="H222" s="42"/>
      <c r="I222" s="42" t="str">
        <f ca="1">IF(ISERROR(F216),"",_xlfn.TEXTJOIN("/",FALSE,Q222,T222))</f>
        <v>MANSI SAINI/0</v>
      </c>
      <c r="J222" s="42"/>
      <c r="K222" s="42" t="str">
        <f ca="1">IF(ISERROR(F216),"",_xlfn.TEXTJOIN("/",FALSE,R222,U222))</f>
        <v>0/0</v>
      </c>
      <c r="L222" s="42"/>
      <c r="M222" s="7" t="b">
        <f ca="1">IF(ISERROR(F216),"",IF(ISTEXT(P222),IF(P222="A","Ab",IF(P222="D","Dt",IF(P222="UFM","UFM",IF(P222="NA","")))),IF(AND(ISBLANK(P222),ISBLANK(R222)),"",IF(P222&lt;0.3*S222,"F",IF(ISBLANK(R222),"",IF(ISTEXT(R222),R222,IF(R222&gt;=0.9*U222,"O",IF(R222&gt;=0.85*U222,"A+",IF(R222&gt;=0.8*U222,"A",IF(R222&gt;=0.7*U222,"B+",IF(R222&gt;=0.6*U222,"B",IF(R222&gt;=0.5*U222,"C",IF(R222&gt;=0.4*U222,"P",IF(R222&lt;0.4*U222,"F",R222))))))))))))))</f>
        <v>0</v>
      </c>
      <c r="N222" s="8" t="e">
        <f t="shared" ca="1" si="13"/>
        <v>#N/A</v>
      </c>
      <c r="O222" t="b" cm="1">
        <f t="array" aca="1" ref="O222" ca="1">IF(NOT(ISBLANK(INDIRECT("SEM_IV!I"&amp;INT((ROW(O222)-14)/16)+6))),2,IF(NOT(ISBLANK(INDIRECT("SEM_IV!L"&amp;INT((ROW(O222)-14)/16)+6))),3))</f>
        <v>0</v>
      </c>
      <c r="P222" s="1" t="str">
        <f ca="1">IF(ISERROR(F216),"",IF(ISTEXT(VLOOKUP(B216,INDIRECT($F$8),6+(O222-1)*3)),(VLOOKUP(B216,INDIRECT($F$8),6+(O222-1)*3)),SUM(VLOOKUP(B216,INDIRECT($F$8),6+(O222-1)*3),IF(W228,W222,0))))</f>
        <v>UTU/2406100188</v>
      </c>
      <c r="Q222" s="1" t="str">
        <f ca="1">IF(ISERROR(F216),"",VLOOKUP(B216,INDIRECT($F$8),7+(O222-1)*3))</f>
        <v>MANSI SAINI</v>
      </c>
      <c r="R222" s="1">
        <f ca="1">IF(ISERROR(F216),"",SUM(P222:Q222))</f>
        <v>0</v>
      </c>
      <c r="S222" s="1">
        <f ca="1">IF(ISERROR(F216),"",VLOOKUP(A216,INDIRECT($F$8),6+(O222-1)*3))</f>
        <v>0</v>
      </c>
      <c r="T222" s="1">
        <f ca="1">IF(ISERROR(F216),"",VLOOKUP(A216,INDIRECT($F$8),7+(O222-1)*3))</f>
        <v>0</v>
      </c>
      <c r="U222" s="1">
        <f ca="1">IF(ISERROR(F216),"",VLOOKUP(A216,INDIRECT($F$8),8+(O222-1)*3))</f>
        <v>0</v>
      </c>
      <c r="V222" s="1" t="e">
        <f ca="1">IF(ISERROR(F216),"",IF(N222=0,A222,""))</f>
        <v>#N/A</v>
      </c>
      <c r="W222" s="1">
        <f ca="1">IF(ISERROR(F216),"",IF(ISTEXT(VLOOKUP(B216,INDIRECT($F$8),6+(O222-1)*3)),11,IF(VLOOKUP(B216,INDIRECT($F$8),6+(O222-1)*3)&lt;S222*0.3,IF(VLOOKUP(B216,INDIRECT($F$8),8+(O222-1)*3)&lt;U222*0.4,IF(AND(0.4*U222-VLOOKUP(B216,INDIRECT($F$8),8+(O222-1)*3)&lt;=5,0.3*S222-VLOOKUP(B216,INDIRECT($F$8),6+(O222-1)*3)&lt;=5),MAX(0.4*U222-VLOOKUP(B216,INDIRECT($F$8),8+(O222-1)*3),0.3*S222-VLOOKUP(B216,INDIRECT($F$8),6+(O222-1)*3)),11),IF(0.3*S222-VLOOKUP(B216,INDIRECT($F$8),6+(O222-1)*3)&lt;=5,0.3*S222-VLOOKUP(B216,INDIRECT($F$8),6+(O222-1)*3),11)),IF(VLOOKUP(B216,INDIRECT($F$8),8+(O222-1)*3)&lt;U222*0.4,IF(U222*0.4-VLOOKUP(B216,INDIRECT($F$8),8+(O222-1)*3)&lt;=5,U222*0.4-VLOOKUP(B216,INDIRECT($F$8),8+(O222-1)*3),11),0))))</f>
        <v>11</v>
      </c>
      <c r="X222" s="1" t="str">
        <f ca="1">IF(ISERROR(F216),"",IF(W222=0,"",_xlfn.TEXTJOIN("",FALSE," G+",W222," in ",A222)))</f>
        <v xml:space="preserve"> G+11 in Enroll No.</v>
      </c>
    </row>
    <row r="223" spans="1:24" ht="12.75" customHeight="1" x14ac:dyDescent="0.2">
      <c r="A223" s="7" t="str">
        <f ca="1">IF(ISERROR(F216),"",VLOOKUP(C216,INDIRECT($F$8),6+(O223-1)*3,0))</f>
        <v>CAT 030</v>
      </c>
      <c r="B223" s="41" t="str">
        <f ca="1">IF(ISERROR(F216),"",VLOOKUP(D216,INDIRECT($F$8),6+(O223-1)*3,0))</f>
        <v>Software Testing &amp; Quality Assurance</v>
      </c>
      <c r="C223" s="41"/>
      <c r="D223" s="41"/>
      <c r="E223" s="41"/>
      <c r="F223" s="7">
        <f ca="1">IF(ISERROR(F216),"",VLOOKUP(E216,INDIRECT($F$8),6+(O223-1)*3,0))</f>
        <v>4</v>
      </c>
      <c r="G223" s="42" t="str">
        <f ca="1">IF(ISERROR(F216),"",_xlfn.TEXTJOIN("/",FALSE,P223,S223))</f>
        <v>0/100</v>
      </c>
      <c r="H223" s="42"/>
      <c r="I223" s="42" t="str">
        <f ca="1">IF(ISERROR(F216),"",_xlfn.TEXTJOIN("/",FALSE,Q223,T223))</f>
        <v>0/50</v>
      </c>
      <c r="J223" s="42"/>
      <c r="K223" s="42" t="str">
        <f ca="1">IF(ISERROR(F216),"",_xlfn.TEXTJOIN("/",FALSE,R223,U223))</f>
        <v>0/150</v>
      </c>
      <c r="L223" s="42"/>
      <c r="M223" s="7" t="str">
        <f ca="1">IF(ISERROR(F216),"",IF(ISTEXT(P223),IF(P223="A","Ab",IF(P223="D","Dt",IF(P223="UFM","UFM",IF(P223="NA","")))),IF(AND(ISBLANK(P223),ISBLANK(R223)),"",IF(P223&lt;0.3*S223,"F",IF(ISBLANK(R223),"",IF(ISTEXT(R223),R223,IF(R223&gt;=0.9*U223,"O",IF(R223&gt;=0.85*U223,"A+",IF(R223&gt;=0.8*U223,"A",IF(R223&gt;=0.7*U223,"B+",IF(R223&gt;=0.6*U223,"B",IF(R223&gt;=0.5*U223,"C",IF(R223&gt;=0.4*U223,"P",IF(R223&lt;0.4*U223,"F",R223))))))))))))))</f>
        <v>F</v>
      </c>
      <c r="N223" s="8">
        <f t="shared" ca="1" si="13"/>
        <v>0</v>
      </c>
      <c r="O223">
        <f ca="1">IF(O222&gt;0,4,"")</f>
        <v>4</v>
      </c>
      <c r="P223" s="1">
        <f ca="1">IF(ISERROR(F216),"",IF(ISTEXT(VLOOKUP(B216,INDIRECT($F$8),6+(O223-1)*3)),(VLOOKUP(B216,INDIRECT($F$8),6+(O223-1)*3)),SUM(VLOOKUP(B216,INDIRECT($F$8),6+(O223-1)*3),IF(W228,W223,0))))</f>
        <v>0</v>
      </c>
      <c r="Q223" s="1">
        <f ca="1">IF(ISERROR(F216),"",VLOOKUP(B216,INDIRECT($F$8),7+(O223-1)*3))</f>
        <v>0</v>
      </c>
      <c r="R223" s="1">
        <f ca="1">IF(ISERROR(F216),"",SUM(P223:Q223))</f>
        <v>0</v>
      </c>
      <c r="S223" s="1">
        <f ca="1">IF(ISERROR(F216),"",VLOOKUP(A216,INDIRECT($F$8),6+(O223-1)*3))</f>
        <v>100</v>
      </c>
      <c r="T223" s="1">
        <f ca="1">IF(ISERROR(F216),"",VLOOKUP(A216,INDIRECT($F$8),7+(O223-1)*3))</f>
        <v>50</v>
      </c>
      <c r="U223" s="1">
        <f ca="1">IF(ISERROR(F216),"",VLOOKUP(A216,INDIRECT($F$8),8+(O223-1)*3))</f>
        <v>150</v>
      </c>
      <c r="V223" s="1" t="str">
        <f ca="1">IF(ISERROR(F216),"",IF(N223=0,A223,""))</f>
        <v>CAT 030</v>
      </c>
      <c r="W223" s="1">
        <f ca="1">IF(ISERROR(F216),"",IF(ISTEXT(VLOOKUP(B216,INDIRECT($F$8),6+(O223-1)*3)),11,IF(VLOOKUP(B216,INDIRECT($F$8),6+(O223-1)*3)&lt;S223*0.3,IF(VLOOKUP(B216,INDIRECT($F$8),8+(O223-1)*3)&lt;U223*0.4,IF(AND(0.4*U223-VLOOKUP(B216,INDIRECT($F$8),8+(O223-1)*3)&lt;=5,0.3*S223-VLOOKUP(B216,INDIRECT($F$8),6+(O223-1)*3)&lt;=5),MAX(0.4*U223-VLOOKUP(B216,INDIRECT($F$8),8+(O223-1)*3),0.3*S223-VLOOKUP(B216,INDIRECT($F$8),6+(O223-1)*3)),11),IF(0.3*S223-VLOOKUP(B216,INDIRECT($F$8),6+(O223-1)*3)&lt;=5,0.3*S223-VLOOKUP(B216,INDIRECT($F$8),6+(O223-1)*3),11)),IF(VLOOKUP(B216,INDIRECT($F$8),8+(O223-1)*3)&lt;U223*0.4,IF(U223*0.4-VLOOKUP(B216,INDIRECT($F$8),8+(O223-1)*3)&lt;=5,U223*0.4-VLOOKUP(B216,INDIRECT($F$8),8+(O223-1)*3),11),0))))</f>
        <v>11</v>
      </c>
      <c r="X223" s="1" t="str">
        <f ca="1">IF(ISERROR(F216),"",IF(W223=0,"",_xlfn.TEXTJOIN("",FALSE," G+",W223," in ",A223)))</f>
        <v xml:space="preserve"> G+11 in CAT 030</v>
      </c>
    </row>
    <row r="224" spans="1:24" ht="12.75" customHeight="1" x14ac:dyDescent="0.2">
      <c r="A224" s="7" t="str">
        <f ca="1">IF(ISERROR(F216),"",VLOOKUP(C216,INDIRECT($F$8),6+(O224-1)*3,0))</f>
        <v>Enroll No.</v>
      </c>
      <c r="B224" s="41">
        <f ca="1">IF(ISERROR(F216),"",VLOOKUP(D216,INDIRECT($F$8),6+(O224-1)*3,0))</f>
        <v>0</v>
      </c>
      <c r="C224" s="41"/>
      <c r="D224" s="41"/>
      <c r="E224" s="41"/>
      <c r="F224" s="7">
        <f ca="1">IF(ISERROR(F216),"",VLOOKUP(E216,INDIRECT($F$8),6+(O224-1)*3,0))</f>
        <v>0</v>
      </c>
      <c r="G224" s="42" t="str">
        <f ca="1">IF(ISERROR(F216),"",_xlfn.TEXTJOIN("/",FALSE,P224,S224))</f>
        <v>UTU/2406100188/0</v>
      </c>
      <c r="H224" s="42"/>
      <c r="I224" s="42" t="str">
        <f ca="1">IF(ISERROR(F216),"",_xlfn.TEXTJOIN("/",FALSE,Q224,T224))</f>
        <v>MANSI SAINI/0</v>
      </c>
      <c r="J224" s="42"/>
      <c r="K224" s="42" t="str">
        <f ca="1">IF(ISERROR(F216),"",_xlfn.TEXTJOIN("/",FALSE,R224,U224))</f>
        <v>0/0</v>
      </c>
      <c r="L224" s="42"/>
      <c r="M224" s="7" t="b">
        <f ca="1">IF(ISERROR(F216),"",IF(ISTEXT(P224),IF(P224="A","Ab",IF(P224="D","Dt",IF(P224="UFM","UFM",IF(P224="NA","")))),IF(AND(ISBLANK(P224),ISBLANK(R224)),"",IF(P224&lt;0.3*S224,"F",IF(ISBLANK(R224),"",IF(ISTEXT(R224),R224,IF(R224&gt;=0.9*U224,"O",IF(R224&gt;=0.85*U224,"A+",IF(R224&gt;=0.8*U224,"A",IF(R224&gt;=0.7*U224,"B+",IF(R224&gt;=0.6*U224,"B",IF(R224&gt;=0.5*U224,"C",IF(R224&gt;=0.4*U224,"P",IF(R224&lt;0.4*U224,"F",R224))))))))))))))</f>
        <v>0</v>
      </c>
      <c r="N224" s="8" t="e">
        <f t="shared" ca="1" si="13"/>
        <v>#N/A</v>
      </c>
      <c r="O224" t="b" cm="1">
        <f t="array" aca="1" ref="O224" ca="1">IF(NOT(ISBLANK(INDIRECT("SEM_IV!R"&amp;INT((ROW(O224)-16)/16)+6))),5,IF(NOT(ISBLANK(INDIRECT("SEM_IV!U"&amp;INT((ROW(O224)-16)/16)+6))),6))</f>
        <v>0</v>
      </c>
      <c r="P224" s="1" t="str">
        <f ca="1">IF(ISERROR(F216),"",IF(ISTEXT(VLOOKUP(B216,INDIRECT($F$8),6+(O224-1)*3)),(VLOOKUP(B216,INDIRECT($F$8),6+(O224-1)*3)),SUM(VLOOKUP(B216,INDIRECT($F$8),6+(O224-1)*3),IF(W228,W224,0))))</f>
        <v>UTU/2406100188</v>
      </c>
      <c r="Q224" s="1" t="str">
        <f ca="1">IF(ISERROR(F216),"",VLOOKUP(B216,INDIRECT($F$8),7+(O224-1)*3))</f>
        <v>MANSI SAINI</v>
      </c>
      <c r="R224" s="1">
        <f ca="1">IF(ISERROR(F216),"",SUM(P224:Q224))</f>
        <v>0</v>
      </c>
      <c r="S224" s="1">
        <f ca="1">IF(ISERROR(F216),"",VLOOKUP(A216,INDIRECT($F$8),6+(O224-1)*3))</f>
        <v>0</v>
      </c>
      <c r="T224" s="1">
        <f ca="1">IF(ISERROR(F216),"",VLOOKUP(A216,INDIRECT($F$8),7+(O224-1)*3))</f>
        <v>0</v>
      </c>
      <c r="U224" s="1">
        <f ca="1">IF(ISERROR(F216),"",VLOOKUP(A216,INDIRECT($F$8),8+(O224-1)*3))</f>
        <v>0</v>
      </c>
      <c r="V224" s="1" t="e">
        <f ca="1">IF(ISERROR(F216),"",IF(N224=0,A224,""))</f>
        <v>#N/A</v>
      </c>
      <c r="W224" s="1">
        <f ca="1">IF(ISERROR(F216),"",IF(ISTEXT(VLOOKUP(B216,INDIRECT($F$8),6+(O224-1)*3)),11,IF(VLOOKUP(B216,INDIRECT($F$8),6+(O224-1)*3)&lt;S224*0.3,IF(VLOOKUP(B216,INDIRECT($F$8),8+(O224-1)*3)&lt;U224*0.4,IF(AND(0.4*U224-VLOOKUP(B216,INDIRECT($F$8),8+(O224-1)*3)&lt;=5,0.3*S224-VLOOKUP(B216,INDIRECT($F$8),6+(O224-1)*3)&lt;=5),MAX(0.4*U224-VLOOKUP(B216,INDIRECT($F$8),8+(O224-1)*3),0.3*S224-VLOOKUP(B216,INDIRECT($F$8),6+(O224-1)*3)),11),IF(0.3*S224-VLOOKUP(B216,INDIRECT($F$8),6+(O224-1)*3)&lt;=5,0.3*S224-VLOOKUP(B216,INDIRECT($F$8),6+(O224-1)*3),11)),IF(VLOOKUP(B216,INDIRECT($F$8),8+(O224-1)*3)&lt;U224*0.4,IF(U224*0.4-VLOOKUP(B216,INDIRECT($F$8),8+(O224-1)*3)&lt;=5,U224*0.4-VLOOKUP(B216,INDIRECT($F$8),8+(O224-1)*3),11),0))))</f>
        <v>11</v>
      </c>
      <c r="X224" s="1" t="str">
        <f ca="1">IF(ISERROR(F216),"",IF(W224=0,"",_xlfn.TEXTJOIN("",FALSE," G+",W224," in ",A224)))</f>
        <v xml:space="preserve"> G+11 in Enroll No.</v>
      </c>
    </row>
    <row r="225" spans="1:24" ht="12.75" customHeight="1" x14ac:dyDescent="0.2">
      <c r="A225" s="7" t="str">
        <f ca="1">IF(ISERROR(F216),"",VLOOKUP(C216,INDIRECT($F$8),6+(O225-1)*3,0))</f>
        <v>CAP 011</v>
      </c>
      <c r="B225" s="41" t="str">
        <f ca="1">IF(ISERROR(F216),"",VLOOKUP(D216,INDIRECT($F$8),6+(O225-1)*3,0))</f>
        <v>Network Security Lab</v>
      </c>
      <c r="C225" s="41"/>
      <c r="D225" s="41"/>
      <c r="E225" s="41"/>
      <c r="F225" s="7">
        <f ca="1">IF(ISERROR(F216),"",VLOOKUP(E216,INDIRECT($F$8),6+(O225-1)*3,0))</f>
        <v>1</v>
      </c>
      <c r="G225" s="42" t="str">
        <f ca="1">IF(ISERROR(F216),"",_xlfn.TEXTJOIN("/",FALSE,P225,S225))</f>
        <v>0/30</v>
      </c>
      <c r="H225" s="42"/>
      <c r="I225" s="42" t="str">
        <f ca="1">IF(ISERROR(F216),"",_xlfn.TEXTJOIN("/",FALSE,Q225,T225))</f>
        <v>0/20</v>
      </c>
      <c r="J225" s="42"/>
      <c r="K225" s="42" t="str">
        <f ca="1">IF(ISERROR(F216),"",_xlfn.TEXTJOIN("/",FALSE,R225,U225))</f>
        <v>0/50</v>
      </c>
      <c r="L225" s="42"/>
      <c r="M225" s="7" t="str">
        <f ca="1">IF(ISERROR(F216),"",IF(ISTEXT(P225),IF(P225="A","Ab",IF(P225="D","Dt",IF(P225="UFM","UFM",IF(P225="NA","")))),IF(AND(ISBLANK(P225),ISBLANK(R225)),"",IF(P225&lt;0.3*S225,"F",IF(ISBLANK(R225),"",IF(ISTEXT(R225),R225,IF(R225&gt;=0.9*U225,"O",IF(R225&gt;=0.85*U225,"A+",IF(R225&gt;=0.8*U225,"A",IF(R225&gt;=0.7*U225,"B+",IF(R225&gt;=0.6*U225,"B",IF(R225&gt;=0.5*U225,"C",IF(R225&gt;=0.4*U225,"P",IF(R225&lt;0.4*U225,"F",R225))))))))))))))</f>
        <v>F</v>
      </c>
      <c r="N225" s="8">
        <f t="shared" ca="1" si="13"/>
        <v>0</v>
      </c>
      <c r="O225">
        <f ca="1">IF(O224&gt;0,7,"")</f>
        <v>7</v>
      </c>
      <c r="P225" s="1">
        <f ca="1">IF(ISERROR(F216),"",IF(ISTEXT(VLOOKUP(B216,INDIRECT($F$8),6+(O225-1)*3)),(VLOOKUP(B216,INDIRECT($F$8),6+(O225-1)*3)),SUM(VLOOKUP(B216,INDIRECT($F$8),6+(O225-1)*3),IF(W228,W225,0))))</f>
        <v>0</v>
      </c>
      <c r="Q225" s="1">
        <f ca="1">IF(ISERROR(F216),"",VLOOKUP(B216,INDIRECT($F$8),7+(O225-1)*3))</f>
        <v>0</v>
      </c>
      <c r="R225" s="1">
        <f ca="1">IF(ISERROR(F216),"",SUM(P225:Q225))</f>
        <v>0</v>
      </c>
      <c r="S225" s="1">
        <f ca="1">IF(ISERROR(F216),"",VLOOKUP(A216,INDIRECT($F$8),6+(O225-1)*3))</f>
        <v>30</v>
      </c>
      <c r="T225" s="1">
        <f ca="1">IF(ISERROR(F216),"",VLOOKUP(A216,INDIRECT($F$8),7+(O225-1)*3))</f>
        <v>20</v>
      </c>
      <c r="U225" s="1">
        <f ca="1">IF(ISERROR(F216),"",VLOOKUP(A216,INDIRECT($F$8),8+(O225-1)*3))</f>
        <v>50</v>
      </c>
      <c r="V225" s="1" t="str">
        <f ca="1">IF(ISERROR(F216),"",IF(N225=0,A225,""))</f>
        <v>CAP 011</v>
      </c>
      <c r="W225" s="1">
        <f ca="1">IF(ISERROR(F216),"",IF(ISTEXT(VLOOKUP(B216,INDIRECT($F$8),6+(O225-1)*3)),11,IF(VLOOKUP(B216,INDIRECT($F$8),6+(O225-1)*3)&lt;S225*0.3,IF(VLOOKUP(B216,INDIRECT($F$8),8+(O225-1)*3)&lt;U225*0.4,IF(AND(0.4*U225-VLOOKUP(B216,INDIRECT($F$8),8+(O225-1)*3)&lt;=5,0.3*S225-VLOOKUP(B216,INDIRECT($F$8),6+(O225-1)*3)&lt;=5),MAX(0.4*U225-VLOOKUP(B216,INDIRECT($F$8),8+(O225-1)*3),0.3*S225-VLOOKUP(B216,INDIRECT($F$8),6+(O225-1)*3)),11),IF(0.3*S225-VLOOKUP(B216,INDIRECT($F$8),6+(O225-1)*3)&lt;=5,0.3*S225-VLOOKUP(B216,INDIRECT($F$8),6+(O225-1)*3),11)),IF(VLOOKUP(B216,INDIRECT($F$8),8+(O225-1)*3)&lt;U225*0.4,IF(U225*0.4-VLOOKUP(B216,INDIRECT($F$8),8+(O225-1)*3)&lt;=5,U225*0.4-VLOOKUP(B216,INDIRECT($F$8),8+(O225-1)*3),11),0))))</f>
        <v>11</v>
      </c>
      <c r="X225" s="1" t="str">
        <f ca="1">IF(ISERROR(F216),"",IF(W225=0,"",_xlfn.TEXTJOIN("",FALSE," G+",W225," in ",A225)))</f>
        <v xml:space="preserve"> G+11 in CAP 011</v>
      </c>
    </row>
    <row r="226" spans="1:24" ht="12.75" customHeight="1" x14ac:dyDescent="0.2">
      <c r="A226" s="7" t="str">
        <f ca="1">IF(ISERROR(F216),"",VLOOKUP(C216,INDIRECT($F$8),6+(O226-1)*3,0))</f>
        <v>Enroll No.</v>
      </c>
      <c r="B226" s="41">
        <f ca="1">IF(ISERROR(F216),"",VLOOKUP(D216,INDIRECT($F$8),6+(O226-1)*3,0))</f>
        <v>0</v>
      </c>
      <c r="C226" s="41"/>
      <c r="D226" s="41"/>
      <c r="E226" s="41"/>
      <c r="F226" s="7">
        <f ca="1">IF(ISERROR(F216),"",VLOOKUP(E216,INDIRECT($F$8),6+(O226-1)*3,0))</f>
        <v>0</v>
      </c>
      <c r="G226" s="42" t="str">
        <f ca="1">IF(ISERROR(F216),"",_xlfn.TEXTJOIN("/",FALSE,P226,S226))</f>
        <v>UTU/2406100188/0</v>
      </c>
      <c r="H226" s="42"/>
      <c r="I226" s="42" t="str">
        <f ca="1">IF(ISERROR(F216),"",_xlfn.TEXTJOIN("/",FALSE,Q226,T226))</f>
        <v>MANSI SAINI/0</v>
      </c>
      <c r="J226" s="42"/>
      <c r="K226" s="42" t="str">
        <f ca="1">IF(ISERROR(F216),"",_xlfn.TEXTJOIN("/",FALSE,R226,U226))</f>
        <v>0/0</v>
      </c>
      <c r="L226" s="42"/>
      <c r="M226" s="7" t="b">
        <f ca="1">IF(ISERROR(F216),"",IF(ISTEXT(P226),IF(P226="A","Ab",IF(P226="D","Dt",IF(P226="UFM","UFM",IF(P226="NA","")))),IF(AND(ISBLANK(P226),ISBLANK(R226)),"",IF(P226&lt;0.3*S226,"F",IF(ISBLANK(R226),"",IF(ISTEXT(R226),R226,IF(R226&gt;=0.9*U226,"O",IF(R226&gt;=0.85*U226,"A+",IF(R226&gt;=0.8*U226,"A",IF(R226&gt;=0.7*U226,"B+",IF(R226&gt;=0.6*U226,"B",IF(R226&gt;=0.5*U226,"C",IF(R226&gt;=0.4*U226,"P",IF(R226&lt;0.4*U226,"F",R226))))))))))))))</f>
        <v>0</v>
      </c>
      <c r="N226" s="8" t="e">
        <f t="shared" ca="1" si="13"/>
        <v>#N/A</v>
      </c>
      <c r="O226" t="b" cm="1">
        <f t="array" aca="1" ref="O226" ca="1">IF(NOT(ISBLANK(INDIRECT("SEM_IV!AA"&amp;INT((ROW(O226)-18)/16)+6))),8,IF(NOT(ISBLANK(INDIRECT("SEM_IV!AD"&amp;INT((ROW(O226)-18)/16)+6))),9))</f>
        <v>0</v>
      </c>
      <c r="P226" s="1" t="str">
        <f ca="1">IF(ISERROR(F216),"",IF(ISTEXT(VLOOKUP(B216,INDIRECT($F$8),6+(O226-1)*3)),(VLOOKUP(B216,INDIRECT($F$8),6+(O226-1)*3)),SUM(VLOOKUP(B216,INDIRECT($F$8),6+(O226-1)*3),IF(W228,W226,0))))</f>
        <v>UTU/2406100188</v>
      </c>
      <c r="Q226" s="1" t="str">
        <f ca="1">IF(ISERROR(F216),"",VLOOKUP(B216,INDIRECT($F$8),7+(O226-1)*3))</f>
        <v>MANSI SAINI</v>
      </c>
      <c r="R226" s="1">
        <f ca="1">IF(ISERROR(F216),"",SUM(P226:Q226))</f>
        <v>0</v>
      </c>
      <c r="S226" s="1">
        <f ca="1">IF(ISERROR(F216),"",VLOOKUP(A216,INDIRECT($F$8),6+(O226-1)*3))</f>
        <v>0</v>
      </c>
      <c r="T226" s="1">
        <f ca="1">IF(ISERROR(F216),"",VLOOKUP(A216,INDIRECT($F$8),7+(O226-1)*3))</f>
        <v>0</v>
      </c>
      <c r="U226" s="1">
        <f ca="1">IF(ISERROR(F216),"",VLOOKUP(A216,INDIRECT($F$8),8+(O226-1)*3))</f>
        <v>0</v>
      </c>
      <c r="V226" s="1" t="e">
        <f ca="1">IF(ISERROR(F216),"",IF(N226=0,A226,""))</f>
        <v>#N/A</v>
      </c>
      <c r="W226" s="1">
        <f ca="1">IF(ISERROR(F216),"",IF(ISTEXT(VLOOKUP(B216,INDIRECT($F$8),6+(O226-1)*3)),11,IF(VLOOKUP(B216,INDIRECT($F$8),6+(O226-1)*3)&lt;S226*0.3,IF(VLOOKUP(B216,INDIRECT($F$8),8+(O226-1)*3)&lt;U226*0.4,IF(AND(0.4*U226-VLOOKUP(B216,INDIRECT($F$8),8+(O226-1)*3)&lt;=5,0.3*S226-VLOOKUP(B216,INDIRECT($F$8),6+(O226-1)*3)&lt;=5),MAX(0.4*U226-VLOOKUP(B216,INDIRECT($F$8),8+(O226-1)*3),0.3*S226-VLOOKUP(B216,INDIRECT($F$8),6+(O226-1)*3)),11),IF(0.3*S226-VLOOKUP(B216,INDIRECT($F$8),6+(O226-1)*3)&lt;=5,0.3*S226-VLOOKUP(B216,INDIRECT($F$8),6+(O226-1)*3),11)),IF(VLOOKUP(B216,INDIRECT($F$8),8+(O226-1)*3)&lt;U226*0.4,IF(U226*0.4-VLOOKUP(B216,INDIRECT($F$8),8+(O226-1)*3)&lt;=5,U226*0.4-VLOOKUP(B216,INDIRECT($F$8),8+(O226-1)*3),11),0))))</f>
        <v>11</v>
      </c>
      <c r="X226" s="1" t="str">
        <f ca="1">IF(ISERROR(F216),"",IF(W226=0,"",_xlfn.TEXTJOIN("",FALSE," G+",W226," in ",A226)))</f>
        <v xml:space="preserve"> G+11 in Enroll No.</v>
      </c>
    </row>
    <row r="227" spans="1:24" ht="12.75" customHeight="1" x14ac:dyDescent="0.2">
      <c r="A227" s="7" t="str">
        <f ca="1">IF(ISERROR(F216),"",VLOOKUP(C216,INDIRECT($F$8),6+(O227-1)*3,0))</f>
        <v>CAP 013</v>
      </c>
      <c r="B227" s="41" t="str">
        <f ca="1">IF(ISERROR(F216),"",VLOOKUP(D216,INDIRECT($F$8),6+(O227-1)*3-Z227,0))</f>
        <v>Major Project</v>
      </c>
      <c r="C227" s="41"/>
      <c r="D227" s="41"/>
      <c r="E227" s="41"/>
      <c r="F227" s="7">
        <f ca="1">IF(ISERROR(F216),"",VLOOKUP(E216,INDIRECT($F$8),6+(O227-1)*3,0))</f>
        <v>6</v>
      </c>
      <c r="G227" s="42" t="str">
        <f ca="1">IF(ISERROR(F216),"",_xlfn.TEXTJOIN("/",FALSE,P227,S227))</f>
        <v>0/200</v>
      </c>
      <c r="H227" s="42"/>
      <c r="I227" s="42" t="str">
        <f ca="1">IF(ISERROR(F216),"",_xlfn.TEXTJOIN("/",FALSE,Q227,T227))</f>
        <v>0/100</v>
      </c>
      <c r="J227" s="42"/>
      <c r="K227" s="42" t="str">
        <f ca="1">IF(ISERROR(F216),"",_xlfn.TEXTJOIN("/",FALSE,R227,U227))</f>
        <v>0/300</v>
      </c>
      <c r="L227" s="42"/>
      <c r="M227" s="7" t="str">
        <f ca="1">IF(ISERROR(F216),"",IF(ISTEXT(P227),IF(P227="A","Ab",IF(P227="D","Dt",IF(P227="UFM","UFM",IF(P227="NA","")))),IF(AND(ISBLANK(P227),ISBLANK(R227)),"",IF(P227&lt;0.3*S227,"F",IF(ISBLANK(R227),"",IF(ISTEXT(R227),R227,IF(R227&gt;=0.9*U227,"O",IF(R227&gt;=0.85*U227,"A+",IF(R227&gt;=0.8*U227,"A",IF(R227&gt;=0.7*U227,"B+",IF(R227&gt;=0.6*U227,"B",IF(R227&gt;=0.5*U227,"C",IF(R227&gt;=0.4*U227,"P",IF(R227&lt;0.4*U227,"F",R227))))))))))))))</f>
        <v>F</v>
      </c>
      <c r="N227" s="8">
        <f t="shared" ca="1" si="13"/>
        <v>0</v>
      </c>
      <c r="O227">
        <f ca="1">IF(O226&gt;0,10,"")</f>
        <v>10</v>
      </c>
      <c r="P227" s="1">
        <f ca="1">IF(ISERROR(F216),"",IF(ISTEXT(VLOOKUP(B216,INDIRECT($F$8),6+(O227-1)*3)),(VLOOKUP(B216,INDIRECT($F$8),6+(O227-1)*3)),SUM(VLOOKUP(B216,INDIRECT($F$8),6+(O227-1)*3),IF(W228,W227,0))))</f>
        <v>0</v>
      </c>
      <c r="Q227" s="1">
        <f ca="1">IF(ISERROR(F216),"",VLOOKUP(B216,INDIRECT($F$8),7+(O227-1)*3))</f>
        <v>0</v>
      </c>
      <c r="R227" s="1">
        <f ca="1">IF(ISERROR(F216),"",SUM(P227:Q227))</f>
        <v>0</v>
      </c>
      <c r="S227" s="1">
        <f ca="1">IF(ISERROR(F216),"",VLOOKUP(A216,INDIRECT($F$8),6+(O227-1)*3))</f>
        <v>200</v>
      </c>
      <c r="T227" s="1">
        <f ca="1">IF(ISERROR(F216),"",VLOOKUP(A216,INDIRECT($F$8),7+(O227-1)*3))</f>
        <v>100</v>
      </c>
      <c r="U227" s="1">
        <f ca="1">IF(ISERROR(F216),"",VLOOKUP(A216,INDIRECT($F$8),8+(O227-1)*3))</f>
        <v>300</v>
      </c>
      <c r="V227" s="1" t="str">
        <f ca="1">IF(ISERROR(F216),"",IF(N227=0,A227,""))</f>
        <v>CAP 013</v>
      </c>
      <c r="W227" s="1">
        <f ca="1">IF(ISERROR(F216),"",IF(ISTEXT(VLOOKUP(B216,INDIRECT($F$8),6+(O227-1)*3)),11,IF(VLOOKUP(B216,INDIRECT($F$8),6+(O227-1)*3)&lt;S227*0.3,IF(VLOOKUP(B216,INDIRECT($F$8),8+(O227-1)*3)&lt;U227*0.4,IF(AND(0.4*U227-VLOOKUP(B216,INDIRECT($F$8),8+(O227-1)*3)&lt;=5,0.3*S227-VLOOKUP(B216,INDIRECT($F$8),6+(O227-1)*3)&lt;=5),MAX(0.4*U227-VLOOKUP(B216,INDIRECT($F$8),8+(O227-1)*3),0.3*S227-VLOOKUP(B216,INDIRECT($F$8),6+(O227-1)*3)),11),IF(0.3*S227-VLOOKUP(B216,INDIRECT($F$8),6+(O227-1)*3)&lt;=5,0.3*S227-VLOOKUP(B216,INDIRECT($F$8),6+(O227-1)*3),11)),IF(VLOOKUP(B216,INDIRECT($F$8),8+(O227-1)*3)&lt;U227*0.4,IF(U227*0.4-VLOOKUP(B216,INDIRECT($F$8),8+(O227-1)*3)&lt;=5,U227*0.4-VLOOKUP(B216,INDIRECT($F$8),8+(O227-1)*3),11),0))))</f>
        <v>11</v>
      </c>
      <c r="X227" s="1" t="str">
        <f ca="1">IF(ISERROR(F216),"",IF(W227=0,"",_xlfn.TEXTJOIN("",FALSE," G+",W227," in ",A227)))</f>
        <v xml:space="preserve"> G+11 in CAP 013</v>
      </c>
    </row>
    <row r="228" spans="1:24" ht="12.75" customHeight="1" x14ac:dyDescent="0.2">
      <c r="A228" s="43" t="str">
        <f ca="1">IF(ISERROR(F216),"",A212)</f>
        <v>Total Credits/ Marks/ Total Grade Points</v>
      </c>
      <c r="B228" s="43"/>
      <c r="C228" s="43"/>
      <c r="D228" s="43"/>
      <c r="E228" s="43"/>
      <c r="F228" s="10">
        <f ca="1">IF(ISERROR(F216),"",SUM(F221:F227))</f>
        <v>15</v>
      </c>
      <c r="G228" s="44" t="str">
        <f ca="1">IF(ISERROR(F216),"",_xlfn.TEXTJOIN("/",TRUE,SUMIF(F221:F227,"&gt;0",P221:P227),SUMIF(F221:F227,"&gt;0",S221:S227)))</f>
        <v>0/430</v>
      </c>
      <c r="H228" s="44"/>
      <c r="I228" s="44" t="str">
        <f ca="1">IF(ISERROR(F216),"",_xlfn.TEXTJOIN("/",TRUE,SUMIF(F221:F227,"&gt;0",Q221:Q227),SUMIF(F221:F227,"&gt;0",T221:T227)))</f>
        <v>0/220</v>
      </c>
      <c r="J228" s="44"/>
      <c r="K228" s="44" t="str">
        <f ca="1">IF(ISERROR(F216),"",_xlfn.TEXTJOIN("/",TRUE,SUMIF(F221:F227,"&gt;0",R221:R227),SUMIF(F221:F227,"&gt;0",U221:U227)))</f>
        <v>0/650</v>
      </c>
      <c r="L228" s="44"/>
      <c r="M228" s="43" t="e">
        <f ca="1">IF(ISERROR(F216),"",SUMPRODUCT(N221:N227,F221:F227))</f>
        <v>#N/A</v>
      </c>
      <c r="N228" s="43"/>
      <c r="V228" s="1" t="e">
        <f ca="1">IF(ISERROR(F216),"",_xlfn.TEXTJOIN(", ",TRUE,V221:V227))</f>
        <v>#N/A</v>
      </c>
      <c r="W228" t="b">
        <f ca="1">IF(ISERROR(F216),"",IF(SUM(W221:W227)&lt;=W220,TRUE,FALSE))</f>
        <v>0</v>
      </c>
      <c r="X228" s="1" t="str">
        <f ca="1">IF(ISERROR(F216),"",_xlfn.TEXTJOIN(",",TRUE,X221:X227))</f>
        <v xml:space="preserve"> G+11 in CAT 022, G+11 in Enroll No., G+11 in CAT 030, G+11 in Enroll No., G+11 in CAP 011, G+11 in Enroll No., G+11 in CAP 013</v>
      </c>
    </row>
    <row r="229" spans="1:24" ht="12.75" customHeight="1" x14ac:dyDescent="0.2">
      <c r="A229" s="43" t="str">
        <f ca="1">IF(ISERROR(F216),"",A213)</f>
        <v>Result:</v>
      </c>
      <c r="B229" s="45" t="e">
        <f ca="1">IF(ISERROR(F216),"",IF(V228="","PASS","CARRY OVER"))</f>
        <v>#N/A</v>
      </c>
      <c r="C229" s="45"/>
      <c r="D229" s="43" t="str">
        <f ca="1">IF(ISERROR(F216),"",D213)</f>
        <v>Remark:</v>
      </c>
      <c r="E229" s="45" t="e">
        <f ca="1">IF(ISERROR(F216),"",IF(V228="",IF(X228="","",X228),_xlfn.TEXTJOIN(" ",TRUE,"BACK IN",V228)))</f>
        <v>#N/A</v>
      </c>
      <c r="F229" s="45"/>
      <c r="G229" s="43" t="str">
        <f ca="1">IF(ISERROR(F216),"",G213)</f>
        <v>SGPA:</v>
      </c>
      <c r="H229" s="46" t="e">
        <f ca="1">IF(ISERROR(F216),"",M228/F228)</f>
        <v>#N/A</v>
      </c>
      <c r="I229" s="43" t="str">
        <f ca="1">IF(ISERROR(F216),"",I213)</f>
        <v>CGPA:</v>
      </c>
      <c r="J229" s="46" t="e">
        <f ca="1">IF(ISERROR(F216),"",VLOOKUP(B216,INDIRECT($F$8),12+(O227-1)*3,0))</f>
        <v>#N/A</v>
      </c>
      <c r="K229" s="45" t="str">
        <f ca="1">IF(ISERROR(F216),"",K213)</f>
        <v>Earned Credits:</v>
      </c>
      <c r="L229" s="43">
        <f ca="1">IF(ISERROR(F216),"",SUMIF(N221:N227,"&gt;0",F221:F227))</f>
        <v>0</v>
      </c>
      <c r="M229" s="45" t="str">
        <f ca="1">IF(ISERROR(F216),"",M213)</f>
        <v>Cuml. Earned Credits:</v>
      </c>
      <c r="N229" s="43" t="e">
        <f ca="1">IF(ISERROR(F216),"",VLOOKUP(B216,INDIRECT($F$8),10+(O227-1)*3,0))</f>
        <v>#N/A</v>
      </c>
    </row>
    <row r="230" spans="1:24" ht="12.75" customHeight="1" x14ac:dyDescent="0.2">
      <c r="A230" s="43"/>
      <c r="B230" s="45"/>
      <c r="C230" s="45"/>
      <c r="D230" s="43"/>
      <c r="E230" s="45"/>
      <c r="F230" s="45"/>
      <c r="G230" s="43"/>
      <c r="H230" s="46"/>
      <c r="I230" s="43"/>
      <c r="J230" s="46"/>
      <c r="K230" s="45"/>
      <c r="L230" s="43"/>
      <c r="M230" s="45"/>
      <c r="N230" s="43"/>
    </row>
    <row r="231" spans="1:24" ht="12.75" customHeight="1" x14ac:dyDescent="0.2">
      <c r="A231" s="43"/>
      <c r="B231" s="45"/>
      <c r="C231" s="45"/>
      <c r="D231" s="43"/>
      <c r="E231" s="45"/>
      <c r="F231" s="45"/>
      <c r="G231" s="43"/>
      <c r="H231" s="46"/>
      <c r="I231" s="43"/>
      <c r="J231" s="46"/>
      <c r="K231" s="45"/>
      <c r="L231" s="43"/>
      <c r="M231" s="45"/>
      <c r="N231" s="43"/>
    </row>
    <row r="232" spans="1:24" ht="12.75" customHeight="1" x14ac:dyDescent="0.2">
      <c r="A232" s="11" t="str">
        <f>A216</f>
        <v>MM</v>
      </c>
      <c r="B232" s="11">
        <f>B216+1</f>
        <v>15</v>
      </c>
      <c r="C232" s="11" t="str">
        <f>C216</f>
        <v>SC</v>
      </c>
      <c r="D232" s="11" t="str">
        <f>D216</f>
        <v>SN</v>
      </c>
      <c r="E232" s="11" t="str">
        <f>E216</f>
        <v>C</v>
      </c>
      <c r="F232" s="11" t="str">
        <f ca="1">VLOOKUP(B232,INDIRECT($F$8),4,0)</f>
        <v>MANVI UNIYAL</v>
      </c>
    </row>
    <row r="233" spans="1:24" ht="12.75" customHeight="1" x14ac:dyDescent="0.2">
      <c r="A233" s="47" t="str">
        <f ca="1">IF(ISERROR(F232),"",A217)</f>
        <v>Name:</v>
      </c>
      <c r="B233" s="47" t="str">
        <f ca="1">IFERROR(VLOOKUP(B232,INDIRECT($F$8),4,0),"")</f>
        <v>MANVI UNIYAL</v>
      </c>
      <c r="C233" s="47"/>
      <c r="D233" s="47" t="str">
        <f ca="1">IF(ISERROR(F232),"",D217)</f>
        <v>Father's Name:</v>
      </c>
      <c r="E233" s="47" t="str">
        <f ca="1">IFERROR(VLOOKUP(B232,INDIRECT($F$8),5,0),"")</f>
        <v>MANOJ UNIYAL</v>
      </c>
      <c r="F233" s="47"/>
      <c r="G233" s="47" t="str">
        <f ca="1">IF(ISERROR(F232),"",G217)</f>
        <v>University Roll No:</v>
      </c>
      <c r="H233" s="47"/>
      <c r="I233" s="48">
        <f ca="1">IFERROR(VLOOKUP(B232,INDIRECT($F$8),2,0),"")</f>
        <v>240090600015</v>
      </c>
      <c r="J233" s="48"/>
      <c r="K233" s="47" t="str">
        <f ca="1">IF(ISERROR(F232),"",K217)</f>
        <v>University Enrol. No:</v>
      </c>
      <c r="L233" s="47"/>
      <c r="M233" s="48" t="str">
        <f ca="1">IFERROR(VLOOKUP(B232,INDIRECT($F$8),3,0),"")</f>
        <v>UTU/2406100177</v>
      </c>
      <c r="N233" s="48"/>
    </row>
    <row r="234" spans="1:24" ht="12.75" customHeight="1" x14ac:dyDescent="0.2">
      <c r="A234" s="47"/>
      <c r="B234" s="47"/>
      <c r="C234" s="47"/>
      <c r="D234" s="47"/>
      <c r="E234" s="47"/>
      <c r="F234" s="47"/>
      <c r="G234" s="47"/>
      <c r="H234" s="47"/>
      <c r="I234" s="48"/>
      <c r="J234" s="48"/>
      <c r="K234" s="47"/>
      <c r="L234" s="47"/>
      <c r="M234" s="48"/>
      <c r="N234" s="48"/>
    </row>
    <row r="235" spans="1:24" ht="12.75" customHeight="1" x14ac:dyDescent="0.2">
      <c r="A235" s="45" t="str">
        <f ca="1">IF(ISERROR(F232),"",A219)</f>
        <v>Subject Code</v>
      </c>
      <c r="B235" s="45" t="str">
        <f ca="1">IF(ISERROR(F232),"",B219)</f>
        <v>Subject Name</v>
      </c>
      <c r="C235" s="45"/>
      <c r="D235" s="45"/>
      <c r="E235" s="45"/>
      <c r="F235" s="45" t="str">
        <f ca="1">IF(ISERROR(F232),"",F219)</f>
        <v>Credits</v>
      </c>
      <c r="G235" s="45" t="str">
        <f ca="1">IF(ISERROR(F232),"",G219)</f>
        <v>External Marks</v>
      </c>
      <c r="H235" s="45"/>
      <c r="I235" s="45" t="str">
        <f ca="1">IF(ISERROR(F232),"",I219)</f>
        <v>Sessional Marks</v>
      </c>
      <c r="J235" s="45"/>
      <c r="K235" s="45" t="str">
        <f ca="1">IF(ISERROR(F232),"",K219)</f>
        <v>Total Marks</v>
      </c>
      <c r="L235" s="45"/>
      <c r="M235" s="45" t="str">
        <f ca="1">IF(ISERROR(F232),"",M219)</f>
        <v>Grade</v>
      </c>
      <c r="N235" s="45" t="str">
        <f ca="1">IF(ISERROR(F232),"",N219)</f>
        <v>Grade Points</v>
      </c>
    </row>
    <row r="236" spans="1:24" ht="12.75" customHeight="1" x14ac:dyDescent="0.2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W236">
        <f ca="1">IF(ISNUMBER(MATCH($F$8,{"I","III","V","VII"},0)),10,10-INDEX(INDIRECT(_xlfn.TEXTJOIN("",TRUE,"SEM_",$G$8,"!",ADDRESS(6,4+$I$8*3+4),":",ADDRESS(5+$H$8,4+$I$8*3+4))),MATCH(INDIRECT(_xlfn.TEXTJOIN("",TRUE,"TC_",$F$8,"!",ADDRESS(ROW(I233),COLUMN(I233)))),INDIRECT(_xlfn.TEXTJOIN("",TRUE,"SEM_",$G$8,"!",ADDRESS(6,2),":",ADDRESS(5+$H$8,2))))))</f>
        <v>10</v>
      </c>
    </row>
    <row r="237" spans="1:24" ht="12.75" customHeight="1" x14ac:dyDescent="0.2">
      <c r="A237" s="7" t="str">
        <f ca="1">IF(ISERROR(F232),"",VLOOKUP(C232,INDIRECT($F$8),6+(O237-1)*3,0))</f>
        <v>CAT 022</v>
      </c>
      <c r="B237" s="41" t="str">
        <f ca="1">IF(ISERROR(F232),"",VLOOKUP(D232,INDIRECT($F$8),6+(O237-1)*3,0))</f>
        <v>Network Security</v>
      </c>
      <c r="C237" s="41"/>
      <c r="D237" s="41"/>
      <c r="E237" s="41"/>
      <c r="F237" s="7">
        <f ca="1">IF(ISERROR(F232),"",VLOOKUP(E232,INDIRECT($F$8),6+(O237-1)*3,0))</f>
        <v>4</v>
      </c>
      <c r="G237" s="42" t="str">
        <f ca="1">IF(ISERROR(F232),"",_xlfn.TEXTJOIN("/",FALSE,P237,S237))</f>
        <v>0/100</v>
      </c>
      <c r="H237" s="42"/>
      <c r="I237" s="42" t="str">
        <f ca="1">IF(ISERROR(F232),"",_xlfn.TEXTJOIN("/",FALSE,Q237,T237))</f>
        <v>0/50</v>
      </c>
      <c r="J237" s="42"/>
      <c r="K237" s="42" t="str">
        <f ca="1">IF(ISERROR(F232),"",_xlfn.TEXTJOIN("/",FALSE,R237,U237))</f>
        <v>0/150</v>
      </c>
      <c r="L237" s="42"/>
      <c r="M237" s="7" t="str">
        <f ca="1">IF(ISERROR(F232),"",IF(ISTEXT(P237),IF(P237="A","Ab",IF(P237="D","Dt",IF(P237="UFM","UFM",IF(P237="NA","")))),IF(AND(ISBLANK(P237),ISBLANK(R237)),"",IF(P237&lt;0.3*S237,"F",IF(ISBLANK(R237),"",IF(ISTEXT(R237),R237,IF(R237&gt;=0.9*U237,"O",IF(R237&gt;=0.85*U237,"A+",IF(R237&gt;=0.8*U237,"A",IF(R237&gt;=0.7*U237,"B+",IF(R237&gt;=0.6*U237,"B",IF(R237&gt;=0.5*U237,"C",IF(R237&gt;=0.4*U237,"P",IF(R237&lt;0.4*U237,"F",R237))))))))))))))</f>
        <v>F</v>
      </c>
      <c r="N237" s="8">
        <f t="shared" ref="N237:N243" ca="1" si="14">INDEX($Z$2:$Z$13,MATCH(M237,$Y$2:$Y$13,0))</f>
        <v>0</v>
      </c>
      <c r="O237">
        <v>1</v>
      </c>
      <c r="P237" s="1">
        <f ca="1">IF(ISERROR(F232),"",IF(ISTEXT(VLOOKUP(B232,INDIRECT($F$8),6+(O237-1)*3)),(VLOOKUP(B232,INDIRECT($F$8),6+(O237-1)*3)),SUM(VLOOKUP(B232,INDIRECT($F$8),6+(O237-1)*3),IF(W244,W237,0))))</f>
        <v>0</v>
      </c>
      <c r="Q237" s="1">
        <f ca="1">IF(ISERROR(F232),"",VLOOKUP(B232,INDIRECT($F$8),7+(O237-1)*3))</f>
        <v>0</v>
      </c>
      <c r="R237" s="1">
        <f ca="1">IF(ISERROR(F232),"",SUM(P237:Q237))</f>
        <v>0</v>
      </c>
      <c r="S237" s="1">
        <f ca="1">IF(ISERROR(F232),"",VLOOKUP(A232,INDIRECT($F$8),6+(O237-1)*3))</f>
        <v>100</v>
      </c>
      <c r="T237" s="1">
        <f ca="1">IF(ISERROR(F232),"",VLOOKUP(A232,INDIRECT($F$8),7+(O237-1)*3))</f>
        <v>50</v>
      </c>
      <c r="U237" s="1">
        <f ca="1">IF(ISERROR(F232),"",VLOOKUP(A232,INDIRECT($F$8),8+(O237-1)*3))</f>
        <v>150</v>
      </c>
      <c r="V237" s="1" t="str">
        <f ca="1">IF(ISERROR(F232),"",IF(N237=0,A237,""))</f>
        <v>CAT 022</v>
      </c>
      <c r="W237" s="1">
        <f ca="1">IF(ISERROR(F232),"",IF(ISTEXT(VLOOKUP(B232,INDIRECT($F$8),6+(O237-1)*3)),11,IF(VLOOKUP(B232,INDIRECT($F$8),6+(O237-1)*3)&lt;S237*0.3,IF(VLOOKUP(B232,INDIRECT($F$8),8+(O237-1)*3)&lt;U237*0.4,IF(AND(0.4*U237-VLOOKUP(B232,INDIRECT($F$8),8+(O237-1)*3)&lt;=5,0.3*S237-VLOOKUP(B232,INDIRECT($F$8),6+(O237-1)*3)&lt;=5),MAX(0.4*U237-VLOOKUP(B232,INDIRECT($F$8),8+(O237-1)*3),0.3*S237-VLOOKUP(B232,INDIRECT($F$8),6+(O237-1)*3)),11),IF(0.3*S237-VLOOKUP(B232,INDIRECT($F$8),6+(O237-1)*3)&lt;=5,0.3*S237-VLOOKUP(B232,INDIRECT($F$8),6+(O237-1)*3),11)),IF(VLOOKUP(B232,INDIRECT($F$8),8+(O237-1)*3)&lt;U237*0.4,IF(U237*0.4-VLOOKUP(B232,INDIRECT($F$8),8+(O237-1)*3)&lt;=5,U237*0.4-VLOOKUP(B232,INDIRECT($F$8),8+(O237-1)*3),11),0))))</f>
        <v>11</v>
      </c>
      <c r="X237" s="1" t="str">
        <f ca="1">IF(ISERROR(F232),"",IF(W237=0,"",_xlfn.TEXTJOIN("",FALSE," G+",W237," in ",A237)))</f>
        <v xml:space="preserve"> G+11 in CAT 022</v>
      </c>
    </row>
    <row r="238" spans="1:24" ht="12.75" customHeight="1" x14ac:dyDescent="0.2">
      <c r="A238" s="7" t="str">
        <f ca="1">IF(ISERROR(F232),"",VLOOKUP(C232,INDIRECT($F$8),6+(O238-1)*3,0))</f>
        <v>Enroll No.</v>
      </c>
      <c r="B238" s="41">
        <f ca="1">IF(ISERROR(F232),"",VLOOKUP(D232,INDIRECT($F$8),6+(O238-1)*3,0))</f>
        <v>0</v>
      </c>
      <c r="C238" s="41"/>
      <c r="D238" s="41"/>
      <c r="E238" s="41"/>
      <c r="F238" s="7">
        <f ca="1">IF(ISERROR(F232),"",VLOOKUP(E232,INDIRECT($F$8),6+(O238-1)*3,0))</f>
        <v>0</v>
      </c>
      <c r="G238" s="42" t="str">
        <f ca="1">IF(ISERROR(F232),"",_xlfn.TEXTJOIN("/",FALSE,P238,S238))</f>
        <v>UTU/2406100177/0</v>
      </c>
      <c r="H238" s="42"/>
      <c r="I238" s="42" t="str">
        <f ca="1">IF(ISERROR(F232),"",_xlfn.TEXTJOIN("/",FALSE,Q238,T238))</f>
        <v>MANVI UNIYAL/0</v>
      </c>
      <c r="J238" s="42"/>
      <c r="K238" s="42" t="str">
        <f ca="1">IF(ISERROR(F232),"",_xlfn.TEXTJOIN("/",FALSE,R238,U238))</f>
        <v>0/0</v>
      </c>
      <c r="L238" s="42"/>
      <c r="M238" s="7" t="b">
        <f ca="1">IF(ISERROR(F232),"",IF(ISTEXT(P238),IF(P238="A","Ab",IF(P238="D","Dt",IF(P238="UFM","UFM",IF(P238="NA","")))),IF(AND(ISBLANK(P238),ISBLANK(R238)),"",IF(P238&lt;0.3*S238,"F",IF(ISBLANK(R238),"",IF(ISTEXT(R238),R238,IF(R238&gt;=0.9*U238,"O",IF(R238&gt;=0.85*U238,"A+",IF(R238&gt;=0.8*U238,"A",IF(R238&gt;=0.7*U238,"B+",IF(R238&gt;=0.6*U238,"B",IF(R238&gt;=0.5*U238,"C",IF(R238&gt;=0.4*U238,"P",IF(R238&lt;0.4*U238,"F",R238))))))))))))))</f>
        <v>0</v>
      </c>
      <c r="N238" s="8" t="e">
        <f t="shared" ca="1" si="14"/>
        <v>#N/A</v>
      </c>
      <c r="O238" t="b" cm="1">
        <f t="array" aca="1" ref="O238" ca="1">IF(NOT(ISBLANK(INDIRECT("SEM_IV!I"&amp;INT((ROW(O238)-14)/16)+6))),2,IF(NOT(ISBLANK(INDIRECT("SEM_IV!L"&amp;INT((ROW(O238)-14)/16)+6))),3))</f>
        <v>0</v>
      </c>
      <c r="P238" s="1" t="str">
        <f ca="1">IF(ISERROR(F232),"",IF(ISTEXT(VLOOKUP(B232,INDIRECT($F$8),6+(O238-1)*3)),(VLOOKUP(B232,INDIRECT($F$8),6+(O238-1)*3)),SUM(VLOOKUP(B232,INDIRECT($F$8),6+(O238-1)*3),IF(W244,W238,0))))</f>
        <v>UTU/2406100177</v>
      </c>
      <c r="Q238" s="1" t="str">
        <f ca="1">IF(ISERROR(F232),"",VLOOKUP(B232,INDIRECT($F$8),7+(O238-1)*3))</f>
        <v>MANVI UNIYAL</v>
      </c>
      <c r="R238" s="1">
        <f ca="1">IF(ISERROR(F232),"",SUM(P238:Q238))</f>
        <v>0</v>
      </c>
      <c r="S238" s="1">
        <f ca="1">IF(ISERROR(F232),"",VLOOKUP(A232,INDIRECT($F$8),6+(O238-1)*3))</f>
        <v>0</v>
      </c>
      <c r="T238" s="1">
        <f ca="1">IF(ISERROR(F232),"",VLOOKUP(A232,INDIRECT($F$8),7+(O238-1)*3))</f>
        <v>0</v>
      </c>
      <c r="U238" s="1">
        <f ca="1">IF(ISERROR(F232),"",VLOOKUP(A232,INDIRECT($F$8),8+(O238-1)*3))</f>
        <v>0</v>
      </c>
      <c r="V238" s="1" t="e">
        <f ca="1">IF(ISERROR(F232),"",IF(N238=0,A238,""))</f>
        <v>#N/A</v>
      </c>
      <c r="W238" s="1">
        <f ca="1">IF(ISERROR(F232),"",IF(ISTEXT(VLOOKUP(B232,INDIRECT($F$8),6+(O238-1)*3)),11,IF(VLOOKUP(B232,INDIRECT($F$8),6+(O238-1)*3)&lt;S238*0.3,IF(VLOOKUP(B232,INDIRECT($F$8),8+(O238-1)*3)&lt;U238*0.4,IF(AND(0.4*U238-VLOOKUP(B232,INDIRECT($F$8),8+(O238-1)*3)&lt;=5,0.3*S238-VLOOKUP(B232,INDIRECT($F$8),6+(O238-1)*3)&lt;=5),MAX(0.4*U238-VLOOKUP(B232,INDIRECT($F$8),8+(O238-1)*3),0.3*S238-VLOOKUP(B232,INDIRECT($F$8),6+(O238-1)*3)),11),IF(0.3*S238-VLOOKUP(B232,INDIRECT($F$8),6+(O238-1)*3)&lt;=5,0.3*S238-VLOOKUP(B232,INDIRECT($F$8),6+(O238-1)*3),11)),IF(VLOOKUP(B232,INDIRECT($F$8),8+(O238-1)*3)&lt;U238*0.4,IF(U238*0.4-VLOOKUP(B232,INDIRECT($F$8),8+(O238-1)*3)&lt;=5,U238*0.4-VLOOKUP(B232,INDIRECT($F$8),8+(O238-1)*3),11),0))))</f>
        <v>11</v>
      </c>
      <c r="X238" s="1" t="str">
        <f ca="1">IF(ISERROR(F232),"",IF(W238=0,"",_xlfn.TEXTJOIN("",FALSE," G+",W238," in ",A238)))</f>
        <v xml:space="preserve"> G+11 in Enroll No.</v>
      </c>
    </row>
    <row r="239" spans="1:24" ht="12.75" customHeight="1" x14ac:dyDescent="0.2">
      <c r="A239" s="7" t="str">
        <f ca="1">IF(ISERROR(F232),"",VLOOKUP(C232,INDIRECT($F$8),6+(O239-1)*3,0))</f>
        <v>CAT 030</v>
      </c>
      <c r="B239" s="41" t="str">
        <f ca="1">IF(ISERROR(F232),"",VLOOKUP(D232,INDIRECT($F$8),6+(O239-1)*3,0))</f>
        <v>Software Testing &amp; Quality Assurance</v>
      </c>
      <c r="C239" s="41"/>
      <c r="D239" s="41"/>
      <c r="E239" s="41"/>
      <c r="F239" s="7">
        <f ca="1">IF(ISERROR(F232),"",VLOOKUP(E232,INDIRECT($F$8),6+(O239-1)*3,0))</f>
        <v>4</v>
      </c>
      <c r="G239" s="42" t="str">
        <f ca="1">IF(ISERROR(F232),"",_xlfn.TEXTJOIN("/",FALSE,P239,S239))</f>
        <v>0/100</v>
      </c>
      <c r="H239" s="42"/>
      <c r="I239" s="42" t="str">
        <f ca="1">IF(ISERROR(F232),"",_xlfn.TEXTJOIN("/",FALSE,Q239,T239))</f>
        <v>0/50</v>
      </c>
      <c r="J239" s="42"/>
      <c r="K239" s="42" t="str">
        <f ca="1">IF(ISERROR(F232),"",_xlfn.TEXTJOIN("/",FALSE,R239,U239))</f>
        <v>0/150</v>
      </c>
      <c r="L239" s="42"/>
      <c r="M239" s="7" t="str">
        <f ca="1">IF(ISERROR(F232),"",IF(ISTEXT(P239),IF(P239="A","Ab",IF(P239="D","Dt",IF(P239="UFM","UFM",IF(P239="NA","")))),IF(AND(ISBLANK(P239),ISBLANK(R239)),"",IF(P239&lt;0.3*S239,"F",IF(ISBLANK(R239),"",IF(ISTEXT(R239),R239,IF(R239&gt;=0.9*U239,"O",IF(R239&gt;=0.85*U239,"A+",IF(R239&gt;=0.8*U239,"A",IF(R239&gt;=0.7*U239,"B+",IF(R239&gt;=0.6*U239,"B",IF(R239&gt;=0.5*U239,"C",IF(R239&gt;=0.4*U239,"P",IF(R239&lt;0.4*U239,"F",R239))))))))))))))</f>
        <v>F</v>
      </c>
      <c r="N239" s="8">
        <f t="shared" ca="1" si="14"/>
        <v>0</v>
      </c>
      <c r="O239">
        <f ca="1">IF(O238&gt;0,4,"")</f>
        <v>4</v>
      </c>
      <c r="P239" s="1">
        <f ca="1">IF(ISERROR(F232),"",IF(ISTEXT(VLOOKUP(B232,INDIRECT($F$8),6+(O239-1)*3)),(VLOOKUP(B232,INDIRECT($F$8),6+(O239-1)*3)),SUM(VLOOKUP(B232,INDIRECT($F$8),6+(O239-1)*3),IF(W244,W239,0))))</f>
        <v>0</v>
      </c>
      <c r="Q239" s="1">
        <f ca="1">IF(ISERROR(F232),"",VLOOKUP(B232,INDIRECT($F$8),7+(O239-1)*3))</f>
        <v>0</v>
      </c>
      <c r="R239" s="1">
        <f ca="1">IF(ISERROR(F232),"",SUM(P239:Q239))</f>
        <v>0</v>
      </c>
      <c r="S239" s="1">
        <f ca="1">IF(ISERROR(F232),"",VLOOKUP(A232,INDIRECT($F$8),6+(O239-1)*3))</f>
        <v>100</v>
      </c>
      <c r="T239" s="1">
        <f ca="1">IF(ISERROR(F232),"",VLOOKUP(A232,INDIRECT($F$8),7+(O239-1)*3))</f>
        <v>50</v>
      </c>
      <c r="U239" s="1">
        <f ca="1">IF(ISERROR(F232),"",VLOOKUP(A232,INDIRECT($F$8),8+(O239-1)*3))</f>
        <v>150</v>
      </c>
      <c r="V239" s="1" t="str">
        <f ca="1">IF(ISERROR(F232),"",IF(N239=0,A239,""))</f>
        <v>CAT 030</v>
      </c>
      <c r="W239" s="1">
        <f ca="1">IF(ISERROR(F232),"",IF(ISTEXT(VLOOKUP(B232,INDIRECT($F$8),6+(O239-1)*3)),11,IF(VLOOKUP(B232,INDIRECT($F$8),6+(O239-1)*3)&lt;S239*0.3,IF(VLOOKUP(B232,INDIRECT($F$8),8+(O239-1)*3)&lt;U239*0.4,IF(AND(0.4*U239-VLOOKUP(B232,INDIRECT($F$8),8+(O239-1)*3)&lt;=5,0.3*S239-VLOOKUP(B232,INDIRECT($F$8),6+(O239-1)*3)&lt;=5),MAX(0.4*U239-VLOOKUP(B232,INDIRECT($F$8),8+(O239-1)*3),0.3*S239-VLOOKUP(B232,INDIRECT($F$8),6+(O239-1)*3)),11),IF(0.3*S239-VLOOKUP(B232,INDIRECT($F$8),6+(O239-1)*3)&lt;=5,0.3*S239-VLOOKUP(B232,INDIRECT($F$8),6+(O239-1)*3),11)),IF(VLOOKUP(B232,INDIRECT($F$8),8+(O239-1)*3)&lt;U239*0.4,IF(U239*0.4-VLOOKUP(B232,INDIRECT($F$8),8+(O239-1)*3)&lt;=5,U239*0.4-VLOOKUP(B232,INDIRECT($F$8),8+(O239-1)*3),11),0))))</f>
        <v>11</v>
      </c>
      <c r="X239" s="1" t="str">
        <f ca="1">IF(ISERROR(F232),"",IF(W239=0,"",_xlfn.TEXTJOIN("",FALSE," G+",W239," in ",A239)))</f>
        <v xml:space="preserve"> G+11 in CAT 030</v>
      </c>
    </row>
    <row r="240" spans="1:24" ht="12.75" customHeight="1" x14ac:dyDescent="0.2">
      <c r="A240" s="7" t="str">
        <f ca="1">IF(ISERROR(F232),"",VLOOKUP(C232,INDIRECT($F$8),6+(O240-1)*3,0))</f>
        <v>Enroll No.</v>
      </c>
      <c r="B240" s="41">
        <f ca="1">IF(ISERROR(F232),"",VLOOKUP(D232,INDIRECT($F$8),6+(O240-1)*3,0))</f>
        <v>0</v>
      </c>
      <c r="C240" s="41"/>
      <c r="D240" s="41"/>
      <c r="E240" s="41"/>
      <c r="F240" s="7">
        <f ca="1">IF(ISERROR(F232),"",VLOOKUP(E232,INDIRECT($F$8),6+(O240-1)*3,0))</f>
        <v>0</v>
      </c>
      <c r="G240" s="42" t="str">
        <f ca="1">IF(ISERROR(F232),"",_xlfn.TEXTJOIN("/",FALSE,P240,S240))</f>
        <v>UTU/2406100177/0</v>
      </c>
      <c r="H240" s="42"/>
      <c r="I240" s="42" t="str">
        <f ca="1">IF(ISERROR(F232),"",_xlfn.TEXTJOIN("/",FALSE,Q240,T240))</f>
        <v>MANVI UNIYAL/0</v>
      </c>
      <c r="J240" s="42"/>
      <c r="K240" s="42" t="str">
        <f ca="1">IF(ISERROR(F232),"",_xlfn.TEXTJOIN("/",FALSE,R240,U240))</f>
        <v>0/0</v>
      </c>
      <c r="L240" s="42"/>
      <c r="M240" s="7" t="b">
        <f ca="1">IF(ISERROR(F232),"",IF(ISTEXT(P240),IF(P240="A","Ab",IF(P240="D","Dt",IF(P240="UFM","UFM",IF(P240="NA","")))),IF(AND(ISBLANK(P240),ISBLANK(R240)),"",IF(P240&lt;0.3*S240,"F",IF(ISBLANK(R240),"",IF(ISTEXT(R240),R240,IF(R240&gt;=0.9*U240,"O",IF(R240&gt;=0.85*U240,"A+",IF(R240&gt;=0.8*U240,"A",IF(R240&gt;=0.7*U240,"B+",IF(R240&gt;=0.6*U240,"B",IF(R240&gt;=0.5*U240,"C",IF(R240&gt;=0.4*U240,"P",IF(R240&lt;0.4*U240,"F",R240))))))))))))))</f>
        <v>0</v>
      </c>
      <c r="N240" s="8" t="e">
        <f t="shared" ca="1" si="14"/>
        <v>#N/A</v>
      </c>
      <c r="O240" t="b" cm="1">
        <f t="array" aca="1" ref="O240" ca="1">IF(NOT(ISBLANK(INDIRECT("SEM_IV!R"&amp;INT((ROW(O240)-16)/16)+6))),5,IF(NOT(ISBLANK(INDIRECT("SEM_IV!U"&amp;INT((ROW(O240)-16)/16)+6))),6))</f>
        <v>0</v>
      </c>
      <c r="P240" s="1" t="str">
        <f ca="1">IF(ISERROR(F232),"",IF(ISTEXT(VLOOKUP(B232,INDIRECT($F$8),6+(O240-1)*3)),(VLOOKUP(B232,INDIRECT($F$8),6+(O240-1)*3)),SUM(VLOOKUP(B232,INDIRECT($F$8),6+(O240-1)*3),IF(W244,W240,0))))</f>
        <v>UTU/2406100177</v>
      </c>
      <c r="Q240" s="1" t="str">
        <f ca="1">IF(ISERROR(F232),"",VLOOKUP(B232,INDIRECT($F$8),7+(O240-1)*3))</f>
        <v>MANVI UNIYAL</v>
      </c>
      <c r="R240" s="1">
        <f ca="1">IF(ISERROR(F232),"",SUM(P240:Q240))</f>
        <v>0</v>
      </c>
      <c r="S240" s="1">
        <f ca="1">IF(ISERROR(F232),"",VLOOKUP(A232,INDIRECT($F$8),6+(O240-1)*3))</f>
        <v>0</v>
      </c>
      <c r="T240" s="1">
        <f ca="1">IF(ISERROR(F232),"",VLOOKUP(A232,INDIRECT($F$8),7+(O240-1)*3))</f>
        <v>0</v>
      </c>
      <c r="U240" s="1">
        <f ca="1">IF(ISERROR(F232),"",VLOOKUP(A232,INDIRECT($F$8),8+(O240-1)*3))</f>
        <v>0</v>
      </c>
      <c r="V240" s="1" t="e">
        <f ca="1">IF(ISERROR(F232),"",IF(N240=0,A240,""))</f>
        <v>#N/A</v>
      </c>
      <c r="W240" s="1">
        <f ca="1">IF(ISERROR(F232),"",IF(ISTEXT(VLOOKUP(B232,INDIRECT($F$8),6+(O240-1)*3)),11,IF(VLOOKUP(B232,INDIRECT($F$8),6+(O240-1)*3)&lt;S240*0.3,IF(VLOOKUP(B232,INDIRECT($F$8),8+(O240-1)*3)&lt;U240*0.4,IF(AND(0.4*U240-VLOOKUP(B232,INDIRECT($F$8),8+(O240-1)*3)&lt;=5,0.3*S240-VLOOKUP(B232,INDIRECT($F$8),6+(O240-1)*3)&lt;=5),MAX(0.4*U240-VLOOKUP(B232,INDIRECT($F$8),8+(O240-1)*3),0.3*S240-VLOOKUP(B232,INDIRECT($F$8),6+(O240-1)*3)),11),IF(0.3*S240-VLOOKUP(B232,INDIRECT($F$8),6+(O240-1)*3)&lt;=5,0.3*S240-VLOOKUP(B232,INDIRECT($F$8),6+(O240-1)*3),11)),IF(VLOOKUP(B232,INDIRECT($F$8),8+(O240-1)*3)&lt;U240*0.4,IF(U240*0.4-VLOOKUP(B232,INDIRECT($F$8),8+(O240-1)*3)&lt;=5,U240*0.4-VLOOKUP(B232,INDIRECT($F$8),8+(O240-1)*3),11),0))))</f>
        <v>11</v>
      </c>
      <c r="X240" s="1" t="str">
        <f ca="1">IF(ISERROR(F232),"",IF(W240=0,"",_xlfn.TEXTJOIN("",FALSE," G+",W240," in ",A240)))</f>
        <v xml:space="preserve"> G+11 in Enroll No.</v>
      </c>
    </row>
    <row r="241" spans="1:24" ht="12.75" customHeight="1" x14ac:dyDescent="0.2">
      <c r="A241" s="7" t="str">
        <f ca="1">IF(ISERROR(F232),"",VLOOKUP(C232,INDIRECT($F$8),6+(O241-1)*3,0))</f>
        <v>CAP 011</v>
      </c>
      <c r="B241" s="41" t="str">
        <f ca="1">IF(ISERROR(F232),"",VLOOKUP(D232,INDIRECT($F$8),6+(O241-1)*3,0))</f>
        <v>Network Security Lab</v>
      </c>
      <c r="C241" s="41"/>
      <c r="D241" s="41"/>
      <c r="E241" s="41"/>
      <c r="F241" s="7">
        <f ca="1">IF(ISERROR(F232),"",VLOOKUP(E232,INDIRECT($F$8),6+(O241-1)*3,0))</f>
        <v>1</v>
      </c>
      <c r="G241" s="42" t="str">
        <f ca="1">IF(ISERROR(F232),"",_xlfn.TEXTJOIN("/",FALSE,P241,S241))</f>
        <v>0/30</v>
      </c>
      <c r="H241" s="42"/>
      <c r="I241" s="42" t="str">
        <f ca="1">IF(ISERROR(F232),"",_xlfn.TEXTJOIN("/",FALSE,Q241,T241))</f>
        <v>0/20</v>
      </c>
      <c r="J241" s="42"/>
      <c r="K241" s="42" t="str">
        <f ca="1">IF(ISERROR(F232),"",_xlfn.TEXTJOIN("/",FALSE,R241,U241))</f>
        <v>0/50</v>
      </c>
      <c r="L241" s="42"/>
      <c r="M241" s="7" t="str">
        <f ca="1">IF(ISERROR(F232),"",IF(ISTEXT(P241),IF(P241="A","Ab",IF(P241="D","Dt",IF(P241="UFM","UFM",IF(P241="NA","")))),IF(AND(ISBLANK(P241),ISBLANK(R241)),"",IF(P241&lt;0.3*S241,"F",IF(ISBLANK(R241),"",IF(ISTEXT(R241),R241,IF(R241&gt;=0.9*U241,"O",IF(R241&gt;=0.85*U241,"A+",IF(R241&gt;=0.8*U241,"A",IF(R241&gt;=0.7*U241,"B+",IF(R241&gt;=0.6*U241,"B",IF(R241&gt;=0.5*U241,"C",IF(R241&gt;=0.4*U241,"P",IF(R241&lt;0.4*U241,"F",R241))))))))))))))</f>
        <v>F</v>
      </c>
      <c r="N241" s="8">
        <f t="shared" ca="1" si="14"/>
        <v>0</v>
      </c>
      <c r="O241">
        <f ca="1">IF(O240&gt;0,7,"")</f>
        <v>7</v>
      </c>
      <c r="P241" s="1">
        <f ca="1">IF(ISERROR(F232),"",IF(ISTEXT(VLOOKUP(B232,INDIRECT($F$8),6+(O241-1)*3)),(VLOOKUP(B232,INDIRECT($F$8),6+(O241-1)*3)),SUM(VLOOKUP(B232,INDIRECT($F$8),6+(O241-1)*3),IF(W244,W241,0))))</f>
        <v>0</v>
      </c>
      <c r="Q241" s="1">
        <f ca="1">IF(ISERROR(F232),"",VLOOKUP(B232,INDIRECT($F$8),7+(O241-1)*3))</f>
        <v>0</v>
      </c>
      <c r="R241" s="1">
        <f ca="1">IF(ISERROR(F232),"",SUM(P241:Q241))</f>
        <v>0</v>
      </c>
      <c r="S241" s="1">
        <f ca="1">IF(ISERROR(F232),"",VLOOKUP(A232,INDIRECT($F$8),6+(O241-1)*3))</f>
        <v>30</v>
      </c>
      <c r="T241" s="1">
        <f ca="1">IF(ISERROR(F232),"",VLOOKUP(A232,INDIRECT($F$8),7+(O241-1)*3))</f>
        <v>20</v>
      </c>
      <c r="U241" s="1">
        <f ca="1">IF(ISERROR(F232),"",VLOOKUP(A232,INDIRECT($F$8),8+(O241-1)*3))</f>
        <v>50</v>
      </c>
      <c r="V241" s="1" t="str">
        <f ca="1">IF(ISERROR(F232),"",IF(N241=0,A241,""))</f>
        <v>CAP 011</v>
      </c>
      <c r="W241" s="1">
        <f ca="1">IF(ISERROR(F232),"",IF(ISTEXT(VLOOKUP(B232,INDIRECT($F$8),6+(O241-1)*3)),11,IF(VLOOKUP(B232,INDIRECT($F$8),6+(O241-1)*3)&lt;S241*0.3,IF(VLOOKUP(B232,INDIRECT($F$8),8+(O241-1)*3)&lt;U241*0.4,IF(AND(0.4*U241-VLOOKUP(B232,INDIRECT($F$8),8+(O241-1)*3)&lt;=5,0.3*S241-VLOOKUP(B232,INDIRECT($F$8),6+(O241-1)*3)&lt;=5),MAX(0.4*U241-VLOOKUP(B232,INDIRECT($F$8),8+(O241-1)*3),0.3*S241-VLOOKUP(B232,INDIRECT($F$8),6+(O241-1)*3)),11),IF(0.3*S241-VLOOKUP(B232,INDIRECT($F$8),6+(O241-1)*3)&lt;=5,0.3*S241-VLOOKUP(B232,INDIRECT($F$8),6+(O241-1)*3),11)),IF(VLOOKUP(B232,INDIRECT($F$8),8+(O241-1)*3)&lt;U241*0.4,IF(U241*0.4-VLOOKUP(B232,INDIRECT($F$8),8+(O241-1)*3)&lt;=5,U241*0.4-VLOOKUP(B232,INDIRECT($F$8),8+(O241-1)*3),11),0))))</f>
        <v>11</v>
      </c>
      <c r="X241" s="1" t="str">
        <f ca="1">IF(ISERROR(F232),"",IF(W241=0,"",_xlfn.TEXTJOIN("",FALSE," G+",W241," in ",A241)))</f>
        <v xml:space="preserve"> G+11 in CAP 011</v>
      </c>
    </row>
    <row r="242" spans="1:24" ht="12.75" customHeight="1" x14ac:dyDescent="0.2">
      <c r="A242" s="7" t="str">
        <f ca="1">IF(ISERROR(F232),"",VLOOKUP(C232,INDIRECT($F$8),6+(O242-1)*3,0))</f>
        <v>Enroll No.</v>
      </c>
      <c r="B242" s="41">
        <f ca="1">IF(ISERROR(F232),"",VLOOKUP(D232,INDIRECT($F$8),6+(O242-1)*3,0))</f>
        <v>0</v>
      </c>
      <c r="C242" s="41"/>
      <c r="D242" s="41"/>
      <c r="E242" s="41"/>
      <c r="F242" s="7">
        <f ca="1">IF(ISERROR(F232),"",VLOOKUP(E232,INDIRECT($F$8),6+(O242-1)*3,0))</f>
        <v>0</v>
      </c>
      <c r="G242" s="42" t="str">
        <f ca="1">IF(ISERROR(F232),"",_xlfn.TEXTJOIN("/",FALSE,P242,S242))</f>
        <v>UTU/2406100177/0</v>
      </c>
      <c r="H242" s="42"/>
      <c r="I242" s="42" t="str">
        <f ca="1">IF(ISERROR(F232),"",_xlfn.TEXTJOIN("/",FALSE,Q242,T242))</f>
        <v>MANVI UNIYAL/0</v>
      </c>
      <c r="J242" s="42"/>
      <c r="K242" s="42" t="str">
        <f ca="1">IF(ISERROR(F232),"",_xlfn.TEXTJOIN("/",FALSE,R242,U242))</f>
        <v>0/0</v>
      </c>
      <c r="L242" s="42"/>
      <c r="M242" s="7" t="b">
        <f ca="1">IF(ISERROR(F232),"",IF(ISTEXT(P242),IF(P242="A","Ab",IF(P242="D","Dt",IF(P242="UFM","UFM",IF(P242="NA","")))),IF(AND(ISBLANK(P242),ISBLANK(R242)),"",IF(P242&lt;0.3*S242,"F",IF(ISBLANK(R242),"",IF(ISTEXT(R242),R242,IF(R242&gt;=0.9*U242,"O",IF(R242&gt;=0.85*U242,"A+",IF(R242&gt;=0.8*U242,"A",IF(R242&gt;=0.7*U242,"B+",IF(R242&gt;=0.6*U242,"B",IF(R242&gt;=0.5*U242,"C",IF(R242&gt;=0.4*U242,"P",IF(R242&lt;0.4*U242,"F",R242))))))))))))))</f>
        <v>0</v>
      </c>
      <c r="N242" s="8" t="e">
        <f t="shared" ca="1" si="14"/>
        <v>#N/A</v>
      </c>
      <c r="O242" t="b" cm="1">
        <f t="array" aca="1" ref="O242" ca="1">IF(NOT(ISBLANK(INDIRECT("SEM_IV!AA"&amp;INT((ROW(O242)-18)/16)+6))),8,IF(NOT(ISBLANK(INDIRECT("SEM_IV!AD"&amp;INT((ROW(O242)-18)/16)+6))),9))</f>
        <v>0</v>
      </c>
      <c r="P242" s="1" t="str">
        <f ca="1">IF(ISERROR(F232),"",IF(ISTEXT(VLOOKUP(B232,INDIRECT($F$8),6+(O242-1)*3)),(VLOOKUP(B232,INDIRECT($F$8),6+(O242-1)*3)),SUM(VLOOKUP(B232,INDIRECT($F$8),6+(O242-1)*3),IF(W244,W242,0))))</f>
        <v>UTU/2406100177</v>
      </c>
      <c r="Q242" s="1" t="str">
        <f ca="1">IF(ISERROR(F232),"",VLOOKUP(B232,INDIRECT($F$8),7+(O242-1)*3))</f>
        <v>MANVI UNIYAL</v>
      </c>
      <c r="R242" s="1">
        <f ca="1">IF(ISERROR(F232),"",SUM(P242:Q242))</f>
        <v>0</v>
      </c>
      <c r="S242" s="1">
        <f ca="1">IF(ISERROR(F232),"",VLOOKUP(A232,INDIRECT($F$8),6+(O242-1)*3))</f>
        <v>0</v>
      </c>
      <c r="T242" s="1">
        <f ca="1">IF(ISERROR(F232),"",VLOOKUP(A232,INDIRECT($F$8),7+(O242-1)*3))</f>
        <v>0</v>
      </c>
      <c r="U242" s="1">
        <f ca="1">IF(ISERROR(F232),"",VLOOKUP(A232,INDIRECT($F$8),8+(O242-1)*3))</f>
        <v>0</v>
      </c>
      <c r="V242" s="1" t="e">
        <f ca="1">IF(ISERROR(F232),"",IF(N242=0,A242,""))</f>
        <v>#N/A</v>
      </c>
      <c r="W242" s="1">
        <f ca="1">IF(ISERROR(F232),"",IF(ISTEXT(VLOOKUP(B232,INDIRECT($F$8),6+(O242-1)*3)),11,IF(VLOOKUP(B232,INDIRECT($F$8),6+(O242-1)*3)&lt;S242*0.3,IF(VLOOKUP(B232,INDIRECT($F$8),8+(O242-1)*3)&lt;U242*0.4,IF(AND(0.4*U242-VLOOKUP(B232,INDIRECT($F$8),8+(O242-1)*3)&lt;=5,0.3*S242-VLOOKUP(B232,INDIRECT($F$8),6+(O242-1)*3)&lt;=5),MAX(0.4*U242-VLOOKUP(B232,INDIRECT($F$8),8+(O242-1)*3),0.3*S242-VLOOKUP(B232,INDIRECT($F$8),6+(O242-1)*3)),11),IF(0.3*S242-VLOOKUP(B232,INDIRECT($F$8),6+(O242-1)*3)&lt;=5,0.3*S242-VLOOKUP(B232,INDIRECT($F$8),6+(O242-1)*3),11)),IF(VLOOKUP(B232,INDIRECT($F$8),8+(O242-1)*3)&lt;U242*0.4,IF(U242*0.4-VLOOKUP(B232,INDIRECT($F$8),8+(O242-1)*3)&lt;=5,U242*0.4-VLOOKUP(B232,INDIRECT($F$8),8+(O242-1)*3),11),0))))</f>
        <v>11</v>
      </c>
      <c r="X242" s="1" t="str">
        <f ca="1">IF(ISERROR(F232),"",IF(W242=0,"",_xlfn.TEXTJOIN("",FALSE," G+",W242," in ",A242)))</f>
        <v xml:space="preserve"> G+11 in Enroll No.</v>
      </c>
    </row>
    <row r="243" spans="1:24" ht="12.75" customHeight="1" x14ac:dyDescent="0.2">
      <c r="A243" s="7" t="str">
        <f ca="1">IF(ISERROR(F232),"",VLOOKUP(C232,INDIRECT($F$8),6+(O243-1)*3,0))</f>
        <v>CAP 013</v>
      </c>
      <c r="B243" s="41" t="str">
        <f ca="1">IF(ISERROR(F232),"",VLOOKUP(D232,INDIRECT($F$8),6+(O243-1)*3-Z243,0))</f>
        <v>Major Project</v>
      </c>
      <c r="C243" s="41"/>
      <c r="D243" s="41"/>
      <c r="E243" s="41"/>
      <c r="F243" s="7">
        <f ca="1">IF(ISERROR(F232),"",VLOOKUP(E232,INDIRECT($F$8),6+(O243-1)*3,0))</f>
        <v>6</v>
      </c>
      <c r="G243" s="42" t="str">
        <f ca="1">IF(ISERROR(F232),"",_xlfn.TEXTJOIN("/",FALSE,P243,S243))</f>
        <v>0/200</v>
      </c>
      <c r="H243" s="42"/>
      <c r="I243" s="42" t="str">
        <f ca="1">IF(ISERROR(F232),"",_xlfn.TEXTJOIN("/",FALSE,Q243,T243))</f>
        <v>0/100</v>
      </c>
      <c r="J243" s="42"/>
      <c r="K243" s="42" t="str">
        <f ca="1">IF(ISERROR(F232),"",_xlfn.TEXTJOIN("/",FALSE,R243,U243))</f>
        <v>0/300</v>
      </c>
      <c r="L243" s="42"/>
      <c r="M243" s="7" t="str">
        <f ca="1">IF(ISERROR(F232),"",IF(ISTEXT(P243),IF(P243="A","Ab",IF(P243="D","Dt",IF(P243="UFM","UFM",IF(P243="NA","")))),IF(AND(ISBLANK(P243),ISBLANK(R243)),"",IF(P243&lt;0.3*S243,"F",IF(ISBLANK(R243),"",IF(ISTEXT(R243),R243,IF(R243&gt;=0.9*U243,"O",IF(R243&gt;=0.85*U243,"A+",IF(R243&gt;=0.8*U243,"A",IF(R243&gt;=0.7*U243,"B+",IF(R243&gt;=0.6*U243,"B",IF(R243&gt;=0.5*U243,"C",IF(R243&gt;=0.4*U243,"P",IF(R243&lt;0.4*U243,"F",R243))))))))))))))</f>
        <v>F</v>
      </c>
      <c r="N243" s="8">
        <f t="shared" ca="1" si="14"/>
        <v>0</v>
      </c>
      <c r="O243">
        <f ca="1">IF(O242&gt;0,10,"")</f>
        <v>10</v>
      </c>
      <c r="P243" s="1">
        <f ca="1">IF(ISERROR(F232),"",IF(ISTEXT(VLOOKUP(B232,INDIRECT($F$8),6+(O243-1)*3)),(VLOOKUP(B232,INDIRECT($F$8),6+(O243-1)*3)),SUM(VLOOKUP(B232,INDIRECT($F$8),6+(O243-1)*3),IF(W244,W243,0))))</f>
        <v>0</v>
      </c>
      <c r="Q243" s="1">
        <f ca="1">IF(ISERROR(F232),"",VLOOKUP(B232,INDIRECT($F$8),7+(O243-1)*3))</f>
        <v>0</v>
      </c>
      <c r="R243" s="1">
        <f ca="1">IF(ISERROR(F232),"",SUM(P243:Q243))</f>
        <v>0</v>
      </c>
      <c r="S243" s="1">
        <f ca="1">IF(ISERROR(F232),"",VLOOKUP(A232,INDIRECT($F$8),6+(O243-1)*3))</f>
        <v>200</v>
      </c>
      <c r="T243" s="1">
        <f ca="1">IF(ISERROR(F232),"",VLOOKUP(A232,INDIRECT($F$8),7+(O243-1)*3))</f>
        <v>100</v>
      </c>
      <c r="U243" s="1">
        <f ca="1">IF(ISERROR(F232),"",VLOOKUP(A232,INDIRECT($F$8),8+(O243-1)*3))</f>
        <v>300</v>
      </c>
      <c r="V243" s="1" t="str">
        <f ca="1">IF(ISERROR(F232),"",IF(N243=0,A243,""))</f>
        <v>CAP 013</v>
      </c>
      <c r="W243" s="1">
        <f ca="1">IF(ISERROR(F232),"",IF(ISTEXT(VLOOKUP(B232,INDIRECT($F$8),6+(O243-1)*3)),11,IF(VLOOKUP(B232,INDIRECT($F$8),6+(O243-1)*3)&lt;S243*0.3,IF(VLOOKUP(B232,INDIRECT($F$8),8+(O243-1)*3)&lt;U243*0.4,IF(AND(0.4*U243-VLOOKUP(B232,INDIRECT($F$8),8+(O243-1)*3)&lt;=5,0.3*S243-VLOOKUP(B232,INDIRECT($F$8),6+(O243-1)*3)&lt;=5),MAX(0.4*U243-VLOOKUP(B232,INDIRECT($F$8),8+(O243-1)*3),0.3*S243-VLOOKUP(B232,INDIRECT($F$8),6+(O243-1)*3)),11),IF(0.3*S243-VLOOKUP(B232,INDIRECT($F$8),6+(O243-1)*3)&lt;=5,0.3*S243-VLOOKUP(B232,INDIRECT($F$8),6+(O243-1)*3),11)),IF(VLOOKUP(B232,INDIRECT($F$8),8+(O243-1)*3)&lt;U243*0.4,IF(U243*0.4-VLOOKUP(B232,INDIRECT($F$8),8+(O243-1)*3)&lt;=5,U243*0.4-VLOOKUP(B232,INDIRECT($F$8),8+(O243-1)*3),11),0))))</f>
        <v>11</v>
      </c>
      <c r="X243" s="1" t="str">
        <f ca="1">IF(ISERROR(F232),"",IF(W243=0,"",_xlfn.TEXTJOIN("",FALSE," G+",W243," in ",A243)))</f>
        <v xml:space="preserve"> G+11 in CAP 013</v>
      </c>
    </row>
    <row r="244" spans="1:24" ht="12.75" customHeight="1" x14ac:dyDescent="0.2">
      <c r="A244" s="43" t="str">
        <f ca="1">IF(ISERROR(F232),"",A228)</f>
        <v>Total Credits/ Marks/ Total Grade Points</v>
      </c>
      <c r="B244" s="43"/>
      <c r="C244" s="43"/>
      <c r="D244" s="43"/>
      <c r="E244" s="43"/>
      <c r="F244" s="10">
        <f ca="1">IF(ISERROR(F232),"",SUM(F237:F243))</f>
        <v>15</v>
      </c>
      <c r="G244" s="44" t="str">
        <f ca="1">IF(ISERROR(F232),"",_xlfn.TEXTJOIN("/",TRUE,SUMIF(F237:F243,"&gt;0",P237:P243),SUMIF(F237:F243,"&gt;0",S237:S243)))</f>
        <v>0/430</v>
      </c>
      <c r="H244" s="44"/>
      <c r="I244" s="44" t="str">
        <f ca="1">IF(ISERROR(F232),"",_xlfn.TEXTJOIN("/",TRUE,SUMIF(F237:F243,"&gt;0",Q237:Q243),SUMIF(F237:F243,"&gt;0",T237:T243)))</f>
        <v>0/220</v>
      </c>
      <c r="J244" s="44"/>
      <c r="K244" s="44" t="str">
        <f ca="1">IF(ISERROR(F232),"",_xlfn.TEXTJOIN("/",TRUE,SUMIF(F237:F243,"&gt;0",R237:R243),SUMIF(F237:F243,"&gt;0",U237:U243)))</f>
        <v>0/650</v>
      </c>
      <c r="L244" s="44"/>
      <c r="M244" s="43" t="e">
        <f ca="1">IF(ISERROR(F232),"",SUMPRODUCT(N237:N243,F237:F243))</f>
        <v>#N/A</v>
      </c>
      <c r="N244" s="43"/>
      <c r="V244" s="1" t="e">
        <f ca="1">IF(ISERROR(F232),"",_xlfn.TEXTJOIN(", ",TRUE,V237:V243))</f>
        <v>#N/A</v>
      </c>
      <c r="W244" t="b">
        <f ca="1">IF(ISERROR(F232),"",IF(SUM(W237:W243)&lt;=W236,TRUE,FALSE))</f>
        <v>0</v>
      </c>
      <c r="X244" s="1" t="str">
        <f ca="1">IF(ISERROR(F232),"",_xlfn.TEXTJOIN(",",TRUE,X237:X243))</f>
        <v xml:space="preserve"> G+11 in CAT 022, G+11 in Enroll No., G+11 in CAT 030, G+11 in Enroll No., G+11 in CAP 011, G+11 in Enroll No., G+11 in CAP 013</v>
      </c>
    </row>
    <row r="245" spans="1:24" ht="12.75" customHeight="1" x14ac:dyDescent="0.2">
      <c r="A245" s="43" t="str">
        <f ca="1">IF(ISERROR(F232),"",A229)</f>
        <v>Result:</v>
      </c>
      <c r="B245" s="45" t="e">
        <f ca="1">IF(ISERROR(F232),"",IF(V244="","PASS","CARRY OVER"))</f>
        <v>#N/A</v>
      </c>
      <c r="C245" s="45"/>
      <c r="D245" s="43" t="str">
        <f ca="1">IF(ISERROR(F232),"",D229)</f>
        <v>Remark:</v>
      </c>
      <c r="E245" s="45" t="e">
        <f ca="1">IF(ISERROR(F232),"",IF(V244="",IF(X244="","",X244),_xlfn.TEXTJOIN(" ",TRUE,"BACK IN",V244)))</f>
        <v>#N/A</v>
      </c>
      <c r="F245" s="45"/>
      <c r="G245" s="43" t="str">
        <f ca="1">IF(ISERROR(F232),"",G229)</f>
        <v>SGPA:</v>
      </c>
      <c r="H245" s="46" t="e">
        <f ca="1">IF(ISERROR(F232),"",M244/F244)</f>
        <v>#N/A</v>
      </c>
      <c r="I245" s="43" t="str">
        <f ca="1">IF(ISERROR(F232),"",I229)</f>
        <v>CGPA:</v>
      </c>
      <c r="J245" s="46" t="e">
        <f ca="1">IF(ISERROR(F232),"",VLOOKUP(B232,INDIRECT($F$8),12+(O243-1)*3,0))</f>
        <v>#N/A</v>
      </c>
      <c r="K245" s="45" t="str">
        <f ca="1">IF(ISERROR(F232),"",K229)</f>
        <v>Earned Credits:</v>
      </c>
      <c r="L245" s="43">
        <f ca="1">IF(ISERROR(F232),"",SUMIF(N237:N243,"&gt;0",F237:F243))</f>
        <v>0</v>
      </c>
      <c r="M245" s="45" t="str">
        <f ca="1">IF(ISERROR(F232),"",M229)</f>
        <v>Cuml. Earned Credits:</v>
      </c>
      <c r="N245" s="43" t="e">
        <f ca="1">IF(ISERROR(F232),"",VLOOKUP(B232,INDIRECT($F$8),10+(O243-1)*3,0))</f>
        <v>#N/A</v>
      </c>
    </row>
    <row r="246" spans="1:24" ht="12.75" customHeight="1" x14ac:dyDescent="0.2">
      <c r="A246" s="43"/>
      <c r="B246" s="45"/>
      <c r="C246" s="45"/>
      <c r="D246" s="43"/>
      <c r="E246" s="45"/>
      <c r="F246" s="45"/>
      <c r="G246" s="43"/>
      <c r="H246" s="46"/>
      <c r="I246" s="43"/>
      <c r="J246" s="46"/>
      <c r="K246" s="45"/>
      <c r="L246" s="43"/>
      <c r="M246" s="45"/>
      <c r="N246" s="43"/>
    </row>
    <row r="247" spans="1:24" ht="12.75" customHeight="1" x14ac:dyDescent="0.2">
      <c r="A247" s="43"/>
      <c r="B247" s="45"/>
      <c r="C247" s="45"/>
      <c r="D247" s="43"/>
      <c r="E247" s="45"/>
      <c r="F247" s="45"/>
      <c r="G247" s="43"/>
      <c r="H247" s="46"/>
      <c r="I247" s="43"/>
      <c r="J247" s="46"/>
      <c r="K247" s="45"/>
      <c r="L247" s="43"/>
      <c r="M247" s="45"/>
      <c r="N247" s="43"/>
    </row>
    <row r="248" spans="1:24" ht="12.75" customHeight="1" x14ac:dyDescent="0.2">
      <c r="A248" s="11" t="str">
        <f>A232</f>
        <v>MM</v>
      </c>
      <c r="B248" s="11">
        <f>B232+1</f>
        <v>16</v>
      </c>
      <c r="C248" s="11" t="str">
        <f>C232</f>
        <v>SC</v>
      </c>
      <c r="D248" s="11" t="str">
        <f>D232</f>
        <v>SN</v>
      </c>
      <c r="E248" s="11" t="str">
        <f>E232</f>
        <v>C</v>
      </c>
      <c r="F248" s="11" t="str">
        <f ca="1">VLOOKUP(B248,INDIRECT($F$8),4,0)</f>
        <v>NEERAJ JOSHI</v>
      </c>
    </row>
    <row r="249" spans="1:24" ht="12.75" customHeight="1" x14ac:dyDescent="0.2">
      <c r="A249" s="47" t="str">
        <f ca="1">IF(ISERROR(F248),"",A233)</f>
        <v>Name:</v>
      </c>
      <c r="B249" s="47" t="str">
        <f ca="1">IFERROR(VLOOKUP(B248,INDIRECT($F$8),4,0),"")</f>
        <v>NEERAJ JOSHI</v>
      </c>
      <c r="C249" s="47"/>
      <c r="D249" s="47" t="str">
        <f ca="1">IF(ISERROR(F248),"",D233)</f>
        <v>Father's Name:</v>
      </c>
      <c r="E249" s="47" t="str">
        <f ca="1">IFERROR(VLOOKUP(B248,INDIRECT($F$8),5,0),"")</f>
        <v>PURAN CHANDRA JOSHI</v>
      </c>
      <c r="F249" s="47"/>
      <c r="G249" s="47" t="str">
        <f ca="1">IF(ISERROR(F248),"",G233)</f>
        <v>University Roll No:</v>
      </c>
      <c r="H249" s="47"/>
      <c r="I249" s="48">
        <f ca="1">IFERROR(VLOOKUP(B248,INDIRECT($F$8),2,0),"")</f>
        <v>240090600016</v>
      </c>
      <c r="J249" s="48"/>
      <c r="K249" s="47" t="str">
        <f ca="1">IF(ISERROR(F248),"",K233)</f>
        <v>University Enrol. No:</v>
      </c>
      <c r="L249" s="47"/>
      <c r="M249" s="48" t="str">
        <f ca="1">IFERROR(VLOOKUP(B248,INDIRECT($F$8),3,0),"")</f>
        <v>UTU/2406100137</v>
      </c>
      <c r="N249" s="48"/>
    </row>
    <row r="250" spans="1:24" ht="12.75" customHeight="1" x14ac:dyDescent="0.2">
      <c r="A250" s="47"/>
      <c r="B250" s="47"/>
      <c r="C250" s="47"/>
      <c r="D250" s="47"/>
      <c r="E250" s="47"/>
      <c r="F250" s="47"/>
      <c r="G250" s="47"/>
      <c r="H250" s="47"/>
      <c r="I250" s="48"/>
      <c r="J250" s="48"/>
      <c r="K250" s="47"/>
      <c r="L250" s="47"/>
      <c r="M250" s="48"/>
      <c r="N250" s="48"/>
    </row>
    <row r="251" spans="1:24" ht="12.75" customHeight="1" x14ac:dyDescent="0.2">
      <c r="A251" s="45" t="str">
        <f ca="1">IF(ISERROR(F248),"",A235)</f>
        <v>Subject Code</v>
      </c>
      <c r="B251" s="45" t="str">
        <f ca="1">IF(ISERROR(F248),"",B235)</f>
        <v>Subject Name</v>
      </c>
      <c r="C251" s="45"/>
      <c r="D251" s="45"/>
      <c r="E251" s="45"/>
      <c r="F251" s="45" t="str">
        <f ca="1">IF(ISERROR(F248),"",F235)</f>
        <v>Credits</v>
      </c>
      <c r="G251" s="45" t="str">
        <f ca="1">IF(ISERROR(F248),"",G235)</f>
        <v>External Marks</v>
      </c>
      <c r="H251" s="45"/>
      <c r="I251" s="45" t="str">
        <f ca="1">IF(ISERROR(F248),"",I235)</f>
        <v>Sessional Marks</v>
      </c>
      <c r="J251" s="45"/>
      <c r="K251" s="45" t="str">
        <f ca="1">IF(ISERROR(F248),"",K235)</f>
        <v>Total Marks</v>
      </c>
      <c r="L251" s="45"/>
      <c r="M251" s="45" t="str">
        <f ca="1">IF(ISERROR(F248),"",M235)</f>
        <v>Grade</v>
      </c>
      <c r="N251" s="45" t="str">
        <f ca="1">IF(ISERROR(F248),"",N235)</f>
        <v>Grade Points</v>
      </c>
    </row>
    <row r="252" spans="1:24" ht="12.75" customHeight="1" x14ac:dyDescent="0.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W252">
        <f ca="1">IF(ISNUMBER(MATCH($F$8,{"I","III","V","VII"},0)),10,10-INDEX(INDIRECT(_xlfn.TEXTJOIN("",TRUE,"SEM_",$G$8,"!",ADDRESS(6,4+$I$8*3+4),":",ADDRESS(5+$H$8,4+$I$8*3+4))),MATCH(INDIRECT(_xlfn.TEXTJOIN("",TRUE,"TC_",$F$8,"!",ADDRESS(ROW(I249),COLUMN(I249)))),INDIRECT(_xlfn.TEXTJOIN("",TRUE,"SEM_",$G$8,"!",ADDRESS(6,2),":",ADDRESS(5+$H$8,2))))))</f>
        <v>10</v>
      </c>
    </row>
    <row r="253" spans="1:24" ht="12.75" customHeight="1" x14ac:dyDescent="0.2">
      <c r="A253" s="7" t="str">
        <f ca="1">IF(ISERROR(F248),"",VLOOKUP(C248,INDIRECT($F$8),6+(O253-1)*3,0))</f>
        <v>CAT 022</v>
      </c>
      <c r="B253" s="41" t="str">
        <f ca="1">IF(ISERROR(F248),"",VLOOKUP(D248,INDIRECT($F$8),6+(O253-1)*3,0))</f>
        <v>Network Security</v>
      </c>
      <c r="C253" s="41"/>
      <c r="D253" s="41"/>
      <c r="E253" s="41"/>
      <c r="F253" s="7">
        <f ca="1">IF(ISERROR(F248),"",VLOOKUP(E248,INDIRECT($F$8),6+(O253-1)*3,0))</f>
        <v>4</v>
      </c>
      <c r="G253" s="42" t="str">
        <f ca="1">IF(ISERROR(F248),"",_xlfn.TEXTJOIN("/",FALSE,P253,S253))</f>
        <v>0/100</v>
      </c>
      <c r="H253" s="42"/>
      <c r="I253" s="42" t="str">
        <f ca="1">IF(ISERROR(F248),"",_xlfn.TEXTJOIN("/",FALSE,Q253,T253))</f>
        <v>0/50</v>
      </c>
      <c r="J253" s="42"/>
      <c r="K253" s="42" t="str">
        <f ca="1">IF(ISERROR(F248),"",_xlfn.TEXTJOIN("/",FALSE,R253,U253))</f>
        <v>0/150</v>
      </c>
      <c r="L253" s="42"/>
      <c r="M253" s="7" t="str">
        <f ca="1">IF(ISERROR(F248),"",IF(ISTEXT(P253),IF(P253="A","Ab",IF(P253="D","Dt",IF(P253="UFM","UFM",IF(P253="NA","")))),IF(AND(ISBLANK(P253),ISBLANK(R253)),"",IF(P253&lt;0.3*S253,"F",IF(ISBLANK(R253),"",IF(ISTEXT(R253),R253,IF(R253&gt;=0.9*U253,"O",IF(R253&gt;=0.85*U253,"A+",IF(R253&gt;=0.8*U253,"A",IF(R253&gt;=0.7*U253,"B+",IF(R253&gt;=0.6*U253,"B",IF(R253&gt;=0.5*U253,"C",IF(R253&gt;=0.4*U253,"P",IF(R253&lt;0.4*U253,"F",R253))))))))))))))</f>
        <v>F</v>
      </c>
      <c r="N253" s="8">
        <f t="shared" ref="N253:N259" ca="1" si="15">INDEX($Z$2:$Z$13,MATCH(M253,$Y$2:$Y$13,0))</f>
        <v>0</v>
      </c>
      <c r="O253">
        <v>1</v>
      </c>
      <c r="P253" s="1">
        <f ca="1">IF(ISERROR(F248),"",IF(ISTEXT(VLOOKUP(B248,INDIRECT($F$8),6+(O253-1)*3)),(VLOOKUP(B248,INDIRECT($F$8),6+(O253-1)*3)),SUM(VLOOKUP(B248,INDIRECT($F$8),6+(O253-1)*3),IF(W260,W253,0))))</f>
        <v>0</v>
      </c>
      <c r="Q253" s="1">
        <f ca="1">IF(ISERROR(F248),"",VLOOKUP(B248,INDIRECT($F$8),7+(O253-1)*3))</f>
        <v>0</v>
      </c>
      <c r="R253" s="1">
        <f ca="1">IF(ISERROR(F248),"",SUM(P253:Q253))</f>
        <v>0</v>
      </c>
      <c r="S253" s="1">
        <f ca="1">IF(ISERROR(F248),"",VLOOKUP(A248,INDIRECT($F$8),6+(O253-1)*3))</f>
        <v>100</v>
      </c>
      <c r="T253" s="1">
        <f ca="1">IF(ISERROR(F248),"",VLOOKUP(A248,INDIRECT($F$8),7+(O253-1)*3))</f>
        <v>50</v>
      </c>
      <c r="U253" s="1">
        <f ca="1">IF(ISERROR(F248),"",VLOOKUP(A248,INDIRECT($F$8),8+(O253-1)*3))</f>
        <v>150</v>
      </c>
      <c r="V253" s="1" t="str">
        <f ca="1">IF(ISERROR(F248),"",IF(N253=0,A253,""))</f>
        <v>CAT 022</v>
      </c>
      <c r="W253" s="1">
        <f ca="1">IF(ISERROR(F248),"",IF(ISTEXT(VLOOKUP(B248,INDIRECT($F$8),6+(O253-1)*3)),11,IF(VLOOKUP(B248,INDIRECT($F$8),6+(O253-1)*3)&lt;S253*0.3,IF(VLOOKUP(B248,INDIRECT($F$8),8+(O253-1)*3)&lt;U253*0.4,IF(AND(0.4*U253-VLOOKUP(B248,INDIRECT($F$8),8+(O253-1)*3)&lt;=5,0.3*S253-VLOOKUP(B248,INDIRECT($F$8),6+(O253-1)*3)&lt;=5),MAX(0.4*U253-VLOOKUP(B248,INDIRECT($F$8),8+(O253-1)*3),0.3*S253-VLOOKUP(B248,INDIRECT($F$8),6+(O253-1)*3)),11),IF(0.3*S253-VLOOKUP(B248,INDIRECT($F$8),6+(O253-1)*3)&lt;=5,0.3*S253-VLOOKUP(B248,INDIRECT($F$8),6+(O253-1)*3),11)),IF(VLOOKUP(B248,INDIRECT($F$8),8+(O253-1)*3)&lt;U253*0.4,IF(U253*0.4-VLOOKUP(B248,INDIRECT($F$8),8+(O253-1)*3)&lt;=5,U253*0.4-VLOOKUP(B248,INDIRECT($F$8),8+(O253-1)*3),11),0))))</f>
        <v>11</v>
      </c>
      <c r="X253" s="1" t="str">
        <f ca="1">IF(ISERROR(F248),"",IF(W253=0,"",_xlfn.TEXTJOIN("",FALSE," G+",W253," in ",A253)))</f>
        <v xml:space="preserve"> G+11 in CAT 022</v>
      </c>
    </row>
    <row r="254" spans="1:24" ht="12.75" customHeight="1" x14ac:dyDescent="0.2">
      <c r="A254" s="7" t="str">
        <f ca="1">IF(ISERROR(F248),"",VLOOKUP(C248,INDIRECT($F$8),6+(O254-1)*3,0))</f>
        <v>Enroll No.</v>
      </c>
      <c r="B254" s="41">
        <f ca="1">IF(ISERROR(F248),"",VLOOKUP(D248,INDIRECT($F$8),6+(O254-1)*3,0))</f>
        <v>0</v>
      </c>
      <c r="C254" s="41"/>
      <c r="D254" s="41"/>
      <c r="E254" s="41"/>
      <c r="F254" s="7">
        <f ca="1">IF(ISERROR(F248),"",VLOOKUP(E248,INDIRECT($F$8),6+(O254-1)*3,0))</f>
        <v>0</v>
      </c>
      <c r="G254" s="42" t="str">
        <f ca="1">IF(ISERROR(F248),"",_xlfn.TEXTJOIN("/",FALSE,P254,S254))</f>
        <v>UTU/2406100137/0</v>
      </c>
      <c r="H254" s="42"/>
      <c r="I254" s="42" t="str">
        <f ca="1">IF(ISERROR(F248),"",_xlfn.TEXTJOIN("/",FALSE,Q254,T254))</f>
        <v>NEERAJ JOSHI/0</v>
      </c>
      <c r="J254" s="42"/>
      <c r="K254" s="42" t="str">
        <f ca="1">IF(ISERROR(F248),"",_xlfn.TEXTJOIN("/",FALSE,R254,U254))</f>
        <v>0/0</v>
      </c>
      <c r="L254" s="42"/>
      <c r="M254" s="7" t="b">
        <f ca="1">IF(ISERROR(F248),"",IF(ISTEXT(P254),IF(P254="A","Ab",IF(P254="D","Dt",IF(P254="UFM","UFM",IF(P254="NA","")))),IF(AND(ISBLANK(P254),ISBLANK(R254)),"",IF(P254&lt;0.3*S254,"F",IF(ISBLANK(R254),"",IF(ISTEXT(R254),R254,IF(R254&gt;=0.9*U254,"O",IF(R254&gt;=0.85*U254,"A+",IF(R254&gt;=0.8*U254,"A",IF(R254&gt;=0.7*U254,"B+",IF(R254&gt;=0.6*U254,"B",IF(R254&gt;=0.5*U254,"C",IF(R254&gt;=0.4*U254,"P",IF(R254&lt;0.4*U254,"F",R254))))))))))))))</f>
        <v>0</v>
      </c>
      <c r="N254" s="8" t="e">
        <f t="shared" ca="1" si="15"/>
        <v>#N/A</v>
      </c>
      <c r="O254" t="b" cm="1">
        <f t="array" aca="1" ref="O254" ca="1">IF(NOT(ISBLANK(INDIRECT("SEM_IV!I"&amp;INT((ROW(O254)-14)/16)+6))),2,IF(NOT(ISBLANK(INDIRECT("SEM_IV!L"&amp;INT((ROW(O254)-14)/16)+6))),3))</f>
        <v>0</v>
      </c>
      <c r="P254" s="1" t="str">
        <f ca="1">IF(ISERROR(F248),"",IF(ISTEXT(VLOOKUP(B248,INDIRECT($F$8),6+(O254-1)*3)),(VLOOKUP(B248,INDIRECT($F$8),6+(O254-1)*3)),SUM(VLOOKUP(B248,INDIRECT($F$8),6+(O254-1)*3),IF(W260,W254,0))))</f>
        <v>UTU/2406100137</v>
      </c>
      <c r="Q254" s="1" t="str">
        <f ca="1">IF(ISERROR(F248),"",VLOOKUP(B248,INDIRECT($F$8),7+(O254-1)*3))</f>
        <v>NEERAJ JOSHI</v>
      </c>
      <c r="R254" s="1">
        <f ca="1">IF(ISERROR(F248),"",SUM(P254:Q254))</f>
        <v>0</v>
      </c>
      <c r="S254" s="1">
        <f ca="1">IF(ISERROR(F248),"",VLOOKUP(A248,INDIRECT($F$8),6+(O254-1)*3))</f>
        <v>0</v>
      </c>
      <c r="T254" s="1">
        <f ca="1">IF(ISERROR(F248),"",VLOOKUP(A248,INDIRECT($F$8),7+(O254-1)*3))</f>
        <v>0</v>
      </c>
      <c r="U254" s="1">
        <f ca="1">IF(ISERROR(F248),"",VLOOKUP(A248,INDIRECT($F$8),8+(O254-1)*3))</f>
        <v>0</v>
      </c>
      <c r="V254" s="1" t="e">
        <f ca="1">IF(ISERROR(F248),"",IF(N254=0,A254,""))</f>
        <v>#N/A</v>
      </c>
      <c r="W254" s="1">
        <f ca="1">IF(ISERROR(F248),"",IF(ISTEXT(VLOOKUP(B248,INDIRECT($F$8),6+(O254-1)*3)),11,IF(VLOOKUP(B248,INDIRECT($F$8),6+(O254-1)*3)&lt;S254*0.3,IF(VLOOKUP(B248,INDIRECT($F$8),8+(O254-1)*3)&lt;U254*0.4,IF(AND(0.4*U254-VLOOKUP(B248,INDIRECT($F$8),8+(O254-1)*3)&lt;=5,0.3*S254-VLOOKUP(B248,INDIRECT($F$8),6+(O254-1)*3)&lt;=5),MAX(0.4*U254-VLOOKUP(B248,INDIRECT($F$8),8+(O254-1)*3),0.3*S254-VLOOKUP(B248,INDIRECT($F$8),6+(O254-1)*3)),11),IF(0.3*S254-VLOOKUP(B248,INDIRECT($F$8),6+(O254-1)*3)&lt;=5,0.3*S254-VLOOKUP(B248,INDIRECT($F$8),6+(O254-1)*3),11)),IF(VLOOKUP(B248,INDIRECT($F$8),8+(O254-1)*3)&lt;U254*0.4,IF(U254*0.4-VLOOKUP(B248,INDIRECT($F$8),8+(O254-1)*3)&lt;=5,U254*0.4-VLOOKUP(B248,INDIRECT($F$8),8+(O254-1)*3),11),0))))</f>
        <v>11</v>
      </c>
      <c r="X254" s="1" t="str">
        <f ca="1">IF(ISERROR(F248),"",IF(W254=0,"",_xlfn.TEXTJOIN("",FALSE," G+",W254," in ",A254)))</f>
        <v xml:space="preserve"> G+11 in Enroll No.</v>
      </c>
    </row>
    <row r="255" spans="1:24" ht="12.75" customHeight="1" x14ac:dyDescent="0.2">
      <c r="A255" s="7" t="str">
        <f ca="1">IF(ISERROR(F248),"",VLOOKUP(C248,INDIRECT($F$8),6+(O255-1)*3,0))</f>
        <v>CAT 030</v>
      </c>
      <c r="B255" s="41" t="str">
        <f ca="1">IF(ISERROR(F248),"",VLOOKUP(D248,INDIRECT($F$8),6+(O255-1)*3,0))</f>
        <v>Software Testing &amp; Quality Assurance</v>
      </c>
      <c r="C255" s="41"/>
      <c r="D255" s="41"/>
      <c r="E255" s="41"/>
      <c r="F255" s="7">
        <f ca="1">IF(ISERROR(F248),"",VLOOKUP(E248,INDIRECT($F$8),6+(O255-1)*3,0))</f>
        <v>4</v>
      </c>
      <c r="G255" s="42" t="str">
        <f ca="1">IF(ISERROR(F248),"",_xlfn.TEXTJOIN("/",FALSE,P255,S255))</f>
        <v>0/100</v>
      </c>
      <c r="H255" s="42"/>
      <c r="I255" s="42" t="str">
        <f ca="1">IF(ISERROR(F248),"",_xlfn.TEXTJOIN("/",FALSE,Q255,T255))</f>
        <v>0/50</v>
      </c>
      <c r="J255" s="42"/>
      <c r="K255" s="42" t="str">
        <f ca="1">IF(ISERROR(F248),"",_xlfn.TEXTJOIN("/",FALSE,R255,U255))</f>
        <v>0/150</v>
      </c>
      <c r="L255" s="42"/>
      <c r="M255" s="7" t="str">
        <f ca="1">IF(ISERROR(F248),"",IF(ISTEXT(P255),IF(P255="A","Ab",IF(P255="D","Dt",IF(P255="UFM","UFM",IF(P255="NA","")))),IF(AND(ISBLANK(P255),ISBLANK(R255)),"",IF(P255&lt;0.3*S255,"F",IF(ISBLANK(R255),"",IF(ISTEXT(R255),R255,IF(R255&gt;=0.9*U255,"O",IF(R255&gt;=0.85*U255,"A+",IF(R255&gt;=0.8*U255,"A",IF(R255&gt;=0.7*U255,"B+",IF(R255&gt;=0.6*U255,"B",IF(R255&gt;=0.5*U255,"C",IF(R255&gt;=0.4*U255,"P",IF(R255&lt;0.4*U255,"F",R255))))))))))))))</f>
        <v>F</v>
      </c>
      <c r="N255" s="8">
        <f t="shared" ca="1" si="15"/>
        <v>0</v>
      </c>
      <c r="O255">
        <f ca="1">IF(O254&gt;0,4,"")</f>
        <v>4</v>
      </c>
      <c r="P255" s="1">
        <f ca="1">IF(ISERROR(F248),"",IF(ISTEXT(VLOOKUP(B248,INDIRECT($F$8),6+(O255-1)*3)),(VLOOKUP(B248,INDIRECT($F$8),6+(O255-1)*3)),SUM(VLOOKUP(B248,INDIRECT($F$8),6+(O255-1)*3),IF(W260,W255,0))))</f>
        <v>0</v>
      </c>
      <c r="Q255" s="1">
        <f ca="1">IF(ISERROR(F248),"",VLOOKUP(B248,INDIRECT($F$8),7+(O255-1)*3))</f>
        <v>0</v>
      </c>
      <c r="R255" s="1">
        <f ca="1">IF(ISERROR(F248),"",SUM(P255:Q255))</f>
        <v>0</v>
      </c>
      <c r="S255" s="1">
        <f ca="1">IF(ISERROR(F248),"",VLOOKUP(A248,INDIRECT($F$8),6+(O255-1)*3))</f>
        <v>100</v>
      </c>
      <c r="T255" s="1">
        <f ca="1">IF(ISERROR(F248),"",VLOOKUP(A248,INDIRECT($F$8),7+(O255-1)*3))</f>
        <v>50</v>
      </c>
      <c r="U255" s="1">
        <f ca="1">IF(ISERROR(F248),"",VLOOKUP(A248,INDIRECT($F$8),8+(O255-1)*3))</f>
        <v>150</v>
      </c>
      <c r="V255" s="1" t="str">
        <f ca="1">IF(ISERROR(F248),"",IF(N255=0,A255,""))</f>
        <v>CAT 030</v>
      </c>
      <c r="W255" s="1">
        <f ca="1">IF(ISERROR(F248),"",IF(ISTEXT(VLOOKUP(B248,INDIRECT($F$8),6+(O255-1)*3)),11,IF(VLOOKUP(B248,INDIRECT($F$8),6+(O255-1)*3)&lt;S255*0.3,IF(VLOOKUP(B248,INDIRECT($F$8),8+(O255-1)*3)&lt;U255*0.4,IF(AND(0.4*U255-VLOOKUP(B248,INDIRECT($F$8),8+(O255-1)*3)&lt;=5,0.3*S255-VLOOKUP(B248,INDIRECT($F$8),6+(O255-1)*3)&lt;=5),MAX(0.4*U255-VLOOKUP(B248,INDIRECT($F$8),8+(O255-1)*3),0.3*S255-VLOOKUP(B248,INDIRECT($F$8),6+(O255-1)*3)),11),IF(0.3*S255-VLOOKUP(B248,INDIRECT($F$8),6+(O255-1)*3)&lt;=5,0.3*S255-VLOOKUP(B248,INDIRECT($F$8),6+(O255-1)*3),11)),IF(VLOOKUP(B248,INDIRECT($F$8),8+(O255-1)*3)&lt;U255*0.4,IF(U255*0.4-VLOOKUP(B248,INDIRECT($F$8),8+(O255-1)*3)&lt;=5,U255*0.4-VLOOKUP(B248,INDIRECT($F$8),8+(O255-1)*3),11),0))))</f>
        <v>11</v>
      </c>
      <c r="X255" s="1" t="str">
        <f ca="1">IF(ISERROR(F248),"",IF(W255=0,"",_xlfn.TEXTJOIN("",FALSE," G+",W255," in ",A255)))</f>
        <v xml:space="preserve"> G+11 in CAT 030</v>
      </c>
    </row>
    <row r="256" spans="1:24" ht="12.75" customHeight="1" x14ac:dyDescent="0.2">
      <c r="A256" s="7" t="str">
        <f ca="1">IF(ISERROR(F248),"",VLOOKUP(C248,INDIRECT($F$8),6+(O256-1)*3,0))</f>
        <v>Enroll No.</v>
      </c>
      <c r="B256" s="41">
        <f ca="1">IF(ISERROR(F248),"",VLOOKUP(D248,INDIRECT($F$8),6+(O256-1)*3,0))</f>
        <v>0</v>
      </c>
      <c r="C256" s="41"/>
      <c r="D256" s="41"/>
      <c r="E256" s="41"/>
      <c r="F256" s="7">
        <f ca="1">IF(ISERROR(F248),"",VLOOKUP(E248,INDIRECT($F$8),6+(O256-1)*3,0))</f>
        <v>0</v>
      </c>
      <c r="G256" s="42" t="str">
        <f ca="1">IF(ISERROR(F248),"",_xlfn.TEXTJOIN("/",FALSE,P256,S256))</f>
        <v>UTU/2406100137/0</v>
      </c>
      <c r="H256" s="42"/>
      <c r="I256" s="42" t="str">
        <f ca="1">IF(ISERROR(F248),"",_xlfn.TEXTJOIN("/",FALSE,Q256,T256))</f>
        <v>NEERAJ JOSHI/0</v>
      </c>
      <c r="J256" s="42"/>
      <c r="K256" s="42" t="str">
        <f ca="1">IF(ISERROR(F248),"",_xlfn.TEXTJOIN("/",FALSE,R256,U256))</f>
        <v>0/0</v>
      </c>
      <c r="L256" s="42"/>
      <c r="M256" s="7" t="b">
        <f ca="1">IF(ISERROR(F248),"",IF(ISTEXT(P256),IF(P256="A","Ab",IF(P256="D","Dt",IF(P256="UFM","UFM",IF(P256="NA","")))),IF(AND(ISBLANK(P256),ISBLANK(R256)),"",IF(P256&lt;0.3*S256,"F",IF(ISBLANK(R256),"",IF(ISTEXT(R256),R256,IF(R256&gt;=0.9*U256,"O",IF(R256&gt;=0.85*U256,"A+",IF(R256&gt;=0.8*U256,"A",IF(R256&gt;=0.7*U256,"B+",IF(R256&gt;=0.6*U256,"B",IF(R256&gt;=0.5*U256,"C",IF(R256&gt;=0.4*U256,"P",IF(R256&lt;0.4*U256,"F",R256))))))))))))))</f>
        <v>0</v>
      </c>
      <c r="N256" s="8" t="e">
        <f t="shared" ca="1" si="15"/>
        <v>#N/A</v>
      </c>
      <c r="O256" t="b" cm="1">
        <f t="array" aca="1" ref="O256" ca="1">IF(NOT(ISBLANK(INDIRECT("SEM_IV!R"&amp;INT((ROW(O256)-16)/16)+6))),5,IF(NOT(ISBLANK(INDIRECT("SEM_IV!U"&amp;INT((ROW(O256)-16)/16)+6))),6))</f>
        <v>0</v>
      </c>
      <c r="P256" s="1" t="str">
        <f ca="1">IF(ISERROR(F248),"",IF(ISTEXT(VLOOKUP(B248,INDIRECT($F$8),6+(O256-1)*3)),(VLOOKUP(B248,INDIRECT($F$8),6+(O256-1)*3)),SUM(VLOOKUP(B248,INDIRECT($F$8),6+(O256-1)*3),IF(W260,W256,0))))</f>
        <v>UTU/2406100137</v>
      </c>
      <c r="Q256" s="1" t="str">
        <f ca="1">IF(ISERROR(F248),"",VLOOKUP(B248,INDIRECT($F$8),7+(O256-1)*3))</f>
        <v>NEERAJ JOSHI</v>
      </c>
      <c r="R256" s="1">
        <f ca="1">IF(ISERROR(F248),"",SUM(P256:Q256))</f>
        <v>0</v>
      </c>
      <c r="S256" s="1">
        <f ca="1">IF(ISERROR(F248),"",VLOOKUP(A248,INDIRECT($F$8),6+(O256-1)*3))</f>
        <v>0</v>
      </c>
      <c r="T256" s="1">
        <f ca="1">IF(ISERROR(F248),"",VLOOKUP(A248,INDIRECT($F$8),7+(O256-1)*3))</f>
        <v>0</v>
      </c>
      <c r="U256" s="1">
        <f ca="1">IF(ISERROR(F248),"",VLOOKUP(A248,INDIRECT($F$8),8+(O256-1)*3))</f>
        <v>0</v>
      </c>
      <c r="V256" s="1" t="e">
        <f ca="1">IF(ISERROR(F248),"",IF(N256=0,A256,""))</f>
        <v>#N/A</v>
      </c>
      <c r="W256" s="1">
        <f ca="1">IF(ISERROR(F248),"",IF(ISTEXT(VLOOKUP(B248,INDIRECT($F$8),6+(O256-1)*3)),11,IF(VLOOKUP(B248,INDIRECT($F$8),6+(O256-1)*3)&lt;S256*0.3,IF(VLOOKUP(B248,INDIRECT($F$8),8+(O256-1)*3)&lt;U256*0.4,IF(AND(0.4*U256-VLOOKUP(B248,INDIRECT($F$8),8+(O256-1)*3)&lt;=5,0.3*S256-VLOOKUP(B248,INDIRECT($F$8),6+(O256-1)*3)&lt;=5),MAX(0.4*U256-VLOOKUP(B248,INDIRECT($F$8),8+(O256-1)*3),0.3*S256-VLOOKUP(B248,INDIRECT($F$8),6+(O256-1)*3)),11),IF(0.3*S256-VLOOKUP(B248,INDIRECT($F$8),6+(O256-1)*3)&lt;=5,0.3*S256-VLOOKUP(B248,INDIRECT($F$8),6+(O256-1)*3),11)),IF(VLOOKUP(B248,INDIRECT($F$8),8+(O256-1)*3)&lt;U256*0.4,IF(U256*0.4-VLOOKUP(B248,INDIRECT($F$8),8+(O256-1)*3)&lt;=5,U256*0.4-VLOOKUP(B248,INDIRECT($F$8),8+(O256-1)*3),11),0))))</f>
        <v>11</v>
      </c>
      <c r="X256" s="1" t="str">
        <f ca="1">IF(ISERROR(F248),"",IF(W256=0,"",_xlfn.TEXTJOIN("",FALSE," G+",W256," in ",A256)))</f>
        <v xml:space="preserve"> G+11 in Enroll No.</v>
      </c>
    </row>
    <row r="257" spans="1:24" ht="12.75" customHeight="1" x14ac:dyDescent="0.2">
      <c r="A257" s="7" t="str">
        <f ca="1">IF(ISERROR(F248),"",VLOOKUP(C248,INDIRECT($F$8),6+(O257-1)*3,0))</f>
        <v>CAP 011</v>
      </c>
      <c r="B257" s="41" t="str">
        <f ca="1">IF(ISERROR(F248),"",VLOOKUP(D248,INDIRECT($F$8),6+(O257-1)*3,0))</f>
        <v>Network Security Lab</v>
      </c>
      <c r="C257" s="41"/>
      <c r="D257" s="41"/>
      <c r="E257" s="41"/>
      <c r="F257" s="7">
        <f ca="1">IF(ISERROR(F248),"",VLOOKUP(E248,INDIRECT($F$8),6+(O257-1)*3,0))</f>
        <v>1</v>
      </c>
      <c r="G257" s="42" t="str">
        <f ca="1">IF(ISERROR(F248),"",_xlfn.TEXTJOIN("/",FALSE,P257,S257))</f>
        <v>0/30</v>
      </c>
      <c r="H257" s="42"/>
      <c r="I257" s="42" t="str">
        <f ca="1">IF(ISERROR(F248),"",_xlfn.TEXTJOIN("/",FALSE,Q257,T257))</f>
        <v>0/20</v>
      </c>
      <c r="J257" s="42"/>
      <c r="K257" s="42" t="str">
        <f ca="1">IF(ISERROR(F248),"",_xlfn.TEXTJOIN("/",FALSE,R257,U257))</f>
        <v>0/50</v>
      </c>
      <c r="L257" s="42"/>
      <c r="M257" s="7" t="str">
        <f ca="1">IF(ISERROR(F248),"",IF(ISTEXT(P257),IF(P257="A","Ab",IF(P257="D","Dt",IF(P257="UFM","UFM",IF(P257="NA","")))),IF(AND(ISBLANK(P257),ISBLANK(R257)),"",IF(P257&lt;0.3*S257,"F",IF(ISBLANK(R257),"",IF(ISTEXT(R257),R257,IF(R257&gt;=0.9*U257,"O",IF(R257&gt;=0.85*U257,"A+",IF(R257&gt;=0.8*U257,"A",IF(R257&gt;=0.7*U257,"B+",IF(R257&gt;=0.6*U257,"B",IF(R257&gt;=0.5*U257,"C",IF(R257&gt;=0.4*U257,"P",IF(R257&lt;0.4*U257,"F",R257))))))))))))))</f>
        <v>F</v>
      </c>
      <c r="N257" s="8">
        <f t="shared" ca="1" si="15"/>
        <v>0</v>
      </c>
      <c r="O257">
        <f ca="1">IF(O256&gt;0,7,"")</f>
        <v>7</v>
      </c>
      <c r="P257" s="1">
        <f ca="1">IF(ISERROR(F248),"",IF(ISTEXT(VLOOKUP(B248,INDIRECT($F$8),6+(O257-1)*3)),(VLOOKUP(B248,INDIRECT($F$8),6+(O257-1)*3)),SUM(VLOOKUP(B248,INDIRECT($F$8),6+(O257-1)*3),IF(W260,W257,0))))</f>
        <v>0</v>
      </c>
      <c r="Q257" s="1">
        <f ca="1">IF(ISERROR(F248),"",VLOOKUP(B248,INDIRECT($F$8),7+(O257-1)*3))</f>
        <v>0</v>
      </c>
      <c r="R257" s="1">
        <f ca="1">IF(ISERROR(F248),"",SUM(P257:Q257))</f>
        <v>0</v>
      </c>
      <c r="S257" s="1">
        <f ca="1">IF(ISERROR(F248),"",VLOOKUP(A248,INDIRECT($F$8),6+(O257-1)*3))</f>
        <v>30</v>
      </c>
      <c r="T257" s="1">
        <f ca="1">IF(ISERROR(F248),"",VLOOKUP(A248,INDIRECT($F$8),7+(O257-1)*3))</f>
        <v>20</v>
      </c>
      <c r="U257" s="1">
        <f ca="1">IF(ISERROR(F248),"",VLOOKUP(A248,INDIRECT($F$8),8+(O257-1)*3))</f>
        <v>50</v>
      </c>
      <c r="V257" s="1" t="str">
        <f ca="1">IF(ISERROR(F248),"",IF(N257=0,A257,""))</f>
        <v>CAP 011</v>
      </c>
      <c r="W257" s="1">
        <f ca="1">IF(ISERROR(F248),"",IF(ISTEXT(VLOOKUP(B248,INDIRECT($F$8),6+(O257-1)*3)),11,IF(VLOOKUP(B248,INDIRECT($F$8),6+(O257-1)*3)&lt;S257*0.3,IF(VLOOKUP(B248,INDIRECT($F$8),8+(O257-1)*3)&lt;U257*0.4,IF(AND(0.4*U257-VLOOKUP(B248,INDIRECT($F$8),8+(O257-1)*3)&lt;=5,0.3*S257-VLOOKUP(B248,INDIRECT($F$8),6+(O257-1)*3)&lt;=5),MAX(0.4*U257-VLOOKUP(B248,INDIRECT($F$8),8+(O257-1)*3),0.3*S257-VLOOKUP(B248,INDIRECT($F$8),6+(O257-1)*3)),11),IF(0.3*S257-VLOOKUP(B248,INDIRECT($F$8),6+(O257-1)*3)&lt;=5,0.3*S257-VLOOKUP(B248,INDIRECT($F$8),6+(O257-1)*3),11)),IF(VLOOKUP(B248,INDIRECT($F$8),8+(O257-1)*3)&lt;U257*0.4,IF(U257*0.4-VLOOKUP(B248,INDIRECT($F$8),8+(O257-1)*3)&lt;=5,U257*0.4-VLOOKUP(B248,INDIRECT($F$8),8+(O257-1)*3),11),0))))</f>
        <v>11</v>
      </c>
      <c r="X257" s="1" t="str">
        <f ca="1">IF(ISERROR(F248),"",IF(W257=0,"",_xlfn.TEXTJOIN("",FALSE," G+",W257," in ",A257)))</f>
        <v xml:space="preserve"> G+11 in CAP 011</v>
      </c>
    </row>
    <row r="258" spans="1:24" ht="12.75" customHeight="1" x14ac:dyDescent="0.2">
      <c r="A258" s="7" t="str">
        <f ca="1">IF(ISERROR(F248),"",VLOOKUP(C248,INDIRECT($F$8),6+(O258-1)*3,0))</f>
        <v>Enroll No.</v>
      </c>
      <c r="B258" s="41">
        <f ca="1">IF(ISERROR(F248),"",VLOOKUP(D248,INDIRECT($F$8),6+(O258-1)*3,0))</f>
        <v>0</v>
      </c>
      <c r="C258" s="41"/>
      <c r="D258" s="41"/>
      <c r="E258" s="41"/>
      <c r="F258" s="7">
        <f ca="1">IF(ISERROR(F248),"",VLOOKUP(E248,INDIRECT($F$8),6+(O258-1)*3,0))</f>
        <v>0</v>
      </c>
      <c r="G258" s="42" t="str">
        <f ca="1">IF(ISERROR(F248),"",_xlfn.TEXTJOIN("/",FALSE,P258,S258))</f>
        <v>UTU/2406100137/0</v>
      </c>
      <c r="H258" s="42"/>
      <c r="I258" s="42" t="str">
        <f ca="1">IF(ISERROR(F248),"",_xlfn.TEXTJOIN("/",FALSE,Q258,T258))</f>
        <v>NEERAJ JOSHI/0</v>
      </c>
      <c r="J258" s="42"/>
      <c r="K258" s="42" t="str">
        <f ca="1">IF(ISERROR(F248),"",_xlfn.TEXTJOIN("/",FALSE,R258,U258))</f>
        <v>0/0</v>
      </c>
      <c r="L258" s="42"/>
      <c r="M258" s="7" t="b">
        <f ca="1">IF(ISERROR(F248),"",IF(ISTEXT(P258),IF(P258="A","Ab",IF(P258="D","Dt",IF(P258="UFM","UFM",IF(P258="NA","")))),IF(AND(ISBLANK(P258),ISBLANK(R258)),"",IF(P258&lt;0.3*S258,"F",IF(ISBLANK(R258),"",IF(ISTEXT(R258),R258,IF(R258&gt;=0.9*U258,"O",IF(R258&gt;=0.85*U258,"A+",IF(R258&gt;=0.8*U258,"A",IF(R258&gt;=0.7*U258,"B+",IF(R258&gt;=0.6*U258,"B",IF(R258&gt;=0.5*U258,"C",IF(R258&gt;=0.4*U258,"P",IF(R258&lt;0.4*U258,"F",R258))))))))))))))</f>
        <v>0</v>
      </c>
      <c r="N258" s="8" t="e">
        <f t="shared" ca="1" si="15"/>
        <v>#N/A</v>
      </c>
      <c r="O258" t="b" cm="1">
        <f t="array" aca="1" ref="O258" ca="1">IF(NOT(ISBLANK(INDIRECT("SEM_IV!AA"&amp;INT((ROW(O258)-18)/16)+6))),8,IF(NOT(ISBLANK(INDIRECT("SEM_IV!AD"&amp;INT((ROW(O258)-18)/16)+6))),9))</f>
        <v>0</v>
      </c>
      <c r="P258" s="1" t="str">
        <f ca="1">IF(ISERROR(F248),"",IF(ISTEXT(VLOOKUP(B248,INDIRECT($F$8),6+(O258-1)*3)),(VLOOKUP(B248,INDIRECT($F$8),6+(O258-1)*3)),SUM(VLOOKUP(B248,INDIRECT($F$8),6+(O258-1)*3),IF(W260,W258,0))))</f>
        <v>UTU/2406100137</v>
      </c>
      <c r="Q258" s="1" t="str">
        <f ca="1">IF(ISERROR(F248),"",VLOOKUP(B248,INDIRECT($F$8),7+(O258-1)*3))</f>
        <v>NEERAJ JOSHI</v>
      </c>
      <c r="R258" s="1">
        <f ca="1">IF(ISERROR(F248),"",SUM(P258:Q258))</f>
        <v>0</v>
      </c>
      <c r="S258" s="1">
        <f ca="1">IF(ISERROR(F248),"",VLOOKUP(A248,INDIRECT($F$8),6+(O258-1)*3))</f>
        <v>0</v>
      </c>
      <c r="T258" s="1">
        <f ca="1">IF(ISERROR(F248),"",VLOOKUP(A248,INDIRECT($F$8),7+(O258-1)*3))</f>
        <v>0</v>
      </c>
      <c r="U258" s="1">
        <f ca="1">IF(ISERROR(F248),"",VLOOKUP(A248,INDIRECT($F$8),8+(O258-1)*3))</f>
        <v>0</v>
      </c>
      <c r="V258" s="1" t="e">
        <f ca="1">IF(ISERROR(F248),"",IF(N258=0,A258,""))</f>
        <v>#N/A</v>
      </c>
      <c r="W258" s="1">
        <f ca="1">IF(ISERROR(F248),"",IF(ISTEXT(VLOOKUP(B248,INDIRECT($F$8),6+(O258-1)*3)),11,IF(VLOOKUP(B248,INDIRECT($F$8),6+(O258-1)*3)&lt;S258*0.3,IF(VLOOKUP(B248,INDIRECT($F$8),8+(O258-1)*3)&lt;U258*0.4,IF(AND(0.4*U258-VLOOKUP(B248,INDIRECT($F$8),8+(O258-1)*3)&lt;=5,0.3*S258-VLOOKUP(B248,INDIRECT($F$8),6+(O258-1)*3)&lt;=5),MAX(0.4*U258-VLOOKUP(B248,INDIRECT($F$8),8+(O258-1)*3),0.3*S258-VLOOKUP(B248,INDIRECT($F$8),6+(O258-1)*3)),11),IF(0.3*S258-VLOOKUP(B248,INDIRECT($F$8),6+(O258-1)*3)&lt;=5,0.3*S258-VLOOKUP(B248,INDIRECT($F$8),6+(O258-1)*3),11)),IF(VLOOKUP(B248,INDIRECT($F$8),8+(O258-1)*3)&lt;U258*0.4,IF(U258*0.4-VLOOKUP(B248,INDIRECT($F$8),8+(O258-1)*3)&lt;=5,U258*0.4-VLOOKUP(B248,INDIRECT($F$8),8+(O258-1)*3),11),0))))</f>
        <v>11</v>
      </c>
      <c r="X258" s="1" t="str">
        <f ca="1">IF(ISERROR(F248),"",IF(W258=0,"",_xlfn.TEXTJOIN("",FALSE," G+",W258," in ",A258)))</f>
        <v xml:space="preserve"> G+11 in Enroll No.</v>
      </c>
    </row>
    <row r="259" spans="1:24" ht="12.75" customHeight="1" x14ac:dyDescent="0.2">
      <c r="A259" s="7" t="str">
        <f ca="1">IF(ISERROR(F248),"",VLOOKUP(C248,INDIRECT($F$8),6+(O259-1)*3,0))</f>
        <v>CAP 013</v>
      </c>
      <c r="B259" s="41" t="str">
        <f ca="1">IF(ISERROR(F248),"",VLOOKUP(D248,INDIRECT($F$8),6+(O259-1)*3-Z259,0))</f>
        <v>Major Project</v>
      </c>
      <c r="C259" s="41"/>
      <c r="D259" s="41"/>
      <c r="E259" s="41"/>
      <c r="F259" s="7">
        <f ca="1">IF(ISERROR(F248),"",VLOOKUP(E248,INDIRECT($F$8),6+(O259-1)*3,0))</f>
        <v>6</v>
      </c>
      <c r="G259" s="42" t="str">
        <f ca="1">IF(ISERROR(F248),"",_xlfn.TEXTJOIN("/",FALSE,P259,S259))</f>
        <v>0/200</v>
      </c>
      <c r="H259" s="42"/>
      <c r="I259" s="42" t="str">
        <f ca="1">IF(ISERROR(F248),"",_xlfn.TEXTJOIN("/",FALSE,Q259,T259))</f>
        <v>0/100</v>
      </c>
      <c r="J259" s="42"/>
      <c r="K259" s="42" t="str">
        <f ca="1">IF(ISERROR(F248),"",_xlfn.TEXTJOIN("/",FALSE,R259,U259))</f>
        <v>0/300</v>
      </c>
      <c r="L259" s="42"/>
      <c r="M259" s="7" t="str">
        <f ca="1">IF(ISERROR(F248),"",IF(ISTEXT(P259),IF(P259="A","Ab",IF(P259="D","Dt",IF(P259="UFM","UFM",IF(P259="NA","")))),IF(AND(ISBLANK(P259),ISBLANK(R259)),"",IF(P259&lt;0.3*S259,"F",IF(ISBLANK(R259),"",IF(ISTEXT(R259),R259,IF(R259&gt;=0.9*U259,"O",IF(R259&gt;=0.85*U259,"A+",IF(R259&gt;=0.8*U259,"A",IF(R259&gt;=0.7*U259,"B+",IF(R259&gt;=0.6*U259,"B",IF(R259&gt;=0.5*U259,"C",IF(R259&gt;=0.4*U259,"P",IF(R259&lt;0.4*U259,"F",R259))))))))))))))</f>
        <v>F</v>
      </c>
      <c r="N259" s="8">
        <f t="shared" ca="1" si="15"/>
        <v>0</v>
      </c>
      <c r="O259">
        <f ca="1">IF(O258&gt;0,10,"")</f>
        <v>10</v>
      </c>
      <c r="P259" s="1">
        <f ca="1">IF(ISERROR(F248),"",IF(ISTEXT(VLOOKUP(B248,INDIRECT($F$8),6+(O259-1)*3)),(VLOOKUP(B248,INDIRECT($F$8),6+(O259-1)*3)),SUM(VLOOKUP(B248,INDIRECT($F$8),6+(O259-1)*3),IF(W260,W259,0))))</f>
        <v>0</v>
      </c>
      <c r="Q259" s="1">
        <f ca="1">IF(ISERROR(F248),"",VLOOKUP(B248,INDIRECT($F$8),7+(O259-1)*3))</f>
        <v>0</v>
      </c>
      <c r="R259" s="1">
        <f ca="1">IF(ISERROR(F248),"",SUM(P259:Q259))</f>
        <v>0</v>
      </c>
      <c r="S259" s="1">
        <f ca="1">IF(ISERROR(F248),"",VLOOKUP(A248,INDIRECT($F$8),6+(O259-1)*3))</f>
        <v>200</v>
      </c>
      <c r="T259" s="1">
        <f ca="1">IF(ISERROR(F248),"",VLOOKUP(A248,INDIRECT($F$8),7+(O259-1)*3))</f>
        <v>100</v>
      </c>
      <c r="U259" s="1">
        <f ca="1">IF(ISERROR(F248),"",VLOOKUP(A248,INDIRECT($F$8),8+(O259-1)*3))</f>
        <v>300</v>
      </c>
      <c r="V259" s="1" t="str">
        <f ca="1">IF(ISERROR(F248),"",IF(N259=0,A259,""))</f>
        <v>CAP 013</v>
      </c>
      <c r="W259" s="1">
        <f ca="1">IF(ISERROR(F248),"",IF(ISTEXT(VLOOKUP(B248,INDIRECT($F$8),6+(O259-1)*3)),11,IF(VLOOKUP(B248,INDIRECT($F$8),6+(O259-1)*3)&lt;S259*0.3,IF(VLOOKUP(B248,INDIRECT($F$8),8+(O259-1)*3)&lt;U259*0.4,IF(AND(0.4*U259-VLOOKUP(B248,INDIRECT($F$8),8+(O259-1)*3)&lt;=5,0.3*S259-VLOOKUP(B248,INDIRECT($F$8),6+(O259-1)*3)&lt;=5),MAX(0.4*U259-VLOOKUP(B248,INDIRECT($F$8),8+(O259-1)*3),0.3*S259-VLOOKUP(B248,INDIRECT($F$8),6+(O259-1)*3)),11),IF(0.3*S259-VLOOKUP(B248,INDIRECT($F$8),6+(O259-1)*3)&lt;=5,0.3*S259-VLOOKUP(B248,INDIRECT($F$8),6+(O259-1)*3),11)),IF(VLOOKUP(B248,INDIRECT($F$8),8+(O259-1)*3)&lt;U259*0.4,IF(U259*0.4-VLOOKUP(B248,INDIRECT($F$8),8+(O259-1)*3)&lt;=5,U259*0.4-VLOOKUP(B248,INDIRECT($F$8),8+(O259-1)*3),11),0))))</f>
        <v>11</v>
      </c>
      <c r="X259" s="1" t="str">
        <f ca="1">IF(ISERROR(F248),"",IF(W259=0,"",_xlfn.TEXTJOIN("",FALSE," G+",W259," in ",A259)))</f>
        <v xml:space="preserve"> G+11 in CAP 013</v>
      </c>
    </row>
    <row r="260" spans="1:24" ht="12.75" customHeight="1" x14ac:dyDescent="0.2">
      <c r="A260" s="43" t="str">
        <f ca="1">IF(ISERROR(F248),"",A244)</f>
        <v>Total Credits/ Marks/ Total Grade Points</v>
      </c>
      <c r="B260" s="43"/>
      <c r="C260" s="43"/>
      <c r="D260" s="43"/>
      <c r="E260" s="43"/>
      <c r="F260" s="10">
        <f ca="1">IF(ISERROR(F248),"",SUM(F253:F259))</f>
        <v>15</v>
      </c>
      <c r="G260" s="44" t="str">
        <f ca="1">IF(ISERROR(F248),"",_xlfn.TEXTJOIN("/",TRUE,SUMIF(F253:F259,"&gt;0",P253:P259),SUMIF(F253:F259,"&gt;0",S253:S259)))</f>
        <v>0/430</v>
      </c>
      <c r="H260" s="44"/>
      <c r="I260" s="44" t="str">
        <f ca="1">IF(ISERROR(F248),"",_xlfn.TEXTJOIN("/",TRUE,SUMIF(F253:F259,"&gt;0",Q253:Q259),SUMIF(F253:F259,"&gt;0",T253:T259)))</f>
        <v>0/220</v>
      </c>
      <c r="J260" s="44"/>
      <c r="K260" s="44" t="str">
        <f ca="1">IF(ISERROR(F248),"",_xlfn.TEXTJOIN("/",TRUE,SUMIF(F253:F259,"&gt;0",R253:R259),SUMIF(F253:F259,"&gt;0",U253:U259)))</f>
        <v>0/650</v>
      </c>
      <c r="L260" s="44"/>
      <c r="M260" s="43" t="e">
        <f ca="1">IF(ISERROR(F248),"",SUMPRODUCT(N253:N259,F253:F259))</f>
        <v>#N/A</v>
      </c>
      <c r="N260" s="43"/>
      <c r="V260" s="1" t="e">
        <f ca="1">IF(ISERROR(F248),"",_xlfn.TEXTJOIN(", ",TRUE,V253:V259))</f>
        <v>#N/A</v>
      </c>
      <c r="W260" t="b">
        <f ca="1">IF(ISERROR(F248),"",IF(SUM(W253:W259)&lt;=W252,TRUE,FALSE))</f>
        <v>0</v>
      </c>
      <c r="X260" s="1" t="str">
        <f ca="1">IF(ISERROR(F248),"",_xlfn.TEXTJOIN(",",TRUE,X253:X259))</f>
        <v xml:space="preserve"> G+11 in CAT 022, G+11 in Enroll No., G+11 in CAT 030, G+11 in Enroll No., G+11 in CAP 011, G+11 in Enroll No., G+11 in CAP 013</v>
      </c>
    </row>
    <row r="261" spans="1:24" ht="12.75" customHeight="1" x14ac:dyDescent="0.2">
      <c r="A261" s="43" t="str">
        <f ca="1">IF(ISERROR(F248),"",A245)</f>
        <v>Result:</v>
      </c>
      <c r="B261" s="45" t="e">
        <f ca="1">IF(ISERROR(F248),"",IF(V260="","PASS","CARRY OVER"))</f>
        <v>#N/A</v>
      </c>
      <c r="C261" s="45"/>
      <c r="D261" s="43" t="str">
        <f ca="1">IF(ISERROR(F248),"",D245)</f>
        <v>Remark:</v>
      </c>
      <c r="E261" s="45" t="e">
        <f ca="1">IF(ISERROR(F248),"",IF(V260="",IF(X260="","",X260),_xlfn.TEXTJOIN(" ",TRUE,"BACK IN",V260)))</f>
        <v>#N/A</v>
      </c>
      <c r="F261" s="45"/>
      <c r="G261" s="43" t="str">
        <f ca="1">IF(ISERROR(F248),"",G245)</f>
        <v>SGPA:</v>
      </c>
      <c r="H261" s="46" t="e">
        <f ca="1">IF(ISERROR(F248),"",M260/F260)</f>
        <v>#N/A</v>
      </c>
      <c r="I261" s="43" t="str">
        <f ca="1">IF(ISERROR(F248),"",I245)</f>
        <v>CGPA:</v>
      </c>
      <c r="J261" s="46" t="e">
        <f ca="1">IF(ISERROR(F248),"",VLOOKUP(B248,INDIRECT($F$8),12+(O259-1)*3,0))</f>
        <v>#N/A</v>
      </c>
      <c r="K261" s="45" t="str">
        <f ca="1">IF(ISERROR(F248),"",K245)</f>
        <v>Earned Credits:</v>
      </c>
      <c r="L261" s="43">
        <f ca="1">IF(ISERROR(F248),"",SUMIF(N253:N259,"&gt;0",F253:F259))</f>
        <v>0</v>
      </c>
      <c r="M261" s="45" t="str">
        <f ca="1">IF(ISERROR(F248),"",M245)</f>
        <v>Cuml. Earned Credits:</v>
      </c>
      <c r="N261" s="43" t="e">
        <f ca="1">IF(ISERROR(F248),"",VLOOKUP(B248,INDIRECT($F$8),10+(O259-1)*3,0))</f>
        <v>#N/A</v>
      </c>
    </row>
    <row r="262" spans="1:24" ht="12.75" customHeight="1" x14ac:dyDescent="0.2">
      <c r="A262" s="43"/>
      <c r="B262" s="45"/>
      <c r="C262" s="45"/>
      <c r="D262" s="43"/>
      <c r="E262" s="45"/>
      <c r="F262" s="45"/>
      <c r="G262" s="43"/>
      <c r="H262" s="46"/>
      <c r="I262" s="43"/>
      <c r="J262" s="46"/>
      <c r="K262" s="45"/>
      <c r="L262" s="43"/>
      <c r="M262" s="45"/>
      <c r="N262" s="43"/>
    </row>
    <row r="263" spans="1:24" ht="12.75" customHeight="1" x14ac:dyDescent="0.2">
      <c r="A263" s="43"/>
      <c r="B263" s="45"/>
      <c r="C263" s="45"/>
      <c r="D263" s="43"/>
      <c r="E263" s="45"/>
      <c r="F263" s="45"/>
      <c r="G263" s="43"/>
      <c r="H263" s="46"/>
      <c r="I263" s="43"/>
      <c r="J263" s="46"/>
      <c r="K263" s="45"/>
      <c r="L263" s="43"/>
      <c r="M263" s="45"/>
      <c r="N263" s="43"/>
    </row>
    <row r="264" spans="1:24" ht="12.75" customHeight="1" x14ac:dyDescent="0.2">
      <c r="A264" s="11" t="str">
        <f>A248</f>
        <v>MM</v>
      </c>
      <c r="B264" s="11">
        <f>B248+1</f>
        <v>17</v>
      </c>
      <c r="C264" s="11" t="str">
        <f>C248</f>
        <v>SC</v>
      </c>
      <c r="D264" s="11" t="str">
        <f>D248</f>
        <v>SN</v>
      </c>
      <c r="E264" s="11" t="str">
        <f>E248</f>
        <v>C</v>
      </c>
      <c r="F264" s="11" t="str">
        <f ca="1">VLOOKUP(B264,INDIRECT($F$8),4,0)</f>
        <v>PRIYANSHU BHATT</v>
      </c>
    </row>
    <row r="265" spans="1:24" ht="12.75" customHeight="1" x14ac:dyDescent="0.2">
      <c r="A265" s="47" t="str">
        <f ca="1">IF(ISERROR(F264),"",A249)</f>
        <v>Name:</v>
      </c>
      <c r="B265" s="47" t="str">
        <f ca="1">IFERROR(VLOOKUP(B264,INDIRECT($F$8),4,0),"")</f>
        <v>PRIYANSHU BHATT</v>
      </c>
      <c r="C265" s="47"/>
      <c r="D265" s="47" t="str">
        <f ca="1">IF(ISERROR(F264),"",D249)</f>
        <v>Father's Name:</v>
      </c>
      <c r="E265" s="47" t="str">
        <f ca="1">IFERROR(VLOOKUP(B264,INDIRECT($F$8),5,0),"")</f>
        <v>DINESH BHATT</v>
      </c>
      <c r="F265" s="47"/>
      <c r="G265" s="47" t="str">
        <f ca="1">IF(ISERROR(F264),"",G249)</f>
        <v>University Roll No:</v>
      </c>
      <c r="H265" s="47"/>
      <c r="I265" s="48">
        <f ca="1">IFERROR(VLOOKUP(B264,INDIRECT($F$8),2,0),"")</f>
        <v>240090600017</v>
      </c>
      <c r="J265" s="48"/>
      <c r="K265" s="47" t="str">
        <f ca="1">IF(ISERROR(F264),"",K249)</f>
        <v>University Enrol. No:</v>
      </c>
      <c r="L265" s="47"/>
      <c r="M265" s="48" t="str">
        <f ca="1">IFERROR(VLOOKUP(B264,INDIRECT($F$8),3,0),"")</f>
        <v>UTU/2406100180</v>
      </c>
      <c r="N265" s="48"/>
    </row>
    <row r="266" spans="1:24" ht="12.75" customHeight="1" x14ac:dyDescent="0.2">
      <c r="A266" s="47"/>
      <c r="B266" s="47"/>
      <c r="C266" s="47"/>
      <c r="D266" s="47"/>
      <c r="E266" s="47"/>
      <c r="F266" s="47"/>
      <c r="G266" s="47"/>
      <c r="H266" s="47"/>
      <c r="I266" s="48"/>
      <c r="J266" s="48"/>
      <c r="K266" s="47"/>
      <c r="L266" s="47"/>
      <c r="M266" s="48"/>
      <c r="N266" s="48"/>
    </row>
    <row r="267" spans="1:24" ht="12.75" customHeight="1" x14ac:dyDescent="0.2">
      <c r="A267" s="45" t="str">
        <f ca="1">IF(ISERROR(F264),"",A251)</f>
        <v>Subject Code</v>
      </c>
      <c r="B267" s="45" t="str">
        <f ca="1">IF(ISERROR(F264),"",B251)</f>
        <v>Subject Name</v>
      </c>
      <c r="C267" s="45"/>
      <c r="D267" s="45"/>
      <c r="E267" s="45"/>
      <c r="F267" s="45" t="str">
        <f ca="1">IF(ISERROR(F264),"",F251)</f>
        <v>Credits</v>
      </c>
      <c r="G267" s="45" t="str">
        <f ca="1">IF(ISERROR(F264),"",G251)</f>
        <v>External Marks</v>
      </c>
      <c r="H267" s="45"/>
      <c r="I267" s="45" t="str">
        <f ca="1">IF(ISERROR(F264),"",I251)</f>
        <v>Sessional Marks</v>
      </c>
      <c r="J267" s="45"/>
      <c r="K267" s="45" t="str">
        <f ca="1">IF(ISERROR(F264),"",K251)</f>
        <v>Total Marks</v>
      </c>
      <c r="L267" s="45"/>
      <c r="M267" s="45" t="str">
        <f ca="1">IF(ISERROR(F264),"",M251)</f>
        <v>Grade</v>
      </c>
      <c r="N267" s="45" t="str">
        <f ca="1">IF(ISERROR(F264),"",N251)</f>
        <v>Grade Points</v>
      </c>
    </row>
    <row r="268" spans="1:24" ht="12.75" customHeight="1" x14ac:dyDescent="0.2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W268">
        <f ca="1">IF(ISNUMBER(MATCH($F$8,{"I","III","V","VII"},0)),10,10-INDEX(INDIRECT(_xlfn.TEXTJOIN("",TRUE,"SEM_",$G$8,"!",ADDRESS(6,4+$I$8*3+4),":",ADDRESS(5+$H$8,4+$I$8*3+4))),MATCH(INDIRECT(_xlfn.TEXTJOIN("",TRUE,"TC_",$F$8,"!",ADDRESS(ROW(I265),COLUMN(I265)))),INDIRECT(_xlfn.TEXTJOIN("",TRUE,"SEM_",$G$8,"!",ADDRESS(6,2),":",ADDRESS(5+$H$8,2))))))</f>
        <v>10</v>
      </c>
    </row>
    <row r="269" spans="1:24" ht="12.75" customHeight="1" x14ac:dyDescent="0.2">
      <c r="A269" s="7" t="str">
        <f ca="1">IF(ISERROR(F264),"",VLOOKUP(C264,INDIRECT($F$8),6+(O269-1)*3,0))</f>
        <v>CAT 022</v>
      </c>
      <c r="B269" s="41" t="str">
        <f ca="1">IF(ISERROR(F264),"",VLOOKUP(D264,INDIRECT($F$8),6+(O269-1)*3,0))</f>
        <v>Network Security</v>
      </c>
      <c r="C269" s="41"/>
      <c r="D269" s="41"/>
      <c r="E269" s="41"/>
      <c r="F269" s="7">
        <f ca="1">IF(ISERROR(F264),"",VLOOKUP(E264,INDIRECT($F$8),6+(O269-1)*3,0))</f>
        <v>4</v>
      </c>
      <c r="G269" s="42" t="str">
        <f ca="1">IF(ISERROR(F264),"",_xlfn.TEXTJOIN("/",FALSE,P269,S269))</f>
        <v>0/100</v>
      </c>
      <c r="H269" s="42"/>
      <c r="I269" s="42" t="str">
        <f ca="1">IF(ISERROR(F264),"",_xlfn.TEXTJOIN("/",FALSE,Q269,T269))</f>
        <v>0/50</v>
      </c>
      <c r="J269" s="42"/>
      <c r="K269" s="42" t="str">
        <f ca="1">IF(ISERROR(F264),"",_xlfn.TEXTJOIN("/",FALSE,R269,U269))</f>
        <v>0/150</v>
      </c>
      <c r="L269" s="42"/>
      <c r="M269" s="7" t="str">
        <f ca="1">IF(ISERROR(F264),"",IF(ISTEXT(P269),IF(P269="A","Ab",IF(P269="D","Dt",IF(P269="UFM","UFM",IF(P269="NA","")))),IF(AND(ISBLANK(P269),ISBLANK(R269)),"",IF(P269&lt;0.3*S269,"F",IF(ISBLANK(R269),"",IF(ISTEXT(R269),R269,IF(R269&gt;=0.9*U269,"O",IF(R269&gt;=0.85*U269,"A+",IF(R269&gt;=0.8*U269,"A",IF(R269&gt;=0.7*U269,"B+",IF(R269&gt;=0.6*U269,"B",IF(R269&gt;=0.5*U269,"C",IF(R269&gt;=0.4*U269,"P",IF(R269&lt;0.4*U269,"F",R269))))))))))))))</f>
        <v>F</v>
      </c>
      <c r="N269" s="8">
        <f t="shared" ref="N269:N275" ca="1" si="16">INDEX($Z$2:$Z$13,MATCH(M269,$Y$2:$Y$13,0))</f>
        <v>0</v>
      </c>
      <c r="O269">
        <v>1</v>
      </c>
      <c r="P269" s="1">
        <f ca="1">IF(ISERROR(F264),"",IF(ISTEXT(VLOOKUP(B264,INDIRECT($F$8),6+(O269-1)*3)),(VLOOKUP(B264,INDIRECT($F$8),6+(O269-1)*3)),SUM(VLOOKUP(B264,INDIRECT($F$8),6+(O269-1)*3),IF(W276,W269,0))))</f>
        <v>0</v>
      </c>
      <c r="Q269" s="1">
        <f ca="1">IF(ISERROR(F264),"",VLOOKUP(B264,INDIRECT($F$8),7+(O269-1)*3))</f>
        <v>0</v>
      </c>
      <c r="R269" s="1">
        <f ca="1">IF(ISERROR(F264),"",SUM(P269:Q269))</f>
        <v>0</v>
      </c>
      <c r="S269" s="1">
        <f ca="1">IF(ISERROR(F264),"",VLOOKUP(A264,INDIRECT($F$8),6+(O269-1)*3))</f>
        <v>100</v>
      </c>
      <c r="T269" s="1">
        <f ca="1">IF(ISERROR(F264),"",VLOOKUP(A264,INDIRECT($F$8),7+(O269-1)*3))</f>
        <v>50</v>
      </c>
      <c r="U269" s="1">
        <f ca="1">IF(ISERROR(F264),"",VLOOKUP(A264,INDIRECT($F$8),8+(O269-1)*3))</f>
        <v>150</v>
      </c>
      <c r="V269" s="1" t="str">
        <f ca="1">IF(ISERROR(F264),"",IF(N269=0,A269,""))</f>
        <v>CAT 022</v>
      </c>
      <c r="W269" s="1">
        <f ca="1">IF(ISERROR(F264),"",IF(ISTEXT(VLOOKUP(B264,INDIRECT($F$8),6+(O269-1)*3)),11,IF(VLOOKUP(B264,INDIRECT($F$8),6+(O269-1)*3)&lt;S269*0.3,IF(VLOOKUP(B264,INDIRECT($F$8),8+(O269-1)*3)&lt;U269*0.4,IF(AND(0.4*U269-VLOOKUP(B264,INDIRECT($F$8),8+(O269-1)*3)&lt;=5,0.3*S269-VLOOKUP(B264,INDIRECT($F$8),6+(O269-1)*3)&lt;=5),MAX(0.4*U269-VLOOKUP(B264,INDIRECT($F$8),8+(O269-1)*3),0.3*S269-VLOOKUP(B264,INDIRECT($F$8),6+(O269-1)*3)),11),IF(0.3*S269-VLOOKUP(B264,INDIRECT($F$8),6+(O269-1)*3)&lt;=5,0.3*S269-VLOOKUP(B264,INDIRECT($F$8),6+(O269-1)*3),11)),IF(VLOOKUP(B264,INDIRECT($F$8),8+(O269-1)*3)&lt;U269*0.4,IF(U269*0.4-VLOOKUP(B264,INDIRECT($F$8),8+(O269-1)*3)&lt;=5,U269*0.4-VLOOKUP(B264,INDIRECT($F$8),8+(O269-1)*3),11),0))))</f>
        <v>11</v>
      </c>
      <c r="X269" s="1" t="str">
        <f ca="1">IF(ISERROR(F264),"",IF(W269=0,"",_xlfn.TEXTJOIN("",FALSE," G+",W269," in ",A269)))</f>
        <v xml:space="preserve"> G+11 in CAT 022</v>
      </c>
    </row>
    <row r="270" spans="1:24" ht="12.75" customHeight="1" x14ac:dyDescent="0.2">
      <c r="A270" s="7" t="str">
        <f ca="1">IF(ISERROR(F264),"",VLOOKUP(C264,INDIRECT($F$8),6+(O270-1)*3,0))</f>
        <v>Enroll No.</v>
      </c>
      <c r="B270" s="41">
        <f ca="1">IF(ISERROR(F264),"",VLOOKUP(D264,INDIRECT($F$8),6+(O270-1)*3,0))</f>
        <v>0</v>
      </c>
      <c r="C270" s="41"/>
      <c r="D270" s="41"/>
      <c r="E270" s="41"/>
      <c r="F270" s="7">
        <f ca="1">IF(ISERROR(F264),"",VLOOKUP(E264,INDIRECT($F$8),6+(O270-1)*3,0))</f>
        <v>0</v>
      </c>
      <c r="G270" s="42" t="str">
        <f ca="1">IF(ISERROR(F264),"",_xlfn.TEXTJOIN("/",FALSE,P270,S270))</f>
        <v>UTU/2406100180/0</v>
      </c>
      <c r="H270" s="42"/>
      <c r="I270" s="42" t="str">
        <f ca="1">IF(ISERROR(F264),"",_xlfn.TEXTJOIN("/",FALSE,Q270,T270))</f>
        <v>PRIYANSHU BHATT/0</v>
      </c>
      <c r="J270" s="42"/>
      <c r="K270" s="42" t="str">
        <f ca="1">IF(ISERROR(F264),"",_xlfn.TEXTJOIN("/",FALSE,R270,U270))</f>
        <v>0/0</v>
      </c>
      <c r="L270" s="42"/>
      <c r="M270" s="7" t="b">
        <f ca="1">IF(ISERROR(F264),"",IF(ISTEXT(P270),IF(P270="A","Ab",IF(P270="D","Dt",IF(P270="UFM","UFM",IF(P270="NA","")))),IF(AND(ISBLANK(P270),ISBLANK(R270)),"",IF(P270&lt;0.3*S270,"F",IF(ISBLANK(R270),"",IF(ISTEXT(R270),R270,IF(R270&gt;=0.9*U270,"O",IF(R270&gt;=0.85*U270,"A+",IF(R270&gt;=0.8*U270,"A",IF(R270&gt;=0.7*U270,"B+",IF(R270&gt;=0.6*U270,"B",IF(R270&gt;=0.5*U270,"C",IF(R270&gt;=0.4*U270,"P",IF(R270&lt;0.4*U270,"F",R270))))))))))))))</f>
        <v>0</v>
      </c>
      <c r="N270" s="8" t="e">
        <f t="shared" ca="1" si="16"/>
        <v>#N/A</v>
      </c>
      <c r="O270" t="b" cm="1">
        <f t="array" aca="1" ref="O270" ca="1">IF(NOT(ISBLANK(INDIRECT("SEM_IV!I"&amp;INT((ROW(O270)-14)/16)+6))),2,IF(NOT(ISBLANK(INDIRECT("SEM_IV!L"&amp;INT((ROW(O270)-14)/16)+6))),3))</f>
        <v>0</v>
      </c>
      <c r="P270" s="1" t="str">
        <f ca="1">IF(ISERROR(F264),"",IF(ISTEXT(VLOOKUP(B264,INDIRECT($F$8),6+(O270-1)*3)),(VLOOKUP(B264,INDIRECT($F$8),6+(O270-1)*3)),SUM(VLOOKUP(B264,INDIRECT($F$8),6+(O270-1)*3),IF(W276,W270,0))))</f>
        <v>UTU/2406100180</v>
      </c>
      <c r="Q270" s="1" t="str">
        <f ca="1">IF(ISERROR(F264),"",VLOOKUP(B264,INDIRECT($F$8),7+(O270-1)*3))</f>
        <v>PRIYANSHU BHATT</v>
      </c>
      <c r="R270" s="1">
        <f ca="1">IF(ISERROR(F264),"",SUM(P270:Q270))</f>
        <v>0</v>
      </c>
      <c r="S270" s="1">
        <f ca="1">IF(ISERROR(F264),"",VLOOKUP(A264,INDIRECT($F$8),6+(O270-1)*3))</f>
        <v>0</v>
      </c>
      <c r="T270" s="1">
        <f ca="1">IF(ISERROR(F264),"",VLOOKUP(A264,INDIRECT($F$8),7+(O270-1)*3))</f>
        <v>0</v>
      </c>
      <c r="U270" s="1">
        <f ca="1">IF(ISERROR(F264),"",VLOOKUP(A264,INDIRECT($F$8),8+(O270-1)*3))</f>
        <v>0</v>
      </c>
      <c r="V270" s="1" t="e">
        <f ca="1">IF(ISERROR(F264),"",IF(N270=0,A270,""))</f>
        <v>#N/A</v>
      </c>
      <c r="W270" s="1">
        <f ca="1">IF(ISERROR(F264),"",IF(ISTEXT(VLOOKUP(B264,INDIRECT($F$8),6+(O270-1)*3)),11,IF(VLOOKUP(B264,INDIRECT($F$8),6+(O270-1)*3)&lt;S270*0.3,IF(VLOOKUP(B264,INDIRECT($F$8),8+(O270-1)*3)&lt;U270*0.4,IF(AND(0.4*U270-VLOOKUP(B264,INDIRECT($F$8),8+(O270-1)*3)&lt;=5,0.3*S270-VLOOKUP(B264,INDIRECT($F$8),6+(O270-1)*3)&lt;=5),MAX(0.4*U270-VLOOKUP(B264,INDIRECT($F$8),8+(O270-1)*3),0.3*S270-VLOOKUP(B264,INDIRECT($F$8),6+(O270-1)*3)),11),IF(0.3*S270-VLOOKUP(B264,INDIRECT($F$8),6+(O270-1)*3)&lt;=5,0.3*S270-VLOOKUP(B264,INDIRECT($F$8),6+(O270-1)*3),11)),IF(VLOOKUP(B264,INDIRECT($F$8),8+(O270-1)*3)&lt;U270*0.4,IF(U270*0.4-VLOOKUP(B264,INDIRECT($F$8),8+(O270-1)*3)&lt;=5,U270*0.4-VLOOKUP(B264,INDIRECT($F$8),8+(O270-1)*3),11),0))))</f>
        <v>11</v>
      </c>
      <c r="X270" s="1" t="str">
        <f ca="1">IF(ISERROR(F264),"",IF(W270=0,"",_xlfn.TEXTJOIN("",FALSE," G+",W270," in ",A270)))</f>
        <v xml:space="preserve"> G+11 in Enroll No.</v>
      </c>
    </row>
    <row r="271" spans="1:24" ht="12.75" customHeight="1" x14ac:dyDescent="0.2">
      <c r="A271" s="7" t="str">
        <f ca="1">IF(ISERROR(F264),"",VLOOKUP(C264,INDIRECT($F$8),6+(O271-1)*3,0))</f>
        <v>CAT 030</v>
      </c>
      <c r="B271" s="41" t="str">
        <f ca="1">IF(ISERROR(F264),"",VLOOKUP(D264,INDIRECT($F$8),6+(O271-1)*3,0))</f>
        <v>Software Testing &amp; Quality Assurance</v>
      </c>
      <c r="C271" s="41"/>
      <c r="D271" s="41"/>
      <c r="E271" s="41"/>
      <c r="F271" s="7">
        <f ca="1">IF(ISERROR(F264),"",VLOOKUP(E264,INDIRECT($F$8),6+(O271-1)*3,0))</f>
        <v>4</v>
      </c>
      <c r="G271" s="42" t="str">
        <f ca="1">IF(ISERROR(F264),"",_xlfn.TEXTJOIN("/",FALSE,P271,S271))</f>
        <v>0/100</v>
      </c>
      <c r="H271" s="42"/>
      <c r="I271" s="42" t="str">
        <f ca="1">IF(ISERROR(F264),"",_xlfn.TEXTJOIN("/",FALSE,Q271,T271))</f>
        <v>0/50</v>
      </c>
      <c r="J271" s="42"/>
      <c r="K271" s="42" t="str">
        <f ca="1">IF(ISERROR(F264),"",_xlfn.TEXTJOIN("/",FALSE,R271,U271))</f>
        <v>0/150</v>
      </c>
      <c r="L271" s="42"/>
      <c r="M271" s="7" t="str">
        <f ca="1">IF(ISERROR(F264),"",IF(ISTEXT(P271),IF(P271="A","Ab",IF(P271="D","Dt",IF(P271="UFM","UFM",IF(P271="NA","")))),IF(AND(ISBLANK(P271),ISBLANK(R271)),"",IF(P271&lt;0.3*S271,"F",IF(ISBLANK(R271),"",IF(ISTEXT(R271),R271,IF(R271&gt;=0.9*U271,"O",IF(R271&gt;=0.85*U271,"A+",IF(R271&gt;=0.8*U271,"A",IF(R271&gt;=0.7*U271,"B+",IF(R271&gt;=0.6*U271,"B",IF(R271&gt;=0.5*U271,"C",IF(R271&gt;=0.4*U271,"P",IF(R271&lt;0.4*U271,"F",R271))))))))))))))</f>
        <v>F</v>
      </c>
      <c r="N271" s="8">
        <f t="shared" ca="1" si="16"/>
        <v>0</v>
      </c>
      <c r="O271">
        <f ca="1">IF(O270&gt;0,4,"")</f>
        <v>4</v>
      </c>
      <c r="P271" s="1">
        <f ca="1">IF(ISERROR(F264),"",IF(ISTEXT(VLOOKUP(B264,INDIRECT($F$8),6+(O271-1)*3)),(VLOOKUP(B264,INDIRECT($F$8),6+(O271-1)*3)),SUM(VLOOKUP(B264,INDIRECT($F$8),6+(O271-1)*3),IF(W276,W271,0))))</f>
        <v>0</v>
      </c>
      <c r="Q271" s="1">
        <f ca="1">IF(ISERROR(F264),"",VLOOKUP(B264,INDIRECT($F$8),7+(O271-1)*3))</f>
        <v>0</v>
      </c>
      <c r="R271" s="1">
        <f ca="1">IF(ISERROR(F264),"",SUM(P271:Q271))</f>
        <v>0</v>
      </c>
      <c r="S271" s="1">
        <f ca="1">IF(ISERROR(F264),"",VLOOKUP(A264,INDIRECT($F$8),6+(O271-1)*3))</f>
        <v>100</v>
      </c>
      <c r="T271" s="1">
        <f ca="1">IF(ISERROR(F264),"",VLOOKUP(A264,INDIRECT($F$8),7+(O271-1)*3))</f>
        <v>50</v>
      </c>
      <c r="U271" s="1">
        <f ca="1">IF(ISERROR(F264),"",VLOOKUP(A264,INDIRECT($F$8),8+(O271-1)*3))</f>
        <v>150</v>
      </c>
      <c r="V271" s="1" t="str">
        <f ca="1">IF(ISERROR(F264),"",IF(N271=0,A271,""))</f>
        <v>CAT 030</v>
      </c>
      <c r="W271" s="1">
        <f ca="1">IF(ISERROR(F264),"",IF(ISTEXT(VLOOKUP(B264,INDIRECT($F$8),6+(O271-1)*3)),11,IF(VLOOKUP(B264,INDIRECT($F$8),6+(O271-1)*3)&lt;S271*0.3,IF(VLOOKUP(B264,INDIRECT($F$8),8+(O271-1)*3)&lt;U271*0.4,IF(AND(0.4*U271-VLOOKUP(B264,INDIRECT($F$8),8+(O271-1)*3)&lt;=5,0.3*S271-VLOOKUP(B264,INDIRECT($F$8),6+(O271-1)*3)&lt;=5),MAX(0.4*U271-VLOOKUP(B264,INDIRECT($F$8),8+(O271-1)*3),0.3*S271-VLOOKUP(B264,INDIRECT($F$8),6+(O271-1)*3)),11),IF(0.3*S271-VLOOKUP(B264,INDIRECT($F$8),6+(O271-1)*3)&lt;=5,0.3*S271-VLOOKUP(B264,INDIRECT($F$8),6+(O271-1)*3),11)),IF(VLOOKUP(B264,INDIRECT($F$8),8+(O271-1)*3)&lt;U271*0.4,IF(U271*0.4-VLOOKUP(B264,INDIRECT($F$8),8+(O271-1)*3)&lt;=5,U271*0.4-VLOOKUP(B264,INDIRECT($F$8),8+(O271-1)*3),11),0))))</f>
        <v>11</v>
      </c>
      <c r="X271" s="1" t="str">
        <f ca="1">IF(ISERROR(F264),"",IF(W271=0,"",_xlfn.TEXTJOIN("",FALSE," G+",W271," in ",A271)))</f>
        <v xml:space="preserve"> G+11 in CAT 030</v>
      </c>
    </row>
    <row r="272" spans="1:24" ht="12.75" customHeight="1" x14ac:dyDescent="0.2">
      <c r="A272" s="7" t="str">
        <f ca="1">IF(ISERROR(F264),"",VLOOKUP(C264,INDIRECT($F$8),6+(O272-1)*3,0))</f>
        <v>Enroll No.</v>
      </c>
      <c r="B272" s="41">
        <f ca="1">IF(ISERROR(F264),"",VLOOKUP(D264,INDIRECT($F$8),6+(O272-1)*3,0))</f>
        <v>0</v>
      </c>
      <c r="C272" s="41"/>
      <c r="D272" s="41"/>
      <c r="E272" s="41"/>
      <c r="F272" s="7">
        <f ca="1">IF(ISERROR(F264),"",VLOOKUP(E264,INDIRECT($F$8),6+(O272-1)*3,0))</f>
        <v>0</v>
      </c>
      <c r="G272" s="42" t="str">
        <f ca="1">IF(ISERROR(F264),"",_xlfn.TEXTJOIN("/",FALSE,P272,S272))</f>
        <v>UTU/2406100180/0</v>
      </c>
      <c r="H272" s="42"/>
      <c r="I272" s="42" t="str">
        <f ca="1">IF(ISERROR(F264),"",_xlfn.TEXTJOIN("/",FALSE,Q272,T272))</f>
        <v>PRIYANSHU BHATT/0</v>
      </c>
      <c r="J272" s="42"/>
      <c r="K272" s="42" t="str">
        <f ca="1">IF(ISERROR(F264),"",_xlfn.TEXTJOIN("/",FALSE,R272,U272))</f>
        <v>0/0</v>
      </c>
      <c r="L272" s="42"/>
      <c r="M272" s="7" t="b">
        <f ca="1">IF(ISERROR(F264),"",IF(ISTEXT(P272),IF(P272="A","Ab",IF(P272="D","Dt",IF(P272="UFM","UFM",IF(P272="NA","")))),IF(AND(ISBLANK(P272),ISBLANK(R272)),"",IF(P272&lt;0.3*S272,"F",IF(ISBLANK(R272),"",IF(ISTEXT(R272),R272,IF(R272&gt;=0.9*U272,"O",IF(R272&gt;=0.85*U272,"A+",IF(R272&gt;=0.8*U272,"A",IF(R272&gt;=0.7*U272,"B+",IF(R272&gt;=0.6*U272,"B",IF(R272&gt;=0.5*U272,"C",IF(R272&gt;=0.4*U272,"P",IF(R272&lt;0.4*U272,"F",R272))))))))))))))</f>
        <v>0</v>
      </c>
      <c r="N272" s="8" t="e">
        <f t="shared" ca="1" si="16"/>
        <v>#N/A</v>
      </c>
      <c r="O272" t="b" cm="1">
        <f t="array" aca="1" ref="O272" ca="1">IF(NOT(ISBLANK(INDIRECT("SEM_IV!R"&amp;INT((ROW(O272)-16)/16)+6))),5,IF(NOT(ISBLANK(INDIRECT("SEM_IV!U"&amp;INT((ROW(O272)-16)/16)+6))),6))</f>
        <v>0</v>
      </c>
      <c r="P272" s="1" t="str">
        <f ca="1">IF(ISERROR(F264),"",IF(ISTEXT(VLOOKUP(B264,INDIRECT($F$8),6+(O272-1)*3)),(VLOOKUP(B264,INDIRECT($F$8),6+(O272-1)*3)),SUM(VLOOKUP(B264,INDIRECT($F$8),6+(O272-1)*3),IF(W276,W272,0))))</f>
        <v>UTU/2406100180</v>
      </c>
      <c r="Q272" s="1" t="str">
        <f ca="1">IF(ISERROR(F264),"",VLOOKUP(B264,INDIRECT($F$8),7+(O272-1)*3))</f>
        <v>PRIYANSHU BHATT</v>
      </c>
      <c r="R272" s="1">
        <f ca="1">IF(ISERROR(F264),"",SUM(P272:Q272))</f>
        <v>0</v>
      </c>
      <c r="S272" s="1">
        <f ca="1">IF(ISERROR(F264),"",VLOOKUP(A264,INDIRECT($F$8),6+(O272-1)*3))</f>
        <v>0</v>
      </c>
      <c r="T272" s="1">
        <f ca="1">IF(ISERROR(F264),"",VLOOKUP(A264,INDIRECT($F$8),7+(O272-1)*3))</f>
        <v>0</v>
      </c>
      <c r="U272" s="1">
        <f ca="1">IF(ISERROR(F264),"",VLOOKUP(A264,INDIRECT($F$8),8+(O272-1)*3))</f>
        <v>0</v>
      </c>
      <c r="V272" s="1" t="e">
        <f ca="1">IF(ISERROR(F264),"",IF(N272=0,A272,""))</f>
        <v>#N/A</v>
      </c>
      <c r="W272" s="1">
        <f ca="1">IF(ISERROR(F264),"",IF(ISTEXT(VLOOKUP(B264,INDIRECT($F$8),6+(O272-1)*3)),11,IF(VLOOKUP(B264,INDIRECT($F$8),6+(O272-1)*3)&lt;S272*0.3,IF(VLOOKUP(B264,INDIRECT($F$8),8+(O272-1)*3)&lt;U272*0.4,IF(AND(0.4*U272-VLOOKUP(B264,INDIRECT($F$8),8+(O272-1)*3)&lt;=5,0.3*S272-VLOOKUP(B264,INDIRECT($F$8),6+(O272-1)*3)&lt;=5),MAX(0.4*U272-VLOOKUP(B264,INDIRECT($F$8),8+(O272-1)*3),0.3*S272-VLOOKUP(B264,INDIRECT($F$8),6+(O272-1)*3)),11),IF(0.3*S272-VLOOKUP(B264,INDIRECT($F$8),6+(O272-1)*3)&lt;=5,0.3*S272-VLOOKUP(B264,INDIRECT($F$8),6+(O272-1)*3),11)),IF(VLOOKUP(B264,INDIRECT($F$8),8+(O272-1)*3)&lt;U272*0.4,IF(U272*0.4-VLOOKUP(B264,INDIRECT($F$8),8+(O272-1)*3)&lt;=5,U272*0.4-VLOOKUP(B264,INDIRECT($F$8),8+(O272-1)*3),11),0))))</f>
        <v>11</v>
      </c>
      <c r="X272" s="1" t="str">
        <f ca="1">IF(ISERROR(F264),"",IF(W272=0,"",_xlfn.TEXTJOIN("",FALSE," G+",W272," in ",A272)))</f>
        <v xml:space="preserve"> G+11 in Enroll No.</v>
      </c>
    </row>
    <row r="273" spans="1:24" ht="12.75" customHeight="1" x14ac:dyDescent="0.2">
      <c r="A273" s="7" t="str">
        <f ca="1">IF(ISERROR(F264),"",VLOOKUP(C264,INDIRECT($F$8),6+(O273-1)*3,0))</f>
        <v>CAP 011</v>
      </c>
      <c r="B273" s="41" t="str">
        <f ca="1">IF(ISERROR(F264),"",VLOOKUP(D264,INDIRECT($F$8),6+(O273-1)*3,0))</f>
        <v>Network Security Lab</v>
      </c>
      <c r="C273" s="41"/>
      <c r="D273" s="41"/>
      <c r="E273" s="41"/>
      <c r="F273" s="7">
        <f ca="1">IF(ISERROR(F264),"",VLOOKUP(E264,INDIRECT($F$8),6+(O273-1)*3,0))</f>
        <v>1</v>
      </c>
      <c r="G273" s="42" t="str">
        <f ca="1">IF(ISERROR(F264),"",_xlfn.TEXTJOIN("/",FALSE,P273,S273))</f>
        <v>0/30</v>
      </c>
      <c r="H273" s="42"/>
      <c r="I273" s="42" t="str">
        <f ca="1">IF(ISERROR(F264),"",_xlfn.TEXTJOIN("/",FALSE,Q273,T273))</f>
        <v>0/20</v>
      </c>
      <c r="J273" s="42"/>
      <c r="K273" s="42" t="str">
        <f ca="1">IF(ISERROR(F264),"",_xlfn.TEXTJOIN("/",FALSE,R273,U273))</f>
        <v>0/50</v>
      </c>
      <c r="L273" s="42"/>
      <c r="M273" s="7" t="str">
        <f ca="1">IF(ISERROR(F264),"",IF(ISTEXT(P273),IF(P273="A","Ab",IF(P273="D","Dt",IF(P273="UFM","UFM",IF(P273="NA","")))),IF(AND(ISBLANK(P273),ISBLANK(R273)),"",IF(P273&lt;0.3*S273,"F",IF(ISBLANK(R273),"",IF(ISTEXT(R273),R273,IF(R273&gt;=0.9*U273,"O",IF(R273&gt;=0.85*U273,"A+",IF(R273&gt;=0.8*U273,"A",IF(R273&gt;=0.7*U273,"B+",IF(R273&gt;=0.6*U273,"B",IF(R273&gt;=0.5*U273,"C",IF(R273&gt;=0.4*U273,"P",IF(R273&lt;0.4*U273,"F",R273))))))))))))))</f>
        <v>F</v>
      </c>
      <c r="N273" s="8">
        <f t="shared" ca="1" si="16"/>
        <v>0</v>
      </c>
      <c r="O273">
        <f ca="1">IF(O272&gt;0,7,"")</f>
        <v>7</v>
      </c>
      <c r="P273" s="1">
        <f ca="1">IF(ISERROR(F264),"",IF(ISTEXT(VLOOKUP(B264,INDIRECT($F$8),6+(O273-1)*3)),(VLOOKUP(B264,INDIRECT($F$8),6+(O273-1)*3)),SUM(VLOOKUP(B264,INDIRECT($F$8),6+(O273-1)*3),IF(W276,W273,0))))</f>
        <v>0</v>
      </c>
      <c r="Q273" s="1">
        <f ca="1">IF(ISERROR(F264),"",VLOOKUP(B264,INDIRECT($F$8),7+(O273-1)*3))</f>
        <v>0</v>
      </c>
      <c r="R273" s="1">
        <f ca="1">IF(ISERROR(F264),"",SUM(P273:Q273))</f>
        <v>0</v>
      </c>
      <c r="S273" s="1">
        <f ca="1">IF(ISERROR(F264),"",VLOOKUP(A264,INDIRECT($F$8),6+(O273-1)*3))</f>
        <v>30</v>
      </c>
      <c r="T273" s="1">
        <f ca="1">IF(ISERROR(F264),"",VLOOKUP(A264,INDIRECT($F$8),7+(O273-1)*3))</f>
        <v>20</v>
      </c>
      <c r="U273" s="1">
        <f ca="1">IF(ISERROR(F264),"",VLOOKUP(A264,INDIRECT($F$8),8+(O273-1)*3))</f>
        <v>50</v>
      </c>
      <c r="V273" s="1" t="str">
        <f ca="1">IF(ISERROR(F264),"",IF(N273=0,A273,""))</f>
        <v>CAP 011</v>
      </c>
      <c r="W273" s="1">
        <f ca="1">IF(ISERROR(F264),"",IF(ISTEXT(VLOOKUP(B264,INDIRECT($F$8),6+(O273-1)*3)),11,IF(VLOOKUP(B264,INDIRECT($F$8),6+(O273-1)*3)&lt;S273*0.3,IF(VLOOKUP(B264,INDIRECT($F$8),8+(O273-1)*3)&lt;U273*0.4,IF(AND(0.4*U273-VLOOKUP(B264,INDIRECT($F$8),8+(O273-1)*3)&lt;=5,0.3*S273-VLOOKUP(B264,INDIRECT($F$8),6+(O273-1)*3)&lt;=5),MAX(0.4*U273-VLOOKUP(B264,INDIRECT($F$8),8+(O273-1)*3),0.3*S273-VLOOKUP(B264,INDIRECT($F$8),6+(O273-1)*3)),11),IF(0.3*S273-VLOOKUP(B264,INDIRECT($F$8),6+(O273-1)*3)&lt;=5,0.3*S273-VLOOKUP(B264,INDIRECT($F$8),6+(O273-1)*3),11)),IF(VLOOKUP(B264,INDIRECT($F$8),8+(O273-1)*3)&lt;U273*0.4,IF(U273*0.4-VLOOKUP(B264,INDIRECT($F$8),8+(O273-1)*3)&lt;=5,U273*0.4-VLOOKUP(B264,INDIRECT($F$8),8+(O273-1)*3),11),0))))</f>
        <v>11</v>
      </c>
      <c r="X273" s="1" t="str">
        <f ca="1">IF(ISERROR(F264),"",IF(W273=0,"",_xlfn.TEXTJOIN("",FALSE," G+",W273," in ",A273)))</f>
        <v xml:space="preserve"> G+11 in CAP 011</v>
      </c>
    </row>
    <row r="274" spans="1:24" ht="12.75" customHeight="1" x14ac:dyDescent="0.2">
      <c r="A274" s="7" t="str">
        <f ca="1">IF(ISERROR(F264),"",VLOOKUP(C264,INDIRECT($F$8),6+(O274-1)*3,0))</f>
        <v>Enroll No.</v>
      </c>
      <c r="B274" s="41">
        <f ca="1">IF(ISERROR(F264),"",VLOOKUP(D264,INDIRECT($F$8),6+(O274-1)*3,0))</f>
        <v>0</v>
      </c>
      <c r="C274" s="41"/>
      <c r="D274" s="41"/>
      <c r="E274" s="41"/>
      <c r="F274" s="7">
        <f ca="1">IF(ISERROR(F264),"",VLOOKUP(E264,INDIRECT($F$8),6+(O274-1)*3,0))</f>
        <v>0</v>
      </c>
      <c r="G274" s="42" t="str">
        <f ca="1">IF(ISERROR(F264),"",_xlfn.TEXTJOIN("/",FALSE,P274,S274))</f>
        <v>UTU/2406100180/0</v>
      </c>
      <c r="H274" s="42"/>
      <c r="I274" s="42" t="str">
        <f ca="1">IF(ISERROR(F264),"",_xlfn.TEXTJOIN("/",FALSE,Q274,T274))</f>
        <v>PRIYANSHU BHATT/0</v>
      </c>
      <c r="J274" s="42"/>
      <c r="K274" s="42" t="str">
        <f ca="1">IF(ISERROR(F264),"",_xlfn.TEXTJOIN("/",FALSE,R274,U274))</f>
        <v>0/0</v>
      </c>
      <c r="L274" s="42"/>
      <c r="M274" s="7" t="b">
        <f ca="1">IF(ISERROR(F264),"",IF(ISTEXT(P274),IF(P274="A","Ab",IF(P274="D","Dt",IF(P274="UFM","UFM",IF(P274="NA","")))),IF(AND(ISBLANK(P274),ISBLANK(R274)),"",IF(P274&lt;0.3*S274,"F",IF(ISBLANK(R274),"",IF(ISTEXT(R274),R274,IF(R274&gt;=0.9*U274,"O",IF(R274&gt;=0.85*U274,"A+",IF(R274&gt;=0.8*U274,"A",IF(R274&gt;=0.7*U274,"B+",IF(R274&gt;=0.6*U274,"B",IF(R274&gt;=0.5*U274,"C",IF(R274&gt;=0.4*U274,"P",IF(R274&lt;0.4*U274,"F",R274))))))))))))))</f>
        <v>0</v>
      </c>
      <c r="N274" s="8" t="e">
        <f t="shared" ca="1" si="16"/>
        <v>#N/A</v>
      </c>
      <c r="O274" t="b" cm="1">
        <f t="array" aca="1" ref="O274" ca="1">IF(NOT(ISBLANK(INDIRECT("SEM_IV!AA"&amp;INT((ROW(O274)-18)/16)+6))),8,IF(NOT(ISBLANK(INDIRECT("SEM_IV!AD"&amp;INT((ROW(O274)-18)/16)+6))),9))</f>
        <v>0</v>
      </c>
      <c r="P274" s="1" t="str">
        <f ca="1">IF(ISERROR(F264),"",IF(ISTEXT(VLOOKUP(B264,INDIRECT($F$8),6+(O274-1)*3)),(VLOOKUP(B264,INDIRECT($F$8),6+(O274-1)*3)),SUM(VLOOKUP(B264,INDIRECT($F$8),6+(O274-1)*3),IF(W276,W274,0))))</f>
        <v>UTU/2406100180</v>
      </c>
      <c r="Q274" s="1" t="str">
        <f ca="1">IF(ISERROR(F264),"",VLOOKUP(B264,INDIRECT($F$8),7+(O274-1)*3))</f>
        <v>PRIYANSHU BHATT</v>
      </c>
      <c r="R274" s="1">
        <f ca="1">IF(ISERROR(F264),"",SUM(P274:Q274))</f>
        <v>0</v>
      </c>
      <c r="S274" s="1">
        <f ca="1">IF(ISERROR(F264),"",VLOOKUP(A264,INDIRECT($F$8),6+(O274-1)*3))</f>
        <v>0</v>
      </c>
      <c r="T274" s="1">
        <f ca="1">IF(ISERROR(F264),"",VLOOKUP(A264,INDIRECT($F$8),7+(O274-1)*3))</f>
        <v>0</v>
      </c>
      <c r="U274" s="1">
        <f ca="1">IF(ISERROR(F264),"",VLOOKUP(A264,INDIRECT($F$8),8+(O274-1)*3))</f>
        <v>0</v>
      </c>
      <c r="V274" s="1" t="e">
        <f ca="1">IF(ISERROR(F264),"",IF(N274=0,A274,""))</f>
        <v>#N/A</v>
      </c>
      <c r="W274" s="1">
        <f ca="1">IF(ISERROR(F264),"",IF(ISTEXT(VLOOKUP(B264,INDIRECT($F$8),6+(O274-1)*3)),11,IF(VLOOKUP(B264,INDIRECT($F$8),6+(O274-1)*3)&lt;S274*0.3,IF(VLOOKUP(B264,INDIRECT($F$8),8+(O274-1)*3)&lt;U274*0.4,IF(AND(0.4*U274-VLOOKUP(B264,INDIRECT($F$8),8+(O274-1)*3)&lt;=5,0.3*S274-VLOOKUP(B264,INDIRECT($F$8),6+(O274-1)*3)&lt;=5),MAX(0.4*U274-VLOOKUP(B264,INDIRECT($F$8),8+(O274-1)*3),0.3*S274-VLOOKUP(B264,INDIRECT($F$8),6+(O274-1)*3)),11),IF(0.3*S274-VLOOKUP(B264,INDIRECT($F$8),6+(O274-1)*3)&lt;=5,0.3*S274-VLOOKUP(B264,INDIRECT($F$8),6+(O274-1)*3),11)),IF(VLOOKUP(B264,INDIRECT($F$8),8+(O274-1)*3)&lt;U274*0.4,IF(U274*0.4-VLOOKUP(B264,INDIRECT($F$8),8+(O274-1)*3)&lt;=5,U274*0.4-VLOOKUP(B264,INDIRECT($F$8),8+(O274-1)*3),11),0))))</f>
        <v>11</v>
      </c>
      <c r="X274" s="1" t="str">
        <f ca="1">IF(ISERROR(F264),"",IF(W274=0,"",_xlfn.TEXTJOIN("",FALSE," G+",W274," in ",A274)))</f>
        <v xml:space="preserve"> G+11 in Enroll No.</v>
      </c>
    </row>
    <row r="275" spans="1:24" ht="12.75" customHeight="1" x14ac:dyDescent="0.2">
      <c r="A275" s="7" t="str">
        <f ca="1">IF(ISERROR(F264),"",VLOOKUP(C264,INDIRECT($F$8),6+(O275-1)*3,0))</f>
        <v>CAP 013</v>
      </c>
      <c r="B275" s="41" t="str">
        <f ca="1">IF(ISERROR(F264),"",VLOOKUP(D264,INDIRECT($F$8),6+(O275-1)*3-Z275,0))</f>
        <v>Major Project</v>
      </c>
      <c r="C275" s="41"/>
      <c r="D275" s="41"/>
      <c r="E275" s="41"/>
      <c r="F275" s="7">
        <f ca="1">IF(ISERROR(F264),"",VLOOKUP(E264,INDIRECT($F$8),6+(O275-1)*3,0))</f>
        <v>6</v>
      </c>
      <c r="G275" s="42" t="str">
        <f ca="1">IF(ISERROR(F264),"",_xlfn.TEXTJOIN("/",FALSE,P275,S275))</f>
        <v>0/200</v>
      </c>
      <c r="H275" s="42"/>
      <c r="I275" s="42" t="str">
        <f ca="1">IF(ISERROR(F264),"",_xlfn.TEXTJOIN("/",FALSE,Q275,T275))</f>
        <v>0/100</v>
      </c>
      <c r="J275" s="42"/>
      <c r="K275" s="42" t="str">
        <f ca="1">IF(ISERROR(F264),"",_xlfn.TEXTJOIN("/",FALSE,R275,U275))</f>
        <v>0/300</v>
      </c>
      <c r="L275" s="42"/>
      <c r="M275" s="7" t="str">
        <f ca="1">IF(ISERROR(F264),"",IF(ISTEXT(P275),IF(P275="A","Ab",IF(P275="D","Dt",IF(P275="UFM","UFM",IF(P275="NA","")))),IF(AND(ISBLANK(P275),ISBLANK(R275)),"",IF(P275&lt;0.3*S275,"F",IF(ISBLANK(R275),"",IF(ISTEXT(R275),R275,IF(R275&gt;=0.9*U275,"O",IF(R275&gt;=0.85*U275,"A+",IF(R275&gt;=0.8*U275,"A",IF(R275&gt;=0.7*U275,"B+",IF(R275&gt;=0.6*U275,"B",IF(R275&gt;=0.5*U275,"C",IF(R275&gt;=0.4*U275,"P",IF(R275&lt;0.4*U275,"F",R275))))))))))))))</f>
        <v>F</v>
      </c>
      <c r="N275" s="8">
        <f t="shared" ca="1" si="16"/>
        <v>0</v>
      </c>
      <c r="O275">
        <f ca="1">IF(O274&gt;0,10,"")</f>
        <v>10</v>
      </c>
      <c r="P275" s="1">
        <f ca="1">IF(ISERROR(F264),"",IF(ISTEXT(VLOOKUP(B264,INDIRECT($F$8),6+(O275-1)*3)),(VLOOKUP(B264,INDIRECT($F$8),6+(O275-1)*3)),SUM(VLOOKUP(B264,INDIRECT($F$8),6+(O275-1)*3),IF(W276,W275,0))))</f>
        <v>0</v>
      </c>
      <c r="Q275" s="1">
        <f ca="1">IF(ISERROR(F264),"",VLOOKUP(B264,INDIRECT($F$8),7+(O275-1)*3))</f>
        <v>0</v>
      </c>
      <c r="R275" s="1">
        <f ca="1">IF(ISERROR(F264),"",SUM(P275:Q275))</f>
        <v>0</v>
      </c>
      <c r="S275" s="1">
        <f ca="1">IF(ISERROR(F264),"",VLOOKUP(A264,INDIRECT($F$8),6+(O275-1)*3))</f>
        <v>200</v>
      </c>
      <c r="T275" s="1">
        <f ca="1">IF(ISERROR(F264),"",VLOOKUP(A264,INDIRECT($F$8),7+(O275-1)*3))</f>
        <v>100</v>
      </c>
      <c r="U275" s="1">
        <f ca="1">IF(ISERROR(F264),"",VLOOKUP(A264,INDIRECT($F$8),8+(O275-1)*3))</f>
        <v>300</v>
      </c>
      <c r="V275" s="1" t="str">
        <f ca="1">IF(ISERROR(F264),"",IF(N275=0,A275,""))</f>
        <v>CAP 013</v>
      </c>
      <c r="W275" s="1">
        <f ca="1">IF(ISERROR(F264),"",IF(ISTEXT(VLOOKUP(B264,INDIRECT($F$8),6+(O275-1)*3)),11,IF(VLOOKUP(B264,INDIRECT($F$8),6+(O275-1)*3)&lt;S275*0.3,IF(VLOOKUP(B264,INDIRECT($F$8),8+(O275-1)*3)&lt;U275*0.4,IF(AND(0.4*U275-VLOOKUP(B264,INDIRECT($F$8),8+(O275-1)*3)&lt;=5,0.3*S275-VLOOKUP(B264,INDIRECT($F$8),6+(O275-1)*3)&lt;=5),MAX(0.4*U275-VLOOKUP(B264,INDIRECT($F$8),8+(O275-1)*3),0.3*S275-VLOOKUP(B264,INDIRECT($F$8),6+(O275-1)*3)),11),IF(0.3*S275-VLOOKUP(B264,INDIRECT($F$8),6+(O275-1)*3)&lt;=5,0.3*S275-VLOOKUP(B264,INDIRECT($F$8),6+(O275-1)*3),11)),IF(VLOOKUP(B264,INDIRECT($F$8),8+(O275-1)*3)&lt;U275*0.4,IF(U275*0.4-VLOOKUP(B264,INDIRECT($F$8),8+(O275-1)*3)&lt;=5,U275*0.4-VLOOKUP(B264,INDIRECT($F$8),8+(O275-1)*3),11),0))))</f>
        <v>11</v>
      </c>
      <c r="X275" s="1" t="str">
        <f ca="1">IF(ISERROR(F264),"",IF(W275=0,"",_xlfn.TEXTJOIN("",FALSE," G+",W275," in ",A275)))</f>
        <v xml:space="preserve"> G+11 in CAP 013</v>
      </c>
    </row>
    <row r="276" spans="1:24" ht="12.75" customHeight="1" x14ac:dyDescent="0.2">
      <c r="A276" s="43" t="str">
        <f ca="1">IF(ISERROR(F264),"",A260)</f>
        <v>Total Credits/ Marks/ Total Grade Points</v>
      </c>
      <c r="B276" s="43"/>
      <c r="C276" s="43"/>
      <c r="D276" s="43"/>
      <c r="E276" s="43"/>
      <c r="F276" s="10">
        <f ca="1">IF(ISERROR(F264),"",SUM(F269:F275))</f>
        <v>15</v>
      </c>
      <c r="G276" s="44" t="str">
        <f ca="1">IF(ISERROR(F264),"",_xlfn.TEXTJOIN("/",TRUE,SUMIF(F269:F275,"&gt;0",P269:P275),SUMIF(F269:F275,"&gt;0",S269:S275)))</f>
        <v>0/430</v>
      </c>
      <c r="H276" s="44"/>
      <c r="I276" s="44" t="str">
        <f ca="1">IF(ISERROR(F264),"",_xlfn.TEXTJOIN("/",TRUE,SUMIF(F269:F275,"&gt;0",Q269:Q275),SUMIF(F269:F275,"&gt;0",T269:T275)))</f>
        <v>0/220</v>
      </c>
      <c r="J276" s="44"/>
      <c r="K276" s="44" t="str">
        <f ca="1">IF(ISERROR(F264),"",_xlfn.TEXTJOIN("/",TRUE,SUMIF(F269:F275,"&gt;0",R269:R275),SUMIF(F269:F275,"&gt;0",U269:U275)))</f>
        <v>0/650</v>
      </c>
      <c r="L276" s="44"/>
      <c r="M276" s="43" t="e">
        <f ca="1">IF(ISERROR(F264),"",SUMPRODUCT(N269:N275,F269:F275))</f>
        <v>#N/A</v>
      </c>
      <c r="N276" s="43"/>
      <c r="V276" s="1" t="e">
        <f ca="1">IF(ISERROR(F264),"",_xlfn.TEXTJOIN(", ",TRUE,V269:V275))</f>
        <v>#N/A</v>
      </c>
      <c r="W276" t="b">
        <f ca="1">IF(ISERROR(F264),"",IF(SUM(W269:W275)&lt;=W268,TRUE,FALSE))</f>
        <v>0</v>
      </c>
      <c r="X276" s="1" t="str">
        <f ca="1">IF(ISERROR(F264),"",_xlfn.TEXTJOIN(",",TRUE,X269:X275))</f>
        <v xml:space="preserve"> G+11 in CAT 022, G+11 in Enroll No., G+11 in CAT 030, G+11 in Enroll No., G+11 in CAP 011, G+11 in Enroll No., G+11 in CAP 013</v>
      </c>
    </row>
    <row r="277" spans="1:24" ht="12.75" customHeight="1" x14ac:dyDescent="0.2">
      <c r="A277" s="43" t="str">
        <f ca="1">IF(ISERROR(F264),"",A261)</f>
        <v>Result:</v>
      </c>
      <c r="B277" s="45" t="e">
        <f ca="1">IF(ISERROR(F264),"",IF(V276="","PASS","CARRY OVER"))</f>
        <v>#N/A</v>
      </c>
      <c r="C277" s="45"/>
      <c r="D277" s="43" t="str">
        <f ca="1">IF(ISERROR(F264),"",D261)</f>
        <v>Remark:</v>
      </c>
      <c r="E277" s="45" t="e">
        <f ca="1">IF(ISERROR(F264),"",IF(V276="",IF(X276="","",X276),_xlfn.TEXTJOIN(" ",TRUE,"BACK IN",V276)))</f>
        <v>#N/A</v>
      </c>
      <c r="F277" s="45"/>
      <c r="G277" s="43" t="str">
        <f ca="1">IF(ISERROR(F264),"",G261)</f>
        <v>SGPA:</v>
      </c>
      <c r="H277" s="46" t="e">
        <f ca="1">IF(ISERROR(F264),"",M276/F276)</f>
        <v>#N/A</v>
      </c>
      <c r="I277" s="43" t="str">
        <f ca="1">IF(ISERROR(F264),"",I261)</f>
        <v>CGPA:</v>
      </c>
      <c r="J277" s="46" t="e">
        <f ca="1">IF(ISERROR(F264),"",VLOOKUP(B264,INDIRECT($F$8),12+(O275-1)*3,0))</f>
        <v>#N/A</v>
      </c>
      <c r="K277" s="45" t="str">
        <f ca="1">IF(ISERROR(F264),"",K261)</f>
        <v>Earned Credits:</v>
      </c>
      <c r="L277" s="43">
        <f ca="1">IF(ISERROR(F264),"",SUMIF(N269:N275,"&gt;0",F269:F275))</f>
        <v>0</v>
      </c>
      <c r="M277" s="45" t="str">
        <f ca="1">IF(ISERROR(F264),"",M261)</f>
        <v>Cuml. Earned Credits:</v>
      </c>
      <c r="N277" s="43" t="e">
        <f ca="1">IF(ISERROR(F264),"",VLOOKUP(B264,INDIRECT($F$8),10+(O275-1)*3,0))</f>
        <v>#N/A</v>
      </c>
    </row>
    <row r="278" spans="1:24" ht="12.75" customHeight="1" x14ac:dyDescent="0.2">
      <c r="A278" s="43"/>
      <c r="B278" s="45"/>
      <c r="C278" s="45"/>
      <c r="D278" s="43"/>
      <c r="E278" s="45"/>
      <c r="F278" s="45"/>
      <c r="G278" s="43"/>
      <c r="H278" s="46"/>
      <c r="I278" s="43"/>
      <c r="J278" s="46"/>
      <c r="K278" s="45"/>
      <c r="L278" s="43"/>
      <c r="M278" s="45"/>
      <c r="N278" s="43"/>
    </row>
    <row r="279" spans="1:24" ht="12.75" customHeight="1" x14ac:dyDescent="0.2">
      <c r="A279" s="43"/>
      <c r="B279" s="45"/>
      <c r="C279" s="45"/>
      <c r="D279" s="43"/>
      <c r="E279" s="45"/>
      <c r="F279" s="45"/>
      <c r="G279" s="43"/>
      <c r="H279" s="46"/>
      <c r="I279" s="43"/>
      <c r="J279" s="46"/>
      <c r="K279" s="45"/>
      <c r="L279" s="43"/>
      <c r="M279" s="45"/>
      <c r="N279" s="43"/>
    </row>
    <row r="280" spans="1:24" ht="12.75" customHeight="1" x14ac:dyDescent="0.2">
      <c r="A280" s="11" t="str">
        <f>A264</f>
        <v>MM</v>
      </c>
      <c r="B280" s="11">
        <f>B264+1</f>
        <v>18</v>
      </c>
      <c r="C280" s="11" t="str">
        <f>C264</f>
        <v>SC</v>
      </c>
      <c r="D280" s="11" t="str">
        <f>D264</f>
        <v>SN</v>
      </c>
      <c r="E280" s="11" t="str">
        <f>E264</f>
        <v>C</v>
      </c>
      <c r="F280" s="11" t="str">
        <f ca="1">VLOOKUP(B280,INDIRECT($F$8),4,0)</f>
        <v>PRIYANSHU DHYANI</v>
      </c>
    </row>
    <row r="281" spans="1:24" ht="12.75" customHeight="1" x14ac:dyDescent="0.2">
      <c r="A281" s="47" t="str">
        <f ca="1">IF(ISERROR(F280),"",A265)</f>
        <v>Name:</v>
      </c>
      <c r="B281" s="47" t="str">
        <f ca="1">IFERROR(VLOOKUP(B280,INDIRECT($F$8),4,0),"")</f>
        <v>PRIYANSHU DHYANI</v>
      </c>
      <c r="C281" s="47"/>
      <c r="D281" s="47" t="str">
        <f ca="1">IF(ISERROR(F280),"",D265)</f>
        <v>Father's Name:</v>
      </c>
      <c r="E281" s="47" t="str">
        <f ca="1">IFERROR(VLOOKUP(B280,INDIRECT($F$8),5,0),"")</f>
        <v>RAMESH CHANDRA DHYANI</v>
      </c>
      <c r="F281" s="47"/>
      <c r="G281" s="47" t="str">
        <f ca="1">IF(ISERROR(F280),"",G265)</f>
        <v>University Roll No:</v>
      </c>
      <c r="H281" s="47"/>
      <c r="I281" s="48">
        <f ca="1">IFERROR(VLOOKUP(B280,INDIRECT($F$8),2,0),"")</f>
        <v>240090600018</v>
      </c>
      <c r="J281" s="48"/>
      <c r="K281" s="47" t="str">
        <f ca="1">IF(ISERROR(F280),"",K265)</f>
        <v>University Enrol. No:</v>
      </c>
      <c r="L281" s="47"/>
      <c r="M281" s="48" t="str">
        <f ca="1">IFERROR(VLOOKUP(B280,INDIRECT($F$8),3,0),"")</f>
        <v>UTU/2406100171</v>
      </c>
      <c r="N281" s="48"/>
    </row>
    <row r="282" spans="1:24" ht="12.75" customHeight="1" x14ac:dyDescent="0.2">
      <c r="A282" s="47"/>
      <c r="B282" s="47"/>
      <c r="C282" s="47"/>
      <c r="D282" s="47"/>
      <c r="E282" s="47"/>
      <c r="F282" s="47"/>
      <c r="G282" s="47"/>
      <c r="H282" s="47"/>
      <c r="I282" s="48"/>
      <c r="J282" s="48"/>
      <c r="K282" s="47"/>
      <c r="L282" s="47"/>
      <c r="M282" s="48"/>
      <c r="N282" s="48"/>
    </row>
    <row r="283" spans="1:24" ht="12.75" customHeight="1" x14ac:dyDescent="0.2">
      <c r="A283" s="45" t="str">
        <f ca="1">IF(ISERROR(F280),"",A267)</f>
        <v>Subject Code</v>
      </c>
      <c r="B283" s="45" t="str">
        <f ca="1">IF(ISERROR(F280),"",B267)</f>
        <v>Subject Name</v>
      </c>
      <c r="C283" s="45"/>
      <c r="D283" s="45"/>
      <c r="E283" s="45"/>
      <c r="F283" s="45" t="str">
        <f ca="1">IF(ISERROR(F280),"",F267)</f>
        <v>Credits</v>
      </c>
      <c r="G283" s="45" t="str">
        <f ca="1">IF(ISERROR(F280),"",G267)</f>
        <v>External Marks</v>
      </c>
      <c r="H283" s="45"/>
      <c r="I283" s="45" t="str">
        <f ca="1">IF(ISERROR(F280),"",I267)</f>
        <v>Sessional Marks</v>
      </c>
      <c r="J283" s="45"/>
      <c r="K283" s="45" t="str">
        <f ca="1">IF(ISERROR(F280),"",K267)</f>
        <v>Total Marks</v>
      </c>
      <c r="L283" s="45"/>
      <c r="M283" s="45" t="str">
        <f ca="1">IF(ISERROR(F280),"",M267)</f>
        <v>Grade</v>
      </c>
      <c r="N283" s="45" t="str">
        <f ca="1">IF(ISERROR(F280),"",N267)</f>
        <v>Grade Points</v>
      </c>
    </row>
    <row r="284" spans="1:24" ht="12.75" customHeight="1" x14ac:dyDescent="0.2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W284">
        <f ca="1">IF(ISNUMBER(MATCH($F$8,{"I","III","V","VII"},0)),10,10-INDEX(INDIRECT(_xlfn.TEXTJOIN("",TRUE,"SEM_",$G$8,"!",ADDRESS(6,4+$I$8*3+4),":",ADDRESS(5+$H$8,4+$I$8*3+4))),MATCH(INDIRECT(_xlfn.TEXTJOIN("",TRUE,"TC_",$F$8,"!",ADDRESS(ROW(I281),COLUMN(I281)))),INDIRECT(_xlfn.TEXTJOIN("",TRUE,"SEM_",$G$8,"!",ADDRESS(6,2),":",ADDRESS(5+$H$8,2))))))</f>
        <v>10</v>
      </c>
    </row>
    <row r="285" spans="1:24" ht="12.75" customHeight="1" x14ac:dyDescent="0.2">
      <c r="A285" s="7" t="str">
        <f ca="1">IF(ISERROR(F280),"",VLOOKUP(C280,INDIRECT($F$8),6+(O285-1)*3,0))</f>
        <v>CAT 022</v>
      </c>
      <c r="B285" s="41" t="str">
        <f ca="1">IF(ISERROR(F280),"",VLOOKUP(D280,INDIRECT($F$8),6+(O285-1)*3,0))</f>
        <v>Network Security</v>
      </c>
      <c r="C285" s="41"/>
      <c r="D285" s="41"/>
      <c r="E285" s="41"/>
      <c r="F285" s="7">
        <f ca="1">IF(ISERROR(F280),"",VLOOKUP(E280,INDIRECT($F$8),6+(O285-1)*3,0))</f>
        <v>4</v>
      </c>
      <c r="G285" s="42" t="str">
        <f ca="1">IF(ISERROR(F280),"",_xlfn.TEXTJOIN("/",FALSE,P285,S285))</f>
        <v>0/100</v>
      </c>
      <c r="H285" s="42"/>
      <c r="I285" s="42" t="str">
        <f ca="1">IF(ISERROR(F280),"",_xlfn.TEXTJOIN("/",FALSE,Q285,T285))</f>
        <v>0/50</v>
      </c>
      <c r="J285" s="42"/>
      <c r="K285" s="42" t="str">
        <f ca="1">IF(ISERROR(F280),"",_xlfn.TEXTJOIN("/",FALSE,R285,U285))</f>
        <v>0/150</v>
      </c>
      <c r="L285" s="42"/>
      <c r="M285" s="7" t="str">
        <f ca="1">IF(ISERROR(F280),"",IF(ISTEXT(P285),IF(P285="A","Ab",IF(P285="D","Dt",IF(P285="UFM","UFM",IF(P285="NA","")))),IF(AND(ISBLANK(P285),ISBLANK(R285)),"",IF(P285&lt;0.3*S285,"F",IF(ISBLANK(R285),"",IF(ISTEXT(R285),R285,IF(R285&gt;=0.9*U285,"O",IF(R285&gt;=0.85*U285,"A+",IF(R285&gt;=0.8*U285,"A",IF(R285&gt;=0.7*U285,"B+",IF(R285&gt;=0.6*U285,"B",IF(R285&gt;=0.5*U285,"C",IF(R285&gt;=0.4*U285,"P",IF(R285&lt;0.4*U285,"F",R285))))))))))))))</f>
        <v>F</v>
      </c>
      <c r="N285" s="8">
        <f t="shared" ref="N285:N291" ca="1" si="17">INDEX($Z$2:$Z$13,MATCH(M285,$Y$2:$Y$13,0))</f>
        <v>0</v>
      </c>
      <c r="O285">
        <v>1</v>
      </c>
      <c r="P285" s="1">
        <f ca="1">IF(ISERROR(F280),"",IF(ISTEXT(VLOOKUP(B280,INDIRECT($F$8),6+(O285-1)*3)),(VLOOKUP(B280,INDIRECT($F$8),6+(O285-1)*3)),SUM(VLOOKUP(B280,INDIRECT($F$8),6+(O285-1)*3),IF(W292,W285,0))))</f>
        <v>0</v>
      </c>
      <c r="Q285" s="1">
        <f ca="1">IF(ISERROR(F280),"",VLOOKUP(B280,INDIRECT($F$8),7+(O285-1)*3))</f>
        <v>0</v>
      </c>
      <c r="R285" s="1">
        <f ca="1">IF(ISERROR(F280),"",SUM(P285:Q285))</f>
        <v>0</v>
      </c>
      <c r="S285" s="1">
        <f ca="1">IF(ISERROR(F280),"",VLOOKUP(A280,INDIRECT($F$8),6+(O285-1)*3))</f>
        <v>100</v>
      </c>
      <c r="T285" s="1">
        <f ca="1">IF(ISERROR(F280),"",VLOOKUP(A280,INDIRECT($F$8),7+(O285-1)*3))</f>
        <v>50</v>
      </c>
      <c r="U285" s="1">
        <f ca="1">IF(ISERROR(F280),"",VLOOKUP(A280,INDIRECT($F$8),8+(O285-1)*3))</f>
        <v>150</v>
      </c>
      <c r="V285" s="1" t="str">
        <f ca="1">IF(ISERROR(F280),"",IF(N285=0,A285,""))</f>
        <v>CAT 022</v>
      </c>
      <c r="W285" s="1">
        <f ca="1">IF(ISERROR(F280),"",IF(ISTEXT(VLOOKUP(B280,INDIRECT($F$8),6+(O285-1)*3)),11,IF(VLOOKUP(B280,INDIRECT($F$8),6+(O285-1)*3)&lt;S285*0.3,IF(VLOOKUP(B280,INDIRECT($F$8),8+(O285-1)*3)&lt;U285*0.4,IF(AND(0.4*U285-VLOOKUP(B280,INDIRECT($F$8),8+(O285-1)*3)&lt;=5,0.3*S285-VLOOKUP(B280,INDIRECT($F$8),6+(O285-1)*3)&lt;=5),MAX(0.4*U285-VLOOKUP(B280,INDIRECT($F$8),8+(O285-1)*3),0.3*S285-VLOOKUP(B280,INDIRECT($F$8),6+(O285-1)*3)),11),IF(0.3*S285-VLOOKUP(B280,INDIRECT($F$8),6+(O285-1)*3)&lt;=5,0.3*S285-VLOOKUP(B280,INDIRECT($F$8),6+(O285-1)*3),11)),IF(VLOOKUP(B280,INDIRECT($F$8),8+(O285-1)*3)&lt;U285*0.4,IF(U285*0.4-VLOOKUP(B280,INDIRECT($F$8),8+(O285-1)*3)&lt;=5,U285*0.4-VLOOKUP(B280,INDIRECT($F$8),8+(O285-1)*3),11),0))))</f>
        <v>11</v>
      </c>
      <c r="X285" s="1" t="str">
        <f ca="1">IF(ISERROR(F280),"",IF(W285=0,"",_xlfn.TEXTJOIN("",FALSE," G+",W285," in ",A285)))</f>
        <v xml:space="preserve"> G+11 in CAT 022</v>
      </c>
    </row>
    <row r="286" spans="1:24" ht="12.75" customHeight="1" x14ac:dyDescent="0.2">
      <c r="A286" s="7" t="str">
        <f ca="1">IF(ISERROR(F280),"",VLOOKUP(C280,INDIRECT($F$8),6+(O286-1)*3,0))</f>
        <v>Enroll No.</v>
      </c>
      <c r="B286" s="41">
        <f ca="1">IF(ISERROR(F280),"",VLOOKUP(D280,INDIRECT($F$8),6+(O286-1)*3,0))</f>
        <v>0</v>
      </c>
      <c r="C286" s="41"/>
      <c r="D286" s="41"/>
      <c r="E286" s="41"/>
      <c r="F286" s="7">
        <f ca="1">IF(ISERROR(F280),"",VLOOKUP(E280,INDIRECT($F$8),6+(O286-1)*3,0))</f>
        <v>0</v>
      </c>
      <c r="G286" s="42" t="str">
        <f ca="1">IF(ISERROR(F280),"",_xlfn.TEXTJOIN("/",FALSE,P286,S286))</f>
        <v>UTU/2406100171/0</v>
      </c>
      <c r="H286" s="42"/>
      <c r="I286" s="42" t="str">
        <f ca="1">IF(ISERROR(F280),"",_xlfn.TEXTJOIN("/",FALSE,Q286,T286))</f>
        <v>PRIYANSHU DHYANI/0</v>
      </c>
      <c r="J286" s="42"/>
      <c r="K286" s="42" t="str">
        <f ca="1">IF(ISERROR(F280),"",_xlfn.TEXTJOIN("/",FALSE,R286,U286))</f>
        <v>0/0</v>
      </c>
      <c r="L286" s="42"/>
      <c r="M286" s="7" t="b">
        <f ca="1">IF(ISERROR(F280),"",IF(ISTEXT(P286),IF(P286="A","Ab",IF(P286="D","Dt",IF(P286="UFM","UFM",IF(P286="NA","")))),IF(AND(ISBLANK(P286),ISBLANK(R286)),"",IF(P286&lt;0.3*S286,"F",IF(ISBLANK(R286),"",IF(ISTEXT(R286),R286,IF(R286&gt;=0.9*U286,"O",IF(R286&gt;=0.85*U286,"A+",IF(R286&gt;=0.8*U286,"A",IF(R286&gt;=0.7*U286,"B+",IF(R286&gt;=0.6*U286,"B",IF(R286&gt;=0.5*U286,"C",IF(R286&gt;=0.4*U286,"P",IF(R286&lt;0.4*U286,"F",R286))))))))))))))</f>
        <v>0</v>
      </c>
      <c r="N286" s="8" t="e">
        <f t="shared" ca="1" si="17"/>
        <v>#N/A</v>
      </c>
      <c r="O286" t="b" cm="1">
        <f t="array" aca="1" ref="O286" ca="1">IF(NOT(ISBLANK(INDIRECT("SEM_IV!I"&amp;INT((ROW(O286)-14)/16)+6))),2,IF(NOT(ISBLANK(INDIRECT("SEM_IV!L"&amp;INT((ROW(O286)-14)/16)+6))),3))</f>
        <v>0</v>
      </c>
      <c r="P286" s="1" t="str">
        <f ca="1">IF(ISERROR(F280),"",IF(ISTEXT(VLOOKUP(B280,INDIRECT($F$8),6+(O286-1)*3)),(VLOOKUP(B280,INDIRECT($F$8),6+(O286-1)*3)),SUM(VLOOKUP(B280,INDIRECT($F$8),6+(O286-1)*3),IF(W292,W286,0))))</f>
        <v>UTU/2406100171</v>
      </c>
      <c r="Q286" s="1" t="str">
        <f ca="1">IF(ISERROR(F280),"",VLOOKUP(B280,INDIRECT($F$8),7+(O286-1)*3))</f>
        <v>PRIYANSHU DHYANI</v>
      </c>
      <c r="R286" s="1">
        <f ca="1">IF(ISERROR(F280),"",SUM(P286:Q286))</f>
        <v>0</v>
      </c>
      <c r="S286" s="1">
        <f ca="1">IF(ISERROR(F280),"",VLOOKUP(A280,INDIRECT($F$8),6+(O286-1)*3))</f>
        <v>0</v>
      </c>
      <c r="T286" s="1">
        <f ca="1">IF(ISERROR(F280),"",VLOOKUP(A280,INDIRECT($F$8),7+(O286-1)*3))</f>
        <v>0</v>
      </c>
      <c r="U286" s="1">
        <f ca="1">IF(ISERROR(F280),"",VLOOKUP(A280,INDIRECT($F$8),8+(O286-1)*3))</f>
        <v>0</v>
      </c>
      <c r="V286" s="1" t="e">
        <f ca="1">IF(ISERROR(F280),"",IF(N286=0,A286,""))</f>
        <v>#N/A</v>
      </c>
      <c r="W286" s="1">
        <f ca="1">IF(ISERROR(F280),"",IF(ISTEXT(VLOOKUP(B280,INDIRECT($F$8),6+(O286-1)*3)),11,IF(VLOOKUP(B280,INDIRECT($F$8),6+(O286-1)*3)&lt;S286*0.3,IF(VLOOKUP(B280,INDIRECT($F$8),8+(O286-1)*3)&lt;U286*0.4,IF(AND(0.4*U286-VLOOKUP(B280,INDIRECT($F$8),8+(O286-1)*3)&lt;=5,0.3*S286-VLOOKUP(B280,INDIRECT($F$8),6+(O286-1)*3)&lt;=5),MAX(0.4*U286-VLOOKUP(B280,INDIRECT($F$8),8+(O286-1)*3),0.3*S286-VLOOKUP(B280,INDIRECT($F$8),6+(O286-1)*3)),11),IF(0.3*S286-VLOOKUP(B280,INDIRECT($F$8),6+(O286-1)*3)&lt;=5,0.3*S286-VLOOKUP(B280,INDIRECT($F$8),6+(O286-1)*3),11)),IF(VLOOKUP(B280,INDIRECT($F$8),8+(O286-1)*3)&lt;U286*0.4,IF(U286*0.4-VLOOKUP(B280,INDIRECT($F$8),8+(O286-1)*3)&lt;=5,U286*0.4-VLOOKUP(B280,INDIRECT($F$8),8+(O286-1)*3),11),0))))</f>
        <v>11</v>
      </c>
      <c r="X286" s="1" t="str">
        <f ca="1">IF(ISERROR(F280),"",IF(W286=0,"",_xlfn.TEXTJOIN("",FALSE," G+",W286," in ",A286)))</f>
        <v xml:space="preserve"> G+11 in Enroll No.</v>
      </c>
    </row>
    <row r="287" spans="1:24" ht="12.75" customHeight="1" x14ac:dyDescent="0.2">
      <c r="A287" s="7" t="str">
        <f ca="1">IF(ISERROR(F280),"",VLOOKUP(C280,INDIRECT($F$8),6+(O287-1)*3,0))</f>
        <v>CAT 030</v>
      </c>
      <c r="B287" s="41" t="str">
        <f ca="1">IF(ISERROR(F280),"",VLOOKUP(D280,INDIRECT($F$8),6+(O287-1)*3,0))</f>
        <v>Software Testing &amp; Quality Assurance</v>
      </c>
      <c r="C287" s="41"/>
      <c r="D287" s="41"/>
      <c r="E287" s="41"/>
      <c r="F287" s="7">
        <f ca="1">IF(ISERROR(F280),"",VLOOKUP(E280,INDIRECT($F$8),6+(O287-1)*3,0))</f>
        <v>4</v>
      </c>
      <c r="G287" s="42" t="str">
        <f ca="1">IF(ISERROR(F280),"",_xlfn.TEXTJOIN("/",FALSE,P287,S287))</f>
        <v>0/100</v>
      </c>
      <c r="H287" s="42"/>
      <c r="I287" s="42" t="str">
        <f ca="1">IF(ISERROR(F280),"",_xlfn.TEXTJOIN("/",FALSE,Q287,T287))</f>
        <v>0/50</v>
      </c>
      <c r="J287" s="42"/>
      <c r="K287" s="42" t="str">
        <f ca="1">IF(ISERROR(F280),"",_xlfn.TEXTJOIN("/",FALSE,R287,U287))</f>
        <v>0/150</v>
      </c>
      <c r="L287" s="42"/>
      <c r="M287" s="7" t="str">
        <f ca="1">IF(ISERROR(F280),"",IF(ISTEXT(P287),IF(P287="A","Ab",IF(P287="D","Dt",IF(P287="UFM","UFM",IF(P287="NA","")))),IF(AND(ISBLANK(P287),ISBLANK(R287)),"",IF(P287&lt;0.3*S287,"F",IF(ISBLANK(R287),"",IF(ISTEXT(R287),R287,IF(R287&gt;=0.9*U287,"O",IF(R287&gt;=0.85*U287,"A+",IF(R287&gt;=0.8*U287,"A",IF(R287&gt;=0.7*U287,"B+",IF(R287&gt;=0.6*U287,"B",IF(R287&gt;=0.5*U287,"C",IF(R287&gt;=0.4*U287,"P",IF(R287&lt;0.4*U287,"F",R287))))))))))))))</f>
        <v>F</v>
      </c>
      <c r="N287" s="8">
        <f t="shared" ca="1" si="17"/>
        <v>0</v>
      </c>
      <c r="O287">
        <f ca="1">IF(O286&gt;0,4,"")</f>
        <v>4</v>
      </c>
      <c r="P287" s="1">
        <f ca="1">IF(ISERROR(F280),"",IF(ISTEXT(VLOOKUP(B280,INDIRECT($F$8),6+(O287-1)*3)),(VLOOKUP(B280,INDIRECT($F$8),6+(O287-1)*3)),SUM(VLOOKUP(B280,INDIRECT($F$8),6+(O287-1)*3),IF(W292,W287,0))))</f>
        <v>0</v>
      </c>
      <c r="Q287" s="1">
        <f ca="1">IF(ISERROR(F280),"",VLOOKUP(B280,INDIRECT($F$8),7+(O287-1)*3))</f>
        <v>0</v>
      </c>
      <c r="R287" s="1">
        <f ca="1">IF(ISERROR(F280),"",SUM(P287:Q287))</f>
        <v>0</v>
      </c>
      <c r="S287" s="1">
        <f ca="1">IF(ISERROR(F280),"",VLOOKUP(A280,INDIRECT($F$8),6+(O287-1)*3))</f>
        <v>100</v>
      </c>
      <c r="T287" s="1">
        <f ca="1">IF(ISERROR(F280),"",VLOOKUP(A280,INDIRECT($F$8),7+(O287-1)*3))</f>
        <v>50</v>
      </c>
      <c r="U287" s="1">
        <f ca="1">IF(ISERROR(F280),"",VLOOKUP(A280,INDIRECT($F$8),8+(O287-1)*3))</f>
        <v>150</v>
      </c>
      <c r="V287" s="1" t="str">
        <f ca="1">IF(ISERROR(F280),"",IF(N287=0,A287,""))</f>
        <v>CAT 030</v>
      </c>
      <c r="W287" s="1">
        <f ca="1">IF(ISERROR(F280),"",IF(ISTEXT(VLOOKUP(B280,INDIRECT($F$8),6+(O287-1)*3)),11,IF(VLOOKUP(B280,INDIRECT($F$8),6+(O287-1)*3)&lt;S287*0.3,IF(VLOOKUP(B280,INDIRECT($F$8),8+(O287-1)*3)&lt;U287*0.4,IF(AND(0.4*U287-VLOOKUP(B280,INDIRECT($F$8),8+(O287-1)*3)&lt;=5,0.3*S287-VLOOKUP(B280,INDIRECT($F$8),6+(O287-1)*3)&lt;=5),MAX(0.4*U287-VLOOKUP(B280,INDIRECT($F$8),8+(O287-1)*3),0.3*S287-VLOOKUP(B280,INDIRECT($F$8),6+(O287-1)*3)),11),IF(0.3*S287-VLOOKUP(B280,INDIRECT($F$8),6+(O287-1)*3)&lt;=5,0.3*S287-VLOOKUP(B280,INDIRECT($F$8),6+(O287-1)*3),11)),IF(VLOOKUP(B280,INDIRECT($F$8),8+(O287-1)*3)&lt;U287*0.4,IF(U287*0.4-VLOOKUP(B280,INDIRECT($F$8),8+(O287-1)*3)&lt;=5,U287*0.4-VLOOKUP(B280,INDIRECT($F$8),8+(O287-1)*3),11),0))))</f>
        <v>11</v>
      </c>
      <c r="X287" s="1" t="str">
        <f ca="1">IF(ISERROR(F280),"",IF(W287=0,"",_xlfn.TEXTJOIN("",FALSE," G+",W287," in ",A287)))</f>
        <v xml:space="preserve"> G+11 in CAT 030</v>
      </c>
    </row>
    <row r="288" spans="1:24" ht="12.75" customHeight="1" x14ac:dyDescent="0.2">
      <c r="A288" s="7" t="str">
        <f ca="1">IF(ISERROR(F280),"",VLOOKUP(C280,INDIRECT($F$8),6+(O288-1)*3,0))</f>
        <v>Enroll No.</v>
      </c>
      <c r="B288" s="41">
        <f ca="1">IF(ISERROR(F280),"",VLOOKUP(D280,INDIRECT($F$8),6+(O288-1)*3,0))</f>
        <v>0</v>
      </c>
      <c r="C288" s="41"/>
      <c r="D288" s="41"/>
      <c r="E288" s="41"/>
      <c r="F288" s="7">
        <f ca="1">IF(ISERROR(F280),"",VLOOKUP(E280,INDIRECT($F$8),6+(O288-1)*3,0))</f>
        <v>0</v>
      </c>
      <c r="G288" s="42" t="str">
        <f ca="1">IF(ISERROR(F280),"",_xlfn.TEXTJOIN("/",FALSE,P288,S288))</f>
        <v>UTU/2406100171/0</v>
      </c>
      <c r="H288" s="42"/>
      <c r="I288" s="42" t="str">
        <f ca="1">IF(ISERROR(F280),"",_xlfn.TEXTJOIN("/",FALSE,Q288,T288))</f>
        <v>PRIYANSHU DHYANI/0</v>
      </c>
      <c r="J288" s="42"/>
      <c r="K288" s="42" t="str">
        <f ca="1">IF(ISERROR(F280),"",_xlfn.TEXTJOIN("/",FALSE,R288,U288))</f>
        <v>0/0</v>
      </c>
      <c r="L288" s="42"/>
      <c r="M288" s="7" t="b">
        <f ca="1">IF(ISERROR(F280),"",IF(ISTEXT(P288),IF(P288="A","Ab",IF(P288="D","Dt",IF(P288="UFM","UFM",IF(P288="NA","")))),IF(AND(ISBLANK(P288),ISBLANK(R288)),"",IF(P288&lt;0.3*S288,"F",IF(ISBLANK(R288),"",IF(ISTEXT(R288),R288,IF(R288&gt;=0.9*U288,"O",IF(R288&gt;=0.85*U288,"A+",IF(R288&gt;=0.8*U288,"A",IF(R288&gt;=0.7*U288,"B+",IF(R288&gt;=0.6*U288,"B",IF(R288&gt;=0.5*U288,"C",IF(R288&gt;=0.4*U288,"P",IF(R288&lt;0.4*U288,"F",R288))))))))))))))</f>
        <v>0</v>
      </c>
      <c r="N288" s="8" t="e">
        <f t="shared" ca="1" si="17"/>
        <v>#N/A</v>
      </c>
      <c r="O288" t="b" cm="1">
        <f t="array" aca="1" ref="O288" ca="1">IF(NOT(ISBLANK(INDIRECT("SEM_IV!R"&amp;INT((ROW(O288)-16)/16)+6))),5,IF(NOT(ISBLANK(INDIRECT("SEM_IV!U"&amp;INT((ROW(O288)-16)/16)+6))),6))</f>
        <v>0</v>
      </c>
      <c r="P288" s="1" t="str">
        <f ca="1">IF(ISERROR(F280),"",IF(ISTEXT(VLOOKUP(B280,INDIRECT($F$8),6+(O288-1)*3)),(VLOOKUP(B280,INDIRECT($F$8),6+(O288-1)*3)),SUM(VLOOKUP(B280,INDIRECT($F$8),6+(O288-1)*3),IF(W292,W288,0))))</f>
        <v>UTU/2406100171</v>
      </c>
      <c r="Q288" s="1" t="str">
        <f ca="1">IF(ISERROR(F280),"",VLOOKUP(B280,INDIRECT($F$8),7+(O288-1)*3))</f>
        <v>PRIYANSHU DHYANI</v>
      </c>
      <c r="R288" s="1">
        <f ca="1">IF(ISERROR(F280),"",SUM(P288:Q288))</f>
        <v>0</v>
      </c>
      <c r="S288" s="1">
        <f ca="1">IF(ISERROR(F280),"",VLOOKUP(A280,INDIRECT($F$8),6+(O288-1)*3))</f>
        <v>0</v>
      </c>
      <c r="T288" s="1">
        <f ca="1">IF(ISERROR(F280),"",VLOOKUP(A280,INDIRECT($F$8),7+(O288-1)*3))</f>
        <v>0</v>
      </c>
      <c r="U288" s="1">
        <f ca="1">IF(ISERROR(F280),"",VLOOKUP(A280,INDIRECT($F$8),8+(O288-1)*3))</f>
        <v>0</v>
      </c>
      <c r="V288" s="1" t="e">
        <f ca="1">IF(ISERROR(F280),"",IF(N288=0,A288,""))</f>
        <v>#N/A</v>
      </c>
      <c r="W288" s="1">
        <f ca="1">IF(ISERROR(F280),"",IF(ISTEXT(VLOOKUP(B280,INDIRECT($F$8),6+(O288-1)*3)),11,IF(VLOOKUP(B280,INDIRECT($F$8),6+(O288-1)*3)&lt;S288*0.3,IF(VLOOKUP(B280,INDIRECT($F$8),8+(O288-1)*3)&lt;U288*0.4,IF(AND(0.4*U288-VLOOKUP(B280,INDIRECT($F$8),8+(O288-1)*3)&lt;=5,0.3*S288-VLOOKUP(B280,INDIRECT($F$8),6+(O288-1)*3)&lt;=5),MAX(0.4*U288-VLOOKUP(B280,INDIRECT($F$8),8+(O288-1)*3),0.3*S288-VLOOKUP(B280,INDIRECT($F$8),6+(O288-1)*3)),11),IF(0.3*S288-VLOOKUP(B280,INDIRECT($F$8),6+(O288-1)*3)&lt;=5,0.3*S288-VLOOKUP(B280,INDIRECT($F$8),6+(O288-1)*3),11)),IF(VLOOKUP(B280,INDIRECT($F$8),8+(O288-1)*3)&lt;U288*0.4,IF(U288*0.4-VLOOKUP(B280,INDIRECT($F$8),8+(O288-1)*3)&lt;=5,U288*0.4-VLOOKUP(B280,INDIRECT($F$8),8+(O288-1)*3),11),0))))</f>
        <v>11</v>
      </c>
      <c r="X288" s="1" t="str">
        <f ca="1">IF(ISERROR(F280),"",IF(W288=0,"",_xlfn.TEXTJOIN("",FALSE," G+",W288," in ",A288)))</f>
        <v xml:space="preserve"> G+11 in Enroll No.</v>
      </c>
    </row>
    <row r="289" spans="1:24" ht="12.75" customHeight="1" x14ac:dyDescent="0.2">
      <c r="A289" s="7" t="str">
        <f ca="1">IF(ISERROR(F280),"",VLOOKUP(C280,INDIRECT($F$8),6+(O289-1)*3,0))</f>
        <v>CAP 011</v>
      </c>
      <c r="B289" s="41" t="str">
        <f ca="1">IF(ISERROR(F280),"",VLOOKUP(D280,INDIRECT($F$8),6+(O289-1)*3,0))</f>
        <v>Network Security Lab</v>
      </c>
      <c r="C289" s="41"/>
      <c r="D289" s="41"/>
      <c r="E289" s="41"/>
      <c r="F289" s="7">
        <f ca="1">IF(ISERROR(F280),"",VLOOKUP(E280,INDIRECT($F$8),6+(O289-1)*3,0))</f>
        <v>1</v>
      </c>
      <c r="G289" s="42" t="str">
        <f ca="1">IF(ISERROR(F280),"",_xlfn.TEXTJOIN("/",FALSE,P289,S289))</f>
        <v>0/30</v>
      </c>
      <c r="H289" s="42"/>
      <c r="I289" s="42" t="str">
        <f ca="1">IF(ISERROR(F280),"",_xlfn.TEXTJOIN("/",FALSE,Q289,T289))</f>
        <v>0/20</v>
      </c>
      <c r="J289" s="42"/>
      <c r="K289" s="42" t="str">
        <f ca="1">IF(ISERROR(F280),"",_xlfn.TEXTJOIN("/",FALSE,R289,U289))</f>
        <v>0/50</v>
      </c>
      <c r="L289" s="42"/>
      <c r="M289" s="7" t="str">
        <f ca="1">IF(ISERROR(F280),"",IF(ISTEXT(P289),IF(P289="A","Ab",IF(P289="D","Dt",IF(P289="UFM","UFM",IF(P289="NA","")))),IF(AND(ISBLANK(P289),ISBLANK(R289)),"",IF(P289&lt;0.3*S289,"F",IF(ISBLANK(R289),"",IF(ISTEXT(R289),R289,IF(R289&gt;=0.9*U289,"O",IF(R289&gt;=0.85*U289,"A+",IF(R289&gt;=0.8*U289,"A",IF(R289&gt;=0.7*U289,"B+",IF(R289&gt;=0.6*U289,"B",IF(R289&gt;=0.5*U289,"C",IF(R289&gt;=0.4*U289,"P",IF(R289&lt;0.4*U289,"F",R289))))))))))))))</f>
        <v>F</v>
      </c>
      <c r="N289" s="8">
        <f t="shared" ca="1" si="17"/>
        <v>0</v>
      </c>
      <c r="O289">
        <f ca="1">IF(O288&gt;0,7,"")</f>
        <v>7</v>
      </c>
      <c r="P289" s="1">
        <f ca="1">IF(ISERROR(F280),"",IF(ISTEXT(VLOOKUP(B280,INDIRECT($F$8),6+(O289-1)*3)),(VLOOKUP(B280,INDIRECT($F$8),6+(O289-1)*3)),SUM(VLOOKUP(B280,INDIRECT($F$8),6+(O289-1)*3),IF(W292,W289,0))))</f>
        <v>0</v>
      </c>
      <c r="Q289" s="1">
        <f ca="1">IF(ISERROR(F280),"",VLOOKUP(B280,INDIRECT($F$8),7+(O289-1)*3))</f>
        <v>0</v>
      </c>
      <c r="R289" s="1">
        <f ca="1">IF(ISERROR(F280),"",SUM(P289:Q289))</f>
        <v>0</v>
      </c>
      <c r="S289" s="1">
        <f ca="1">IF(ISERROR(F280),"",VLOOKUP(A280,INDIRECT($F$8),6+(O289-1)*3))</f>
        <v>30</v>
      </c>
      <c r="T289" s="1">
        <f ca="1">IF(ISERROR(F280),"",VLOOKUP(A280,INDIRECT($F$8),7+(O289-1)*3))</f>
        <v>20</v>
      </c>
      <c r="U289" s="1">
        <f ca="1">IF(ISERROR(F280),"",VLOOKUP(A280,INDIRECT($F$8),8+(O289-1)*3))</f>
        <v>50</v>
      </c>
      <c r="V289" s="1" t="str">
        <f ca="1">IF(ISERROR(F280),"",IF(N289=0,A289,""))</f>
        <v>CAP 011</v>
      </c>
      <c r="W289" s="1">
        <f ca="1">IF(ISERROR(F280),"",IF(ISTEXT(VLOOKUP(B280,INDIRECT($F$8),6+(O289-1)*3)),11,IF(VLOOKUP(B280,INDIRECT($F$8),6+(O289-1)*3)&lt;S289*0.3,IF(VLOOKUP(B280,INDIRECT($F$8),8+(O289-1)*3)&lt;U289*0.4,IF(AND(0.4*U289-VLOOKUP(B280,INDIRECT($F$8),8+(O289-1)*3)&lt;=5,0.3*S289-VLOOKUP(B280,INDIRECT($F$8),6+(O289-1)*3)&lt;=5),MAX(0.4*U289-VLOOKUP(B280,INDIRECT($F$8),8+(O289-1)*3),0.3*S289-VLOOKUP(B280,INDIRECT($F$8),6+(O289-1)*3)),11),IF(0.3*S289-VLOOKUP(B280,INDIRECT($F$8),6+(O289-1)*3)&lt;=5,0.3*S289-VLOOKUP(B280,INDIRECT($F$8),6+(O289-1)*3),11)),IF(VLOOKUP(B280,INDIRECT($F$8),8+(O289-1)*3)&lt;U289*0.4,IF(U289*0.4-VLOOKUP(B280,INDIRECT($F$8),8+(O289-1)*3)&lt;=5,U289*0.4-VLOOKUP(B280,INDIRECT($F$8),8+(O289-1)*3),11),0))))</f>
        <v>11</v>
      </c>
      <c r="X289" s="1" t="str">
        <f ca="1">IF(ISERROR(F280),"",IF(W289=0,"",_xlfn.TEXTJOIN("",FALSE," G+",W289," in ",A289)))</f>
        <v xml:space="preserve"> G+11 in CAP 011</v>
      </c>
    </row>
    <row r="290" spans="1:24" ht="12.75" customHeight="1" x14ac:dyDescent="0.2">
      <c r="A290" s="7" t="str">
        <f ca="1">IF(ISERROR(F280),"",VLOOKUP(C280,INDIRECT($F$8),6+(O290-1)*3,0))</f>
        <v>Enroll No.</v>
      </c>
      <c r="B290" s="41">
        <f ca="1">IF(ISERROR(F280),"",VLOOKUP(D280,INDIRECT($F$8),6+(O290-1)*3,0))</f>
        <v>0</v>
      </c>
      <c r="C290" s="41"/>
      <c r="D290" s="41"/>
      <c r="E290" s="41"/>
      <c r="F290" s="7">
        <f ca="1">IF(ISERROR(F280),"",VLOOKUP(E280,INDIRECT($F$8),6+(O290-1)*3,0))</f>
        <v>0</v>
      </c>
      <c r="G290" s="42" t="str">
        <f ca="1">IF(ISERROR(F280),"",_xlfn.TEXTJOIN("/",FALSE,P290,S290))</f>
        <v>UTU/2406100171/0</v>
      </c>
      <c r="H290" s="42"/>
      <c r="I290" s="42" t="str">
        <f ca="1">IF(ISERROR(F280),"",_xlfn.TEXTJOIN("/",FALSE,Q290,T290))</f>
        <v>PRIYANSHU DHYANI/0</v>
      </c>
      <c r="J290" s="42"/>
      <c r="K290" s="42" t="str">
        <f ca="1">IF(ISERROR(F280),"",_xlfn.TEXTJOIN("/",FALSE,R290,U290))</f>
        <v>0/0</v>
      </c>
      <c r="L290" s="42"/>
      <c r="M290" s="7" t="b">
        <f ca="1">IF(ISERROR(F280),"",IF(ISTEXT(P290),IF(P290="A","Ab",IF(P290="D","Dt",IF(P290="UFM","UFM",IF(P290="NA","")))),IF(AND(ISBLANK(P290),ISBLANK(R290)),"",IF(P290&lt;0.3*S290,"F",IF(ISBLANK(R290),"",IF(ISTEXT(R290),R290,IF(R290&gt;=0.9*U290,"O",IF(R290&gt;=0.85*U290,"A+",IF(R290&gt;=0.8*U290,"A",IF(R290&gt;=0.7*U290,"B+",IF(R290&gt;=0.6*U290,"B",IF(R290&gt;=0.5*U290,"C",IF(R290&gt;=0.4*U290,"P",IF(R290&lt;0.4*U290,"F",R290))))))))))))))</f>
        <v>0</v>
      </c>
      <c r="N290" s="8" t="e">
        <f t="shared" ca="1" si="17"/>
        <v>#N/A</v>
      </c>
      <c r="O290" t="b" cm="1">
        <f t="array" aca="1" ref="O290" ca="1">IF(NOT(ISBLANK(INDIRECT("SEM_IV!AA"&amp;INT((ROW(O290)-18)/16)+6))),8,IF(NOT(ISBLANK(INDIRECT("SEM_IV!AD"&amp;INT((ROW(O290)-18)/16)+6))),9))</f>
        <v>0</v>
      </c>
      <c r="P290" s="1" t="str">
        <f ca="1">IF(ISERROR(F280),"",IF(ISTEXT(VLOOKUP(B280,INDIRECT($F$8),6+(O290-1)*3)),(VLOOKUP(B280,INDIRECT($F$8),6+(O290-1)*3)),SUM(VLOOKUP(B280,INDIRECT($F$8),6+(O290-1)*3),IF(W292,W290,0))))</f>
        <v>UTU/2406100171</v>
      </c>
      <c r="Q290" s="1" t="str">
        <f ca="1">IF(ISERROR(F280),"",VLOOKUP(B280,INDIRECT($F$8),7+(O290-1)*3))</f>
        <v>PRIYANSHU DHYANI</v>
      </c>
      <c r="R290" s="1">
        <f ca="1">IF(ISERROR(F280),"",SUM(P290:Q290))</f>
        <v>0</v>
      </c>
      <c r="S290" s="1">
        <f ca="1">IF(ISERROR(F280),"",VLOOKUP(A280,INDIRECT($F$8),6+(O290-1)*3))</f>
        <v>0</v>
      </c>
      <c r="T290" s="1">
        <f ca="1">IF(ISERROR(F280),"",VLOOKUP(A280,INDIRECT($F$8),7+(O290-1)*3))</f>
        <v>0</v>
      </c>
      <c r="U290" s="1">
        <f ca="1">IF(ISERROR(F280),"",VLOOKUP(A280,INDIRECT($F$8),8+(O290-1)*3))</f>
        <v>0</v>
      </c>
      <c r="V290" s="1" t="e">
        <f ca="1">IF(ISERROR(F280),"",IF(N290=0,A290,""))</f>
        <v>#N/A</v>
      </c>
      <c r="W290" s="1">
        <f ca="1">IF(ISERROR(F280),"",IF(ISTEXT(VLOOKUP(B280,INDIRECT($F$8),6+(O290-1)*3)),11,IF(VLOOKUP(B280,INDIRECT($F$8),6+(O290-1)*3)&lt;S290*0.3,IF(VLOOKUP(B280,INDIRECT($F$8),8+(O290-1)*3)&lt;U290*0.4,IF(AND(0.4*U290-VLOOKUP(B280,INDIRECT($F$8),8+(O290-1)*3)&lt;=5,0.3*S290-VLOOKUP(B280,INDIRECT($F$8),6+(O290-1)*3)&lt;=5),MAX(0.4*U290-VLOOKUP(B280,INDIRECT($F$8),8+(O290-1)*3),0.3*S290-VLOOKUP(B280,INDIRECT($F$8),6+(O290-1)*3)),11),IF(0.3*S290-VLOOKUP(B280,INDIRECT($F$8),6+(O290-1)*3)&lt;=5,0.3*S290-VLOOKUP(B280,INDIRECT($F$8),6+(O290-1)*3),11)),IF(VLOOKUP(B280,INDIRECT($F$8),8+(O290-1)*3)&lt;U290*0.4,IF(U290*0.4-VLOOKUP(B280,INDIRECT($F$8),8+(O290-1)*3)&lt;=5,U290*0.4-VLOOKUP(B280,INDIRECT($F$8),8+(O290-1)*3),11),0))))</f>
        <v>11</v>
      </c>
      <c r="X290" s="1" t="str">
        <f ca="1">IF(ISERROR(F280),"",IF(W290=0,"",_xlfn.TEXTJOIN("",FALSE," G+",W290," in ",A290)))</f>
        <v xml:space="preserve"> G+11 in Enroll No.</v>
      </c>
    </row>
    <row r="291" spans="1:24" ht="12.75" customHeight="1" x14ac:dyDescent="0.2">
      <c r="A291" s="7" t="str">
        <f ca="1">IF(ISERROR(F280),"",VLOOKUP(C280,INDIRECT($F$8),6+(O291-1)*3,0))</f>
        <v>CAP 013</v>
      </c>
      <c r="B291" s="41" t="str">
        <f ca="1">IF(ISERROR(F280),"",VLOOKUP(D280,INDIRECT($F$8),6+(O291-1)*3-Z291,0))</f>
        <v>Major Project</v>
      </c>
      <c r="C291" s="41"/>
      <c r="D291" s="41"/>
      <c r="E291" s="41"/>
      <c r="F291" s="7">
        <f ca="1">IF(ISERROR(F280),"",VLOOKUP(E280,INDIRECT($F$8),6+(O291-1)*3,0))</f>
        <v>6</v>
      </c>
      <c r="G291" s="42" t="str">
        <f ca="1">IF(ISERROR(F280),"",_xlfn.TEXTJOIN("/",FALSE,P291,S291))</f>
        <v>0/200</v>
      </c>
      <c r="H291" s="42"/>
      <c r="I291" s="42" t="str">
        <f ca="1">IF(ISERROR(F280),"",_xlfn.TEXTJOIN("/",FALSE,Q291,T291))</f>
        <v>0/100</v>
      </c>
      <c r="J291" s="42"/>
      <c r="K291" s="42" t="str">
        <f ca="1">IF(ISERROR(F280),"",_xlfn.TEXTJOIN("/",FALSE,R291,U291))</f>
        <v>0/300</v>
      </c>
      <c r="L291" s="42"/>
      <c r="M291" s="7" t="str">
        <f ca="1">IF(ISERROR(F280),"",IF(ISTEXT(P291),IF(P291="A","Ab",IF(P291="D","Dt",IF(P291="UFM","UFM",IF(P291="NA","")))),IF(AND(ISBLANK(P291),ISBLANK(R291)),"",IF(P291&lt;0.3*S291,"F",IF(ISBLANK(R291),"",IF(ISTEXT(R291),R291,IF(R291&gt;=0.9*U291,"O",IF(R291&gt;=0.85*U291,"A+",IF(R291&gt;=0.8*U291,"A",IF(R291&gt;=0.7*U291,"B+",IF(R291&gt;=0.6*U291,"B",IF(R291&gt;=0.5*U291,"C",IF(R291&gt;=0.4*U291,"P",IF(R291&lt;0.4*U291,"F",R291))))))))))))))</f>
        <v>F</v>
      </c>
      <c r="N291" s="8">
        <f t="shared" ca="1" si="17"/>
        <v>0</v>
      </c>
      <c r="O291">
        <f ca="1">IF(O290&gt;0,10,"")</f>
        <v>10</v>
      </c>
      <c r="P291" s="1">
        <f ca="1">IF(ISERROR(F280),"",IF(ISTEXT(VLOOKUP(B280,INDIRECT($F$8),6+(O291-1)*3)),(VLOOKUP(B280,INDIRECT($F$8),6+(O291-1)*3)),SUM(VLOOKUP(B280,INDIRECT($F$8),6+(O291-1)*3),IF(W292,W291,0))))</f>
        <v>0</v>
      </c>
      <c r="Q291" s="1">
        <f ca="1">IF(ISERROR(F280),"",VLOOKUP(B280,INDIRECT($F$8),7+(O291-1)*3))</f>
        <v>0</v>
      </c>
      <c r="R291" s="1">
        <f ca="1">IF(ISERROR(F280),"",SUM(P291:Q291))</f>
        <v>0</v>
      </c>
      <c r="S291" s="1">
        <f ca="1">IF(ISERROR(F280),"",VLOOKUP(A280,INDIRECT($F$8),6+(O291-1)*3))</f>
        <v>200</v>
      </c>
      <c r="T291" s="1">
        <f ca="1">IF(ISERROR(F280),"",VLOOKUP(A280,INDIRECT($F$8),7+(O291-1)*3))</f>
        <v>100</v>
      </c>
      <c r="U291" s="1">
        <f ca="1">IF(ISERROR(F280),"",VLOOKUP(A280,INDIRECT($F$8),8+(O291-1)*3))</f>
        <v>300</v>
      </c>
      <c r="V291" s="1" t="str">
        <f ca="1">IF(ISERROR(F280),"",IF(N291=0,A291,""))</f>
        <v>CAP 013</v>
      </c>
      <c r="W291" s="1">
        <f ca="1">IF(ISERROR(F280),"",IF(ISTEXT(VLOOKUP(B280,INDIRECT($F$8),6+(O291-1)*3)),11,IF(VLOOKUP(B280,INDIRECT($F$8),6+(O291-1)*3)&lt;S291*0.3,IF(VLOOKUP(B280,INDIRECT($F$8),8+(O291-1)*3)&lt;U291*0.4,IF(AND(0.4*U291-VLOOKUP(B280,INDIRECT($F$8),8+(O291-1)*3)&lt;=5,0.3*S291-VLOOKUP(B280,INDIRECT($F$8),6+(O291-1)*3)&lt;=5),MAX(0.4*U291-VLOOKUP(B280,INDIRECT($F$8),8+(O291-1)*3),0.3*S291-VLOOKUP(B280,INDIRECT($F$8),6+(O291-1)*3)),11),IF(0.3*S291-VLOOKUP(B280,INDIRECT($F$8),6+(O291-1)*3)&lt;=5,0.3*S291-VLOOKUP(B280,INDIRECT($F$8),6+(O291-1)*3),11)),IF(VLOOKUP(B280,INDIRECT($F$8),8+(O291-1)*3)&lt;U291*0.4,IF(U291*0.4-VLOOKUP(B280,INDIRECT($F$8),8+(O291-1)*3)&lt;=5,U291*0.4-VLOOKUP(B280,INDIRECT($F$8),8+(O291-1)*3),11),0))))</f>
        <v>11</v>
      </c>
      <c r="X291" s="1" t="str">
        <f ca="1">IF(ISERROR(F280),"",IF(W291=0,"",_xlfn.TEXTJOIN("",FALSE," G+",W291," in ",A291)))</f>
        <v xml:space="preserve"> G+11 in CAP 013</v>
      </c>
    </row>
    <row r="292" spans="1:24" ht="12.75" customHeight="1" x14ac:dyDescent="0.2">
      <c r="A292" s="43" t="str">
        <f ca="1">IF(ISERROR(F280),"",A276)</f>
        <v>Total Credits/ Marks/ Total Grade Points</v>
      </c>
      <c r="B292" s="43"/>
      <c r="C292" s="43"/>
      <c r="D292" s="43"/>
      <c r="E292" s="43"/>
      <c r="F292" s="10">
        <f ca="1">IF(ISERROR(F280),"",SUM(F285:F291))</f>
        <v>15</v>
      </c>
      <c r="G292" s="44" t="str">
        <f ca="1">IF(ISERROR(F280),"",_xlfn.TEXTJOIN("/",TRUE,SUMIF(F285:F291,"&gt;0",P285:P291),SUMIF(F285:F291,"&gt;0",S285:S291)))</f>
        <v>0/430</v>
      </c>
      <c r="H292" s="44"/>
      <c r="I292" s="44" t="str">
        <f ca="1">IF(ISERROR(F280),"",_xlfn.TEXTJOIN("/",TRUE,SUMIF(F285:F291,"&gt;0",Q285:Q291),SUMIF(F285:F291,"&gt;0",T285:T291)))</f>
        <v>0/220</v>
      </c>
      <c r="J292" s="44"/>
      <c r="K292" s="44" t="str">
        <f ca="1">IF(ISERROR(F280),"",_xlfn.TEXTJOIN("/",TRUE,SUMIF(F285:F291,"&gt;0",R285:R291),SUMIF(F285:F291,"&gt;0",U285:U291)))</f>
        <v>0/650</v>
      </c>
      <c r="L292" s="44"/>
      <c r="M292" s="43" t="e">
        <f ca="1">IF(ISERROR(F280),"",SUMPRODUCT(N285:N291,F285:F291))</f>
        <v>#N/A</v>
      </c>
      <c r="N292" s="43"/>
      <c r="V292" s="1" t="e">
        <f ca="1">IF(ISERROR(F280),"",_xlfn.TEXTJOIN(", ",TRUE,V285:V291))</f>
        <v>#N/A</v>
      </c>
      <c r="W292" t="b">
        <f ca="1">IF(ISERROR(F280),"",IF(SUM(W285:W291)&lt;=W284,TRUE,FALSE))</f>
        <v>0</v>
      </c>
      <c r="X292" s="1" t="str">
        <f ca="1">IF(ISERROR(F280),"",_xlfn.TEXTJOIN(",",TRUE,X285:X291))</f>
        <v xml:space="preserve"> G+11 in CAT 022, G+11 in Enroll No., G+11 in CAT 030, G+11 in Enroll No., G+11 in CAP 011, G+11 in Enroll No., G+11 in CAP 013</v>
      </c>
    </row>
    <row r="293" spans="1:24" ht="12.75" customHeight="1" x14ac:dyDescent="0.2">
      <c r="A293" s="43" t="str">
        <f ca="1">IF(ISERROR(F280),"",A277)</f>
        <v>Result:</v>
      </c>
      <c r="B293" s="45" t="e">
        <f ca="1">IF(ISERROR(F280),"",IF(V292="","PASS","CARRY OVER"))</f>
        <v>#N/A</v>
      </c>
      <c r="C293" s="45"/>
      <c r="D293" s="43" t="str">
        <f ca="1">IF(ISERROR(F280),"",D277)</f>
        <v>Remark:</v>
      </c>
      <c r="E293" s="45" t="e">
        <f ca="1">IF(ISERROR(F280),"",IF(V292="",IF(X292="","",X292),_xlfn.TEXTJOIN(" ",TRUE,"BACK IN",V292)))</f>
        <v>#N/A</v>
      </c>
      <c r="F293" s="45"/>
      <c r="G293" s="43" t="str">
        <f ca="1">IF(ISERROR(F280),"",G277)</f>
        <v>SGPA:</v>
      </c>
      <c r="H293" s="46" t="e">
        <f ca="1">IF(ISERROR(F280),"",M292/F292)</f>
        <v>#N/A</v>
      </c>
      <c r="I293" s="43" t="str">
        <f ca="1">IF(ISERROR(F280),"",I277)</f>
        <v>CGPA:</v>
      </c>
      <c r="J293" s="46" t="e">
        <f ca="1">IF(ISERROR(F280),"",VLOOKUP(B280,INDIRECT($F$8),12+(O291-1)*3,0))</f>
        <v>#N/A</v>
      </c>
      <c r="K293" s="45" t="str">
        <f ca="1">IF(ISERROR(F280),"",K277)</f>
        <v>Earned Credits:</v>
      </c>
      <c r="L293" s="43">
        <f ca="1">IF(ISERROR(F280),"",SUMIF(N285:N291,"&gt;0",F285:F291))</f>
        <v>0</v>
      </c>
      <c r="M293" s="45" t="str">
        <f ca="1">IF(ISERROR(F280),"",M277)</f>
        <v>Cuml. Earned Credits:</v>
      </c>
      <c r="N293" s="43" t="e">
        <f ca="1">IF(ISERROR(F280),"",VLOOKUP(B280,INDIRECT($F$8),10+(O291-1)*3,0))</f>
        <v>#N/A</v>
      </c>
    </row>
    <row r="294" spans="1:24" ht="12.75" customHeight="1" x14ac:dyDescent="0.2">
      <c r="A294" s="43"/>
      <c r="B294" s="45"/>
      <c r="C294" s="45"/>
      <c r="D294" s="43"/>
      <c r="E294" s="45"/>
      <c r="F294" s="45"/>
      <c r="G294" s="43"/>
      <c r="H294" s="46"/>
      <c r="I294" s="43"/>
      <c r="J294" s="46"/>
      <c r="K294" s="45"/>
      <c r="L294" s="43"/>
      <c r="M294" s="45"/>
      <c r="N294" s="43"/>
    </row>
    <row r="295" spans="1:24" ht="12.75" customHeight="1" x14ac:dyDescent="0.2">
      <c r="A295" s="43"/>
      <c r="B295" s="45"/>
      <c r="C295" s="45"/>
      <c r="D295" s="43"/>
      <c r="E295" s="45"/>
      <c r="F295" s="45"/>
      <c r="G295" s="43"/>
      <c r="H295" s="46"/>
      <c r="I295" s="43"/>
      <c r="J295" s="46"/>
      <c r="K295" s="45"/>
      <c r="L295" s="43"/>
      <c r="M295" s="45"/>
      <c r="N295" s="43"/>
    </row>
    <row r="296" spans="1:24" ht="12.75" customHeight="1" x14ac:dyDescent="0.2">
      <c r="A296" s="11" t="str">
        <f>A280</f>
        <v>MM</v>
      </c>
      <c r="B296" s="11">
        <f>B280+1</f>
        <v>19</v>
      </c>
      <c r="C296" s="11" t="str">
        <f>C280</f>
        <v>SC</v>
      </c>
      <c r="D296" s="11" t="str">
        <f>D280</f>
        <v>SN</v>
      </c>
      <c r="E296" s="11" t="str">
        <f>E280</f>
        <v>C</v>
      </c>
      <c r="F296" s="11" t="str">
        <f ca="1">VLOOKUP(B296,INDIRECT($F$8),4,0)</f>
        <v>SEJAL SINGH</v>
      </c>
    </row>
    <row r="297" spans="1:24" ht="12.75" customHeight="1" x14ac:dyDescent="0.2">
      <c r="A297" s="47" t="str">
        <f ca="1">IF(ISERROR(F296),"",A281)</f>
        <v>Name:</v>
      </c>
      <c r="B297" s="47" t="str">
        <f ca="1">IFERROR(VLOOKUP(B296,INDIRECT($F$8),4,0),"")</f>
        <v>SEJAL SINGH</v>
      </c>
      <c r="C297" s="47"/>
      <c r="D297" s="47" t="str">
        <f ca="1">IF(ISERROR(F296),"",D281)</f>
        <v>Father's Name:</v>
      </c>
      <c r="E297" s="47" t="str">
        <f ca="1">IFERROR(VLOOKUP(B296,INDIRECT($F$8),5,0),"")</f>
        <v>SHEESH RAM SINGH</v>
      </c>
      <c r="F297" s="47"/>
      <c r="G297" s="47" t="str">
        <f ca="1">IF(ISERROR(F296),"",G281)</f>
        <v>University Roll No:</v>
      </c>
      <c r="H297" s="47"/>
      <c r="I297" s="48">
        <f ca="1">IFERROR(VLOOKUP(B296,INDIRECT($F$8),2,0),"")</f>
        <v>240090600019</v>
      </c>
      <c r="J297" s="48"/>
      <c r="K297" s="47" t="str">
        <f ca="1">IF(ISERROR(F296),"",K281)</f>
        <v>University Enrol. No:</v>
      </c>
      <c r="L297" s="47"/>
      <c r="M297" s="48" t="str">
        <f ca="1">IFERROR(VLOOKUP(B296,INDIRECT($F$8),3,0),"")</f>
        <v>UTU/2406100169</v>
      </c>
      <c r="N297" s="48"/>
    </row>
    <row r="298" spans="1:24" ht="12.75" customHeight="1" x14ac:dyDescent="0.2">
      <c r="A298" s="47"/>
      <c r="B298" s="47"/>
      <c r="C298" s="47"/>
      <c r="D298" s="47"/>
      <c r="E298" s="47"/>
      <c r="F298" s="47"/>
      <c r="G298" s="47"/>
      <c r="H298" s="47"/>
      <c r="I298" s="48"/>
      <c r="J298" s="48"/>
      <c r="K298" s="47"/>
      <c r="L298" s="47"/>
      <c r="M298" s="48"/>
      <c r="N298" s="48"/>
    </row>
    <row r="299" spans="1:24" ht="12.75" customHeight="1" x14ac:dyDescent="0.2">
      <c r="A299" s="45" t="str">
        <f ca="1">IF(ISERROR(F296),"",A283)</f>
        <v>Subject Code</v>
      </c>
      <c r="B299" s="45" t="str">
        <f ca="1">IF(ISERROR(F296),"",B283)</f>
        <v>Subject Name</v>
      </c>
      <c r="C299" s="45"/>
      <c r="D299" s="45"/>
      <c r="E299" s="45"/>
      <c r="F299" s="45" t="str">
        <f ca="1">IF(ISERROR(F296),"",F283)</f>
        <v>Credits</v>
      </c>
      <c r="G299" s="45" t="str">
        <f ca="1">IF(ISERROR(F296),"",G283)</f>
        <v>External Marks</v>
      </c>
      <c r="H299" s="45"/>
      <c r="I299" s="45" t="str">
        <f ca="1">IF(ISERROR(F296),"",I283)</f>
        <v>Sessional Marks</v>
      </c>
      <c r="J299" s="45"/>
      <c r="K299" s="45" t="str">
        <f ca="1">IF(ISERROR(F296),"",K283)</f>
        <v>Total Marks</v>
      </c>
      <c r="L299" s="45"/>
      <c r="M299" s="45" t="str">
        <f ca="1">IF(ISERROR(F296),"",M283)</f>
        <v>Grade</v>
      </c>
      <c r="N299" s="45" t="str">
        <f ca="1">IF(ISERROR(F296),"",N283)</f>
        <v>Grade Points</v>
      </c>
    </row>
    <row r="300" spans="1:24" ht="12.75" customHeight="1" x14ac:dyDescent="0.2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W300">
        <f ca="1">IF(ISNUMBER(MATCH($F$8,{"I","III","V","VII"},0)),10,10-INDEX(INDIRECT(_xlfn.TEXTJOIN("",TRUE,"SEM_",$G$8,"!",ADDRESS(6,4+$I$8*3+4),":",ADDRESS(5+$H$8,4+$I$8*3+4))),MATCH(INDIRECT(_xlfn.TEXTJOIN("",TRUE,"TC_",$F$8,"!",ADDRESS(ROW(I297),COLUMN(I297)))),INDIRECT(_xlfn.TEXTJOIN("",TRUE,"SEM_",$G$8,"!",ADDRESS(6,2),":",ADDRESS(5+$H$8,2))))))</f>
        <v>10</v>
      </c>
    </row>
    <row r="301" spans="1:24" ht="12.75" customHeight="1" x14ac:dyDescent="0.2">
      <c r="A301" s="7" t="str">
        <f ca="1">IF(ISERROR(F296),"",VLOOKUP(C296,INDIRECT($F$8),6+(O301-1)*3,0))</f>
        <v>CAT 022</v>
      </c>
      <c r="B301" s="41" t="str">
        <f ca="1">IF(ISERROR(F296),"",VLOOKUP(D296,INDIRECT($F$8),6+(O301-1)*3,0))</f>
        <v>Network Security</v>
      </c>
      <c r="C301" s="41"/>
      <c r="D301" s="41"/>
      <c r="E301" s="41"/>
      <c r="F301" s="7">
        <f ca="1">IF(ISERROR(F296),"",VLOOKUP(E296,INDIRECT($F$8),6+(O301-1)*3,0))</f>
        <v>4</v>
      </c>
      <c r="G301" s="42" t="str">
        <f ca="1">IF(ISERROR(F296),"",_xlfn.TEXTJOIN("/",FALSE,P301,S301))</f>
        <v>0/100</v>
      </c>
      <c r="H301" s="42"/>
      <c r="I301" s="42" t="str">
        <f ca="1">IF(ISERROR(F296),"",_xlfn.TEXTJOIN("/",FALSE,Q301,T301))</f>
        <v>0/50</v>
      </c>
      <c r="J301" s="42"/>
      <c r="K301" s="42" t="str">
        <f ca="1">IF(ISERROR(F296),"",_xlfn.TEXTJOIN("/",FALSE,R301,U301))</f>
        <v>0/150</v>
      </c>
      <c r="L301" s="42"/>
      <c r="M301" s="7" t="str">
        <f ca="1">IF(ISERROR(F296),"",IF(ISTEXT(P301),IF(P301="A","Ab",IF(P301="D","Dt",IF(P301="UFM","UFM",IF(P301="NA","")))),IF(AND(ISBLANK(P301),ISBLANK(R301)),"",IF(P301&lt;0.3*S301,"F",IF(ISBLANK(R301),"",IF(ISTEXT(R301),R301,IF(R301&gt;=0.9*U301,"O",IF(R301&gt;=0.85*U301,"A+",IF(R301&gt;=0.8*U301,"A",IF(R301&gt;=0.7*U301,"B+",IF(R301&gt;=0.6*U301,"B",IF(R301&gt;=0.5*U301,"C",IF(R301&gt;=0.4*U301,"P",IF(R301&lt;0.4*U301,"F",R301))))))))))))))</f>
        <v>F</v>
      </c>
      <c r="N301" s="8">
        <f t="shared" ref="N301:N307" ca="1" si="18">INDEX($Z$2:$Z$13,MATCH(M301,$Y$2:$Y$13,0))</f>
        <v>0</v>
      </c>
      <c r="O301">
        <v>1</v>
      </c>
      <c r="P301" s="1">
        <f ca="1">IF(ISERROR(F296),"",IF(ISTEXT(VLOOKUP(B296,INDIRECT($F$8),6+(O301-1)*3)),(VLOOKUP(B296,INDIRECT($F$8),6+(O301-1)*3)),SUM(VLOOKUP(B296,INDIRECT($F$8),6+(O301-1)*3),IF(W308,W301,0))))</f>
        <v>0</v>
      </c>
      <c r="Q301" s="1">
        <f ca="1">IF(ISERROR(F296),"",VLOOKUP(B296,INDIRECT($F$8),7+(O301-1)*3))</f>
        <v>0</v>
      </c>
      <c r="R301" s="1">
        <f ca="1">IF(ISERROR(F296),"",SUM(P301:Q301))</f>
        <v>0</v>
      </c>
      <c r="S301" s="1">
        <f ca="1">IF(ISERROR(F296),"",VLOOKUP(A296,INDIRECT($F$8),6+(O301-1)*3))</f>
        <v>100</v>
      </c>
      <c r="T301" s="1">
        <f ca="1">IF(ISERROR(F296),"",VLOOKUP(A296,INDIRECT($F$8),7+(O301-1)*3))</f>
        <v>50</v>
      </c>
      <c r="U301" s="1">
        <f ca="1">IF(ISERROR(F296),"",VLOOKUP(A296,INDIRECT($F$8),8+(O301-1)*3))</f>
        <v>150</v>
      </c>
      <c r="V301" s="1" t="str">
        <f ca="1">IF(ISERROR(F296),"",IF(N301=0,A301,""))</f>
        <v>CAT 022</v>
      </c>
      <c r="W301" s="1">
        <f ca="1">IF(ISERROR(F296),"",IF(ISTEXT(VLOOKUP(B296,INDIRECT($F$8),6+(O301-1)*3)),11,IF(VLOOKUP(B296,INDIRECT($F$8),6+(O301-1)*3)&lt;S301*0.3,IF(VLOOKUP(B296,INDIRECT($F$8),8+(O301-1)*3)&lt;U301*0.4,IF(AND(0.4*U301-VLOOKUP(B296,INDIRECT($F$8),8+(O301-1)*3)&lt;=5,0.3*S301-VLOOKUP(B296,INDIRECT($F$8),6+(O301-1)*3)&lt;=5),MAX(0.4*U301-VLOOKUP(B296,INDIRECT($F$8),8+(O301-1)*3),0.3*S301-VLOOKUP(B296,INDIRECT($F$8),6+(O301-1)*3)),11),IF(0.3*S301-VLOOKUP(B296,INDIRECT($F$8),6+(O301-1)*3)&lt;=5,0.3*S301-VLOOKUP(B296,INDIRECT($F$8),6+(O301-1)*3),11)),IF(VLOOKUP(B296,INDIRECT($F$8),8+(O301-1)*3)&lt;U301*0.4,IF(U301*0.4-VLOOKUP(B296,INDIRECT($F$8),8+(O301-1)*3)&lt;=5,U301*0.4-VLOOKUP(B296,INDIRECT($F$8),8+(O301-1)*3),11),0))))</f>
        <v>11</v>
      </c>
      <c r="X301" s="1" t="str">
        <f ca="1">IF(ISERROR(F296),"",IF(W301=0,"",_xlfn.TEXTJOIN("",FALSE," G+",W301," in ",A301)))</f>
        <v xml:space="preserve"> G+11 in CAT 022</v>
      </c>
    </row>
    <row r="302" spans="1:24" ht="12.75" customHeight="1" x14ac:dyDescent="0.2">
      <c r="A302" s="7" t="str">
        <f ca="1">IF(ISERROR(F296),"",VLOOKUP(C296,INDIRECT($F$8),6+(O302-1)*3,0))</f>
        <v>Enroll No.</v>
      </c>
      <c r="B302" s="41">
        <f ca="1">IF(ISERROR(F296),"",VLOOKUP(D296,INDIRECT($F$8),6+(O302-1)*3,0))</f>
        <v>0</v>
      </c>
      <c r="C302" s="41"/>
      <c r="D302" s="41"/>
      <c r="E302" s="41"/>
      <c r="F302" s="7">
        <f ca="1">IF(ISERROR(F296),"",VLOOKUP(E296,INDIRECT($F$8),6+(O302-1)*3,0))</f>
        <v>0</v>
      </c>
      <c r="G302" s="42" t="str">
        <f ca="1">IF(ISERROR(F296),"",_xlfn.TEXTJOIN("/",FALSE,P302,S302))</f>
        <v>UTU/2406100169/0</v>
      </c>
      <c r="H302" s="42"/>
      <c r="I302" s="42" t="str">
        <f ca="1">IF(ISERROR(F296),"",_xlfn.TEXTJOIN("/",FALSE,Q302,T302))</f>
        <v>SEJAL SINGH/0</v>
      </c>
      <c r="J302" s="42"/>
      <c r="K302" s="42" t="str">
        <f ca="1">IF(ISERROR(F296),"",_xlfn.TEXTJOIN("/",FALSE,R302,U302))</f>
        <v>0/0</v>
      </c>
      <c r="L302" s="42"/>
      <c r="M302" s="7" t="b">
        <f ca="1">IF(ISERROR(F296),"",IF(ISTEXT(P302),IF(P302="A","Ab",IF(P302="D","Dt",IF(P302="UFM","UFM",IF(P302="NA","")))),IF(AND(ISBLANK(P302),ISBLANK(R302)),"",IF(P302&lt;0.3*S302,"F",IF(ISBLANK(R302),"",IF(ISTEXT(R302),R302,IF(R302&gt;=0.9*U302,"O",IF(R302&gt;=0.85*U302,"A+",IF(R302&gt;=0.8*U302,"A",IF(R302&gt;=0.7*U302,"B+",IF(R302&gt;=0.6*U302,"B",IF(R302&gt;=0.5*U302,"C",IF(R302&gt;=0.4*U302,"P",IF(R302&lt;0.4*U302,"F",R302))))))))))))))</f>
        <v>0</v>
      </c>
      <c r="N302" s="8" t="e">
        <f t="shared" ca="1" si="18"/>
        <v>#N/A</v>
      </c>
      <c r="O302" t="b" cm="1">
        <f t="array" aca="1" ref="O302" ca="1">IF(NOT(ISBLANK(INDIRECT("SEM_IV!I"&amp;INT((ROW(O302)-14)/16)+6))),2,IF(NOT(ISBLANK(INDIRECT("SEM_IV!L"&amp;INT((ROW(O302)-14)/16)+6))),3))</f>
        <v>0</v>
      </c>
      <c r="P302" s="1" t="str">
        <f ca="1">IF(ISERROR(F296),"",IF(ISTEXT(VLOOKUP(B296,INDIRECT($F$8),6+(O302-1)*3)),(VLOOKUP(B296,INDIRECT($F$8),6+(O302-1)*3)),SUM(VLOOKUP(B296,INDIRECT($F$8),6+(O302-1)*3),IF(W308,W302,0))))</f>
        <v>UTU/2406100169</v>
      </c>
      <c r="Q302" s="1" t="str">
        <f ca="1">IF(ISERROR(F296),"",VLOOKUP(B296,INDIRECT($F$8),7+(O302-1)*3))</f>
        <v>SEJAL SINGH</v>
      </c>
      <c r="R302" s="1">
        <f ca="1">IF(ISERROR(F296),"",SUM(P302:Q302))</f>
        <v>0</v>
      </c>
      <c r="S302" s="1">
        <f ca="1">IF(ISERROR(F296),"",VLOOKUP(A296,INDIRECT($F$8),6+(O302-1)*3))</f>
        <v>0</v>
      </c>
      <c r="T302" s="1">
        <f ca="1">IF(ISERROR(F296),"",VLOOKUP(A296,INDIRECT($F$8),7+(O302-1)*3))</f>
        <v>0</v>
      </c>
      <c r="U302" s="1">
        <f ca="1">IF(ISERROR(F296),"",VLOOKUP(A296,INDIRECT($F$8),8+(O302-1)*3))</f>
        <v>0</v>
      </c>
      <c r="V302" s="1" t="e">
        <f ca="1">IF(ISERROR(F296),"",IF(N302=0,A302,""))</f>
        <v>#N/A</v>
      </c>
      <c r="W302" s="1">
        <f ca="1">IF(ISERROR(F296),"",IF(ISTEXT(VLOOKUP(B296,INDIRECT($F$8),6+(O302-1)*3)),11,IF(VLOOKUP(B296,INDIRECT($F$8),6+(O302-1)*3)&lt;S302*0.3,IF(VLOOKUP(B296,INDIRECT($F$8),8+(O302-1)*3)&lt;U302*0.4,IF(AND(0.4*U302-VLOOKUP(B296,INDIRECT($F$8),8+(O302-1)*3)&lt;=5,0.3*S302-VLOOKUP(B296,INDIRECT($F$8),6+(O302-1)*3)&lt;=5),MAX(0.4*U302-VLOOKUP(B296,INDIRECT($F$8),8+(O302-1)*3),0.3*S302-VLOOKUP(B296,INDIRECT($F$8),6+(O302-1)*3)),11),IF(0.3*S302-VLOOKUP(B296,INDIRECT($F$8),6+(O302-1)*3)&lt;=5,0.3*S302-VLOOKUP(B296,INDIRECT($F$8),6+(O302-1)*3),11)),IF(VLOOKUP(B296,INDIRECT($F$8),8+(O302-1)*3)&lt;U302*0.4,IF(U302*0.4-VLOOKUP(B296,INDIRECT($F$8),8+(O302-1)*3)&lt;=5,U302*0.4-VLOOKUP(B296,INDIRECT($F$8),8+(O302-1)*3),11),0))))</f>
        <v>11</v>
      </c>
      <c r="X302" s="1" t="str">
        <f ca="1">IF(ISERROR(F296),"",IF(W302=0,"",_xlfn.TEXTJOIN("",FALSE," G+",W302," in ",A302)))</f>
        <v xml:space="preserve"> G+11 in Enroll No.</v>
      </c>
    </row>
    <row r="303" spans="1:24" ht="12.75" customHeight="1" x14ac:dyDescent="0.2">
      <c r="A303" s="7" t="str">
        <f ca="1">IF(ISERROR(F296),"",VLOOKUP(C296,INDIRECT($F$8),6+(O303-1)*3,0))</f>
        <v>CAT 030</v>
      </c>
      <c r="B303" s="41" t="str">
        <f ca="1">IF(ISERROR(F296),"",VLOOKUP(D296,INDIRECT($F$8),6+(O303-1)*3,0))</f>
        <v>Software Testing &amp; Quality Assurance</v>
      </c>
      <c r="C303" s="41"/>
      <c r="D303" s="41"/>
      <c r="E303" s="41"/>
      <c r="F303" s="7">
        <f ca="1">IF(ISERROR(F296),"",VLOOKUP(E296,INDIRECT($F$8),6+(O303-1)*3,0))</f>
        <v>4</v>
      </c>
      <c r="G303" s="42" t="str">
        <f ca="1">IF(ISERROR(F296),"",_xlfn.TEXTJOIN("/",FALSE,P303,S303))</f>
        <v>0/100</v>
      </c>
      <c r="H303" s="42"/>
      <c r="I303" s="42" t="str">
        <f ca="1">IF(ISERROR(F296),"",_xlfn.TEXTJOIN("/",FALSE,Q303,T303))</f>
        <v>0/50</v>
      </c>
      <c r="J303" s="42"/>
      <c r="K303" s="42" t="str">
        <f ca="1">IF(ISERROR(F296),"",_xlfn.TEXTJOIN("/",FALSE,R303,U303))</f>
        <v>0/150</v>
      </c>
      <c r="L303" s="42"/>
      <c r="M303" s="7" t="str">
        <f ca="1">IF(ISERROR(F296),"",IF(ISTEXT(P303),IF(P303="A","Ab",IF(P303="D","Dt",IF(P303="UFM","UFM",IF(P303="NA","")))),IF(AND(ISBLANK(P303),ISBLANK(R303)),"",IF(P303&lt;0.3*S303,"F",IF(ISBLANK(R303),"",IF(ISTEXT(R303),R303,IF(R303&gt;=0.9*U303,"O",IF(R303&gt;=0.85*U303,"A+",IF(R303&gt;=0.8*U303,"A",IF(R303&gt;=0.7*U303,"B+",IF(R303&gt;=0.6*U303,"B",IF(R303&gt;=0.5*U303,"C",IF(R303&gt;=0.4*U303,"P",IF(R303&lt;0.4*U303,"F",R303))))))))))))))</f>
        <v>F</v>
      </c>
      <c r="N303" s="8">
        <f t="shared" ca="1" si="18"/>
        <v>0</v>
      </c>
      <c r="O303">
        <f ca="1">IF(O302&gt;0,4,"")</f>
        <v>4</v>
      </c>
      <c r="P303" s="1">
        <f ca="1">IF(ISERROR(F296),"",IF(ISTEXT(VLOOKUP(B296,INDIRECT($F$8),6+(O303-1)*3)),(VLOOKUP(B296,INDIRECT($F$8),6+(O303-1)*3)),SUM(VLOOKUP(B296,INDIRECT($F$8),6+(O303-1)*3),IF(W308,W303,0))))</f>
        <v>0</v>
      </c>
      <c r="Q303" s="1">
        <f ca="1">IF(ISERROR(F296),"",VLOOKUP(B296,INDIRECT($F$8),7+(O303-1)*3))</f>
        <v>0</v>
      </c>
      <c r="R303" s="1">
        <f ca="1">IF(ISERROR(F296),"",SUM(P303:Q303))</f>
        <v>0</v>
      </c>
      <c r="S303" s="1">
        <f ca="1">IF(ISERROR(F296),"",VLOOKUP(A296,INDIRECT($F$8),6+(O303-1)*3))</f>
        <v>100</v>
      </c>
      <c r="T303" s="1">
        <f ca="1">IF(ISERROR(F296),"",VLOOKUP(A296,INDIRECT($F$8),7+(O303-1)*3))</f>
        <v>50</v>
      </c>
      <c r="U303" s="1">
        <f ca="1">IF(ISERROR(F296),"",VLOOKUP(A296,INDIRECT($F$8),8+(O303-1)*3))</f>
        <v>150</v>
      </c>
      <c r="V303" s="1" t="str">
        <f ca="1">IF(ISERROR(F296),"",IF(N303=0,A303,""))</f>
        <v>CAT 030</v>
      </c>
      <c r="W303" s="1">
        <f ca="1">IF(ISERROR(F296),"",IF(ISTEXT(VLOOKUP(B296,INDIRECT($F$8),6+(O303-1)*3)),11,IF(VLOOKUP(B296,INDIRECT($F$8),6+(O303-1)*3)&lt;S303*0.3,IF(VLOOKUP(B296,INDIRECT($F$8),8+(O303-1)*3)&lt;U303*0.4,IF(AND(0.4*U303-VLOOKUP(B296,INDIRECT($F$8),8+(O303-1)*3)&lt;=5,0.3*S303-VLOOKUP(B296,INDIRECT($F$8),6+(O303-1)*3)&lt;=5),MAX(0.4*U303-VLOOKUP(B296,INDIRECT($F$8),8+(O303-1)*3),0.3*S303-VLOOKUP(B296,INDIRECT($F$8),6+(O303-1)*3)),11),IF(0.3*S303-VLOOKUP(B296,INDIRECT($F$8),6+(O303-1)*3)&lt;=5,0.3*S303-VLOOKUP(B296,INDIRECT($F$8),6+(O303-1)*3),11)),IF(VLOOKUP(B296,INDIRECT($F$8),8+(O303-1)*3)&lt;U303*0.4,IF(U303*0.4-VLOOKUP(B296,INDIRECT($F$8),8+(O303-1)*3)&lt;=5,U303*0.4-VLOOKUP(B296,INDIRECT($F$8),8+(O303-1)*3),11),0))))</f>
        <v>11</v>
      </c>
      <c r="X303" s="1" t="str">
        <f ca="1">IF(ISERROR(F296),"",IF(W303=0,"",_xlfn.TEXTJOIN("",FALSE," G+",W303," in ",A303)))</f>
        <v xml:space="preserve"> G+11 in CAT 030</v>
      </c>
    </row>
    <row r="304" spans="1:24" ht="12.75" customHeight="1" x14ac:dyDescent="0.2">
      <c r="A304" s="7" t="str">
        <f ca="1">IF(ISERROR(F296),"",VLOOKUP(C296,INDIRECT($F$8),6+(O304-1)*3,0))</f>
        <v>Enroll No.</v>
      </c>
      <c r="B304" s="41">
        <f ca="1">IF(ISERROR(F296),"",VLOOKUP(D296,INDIRECT($F$8),6+(O304-1)*3,0))</f>
        <v>0</v>
      </c>
      <c r="C304" s="41"/>
      <c r="D304" s="41"/>
      <c r="E304" s="41"/>
      <c r="F304" s="7">
        <f ca="1">IF(ISERROR(F296),"",VLOOKUP(E296,INDIRECT($F$8),6+(O304-1)*3,0))</f>
        <v>0</v>
      </c>
      <c r="G304" s="42" t="str">
        <f ca="1">IF(ISERROR(F296),"",_xlfn.TEXTJOIN("/",FALSE,P304,S304))</f>
        <v>UTU/2406100169/0</v>
      </c>
      <c r="H304" s="42"/>
      <c r="I304" s="42" t="str">
        <f ca="1">IF(ISERROR(F296),"",_xlfn.TEXTJOIN("/",FALSE,Q304,T304))</f>
        <v>SEJAL SINGH/0</v>
      </c>
      <c r="J304" s="42"/>
      <c r="K304" s="42" t="str">
        <f ca="1">IF(ISERROR(F296),"",_xlfn.TEXTJOIN("/",FALSE,R304,U304))</f>
        <v>0/0</v>
      </c>
      <c r="L304" s="42"/>
      <c r="M304" s="7" t="b">
        <f ca="1">IF(ISERROR(F296),"",IF(ISTEXT(P304),IF(P304="A","Ab",IF(P304="D","Dt",IF(P304="UFM","UFM",IF(P304="NA","")))),IF(AND(ISBLANK(P304),ISBLANK(R304)),"",IF(P304&lt;0.3*S304,"F",IF(ISBLANK(R304),"",IF(ISTEXT(R304),R304,IF(R304&gt;=0.9*U304,"O",IF(R304&gt;=0.85*U304,"A+",IF(R304&gt;=0.8*U304,"A",IF(R304&gt;=0.7*U304,"B+",IF(R304&gt;=0.6*U304,"B",IF(R304&gt;=0.5*U304,"C",IF(R304&gt;=0.4*U304,"P",IF(R304&lt;0.4*U304,"F",R304))))))))))))))</f>
        <v>0</v>
      </c>
      <c r="N304" s="8" t="e">
        <f t="shared" ca="1" si="18"/>
        <v>#N/A</v>
      </c>
      <c r="O304" t="b" cm="1">
        <f t="array" aca="1" ref="O304" ca="1">IF(NOT(ISBLANK(INDIRECT("SEM_IV!R"&amp;INT((ROW(O304)-16)/16)+6))),5,IF(NOT(ISBLANK(INDIRECT("SEM_IV!U"&amp;INT((ROW(O304)-16)/16)+6))),6))</f>
        <v>0</v>
      </c>
      <c r="P304" s="1" t="str">
        <f ca="1">IF(ISERROR(F296),"",IF(ISTEXT(VLOOKUP(B296,INDIRECT($F$8),6+(O304-1)*3)),(VLOOKUP(B296,INDIRECT($F$8),6+(O304-1)*3)),SUM(VLOOKUP(B296,INDIRECT($F$8),6+(O304-1)*3),IF(W308,W304,0))))</f>
        <v>UTU/2406100169</v>
      </c>
      <c r="Q304" s="1" t="str">
        <f ca="1">IF(ISERROR(F296),"",VLOOKUP(B296,INDIRECT($F$8),7+(O304-1)*3))</f>
        <v>SEJAL SINGH</v>
      </c>
      <c r="R304" s="1">
        <f ca="1">IF(ISERROR(F296),"",SUM(P304:Q304))</f>
        <v>0</v>
      </c>
      <c r="S304" s="1">
        <f ca="1">IF(ISERROR(F296),"",VLOOKUP(A296,INDIRECT($F$8),6+(O304-1)*3))</f>
        <v>0</v>
      </c>
      <c r="T304" s="1">
        <f ca="1">IF(ISERROR(F296),"",VLOOKUP(A296,INDIRECT($F$8),7+(O304-1)*3))</f>
        <v>0</v>
      </c>
      <c r="U304" s="1">
        <f ca="1">IF(ISERROR(F296),"",VLOOKUP(A296,INDIRECT($F$8),8+(O304-1)*3))</f>
        <v>0</v>
      </c>
      <c r="V304" s="1" t="e">
        <f ca="1">IF(ISERROR(F296),"",IF(N304=0,A304,""))</f>
        <v>#N/A</v>
      </c>
      <c r="W304" s="1">
        <f ca="1">IF(ISERROR(F296),"",IF(ISTEXT(VLOOKUP(B296,INDIRECT($F$8),6+(O304-1)*3)),11,IF(VLOOKUP(B296,INDIRECT($F$8),6+(O304-1)*3)&lt;S304*0.3,IF(VLOOKUP(B296,INDIRECT($F$8),8+(O304-1)*3)&lt;U304*0.4,IF(AND(0.4*U304-VLOOKUP(B296,INDIRECT($F$8),8+(O304-1)*3)&lt;=5,0.3*S304-VLOOKUP(B296,INDIRECT($F$8),6+(O304-1)*3)&lt;=5),MAX(0.4*U304-VLOOKUP(B296,INDIRECT($F$8),8+(O304-1)*3),0.3*S304-VLOOKUP(B296,INDIRECT($F$8),6+(O304-1)*3)),11),IF(0.3*S304-VLOOKUP(B296,INDIRECT($F$8),6+(O304-1)*3)&lt;=5,0.3*S304-VLOOKUP(B296,INDIRECT($F$8),6+(O304-1)*3),11)),IF(VLOOKUP(B296,INDIRECT($F$8),8+(O304-1)*3)&lt;U304*0.4,IF(U304*0.4-VLOOKUP(B296,INDIRECT($F$8),8+(O304-1)*3)&lt;=5,U304*0.4-VLOOKUP(B296,INDIRECT($F$8),8+(O304-1)*3),11),0))))</f>
        <v>11</v>
      </c>
      <c r="X304" s="1" t="str">
        <f ca="1">IF(ISERROR(F296),"",IF(W304=0,"",_xlfn.TEXTJOIN("",FALSE," G+",W304," in ",A304)))</f>
        <v xml:space="preserve"> G+11 in Enroll No.</v>
      </c>
    </row>
    <row r="305" spans="1:24" ht="12.75" customHeight="1" x14ac:dyDescent="0.2">
      <c r="A305" s="7" t="str">
        <f ca="1">IF(ISERROR(F296),"",VLOOKUP(C296,INDIRECT($F$8),6+(O305-1)*3,0))</f>
        <v>CAP 011</v>
      </c>
      <c r="B305" s="41" t="str">
        <f ca="1">IF(ISERROR(F296),"",VLOOKUP(D296,INDIRECT($F$8),6+(O305-1)*3,0))</f>
        <v>Network Security Lab</v>
      </c>
      <c r="C305" s="41"/>
      <c r="D305" s="41"/>
      <c r="E305" s="41"/>
      <c r="F305" s="7">
        <f ca="1">IF(ISERROR(F296),"",VLOOKUP(E296,INDIRECT($F$8),6+(O305-1)*3,0))</f>
        <v>1</v>
      </c>
      <c r="G305" s="42" t="str">
        <f ca="1">IF(ISERROR(F296),"",_xlfn.TEXTJOIN("/",FALSE,P305,S305))</f>
        <v>0/30</v>
      </c>
      <c r="H305" s="42"/>
      <c r="I305" s="42" t="str">
        <f ca="1">IF(ISERROR(F296),"",_xlfn.TEXTJOIN("/",FALSE,Q305,T305))</f>
        <v>0/20</v>
      </c>
      <c r="J305" s="42"/>
      <c r="K305" s="42" t="str">
        <f ca="1">IF(ISERROR(F296),"",_xlfn.TEXTJOIN("/",FALSE,R305,U305))</f>
        <v>0/50</v>
      </c>
      <c r="L305" s="42"/>
      <c r="M305" s="7" t="str">
        <f ca="1">IF(ISERROR(F296),"",IF(ISTEXT(P305),IF(P305="A","Ab",IF(P305="D","Dt",IF(P305="UFM","UFM",IF(P305="NA","")))),IF(AND(ISBLANK(P305),ISBLANK(R305)),"",IF(P305&lt;0.3*S305,"F",IF(ISBLANK(R305),"",IF(ISTEXT(R305),R305,IF(R305&gt;=0.9*U305,"O",IF(R305&gt;=0.85*U305,"A+",IF(R305&gt;=0.8*U305,"A",IF(R305&gt;=0.7*U305,"B+",IF(R305&gt;=0.6*U305,"B",IF(R305&gt;=0.5*U305,"C",IF(R305&gt;=0.4*U305,"P",IF(R305&lt;0.4*U305,"F",R305))))))))))))))</f>
        <v>F</v>
      </c>
      <c r="N305" s="8">
        <f t="shared" ca="1" si="18"/>
        <v>0</v>
      </c>
      <c r="O305">
        <f ca="1">IF(O304&gt;0,7,"")</f>
        <v>7</v>
      </c>
      <c r="P305" s="1">
        <f ca="1">IF(ISERROR(F296),"",IF(ISTEXT(VLOOKUP(B296,INDIRECT($F$8),6+(O305-1)*3)),(VLOOKUP(B296,INDIRECT($F$8),6+(O305-1)*3)),SUM(VLOOKUP(B296,INDIRECT($F$8),6+(O305-1)*3),IF(W308,W305,0))))</f>
        <v>0</v>
      </c>
      <c r="Q305" s="1">
        <f ca="1">IF(ISERROR(F296),"",VLOOKUP(B296,INDIRECT($F$8),7+(O305-1)*3))</f>
        <v>0</v>
      </c>
      <c r="R305" s="1">
        <f ca="1">IF(ISERROR(F296),"",SUM(P305:Q305))</f>
        <v>0</v>
      </c>
      <c r="S305" s="1">
        <f ca="1">IF(ISERROR(F296),"",VLOOKUP(A296,INDIRECT($F$8),6+(O305-1)*3))</f>
        <v>30</v>
      </c>
      <c r="T305" s="1">
        <f ca="1">IF(ISERROR(F296),"",VLOOKUP(A296,INDIRECT($F$8),7+(O305-1)*3))</f>
        <v>20</v>
      </c>
      <c r="U305" s="1">
        <f ca="1">IF(ISERROR(F296),"",VLOOKUP(A296,INDIRECT($F$8),8+(O305-1)*3))</f>
        <v>50</v>
      </c>
      <c r="V305" s="1" t="str">
        <f ca="1">IF(ISERROR(F296),"",IF(N305=0,A305,""))</f>
        <v>CAP 011</v>
      </c>
      <c r="W305" s="1">
        <f ca="1">IF(ISERROR(F296),"",IF(ISTEXT(VLOOKUP(B296,INDIRECT($F$8),6+(O305-1)*3)),11,IF(VLOOKUP(B296,INDIRECT($F$8),6+(O305-1)*3)&lt;S305*0.3,IF(VLOOKUP(B296,INDIRECT($F$8),8+(O305-1)*3)&lt;U305*0.4,IF(AND(0.4*U305-VLOOKUP(B296,INDIRECT($F$8),8+(O305-1)*3)&lt;=5,0.3*S305-VLOOKUP(B296,INDIRECT($F$8),6+(O305-1)*3)&lt;=5),MAX(0.4*U305-VLOOKUP(B296,INDIRECT($F$8),8+(O305-1)*3),0.3*S305-VLOOKUP(B296,INDIRECT($F$8),6+(O305-1)*3)),11),IF(0.3*S305-VLOOKUP(B296,INDIRECT($F$8),6+(O305-1)*3)&lt;=5,0.3*S305-VLOOKUP(B296,INDIRECT($F$8),6+(O305-1)*3),11)),IF(VLOOKUP(B296,INDIRECT($F$8),8+(O305-1)*3)&lt;U305*0.4,IF(U305*0.4-VLOOKUP(B296,INDIRECT($F$8),8+(O305-1)*3)&lt;=5,U305*0.4-VLOOKUP(B296,INDIRECT($F$8),8+(O305-1)*3),11),0))))</f>
        <v>11</v>
      </c>
      <c r="X305" s="1" t="str">
        <f ca="1">IF(ISERROR(F296),"",IF(W305=0,"",_xlfn.TEXTJOIN("",FALSE," G+",W305," in ",A305)))</f>
        <v xml:space="preserve"> G+11 in CAP 011</v>
      </c>
    </row>
    <row r="306" spans="1:24" ht="12.75" customHeight="1" x14ac:dyDescent="0.2">
      <c r="A306" s="7" t="str">
        <f ca="1">IF(ISERROR(F296),"",VLOOKUP(C296,INDIRECT($F$8),6+(O306-1)*3,0))</f>
        <v>Enroll No.</v>
      </c>
      <c r="B306" s="41">
        <f ca="1">IF(ISERROR(F296),"",VLOOKUP(D296,INDIRECT($F$8),6+(O306-1)*3,0))</f>
        <v>0</v>
      </c>
      <c r="C306" s="41"/>
      <c r="D306" s="41"/>
      <c r="E306" s="41"/>
      <c r="F306" s="7">
        <f ca="1">IF(ISERROR(F296),"",VLOOKUP(E296,INDIRECT($F$8),6+(O306-1)*3,0))</f>
        <v>0</v>
      </c>
      <c r="G306" s="42" t="str">
        <f ca="1">IF(ISERROR(F296),"",_xlfn.TEXTJOIN("/",FALSE,P306,S306))</f>
        <v>UTU/2406100169/0</v>
      </c>
      <c r="H306" s="42"/>
      <c r="I306" s="42" t="str">
        <f ca="1">IF(ISERROR(F296),"",_xlfn.TEXTJOIN("/",FALSE,Q306,T306))</f>
        <v>SEJAL SINGH/0</v>
      </c>
      <c r="J306" s="42"/>
      <c r="K306" s="42" t="str">
        <f ca="1">IF(ISERROR(F296),"",_xlfn.TEXTJOIN("/",FALSE,R306,U306))</f>
        <v>0/0</v>
      </c>
      <c r="L306" s="42"/>
      <c r="M306" s="7" t="b">
        <f ca="1">IF(ISERROR(F296),"",IF(ISTEXT(P306),IF(P306="A","Ab",IF(P306="D","Dt",IF(P306="UFM","UFM",IF(P306="NA","")))),IF(AND(ISBLANK(P306),ISBLANK(R306)),"",IF(P306&lt;0.3*S306,"F",IF(ISBLANK(R306),"",IF(ISTEXT(R306),R306,IF(R306&gt;=0.9*U306,"O",IF(R306&gt;=0.85*U306,"A+",IF(R306&gt;=0.8*U306,"A",IF(R306&gt;=0.7*U306,"B+",IF(R306&gt;=0.6*U306,"B",IF(R306&gt;=0.5*U306,"C",IF(R306&gt;=0.4*U306,"P",IF(R306&lt;0.4*U306,"F",R306))))))))))))))</f>
        <v>0</v>
      </c>
      <c r="N306" s="8" t="e">
        <f t="shared" ca="1" si="18"/>
        <v>#N/A</v>
      </c>
      <c r="O306" t="b" cm="1">
        <f t="array" aca="1" ref="O306" ca="1">IF(NOT(ISBLANK(INDIRECT("SEM_IV!AA"&amp;INT((ROW(O306)-18)/16)+6))),8,IF(NOT(ISBLANK(INDIRECT("SEM_IV!AD"&amp;INT((ROW(O306)-18)/16)+6))),9))</f>
        <v>0</v>
      </c>
      <c r="P306" s="1" t="str">
        <f ca="1">IF(ISERROR(F296),"",IF(ISTEXT(VLOOKUP(B296,INDIRECT($F$8),6+(O306-1)*3)),(VLOOKUP(B296,INDIRECT($F$8),6+(O306-1)*3)),SUM(VLOOKUP(B296,INDIRECT($F$8),6+(O306-1)*3),IF(W308,W306,0))))</f>
        <v>UTU/2406100169</v>
      </c>
      <c r="Q306" s="1" t="str">
        <f ca="1">IF(ISERROR(F296),"",VLOOKUP(B296,INDIRECT($F$8),7+(O306-1)*3))</f>
        <v>SEJAL SINGH</v>
      </c>
      <c r="R306" s="1">
        <f ca="1">IF(ISERROR(F296),"",SUM(P306:Q306))</f>
        <v>0</v>
      </c>
      <c r="S306" s="1">
        <f ca="1">IF(ISERROR(F296),"",VLOOKUP(A296,INDIRECT($F$8),6+(O306-1)*3))</f>
        <v>0</v>
      </c>
      <c r="T306" s="1">
        <f ca="1">IF(ISERROR(F296),"",VLOOKUP(A296,INDIRECT($F$8),7+(O306-1)*3))</f>
        <v>0</v>
      </c>
      <c r="U306" s="1">
        <f ca="1">IF(ISERROR(F296),"",VLOOKUP(A296,INDIRECT($F$8),8+(O306-1)*3))</f>
        <v>0</v>
      </c>
      <c r="V306" s="1" t="e">
        <f ca="1">IF(ISERROR(F296),"",IF(N306=0,A306,""))</f>
        <v>#N/A</v>
      </c>
      <c r="W306" s="1">
        <f ca="1">IF(ISERROR(F296),"",IF(ISTEXT(VLOOKUP(B296,INDIRECT($F$8),6+(O306-1)*3)),11,IF(VLOOKUP(B296,INDIRECT($F$8),6+(O306-1)*3)&lt;S306*0.3,IF(VLOOKUP(B296,INDIRECT($F$8),8+(O306-1)*3)&lt;U306*0.4,IF(AND(0.4*U306-VLOOKUP(B296,INDIRECT($F$8),8+(O306-1)*3)&lt;=5,0.3*S306-VLOOKUP(B296,INDIRECT($F$8),6+(O306-1)*3)&lt;=5),MAX(0.4*U306-VLOOKUP(B296,INDIRECT($F$8),8+(O306-1)*3),0.3*S306-VLOOKUP(B296,INDIRECT($F$8),6+(O306-1)*3)),11),IF(0.3*S306-VLOOKUP(B296,INDIRECT($F$8),6+(O306-1)*3)&lt;=5,0.3*S306-VLOOKUP(B296,INDIRECT($F$8),6+(O306-1)*3),11)),IF(VLOOKUP(B296,INDIRECT($F$8),8+(O306-1)*3)&lt;U306*0.4,IF(U306*0.4-VLOOKUP(B296,INDIRECT($F$8),8+(O306-1)*3)&lt;=5,U306*0.4-VLOOKUP(B296,INDIRECT($F$8),8+(O306-1)*3),11),0))))</f>
        <v>11</v>
      </c>
      <c r="X306" s="1" t="str">
        <f ca="1">IF(ISERROR(F296),"",IF(W306=0,"",_xlfn.TEXTJOIN("",FALSE," G+",W306," in ",A306)))</f>
        <v xml:space="preserve"> G+11 in Enroll No.</v>
      </c>
    </row>
    <row r="307" spans="1:24" ht="12.75" customHeight="1" x14ac:dyDescent="0.2">
      <c r="A307" s="7" t="str">
        <f ca="1">IF(ISERROR(F296),"",VLOOKUP(C296,INDIRECT($F$8),6+(O307-1)*3,0))</f>
        <v>CAP 013</v>
      </c>
      <c r="B307" s="41" t="str">
        <f ca="1">IF(ISERROR(F296),"",VLOOKUP(D296,INDIRECT($F$8),6+(O307-1)*3-Z307,0))</f>
        <v>Major Project</v>
      </c>
      <c r="C307" s="41"/>
      <c r="D307" s="41"/>
      <c r="E307" s="41"/>
      <c r="F307" s="7">
        <f ca="1">IF(ISERROR(F296),"",VLOOKUP(E296,INDIRECT($F$8),6+(O307-1)*3,0))</f>
        <v>6</v>
      </c>
      <c r="G307" s="42" t="str">
        <f ca="1">IF(ISERROR(F296),"",_xlfn.TEXTJOIN("/",FALSE,P307,S307))</f>
        <v>0/200</v>
      </c>
      <c r="H307" s="42"/>
      <c r="I307" s="42" t="str">
        <f ca="1">IF(ISERROR(F296),"",_xlfn.TEXTJOIN("/",FALSE,Q307,T307))</f>
        <v>0/100</v>
      </c>
      <c r="J307" s="42"/>
      <c r="K307" s="42" t="str">
        <f ca="1">IF(ISERROR(F296),"",_xlfn.TEXTJOIN("/",FALSE,R307,U307))</f>
        <v>0/300</v>
      </c>
      <c r="L307" s="42"/>
      <c r="M307" s="7" t="str">
        <f ca="1">IF(ISERROR(F296),"",IF(ISTEXT(P307),IF(P307="A","Ab",IF(P307="D","Dt",IF(P307="UFM","UFM",IF(P307="NA","")))),IF(AND(ISBLANK(P307),ISBLANK(R307)),"",IF(P307&lt;0.3*S307,"F",IF(ISBLANK(R307),"",IF(ISTEXT(R307),R307,IF(R307&gt;=0.9*U307,"O",IF(R307&gt;=0.85*U307,"A+",IF(R307&gt;=0.8*U307,"A",IF(R307&gt;=0.7*U307,"B+",IF(R307&gt;=0.6*U307,"B",IF(R307&gt;=0.5*U307,"C",IF(R307&gt;=0.4*U307,"P",IF(R307&lt;0.4*U307,"F",R307))))))))))))))</f>
        <v>F</v>
      </c>
      <c r="N307" s="8">
        <f t="shared" ca="1" si="18"/>
        <v>0</v>
      </c>
      <c r="O307">
        <f ca="1">IF(O306&gt;0,10,"")</f>
        <v>10</v>
      </c>
      <c r="P307" s="1">
        <f ca="1">IF(ISERROR(F296),"",IF(ISTEXT(VLOOKUP(B296,INDIRECT($F$8),6+(O307-1)*3)),(VLOOKUP(B296,INDIRECT($F$8),6+(O307-1)*3)),SUM(VLOOKUP(B296,INDIRECT($F$8),6+(O307-1)*3),IF(W308,W307,0))))</f>
        <v>0</v>
      </c>
      <c r="Q307" s="1">
        <f ca="1">IF(ISERROR(F296),"",VLOOKUP(B296,INDIRECT($F$8),7+(O307-1)*3))</f>
        <v>0</v>
      </c>
      <c r="R307" s="1">
        <f ca="1">IF(ISERROR(F296),"",SUM(P307:Q307))</f>
        <v>0</v>
      </c>
      <c r="S307" s="1">
        <f ca="1">IF(ISERROR(F296),"",VLOOKUP(A296,INDIRECT($F$8),6+(O307-1)*3))</f>
        <v>200</v>
      </c>
      <c r="T307" s="1">
        <f ca="1">IF(ISERROR(F296),"",VLOOKUP(A296,INDIRECT($F$8),7+(O307-1)*3))</f>
        <v>100</v>
      </c>
      <c r="U307" s="1">
        <f ca="1">IF(ISERROR(F296),"",VLOOKUP(A296,INDIRECT($F$8),8+(O307-1)*3))</f>
        <v>300</v>
      </c>
      <c r="V307" s="1" t="str">
        <f ca="1">IF(ISERROR(F296),"",IF(N307=0,A307,""))</f>
        <v>CAP 013</v>
      </c>
      <c r="W307" s="1">
        <f ca="1">IF(ISERROR(F296),"",IF(ISTEXT(VLOOKUP(B296,INDIRECT($F$8),6+(O307-1)*3)),11,IF(VLOOKUP(B296,INDIRECT($F$8),6+(O307-1)*3)&lt;S307*0.3,IF(VLOOKUP(B296,INDIRECT($F$8),8+(O307-1)*3)&lt;U307*0.4,IF(AND(0.4*U307-VLOOKUP(B296,INDIRECT($F$8),8+(O307-1)*3)&lt;=5,0.3*S307-VLOOKUP(B296,INDIRECT($F$8),6+(O307-1)*3)&lt;=5),MAX(0.4*U307-VLOOKUP(B296,INDIRECT($F$8),8+(O307-1)*3),0.3*S307-VLOOKUP(B296,INDIRECT($F$8),6+(O307-1)*3)),11),IF(0.3*S307-VLOOKUP(B296,INDIRECT($F$8),6+(O307-1)*3)&lt;=5,0.3*S307-VLOOKUP(B296,INDIRECT($F$8),6+(O307-1)*3),11)),IF(VLOOKUP(B296,INDIRECT($F$8),8+(O307-1)*3)&lt;U307*0.4,IF(U307*0.4-VLOOKUP(B296,INDIRECT($F$8),8+(O307-1)*3)&lt;=5,U307*0.4-VLOOKUP(B296,INDIRECT($F$8),8+(O307-1)*3),11),0))))</f>
        <v>11</v>
      </c>
      <c r="X307" s="1" t="str">
        <f ca="1">IF(ISERROR(F296),"",IF(W307=0,"",_xlfn.TEXTJOIN("",FALSE," G+",W307," in ",A307)))</f>
        <v xml:space="preserve"> G+11 in CAP 013</v>
      </c>
    </row>
    <row r="308" spans="1:24" ht="12.75" customHeight="1" x14ac:dyDescent="0.2">
      <c r="A308" s="43" t="str">
        <f ca="1">IF(ISERROR(F296),"",A292)</f>
        <v>Total Credits/ Marks/ Total Grade Points</v>
      </c>
      <c r="B308" s="43"/>
      <c r="C308" s="43"/>
      <c r="D308" s="43"/>
      <c r="E308" s="43"/>
      <c r="F308" s="10">
        <f ca="1">IF(ISERROR(F296),"",SUM(F301:F307))</f>
        <v>15</v>
      </c>
      <c r="G308" s="44" t="str">
        <f ca="1">IF(ISERROR(F296),"",_xlfn.TEXTJOIN("/",TRUE,SUMIF(F301:F307,"&gt;0",P301:P307),SUMIF(F301:F307,"&gt;0",S301:S307)))</f>
        <v>0/430</v>
      </c>
      <c r="H308" s="44"/>
      <c r="I308" s="44" t="str">
        <f ca="1">IF(ISERROR(F296),"",_xlfn.TEXTJOIN("/",TRUE,SUMIF(F301:F307,"&gt;0",Q301:Q307),SUMIF(F301:F307,"&gt;0",T301:T307)))</f>
        <v>0/220</v>
      </c>
      <c r="J308" s="44"/>
      <c r="K308" s="44" t="str">
        <f ca="1">IF(ISERROR(F296),"",_xlfn.TEXTJOIN("/",TRUE,SUMIF(F301:F307,"&gt;0",R301:R307),SUMIF(F301:F307,"&gt;0",U301:U307)))</f>
        <v>0/650</v>
      </c>
      <c r="L308" s="44"/>
      <c r="M308" s="43" t="e">
        <f ca="1">IF(ISERROR(F296),"",SUMPRODUCT(N301:N307,F301:F307))</f>
        <v>#N/A</v>
      </c>
      <c r="N308" s="43"/>
      <c r="V308" s="1" t="e">
        <f ca="1">IF(ISERROR(F296),"",_xlfn.TEXTJOIN(", ",TRUE,V301:V307))</f>
        <v>#N/A</v>
      </c>
      <c r="W308" t="b">
        <f ca="1">IF(ISERROR(F296),"",IF(SUM(W301:W307)&lt;=W300,TRUE,FALSE))</f>
        <v>0</v>
      </c>
      <c r="X308" s="1" t="str">
        <f ca="1">IF(ISERROR(F296),"",_xlfn.TEXTJOIN(",",TRUE,X301:X307))</f>
        <v xml:space="preserve"> G+11 in CAT 022, G+11 in Enroll No., G+11 in CAT 030, G+11 in Enroll No., G+11 in CAP 011, G+11 in Enroll No., G+11 in CAP 013</v>
      </c>
    </row>
    <row r="309" spans="1:24" ht="12.75" customHeight="1" x14ac:dyDescent="0.2">
      <c r="A309" s="43" t="str">
        <f ca="1">IF(ISERROR(F296),"",A293)</f>
        <v>Result:</v>
      </c>
      <c r="B309" s="45" t="e">
        <f ca="1">IF(ISERROR(F296),"",IF(V308="","PASS","CARRY OVER"))</f>
        <v>#N/A</v>
      </c>
      <c r="C309" s="45"/>
      <c r="D309" s="43" t="str">
        <f ca="1">IF(ISERROR(F296),"",D293)</f>
        <v>Remark:</v>
      </c>
      <c r="E309" s="45" t="e">
        <f ca="1">IF(ISERROR(F296),"",IF(V308="",IF(X308="","",X308),_xlfn.TEXTJOIN(" ",TRUE,"BACK IN",V308)))</f>
        <v>#N/A</v>
      </c>
      <c r="F309" s="45"/>
      <c r="G309" s="43" t="str">
        <f ca="1">IF(ISERROR(F296),"",G293)</f>
        <v>SGPA:</v>
      </c>
      <c r="H309" s="46" t="e">
        <f ca="1">IF(ISERROR(F296),"",M308/F308)</f>
        <v>#N/A</v>
      </c>
      <c r="I309" s="43" t="str">
        <f ca="1">IF(ISERROR(F296),"",I293)</f>
        <v>CGPA:</v>
      </c>
      <c r="J309" s="46" t="e">
        <f ca="1">IF(ISERROR(F296),"",VLOOKUP(B296,INDIRECT($F$8),12+(O307-1)*3,0))</f>
        <v>#N/A</v>
      </c>
      <c r="K309" s="45" t="str">
        <f ca="1">IF(ISERROR(F296),"",K293)</f>
        <v>Earned Credits:</v>
      </c>
      <c r="L309" s="43">
        <f ca="1">IF(ISERROR(F296),"",SUMIF(N301:N307,"&gt;0",F301:F307))</f>
        <v>0</v>
      </c>
      <c r="M309" s="45" t="str">
        <f ca="1">IF(ISERROR(F296),"",M293)</f>
        <v>Cuml. Earned Credits:</v>
      </c>
      <c r="N309" s="43" t="e">
        <f ca="1">IF(ISERROR(F296),"",VLOOKUP(B296,INDIRECT($F$8),10+(O307-1)*3,0))</f>
        <v>#N/A</v>
      </c>
    </row>
    <row r="310" spans="1:24" ht="12.75" customHeight="1" x14ac:dyDescent="0.2">
      <c r="A310" s="43"/>
      <c r="B310" s="45"/>
      <c r="C310" s="45"/>
      <c r="D310" s="43"/>
      <c r="E310" s="45"/>
      <c r="F310" s="45"/>
      <c r="G310" s="43"/>
      <c r="H310" s="46"/>
      <c r="I310" s="43"/>
      <c r="J310" s="46"/>
      <c r="K310" s="45"/>
      <c r="L310" s="43"/>
      <c r="M310" s="45"/>
      <c r="N310" s="43"/>
    </row>
    <row r="311" spans="1:24" ht="12.75" customHeight="1" x14ac:dyDescent="0.2">
      <c r="A311" s="43"/>
      <c r="B311" s="45"/>
      <c r="C311" s="45"/>
      <c r="D311" s="43"/>
      <c r="E311" s="45"/>
      <c r="F311" s="45"/>
      <c r="G311" s="43"/>
      <c r="H311" s="46"/>
      <c r="I311" s="43"/>
      <c r="J311" s="46"/>
      <c r="K311" s="45"/>
      <c r="L311" s="43"/>
      <c r="M311" s="45"/>
      <c r="N311" s="43"/>
    </row>
    <row r="312" spans="1:24" ht="12.75" customHeight="1" x14ac:dyDescent="0.2">
      <c r="A312" s="11" t="str">
        <f>A296</f>
        <v>MM</v>
      </c>
      <c r="B312" s="11">
        <f>B296+1</f>
        <v>20</v>
      </c>
      <c r="C312" s="11" t="str">
        <f>C296</f>
        <v>SC</v>
      </c>
      <c r="D312" s="11" t="str">
        <f>D296</f>
        <v>SN</v>
      </c>
      <c r="E312" s="11" t="str">
        <f>E296</f>
        <v>C</v>
      </c>
      <c r="F312" s="11" t="str">
        <f ca="1">VLOOKUP(B312,INDIRECT($F$8),4,0)</f>
        <v>SHARAD NIJWALA</v>
      </c>
    </row>
    <row r="313" spans="1:24" ht="12.75" customHeight="1" x14ac:dyDescent="0.2">
      <c r="A313" s="47" t="str">
        <f ca="1">IF(ISERROR(F312),"",A297)</f>
        <v>Name:</v>
      </c>
      <c r="B313" s="47" t="str">
        <f ca="1">IFERROR(VLOOKUP(B312,INDIRECT($F$8),4,0),"")</f>
        <v>SHARAD NIJWALA</v>
      </c>
      <c r="C313" s="47"/>
      <c r="D313" s="47" t="str">
        <f ca="1">IF(ISERROR(F312),"",D297)</f>
        <v>Father's Name:</v>
      </c>
      <c r="E313" s="47" t="str">
        <f ca="1">IFERROR(VLOOKUP(B312,INDIRECT($F$8),5,0),"")</f>
        <v>VIJAYANT SINGH</v>
      </c>
      <c r="F313" s="47"/>
      <c r="G313" s="47" t="str">
        <f ca="1">IF(ISERROR(F312),"",G297)</f>
        <v>University Roll No:</v>
      </c>
      <c r="H313" s="47"/>
      <c r="I313" s="48">
        <f ca="1">IFERROR(VLOOKUP(B312,INDIRECT($F$8),2,0),"")</f>
        <v>240090600020</v>
      </c>
      <c r="J313" s="48"/>
      <c r="K313" s="47" t="str">
        <f ca="1">IF(ISERROR(F312),"",K297)</f>
        <v>University Enrol. No:</v>
      </c>
      <c r="L313" s="47"/>
      <c r="M313" s="48" t="str">
        <f ca="1">IFERROR(VLOOKUP(B312,INDIRECT($F$8),3,0),"")</f>
        <v>UTU/2406100196</v>
      </c>
      <c r="N313" s="48"/>
    </row>
    <row r="314" spans="1:24" ht="12.75" customHeight="1" x14ac:dyDescent="0.2">
      <c r="A314" s="47"/>
      <c r="B314" s="47"/>
      <c r="C314" s="47"/>
      <c r="D314" s="47"/>
      <c r="E314" s="47"/>
      <c r="F314" s="47"/>
      <c r="G314" s="47"/>
      <c r="H314" s="47"/>
      <c r="I314" s="48"/>
      <c r="J314" s="48"/>
      <c r="K314" s="47"/>
      <c r="L314" s="47"/>
      <c r="M314" s="48"/>
      <c r="N314" s="48"/>
    </row>
    <row r="315" spans="1:24" ht="12.75" customHeight="1" x14ac:dyDescent="0.2">
      <c r="A315" s="45" t="str">
        <f ca="1">IF(ISERROR(F312),"",A299)</f>
        <v>Subject Code</v>
      </c>
      <c r="B315" s="45" t="str">
        <f ca="1">IF(ISERROR(F312),"",B299)</f>
        <v>Subject Name</v>
      </c>
      <c r="C315" s="45"/>
      <c r="D315" s="45"/>
      <c r="E315" s="45"/>
      <c r="F315" s="45" t="str">
        <f ca="1">IF(ISERROR(F312),"",F299)</f>
        <v>Credits</v>
      </c>
      <c r="G315" s="45" t="str">
        <f ca="1">IF(ISERROR(F312),"",G299)</f>
        <v>External Marks</v>
      </c>
      <c r="H315" s="45"/>
      <c r="I315" s="45" t="str">
        <f ca="1">IF(ISERROR(F312),"",I299)</f>
        <v>Sessional Marks</v>
      </c>
      <c r="J315" s="45"/>
      <c r="K315" s="45" t="str">
        <f ca="1">IF(ISERROR(F312),"",K299)</f>
        <v>Total Marks</v>
      </c>
      <c r="L315" s="45"/>
      <c r="M315" s="45" t="str">
        <f ca="1">IF(ISERROR(F312),"",M299)</f>
        <v>Grade</v>
      </c>
      <c r="N315" s="45" t="str">
        <f ca="1">IF(ISERROR(F312),"",N299)</f>
        <v>Grade Points</v>
      </c>
    </row>
    <row r="316" spans="1:24" ht="12.75" customHeight="1" x14ac:dyDescent="0.2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W316">
        <f ca="1">IF(ISNUMBER(MATCH($F$8,{"I","III","V","VII"},0)),10,10-INDEX(INDIRECT(_xlfn.TEXTJOIN("",TRUE,"SEM_",$G$8,"!",ADDRESS(6,4+$I$8*3+4),":",ADDRESS(5+$H$8,4+$I$8*3+4))),MATCH(INDIRECT(_xlfn.TEXTJOIN("",TRUE,"TC_",$F$8,"!",ADDRESS(ROW(I313),COLUMN(I313)))),INDIRECT(_xlfn.TEXTJOIN("",TRUE,"SEM_",$G$8,"!",ADDRESS(6,2),":",ADDRESS(5+$H$8,2))))))</f>
        <v>10</v>
      </c>
    </row>
    <row r="317" spans="1:24" ht="12.75" customHeight="1" x14ac:dyDescent="0.2">
      <c r="A317" s="7" t="str">
        <f ca="1">IF(ISERROR(F312),"",VLOOKUP(C312,INDIRECT($F$8),6+(O317-1)*3,0))</f>
        <v>CAT 022</v>
      </c>
      <c r="B317" s="41" t="str">
        <f ca="1">IF(ISERROR(F312),"",VLOOKUP(D312,INDIRECT($F$8),6+(O317-1)*3,0))</f>
        <v>Network Security</v>
      </c>
      <c r="C317" s="41"/>
      <c r="D317" s="41"/>
      <c r="E317" s="41"/>
      <c r="F317" s="7">
        <f ca="1">IF(ISERROR(F312),"",VLOOKUP(E312,INDIRECT($F$8),6+(O317-1)*3,0))</f>
        <v>4</v>
      </c>
      <c r="G317" s="42" t="str">
        <f ca="1">IF(ISERROR(F312),"",_xlfn.TEXTJOIN("/",FALSE,P317,S317))</f>
        <v>0/100</v>
      </c>
      <c r="H317" s="42"/>
      <c r="I317" s="42" t="str">
        <f ca="1">IF(ISERROR(F312),"",_xlfn.TEXTJOIN("/",FALSE,Q317,T317))</f>
        <v>0/50</v>
      </c>
      <c r="J317" s="42"/>
      <c r="K317" s="42" t="str">
        <f ca="1">IF(ISERROR(F312),"",_xlfn.TEXTJOIN("/",FALSE,R317,U317))</f>
        <v>0/150</v>
      </c>
      <c r="L317" s="42"/>
      <c r="M317" s="7" t="str">
        <f ca="1">IF(ISERROR(F312),"",IF(ISTEXT(P317),IF(P317="A","Ab",IF(P317="D","Dt",IF(P317="UFM","UFM",IF(P317="NA","")))),IF(AND(ISBLANK(P317),ISBLANK(R317)),"",IF(P317&lt;0.3*S317,"F",IF(ISBLANK(R317),"",IF(ISTEXT(R317),R317,IF(R317&gt;=0.9*U317,"O",IF(R317&gt;=0.85*U317,"A+",IF(R317&gt;=0.8*U317,"A",IF(R317&gt;=0.7*U317,"B+",IF(R317&gt;=0.6*U317,"B",IF(R317&gt;=0.5*U317,"C",IF(R317&gt;=0.4*U317,"P",IF(R317&lt;0.4*U317,"F",R317))))))))))))))</f>
        <v>F</v>
      </c>
      <c r="N317" s="8">
        <f t="shared" ref="N317:N323" ca="1" si="19">INDEX($Z$2:$Z$13,MATCH(M317,$Y$2:$Y$13,0))</f>
        <v>0</v>
      </c>
      <c r="O317">
        <v>1</v>
      </c>
      <c r="P317" s="1">
        <f ca="1">IF(ISERROR(F312),"",IF(ISTEXT(VLOOKUP(B312,INDIRECT($F$8),6+(O317-1)*3)),(VLOOKUP(B312,INDIRECT($F$8),6+(O317-1)*3)),SUM(VLOOKUP(B312,INDIRECT($F$8),6+(O317-1)*3),IF(W324,W317,0))))</f>
        <v>0</v>
      </c>
      <c r="Q317" s="1">
        <f ca="1">IF(ISERROR(F312),"",VLOOKUP(B312,INDIRECT($F$8),7+(O317-1)*3))</f>
        <v>0</v>
      </c>
      <c r="R317" s="1">
        <f ca="1">IF(ISERROR(F312),"",SUM(P317:Q317))</f>
        <v>0</v>
      </c>
      <c r="S317" s="1">
        <f ca="1">IF(ISERROR(F312),"",VLOOKUP(A312,INDIRECT($F$8),6+(O317-1)*3))</f>
        <v>100</v>
      </c>
      <c r="T317" s="1">
        <f ca="1">IF(ISERROR(F312),"",VLOOKUP(A312,INDIRECT($F$8),7+(O317-1)*3))</f>
        <v>50</v>
      </c>
      <c r="U317" s="1">
        <f ca="1">IF(ISERROR(F312),"",VLOOKUP(A312,INDIRECT($F$8),8+(O317-1)*3))</f>
        <v>150</v>
      </c>
      <c r="V317" s="1" t="str">
        <f ca="1">IF(ISERROR(F312),"",IF(N317=0,A317,""))</f>
        <v>CAT 022</v>
      </c>
      <c r="W317" s="1">
        <f ca="1">IF(ISERROR(F312),"",IF(ISTEXT(VLOOKUP(B312,INDIRECT($F$8),6+(O317-1)*3)),11,IF(VLOOKUP(B312,INDIRECT($F$8),6+(O317-1)*3)&lt;S317*0.3,IF(VLOOKUP(B312,INDIRECT($F$8),8+(O317-1)*3)&lt;U317*0.4,IF(AND(0.4*U317-VLOOKUP(B312,INDIRECT($F$8),8+(O317-1)*3)&lt;=5,0.3*S317-VLOOKUP(B312,INDIRECT($F$8),6+(O317-1)*3)&lt;=5),MAX(0.4*U317-VLOOKUP(B312,INDIRECT($F$8),8+(O317-1)*3),0.3*S317-VLOOKUP(B312,INDIRECT($F$8),6+(O317-1)*3)),11),IF(0.3*S317-VLOOKUP(B312,INDIRECT($F$8),6+(O317-1)*3)&lt;=5,0.3*S317-VLOOKUP(B312,INDIRECT($F$8),6+(O317-1)*3),11)),IF(VLOOKUP(B312,INDIRECT($F$8),8+(O317-1)*3)&lt;U317*0.4,IF(U317*0.4-VLOOKUP(B312,INDIRECT($F$8),8+(O317-1)*3)&lt;=5,U317*0.4-VLOOKUP(B312,INDIRECT($F$8),8+(O317-1)*3),11),0))))</f>
        <v>11</v>
      </c>
      <c r="X317" s="1" t="str">
        <f ca="1">IF(ISERROR(F312),"",IF(W317=0,"",_xlfn.TEXTJOIN("",FALSE," G+",W317," in ",A317)))</f>
        <v xml:space="preserve"> G+11 in CAT 022</v>
      </c>
    </row>
    <row r="318" spans="1:24" ht="12.75" customHeight="1" x14ac:dyDescent="0.2">
      <c r="A318" s="7" t="str">
        <f ca="1">IF(ISERROR(F312),"",VLOOKUP(C312,INDIRECT($F$8),6+(O318-1)*3,0))</f>
        <v>Enroll No.</v>
      </c>
      <c r="B318" s="41">
        <f ca="1">IF(ISERROR(F312),"",VLOOKUP(D312,INDIRECT($F$8),6+(O318-1)*3,0))</f>
        <v>0</v>
      </c>
      <c r="C318" s="41"/>
      <c r="D318" s="41"/>
      <c r="E318" s="41"/>
      <c r="F318" s="7">
        <f ca="1">IF(ISERROR(F312),"",VLOOKUP(E312,INDIRECT($F$8),6+(O318-1)*3,0))</f>
        <v>0</v>
      </c>
      <c r="G318" s="42" t="str">
        <f ca="1">IF(ISERROR(F312),"",_xlfn.TEXTJOIN("/",FALSE,P318,S318))</f>
        <v>UTU/2406100196/0</v>
      </c>
      <c r="H318" s="42"/>
      <c r="I318" s="42" t="str">
        <f ca="1">IF(ISERROR(F312),"",_xlfn.TEXTJOIN("/",FALSE,Q318,T318))</f>
        <v>SHARAD NIJWALA/0</v>
      </c>
      <c r="J318" s="42"/>
      <c r="K318" s="42" t="str">
        <f ca="1">IF(ISERROR(F312),"",_xlfn.TEXTJOIN("/",FALSE,R318,U318))</f>
        <v>0/0</v>
      </c>
      <c r="L318" s="42"/>
      <c r="M318" s="7" t="b">
        <f ca="1">IF(ISERROR(F312),"",IF(ISTEXT(P318),IF(P318="A","Ab",IF(P318="D","Dt",IF(P318="UFM","UFM",IF(P318="NA","")))),IF(AND(ISBLANK(P318),ISBLANK(R318)),"",IF(P318&lt;0.3*S318,"F",IF(ISBLANK(R318),"",IF(ISTEXT(R318),R318,IF(R318&gt;=0.9*U318,"O",IF(R318&gt;=0.85*U318,"A+",IF(R318&gt;=0.8*U318,"A",IF(R318&gt;=0.7*U318,"B+",IF(R318&gt;=0.6*U318,"B",IF(R318&gt;=0.5*U318,"C",IF(R318&gt;=0.4*U318,"P",IF(R318&lt;0.4*U318,"F",R318))))))))))))))</f>
        <v>0</v>
      </c>
      <c r="N318" s="8" t="e">
        <f t="shared" ca="1" si="19"/>
        <v>#N/A</v>
      </c>
      <c r="O318" t="b" cm="1">
        <f t="array" aca="1" ref="O318" ca="1">IF(NOT(ISBLANK(INDIRECT("SEM_IV!I"&amp;INT((ROW(O318)-14)/16)+6))),2,IF(NOT(ISBLANK(INDIRECT("SEM_IV!L"&amp;INT((ROW(O318)-14)/16)+6))),3))</f>
        <v>0</v>
      </c>
      <c r="P318" s="1" t="str">
        <f ca="1">IF(ISERROR(F312),"",IF(ISTEXT(VLOOKUP(B312,INDIRECT($F$8),6+(O318-1)*3)),(VLOOKUP(B312,INDIRECT($F$8),6+(O318-1)*3)),SUM(VLOOKUP(B312,INDIRECT($F$8),6+(O318-1)*3),IF(W324,W318,0))))</f>
        <v>UTU/2406100196</v>
      </c>
      <c r="Q318" s="1" t="str">
        <f ca="1">IF(ISERROR(F312),"",VLOOKUP(B312,INDIRECT($F$8),7+(O318-1)*3))</f>
        <v>SHARAD NIJWALA</v>
      </c>
      <c r="R318" s="1">
        <f ca="1">IF(ISERROR(F312),"",SUM(P318:Q318))</f>
        <v>0</v>
      </c>
      <c r="S318" s="1">
        <f ca="1">IF(ISERROR(F312),"",VLOOKUP(A312,INDIRECT($F$8),6+(O318-1)*3))</f>
        <v>0</v>
      </c>
      <c r="T318" s="1">
        <f ca="1">IF(ISERROR(F312),"",VLOOKUP(A312,INDIRECT($F$8),7+(O318-1)*3))</f>
        <v>0</v>
      </c>
      <c r="U318" s="1">
        <f ca="1">IF(ISERROR(F312),"",VLOOKUP(A312,INDIRECT($F$8),8+(O318-1)*3))</f>
        <v>0</v>
      </c>
      <c r="V318" s="1" t="e">
        <f ca="1">IF(ISERROR(F312),"",IF(N318=0,A318,""))</f>
        <v>#N/A</v>
      </c>
      <c r="W318" s="1">
        <f ca="1">IF(ISERROR(F312),"",IF(ISTEXT(VLOOKUP(B312,INDIRECT($F$8),6+(O318-1)*3)),11,IF(VLOOKUP(B312,INDIRECT($F$8),6+(O318-1)*3)&lt;S318*0.3,IF(VLOOKUP(B312,INDIRECT($F$8),8+(O318-1)*3)&lt;U318*0.4,IF(AND(0.4*U318-VLOOKUP(B312,INDIRECT($F$8),8+(O318-1)*3)&lt;=5,0.3*S318-VLOOKUP(B312,INDIRECT($F$8),6+(O318-1)*3)&lt;=5),MAX(0.4*U318-VLOOKUP(B312,INDIRECT($F$8),8+(O318-1)*3),0.3*S318-VLOOKUP(B312,INDIRECT($F$8),6+(O318-1)*3)),11),IF(0.3*S318-VLOOKUP(B312,INDIRECT($F$8),6+(O318-1)*3)&lt;=5,0.3*S318-VLOOKUP(B312,INDIRECT($F$8),6+(O318-1)*3),11)),IF(VLOOKUP(B312,INDIRECT($F$8),8+(O318-1)*3)&lt;U318*0.4,IF(U318*0.4-VLOOKUP(B312,INDIRECT($F$8),8+(O318-1)*3)&lt;=5,U318*0.4-VLOOKUP(B312,INDIRECT($F$8),8+(O318-1)*3),11),0))))</f>
        <v>11</v>
      </c>
      <c r="X318" s="1" t="str">
        <f ca="1">IF(ISERROR(F312),"",IF(W318=0,"",_xlfn.TEXTJOIN("",FALSE," G+",W318," in ",A318)))</f>
        <v xml:space="preserve"> G+11 in Enroll No.</v>
      </c>
    </row>
    <row r="319" spans="1:24" ht="12.75" customHeight="1" x14ac:dyDescent="0.2">
      <c r="A319" s="7" t="str">
        <f ca="1">IF(ISERROR(F312),"",VLOOKUP(C312,INDIRECT($F$8),6+(O319-1)*3,0))</f>
        <v>CAT 030</v>
      </c>
      <c r="B319" s="41" t="str">
        <f ca="1">IF(ISERROR(F312),"",VLOOKUP(D312,INDIRECT($F$8),6+(O319-1)*3,0))</f>
        <v>Software Testing &amp; Quality Assurance</v>
      </c>
      <c r="C319" s="41"/>
      <c r="D319" s="41"/>
      <c r="E319" s="41"/>
      <c r="F319" s="7">
        <f ca="1">IF(ISERROR(F312),"",VLOOKUP(E312,INDIRECT($F$8),6+(O319-1)*3,0))</f>
        <v>4</v>
      </c>
      <c r="G319" s="42" t="str">
        <f ca="1">IF(ISERROR(F312),"",_xlfn.TEXTJOIN("/",FALSE,P319,S319))</f>
        <v>0/100</v>
      </c>
      <c r="H319" s="42"/>
      <c r="I319" s="42" t="str">
        <f ca="1">IF(ISERROR(F312),"",_xlfn.TEXTJOIN("/",FALSE,Q319,T319))</f>
        <v>0/50</v>
      </c>
      <c r="J319" s="42"/>
      <c r="K319" s="42" t="str">
        <f ca="1">IF(ISERROR(F312),"",_xlfn.TEXTJOIN("/",FALSE,R319,U319))</f>
        <v>0/150</v>
      </c>
      <c r="L319" s="42"/>
      <c r="M319" s="7" t="str">
        <f ca="1">IF(ISERROR(F312),"",IF(ISTEXT(P319),IF(P319="A","Ab",IF(P319="D","Dt",IF(P319="UFM","UFM",IF(P319="NA","")))),IF(AND(ISBLANK(P319),ISBLANK(R319)),"",IF(P319&lt;0.3*S319,"F",IF(ISBLANK(R319),"",IF(ISTEXT(R319),R319,IF(R319&gt;=0.9*U319,"O",IF(R319&gt;=0.85*U319,"A+",IF(R319&gt;=0.8*U319,"A",IF(R319&gt;=0.7*U319,"B+",IF(R319&gt;=0.6*U319,"B",IF(R319&gt;=0.5*U319,"C",IF(R319&gt;=0.4*U319,"P",IF(R319&lt;0.4*U319,"F",R319))))))))))))))</f>
        <v>F</v>
      </c>
      <c r="N319" s="8">
        <f t="shared" ca="1" si="19"/>
        <v>0</v>
      </c>
      <c r="O319">
        <f ca="1">IF(O318&gt;0,4,"")</f>
        <v>4</v>
      </c>
      <c r="P319" s="1">
        <f ca="1">IF(ISERROR(F312),"",IF(ISTEXT(VLOOKUP(B312,INDIRECT($F$8),6+(O319-1)*3)),(VLOOKUP(B312,INDIRECT($F$8),6+(O319-1)*3)),SUM(VLOOKUP(B312,INDIRECT($F$8),6+(O319-1)*3),IF(W324,W319,0))))</f>
        <v>0</v>
      </c>
      <c r="Q319" s="1">
        <f ca="1">IF(ISERROR(F312),"",VLOOKUP(B312,INDIRECT($F$8),7+(O319-1)*3))</f>
        <v>0</v>
      </c>
      <c r="R319" s="1">
        <f ca="1">IF(ISERROR(F312),"",SUM(P319:Q319))</f>
        <v>0</v>
      </c>
      <c r="S319" s="1">
        <f ca="1">IF(ISERROR(F312),"",VLOOKUP(A312,INDIRECT($F$8),6+(O319-1)*3))</f>
        <v>100</v>
      </c>
      <c r="T319" s="1">
        <f ca="1">IF(ISERROR(F312),"",VLOOKUP(A312,INDIRECT($F$8),7+(O319-1)*3))</f>
        <v>50</v>
      </c>
      <c r="U319" s="1">
        <f ca="1">IF(ISERROR(F312),"",VLOOKUP(A312,INDIRECT($F$8),8+(O319-1)*3))</f>
        <v>150</v>
      </c>
      <c r="V319" s="1" t="str">
        <f ca="1">IF(ISERROR(F312),"",IF(N319=0,A319,""))</f>
        <v>CAT 030</v>
      </c>
      <c r="W319" s="1">
        <f ca="1">IF(ISERROR(F312),"",IF(ISTEXT(VLOOKUP(B312,INDIRECT($F$8),6+(O319-1)*3)),11,IF(VLOOKUP(B312,INDIRECT($F$8),6+(O319-1)*3)&lt;S319*0.3,IF(VLOOKUP(B312,INDIRECT($F$8),8+(O319-1)*3)&lt;U319*0.4,IF(AND(0.4*U319-VLOOKUP(B312,INDIRECT($F$8),8+(O319-1)*3)&lt;=5,0.3*S319-VLOOKUP(B312,INDIRECT($F$8),6+(O319-1)*3)&lt;=5),MAX(0.4*U319-VLOOKUP(B312,INDIRECT($F$8),8+(O319-1)*3),0.3*S319-VLOOKUP(B312,INDIRECT($F$8),6+(O319-1)*3)),11),IF(0.3*S319-VLOOKUP(B312,INDIRECT($F$8),6+(O319-1)*3)&lt;=5,0.3*S319-VLOOKUP(B312,INDIRECT($F$8),6+(O319-1)*3),11)),IF(VLOOKUP(B312,INDIRECT($F$8),8+(O319-1)*3)&lt;U319*0.4,IF(U319*0.4-VLOOKUP(B312,INDIRECT($F$8),8+(O319-1)*3)&lt;=5,U319*0.4-VLOOKUP(B312,INDIRECT($F$8),8+(O319-1)*3),11),0))))</f>
        <v>11</v>
      </c>
      <c r="X319" s="1" t="str">
        <f ca="1">IF(ISERROR(F312),"",IF(W319=0,"",_xlfn.TEXTJOIN("",FALSE," G+",W319," in ",A319)))</f>
        <v xml:space="preserve"> G+11 in CAT 030</v>
      </c>
    </row>
    <row r="320" spans="1:24" ht="12.75" customHeight="1" x14ac:dyDescent="0.2">
      <c r="A320" s="7" t="str">
        <f ca="1">IF(ISERROR(F312),"",VLOOKUP(C312,INDIRECT($F$8),6+(O320-1)*3,0))</f>
        <v>Enroll No.</v>
      </c>
      <c r="B320" s="41">
        <f ca="1">IF(ISERROR(F312),"",VLOOKUP(D312,INDIRECT($F$8),6+(O320-1)*3,0))</f>
        <v>0</v>
      </c>
      <c r="C320" s="41"/>
      <c r="D320" s="41"/>
      <c r="E320" s="41"/>
      <c r="F320" s="7">
        <f ca="1">IF(ISERROR(F312),"",VLOOKUP(E312,INDIRECT($F$8),6+(O320-1)*3,0))</f>
        <v>0</v>
      </c>
      <c r="G320" s="42" t="str">
        <f ca="1">IF(ISERROR(F312),"",_xlfn.TEXTJOIN("/",FALSE,P320,S320))</f>
        <v>UTU/2406100196/0</v>
      </c>
      <c r="H320" s="42"/>
      <c r="I320" s="42" t="str">
        <f ca="1">IF(ISERROR(F312),"",_xlfn.TEXTJOIN("/",FALSE,Q320,T320))</f>
        <v>SHARAD NIJWALA/0</v>
      </c>
      <c r="J320" s="42"/>
      <c r="K320" s="42" t="str">
        <f ca="1">IF(ISERROR(F312),"",_xlfn.TEXTJOIN("/",FALSE,R320,U320))</f>
        <v>0/0</v>
      </c>
      <c r="L320" s="42"/>
      <c r="M320" s="7" t="b">
        <f ca="1">IF(ISERROR(F312),"",IF(ISTEXT(P320),IF(P320="A","Ab",IF(P320="D","Dt",IF(P320="UFM","UFM",IF(P320="NA","")))),IF(AND(ISBLANK(P320),ISBLANK(R320)),"",IF(P320&lt;0.3*S320,"F",IF(ISBLANK(R320),"",IF(ISTEXT(R320),R320,IF(R320&gt;=0.9*U320,"O",IF(R320&gt;=0.85*U320,"A+",IF(R320&gt;=0.8*U320,"A",IF(R320&gt;=0.7*U320,"B+",IF(R320&gt;=0.6*U320,"B",IF(R320&gt;=0.5*U320,"C",IF(R320&gt;=0.4*U320,"P",IF(R320&lt;0.4*U320,"F",R320))))))))))))))</f>
        <v>0</v>
      </c>
      <c r="N320" s="8" t="e">
        <f t="shared" ca="1" si="19"/>
        <v>#N/A</v>
      </c>
      <c r="O320" t="b" cm="1">
        <f t="array" aca="1" ref="O320" ca="1">IF(NOT(ISBLANK(INDIRECT("SEM_IV!R"&amp;INT((ROW(O320)-16)/16)+6))),5,IF(NOT(ISBLANK(INDIRECT("SEM_IV!U"&amp;INT((ROW(O320)-16)/16)+6))),6))</f>
        <v>0</v>
      </c>
      <c r="P320" s="1" t="str">
        <f ca="1">IF(ISERROR(F312),"",IF(ISTEXT(VLOOKUP(B312,INDIRECT($F$8),6+(O320-1)*3)),(VLOOKUP(B312,INDIRECT($F$8),6+(O320-1)*3)),SUM(VLOOKUP(B312,INDIRECT($F$8),6+(O320-1)*3),IF(W324,W320,0))))</f>
        <v>UTU/2406100196</v>
      </c>
      <c r="Q320" s="1" t="str">
        <f ca="1">IF(ISERROR(F312),"",VLOOKUP(B312,INDIRECT($F$8),7+(O320-1)*3))</f>
        <v>SHARAD NIJWALA</v>
      </c>
      <c r="R320" s="1">
        <f ca="1">IF(ISERROR(F312),"",SUM(P320:Q320))</f>
        <v>0</v>
      </c>
      <c r="S320" s="1">
        <f ca="1">IF(ISERROR(F312),"",VLOOKUP(A312,INDIRECT($F$8),6+(O320-1)*3))</f>
        <v>0</v>
      </c>
      <c r="T320" s="1">
        <f ca="1">IF(ISERROR(F312),"",VLOOKUP(A312,INDIRECT($F$8),7+(O320-1)*3))</f>
        <v>0</v>
      </c>
      <c r="U320" s="1">
        <f ca="1">IF(ISERROR(F312),"",VLOOKUP(A312,INDIRECT($F$8),8+(O320-1)*3))</f>
        <v>0</v>
      </c>
      <c r="V320" s="1" t="e">
        <f ca="1">IF(ISERROR(F312),"",IF(N320=0,A320,""))</f>
        <v>#N/A</v>
      </c>
      <c r="W320" s="1">
        <f ca="1">IF(ISERROR(F312),"",IF(ISTEXT(VLOOKUP(B312,INDIRECT($F$8),6+(O320-1)*3)),11,IF(VLOOKUP(B312,INDIRECT($F$8),6+(O320-1)*3)&lt;S320*0.3,IF(VLOOKUP(B312,INDIRECT($F$8),8+(O320-1)*3)&lt;U320*0.4,IF(AND(0.4*U320-VLOOKUP(B312,INDIRECT($F$8),8+(O320-1)*3)&lt;=5,0.3*S320-VLOOKUP(B312,INDIRECT($F$8),6+(O320-1)*3)&lt;=5),MAX(0.4*U320-VLOOKUP(B312,INDIRECT($F$8),8+(O320-1)*3),0.3*S320-VLOOKUP(B312,INDIRECT($F$8),6+(O320-1)*3)),11),IF(0.3*S320-VLOOKUP(B312,INDIRECT($F$8),6+(O320-1)*3)&lt;=5,0.3*S320-VLOOKUP(B312,INDIRECT($F$8),6+(O320-1)*3),11)),IF(VLOOKUP(B312,INDIRECT($F$8),8+(O320-1)*3)&lt;U320*0.4,IF(U320*0.4-VLOOKUP(B312,INDIRECT($F$8),8+(O320-1)*3)&lt;=5,U320*0.4-VLOOKUP(B312,INDIRECT($F$8),8+(O320-1)*3),11),0))))</f>
        <v>11</v>
      </c>
      <c r="X320" s="1" t="str">
        <f ca="1">IF(ISERROR(F312),"",IF(W320=0,"",_xlfn.TEXTJOIN("",FALSE," G+",W320," in ",A320)))</f>
        <v xml:space="preserve"> G+11 in Enroll No.</v>
      </c>
    </row>
    <row r="321" spans="1:24" ht="12.75" customHeight="1" x14ac:dyDescent="0.2">
      <c r="A321" s="7" t="str">
        <f ca="1">IF(ISERROR(F312),"",VLOOKUP(C312,INDIRECT($F$8),6+(O321-1)*3,0))</f>
        <v>CAP 011</v>
      </c>
      <c r="B321" s="41" t="str">
        <f ca="1">IF(ISERROR(F312),"",VLOOKUP(D312,INDIRECT($F$8),6+(O321-1)*3,0))</f>
        <v>Network Security Lab</v>
      </c>
      <c r="C321" s="41"/>
      <c r="D321" s="41"/>
      <c r="E321" s="41"/>
      <c r="F321" s="7">
        <f ca="1">IF(ISERROR(F312),"",VLOOKUP(E312,INDIRECT($F$8),6+(O321-1)*3,0))</f>
        <v>1</v>
      </c>
      <c r="G321" s="42" t="str">
        <f ca="1">IF(ISERROR(F312),"",_xlfn.TEXTJOIN("/",FALSE,P321,S321))</f>
        <v>0/30</v>
      </c>
      <c r="H321" s="42"/>
      <c r="I321" s="42" t="str">
        <f ca="1">IF(ISERROR(F312),"",_xlfn.TEXTJOIN("/",FALSE,Q321,T321))</f>
        <v>0/20</v>
      </c>
      <c r="J321" s="42"/>
      <c r="K321" s="42" t="str">
        <f ca="1">IF(ISERROR(F312),"",_xlfn.TEXTJOIN("/",FALSE,R321,U321))</f>
        <v>0/50</v>
      </c>
      <c r="L321" s="42"/>
      <c r="M321" s="7" t="str">
        <f ca="1">IF(ISERROR(F312),"",IF(ISTEXT(P321),IF(P321="A","Ab",IF(P321="D","Dt",IF(P321="UFM","UFM",IF(P321="NA","")))),IF(AND(ISBLANK(P321),ISBLANK(R321)),"",IF(P321&lt;0.3*S321,"F",IF(ISBLANK(R321),"",IF(ISTEXT(R321),R321,IF(R321&gt;=0.9*U321,"O",IF(R321&gt;=0.85*U321,"A+",IF(R321&gt;=0.8*U321,"A",IF(R321&gt;=0.7*U321,"B+",IF(R321&gt;=0.6*U321,"B",IF(R321&gt;=0.5*U321,"C",IF(R321&gt;=0.4*U321,"P",IF(R321&lt;0.4*U321,"F",R321))))))))))))))</f>
        <v>F</v>
      </c>
      <c r="N321" s="8">
        <f t="shared" ca="1" si="19"/>
        <v>0</v>
      </c>
      <c r="O321">
        <f ca="1">IF(O320&gt;0,7,"")</f>
        <v>7</v>
      </c>
      <c r="P321" s="1">
        <f ca="1">IF(ISERROR(F312),"",IF(ISTEXT(VLOOKUP(B312,INDIRECT($F$8),6+(O321-1)*3)),(VLOOKUP(B312,INDIRECT($F$8),6+(O321-1)*3)),SUM(VLOOKUP(B312,INDIRECT($F$8),6+(O321-1)*3),IF(W324,W321,0))))</f>
        <v>0</v>
      </c>
      <c r="Q321" s="1">
        <f ca="1">IF(ISERROR(F312),"",VLOOKUP(B312,INDIRECT($F$8),7+(O321-1)*3))</f>
        <v>0</v>
      </c>
      <c r="R321" s="1">
        <f ca="1">IF(ISERROR(F312),"",SUM(P321:Q321))</f>
        <v>0</v>
      </c>
      <c r="S321" s="1">
        <f ca="1">IF(ISERROR(F312),"",VLOOKUP(A312,INDIRECT($F$8),6+(O321-1)*3))</f>
        <v>30</v>
      </c>
      <c r="T321" s="1">
        <f ca="1">IF(ISERROR(F312),"",VLOOKUP(A312,INDIRECT($F$8),7+(O321-1)*3))</f>
        <v>20</v>
      </c>
      <c r="U321" s="1">
        <f ca="1">IF(ISERROR(F312),"",VLOOKUP(A312,INDIRECT($F$8),8+(O321-1)*3))</f>
        <v>50</v>
      </c>
      <c r="V321" s="1" t="str">
        <f ca="1">IF(ISERROR(F312),"",IF(N321=0,A321,""))</f>
        <v>CAP 011</v>
      </c>
      <c r="W321" s="1">
        <f ca="1">IF(ISERROR(F312),"",IF(ISTEXT(VLOOKUP(B312,INDIRECT($F$8),6+(O321-1)*3)),11,IF(VLOOKUP(B312,INDIRECT($F$8),6+(O321-1)*3)&lt;S321*0.3,IF(VLOOKUP(B312,INDIRECT($F$8),8+(O321-1)*3)&lt;U321*0.4,IF(AND(0.4*U321-VLOOKUP(B312,INDIRECT($F$8),8+(O321-1)*3)&lt;=5,0.3*S321-VLOOKUP(B312,INDIRECT($F$8),6+(O321-1)*3)&lt;=5),MAX(0.4*U321-VLOOKUP(B312,INDIRECT($F$8),8+(O321-1)*3),0.3*S321-VLOOKUP(B312,INDIRECT($F$8),6+(O321-1)*3)),11),IF(0.3*S321-VLOOKUP(B312,INDIRECT($F$8),6+(O321-1)*3)&lt;=5,0.3*S321-VLOOKUP(B312,INDIRECT($F$8),6+(O321-1)*3),11)),IF(VLOOKUP(B312,INDIRECT($F$8),8+(O321-1)*3)&lt;U321*0.4,IF(U321*0.4-VLOOKUP(B312,INDIRECT($F$8),8+(O321-1)*3)&lt;=5,U321*0.4-VLOOKUP(B312,INDIRECT($F$8),8+(O321-1)*3),11),0))))</f>
        <v>11</v>
      </c>
      <c r="X321" s="1" t="str">
        <f ca="1">IF(ISERROR(F312),"",IF(W321=0,"",_xlfn.TEXTJOIN("",FALSE," G+",W321," in ",A321)))</f>
        <v xml:space="preserve"> G+11 in CAP 011</v>
      </c>
    </row>
    <row r="322" spans="1:24" ht="12.75" customHeight="1" x14ac:dyDescent="0.2">
      <c r="A322" s="7" t="str">
        <f ca="1">IF(ISERROR(F312),"",VLOOKUP(C312,INDIRECT($F$8),6+(O322-1)*3,0))</f>
        <v>Enroll No.</v>
      </c>
      <c r="B322" s="41">
        <f ca="1">IF(ISERROR(F312),"",VLOOKUP(D312,INDIRECT($F$8),6+(O322-1)*3,0))</f>
        <v>0</v>
      </c>
      <c r="C322" s="41"/>
      <c r="D322" s="41"/>
      <c r="E322" s="41"/>
      <c r="F322" s="7">
        <f ca="1">IF(ISERROR(F312),"",VLOOKUP(E312,INDIRECT($F$8),6+(O322-1)*3,0))</f>
        <v>0</v>
      </c>
      <c r="G322" s="42" t="str">
        <f ca="1">IF(ISERROR(F312),"",_xlfn.TEXTJOIN("/",FALSE,P322,S322))</f>
        <v>UTU/2406100196/0</v>
      </c>
      <c r="H322" s="42"/>
      <c r="I322" s="42" t="str">
        <f ca="1">IF(ISERROR(F312),"",_xlfn.TEXTJOIN("/",FALSE,Q322,T322))</f>
        <v>SHARAD NIJWALA/0</v>
      </c>
      <c r="J322" s="42"/>
      <c r="K322" s="42" t="str">
        <f ca="1">IF(ISERROR(F312),"",_xlfn.TEXTJOIN("/",FALSE,R322,U322))</f>
        <v>0/0</v>
      </c>
      <c r="L322" s="42"/>
      <c r="M322" s="7" t="b">
        <f ca="1">IF(ISERROR(F312),"",IF(ISTEXT(P322),IF(P322="A","Ab",IF(P322="D","Dt",IF(P322="UFM","UFM",IF(P322="NA","")))),IF(AND(ISBLANK(P322),ISBLANK(R322)),"",IF(P322&lt;0.3*S322,"F",IF(ISBLANK(R322),"",IF(ISTEXT(R322),R322,IF(R322&gt;=0.9*U322,"O",IF(R322&gt;=0.85*U322,"A+",IF(R322&gt;=0.8*U322,"A",IF(R322&gt;=0.7*U322,"B+",IF(R322&gt;=0.6*U322,"B",IF(R322&gt;=0.5*U322,"C",IF(R322&gt;=0.4*U322,"P",IF(R322&lt;0.4*U322,"F",R322))))))))))))))</f>
        <v>0</v>
      </c>
      <c r="N322" s="8" t="e">
        <f t="shared" ca="1" si="19"/>
        <v>#N/A</v>
      </c>
      <c r="O322" t="b" cm="1">
        <f t="array" aca="1" ref="O322" ca="1">IF(NOT(ISBLANK(INDIRECT("SEM_IV!AA"&amp;INT((ROW(O322)-18)/16)+6))),8,IF(NOT(ISBLANK(INDIRECT("SEM_IV!AD"&amp;INT((ROW(O322)-18)/16)+6))),9))</f>
        <v>0</v>
      </c>
      <c r="P322" s="1" t="str">
        <f ca="1">IF(ISERROR(F312),"",IF(ISTEXT(VLOOKUP(B312,INDIRECT($F$8),6+(O322-1)*3)),(VLOOKUP(B312,INDIRECT($F$8),6+(O322-1)*3)),SUM(VLOOKUP(B312,INDIRECT($F$8),6+(O322-1)*3),IF(W324,W322,0))))</f>
        <v>UTU/2406100196</v>
      </c>
      <c r="Q322" s="1" t="str">
        <f ca="1">IF(ISERROR(F312),"",VLOOKUP(B312,INDIRECT($F$8),7+(O322-1)*3))</f>
        <v>SHARAD NIJWALA</v>
      </c>
      <c r="R322" s="1">
        <f ca="1">IF(ISERROR(F312),"",SUM(P322:Q322))</f>
        <v>0</v>
      </c>
      <c r="S322" s="1">
        <f ca="1">IF(ISERROR(F312),"",VLOOKUP(A312,INDIRECT($F$8),6+(O322-1)*3))</f>
        <v>0</v>
      </c>
      <c r="T322" s="1">
        <f ca="1">IF(ISERROR(F312),"",VLOOKUP(A312,INDIRECT($F$8),7+(O322-1)*3))</f>
        <v>0</v>
      </c>
      <c r="U322" s="1">
        <f ca="1">IF(ISERROR(F312),"",VLOOKUP(A312,INDIRECT($F$8),8+(O322-1)*3))</f>
        <v>0</v>
      </c>
      <c r="V322" s="1" t="e">
        <f ca="1">IF(ISERROR(F312),"",IF(N322=0,A322,""))</f>
        <v>#N/A</v>
      </c>
      <c r="W322" s="1">
        <f ca="1">IF(ISERROR(F312),"",IF(ISTEXT(VLOOKUP(B312,INDIRECT($F$8),6+(O322-1)*3)),11,IF(VLOOKUP(B312,INDIRECT($F$8),6+(O322-1)*3)&lt;S322*0.3,IF(VLOOKUP(B312,INDIRECT($F$8),8+(O322-1)*3)&lt;U322*0.4,IF(AND(0.4*U322-VLOOKUP(B312,INDIRECT($F$8),8+(O322-1)*3)&lt;=5,0.3*S322-VLOOKUP(B312,INDIRECT($F$8),6+(O322-1)*3)&lt;=5),MAX(0.4*U322-VLOOKUP(B312,INDIRECT($F$8),8+(O322-1)*3),0.3*S322-VLOOKUP(B312,INDIRECT($F$8),6+(O322-1)*3)),11),IF(0.3*S322-VLOOKUP(B312,INDIRECT($F$8),6+(O322-1)*3)&lt;=5,0.3*S322-VLOOKUP(B312,INDIRECT($F$8),6+(O322-1)*3),11)),IF(VLOOKUP(B312,INDIRECT($F$8),8+(O322-1)*3)&lt;U322*0.4,IF(U322*0.4-VLOOKUP(B312,INDIRECT($F$8),8+(O322-1)*3)&lt;=5,U322*0.4-VLOOKUP(B312,INDIRECT($F$8),8+(O322-1)*3),11),0))))</f>
        <v>11</v>
      </c>
      <c r="X322" s="1" t="str">
        <f ca="1">IF(ISERROR(F312),"",IF(W322=0,"",_xlfn.TEXTJOIN("",FALSE," G+",W322," in ",A322)))</f>
        <v xml:space="preserve"> G+11 in Enroll No.</v>
      </c>
    </row>
    <row r="323" spans="1:24" ht="12.75" customHeight="1" x14ac:dyDescent="0.2">
      <c r="A323" s="7" t="str">
        <f ca="1">IF(ISERROR(F312),"",VLOOKUP(C312,INDIRECT($F$8),6+(O323-1)*3,0))</f>
        <v>CAP 013</v>
      </c>
      <c r="B323" s="41" t="str">
        <f ca="1">IF(ISERROR(F312),"",VLOOKUP(D312,INDIRECT($F$8),6+(O323-1)*3-Z323,0))</f>
        <v>Major Project</v>
      </c>
      <c r="C323" s="41"/>
      <c r="D323" s="41"/>
      <c r="E323" s="41"/>
      <c r="F323" s="7">
        <f ca="1">IF(ISERROR(F312),"",VLOOKUP(E312,INDIRECT($F$8),6+(O323-1)*3,0))</f>
        <v>6</v>
      </c>
      <c r="G323" s="42" t="str">
        <f ca="1">IF(ISERROR(F312),"",_xlfn.TEXTJOIN("/",FALSE,P323,S323))</f>
        <v>0/200</v>
      </c>
      <c r="H323" s="42"/>
      <c r="I323" s="42" t="str">
        <f ca="1">IF(ISERROR(F312),"",_xlfn.TEXTJOIN("/",FALSE,Q323,T323))</f>
        <v>0/100</v>
      </c>
      <c r="J323" s="42"/>
      <c r="K323" s="42" t="str">
        <f ca="1">IF(ISERROR(F312),"",_xlfn.TEXTJOIN("/",FALSE,R323,U323))</f>
        <v>0/300</v>
      </c>
      <c r="L323" s="42"/>
      <c r="M323" s="7" t="str">
        <f ca="1">IF(ISERROR(F312),"",IF(ISTEXT(P323),IF(P323="A","Ab",IF(P323="D","Dt",IF(P323="UFM","UFM",IF(P323="NA","")))),IF(AND(ISBLANK(P323),ISBLANK(R323)),"",IF(P323&lt;0.3*S323,"F",IF(ISBLANK(R323),"",IF(ISTEXT(R323),R323,IF(R323&gt;=0.9*U323,"O",IF(R323&gt;=0.85*U323,"A+",IF(R323&gt;=0.8*U323,"A",IF(R323&gt;=0.7*U323,"B+",IF(R323&gt;=0.6*U323,"B",IF(R323&gt;=0.5*U323,"C",IF(R323&gt;=0.4*U323,"P",IF(R323&lt;0.4*U323,"F",R323))))))))))))))</f>
        <v>F</v>
      </c>
      <c r="N323" s="8">
        <f t="shared" ca="1" si="19"/>
        <v>0</v>
      </c>
      <c r="O323">
        <f ca="1">IF(O322&gt;0,10,"")</f>
        <v>10</v>
      </c>
      <c r="P323" s="1">
        <f ca="1">IF(ISERROR(F312),"",IF(ISTEXT(VLOOKUP(B312,INDIRECT($F$8),6+(O323-1)*3)),(VLOOKUP(B312,INDIRECT($F$8),6+(O323-1)*3)),SUM(VLOOKUP(B312,INDIRECT($F$8),6+(O323-1)*3),IF(W324,W323,0))))</f>
        <v>0</v>
      </c>
      <c r="Q323" s="1">
        <f ca="1">IF(ISERROR(F312),"",VLOOKUP(B312,INDIRECT($F$8),7+(O323-1)*3))</f>
        <v>0</v>
      </c>
      <c r="R323" s="1">
        <f ca="1">IF(ISERROR(F312),"",SUM(P323:Q323))</f>
        <v>0</v>
      </c>
      <c r="S323" s="1">
        <f ca="1">IF(ISERROR(F312),"",VLOOKUP(A312,INDIRECT($F$8),6+(O323-1)*3))</f>
        <v>200</v>
      </c>
      <c r="T323" s="1">
        <f ca="1">IF(ISERROR(F312),"",VLOOKUP(A312,INDIRECT($F$8),7+(O323-1)*3))</f>
        <v>100</v>
      </c>
      <c r="U323" s="1">
        <f ca="1">IF(ISERROR(F312),"",VLOOKUP(A312,INDIRECT($F$8),8+(O323-1)*3))</f>
        <v>300</v>
      </c>
      <c r="V323" s="1" t="str">
        <f ca="1">IF(ISERROR(F312),"",IF(N323=0,A323,""))</f>
        <v>CAP 013</v>
      </c>
      <c r="W323" s="1">
        <f ca="1">IF(ISERROR(F312),"",IF(ISTEXT(VLOOKUP(B312,INDIRECT($F$8),6+(O323-1)*3)),11,IF(VLOOKUP(B312,INDIRECT($F$8),6+(O323-1)*3)&lt;S323*0.3,IF(VLOOKUP(B312,INDIRECT($F$8),8+(O323-1)*3)&lt;U323*0.4,IF(AND(0.4*U323-VLOOKUP(B312,INDIRECT($F$8),8+(O323-1)*3)&lt;=5,0.3*S323-VLOOKUP(B312,INDIRECT($F$8),6+(O323-1)*3)&lt;=5),MAX(0.4*U323-VLOOKUP(B312,INDIRECT($F$8),8+(O323-1)*3),0.3*S323-VLOOKUP(B312,INDIRECT($F$8),6+(O323-1)*3)),11),IF(0.3*S323-VLOOKUP(B312,INDIRECT($F$8),6+(O323-1)*3)&lt;=5,0.3*S323-VLOOKUP(B312,INDIRECT($F$8),6+(O323-1)*3),11)),IF(VLOOKUP(B312,INDIRECT($F$8),8+(O323-1)*3)&lt;U323*0.4,IF(U323*0.4-VLOOKUP(B312,INDIRECT($F$8),8+(O323-1)*3)&lt;=5,U323*0.4-VLOOKUP(B312,INDIRECT($F$8),8+(O323-1)*3),11),0))))</f>
        <v>11</v>
      </c>
      <c r="X323" s="1" t="str">
        <f ca="1">IF(ISERROR(F312),"",IF(W323=0,"",_xlfn.TEXTJOIN("",FALSE," G+",W323," in ",A323)))</f>
        <v xml:space="preserve"> G+11 in CAP 013</v>
      </c>
    </row>
    <row r="324" spans="1:24" ht="12.75" customHeight="1" x14ac:dyDescent="0.2">
      <c r="A324" s="43" t="str">
        <f ca="1">IF(ISERROR(F312),"",A308)</f>
        <v>Total Credits/ Marks/ Total Grade Points</v>
      </c>
      <c r="B324" s="43"/>
      <c r="C324" s="43"/>
      <c r="D324" s="43"/>
      <c r="E324" s="43"/>
      <c r="F324" s="10">
        <f ca="1">IF(ISERROR(F312),"",SUM(F317:F323))</f>
        <v>15</v>
      </c>
      <c r="G324" s="44" t="str">
        <f ca="1">IF(ISERROR(F312),"",_xlfn.TEXTJOIN("/",TRUE,SUMIF(F317:F323,"&gt;0",P317:P323),SUMIF(F317:F323,"&gt;0",S317:S323)))</f>
        <v>0/430</v>
      </c>
      <c r="H324" s="44"/>
      <c r="I324" s="44" t="str">
        <f ca="1">IF(ISERROR(F312),"",_xlfn.TEXTJOIN("/",TRUE,SUMIF(F317:F323,"&gt;0",Q317:Q323),SUMIF(F317:F323,"&gt;0",T317:T323)))</f>
        <v>0/220</v>
      </c>
      <c r="J324" s="44"/>
      <c r="K324" s="44" t="str">
        <f ca="1">IF(ISERROR(F312),"",_xlfn.TEXTJOIN("/",TRUE,SUMIF(F317:F323,"&gt;0",R317:R323),SUMIF(F317:F323,"&gt;0",U317:U323)))</f>
        <v>0/650</v>
      </c>
      <c r="L324" s="44"/>
      <c r="M324" s="43" t="e">
        <f ca="1">IF(ISERROR(F312),"",SUMPRODUCT(N317:N323,F317:F323))</f>
        <v>#N/A</v>
      </c>
      <c r="N324" s="43"/>
      <c r="V324" s="1" t="e">
        <f ca="1">IF(ISERROR(F312),"",_xlfn.TEXTJOIN(", ",TRUE,V317:V323))</f>
        <v>#N/A</v>
      </c>
      <c r="W324" t="b">
        <f ca="1">IF(ISERROR(F312),"",IF(SUM(W317:W323)&lt;=W316,TRUE,FALSE))</f>
        <v>0</v>
      </c>
      <c r="X324" s="1" t="str">
        <f ca="1">IF(ISERROR(F312),"",_xlfn.TEXTJOIN(",",TRUE,X317:X323))</f>
        <v xml:space="preserve"> G+11 in CAT 022, G+11 in Enroll No., G+11 in CAT 030, G+11 in Enroll No., G+11 in CAP 011, G+11 in Enroll No., G+11 in CAP 013</v>
      </c>
    </row>
    <row r="325" spans="1:24" ht="12.75" customHeight="1" x14ac:dyDescent="0.2">
      <c r="A325" s="43" t="str">
        <f ca="1">IF(ISERROR(F312),"",A309)</f>
        <v>Result:</v>
      </c>
      <c r="B325" s="45" t="e">
        <f ca="1">IF(ISERROR(F312),"",IF(V324="","PASS","CARRY OVER"))</f>
        <v>#N/A</v>
      </c>
      <c r="C325" s="45"/>
      <c r="D325" s="43" t="str">
        <f ca="1">IF(ISERROR(F312),"",D309)</f>
        <v>Remark:</v>
      </c>
      <c r="E325" s="45" t="e">
        <f ca="1">IF(ISERROR(F312),"",IF(V324="",IF(X324="","",X324),_xlfn.TEXTJOIN(" ",TRUE,"BACK IN",V324)))</f>
        <v>#N/A</v>
      </c>
      <c r="F325" s="45"/>
      <c r="G325" s="43" t="str">
        <f ca="1">IF(ISERROR(F312),"",G309)</f>
        <v>SGPA:</v>
      </c>
      <c r="H325" s="46" t="e">
        <f ca="1">IF(ISERROR(F312),"",M324/F324)</f>
        <v>#N/A</v>
      </c>
      <c r="I325" s="43" t="str">
        <f ca="1">IF(ISERROR(F312),"",I309)</f>
        <v>CGPA:</v>
      </c>
      <c r="J325" s="46" t="e">
        <f ca="1">IF(ISERROR(F312),"",VLOOKUP(B312,INDIRECT($F$8),12+(O323-1)*3,0))</f>
        <v>#N/A</v>
      </c>
      <c r="K325" s="45" t="str">
        <f ca="1">IF(ISERROR(F312),"",K309)</f>
        <v>Earned Credits:</v>
      </c>
      <c r="L325" s="43">
        <f ca="1">IF(ISERROR(F312),"",SUMIF(N317:N323,"&gt;0",F317:F323))</f>
        <v>0</v>
      </c>
      <c r="M325" s="45" t="str">
        <f ca="1">IF(ISERROR(F312),"",M309)</f>
        <v>Cuml. Earned Credits:</v>
      </c>
      <c r="N325" s="43" t="e">
        <f ca="1">IF(ISERROR(F312),"",VLOOKUP(B312,INDIRECT($F$8),10+(O323-1)*3,0))</f>
        <v>#N/A</v>
      </c>
    </row>
    <row r="326" spans="1:24" ht="12.75" customHeight="1" x14ac:dyDescent="0.2">
      <c r="A326" s="43"/>
      <c r="B326" s="45"/>
      <c r="C326" s="45"/>
      <c r="D326" s="43"/>
      <c r="E326" s="45"/>
      <c r="F326" s="45"/>
      <c r="G326" s="43"/>
      <c r="H326" s="46"/>
      <c r="I326" s="43"/>
      <c r="J326" s="46"/>
      <c r="K326" s="45"/>
      <c r="L326" s="43"/>
      <c r="M326" s="45"/>
      <c r="N326" s="43"/>
    </row>
    <row r="327" spans="1:24" ht="12.75" customHeight="1" x14ac:dyDescent="0.2">
      <c r="A327" s="43"/>
      <c r="B327" s="45"/>
      <c r="C327" s="45"/>
      <c r="D327" s="43"/>
      <c r="E327" s="45"/>
      <c r="F327" s="45"/>
      <c r="G327" s="43"/>
      <c r="H327" s="46"/>
      <c r="I327" s="43"/>
      <c r="J327" s="46"/>
      <c r="K327" s="45"/>
      <c r="L327" s="43"/>
      <c r="M327" s="45"/>
      <c r="N327" s="43"/>
    </row>
    <row r="328" spans="1:24" ht="12.75" customHeight="1" x14ac:dyDescent="0.2">
      <c r="A328" s="11" t="str">
        <f>A312</f>
        <v>MM</v>
      </c>
      <c r="B328" s="11">
        <f>B312+1</f>
        <v>21</v>
      </c>
      <c r="C328" s="11" t="str">
        <f>C312</f>
        <v>SC</v>
      </c>
      <c r="D328" s="11" t="str">
        <f>D312</f>
        <v>SN</v>
      </c>
      <c r="E328" s="11" t="str">
        <f>E312</f>
        <v>C</v>
      </c>
      <c r="F328" s="11" t="str">
        <f ca="1">VLOOKUP(B328,INDIRECT($F$8),4,0)</f>
        <v>SHIKHA</v>
      </c>
    </row>
    <row r="329" spans="1:24" ht="12.75" customHeight="1" x14ac:dyDescent="0.2">
      <c r="A329" s="47" t="str">
        <f ca="1">IF(ISERROR(F328),"",A313)</f>
        <v>Name:</v>
      </c>
      <c r="B329" s="47" t="str">
        <f ca="1">IFERROR(VLOOKUP(B328,INDIRECT($F$8),4,0),"")</f>
        <v>SHIKHA</v>
      </c>
      <c r="C329" s="47"/>
      <c r="D329" s="47" t="str">
        <f ca="1">IF(ISERROR(F328),"",D313)</f>
        <v>Father's Name:</v>
      </c>
      <c r="E329" s="47" t="str">
        <f ca="1">IFERROR(VLOOKUP(B328,INDIRECT($F$8),5,0),"")</f>
        <v>UPENDRA SINGH SEMWAL</v>
      </c>
      <c r="F329" s="47"/>
      <c r="G329" s="47" t="str">
        <f ca="1">IF(ISERROR(F328),"",G313)</f>
        <v>University Roll No:</v>
      </c>
      <c r="H329" s="47"/>
      <c r="I329" s="48">
        <f ca="1">IFERROR(VLOOKUP(B328,INDIRECT($F$8),2,0),"")</f>
        <v>240090600021</v>
      </c>
      <c r="J329" s="48"/>
      <c r="K329" s="47" t="str">
        <f ca="1">IF(ISERROR(F328),"",K313)</f>
        <v>University Enrol. No:</v>
      </c>
      <c r="L329" s="47"/>
      <c r="M329" s="48" t="str">
        <f ca="1">IFERROR(VLOOKUP(B328,INDIRECT($F$8),3,0),"")</f>
        <v>UTU/2406100176</v>
      </c>
      <c r="N329" s="48"/>
    </row>
    <row r="330" spans="1:24" ht="12.75" customHeight="1" x14ac:dyDescent="0.2">
      <c r="A330" s="47"/>
      <c r="B330" s="47"/>
      <c r="C330" s="47"/>
      <c r="D330" s="47"/>
      <c r="E330" s="47"/>
      <c r="F330" s="47"/>
      <c r="G330" s="47"/>
      <c r="H330" s="47"/>
      <c r="I330" s="48"/>
      <c r="J330" s="48"/>
      <c r="K330" s="47"/>
      <c r="L330" s="47"/>
      <c r="M330" s="48"/>
      <c r="N330" s="48"/>
    </row>
    <row r="331" spans="1:24" ht="12.75" customHeight="1" x14ac:dyDescent="0.2">
      <c r="A331" s="45" t="str">
        <f ca="1">IF(ISERROR(F328),"",A315)</f>
        <v>Subject Code</v>
      </c>
      <c r="B331" s="45" t="str">
        <f ca="1">IF(ISERROR(F328),"",B315)</f>
        <v>Subject Name</v>
      </c>
      <c r="C331" s="45"/>
      <c r="D331" s="45"/>
      <c r="E331" s="45"/>
      <c r="F331" s="45" t="str">
        <f ca="1">IF(ISERROR(F328),"",F315)</f>
        <v>Credits</v>
      </c>
      <c r="G331" s="45" t="str">
        <f ca="1">IF(ISERROR(F328),"",G315)</f>
        <v>External Marks</v>
      </c>
      <c r="H331" s="45"/>
      <c r="I331" s="45" t="str">
        <f ca="1">IF(ISERROR(F328),"",I315)</f>
        <v>Sessional Marks</v>
      </c>
      <c r="J331" s="45"/>
      <c r="K331" s="45" t="str">
        <f ca="1">IF(ISERROR(F328),"",K315)</f>
        <v>Total Marks</v>
      </c>
      <c r="L331" s="45"/>
      <c r="M331" s="45" t="str">
        <f ca="1">IF(ISERROR(F328),"",M315)</f>
        <v>Grade</v>
      </c>
      <c r="N331" s="45" t="str">
        <f ca="1">IF(ISERROR(F328),"",N315)</f>
        <v>Grade Points</v>
      </c>
    </row>
    <row r="332" spans="1:24" ht="12.75" customHeight="1" x14ac:dyDescent="0.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W332">
        <f ca="1">IF(ISNUMBER(MATCH($F$8,{"I","III","V","VII"},0)),10,10-INDEX(INDIRECT(_xlfn.TEXTJOIN("",TRUE,"SEM_",$G$8,"!",ADDRESS(6,4+$I$8*3+4),":",ADDRESS(5+$H$8,4+$I$8*3+4))),MATCH(INDIRECT(_xlfn.TEXTJOIN("",TRUE,"TC_",$F$8,"!",ADDRESS(ROW(I329),COLUMN(I329)))),INDIRECT(_xlfn.TEXTJOIN("",TRUE,"SEM_",$G$8,"!",ADDRESS(6,2),":",ADDRESS(5+$H$8,2))))))</f>
        <v>10</v>
      </c>
    </row>
    <row r="333" spans="1:24" ht="12.75" customHeight="1" x14ac:dyDescent="0.2">
      <c r="A333" s="7" t="str">
        <f ca="1">IF(ISERROR(F328),"",VLOOKUP(C328,INDIRECT($F$8),6+(O333-1)*3,0))</f>
        <v>CAT 022</v>
      </c>
      <c r="B333" s="41" t="str">
        <f ca="1">IF(ISERROR(F328),"",VLOOKUP(D328,INDIRECT($F$8),6+(O333-1)*3,0))</f>
        <v>Network Security</v>
      </c>
      <c r="C333" s="41"/>
      <c r="D333" s="41"/>
      <c r="E333" s="41"/>
      <c r="F333" s="7">
        <f ca="1">IF(ISERROR(F328),"",VLOOKUP(E328,INDIRECT($F$8),6+(O333-1)*3,0))</f>
        <v>4</v>
      </c>
      <c r="G333" s="42" t="str">
        <f ca="1">IF(ISERROR(F328),"",_xlfn.TEXTJOIN("/",FALSE,P333,S333))</f>
        <v>0/100</v>
      </c>
      <c r="H333" s="42"/>
      <c r="I333" s="42" t="str">
        <f ca="1">IF(ISERROR(F328),"",_xlfn.TEXTJOIN("/",FALSE,Q333,T333))</f>
        <v>0/50</v>
      </c>
      <c r="J333" s="42"/>
      <c r="K333" s="42" t="str">
        <f ca="1">IF(ISERROR(F328),"",_xlfn.TEXTJOIN("/",FALSE,R333,U333))</f>
        <v>0/150</v>
      </c>
      <c r="L333" s="42"/>
      <c r="M333" s="7" t="str">
        <f ca="1">IF(ISERROR(F328),"",IF(ISTEXT(P333),IF(P333="A","Ab",IF(P333="D","Dt",IF(P333="UFM","UFM",IF(P333="NA","")))),IF(AND(ISBLANK(P333),ISBLANK(R333)),"",IF(P333&lt;0.3*S333,"F",IF(ISBLANK(R333),"",IF(ISTEXT(R333),R333,IF(R333&gt;=0.9*U333,"O",IF(R333&gt;=0.85*U333,"A+",IF(R333&gt;=0.8*U333,"A",IF(R333&gt;=0.7*U333,"B+",IF(R333&gt;=0.6*U333,"B",IF(R333&gt;=0.5*U333,"C",IF(R333&gt;=0.4*U333,"P",IF(R333&lt;0.4*U333,"F",R333))))))))))))))</f>
        <v>F</v>
      </c>
      <c r="N333" s="8">
        <f t="shared" ref="N333:N339" ca="1" si="20">INDEX($Z$2:$Z$13,MATCH(M333,$Y$2:$Y$13,0))</f>
        <v>0</v>
      </c>
      <c r="O333">
        <v>1</v>
      </c>
      <c r="P333" s="1">
        <f ca="1">IF(ISERROR(F328),"",IF(ISTEXT(VLOOKUP(B328,INDIRECT($F$8),6+(O333-1)*3)),(VLOOKUP(B328,INDIRECT($F$8),6+(O333-1)*3)),SUM(VLOOKUP(B328,INDIRECT($F$8),6+(O333-1)*3),IF(W340,W333,0))))</f>
        <v>0</v>
      </c>
      <c r="Q333" s="1">
        <f ca="1">IF(ISERROR(F328),"",VLOOKUP(B328,INDIRECT($F$8),7+(O333-1)*3))</f>
        <v>0</v>
      </c>
      <c r="R333" s="1">
        <f ca="1">IF(ISERROR(F328),"",SUM(P333:Q333))</f>
        <v>0</v>
      </c>
      <c r="S333" s="1">
        <f ca="1">IF(ISERROR(F328),"",VLOOKUP(A328,INDIRECT($F$8),6+(O333-1)*3))</f>
        <v>100</v>
      </c>
      <c r="T333" s="1">
        <f ca="1">IF(ISERROR(F328),"",VLOOKUP(A328,INDIRECT($F$8),7+(O333-1)*3))</f>
        <v>50</v>
      </c>
      <c r="U333" s="1">
        <f ca="1">IF(ISERROR(F328),"",VLOOKUP(A328,INDIRECT($F$8),8+(O333-1)*3))</f>
        <v>150</v>
      </c>
      <c r="V333" s="1" t="str">
        <f ca="1">IF(ISERROR(F328),"",IF(N333=0,A333,""))</f>
        <v>CAT 022</v>
      </c>
      <c r="W333" s="1">
        <f ca="1">IF(ISERROR(F328),"",IF(ISTEXT(VLOOKUP(B328,INDIRECT($F$8),6+(O333-1)*3)),11,IF(VLOOKUP(B328,INDIRECT($F$8),6+(O333-1)*3)&lt;S333*0.3,IF(VLOOKUP(B328,INDIRECT($F$8),8+(O333-1)*3)&lt;U333*0.4,IF(AND(0.4*U333-VLOOKUP(B328,INDIRECT($F$8),8+(O333-1)*3)&lt;=5,0.3*S333-VLOOKUP(B328,INDIRECT($F$8),6+(O333-1)*3)&lt;=5),MAX(0.4*U333-VLOOKUP(B328,INDIRECT($F$8),8+(O333-1)*3),0.3*S333-VLOOKUP(B328,INDIRECT($F$8),6+(O333-1)*3)),11),IF(0.3*S333-VLOOKUP(B328,INDIRECT($F$8),6+(O333-1)*3)&lt;=5,0.3*S333-VLOOKUP(B328,INDIRECT($F$8),6+(O333-1)*3),11)),IF(VLOOKUP(B328,INDIRECT($F$8),8+(O333-1)*3)&lt;U333*0.4,IF(U333*0.4-VLOOKUP(B328,INDIRECT($F$8),8+(O333-1)*3)&lt;=5,U333*0.4-VLOOKUP(B328,INDIRECT($F$8),8+(O333-1)*3),11),0))))</f>
        <v>11</v>
      </c>
      <c r="X333" s="1" t="str">
        <f ca="1">IF(ISERROR(F328),"",IF(W333=0,"",_xlfn.TEXTJOIN("",FALSE," G+",W333," in ",A333)))</f>
        <v xml:space="preserve"> G+11 in CAT 022</v>
      </c>
    </row>
    <row r="334" spans="1:24" ht="12.75" customHeight="1" x14ac:dyDescent="0.2">
      <c r="A334" s="7" t="str">
        <f ca="1">IF(ISERROR(F328),"",VLOOKUP(C328,INDIRECT($F$8),6+(O334-1)*3,0))</f>
        <v>Enroll No.</v>
      </c>
      <c r="B334" s="41">
        <f ca="1">IF(ISERROR(F328),"",VLOOKUP(D328,INDIRECT($F$8),6+(O334-1)*3,0))</f>
        <v>0</v>
      </c>
      <c r="C334" s="41"/>
      <c r="D334" s="41"/>
      <c r="E334" s="41"/>
      <c r="F334" s="7">
        <f ca="1">IF(ISERROR(F328),"",VLOOKUP(E328,INDIRECT($F$8),6+(O334-1)*3,0))</f>
        <v>0</v>
      </c>
      <c r="G334" s="42" t="str">
        <f ca="1">IF(ISERROR(F328),"",_xlfn.TEXTJOIN("/",FALSE,P334,S334))</f>
        <v>UTU/2406100176/0</v>
      </c>
      <c r="H334" s="42"/>
      <c r="I334" s="42" t="str">
        <f ca="1">IF(ISERROR(F328),"",_xlfn.TEXTJOIN("/",FALSE,Q334,T334))</f>
        <v>SHIKHA/0</v>
      </c>
      <c r="J334" s="42"/>
      <c r="K334" s="42" t="str">
        <f ca="1">IF(ISERROR(F328),"",_xlfn.TEXTJOIN("/",FALSE,R334,U334))</f>
        <v>0/0</v>
      </c>
      <c r="L334" s="42"/>
      <c r="M334" s="7" t="b">
        <f ca="1">IF(ISERROR(F328),"",IF(ISTEXT(P334),IF(P334="A","Ab",IF(P334="D","Dt",IF(P334="UFM","UFM",IF(P334="NA","")))),IF(AND(ISBLANK(P334),ISBLANK(R334)),"",IF(P334&lt;0.3*S334,"F",IF(ISBLANK(R334),"",IF(ISTEXT(R334),R334,IF(R334&gt;=0.9*U334,"O",IF(R334&gt;=0.85*U334,"A+",IF(R334&gt;=0.8*U334,"A",IF(R334&gt;=0.7*U334,"B+",IF(R334&gt;=0.6*U334,"B",IF(R334&gt;=0.5*U334,"C",IF(R334&gt;=0.4*U334,"P",IF(R334&lt;0.4*U334,"F",R334))))))))))))))</f>
        <v>0</v>
      </c>
      <c r="N334" s="8" t="e">
        <f t="shared" ca="1" si="20"/>
        <v>#N/A</v>
      </c>
      <c r="O334" t="b" cm="1">
        <f t="array" aca="1" ref="O334" ca="1">IF(NOT(ISBLANK(INDIRECT("SEM_IV!I"&amp;INT((ROW(O334)-14)/16)+6))),2,IF(NOT(ISBLANK(INDIRECT("SEM_IV!L"&amp;INT((ROW(O334)-14)/16)+6))),3))</f>
        <v>0</v>
      </c>
      <c r="P334" s="1" t="str">
        <f ca="1">IF(ISERROR(F328),"",IF(ISTEXT(VLOOKUP(B328,INDIRECT($F$8),6+(O334-1)*3)),(VLOOKUP(B328,INDIRECT($F$8),6+(O334-1)*3)),SUM(VLOOKUP(B328,INDIRECT($F$8),6+(O334-1)*3),IF(W340,W334,0))))</f>
        <v>UTU/2406100176</v>
      </c>
      <c r="Q334" s="1" t="str">
        <f ca="1">IF(ISERROR(F328),"",VLOOKUP(B328,INDIRECT($F$8),7+(O334-1)*3))</f>
        <v>SHIKHA</v>
      </c>
      <c r="R334" s="1">
        <f ca="1">IF(ISERROR(F328),"",SUM(P334:Q334))</f>
        <v>0</v>
      </c>
      <c r="S334" s="1">
        <f ca="1">IF(ISERROR(F328),"",VLOOKUP(A328,INDIRECT($F$8),6+(O334-1)*3))</f>
        <v>0</v>
      </c>
      <c r="T334" s="1">
        <f ca="1">IF(ISERROR(F328),"",VLOOKUP(A328,INDIRECT($F$8),7+(O334-1)*3))</f>
        <v>0</v>
      </c>
      <c r="U334" s="1">
        <f ca="1">IF(ISERROR(F328),"",VLOOKUP(A328,INDIRECT($F$8),8+(O334-1)*3))</f>
        <v>0</v>
      </c>
      <c r="V334" s="1" t="e">
        <f ca="1">IF(ISERROR(F328),"",IF(N334=0,A334,""))</f>
        <v>#N/A</v>
      </c>
      <c r="W334" s="1">
        <f ca="1">IF(ISERROR(F328),"",IF(ISTEXT(VLOOKUP(B328,INDIRECT($F$8),6+(O334-1)*3)),11,IF(VLOOKUP(B328,INDIRECT($F$8),6+(O334-1)*3)&lt;S334*0.3,IF(VLOOKUP(B328,INDIRECT($F$8),8+(O334-1)*3)&lt;U334*0.4,IF(AND(0.4*U334-VLOOKUP(B328,INDIRECT($F$8),8+(O334-1)*3)&lt;=5,0.3*S334-VLOOKUP(B328,INDIRECT($F$8),6+(O334-1)*3)&lt;=5),MAX(0.4*U334-VLOOKUP(B328,INDIRECT($F$8),8+(O334-1)*3),0.3*S334-VLOOKUP(B328,INDIRECT($F$8),6+(O334-1)*3)),11),IF(0.3*S334-VLOOKUP(B328,INDIRECT($F$8),6+(O334-1)*3)&lt;=5,0.3*S334-VLOOKUP(B328,INDIRECT($F$8),6+(O334-1)*3),11)),IF(VLOOKUP(B328,INDIRECT($F$8),8+(O334-1)*3)&lt;U334*0.4,IF(U334*0.4-VLOOKUP(B328,INDIRECT($F$8),8+(O334-1)*3)&lt;=5,U334*0.4-VLOOKUP(B328,INDIRECT($F$8),8+(O334-1)*3),11),0))))</f>
        <v>11</v>
      </c>
      <c r="X334" s="1" t="str">
        <f ca="1">IF(ISERROR(F328),"",IF(W334=0,"",_xlfn.TEXTJOIN("",FALSE," G+",W334," in ",A334)))</f>
        <v xml:space="preserve"> G+11 in Enroll No.</v>
      </c>
    </row>
    <row r="335" spans="1:24" ht="12.75" customHeight="1" x14ac:dyDescent="0.2">
      <c r="A335" s="7" t="str">
        <f ca="1">IF(ISERROR(F328),"",VLOOKUP(C328,INDIRECT($F$8),6+(O335-1)*3,0))</f>
        <v>CAT 030</v>
      </c>
      <c r="B335" s="41" t="str">
        <f ca="1">IF(ISERROR(F328),"",VLOOKUP(D328,INDIRECT($F$8),6+(O335-1)*3,0))</f>
        <v>Software Testing &amp; Quality Assurance</v>
      </c>
      <c r="C335" s="41"/>
      <c r="D335" s="41"/>
      <c r="E335" s="41"/>
      <c r="F335" s="7">
        <f ca="1">IF(ISERROR(F328),"",VLOOKUP(E328,INDIRECT($F$8),6+(O335-1)*3,0))</f>
        <v>4</v>
      </c>
      <c r="G335" s="42" t="str">
        <f ca="1">IF(ISERROR(F328),"",_xlfn.TEXTJOIN("/",FALSE,P335,S335))</f>
        <v>0/100</v>
      </c>
      <c r="H335" s="42"/>
      <c r="I335" s="42" t="str">
        <f ca="1">IF(ISERROR(F328),"",_xlfn.TEXTJOIN("/",FALSE,Q335,T335))</f>
        <v>0/50</v>
      </c>
      <c r="J335" s="42"/>
      <c r="K335" s="42" t="str">
        <f ca="1">IF(ISERROR(F328),"",_xlfn.TEXTJOIN("/",FALSE,R335,U335))</f>
        <v>0/150</v>
      </c>
      <c r="L335" s="42"/>
      <c r="M335" s="7" t="str">
        <f ca="1">IF(ISERROR(F328),"",IF(ISTEXT(P335),IF(P335="A","Ab",IF(P335="D","Dt",IF(P335="UFM","UFM",IF(P335="NA","")))),IF(AND(ISBLANK(P335),ISBLANK(R335)),"",IF(P335&lt;0.3*S335,"F",IF(ISBLANK(R335),"",IF(ISTEXT(R335),R335,IF(R335&gt;=0.9*U335,"O",IF(R335&gt;=0.85*U335,"A+",IF(R335&gt;=0.8*U335,"A",IF(R335&gt;=0.7*U335,"B+",IF(R335&gt;=0.6*U335,"B",IF(R335&gt;=0.5*U335,"C",IF(R335&gt;=0.4*U335,"P",IF(R335&lt;0.4*U335,"F",R335))))))))))))))</f>
        <v>F</v>
      </c>
      <c r="N335" s="8">
        <f t="shared" ca="1" si="20"/>
        <v>0</v>
      </c>
      <c r="O335">
        <f ca="1">IF(O334&gt;0,4,"")</f>
        <v>4</v>
      </c>
      <c r="P335" s="1">
        <f ca="1">IF(ISERROR(F328),"",IF(ISTEXT(VLOOKUP(B328,INDIRECT($F$8),6+(O335-1)*3)),(VLOOKUP(B328,INDIRECT($F$8),6+(O335-1)*3)),SUM(VLOOKUP(B328,INDIRECT($F$8),6+(O335-1)*3),IF(W340,W335,0))))</f>
        <v>0</v>
      </c>
      <c r="Q335" s="1">
        <f ca="1">IF(ISERROR(F328),"",VLOOKUP(B328,INDIRECT($F$8),7+(O335-1)*3))</f>
        <v>0</v>
      </c>
      <c r="R335" s="1">
        <f ca="1">IF(ISERROR(F328),"",SUM(P335:Q335))</f>
        <v>0</v>
      </c>
      <c r="S335" s="1">
        <f ca="1">IF(ISERROR(F328),"",VLOOKUP(A328,INDIRECT($F$8),6+(O335-1)*3))</f>
        <v>100</v>
      </c>
      <c r="T335" s="1">
        <f ca="1">IF(ISERROR(F328),"",VLOOKUP(A328,INDIRECT($F$8),7+(O335-1)*3))</f>
        <v>50</v>
      </c>
      <c r="U335" s="1">
        <f ca="1">IF(ISERROR(F328),"",VLOOKUP(A328,INDIRECT($F$8),8+(O335-1)*3))</f>
        <v>150</v>
      </c>
      <c r="V335" s="1" t="str">
        <f ca="1">IF(ISERROR(F328),"",IF(N335=0,A335,""))</f>
        <v>CAT 030</v>
      </c>
      <c r="W335" s="1">
        <f ca="1">IF(ISERROR(F328),"",IF(ISTEXT(VLOOKUP(B328,INDIRECT($F$8),6+(O335-1)*3)),11,IF(VLOOKUP(B328,INDIRECT($F$8),6+(O335-1)*3)&lt;S335*0.3,IF(VLOOKUP(B328,INDIRECT($F$8),8+(O335-1)*3)&lt;U335*0.4,IF(AND(0.4*U335-VLOOKUP(B328,INDIRECT($F$8),8+(O335-1)*3)&lt;=5,0.3*S335-VLOOKUP(B328,INDIRECT($F$8),6+(O335-1)*3)&lt;=5),MAX(0.4*U335-VLOOKUP(B328,INDIRECT($F$8),8+(O335-1)*3),0.3*S335-VLOOKUP(B328,INDIRECT($F$8),6+(O335-1)*3)),11),IF(0.3*S335-VLOOKUP(B328,INDIRECT($F$8),6+(O335-1)*3)&lt;=5,0.3*S335-VLOOKUP(B328,INDIRECT($F$8),6+(O335-1)*3),11)),IF(VLOOKUP(B328,INDIRECT($F$8),8+(O335-1)*3)&lt;U335*0.4,IF(U335*0.4-VLOOKUP(B328,INDIRECT($F$8),8+(O335-1)*3)&lt;=5,U335*0.4-VLOOKUP(B328,INDIRECT($F$8),8+(O335-1)*3),11),0))))</f>
        <v>11</v>
      </c>
      <c r="X335" s="1" t="str">
        <f ca="1">IF(ISERROR(F328),"",IF(W335=0,"",_xlfn.TEXTJOIN("",FALSE," G+",W335," in ",A335)))</f>
        <v xml:space="preserve"> G+11 in CAT 030</v>
      </c>
    </row>
    <row r="336" spans="1:24" ht="12.75" customHeight="1" x14ac:dyDescent="0.2">
      <c r="A336" s="7" t="str">
        <f ca="1">IF(ISERROR(F328),"",VLOOKUP(C328,INDIRECT($F$8),6+(O336-1)*3,0))</f>
        <v>Enroll No.</v>
      </c>
      <c r="B336" s="41">
        <f ca="1">IF(ISERROR(F328),"",VLOOKUP(D328,INDIRECT($F$8),6+(O336-1)*3,0))</f>
        <v>0</v>
      </c>
      <c r="C336" s="41"/>
      <c r="D336" s="41"/>
      <c r="E336" s="41"/>
      <c r="F336" s="7">
        <f ca="1">IF(ISERROR(F328),"",VLOOKUP(E328,INDIRECT($F$8),6+(O336-1)*3,0))</f>
        <v>0</v>
      </c>
      <c r="G336" s="42" t="str">
        <f ca="1">IF(ISERROR(F328),"",_xlfn.TEXTJOIN("/",FALSE,P336,S336))</f>
        <v>UTU/2406100176/0</v>
      </c>
      <c r="H336" s="42"/>
      <c r="I336" s="42" t="str">
        <f ca="1">IF(ISERROR(F328),"",_xlfn.TEXTJOIN("/",FALSE,Q336,T336))</f>
        <v>SHIKHA/0</v>
      </c>
      <c r="J336" s="42"/>
      <c r="K336" s="42" t="str">
        <f ca="1">IF(ISERROR(F328),"",_xlfn.TEXTJOIN("/",FALSE,R336,U336))</f>
        <v>0/0</v>
      </c>
      <c r="L336" s="42"/>
      <c r="M336" s="7" t="b">
        <f ca="1">IF(ISERROR(F328),"",IF(ISTEXT(P336),IF(P336="A","Ab",IF(P336="D","Dt",IF(P336="UFM","UFM",IF(P336="NA","")))),IF(AND(ISBLANK(P336),ISBLANK(R336)),"",IF(P336&lt;0.3*S336,"F",IF(ISBLANK(R336),"",IF(ISTEXT(R336),R336,IF(R336&gt;=0.9*U336,"O",IF(R336&gt;=0.85*U336,"A+",IF(R336&gt;=0.8*U336,"A",IF(R336&gt;=0.7*U336,"B+",IF(R336&gt;=0.6*U336,"B",IF(R336&gt;=0.5*U336,"C",IF(R336&gt;=0.4*U336,"P",IF(R336&lt;0.4*U336,"F",R336))))))))))))))</f>
        <v>0</v>
      </c>
      <c r="N336" s="8" t="e">
        <f t="shared" ca="1" si="20"/>
        <v>#N/A</v>
      </c>
      <c r="O336" t="b" cm="1">
        <f t="array" aca="1" ref="O336" ca="1">IF(NOT(ISBLANK(INDIRECT("SEM_IV!R"&amp;INT((ROW(O336)-16)/16)+6))),5,IF(NOT(ISBLANK(INDIRECT("SEM_IV!U"&amp;INT((ROW(O336)-16)/16)+6))),6))</f>
        <v>0</v>
      </c>
      <c r="P336" s="1" t="str">
        <f ca="1">IF(ISERROR(F328),"",IF(ISTEXT(VLOOKUP(B328,INDIRECT($F$8),6+(O336-1)*3)),(VLOOKUP(B328,INDIRECT($F$8),6+(O336-1)*3)),SUM(VLOOKUP(B328,INDIRECT($F$8),6+(O336-1)*3),IF(W340,W336,0))))</f>
        <v>UTU/2406100176</v>
      </c>
      <c r="Q336" s="1" t="str">
        <f ca="1">IF(ISERROR(F328),"",VLOOKUP(B328,INDIRECT($F$8),7+(O336-1)*3))</f>
        <v>SHIKHA</v>
      </c>
      <c r="R336" s="1">
        <f ca="1">IF(ISERROR(F328),"",SUM(P336:Q336))</f>
        <v>0</v>
      </c>
      <c r="S336" s="1">
        <f ca="1">IF(ISERROR(F328),"",VLOOKUP(A328,INDIRECT($F$8),6+(O336-1)*3))</f>
        <v>0</v>
      </c>
      <c r="T336" s="1">
        <f ca="1">IF(ISERROR(F328),"",VLOOKUP(A328,INDIRECT($F$8),7+(O336-1)*3))</f>
        <v>0</v>
      </c>
      <c r="U336" s="1">
        <f ca="1">IF(ISERROR(F328),"",VLOOKUP(A328,INDIRECT($F$8),8+(O336-1)*3))</f>
        <v>0</v>
      </c>
      <c r="V336" s="1" t="e">
        <f ca="1">IF(ISERROR(F328),"",IF(N336=0,A336,""))</f>
        <v>#N/A</v>
      </c>
      <c r="W336" s="1">
        <f ca="1">IF(ISERROR(F328),"",IF(ISTEXT(VLOOKUP(B328,INDIRECT($F$8),6+(O336-1)*3)),11,IF(VLOOKUP(B328,INDIRECT($F$8),6+(O336-1)*3)&lt;S336*0.3,IF(VLOOKUP(B328,INDIRECT($F$8),8+(O336-1)*3)&lt;U336*0.4,IF(AND(0.4*U336-VLOOKUP(B328,INDIRECT($F$8),8+(O336-1)*3)&lt;=5,0.3*S336-VLOOKUP(B328,INDIRECT($F$8),6+(O336-1)*3)&lt;=5),MAX(0.4*U336-VLOOKUP(B328,INDIRECT($F$8),8+(O336-1)*3),0.3*S336-VLOOKUP(B328,INDIRECT($F$8),6+(O336-1)*3)),11),IF(0.3*S336-VLOOKUP(B328,INDIRECT($F$8),6+(O336-1)*3)&lt;=5,0.3*S336-VLOOKUP(B328,INDIRECT($F$8),6+(O336-1)*3),11)),IF(VLOOKUP(B328,INDIRECT($F$8),8+(O336-1)*3)&lt;U336*0.4,IF(U336*0.4-VLOOKUP(B328,INDIRECT($F$8),8+(O336-1)*3)&lt;=5,U336*0.4-VLOOKUP(B328,INDIRECT($F$8),8+(O336-1)*3),11),0))))</f>
        <v>11</v>
      </c>
      <c r="X336" s="1" t="str">
        <f ca="1">IF(ISERROR(F328),"",IF(W336=0,"",_xlfn.TEXTJOIN("",FALSE," G+",W336," in ",A336)))</f>
        <v xml:space="preserve"> G+11 in Enroll No.</v>
      </c>
    </row>
    <row r="337" spans="1:24" ht="12.75" customHeight="1" x14ac:dyDescent="0.2">
      <c r="A337" s="7" t="str">
        <f ca="1">IF(ISERROR(F328),"",VLOOKUP(C328,INDIRECT($F$8),6+(O337-1)*3,0))</f>
        <v>CAP 011</v>
      </c>
      <c r="B337" s="41" t="str">
        <f ca="1">IF(ISERROR(F328),"",VLOOKUP(D328,INDIRECT($F$8),6+(O337-1)*3,0))</f>
        <v>Network Security Lab</v>
      </c>
      <c r="C337" s="41"/>
      <c r="D337" s="41"/>
      <c r="E337" s="41"/>
      <c r="F337" s="7">
        <f ca="1">IF(ISERROR(F328),"",VLOOKUP(E328,INDIRECT($F$8),6+(O337-1)*3,0))</f>
        <v>1</v>
      </c>
      <c r="G337" s="42" t="str">
        <f ca="1">IF(ISERROR(F328),"",_xlfn.TEXTJOIN("/",FALSE,P337,S337))</f>
        <v>0/30</v>
      </c>
      <c r="H337" s="42"/>
      <c r="I337" s="42" t="str">
        <f ca="1">IF(ISERROR(F328),"",_xlfn.TEXTJOIN("/",FALSE,Q337,T337))</f>
        <v>0/20</v>
      </c>
      <c r="J337" s="42"/>
      <c r="K337" s="42" t="str">
        <f ca="1">IF(ISERROR(F328),"",_xlfn.TEXTJOIN("/",FALSE,R337,U337))</f>
        <v>0/50</v>
      </c>
      <c r="L337" s="42"/>
      <c r="M337" s="7" t="str">
        <f ca="1">IF(ISERROR(F328),"",IF(ISTEXT(P337),IF(P337="A","Ab",IF(P337="D","Dt",IF(P337="UFM","UFM",IF(P337="NA","")))),IF(AND(ISBLANK(P337),ISBLANK(R337)),"",IF(P337&lt;0.3*S337,"F",IF(ISBLANK(R337),"",IF(ISTEXT(R337),R337,IF(R337&gt;=0.9*U337,"O",IF(R337&gt;=0.85*U337,"A+",IF(R337&gt;=0.8*U337,"A",IF(R337&gt;=0.7*U337,"B+",IF(R337&gt;=0.6*U337,"B",IF(R337&gt;=0.5*U337,"C",IF(R337&gt;=0.4*U337,"P",IF(R337&lt;0.4*U337,"F",R337))))))))))))))</f>
        <v>F</v>
      </c>
      <c r="N337" s="8">
        <f t="shared" ca="1" si="20"/>
        <v>0</v>
      </c>
      <c r="O337">
        <f ca="1">IF(O336&gt;0,7,"")</f>
        <v>7</v>
      </c>
      <c r="P337" s="1">
        <f ca="1">IF(ISERROR(F328),"",IF(ISTEXT(VLOOKUP(B328,INDIRECT($F$8),6+(O337-1)*3)),(VLOOKUP(B328,INDIRECT($F$8),6+(O337-1)*3)),SUM(VLOOKUP(B328,INDIRECT($F$8),6+(O337-1)*3),IF(W340,W337,0))))</f>
        <v>0</v>
      </c>
      <c r="Q337" s="1">
        <f ca="1">IF(ISERROR(F328),"",VLOOKUP(B328,INDIRECT($F$8),7+(O337-1)*3))</f>
        <v>0</v>
      </c>
      <c r="R337" s="1">
        <f ca="1">IF(ISERROR(F328),"",SUM(P337:Q337))</f>
        <v>0</v>
      </c>
      <c r="S337" s="1">
        <f ca="1">IF(ISERROR(F328),"",VLOOKUP(A328,INDIRECT($F$8),6+(O337-1)*3))</f>
        <v>30</v>
      </c>
      <c r="T337" s="1">
        <f ca="1">IF(ISERROR(F328),"",VLOOKUP(A328,INDIRECT($F$8),7+(O337-1)*3))</f>
        <v>20</v>
      </c>
      <c r="U337" s="1">
        <f ca="1">IF(ISERROR(F328),"",VLOOKUP(A328,INDIRECT($F$8),8+(O337-1)*3))</f>
        <v>50</v>
      </c>
      <c r="V337" s="1" t="str">
        <f ca="1">IF(ISERROR(F328),"",IF(N337=0,A337,""))</f>
        <v>CAP 011</v>
      </c>
      <c r="W337" s="1">
        <f ca="1">IF(ISERROR(F328),"",IF(ISTEXT(VLOOKUP(B328,INDIRECT($F$8),6+(O337-1)*3)),11,IF(VLOOKUP(B328,INDIRECT($F$8),6+(O337-1)*3)&lt;S337*0.3,IF(VLOOKUP(B328,INDIRECT($F$8),8+(O337-1)*3)&lt;U337*0.4,IF(AND(0.4*U337-VLOOKUP(B328,INDIRECT($F$8),8+(O337-1)*3)&lt;=5,0.3*S337-VLOOKUP(B328,INDIRECT($F$8),6+(O337-1)*3)&lt;=5),MAX(0.4*U337-VLOOKUP(B328,INDIRECT($F$8),8+(O337-1)*3),0.3*S337-VLOOKUP(B328,INDIRECT($F$8),6+(O337-1)*3)),11),IF(0.3*S337-VLOOKUP(B328,INDIRECT($F$8),6+(O337-1)*3)&lt;=5,0.3*S337-VLOOKUP(B328,INDIRECT($F$8),6+(O337-1)*3),11)),IF(VLOOKUP(B328,INDIRECT($F$8),8+(O337-1)*3)&lt;U337*0.4,IF(U337*0.4-VLOOKUP(B328,INDIRECT($F$8),8+(O337-1)*3)&lt;=5,U337*0.4-VLOOKUP(B328,INDIRECT($F$8),8+(O337-1)*3),11),0))))</f>
        <v>11</v>
      </c>
      <c r="X337" s="1" t="str">
        <f ca="1">IF(ISERROR(F328),"",IF(W337=0,"",_xlfn.TEXTJOIN("",FALSE," G+",W337," in ",A337)))</f>
        <v xml:space="preserve"> G+11 in CAP 011</v>
      </c>
    </row>
    <row r="338" spans="1:24" ht="12.75" customHeight="1" x14ac:dyDescent="0.2">
      <c r="A338" s="7" t="str">
        <f ca="1">IF(ISERROR(F328),"",VLOOKUP(C328,INDIRECT($F$8),6+(O338-1)*3,0))</f>
        <v>Enroll No.</v>
      </c>
      <c r="B338" s="41">
        <f ca="1">IF(ISERROR(F328),"",VLOOKUP(D328,INDIRECT($F$8),6+(O338-1)*3,0))</f>
        <v>0</v>
      </c>
      <c r="C338" s="41"/>
      <c r="D338" s="41"/>
      <c r="E338" s="41"/>
      <c r="F338" s="7">
        <f ca="1">IF(ISERROR(F328),"",VLOOKUP(E328,INDIRECT($F$8),6+(O338-1)*3,0))</f>
        <v>0</v>
      </c>
      <c r="G338" s="42" t="str">
        <f ca="1">IF(ISERROR(F328),"",_xlfn.TEXTJOIN("/",FALSE,P338,S338))</f>
        <v>UTU/2406100176/0</v>
      </c>
      <c r="H338" s="42"/>
      <c r="I338" s="42" t="str">
        <f ca="1">IF(ISERROR(F328),"",_xlfn.TEXTJOIN("/",FALSE,Q338,T338))</f>
        <v>SHIKHA/0</v>
      </c>
      <c r="J338" s="42"/>
      <c r="K338" s="42" t="str">
        <f ca="1">IF(ISERROR(F328),"",_xlfn.TEXTJOIN("/",FALSE,R338,U338))</f>
        <v>0/0</v>
      </c>
      <c r="L338" s="42"/>
      <c r="M338" s="7" t="b">
        <f ca="1">IF(ISERROR(F328),"",IF(ISTEXT(P338),IF(P338="A","Ab",IF(P338="D","Dt",IF(P338="UFM","UFM",IF(P338="NA","")))),IF(AND(ISBLANK(P338),ISBLANK(R338)),"",IF(P338&lt;0.3*S338,"F",IF(ISBLANK(R338),"",IF(ISTEXT(R338),R338,IF(R338&gt;=0.9*U338,"O",IF(R338&gt;=0.85*U338,"A+",IF(R338&gt;=0.8*U338,"A",IF(R338&gt;=0.7*U338,"B+",IF(R338&gt;=0.6*U338,"B",IF(R338&gt;=0.5*U338,"C",IF(R338&gt;=0.4*U338,"P",IF(R338&lt;0.4*U338,"F",R338))))))))))))))</f>
        <v>0</v>
      </c>
      <c r="N338" s="8" t="e">
        <f t="shared" ca="1" si="20"/>
        <v>#N/A</v>
      </c>
      <c r="O338" t="b" cm="1">
        <f t="array" aca="1" ref="O338" ca="1">IF(NOT(ISBLANK(INDIRECT("SEM_IV!AA"&amp;INT((ROW(O338)-18)/16)+6))),8,IF(NOT(ISBLANK(INDIRECT("SEM_IV!AD"&amp;INT((ROW(O338)-18)/16)+6))),9))</f>
        <v>0</v>
      </c>
      <c r="P338" s="1" t="str">
        <f ca="1">IF(ISERROR(F328),"",IF(ISTEXT(VLOOKUP(B328,INDIRECT($F$8),6+(O338-1)*3)),(VLOOKUP(B328,INDIRECT($F$8),6+(O338-1)*3)),SUM(VLOOKUP(B328,INDIRECT($F$8),6+(O338-1)*3),IF(W340,W338,0))))</f>
        <v>UTU/2406100176</v>
      </c>
      <c r="Q338" s="1" t="str">
        <f ca="1">IF(ISERROR(F328),"",VLOOKUP(B328,INDIRECT($F$8),7+(O338-1)*3))</f>
        <v>SHIKHA</v>
      </c>
      <c r="R338" s="1">
        <f ca="1">IF(ISERROR(F328),"",SUM(P338:Q338))</f>
        <v>0</v>
      </c>
      <c r="S338" s="1">
        <f ca="1">IF(ISERROR(F328),"",VLOOKUP(A328,INDIRECT($F$8),6+(O338-1)*3))</f>
        <v>0</v>
      </c>
      <c r="T338" s="1">
        <f ca="1">IF(ISERROR(F328),"",VLOOKUP(A328,INDIRECT($F$8),7+(O338-1)*3))</f>
        <v>0</v>
      </c>
      <c r="U338" s="1">
        <f ca="1">IF(ISERROR(F328),"",VLOOKUP(A328,INDIRECT($F$8),8+(O338-1)*3))</f>
        <v>0</v>
      </c>
      <c r="V338" s="1" t="e">
        <f ca="1">IF(ISERROR(F328),"",IF(N338=0,A338,""))</f>
        <v>#N/A</v>
      </c>
      <c r="W338" s="1">
        <f ca="1">IF(ISERROR(F328),"",IF(ISTEXT(VLOOKUP(B328,INDIRECT($F$8),6+(O338-1)*3)),11,IF(VLOOKUP(B328,INDIRECT($F$8),6+(O338-1)*3)&lt;S338*0.3,IF(VLOOKUP(B328,INDIRECT($F$8),8+(O338-1)*3)&lt;U338*0.4,IF(AND(0.4*U338-VLOOKUP(B328,INDIRECT($F$8),8+(O338-1)*3)&lt;=5,0.3*S338-VLOOKUP(B328,INDIRECT($F$8),6+(O338-1)*3)&lt;=5),MAX(0.4*U338-VLOOKUP(B328,INDIRECT($F$8),8+(O338-1)*3),0.3*S338-VLOOKUP(B328,INDIRECT($F$8),6+(O338-1)*3)),11),IF(0.3*S338-VLOOKUP(B328,INDIRECT($F$8),6+(O338-1)*3)&lt;=5,0.3*S338-VLOOKUP(B328,INDIRECT($F$8),6+(O338-1)*3),11)),IF(VLOOKUP(B328,INDIRECT($F$8),8+(O338-1)*3)&lt;U338*0.4,IF(U338*0.4-VLOOKUP(B328,INDIRECT($F$8),8+(O338-1)*3)&lt;=5,U338*0.4-VLOOKUP(B328,INDIRECT($F$8),8+(O338-1)*3),11),0))))</f>
        <v>11</v>
      </c>
      <c r="X338" s="1" t="str">
        <f ca="1">IF(ISERROR(F328),"",IF(W338=0,"",_xlfn.TEXTJOIN("",FALSE," G+",W338," in ",A338)))</f>
        <v xml:space="preserve"> G+11 in Enroll No.</v>
      </c>
    </row>
    <row r="339" spans="1:24" ht="12.75" customHeight="1" x14ac:dyDescent="0.2">
      <c r="A339" s="7" t="str">
        <f ca="1">IF(ISERROR(F328),"",VLOOKUP(C328,INDIRECT($F$8),6+(O339-1)*3,0))</f>
        <v>CAP 013</v>
      </c>
      <c r="B339" s="41" t="str">
        <f ca="1">IF(ISERROR(F328),"",VLOOKUP(D328,INDIRECT($F$8),6+(O339-1)*3-Z339,0))</f>
        <v>Major Project</v>
      </c>
      <c r="C339" s="41"/>
      <c r="D339" s="41"/>
      <c r="E339" s="41"/>
      <c r="F339" s="7">
        <f ca="1">IF(ISERROR(F328),"",VLOOKUP(E328,INDIRECT($F$8),6+(O339-1)*3,0))</f>
        <v>6</v>
      </c>
      <c r="G339" s="42" t="str">
        <f ca="1">IF(ISERROR(F328),"",_xlfn.TEXTJOIN("/",FALSE,P339,S339))</f>
        <v>0/200</v>
      </c>
      <c r="H339" s="42"/>
      <c r="I339" s="42" t="str">
        <f ca="1">IF(ISERROR(F328),"",_xlfn.TEXTJOIN("/",FALSE,Q339,T339))</f>
        <v>0/100</v>
      </c>
      <c r="J339" s="42"/>
      <c r="K339" s="42" t="str">
        <f ca="1">IF(ISERROR(F328),"",_xlfn.TEXTJOIN("/",FALSE,R339,U339))</f>
        <v>0/300</v>
      </c>
      <c r="L339" s="42"/>
      <c r="M339" s="7" t="str">
        <f ca="1">IF(ISERROR(F328),"",IF(ISTEXT(P339),IF(P339="A","Ab",IF(P339="D","Dt",IF(P339="UFM","UFM",IF(P339="NA","")))),IF(AND(ISBLANK(P339),ISBLANK(R339)),"",IF(P339&lt;0.3*S339,"F",IF(ISBLANK(R339),"",IF(ISTEXT(R339),R339,IF(R339&gt;=0.9*U339,"O",IF(R339&gt;=0.85*U339,"A+",IF(R339&gt;=0.8*U339,"A",IF(R339&gt;=0.7*U339,"B+",IF(R339&gt;=0.6*U339,"B",IF(R339&gt;=0.5*U339,"C",IF(R339&gt;=0.4*U339,"P",IF(R339&lt;0.4*U339,"F",R339))))))))))))))</f>
        <v>F</v>
      </c>
      <c r="N339" s="8">
        <f t="shared" ca="1" si="20"/>
        <v>0</v>
      </c>
      <c r="O339">
        <f ca="1">IF(O338&gt;0,10,"")</f>
        <v>10</v>
      </c>
      <c r="P339" s="1">
        <f ca="1">IF(ISERROR(F328),"",IF(ISTEXT(VLOOKUP(B328,INDIRECT($F$8),6+(O339-1)*3)),(VLOOKUP(B328,INDIRECT($F$8),6+(O339-1)*3)),SUM(VLOOKUP(B328,INDIRECT($F$8),6+(O339-1)*3),IF(W340,W339,0))))</f>
        <v>0</v>
      </c>
      <c r="Q339" s="1">
        <f ca="1">IF(ISERROR(F328),"",VLOOKUP(B328,INDIRECT($F$8),7+(O339-1)*3))</f>
        <v>0</v>
      </c>
      <c r="R339" s="1">
        <f ca="1">IF(ISERROR(F328),"",SUM(P339:Q339))</f>
        <v>0</v>
      </c>
      <c r="S339" s="1">
        <f ca="1">IF(ISERROR(F328),"",VLOOKUP(A328,INDIRECT($F$8),6+(O339-1)*3))</f>
        <v>200</v>
      </c>
      <c r="T339" s="1">
        <f ca="1">IF(ISERROR(F328),"",VLOOKUP(A328,INDIRECT($F$8),7+(O339-1)*3))</f>
        <v>100</v>
      </c>
      <c r="U339" s="1">
        <f ca="1">IF(ISERROR(F328),"",VLOOKUP(A328,INDIRECT($F$8),8+(O339-1)*3))</f>
        <v>300</v>
      </c>
      <c r="V339" s="1" t="str">
        <f ca="1">IF(ISERROR(F328),"",IF(N339=0,A339,""))</f>
        <v>CAP 013</v>
      </c>
      <c r="W339" s="1">
        <f ca="1">IF(ISERROR(F328),"",IF(ISTEXT(VLOOKUP(B328,INDIRECT($F$8),6+(O339-1)*3)),11,IF(VLOOKUP(B328,INDIRECT($F$8),6+(O339-1)*3)&lt;S339*0.3,IF(VLOOKUP(B328,INDIRECT($F$8),8+(O339-1)*3)&lt;U339*0.4,IF(AND(0.4*U339-VLOOKUP(B328,INDIRECT($F$8),8+(O339-1)*3)&lt;=5,0.3*S339-VLOOKUP(B328,INDIRECT($F$8),6+(O339-1)*3)&lt;=5),MAX(0.4*U339-VLOOKUP(B328,INDIRECT($F$8),8+(O339-1)*3),0.3*S339-VLOOKUP(B328,INDIRECT($F$8),6+(O339-1)*3)),11),IF(0.3*S339-VLOOKUP(B328,INDIRECT($F$8),6+(O339-1)*3)&lt;=5,0.3*S339-VLOOKUP(B328,INDIRECT($F$8),6+(O339-1)*3),11)),IF(VLOOKUP(B328,INDIRECT($F$8),8+(O339-1)*3)&lt;U339*0.4,IF(U339*0.4-VLOOKUP(B328,INDIRECT($F$8),8+(O339-1)*3)&lt;=5,U339*0.4-VLOOKUP(B328,INDIRECT($F$8),8+(O339-1)*3),11),0))))</f>
        <v>11</v>
      </c>
      <c r="X339" s="1" t="str">
        <f ca="1">IF(ISERROR(F328),"",IF(W339=0,"",_xlfn.TEXTJOIN("",FALSE," G+",W339," in ",A339)))</f>
        <v xml:space="preserve"> G+11 in CAP 013</v>
      </c>
    </row>
    <row r="340" spans="1:24" ht="12.75" customHeight="1" x14ac:dyDescent="0.2">
      <c r="A340" s="43" t="str">
        <f ca="1">IF(ISERROR(F328),"",A324)</f>
        <v>Total Credits/ Marks/ Total Grade Points</v>
      </c>
      <c r="B340" s="43"/>
      <c r="C340" s="43"/>
      <c r="D340" s="43"/>
      <c r="E340" s="43"/>
      <c r="F340" s="10">
        <f ca="1">IF(ISERROR(F328),"",SUM(F333:F339))</f>
        <v>15</v>
      </c>
      <c r="G340" s="44" t="str">
        <f ca="1">IF(ISERROR(F328),"",_xlfn.TEXTJOIN("/",TRUE,SUMIF(F333:F339,"&gt;0",P333:P339),SUMIF(F333:F339,"&gt;0",S333:S339)))</f>
        <v>0/430</v>
      </c>
      <c r="H340" s="44"/>
      <c r="I340" s="44" t="str">
        <f ca="1">IF(ISERROR(F328),"",_xlfn.TEXTJOIN("/",TRUE,SUMIF(F333:F339,"&gt;0",Q333:Q339),SUMIF(F333:F339,"&gt;0",T333:T339)))</f>
        <v>0/220</v>
      </c>
      <c r="J340" s="44"/>
      <c r="K340" s="44" t="str">
        <f ca="1">IF(ISERROR(F328),"",_xlfn.TEXTJOIN("/",TRUE,SUMIF(F333:F339,"&gt;0",R333:R339),SUMIF(F333:F339,"&gt;0",U333:U339)))</f>
        <v>0/650</v>
      </c>
      <c r="L340" s="44"/>
      <c r="M340" s="43" t="e">
        <f ca="1">IF(ISERROR(F328),"",SUMPRODUCT(N333:N339,F333:F339))</f>
        <v>#N/A</v>
      </c>
      <c r="N340" s="43"/>
      <c r="V340" s="1" t="e">
        <f ca="1">IF(ISERROR(F328),"",_xlfn.TEXTJOIN(", ",TRUE,V333:V339))</f>
        <v>#N/A</v>
      </c>
      <c r="W340" t="b">
        <f ca="1">IF(ISERROR(F328),"",IF(SUM(W333:W339)&lt;=W332,TRUE,FALSE))</f>
        <v>0</v>
      </c>
      <c r="X340" s="1" t="str">
        <f ca="1">IF(ISERROR(F328),"",_xlfn.TEXTJOIN(",",TRUE,X333:X339))</f>
        <v xml:space="preserve"> G+11 in CAT 022, G+11 in Enroll No., G+11 in CAT 030, G+11 in Enroll No., G+11 in CAP 011, G+11 in Enroll No., G+11 in CAP 013</v>
      </c>
    </row>
    <row r="341" spans="1:24" ht="12.75" customHeight="1" x14ac:dyDescent="0.2">
      <c r="A341" s="43" t="str">
        <f ca="1">IF(ISERROR(F328),"",A325)</f>
        <v>Result:</v>
      </c>
      <c r="B341" s="45" t="e">
        <f ca="1">IF(ISERROR(F328),"",IF(V340="","PASS","CARRY OVER"))</f>
        <v>#N/A</v>
      </c>
      <c r="C341" s="45"/>
      <c r="D341" s="43" t="str">
        <f ca="1">IF(ISERROR(F328),"",D325)</f>
        <v>Remark:</v>
      </c>
      <c r="E341" s="45" t="e">
        <f ca="1">IF(ISERROR(F328),"",IF(V340="",IF(X340="","",X340),_xlfn.TEXTJOIN(" ",TRUE,"BACK IN",V340)))</f>
        <v>#N/A</v>
      </c>
      <c r="F341" s="45"/>
      <c r="G341" s="43" t="str">
        <f ca="1">IF(ISERROR(F328),"",G325)</f>
        <v>SGPA:</v>
      </c>
      <c r="H341" s="46" t="e">
        <f ca="1">IF(ISERROR(F328),"",M340/F340)</f>
        <v>#N/A</v>
      </c>
      <c r="I341" s="43" t="str">
        <f ca="1">IF(ISERROR(F328),"",I325)</f>
        <v>CGPA:</v>
      </c>
      <c r="J341" s="46" t="e">
        <f ca="1">IF(ISERROR(F328),"",VLOOKUP(B328,INDIRECT($F$8),12+(O339-1)*3,0))</f>
        <v>#N/A</v>
      </c>
      <c r="K341" s="45" t="str">
        <f ca="1">IF(ISERROR(F328),"",K325)</f>
        <v>Earned Credits:</v>
      </c>
      <c r="L341" s="43">
        <f ca="1">IF(ISERROR(F328),"",SUMIF(N333:N339,"&gt;0",F333:F339))</f>
        <v>0</v>
      </c>
      <c r="M341" s="45" t="str">
        <f ca="1">IF(ISERROR(F328),"",M325)</f>
        <v>Cuml. Earned Credits:</v>
      </c>
      <c r="N341" s="43" t="e">
        <f ca="1">IF(ISERROR(F328),"",VLOOKUP(B328,INDIRECT($F$8),10+(O339-1)*3,0))</f>
        <v>#N/A</v>
      </c>
    </row>
    <row r="342" spans="1:24" ht="12.75" customHeight="1" x14ac:dyDescent="0.2">
      <c r="A342" s="43"/>
      <c r="B342" s="45"/>
      <c r="C342" s="45"/>
      <c r="D342" s="43"/>
      <c r="E342" s="45"/>
      <c r="F342" s="45"/>
      <c r="G342" s="43"/>
      <c r="H342" s="46"/>
      <c r="I342" s="43"/>
      <c r="J342" s="46"/>
      <c r="K342" s="45"/>
      <c r="L342" s="43"/>
      <c r="M342" s="45"/>
      <c r="N342" s="43"/>
    </row>
    <row r="343" spans="1:24" ht="12.75" customHeight="1" x14ac:dyDescent="0.2">
      <c r="A343" s="43"/>
      <c r="B343" s="45"/>
      <c r="C343" s="45"/>
      <c r="D343" s="43"/>
      <c r="E343" s="45"/>
      <c r="F343" s="45"/>
      <c r="G343" s="43"/>
      <c r="H343" s="46"/>
      <c r="I343" s="43"/>
      <c r="J343" s="46"/>
      <c r="K343" s="45"/>
      <c r="L343" s="43"/>
      <c r="M343" s="45"/>
      <c r="N343" s="43"/>
    </row>
    <row r="344" spans="1:24" ht="12.75" customHeight="1" x14ac:dyDescent="0.2">
      <c r="A344" s="11" t="str">
        <f>A328</f>
        <v>MM</v>
      </c>
      <c r="B344" s="11">
        <f>B328+1</f>
        <v>22</v>
      </c>
      <c r="C344" s="11" t="str">
        <f>C328</f>
        <v>SC</v>
      </c>
      <c r="D344" s="11" t="str">
        <f>D328</f>
        <v>SN</v>
      </c>
      <c r="E344" s="11" t="str">
        <f>E328</f>
        <v>C</v>
      </c>
      <c r="F344" s="11" t="str">
        <f ca="1">VLOOKUP(B344,INDIRECT($F$8),4,0)</f>
        <v>SHIVANI BHATT</v>
      </c>
    </row>
    <row r="345" spans="1:24" ht="12.75" customHeight="1" x14ac:dyDescent="0.2">
      <c r="A345" s="47" t="str">
        <f ca="1">IF(ISERROR(F344),"",A329)</f>
        <v>Name:</v>
      </c>
      <c r="B345" s="47" t="str">
        <f ca="1">IFERROR(VLOOKUP(B344,INDIRECT($F$8),4,0),"")</f>
        <v>SHIVANI BHATT</v>
      </c>
      <c r="C345" s="47"/>
      <c r="D345" s="47" t="str">
        <f ca="1">IF(ISERROR(F344),"",D329)</f>
        <v>Father's Name:</v>
      </c>
      <c r="E345" s="47" t="str">
        <f ca="1">IFERROR(VLOOKUP(B344,INDIRECT($F$8),5,0),"")</f>
        <v>RAVINDRA BHATT</v>
      </c>
      <c r="F345" s="47"/>
      <c r="G345" s="47" t="str">
        <f ca="1">IF(ISERROR(F344),"",G329)</f>
        <v>University Roll No:</v>
      </c>
      <c r="H345" s="47"/>
      <c r="I345" s="48">
        <f ca="1">IFERROR(VLOOKUP(B344,INDIRECT($F$8),2,0),"")</f>
        <v>240090600022</v>
      </c>
      <c r="J345" s="48"/>
      <c r="K345" s="47" t="str">
        <f ca="1">IF(ISERROR(F344),"",K329)</f>
        <v>University Enrol. No:</v>
      </c>
      <c r="L345" s="47"/>
      <c r="M345" s="48" t="str">
        <f ca="1">IFERROR(VLOOKUP(B344,INDIRECT($F$8),3,0),"")</f>
        <v>UTU/2406100168</v>
      </c>
      <c r="N345" s="48"/>
    </row>
    <row r="346" spans="1:24" ht="12.75" customHeight="1" x14ac:dyDescent="0.2">
      <c r="A346" s="47"/>
      <c r="B346" s="47"/>
      <c r="C346" s="47"/>
      <c r="D346" s="47"/>
      <c r="E346" s="47"/>
      <c r="F346" s="47"/>
      <c r="G346" s="47"/>
      <c r="H346" s="47"/>
      <c r="I346" s="48"/>
      <c r="J346" s="48"/>
      <c r="K346" s="47"/>
      <c r="L346" s="47"/>
      <c r="M346" s="48"/>
      <c r="N346" s="48"/>
    </row>
    <row r="347" spans="1:24" ht="12.75" customHeight="1" x14ac:dyDescent="0.2">
      <c r="A347" s="45" t="str">
        <f ca="1">IF(ISERROR(F344),"",A331)</f>
        <v>Subject Code</v>
      </c>
      <c r="B347" s="45" t="str">
        <f ca="1">IF(ISERROR(F344),"",B331)</f>
        <v>Subject Name</v>
      </c>
      <c r="C347" s="45"/>
      <c r="D347" s="45"/>
      <c r="E347" s="45"/>
      <c r="F347" s="45" t="str">
        <f ca="1">IF(ISERROR(F344),"",F331)</f>
        <v>Credits</v>
      </c>
      <c r="G347" s="45" t="str">
        <f ca="1">IF(ISERROR(F344),"",G331)</f>
        <v>External Marks</v>
      </c>
      <c r="H347" s="45"/>
      <c r="I347" s="45" t="str">
        <f ca="1">IF(ISERROR(F344),"",I331)</f>
        <v>Sessional Marks</v>
      </c>
      <c r="J347" s="45"/>
      <c r="K347" s="45" t="str">
        <f ca="1">IF(ISERROR(F344),"",K331)</f>
        <v>Total Marks</v>
      </c>
      <c r="L347" s="45"/>
      <c r="M347" s="45" t="str">
        <f ca="1">IF(ISERROR(F344),"",M331)</f>
        <v>Grade</v>
      </c>
      <c r="N347" s="45" t="str">
        <f ca="1">IF(ISERROR(F344),"",N331)</f>
        <v>Grade Points</v>
      </c>
    </row>
    <row r="348" spans="1:24" ht="12.75" customHeight="1" x14ac:dyDescent="0.2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.75" customHeight="1" x14ac:dyDescent="0.2">
      <c r="A349" s="7" t="str">
        <f ca="1">IF(ISERROR(F344),"",VLOOKUP(C344,INDIRECT($F$8),6+(O349-1)*3,0))</f>
        <v>CAT 022</v>
      </c>
      <c r="B349" s="41" t="str">
        <f ca="1">IF(ISERROR(F344),"",VLOOKUP(D344,INDIRECT($F$8),6+(O349-1)*3,0))</f>
        <v>Network Security</v>
      </c>
      <c r="C349" s="41"/>
      <c r="D349" s="41"/>
      <c r="E349" s="41"/>
      <c r="F349" s="7">
        <f ca="1">IF(ISERROR(F344),"",VLOOKUP(E344,INDIRECT($F$8),6+(O349-1)*3,0))</f>
        <v>4</v>
      </c>
      <c r="G349" s="42" t="str">
        <f ca="1">IF(ISERROR(F344),"",_xlfn.TEXTJOIN("/",FALSE,P349,S349))</f>
        <v>0/100</v>
      </c>
      <c r="H349" s="42"/>
      <c r="I349" s="42" t="str">
        <f ca="1">IF(ISERROR(F344),"",_xlfn.TEXTJOIN("/",FALSE,Q349,T349))</f>
        <v>0/50</v>
      </c>
      <c r="J349" s="42"/>
      <c r="K349" s="42" t="str">
        <f ca="1">IF(ISERROR(F344),"",_xlfn.TEXTJOIN("/",FALSE,R349,U349))</f>
        <v>0/150</v>
      </c>
      <c r="L349" s="42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*U349,"O",IF(R349&gt;=0.85*U349,"A+",IF(R349&gt;=0.8*U349,"A",IF(R349&gt;=0.7*U349,"B+",IF(R349&gt;=0.6*U349,"B",IF(R349&gt;=0.5*U349,"C",IF(R349&gt;=0.4*U349,"P",IF(R349&lt;0.4*U349,"F",R349))))))))))))))</f>
        <v>F</v>
      </c>
      <c r="N349" s="8">
        <f t="shared" ref="N349:N355" ca="1" si="21">INDEX($Z$2:$Z$13,MATCH(M349,$Y$2:$Y$13,0))</f>
        <v>0</v>
      </c>
      <c r="O349">
        <v>1</v>
      </c>
      <c r="P349" s="1">
        <f ca="1">IF(ISERROR(F344),"",IF(ISTEXT(VLOOKUP(B344,INDIRECT($F$8),6+(O349-1)*3)),(VLOOKUP(B344,INDIRECT($F$8),6+(O349-1)*3)),SUM(VLOOKUP(B344,INDIRECT($F$8),6+(O349-1)*3),IF(W356,W349,0))))</f>
        <v>0</v>
      </c>
      <c r="Q349" s="1">
        <f ca="1">IF(ISERROR(F344),"",VLOOKUP(B344,INDIRECT($F$8),7+(O349-1)*3))</f>
        <v>0</v>
      </c>
      <c r="R349" s="1">
        <f ca="1">IF(ISERROR(F344),"",SUM(P349:Q349))</f>
        <v>0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>CAT 022</v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11</v>
      </c>
      <c r="X349" s="1" t="str">
        <f ca="1">IF(ISERROR(F344),"",IF(W349=0,"",_xlfn.TEXTJOIN("",FALSE," G+",W349," in ",A349)))</f>
        <v xml:space="preserve"> G+11 in CAT 022</v>
      </c>
    </row>
    <row r="350" spans="1:24" ht="12.75" customHeight="1" x14ac:dyDescent="0.2">
      <c r="A350" s="7" t="str">
        <f ca="1">IF(ISERROR(F344),"",VLOOKUP(C344,INDIRECT($F$8),6+(O350-1)*3,0))</f>
        <v>Enroll No.</v>
      </c>
      <c r="B350" s="41">
        <f ca="1">IF(ISERROR(F344),"",VLOOKUP(D344,INDIRECT($F$8),6+(O350-1)*3,0))</f>
        <v>0</v>
      </c>
      <c r="C350" s="41"/>
      <c r="D350" s="41"/>
      <c r="E350" s="41"/>
      <c r="F350" s="7">
        <f ca="1">IF(ISERROR(F344),"",VLOOKUP(E344,INDIRECT($F$8),6+(O350-1)*3,0))</f>
        <v>0</v>
      </c>
      <c r="G350" s="42" t="str">
        <f ca="1">IF(ISERROR(F344),"",_xlfn.TEXTJOIN("/",FALSE,P350,S350))</f>
        <v>UTU/2406100168/0</v>
      </c>
      <c r="H350" s="42"/>
      <c r="I350" s="42" t="str">
        <f ca="1">IF(ISERROR(F344),"",_xlfn.TEXTJOIN("/",FALSE,Q350,T350))</f>
        <v>SHIVANI BHATT/0</v>
      </c>
      <c r="J350" s="42"/>
      <c r="K350" s="42" t="str">
        <f ca="1">IF(ISERROR(F344),"",_xlfn.TEXTJOIN("/",FALSE,R350,U350))</f>
        <v>0/0</v>
      </c>
      <c r="L350" s="42"/>
      <c r="M350" s="7" t="b">
        <f ca="1">IF(ISERROR(F344),"",IF(ISTEXT(P350),IF(P350="A","Ab",IF(P350="D","Dt",IF(P350="UFM","UFM",IF(P350="NA","")))),IF(AND(ISBLANK(P350),ISBLANK(R350)),"",IF(P350&lt;0.3*S350,"F",IF(ISBLANK(R350),"",IF(ISTEXT(R350),R350,IF(R350&gt;=0.9*U350,"O",IF(R350&gt;=0.85*U350,"A+",IF(R350&gt;=0.8*U350,"A",IF(R350&gt;=0.7*U350,"B+",IF(R350&gt;=0.6*U350,"B",IF(R350&gt;=0.5*U350,"C",IF(R350&gt;=0.4*U350,"P",IF(R350&lt;0.4*U350,"F",R350))))))))))))))</f>
        <v>0</v>
      </c>
      <c r="N350" s="8" t="e">
        <f t="shared" ca="1" si="21"/>
        <v>#N/A</v>
      </c>
      <c r="O350" t="b" cm="1">
        <f t="array" aca="1" ref="O350" ca="1">IF(NOT(ISBLANK(INDIRECT("SEM_IV!I"&amp;INT((ROW(O350)-14)/16)+6))),2,IF(NOT(ISBLANK(INDIRECT("SEM_IV!L"&amp;INT((ROW(O350)-14)/16)+6))),3))</f>
        <v>0</v>
      </c>
      <c r="P350" s="1" t="str">
        <f ca="1">IF(ISERROR(F344),"",IF(ISTEXT(VLOOKUP(B344,INDIRECT($F$8),6+(O350-1)*3)),(VLOOKUP(B344,INDIRECT($F$8),6+(O350-1)*3)),SUM(VLOOKUP(B344,INDIRECT($F$8),6+(O350-1)*3),IF(W356,W350,0))))</f>
        <v>UTU/2406100168</v>
      </c>
      <c r="Q350" s="1" t="str">
        <f ca="1">IF(ISERROR(F344),"",VLOOKUP(B344,INDIRECT($F$8),7+(O350-1)*3))</f>
        <v>SHIVANI BHATT</v>
      </c>
      <c r="R350" s="1">
        <f ca="1">IF(ISERROR(F344),"",SUM(P350:Q350))</f>
        <v>0</v>
      </c>
      <c r="S350" s="1">
        <f ca="1">IF(ISERROR(F344),"",VLOOKUP(A344,INDIRECT($F$8),6+(O350-1)*3))</f>
        <v>0</v>
      </c>
      <c r="T350" s="1">
        <f ca="1">IF(ISERROR(F344),"",VLOOKUP(A344,INDIRECT($F$8),7+(O350-1)*3))</f>
        <v>0</v>
      </c>
      <c r="U350" s="1">
        <f ca="1">IF(ISERROR(F344),"",VLOOKUP(A344,INDIRECT($F$8),8+(O350-1)*3))</f>
        <v>0</v>
      </c>
      <c r="V350" s="1" t="e">
        <f ca="1">IF(ISERROR(F344),"",IF(N350=0,A350,""))</f>
        <v>#N/A</v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11</v>
      </c>
      <c r="X350" s="1" t="str">
        <f ca="1">IF(ISERROR(F344),"",IF(W350=0,"",_xlfn.TEXTJOIN("",FALSE," G+",W350," in ",A350)))</f>
        <v xml:space="preserve"> G+11 in Enroll No.</v>
      </c>
    </row>
    <row r="351" spans="1:24" ht="12.75" customHeight="1" x14ac:dyDescent="0.2">
      <c r="A351" s="7" t="str">
        <f ca="1">IF(ISERROR(F344),"",VLOOKUP(C344,INDIRECT($F$8),6+(O351-1)*3,0))</f>
        <v>CAT 030</v>
      </c>
      <c r="B351" s="41" t="str">
        <f ca="1">IF(ISERROR(F344),"",VLOOKUP(D344,INDIRECT($F$8),6+(O351-1)*3,0))</f>
        <v>Software Testing &amp; Quality Assurance</v>
      </c>
      <c r="C351" s="41"/>
      <c r="D351" s="41"/>
      <c r="E351" s="41"/>
      <c r="F351" s="7">
        <f ca="1">IF(ISERROR(F344),"",VLOOKUP(E344,INDIRECT($F$8),6+(O351-1)*3,0))</f>
        <v>4</v>
      </c>
      <c r="G351" s="42" t="str">
        <f ca="1">IF(ISERROR(F344),"",_xlfn.TEXTJOIN("/",FALSE,P351,S351))</f>
        <v>0/100</v>
      </c>
      <c r="H351" s="42"/>
      <c r="I351" s="42" t="str">
        <f ca="1">IF(ISERROR(F344),"",_xlfn.TEXTJOIN("/",FALSE,Q351,T351))</f>
        <v>0/50</v>
      </c>
      <c r="J351" s="42"/>
      <c r="K351" s="42" t="str">
        <f ca="1">IF(ISERROR(F344),"",_xlfn.TEXTJOIN("/",FALSE,R351,U351))</f>
        <v>0/150</v>
      </c>
      <c r="L351" s="42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*U351,"O",IF(R351&gt;=0.85*U351,"A+",IF(R351&gt;=0.8*U351,"A",IF(R351&gt;=0.7*U351,"B+",IF(R351&gt;=0.6*U351,"B",IF(R351&gt;=0.5*U351,"C",IF(R351&gt;=0.4*U351,"P",IF(R351&lt;0.4*U351,"F",R351))))))))))))))</f>
        <v>F</v>
      </c>
      <c r="N351" s="8">
        <f t="shared" ca="1" si="21"/>
        <v>0</v>
      </c>
      <c r="O351">
        <f ca="1">IF(O350&gt;0,4,"")</f>
        <v>4</v>
      </c>
      <c r="P351" s="1">
        <f ca="1">IF(ISERROR(F344),"",IF(ISTEXT(VLOOKUP(B344,INDIRECT($F$8),6+(O351-1)*3)),(VLOOKUP(B344,INDIRECT($F$8),6+(O351-1)*3)),SUM(VLOOKUP(B344,INDIRECT($F$8),6+(O351-1)*3),IF(W356,W351,0))))</f>
        <v>0</v>
      </c>
      <c r="Q351" s="1">
        <f ca="1">IF(ISERROR(F344),"",VLOOKUP(B344,INDIRECT($F$8),7+(O351-1)*3))</f>
        <v>0</v>
      </c>
      <c r="R351" s="1">
        <f ca="1">IF(ISERROR(F344),"",SUM(P351:Q351))</f>
        <v>0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>CAT 030</v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11</v>
      </c>
      <c r="X351" s="1" t="str">
        <f ca="1">IF(ISERROR(F344),"",IF(W351=0,"",_xlfn.TEXTJOIN("",FALSE," G+",W351," in ",A351)))</f>
        <v xml:space="preserve"> G+11 in CAT 030</v>
      </c>
    </row>
    <row r="352" spans="1:24" ht="12.75" customHeight="1" x14ac:dyDescent="0.2">
      <c r="A352" s="7" t="str">
        <f ca="1">IF(ISERROR(F344),"",VLOOKUP(C344,INDIRECT($F$8),6+(O352-1)*3,0))</f>
        <v>Enroll No.</v>
      </c>
      <c r="B352" s="41">
        <f ca="1">IF(ISERROR(F344),"",VLOOKUP(D344,INDIRECT($F$8),6+(O352-1)*3,0))</f>
        <v>0</v>
      </c>
      <c r="C352" s="41"/>
      <c r="D352" s="41"/>
      <c r="E352" s="41"/>
      <c r="F352" s="7">
        <f ca="1">IF(ISERROR(F344),"",VLOOKUP(E344,INDIRECT($F$8),6+(O352-1)*3,0))</f>
        <v>0</v>
      </c>
      <c r="G352" s="42" t="str">
        <f ca="1">IF(ISERROR(F344),"",_xlfn.TEXTJOIN("/",FALSE,P352,S352))</f>
        <v>UTU/2406100168/0</v>
      </c>
      <c r="H352" s="42"/>
      <c r="I352" s="42" t="str">
        <f ca="1">IF(ISERROR(F344),"",_xlfn.TEXTJOIN("/",FALSE,Q352,T352))</f>
        <v>SHIVANI BHATT/0</v>
      </c>
      <c r="J352" s="42"/>
      <c r="K352" s="42" t="str">
        <f ca="1">IF(ISERROR(F344),"",_xlfn.TEXTJOIN("/",FALSE,R352,U352))</f>
        <v>0/0</v>
      </c>
      <c r="L352" s="42"/>
      <c r="M352" s="7" t="b">
        <f ca="1">IF(ISERROR(F344),"",IF(ISTEXT(P352),IF(P352="A","Ab",IF(P352="D","Dt",IF(P352="UFM","UFM",IF(P352="NA","")))),IF(AND(ISBLANK(P352),ISBLANK(R352)),"",IF(P352&lt;0.3*S352,"F",IF(ISBLANK(R352),"",IF(ISTEXT(R352),R352,IF(R352&gt;=0.9*U352,"O",IF(R352&gt;=0.85*U352,"A+",IF(R352&gt;=0.8*U352,"A",IF(R352&gt;=0.7*U352,"B+",IF(R352&gt;=0.6*U352,"B",IF(R352&gt;=0.5*U352,"C",IF(R352&gt;=0.4*U352,"P",IF(R352&lt;0.4*U352,"F",R352))))))))))))))</f>
        <v>0</v>
      </c>
      <c r="N352" s="8" t="e">
        <f t="shared" ca="1" si="21"/>
        <v>#N/A</v>
      </c>
      <c r="O352" t="b" cm="1">
        <f t="array" aca="1" ref="O352" ca="1">IF(NOT(ISBLANK(INDIRECT("SEM_IV!R"&amp;INT((ROW(O352)-16)/16)+6))),5,IF(NOT(ISBLANK(INDIRECT("SEM_IV!U"&amp;INT((ROW(O352)-16)/16)+6))),6))</f>
        <v>0</v>
      </c>
      <c r="P352" s="1" t="str">
        <f ca="1">IF(ISERROR(F344),"",IF(ISTEXT(VLOOKUP(B344,INDIRECT($F$8),6+(O352-1)*3)),(VLOOKUP(B344,INDIRECT($F$8),6+(O352-1)*3)),SUM(VLOOKUP(B344,INDIRECT($F$8),6+(O352-1)*3),IF(W356,W352,0))))</f>
        <v>UTU/2406100168</v>
      </c>
      <c r="Q352" s="1" t="str">
        <f ca="1">IF(ISERROR(F344),"",VLOOKUP(B344,INDIRECT($F$8),7+(O352-1)*3))</f>
        <v>SHIVANI BHATT</v>
      </c>
      <c r="R352" s="1">
        <f ca="1">IF(ISERROR(F344),"",SUM(P352:Q352))</f>
        <v>0</v>
      </c>
      <c r="S352" s="1">
        <f ca="1">IF(ISERROR(F344),"",VLOOKUP(A344,INDIRECT($F$8),6+(O352-1)*3))</f>
        <v>0</v>
      </c>
      <c r="T352" s="1">
        <f ca="1">IF(ISERROR(F344),"",VLOOKUP(A344,INDIRECT($F$8),7+(O352-1)*3))</f>
        <v>0</v>
      </c>
      <c r="U352" s="1">
        <f ca="1">IF(ISERROR(F344),"",VLOOKUP(A344,INDIRECT($F$8),8+(O352-1)*3))</f>
        <v>0</v>
      </c>
      <c r="V352" s="1" t="e">
        <f ca="1">IF(ISERROR(F344),"",IF(N352=0,A352,""))</f>
        <v>#N/A</v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11</v>
      </c>
      <c r="X352" s="1" t="str">
        <f ca="1">IF(ISERROR(F344),"",IF(W352=0,"",_xlfn.TEXTJOIN("",FALSE," G+",W352," in ",A352)))</f>
        <v xml:space="preserve"> G+11 in Enroll No.</v>
      </c>
    </row>
    <row r="353" spans="1:24" ht="12.75" customHeight="1" x14ac:dyDescent="0.2">
      <c r="A353" s="7" t="str">
        <f ca="1">IF(ISERROR(F344),"",VLOOKUP(C344,INDIRECT($F$8),6+(O353-1)*3,0))</f>
        <v>CAP 011</v>
      </c>
      <c r="B353" s="41" t="str">
        <f ca="1">IF(ISERROR(F344),"",VLOOKUP(D344,INDIRECT($F$8),6+(O353-1)*3,0))</f>
        <v>Network Security Lab</v>
      </c>
      <c r="C353" s="41"/>
      <c r="D353" s="41"/>
      <c r="E353" s="41"/>
      <c r="F353" s="7">
        <f ca="1">IF(ISERROR(F344),"",VLOOKUP(E344,INDIRECT($F$8),6+(O353-1)*3,0))</f>
        <v>1</v>
      </c>
      <c r="G353" s="42" t="str">
        <f ca="1">IF(ISERROR(F344),"",_xlfn.TEXTJOIN("/",FALSE,P353,S353))</f>
        <v>0/30</v>
      </c>
      <c r="H353" s="42"/>
      <c r="I353" s="42" t="str">
        <f ca="1">IF(ISERROR(F344),"",_xlfn.TEXTJOIN("/",FALSE,Q353,T353))</f>
        <v>0/20</v>
      </c>
      <c r="J353" s="42"/>
      <c r="K353" s="42" t="str">
        <f ca="1">IF(ISERROR(F344),"",_xlfn.TEXTJOIN("/",FALSE,R353,U353))</f>
        <v>0/50</v>
      </c>
      <c r="L353" s="42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*U353,"O",IF(R353&gt;=0.85*U353,"A+",IF(R353&gt;=0.8*U353,"A",IF(R353&gt;=0.7*U353,"B+",IF(R353&gt;=0.6*U353,"B",IF(R353&gt;=0.5*U353,"C",IF(R353&gt;=0.4*U353,"P",IF(R353&lt;0.4*U353,"F",R353))))))))))))))</f>
        <v>F</v>
      </c>
      <c r="N353" s="8">
        <f t="shared" ca="1" si="21"/>
        <v>0</v>
      </c>
      <c r="O353">
        <f ca="1">IF(O352&gt;0,7,"")</f>
        <v>7</v>
      </c>
      <c r="P353" s="1">
        <f ca="1">IF(ISERROR(F344),"",IF(ISTEXT(VLOOKUP(B344,INDIRECT($F$8),6+(O353-1)*3)),(VLOOKUP(B344,INDIRECT($F$8),6+(O353-1)*3)),SUM(VLOOKUP(B344,INDIRECT($F$8),6+(O353-1)*3),IF(W356,W353,0))))</f>
        <v>0</v>
      </c>
      <c r="Q353" s="1">
        <f ca="1">IF(ISERROR(F344),"",VLOOKUP(B344,INDIRECT($F$8),7+(O353-1)*3))</f>
        <v>0</v>
      </c>
      <c r="R353" s="1">
        <f ca="1">IF(ISERROR(F344),"",SUM(P353:Q353))</f>
        <v>0</v>
      </c>
      <c r="S353" s="1">
        <f ca="1">IF(ISERROR(F344),"",VLOOKUP(A344,INDIRECT($F$8),6+(O353-1)*3))</f>
        <v>30</v>
      </c>
      <c r="T353" s="1">
        <f ca="1">IF(ISERROR(F344),"",VLOOKUP(A344,INDIRECT($F$8),7+(O353-1)*3))</f>
        <v>20</v>
      </c>
      <c r="U353" s="1">
        <f ca="1">IF(ISERROR(F344),"",VLOOKUP(A344,INDIRECT($F$8),8+(O353-1)*3))</f>
        <v>50</v>
      </c>
      <c r="V353" s="1" t="str">
        <f ca="1">IF(ISERROR(F344),"",IF(N353=0,A353,""))</f>
        <v>CAP 011</v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11</v>
      </c>
      <c r="X353" s="1" t="str">
        <f ca="1">IF(ISERROR(F344),"",IF(W353=0,"",_xlfn.TEXTJOIN("",FALSE," G+",W353," in ",A353)))</f>
        <v xml:space="preserve"> G+11 in CAP 011</v>
      </c>
    </row>
    <row r="354" spans="1:24" ht="12.75" customHeight="1" x14ac:dyDescent="0.2">
      <c r="A354" s="7" t="str">
        <f ca="1">IF(ISERROR(F344),"",VLOOKUP(C344,INDIRECT($F$8),6+(O354-1)*3,0))</f>
        <v>Enroll No.</v>
      </c>
      <c r="B354" s="41">
        <f ca="1">IF(ISERROR(F344),"",VLOOKUP(D344,INDIRECT($F$8),6+(O354-1)*3,0))</f>
        <v>0</v>
      </c>
      <c r="C354" s="41"/>
      <c r="D354" s="41"/>
      <c r="E354" s="41"/>
      <c r="F354" s="7">
        <f ca="1">IF(ISERROR(F344),"",VLOOKUP(E344,INDIRECT($F$8),6+(O354-1)*3,0))</f>
        <v>0</v>
      </c>
      <c r="G354" s="42" t="str">
        <f ca="1">IF(ISERROR(F344),"",_xlfn.TEXTJOIN("/",FALSE,P354,S354))</f>
        <v>UTU/2406100168/0</v>
      </c>
      <c r="H354" s="42"/>
      <c r="I354" s="42" t="str">
        <f ca="1">IF(ISERROR(F344),"",_xlfn.TEXTJOIN("/",FALSE,Q354,T354))</f>
        <v>SHIVANI BHATT/0</v>
      </c>
      <c r="J354" s="42"/>
      <c r="K354" s="42" t="str">
        <f ca="1">IF(ISERROR(F344),"",_xlfn.TEXTJOIN("/",FALSE,R354,U354))</f>
        <v>0/0</v>
      </c>
      <c r="L354" s="42"/>
      <c r="M354" s="7" t="b">
        <f ca="1">IF(ISERROR(F344),"",IF(ISTEXT(P354),IF(P354="A","Ab",IF(P354="D","Dt",IF(P354="UFM","UFM",IF(P354="NA","")))),IF(AND(ISBLANK(P354),ISBLANK(R354)),"",IF(P354&lt;0.3*S354,"F",IF(ISBLANK(R354),"",IF(ISTEXT(R354),R354,IF(R354&gt;=0.9*U354,"O",IF(R354&gt;=0.85*U354,"A+",IF(R354&gt;=0.8*U354,"A",IF(R354&gt;=0.7*U354,"B+",IF(R354&gt;=0.6*U354,"B",IF(R354&gt;=0.5*U354,"C",IF(R354&gt;=0.4*U354,"P",IF(R354&lt;0.4*U354,"F",R354))))))))))))))</f>
        <v>0</v>
      </c>
      <c r="N354" s="8" t="e">
        <f t="shared" ca="1" si="21"/>
        <v>#N/A</v>
      </c>
      <c r="O354" t="b" cm="1">
        <f t="array" aca="1" ref="O354" ca="1">IF(NOT(ISBLANK(INDIRECT("SEM_IV!AA"&amp;INT((ROW(O354)-18)/16)+6))),8,IF(NOT(ISBLANK(INDIRECT("SEM_IV!AD"&amp;INT((ROW(O354)-18)/16)+6))),9))</f>
        <v>0</v>
      </c>
      <c r="P354" s="1" t="str">
        <f ca="1">IF(ISERROR(F344),"",IF(ISTEXT(VLOOKUP(B344,INDIRECT($F$8),6+(O354-1)*3)),(VLOOKUP(B344,INDIRECT($F$8),6+(O354-1)*3)),SUM(VLOOKUP(B344,INDIRECT($F$8),6+(O354-1)*3),IF(W356,W354,0))))</f>
        <v>UTU/2406100168</v>
      </c>
      <c r="Q354" s="1" t="str">
        <f ca="1">IF(ISERROR(F344),"",VLOOKUP(B344,INDIRECT($F$8),7+(O354-1)*3))</f>
        <v>SHIVANI BHATT</v>
      </c>
      <c r="R354" s="1">
        <f ca="1">IF(ISERROR(F344),"",SUM(P354:Q354))</f>
        <v>0</v>
      </c>
      <c r="S354" s="1">
        <f ca="1">IF(ISERROR(F344),"",VLOOKUP(A344,INDIRECT($F$8),6+(O354-1)*3))</f>
        <v>0</v>
      </c>
      <c r="T354" s="1">
        <f ca="1">IF(ISERROR(F344),"",VLOOKUP(A344,INDIRECT($F$8),7+(O354-1)*3))</f>
        <v>0</v>
      </c>
      <c r="U354" s="1">
        <f ca="1">IF(ISERROR(F344),"",VLOOKUP(A344,INDIRECT($F$8),8+(O354-1)*3))</f>
        <v>0</v>
      </c>
      <c r="V354" s="1" t="e">
        <f ca="1">IF(ISERROR(F344),"",IF(N354=0,A354,""))</f>
        <v>#N/A</v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11</v>
      </c>
      <c r="X354" s="1" t="str">
        <f ca="1">IF(ISERROR(F344),"",IF(W354=0,"",_xlfn.TEXTJOIN("",FALSE," G+",W354," in ",A354)))</f>
        <v xml:space="preserve"> G+11 in Enroll No.</v>
      </c>
    </row>
    <row r="355" spans="1:24" ht="12.75" customHeight="1" x14ac:dyDescent="0.2">
      <c r="A355" s="7" t="str">
        <f ca="1">IF(ISERROR(F344),"",VLOOKUP(C344,INDIRECT($F$8),6+(O355-1)*3,0))</f>
        <v>CAP 013</v>
      </c>
      <c r="B355" s="41" t="str">
        <f ca="1">IF(ISERROR(F344),"",VLOOKUP(D344,INDIRECT($F$8),6+(O355-1)*3-Z355,0))</f>
        <v>Major Project</v>
      </c>
      <c r="C355" s="41"/>
      <c r="D355" s="41"/>
      <c r="E355" s="41"/>
      <c r="F355" s="7">
        <f ca="1">IF(ISERROR(F344),"",VLOOKUP(E344,INDIRECT($F$8),6+(O355-1)*3,0))</f>
        <v>6</v>
      </c>
      <c r="G355" s="42" t="str">
        <f ca="1">IF(ISERROR(F344),"",_xlfn.TEXTJOIN("/",FALSE,P355,S355))</f>
        <v>0/200</v>
      </c>
      <c r="H355" s="42"/>
      <c r="I355" s="42" t="str">
        <f ca="1">IF(ISERROR(F344),"",_xlfn.TEXTJOIN("/",FALSE,Q355,T355))</f>
        <v>0/100</v>
      </c>
      <c r="J355" s="42"/>
      <c r="K355" s="42" t="str">
        <f ca="1">IF(ISERROR(F344),"",_xlfn.TEXTJOIN("/",FALSE,R355,U355))</f>
        <v>0/300</v>
      </c>
      <c r="L355" s="42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*U355,"O",IF(R355&gt;=0.85*U355,"A+",IF(R355&gt;=0.8*U355,"A",IF(R355&gt;=0.7*U355,"B+",IF(R355&gt;=0.6*U355,"B",IF(R355&gt;=0.5*U355,"C",IF(R355&gt;=0.4*U355,"P",IF(R355&lt;0.4*U355,"F",R355))))))))))))))</f>
        <v>F</v>
      </c>
      <c r="N355" s="8">
        <f t="shared" ca="1" si="21"/>
        <v>0</v>
      </c>
      <c r="O355">
        <f ca="1">IF(O354&gt;0,10,"")</f>
        <v>10</v>
      </c>
      <c r="P355" s="1">
        <f ca="1">IF(ISERROR(F344),"",IF(ISTEXT(VLOOKUP(B344,INDIRECT($F$8),6+(O355-1)*3)),(VLOOKUP(B344,INDIRECT($F$8),6+(O355-1)*3)),SUM(VLOOKUP(B344,INDIRECT($F$8),6+(O355-1)*3),IF(W356,W355,0))))</f>
        <v>0</v>
      </c>
      <c r="Q355" s="1">
        <f ca="1">IF(ISERROR(F344),"",VLOOKUP(B344,INDIRECT($F$8),7+(O355-1)*3))</f>
        <v>0</v>
      </c>
      <c r="R355" s="1">
        <f ca="1">IF(ISERROR(F344),"",SUM(P355:Q355))</f>
        <v>0</v>
      </c>
      <c r="S355" s="1">
        <f ca="1">IF(ISERROR(F344),"",VLOOKUP(A344,INDIRECT($F$8),6+(O355-1)*3))</f>
        <v>200</v>
      </c>
      <c r="T355" s="1">
        <f ca="1">IF(ISERROR(F344),"",VLOOKUP(A344,INDIRECT($F$8),7+(O355-1)*3))</f>
        <v>100</v>
      </c>
      <c r="U355" s="1">
        <f ca="1">IF(ISERROR(F344),"",VLOOKUP(A344,INDIRECT($F$8),8+(O355-1)*3))</f>
        <v>300</v>
      </c>
      <c r="V355" s="1" t="str">
        <f ca="1">IF(ISERROR(F344),"",IF(N355=0,A355,""))</f>
        <v>CAP 013</v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11</v>
      </c>
      <c r="X355" s="1" t="str">
        <f ca="1">IF(ISERROR(F344),"",IF(W355=0,"",_xlfn.TEXTJOIN("",FALSE," G+",W355," in ",A355)))</f>
        <v xml:space="preserve"> G+11 in CAP 013</v>
      </c>
    </row>
    <row r="356" spans="1:24" ht="12.75" customHeight="1" x14ac:dyDescent="0.2">
      <c r="A356" s="43" t="str">
        <f ca="1">IF(ISERROR(F344),"",A340)</f>
        <v>Total Credits/ Marks/ Total Grade Points</v>
      </c>
      <c r="B356" s="43"/>
      <c r="C356" s="43"/>
      <c r="D356" s="43"/>
      <c r="E356" s="43"/>
      <c r="F356" s="10">
        <f ca="1">IF(ISERROR(F344),"",SUM(F349:F355))</f>
        <v>15</v>
      </c>
      <c r="G356" s="44" t="str">
        <f ca="1">IF(ISERROR(F344),"",_xlfn.TEXTJOIN("/",TRUE,SUMIF(F349:F355,"&gt;0",P349:P355),SUMIF(F349:F355,"&gt;0",S349:S355)))</f>
        <v>0/430</v>
      </c>
      <c r="H356" s="44"/>
      <c r="I356" s="44" t="str">
        <f ca="1">IF(ISERROR(F344),"",_xlfn.TEXTJOIN("/",TRUE,SUMIF(F349:F355,"&gt;0",Q349:Q355),SUMIF(F349:F355,"&gt;0",T349:T355)))</f>
        <v>0/220</v>
      </c>
      <c r="J356" s="44"/>
      <c r="K356" s="44" t="str">
        <f ca="1">IF(ISERROR(F344),"",_xlfn.TEXTJOIN("/",TRUE,SUMIF(F349:F355,"&gt;0",R349:R355),SUMIF(F349:F355,"&gt;0",U349:U355)))</f>
        <v>0/650</v>
      </c>
      <c r="L356" s="44"/>
      <c r="M356" s="43" t="e">
        <f ca="1">IF(ISERROR(F344),"",SUMPRODUCT(N349:N355,F349:F355))</f>
        <v>#N/A</v>
      </c>
      <c r="N356" s="43"/>
      <c r="V356" s="1" t="e">
        <f ca="1">IF(ISERROR(F344),"",_xlfn.TEXTJOIN(", ",TRUE,V349:V355))</f>
        <v>#N/A</v>
      </c>
      <c r="W356" t="b">
        <f ca="1">IF(ISERROR(F344),"",IF(SUM(W349:W355)&lt;=W348,TRUE,FALSE))</f>
        <v>0</v>
      </c>
      <c r="X356" s="1" t="str">
        <f ca="1">IF(ISERROR(F344),"",_xlfn.TEXTJOIN(",",TRUE,X349:X355))</f>
        <v xml:space="preserve"> G+11 in CAT 022, G+11 in Enroll No., G+11 in CAT 030, G+11 in Enroll No., G+11 in CAP 011, G+11 in Enroll No., G+11 in CAP 013</v>
      </c>
    </row>
    <row r="357" spans="1:24" ht="12.75" customHeight="1" x14ac:dyDescent="0.2">
      <c r="A357" s="43" t="str">
        <f ca="1">IF(ISERROR(F344),"",A341)</f>
        <v>Result:</v>
      </c>
      <c r="B357" s="45" t="e">
        <f ca="1">IF(ISERROR(F344),"",IF(V356="","PASS","CARRY OVER"))</f>
        <v>#N/A</v>
      </c>
      <c r="C357" s="45"/>
      <c r="D357" s="43" t="str">
        <f ca="1">IF(ISERROR(F344),"",D341)</f>
        <v>Remark:</v>
      </c>
      <c r="E357" s="45" t="e">
        <f ca="1">IF(ISERROR(F344),"",IF(V356="",IF(X356="","",X356),_xlfn.TEXTJOIN(" ",TRUE,"BACK IN",V356)))</f>
        <v>#N/A</v>
      </c>
      <c r="F357" s="45"/>
      <c r="G357" s="43" t="str">
        <f ca="1">IF(ISERROR(F344),"",G341)</f>
        <v>SGPA:</v>
      </c>
      <c r="H357" s="46" t="e">
        <f ca="1">IF(ISERROR(F344),"",M356/F356)</f>
        <v>#N/A</v>
      </c>
      <c r="I357" s="43" t="str">
        <f ca="1">IF(ISERROR(F344),"",I341)</f>
        <v>CGPA:</v>
      </c>
      <c r="J357" s="46" t="e">
        <f ca="1">IF(ISERROR(F344),"",VLOOKUP(B344,INDIRECT($F$8),12+(O355-1)*3,0))</f>
        <v>#N/A</v>
      </c>
      <c r="K357" s="45" t="str">
        <f ca="1">IF(ISERROR(F344),"",K341)</f>
        <v>Earned Credits:</v>
      </c>
      <c r="L357" s="43">
        <f ca="1">IF(ISERROR(F344),"",SUMIF(N349:N355,"&gt;0",F349:F355))</f>
        <v>0</v>
      </c>
      <c r="M357" s="45" t="str">
        <f ca="1">IF(ISERROR(F344),"",M341)</f>
        <v>Cuml. Earned Credits:</v>
      </c>
      <c r="N357" s="43" t="e">
        <f ca="1">IF(ISERROR(F344),"",VLOOKUP(B344,INDIRECT($F$8),10+(O355-1)*3,0))</f>
        <v>#N/A</v>
      </c>
    </row>
    <row r="358" spans="1:24" ht="12.75" customHeight="1" x14ac:dyDescent="0.2">
      <c r="A358" s="43"/>
      <c r="B358" s="45"/>
      <c r="C358" s="45"/>
      <c r="D358" s="43"/>
      <c r="E358" s="45"/>
      <c r="F358" s="45"/>
      <c r="G358" s="43"/>
      <c r="H358" s="46"/>
      <c r="I358" s="43"/>
      <c r="J358" s="46"/>
      <c r="K358" s="45"/>
      <c r="L358" s="43"/>
      <c r="M358" s="45"/>
      <c r="N358" s="43"/>
    </row>
    <row r="359" spans="1:24" ht="12.75" customHeight="1" x14ac:dyDescent="0.2">
      <c r="A359" s="43"/>
      <c r="B359" s="45"/>
      <c r="C359" s="45"/>
      <c r="D359" s="43"/>
      <c r="E359" s="45"/>
      <c r="F359" s="45"/>
      <c r="G359" s="43"/>
      <c r="H359" s="46"/>
      <c r="I359" s="43"/>
      <c r="J359" s="46"/>
      <c r="K359" s="45"/>
      <c r="L359" s="43"/>
      <c r="M359" s="45"/>
      <c r="N359" s="43"/>
    </row>
    <row r="360" spans="1:24" ht="12.75" customHeight="1" x14ac:dyDescent="0.2">
      <c r="A360" s="11" t="str">
        <f>A344</f>
        <v>MM</v>
      </c>
      <c r="B360" s="11">
        <f>B344+1</f>
        <v>23</v>
      </c>
      <c r="C360" s="11" t="str">
        <f>C344</f>
        <v>SC</v>
      </c>
      <c r="D360" s="11" t="str">
        <f>D344</f>
        <v>SN</v>
      </c>
      <c r="E360" s="11" t="str">
        <f>E344</f>
        <v>C</v>
      </c>
      <c r="F360" s="11" t="str">
        <f ca="1">VLOOKUP(B360,INDIRECT($F$8),4,0)</f>
        <v>SHRIYANSHU DHYANI</v>
      </c>
    </row>
    <row r="361" spans="1:24" ht="12.75" customHeight="1" x14ac:dyDescent="0.2">
      <c r="A361" s="47" t="str">
        <f ca="1">IF(ISERROR(F360),"",A345)</f>
        <v>Name:</v>
      </c>
      <c r="B361" s="47" t="str">
        <f ca="1">IFERROR(VLOOKUP(B360,INDIRECT($F$8),4,0),"")</f>
        <v>SHRIYANSHU DHYANI</v>
      </c>
      <c r="C361" s="47"/>
      <c r="D361" s="47" t="str">
        <f ca="1">IF(ISERROR(F360),"",D345)</f>
        <v>Father's Name:</v>
      </c>
      <c r="E361" s="47" t="str">
        <f ca="1">IFERROR(VLOOKUP(B360,INDIRECT($F$8),5,0),"")</f>
        <v>LUV KUMAR DHYANI</v>
      </c>
      <c r="F361" s="47"/>
      <c r="G361" s="47" t="str">
        <f ca="1">IF(ISERROR(F360),"",G345)</f>
        <v>University Roll No:</v>
      </c>
      <c r="H361" s="47"/>
      <c r="I361" s="48">
        <f ca="1">IFERROR(VLOOKUP(B360,INDIRECT($F$8),2,0),"")</f>
        <v>240090600023</v>
      </c>
      <c r="J361" s="48"/>
      <c r="K361" s="47" t="str">
        <f ca="1">IF(ISERROR(F360),"",K345)</f>
        <v>University Enrol. No:</v>
      </c>
      <c r="L361" s="47"/>
      <c r="M361" s="48" t="str">
        <f ca="1">IFERROR(VLOOKUP(B360,INDIRECT($F$8),3,0),"")</f>
        <v>UTU/2406100184</v>
      </c>
      <c r="N361" s="48"/>
    </row>
    <row r="362" spans="1:24" ht="12.75" customHeight="1" x14ac:dyDescent="0.2">
      <c r="A362" s="47"/>
      <c r="B362" s="47"/>
      <c r="C362" s="47"/>
      <c r="D362" s="47"/>
      <c r="E362" s="47"/>
      <c r="F362" s="47"/>
      <c r="G362" s="47"/>
      <c r="H362" s="47"/>
      <c r="I362" s="48"/>
      <c r="J362" s="48"/>
      <c r="K362" s="47"/>
      <c r="L362" s="47"/>
      <c r="M362" s="48"/>
      <c r="N362" s="48"/>
    </row>
    <row r="363" spans="1:24" ht="12.75" customHeight="1" x14ac:dyDescent="0.2">
      <c r="A363" s="45" t="str">
        <f ca="1">IF(ISERROR(F360),"",A347)</f>
        <v>Subject Code</v>
      </c>
      <c r="B363" s="45" t="str">
        <f ca="1">IF(ISERROR(F360),"",B347)</f>
        <v>Subject Name</v>
      </c>
      <c r="C363" s="45"/>
      <c r="D363" s="45"/>
      <c r="E363" s="45"/>
      <c r="F363" s="45" t="str">
        <f ca="1">IF(ISERROR(F360),"",F347)</f>
        <v>Credits</v>
      </c>
      <c r="G363" s="45" t="str">
        <f ca="1">IF(ISERROR(F360),"",G347)</f>
        <v>External Marks</v>
      </c>
      <c r="H363" s="45"/>
      <c r="I363" s="45" t="str">
        <f ca="1">IF(ISERROR(F360),"",I347)</f>
        <v>Sessional Marks</v>
      </c>
      <c r="J363" s="45"/>
      <c r="K363" s="45" t="str">
        <f ca="1">IF(ISERROR(F360),"",K347)</f>
        <v>Total Marks</v>
      </c>
      <c r="L363" s="45"/>
      <c r="M363" s="45" t="str">
        <f ca="1">IF(ISERROR(F360),"",M347)</f>
        <v>Grade</v>
      </c>
      <c r="N363" s="45" t="str">
        <f ca="1">IF(ISERROR(F360),"",N347)</f>
        <v>Grade Points</v>
      </c>
    </row>
    <row r="364" spans="1:24" ht="12.75" customHeight="1" x14ac:dyDescent="0.2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W364">
        <f ca="1">IF(ISNUMBER(MATCH($F$8,{"I","III","V","VII"},0)),10,10-INDEX(INDIRECT(_xlfn.TEXTJOIN("",TRUE,"SEM_",$G$8,"!",ADDRESS(6,4+$I$8*3+4),":",ADDRESS(5+$H$8,4+$I$8*3+4))),MATCH(INDIRECT(_xlfn.TEXTJOIN("",TRUE,"TC_",$F$8,"!",ADDRESS(ROW(I361),COLUMN(I361)))),INDIRECT(_xlfn.TEXTJOIN("",TRUE,"SEM_",$G$8,"!",ADDRESS(6,2),":",ADDRESS(5+$H$8,2))))))</f>
        <v>10</v>
      </c>
    </row>
    <row r="365" spans="1:24" ht="12.75" customHeight="1" x14ac:dyDescent="0.2">
      <c r="A365" s="7" t="str">
        <f ca="1">IF(ISERROR(F360),"",VLOOKUP(C360,INDIRECT($F$8),6+(O365-1)*3,0))</f>
        <v>CAT 022</v>
      </c>
      <c r="B365" s="41" t="str">
        <f ca="1">IF(ISERROR(F360),"",VLOOKUP(D360,INDIRECT($F$8),6+(O365-1)*3,0))</f>
        <v>Network Security</v>
      </c>
      <c r="C365" s="41"/>
      <c r="D365" s="41"/>
      <c r="E365" s="41"/>
      <c r="F365" s="7">
        <f ca="1">IF(ISERROR(F360),"",VLOOKUP(E360,INDIRECT($F$8),6+(O365-1)*3,0))</f>
        <v>4</v>
      </c>
      <c r="G365" s="42" t="str">
        <f ca="1">IF(ISERROR(F360),"",_xlfn.TEXTJOIN("/",FALSE,P365,S365))</f>
        <v>0/100</v>
      </c>
      <c r="H365" s="42"/>
      <c r="I365" s="42" t="str">
        <f ca="1">IF(ISERROR(F360),"",_xlfn.TEXTJOIN("/",FALSE,Q365,T365))</f>
        <v>0/50</v>
      </c>
      <c r="J365" s="42"/>
      <c r="K365" s="42" t="str">
        <f ca="1">IF(ISERROR(F360),"",_xlfn.TEXTJOIN("/",FALSE,R365,U365))</f>
        <v>0/150</v>
      </c>
      <c r="L365" s="42"/>
      <c r="M365" s="7" t="str">
        <f ca="1">IF(ISERROR(F360),"",IF(ISTEXT(P365),IF(P365="A","Ab",IF(P365="D","Dt",IF(P365="UFM","UFM",IF(P365="NA","")))),IF(AND(ISBLANK(P365),ISBLANK(R365)),"",IF(P365&lt;0.3*S365,"F",IF(ISBLANK(R365),"",IF(ISTEXT(R365),R365,IF(R365&gt;=0.9*U365,"O",IF(R365&gt;=0.85*U365,"A+",IF(R365&gt;=0.8*U365,"A",IF(R365&gt;=0.7*U365,"B+",IF(R365&gt;=0.6*U365,"B",IF(R365&gt;=0.5*U365,"C",IF(R365&gt;=0.4*U365,"P",IF(R365&lt;0.4*U365,"F",R365))))))))))))))</f>
        <v>F</v>
      </c>
      <c r="N365" s="8">
        <f t="shared" ref="N365:N371" ca="1" si="22">INDEX($Z$2:$Z$13,MATCH(M365,$Y$2:$Y$13,0))</f>
        <v>0</v>
      </c>
      <c r="O365">
        <v>1</v>
      </c>
      <c r="P365" s="1">
        <f ca="1">IF(ISERROR(F360),"",IF(ISTEXT(VLOOKUP(B360,INDIRECT($F$8),6+(O365-1)*3)),(VLOOKUP(B360,INDIRECT($F$8),6+(O365-1)*3)),SUM(VLOOKUP(B360,INDIRECT($F$8),6+(O365-1)*3),IF(W372,W365,0))))</f>
        <v>0</v>
      </c>
      <c r="Q365" s="1">
        <f ca="1">IF(ISERROR(F360),"",VLOOKUP(B360,INDIRECT($F$8),7+(O365-1)*3))</f>
        <v>0</v>
      </c>
      <c r="R365" s="1">
        <f ca="1">IF(ISERROR(F360),"",SUM(P365:Q365))</f>
        <v>0</v>
      </c>
      <c r="S365" s="1">
        <f ca="1">IF(ISERROR(F360),"",VLOOKUP(A360,INDIRECT($F$8),6+(O365-1)*3))</f>
        <v>100</v>
      </c>
      <c r="T365" s="1">
        <f ca="1">IF(ISERROR(F360),"",VLOOKUP(A360,INDIRECT($F$8),7+(O365-1)*3))</f>
        <v>50</v>
      </c>
      <c r="U365" s="1">
        <f ca="1">IF(ISERROR(F360),"",VLOOKUP(A360,INDIRECT($F$8),8+(O365-1)*3))</f>
        <v>150</v>
      </c>
      <c r="V365" s="1" t="str">
        <f ca="1">IF(ISERROR(F360),"",IF(N365=0,A365,""))</f>
        <v>CAT 022</v>
      </c>
      <c r="W365" s="1">
        <f ca="1">IF(ISERROR(F360),"",IF(ISTEXT(VLOOKUP(B360,INDIRECT($F$8),6+(O365-1)*3)),11,IF(VLOOKUP(B360,INDIRECT($F$8),6+(O365-1)*3)&lt;S365*0.3,IF(VLOOKUP(B360,INDIRECT($F$8),8+(O365-1)*3)&lt;U365*0.4,IF(AND(0.4*U365-VLOOKUP(B360,INDIRECT($F$8),8+(O365-1)*3)&lt;=5,0.3*S365-VLOOKUP(B360,INDIRECT($F$8),6+(O365-1)*3)&lt;=5),MAX(0.4*U365-VLOOKUP(B360,INDIRECT($F$8),8+(O365-1)*3),0.3*S365-VLOOKUP(B360,INDIRECT($F$8),6+(O365-1)*3)),11),IF(0.3*S365-VLOOKUP(B360,INDIRECT($F$8),6+(O365-1)*3)&lt;=5,0.3*S365-VLOOKUP(B360,INDIRECT($F$8),6+(O365-1)*3),11)),IF(VLOOKUP(B360,INDIRECT($F$8),8+(O365-1)*3)&lt;U365*0.4,IF(U365*0.4-VLOOKUP(B360,INDIRECT($F$8),8+(O365-1)*3)&lt;=5,U365*0.4-VLOOKUP(B360,INDIRECT($F$8),8+(O365-1)*3),11),0))))</f>
        <v>11</v>
      </c>
      <c r="X365" s="1" t="str">
        <f ca="1">IF(ISERROR(F360),"",IF(W365=0,"",_xlfn.TEXTJOIN("",FALSE," G+",W365," in ",A365)))</f>
        <v xml:space="preserve"> G+11 in CAT 022</v>
      </c>
    </row>
    <row r="366" spans="1:24" ht="12.75" customHeight="1" x14ac:dyDescent="0.2">
      <c r="A366" s="7" t="str">
        <f ca="1">IF(ISERROR(F360),"",VLOOKUP(C360,INDIRECT($F$8),6+(O366-1)*3,0))</f>
        <v>Enroll No.</v>
      </c>
      <c r="B366" s="41">
        <f ca="1">IF(ISERROR(F360),"",VLOOKUP(D360,INDIRECT($F$8),6+(O366-1)*3,0))</f>
        <v>0</v>
      </c>
      <c r="C366" s="41"/>
      <c r="D366" s="41"/>
      <c r="E366" s="41"/>
      <c r="F366" s="7">
        <f ca="1">IF(ISERROR(F360),"",VLOOKUP(E360,INDIRECT($F$8),6+(O366-1)*3,0))</f>
        <v>0</v>
      </c>
      <c r="G366" s="42" t="str">
        <f ca="1">IF(ISERROR(F360),"",_xlfn.TEXTJOIN("/",FALSE,P366,S366))</f>
        <v>UTU/2406100184/0</v>
      </c>
      <c r="H366" s="42"/>
      <c r="I366" s="42" t="str">
        <f ca="1">IF(ISERROR(F360),"",_xlfn.TEXTJOIN("/",FALSE,Q366,T366))</f>
        <v>SHRIYANSHU DHYANI/0</v>
      </c>
      <c r="J366" s="42"/>
      <c r="K366" s="42" t="str">
        <f ca="1">IF(ISERROR(F360),"",_xlfn.TEXTJOIN("/",FALSE,R366,U366))</f>
        <v>0/0</v>
      </c>
      <c r="L366" s="42"/>
      <c r="M366" s="7" t="b">
        <f ca="1">IF(ISERROR(F360),"",IF(ISTEXT(P366),IF(P366="A","Ab",IF(P366="D","Dt",IF(P366="UFM","UFM",IF(P366="NA","")))),IF(AND(ISBLANK(P366),ISBLANK(R366)),"",IF(P366&lt;0.3*S366,"F",IF(ISBLANK(R366),"",IF(ISTEXT(R366),R366,IF(R366&gt;=0.9*U366,"O",IF(R366&gt;=0.85*U366,"A+",IF(R366&gt;=0.8*U366,"A",IF(R366&gt;=0.7*U366,"B+",IF(R366&gt;=0.6*U366,"B",IF(R366&gt;=0.5*U366,"C",IF(R366&gt;=0.4*U366,"P",IF(R366&lt;0.4*U366,"F",R366))))))))))))))</f>
        <v>0</v>
      </c>
      <c r="N366" s="8" t="e">
        <f t="shared" ca="1" si="22"/>
        <v>#N/A</v>
      </c>
      <c r="O366" t="b" cm="1">
        <f t="array" aca="1" ref="O366" ca="1">IF(NOT(ISBLANK(INDIRECT("SEM_IV!I"&amp;INT((ROW(O366)-14)/16)+6))),2,IF(NOT(ISBLANK(INDIRECT("SEM_IV!L"&amp;INT((ROW(O366)-14)/16)+6))),3))</f>
        <v>0</v>
      </c>
      <c r="P366" s="1" t="str">
        <f ca="1">IF(ISERROR(F360),"",IF(ISTEXT(VLOOKUP(B360,INDIRECT($F$8),6+(O366-1)*3)),(VLOOKUP(B360,INDIRECT($F$8),6+(O366-1)*3)),SUM(VLOOKUP(B360,INDIRECT($F$8),6+(O366-1)*3),IF(W372,W366,0))))</f>
        <v>UTU/2406100184</v>
      </c>
      <c r="Q366" s="1" t="str">
        <f ca="1">IF(ISERROR(F360),"",VLOOKUP(B360,INDIRECT($F$8),7+(O366-1)*3))</f>
        <v>SHRIYANSHU DHYANI</v>
      </c>
      <c r="R366" s="1">
        <f ca="1">IF(ISERROR(F360),"",SUM(P366:Q366))</f>
        <v>0</v>
      </c>
      <c r="S366" s="1">
        <f ca="1">IF(ISERROR(F360),"",VLOOKUP(A360,INDIRECT($F$8),6+(O366-1)*3))</f>
        <v>0</v>
      </c>
      <c r="T366" s="1">
        <f ca="1">IF(ISERROR(F360),"",VLOOKUP(A360,INDIRECT($F$8),7+(O366-1)*3))</f>
        <v>0</v>
      </c>
      <c r="U366" s="1">
        <f ca="1">IF(ISERROR(F360),"",VLOOKUP(A360,INDIRECT($F$8),8+(O366-1)*3))</f>
        <v>0</v>
      </c>
      <c r="V366" s="1" t="e">
        <f ca="1">IF(ISERROR(F360),"",IF(N366=0,A366,""))</f>
        <v>#N/A</v>
      </c>
      <c r="W366" s="1">
        <f ca="1">IF(ISERROR(F360),"",IF(ISTEXT(VLOOKUP(B360,INDIRECT($F$8),6+(O366-1)*3)),11,IF(VLOOKUP(B360,INDIRECT($F$8),6+(O366-1)*3)&lt;S366*0.3,IF(VLOOKUP(B360,INDIRECT($F$8),8+(O366-1)*3)&lt;U366*0.4,IF(AND(0.4*U366-VLOOKUP(B360,INDIRECT($F$8),8+(O366-1)*3)&lt;=5,0.3*S366-VLOOKUP(B360,INDIRECT($F$8),6+(O366-1)*3)&lt;=5),MAX(0.4*U366-VLOOKUP(B360,INDIRECT($F$8),8+(O366-1)*3),0.3*S366-VLOOKUP(B360,INDIRECT($F$8),6+(O366-1)*3)),11),IF(0.3*S366-VLOOKUP(B360,INDIRECT($F$8),6+(O366-1)*3)&lt;=5,0.3*S366-VLOOKUP(B360,INDIRECT($F$8),6+(O366-1)*3),11)),IF(VLOOKUP(B360,INDIRECT($F$8),8+(O366-1)*3)&lt;U366*0.4,IF(U366*0.4-VLOOKUP(B360,INDIRECT($F$8),8+(O366-1)*3)&lt;=5,U366*0.4-VLOOKUP(B360,INDIRECT($F$8),8+(O366-1)*3),11),0))))</f>
        <v>11</v>
      </c>
      <c r="X366" s="1" t="str">
        <f ca="1">IF(ISERROR(F360),"",IF(W366=0,"",_xlfn.TEXTJOIN("",FALSE," G+",W366," in ",A366)))</f>
        <v xml:space="preserve"> G+11 in Enroll No.</v>
      </c>
    </row>
    <row r="367" spans="1:24" ht="12.75" customHeight="1" x14ac:dyDescent="0.2">
      <c r="A367" s="7" t="str">
        <f ca="1">IF(ISERROR(F360),"",VLOOKUP(C360,INDIRECT($F$8),6+(O367-1)*3,0))</f>
        <v>CAT 030</v>
      </c>
      <c r="B367" s="41" t="str">
        <f ca="1">IF(ISERROR(F360),"",VLOOKUP(D360,INDIRECT($F$8),6+(O367-1)*3,0))</f>
        <v>Software Testing &amp; Quality Assurance</v>
      </c>
      <c r="C367" s="41"/>
      <c r="D367" s="41"/>
      <c r="E367" s="41"/>
      <c r="F367" s="7">
        <f ca="1">IF(ISERROR(F360),"",VLOOKUP(E360,INDIRECT($F$8),6+(O367-1)*3,0))</f>
        <v>4</v>
      </c>
      <c r="G367" s="42" t="str">
        <f ca="1">IF(ISERROR(F360),"",_xlfn.TEXTJOIN("/",FALSE,P367,S367))</f>
        <v>0/100</v>
      </c>
      <c r="H367" s="42"/>
      <c r="I367" s="42" t="str">
        <f ca="1">IF(ISERROR(F360),"",_xlfn.TEXTJOIN("/",FALSE,Q367,T367))</f>
        <v>0/50</v>
      </c>
      <c r="J367" s="42"/>
      <c r="K367" s="42" t="str">
        <f ca="1">IF(ISERROR(F360),"",_xlfn.TEXTJOIN("/",FALSE,R367,U367))</f>
        <v>0/150</v>
      </c>
      <c r="L367" s="42"/>
      <c r="M367" s="7" t="str">
        <f ca="1">IF(ISERROR(F360),"",IF(ISTEXT(P367),IF(P367="A","Ab",IF(P367="D","Dt",IF(P367="UFM","UFM",IF(P367="NA","")))),IF(AND(ISBLANK(P367),ISBLANK(R367)),"",IF(P367&lt;0.3*S367,"F",IF(ISBLANK(R367),"",IF(ISTEXT(R367),R367,IF(R367&gt;=0.9*U367,"O",IF(R367&gt;=0.85*U367,"A+",IF(R367&gt;=0.8*U367,"A",IF(R367&gt;=0.7*U367,"B+",IF(R367&gt;=0.6*U367,"B",IF(R367&gt;=0.5*U367,"C",IF(R367&gt;=0.4*U367,"P",IF(R367&lt;0.4*U367,"F",R367))))))))))))))</f>
        <v>F</v>
      </c>
      <c r="N367" s="8">
        <f t="shared" ca="1" si="22"/>
        <v>0</v>
      </c>
      <c r="O367">
        <f ca="1">IF(O366&gt;0,4,"")</f>
        <v>4</v>
      </c>
      <c r="P367" s="1">
        <f ca="1">IF(ISERROR(F360),"",IF(ISTEXT(VLOOKUP(B360,INDIRECT($F$8),6+(O367-1)*3)),(VLOOKUP(B360,INDIRECT($F$8),6+(O367-1)*3)),SUM(VLOOKUP(B360,INDIRECT($F$8),6+(O367-1)*3),IF(W372,W367,0))))</f>
        <v>0</v>
      </c>
      <c r="Q367" s="1">
        <f ca="1">IF(ISERROR(F360),"",VLOOKUP(B360,INDIRECT($F$8),7+(O367-1)*3))</f>
        <v>0</v>
      </c>
      <c r="R367" s="1">
        <f ca="1">IF(ISERROR(F360),"",SUM(P367:Q367))</f>
        <v>0</v>
      </c>
      <c r="S367" s="1">
        <f ca="1">IF(ISERROR(F360),"",VLOOKUP(A360,INDIRECT($F$8),6+(O367-1)*3))</f>
        <v>100</v>
      </c>
      <c r="T367" s="1">
        <f ca="1">IF(ISERROR(F360),"",VLOOKUP(A360,INDIRECT($F$8),7+(O367-1)*3))</f>
        <v>50</v>
      </c>
      <c r="U367" s="1">
        <f ca="1">IF(ISERROR(F360),"",VLOOKUP(A360,INDIRECT($F$8),8+(O367-1)*3))</f>
        <v>150</v>
      </c>
      <c r="V367" s="1" t="str">
        <f ca="1">IF(ISERROR(F360),"",IF(N367=0,A367,""))</f>
        <v>CAT 030</v>
      </c>
      <c r="W367" s="1">
        <f ca="1">IF(ISERROR(F360),"",IF(ISTEXT(VLOOKUP(B360,INDIRECT($F$8),6+(O367-1)*3)),11,IF(VLOOKUP(B360,INDIRECT($F$8),6+(O367-1)*3)&lt;S367*0.3,IF(VLOOKUP(B360,INDIRECT($F$8),8+(O367-1)*3)&lt;U367*0.4,IF(AND(0.4*U367-VLOOKUP(B360,INDIRECT($F$8),8+(O367-1)*3)&lt;=5,0.3*S367-VLOOKUP(B360,INDIRECT($F$8),6+(O367-1)*3)&lt;=5),MAX(0.4*U367-VLOOKUP(B360,INDIRECT($F$8),8+(O367-1)*3),0.3*S367-VLOOKUP(B360,INDIRECT($F$8),6+(O367-1)*3)),11),IF(0.3*S367-VLOOKUP(B360,INDIRECT($F$8),6+(O367-1)*3)&lt;=5,0.3*S367-VLOOKUP(B360,INDIRECT($F$8),6+(O367-1)*3),11)),IF(VLOOKUP(B360,INDIRECT($F$8),8+(O367-1)*3)&lt;U367*0.4,IF(U367*0.4-VLOOKUP(B360,INDIRECT($F$8),8+(O367-1)*3)&lt;=5,U367*0.4-VLOOKUP(B360,INDIRECT($F$8),8+(O367-1)*3),11),0))))</f>
        <v>11</v>
      </c>
      <c r="X367" s="1" t="str">
        <f ca="1">IF(ISERROR(F360),"",IF(W367=0,"",_xlfn.TEXTJOIN("",FALSE," G+",W367," in ",A367)))</f>
        <v xml:space="preserve"> G+11 in CAT 030</v>
      </c>
    </row>
    <row r="368" spans="1:24" ht="12.75" customHeight="1" x14ac:dyDescent="0.2">
      <c r="A368" s="7" t="str">
        <f ca="1">IF(ISERROR(F360),"",VLOOKUP(C360,INDIRECT($F$8),6+(O368-1)*3,0))</f>
        <v>Enroll No.</v>
      </c>
      <c r="B368" s="41">
        <f ca="1">IF(ISERROR(F360),"",VLOOKUP(D360,INDIRECT($F$8),6+(O368-1)*3,0))</f>
        <v>0</v>
      </c>
      <c r="C368" s="41"/>
      <c r="D368" s="41"/>
      <c r="E368" s="41"/>
      <c r="F368" s="7">
        <f ca="1">IF(ISERROR(F360),"",VLOOKUP(E360,INDIRECT($F$8),6+(O368-1)*3,0))</f>
        <v>0</v>
      </c>
      <c r="G368" s="42" t="str">
        <f ca="1">IF(ISERROR(F360),"",_xlfn.TEXTJOIN("/",FALSE,P368,S368))</f>
        <v>UTU/2406100184/0</v>
      </c>
      <c r="H368" s="42"/>
      <c r="I368" s="42" t="str">
        <f ca="1">IF(ISERROR(F360),"",_xlfn.TEXTJOIN("/",FALSE,Q368,T368))</f>
        <v>SHRIYANSHU DHYANI/0</v>
      </c>
      <c r="J368" s="42"/>
      <c r="K368" s="42" t="str">
        <f ca="1">IF(ISERROR(F360),"",_xlfn.TEXTJOIN("/",FALSE,R368,U368))</f>
        <v>0/0</v>
      </c>
      <c r="L368" s="42"/>
      <c r="M368" s="7" t="b">
        <f ca="1">IF(ISERROR(F360),"",IF(ISTEXT(P368),IF(P368="A","Ab",IF(P368="D","Dt",IF(P368="UFM","UFM",IF(P368="NA","")))),IF(AND(ISBLANK(P368),ISBLANK(R368)),"",IF(P368&lt;0.3*S368,"F",IF(ISBLANK(R368),"",IF(ISTEXT(R368),R368,IF(R368&gt;=0.9*U368,"O",IF(R368&gt;=0.85*U368,"A+",IF(R368&gt;=0.8*U368,"A",IF(R368&gt;=0.7*U368,"B+",IF(R368&gt;=0.6*U368,"B",IF(R368&gt;=0.5*U368,"C",IF(R368&gt;=0.4*U368,"P",IF(R368&lt;0.4*U368,"F",R368))))))))))))))</f>
        <v>0</v>
      </c>
      <c r="N368" s="8" t="e">
        <f t="shared" ca="1" si="22"/>
        <v>#N/A</v>
      </c>
      <c r="O368" t="b" cm="1">
        <f t="array" aca="1" ref="O368" ca="1">IF(NOT(ISBLANK(INDIRECT("SEM_IV!R"&amp;INT((ROW(O368)-16)/16)+6))),5,IF(NOT(ISBLANK(INDIRECT("SEM_IV!U"&amp;INT((ROW(O368)-16)/16)+6))),6))</f>
        <v>0</v>
      </c>
      <c r="P368" s="1" t="str">
        <f ca="1">IF(ISERROR(F360),"",IF(ISTEXT(VLOOKUP(B360,INDIRECT($F$8),6+(O368-1)*3)),(VLOOKUP(B360,INDIRECT($F$8),6+(O368-1)*3)),SUM(VLOOKUP(B360,INDIRECT($F$8),6+(O368-1)*3),IF(W372,W368,0))))</f>
        <v>UTU/2406100184</v>
      </c>
      <c r="Q368" s="1" t="str">
        <f ca="1">IF(ISERROR(F360),"",VLOOKUP(B360,INDIRECT($F$8),7+(O368-1)*3))</f>
        <v>SHRIYANSHU DHYANI</v>
      </c>
      <c r="R368" s="1">
        <f ca="1">IF(ISERROR(F360),"",SUM(P368:Q368))</f>
        <v>0</v>
      </c>
      <c r="S368" s="1">
        <f ca="1">IF(ISERROR(F360),"",VLOOKUP(A360,INDIRECT($F$8),6+(O368-1)*3))</f>
        <v>0</v>
      </c>
      <c r="T368" s="1">
        <f ca="1">IF(ISERROR(F360),"",VLOOKUP(A360,INDIRECT($F$8),7+(O368-1)*3))</f>
        <v>0</v>
      </c>
      <c r="U368" s="1">
        <f ca="1">IF(ISERROR(F360),"",VLOOKUP(A360,INDIRECT($F$8),8+(O368-1)*3))</f>
        <v>0</v>
      </c>
      <c r="V368" s="1" t="e">
        <f ca="1">IF(ISERROR(F360),"",IF(N368=0,A368,""))</f>
        <v>#N/A</v>
      </c>
      <c r="W368" s="1">
        <f ca="1">IF(ISERROR(F360),"",IF(ISTEXT(VLOOKUP(B360,INDIRECT($F$8),6+(O368-1)*3)),11,IF(VLOOKUP(B360,INDIRECT($F$8),6+(O368-1)*3)&lt;S368*0.3,IF(VLOOKUP(B360,INDIRECT($F$8),8+(O368-1)*3)&lt;U368*0.4,IF(AND(0.4*U368-VLOOKUP(B360,INDIRECT($F$8),8+(O368-1)*3)&lt;=5,0.3*S368-VLOOKUP(B360,INDIRECT($F$8),6+(O368-1)*3)&lt;=5),MAX(0.4*U368-VLOOKUP(B360,INDIRECT($F$8),8+(O368-1)*3),0.3*S368-VLOOKUP(B360,INDIRECT($F$8),6+(O368-1)*3)),11),IF(0.3*S368-VLOOKUP(B360,INDIRECT($F$8),6+(O368-1)*3)&lt;=5,0.3*S368-VLOOKUP(B360,INDIRECT($F$8),6+(O368-1)*3),11)),IF(VLOOKUP(B360,INDIRECT($F$8),8+(O368-1)*3)&lt;U368*0.4,IF(U368*0.4-VLOOKUP(B360,INDIRECT($F$8),8+(O368-1)*3)&lt;=5,U368*0.4-VLOOKUP(B360,INDIRECT($F$8),8+(O368-1)*3),11),0))))</f>
        <v>11</v>
      </c>
      <c r="X368" s="1" t="str">
        <f ca="1">IF(ISERROR(F360),"",IF(W368=0,"",_xlfn.TEXTJOIN("",FALSE," G+",W368," in ",A368)))</f>
        <v xml:space="preserve"> G+11 in Enroll No.</v>
      </c>
    </row>
    <row r="369" spans="1:24" ht="12.75" customHeight="1" x14ac:dyDescent="0.2">
      <c r="A369" s="7" t="str">
        <f ca="1">IF(ISERROR(F360),"",VLOOKUP(C360,INDIRECT($F$8),6+(O369-1)*3,0))</f>
        <v>CAP 011</v>
      </c>
      <c r="B369" s="41" t="str">
        <f ca="1">IF(ISERROR(F360),"",VLOOKUP(D360,INDIRECT($F$8),6+(O369-1)*3,0))</f>
        <v>Network Security Lab</v>
      </c>
      <c r="C369" s="41"/>
      <c r="D369" s="41"/>
      <c r="E369" s="41"/>
      <c r="F369" s="7">
        <f ca="1">IF(ISERROR(F360),"",VLOOKUP(E360,INDIRECT($F$8),6+(O369-1)*3,0))</f>
        <v>1</v>
      </c>
      <c r="G369" s="42" t="str">
        <f ca="1">IF(ISERROR(F360),"",_xlfn.TEXTJOIN("/",FALSE,P369,S369))</f>
        <v>0/30</v>
      </c>
      <c r="H369" s="42"/>
      <c r="I369" s="42" t="str">
        <f ca="1">IF(ISERROR(F360),"",_xlfn.TEXTJOIN("/",FALSE,Q369,T369))</f>
        <v>0/20</v>
      </c>
      <c r="J369" s="42"/>
      <c r="K369" s="42" t="str">
        <f ca="1">IF(ISERROR(F360),"",_xlfn.TEXTJOIN("/",FALSE,R369,U369))</f>
        <v>0/50</v>
      </c>
      <c r="L369" s="42"/>
      <c r="M369" s="7" t="str">
        <f ca="1">IF(ISERROR(F360),"",IF(ISTEXT(P369),IF(P369="A","Ab",IF(P369="D","Dt",IF(P369="UFM","UFM",IF(P369="NA","")))),IF(AND(ISBLANK(P369),ISBLANK(R369)),"",IF(P369&lt;0.3*S369,"F",IF(ISBLANK(R369),"",IF(ISTEXT(R369),R369,IF(R369&gt;=0.9*U369,"O",IF(R369&gt;=0.85*U369,"A+",IF(R369&gt;=0.8*U369,"A",IF(R369&gt;=0.7*U369,"B+",IF(R369&gt;=0.6*U369,"B",IF(R369&gt;=0.5*U369,"C",IF(R369&gt;=0.4*U369,"P",IF(R369&lt;0.4*U369,"F",R369))))))))))))))</f>
        <v>F</v>
      </c>
      <c r="N369" s="8">
        <f t="shared" ca="1" si="22"/>
        <v>0</v>
      </c>
      <c r="O369">
        <f ca="1">IF(O368&gt;0,7,"")</f>
        <v>7</v>
      </c>
      <c r="P369" s="1">
        <f ca="1">IF(ISERROR(F360),"",IF(ISTEXT(VLOOKUP(B360,INDIRECT($F$8),6+(O369-1)*3)),(VLOOKUP(B360,INDIRECT($F$8),6+(O369-1)*3)),SUM(VLOOKUP(B360,INDIRECT($F$8),6+(O369-1)*3),IF(W372,W369,0))))</f>
        <v>0</v>
      </c>
      <c r="Q369" s="1">
        <f ca="1">IF(ISERROR(F360),"",VLOOKUP(B360,INDIRECT($F$8),7+(O369-1)*3))</f>
        <v>0</v>
      </c>
      <c r="R369" s="1">
        <f ca="1">IF(ISERROR(F360),"",SUM(P369:Q369))</f>
        <v>0</v>
      </c>
      <c r="S369" s="1">
        <f ca="1">IF(ISERROR(F360),"",VLOOKUP(A360,INDIRECT($F$8),6+(O369-1)*3))</f>
        <v>30</v>
      </c>
      <c r="T369" s="1">
        <f ca="1">IF(ISERROR(F360),"",VLOOKUP(A360,INDIRECT($F$8),7+(O369-1)*3))</f>
        <v>20</v>
      </c>
      <c r="U369" s="1">
        <f ca="1">IF(ISERROR(F360),"",VLOOKUP(A360,INDIRECT($F$8),8+(O369-1)*3))</f>
        <v>50</v>
      </c>
      <c r="V369" s="1" t="str">
        <f ca="1">IF(ISERROR(F360),"",IF(N369=0,A369,""))</f>
        <v>CAP 011</v>
      </c>
      <c r="W369" s="1">
        <f ca="1">IF(ISERROR(F360),"",IF(ISTEXT(VLOOKUP(B360,INDIRECT($F$8),6+(O369-1)*3)),11,IF(VLOOKUP(B360,INDIRECT($F$8),6+(O369-1)*3)&lt;S369*0.3,IF(VLOOKUP(B360,INDIRECT($F$8),8+(O369-1)*3)&lt;U369*0.4,IF(AND(0.4*U369-VLOOKUP(B360,INDIRECT($F$8),8+(O369-1)*3)&lt;=5,0.3*S369-VLOOKUP(B360,INDIRECT($F$8),6+(O369-1)*3)&lt;=5),MAX(0.4*U369-VLOOKUP(B360,INDIRECT($F$8),8+(O369-1)*3),0.3*S369-VLOOKUP(B360,INDIRECT($F$8),6+(O369-1)*3)),11),IF(0.3*S369-VLOOKUP(B360,INDIRECT($F$8),6+(O369-1)*3)&lt;=5,0.3*S369-VLOOKUP(B360,INDIRECT($F$8),6+(O369-1)*3),11)),IF(VLOOKUP(B360,INDIRECT($F$8),8+(O369-1)*3)&lt;U369*0.4,IF(U369*0.4-VLOOKUP(B360,INDIRECT($F$8),8+(O369-1)*3)&lt;=5,U369*0.4-VLOOKUP(B360,INDIRECT($F$8),8+(O369-1)*3),11),0))))</f>
        <v>11</v>
      </c>
      <c r="X369" s="1" t="str">
        <f ca="1">IF(ISERROR(F360),"",IF(W369=0,"",_xlfn.TEXTJOIN("",FALSE," G+",W369," in ",A369)))</f>
        <v xml:space="preserve"> G+11 in CAP 011</v>
      </c>
    </row>
    <row r="370" spans="1:24" ht="12.75" customHeight="1" x14ac:dyDescent="0.2">
      <c r="A370" s="7" t="str">
        <f ca="1">IF(ISERROR(F360),"",VLOOKUP(C360,INDIRECT($F$8),6+(O370-1)*3,0))</f>
        <v>Enroll No.</v>
      </c>
      <c r="B370" s="41">
        <f ca="1">IF(ISERROR(F360),"",VLOOKUP(D360,INDIRECT($F$8),6+(O370-1)*3,0))</f>
        <v>0</v>
      </c>
      <c r="C370" s="41"/>
      <c r="D370" s="41"/>
      <c r="E370" s="41"/>
      <c r="F370" s="7">
        <f ca="1">IF(ISERROR(F360),"",VLOOKUP(E360,INDIRECT($F$8),6+(O370-1)*3,0))</f>
        <v>0</v>
      </c>
      <c r="G370" s="42" t="str">
        <f ca="1">IF(ISERROR(F360),"",_xlfn.TEXTJOIN("/",FALSE,P370,S370))</f>
        <v>UTU/2406100184/0</v>
      </c>
      <c r="H370" s="42"/>
      <c r="I370" s="42" t="str">
        <f ca="1">IF(ISERROR(F360),"",_xlfn.TEXTJOIN("/",FALSE,Q370,T370))</f>
        <v>SHRIYANSHU DHYANI/0</v>
      </c>
      <c r="J370" s="42"/>
      <c r="K370" s="42" t="str">
        <f ca="1">IF(ISERROR(F360),"",_xlfn.TEXTJOIN("/",FALSE,R370,U370))</f>
        <v>0/0</v>
      </c>
      <c r="L370" s="42"/>
      <c r="M370" s="7" t="b">
        <f ca="1">IF(ISERROR(F360),"",IF(ISTEXT(P370),IF(P370="A","Ab",IF(P370="D","Dt",IF(P370="UFM","UFM",IF(P370="NA","")))),IF(AND(ISBLANK(P370),ISBLANK(R370)),"",IF(P370&lt;0.3*S370,"F",IF(ISBLANK(R370),"",IF(ISTEXT(R370),R370,IF(R370&gt;=0.9*U370,"O",IF(R370&gt;=0.85*U370,"A+",IF(R370&gt;=0.8*U370,"A",IF(R370&gt;=0.7*U370,"B+",IF(R370&gt;=0.6*U370,"B",IF(R370&gt;=0.5*U370,"C",IF(R370&gt;=0.4*U370,"P",IF(R370&lt;0.4*U370,"F",R370))))))))))))))</f>
        <v>0</v>
      </c>
      <c r="N370" s="8" t="e">
        <f t="shared" ca="1" si="22"/>
        <v>#N/A</v>
      </c>
      <c r="O370" t="b" cm="1">
        <f t="array" aca="1" ref="O370" ca="1">IF(NOT(ISBLANK(INDIRECT("SEM_IV!AA"&amp;INT((ROW(O370)-18)/16)+6))),8,IF(NOT(ISBLANK(INDIRECT("SEM_IV!AD"&amp;INT((ROW(O370)-18)/16)+6))),9))</f>
        <v>0</v>
      </c>
      <c r="P370" s="1" t="str">
        <f ca="1">IF(ISERROR(F360),"",IF(ISTEXT(VLOOKUP(B360,INDIRECT($F$8),6+(O370-1)*3)),(VLOOKUP(B360,INDIRECT($F$8),6+(O370-1)*3)),SUM(VLOOKUP(B360,INDIRECT($F$8),6+(O370-1)*3),IF(W372,W370,0))))</f>
        <v>UTU/2406100184</v>
      </c>
      <c r="Q370" s="1" t="str">
        <f ca="1">IF(ISERROR(F360),"",VLOOKUP(B360,INDIRECT($F$8),7+(O370-1)*3))</f>
        <v>SHRIYANSHU DHYANI</v>
      </c>
      <c r="R370" s="1">
        <f ca="1">IF(ISERROR(F360),"",SUM(P370:Q370))</f>
        <v>0</v>
      </c>
      <c r="S370" s="1">
        <f ca="1">IF(ISERROR(F360),"",VLOOKUP(A360,INDIRECT($F$8),6+(O370-1)*3))</f>
        <v>0</v>
      </c>
      <c r="T370" s="1">
        <f ca="1">IF(ISERROR(F360),"",VLOOKUP(A360,INDIRECT($F$8),7+(O370-1)*3))</f>
        <v>0</v>
      </c>
      <c r="U370" s="1">
        <f ca="1">IF(ISERROR(F360),"",VLOOKUP(A360,INDIRECT($F$8),8+(O370-1)*3))</f>
        <v>0</v>
      </c>
      <c r="V370" s="1" t="e">
        <f ca="1">IF(ISERROR(F360),"",IF(N370=0,A370,""))</f>
        <v>#N/A</v>
      </c>
      <c r="W370" s="1">
        <f ca="1">IF(ISERROR(F360),"",IF(ISTEXT(VLOOKUP(B360,INDIRECT($F$8),6+(O370-1)*3)),11,IF(VLOOKUP(B360,INDIRECT($F$8),6+(O370-1)*3)&lt;S370*0.3,IF(VLOOKUP(B360,INDIRECT($F$8),8+(O370-1)*3)&lt;U370*0.4,IF(AND(0.4*U370-VLOOKUP(B360,INDIRECT($F$8),8+(O370-1)*3)&lt;=5,0.3*S370-VLOOKUP(B360,INDIRECT($F$8),6+(O370-1)*3)&lt;=5),MAX(0.4*U370-VLOOKUP(B360,INDIRECT($F$8),8+(O370-1)*3),0.3*S370-VLOOKUP(B360,INDIRECT($F$8),6+(O370-1)*3)),11),IF(0.3*S370-VLOOKUP(B360,INDIRECT($F$8),6+(O370-1)*3)&lt;=5,0.3*S370-VLOOKUP(B360,INDIRECT($F$8),6+(O370-1)*3),11)),IF(VLOOKUP(B360,INDIRECT($F$8),8+(O370-1)*3)&lt;U370*0.4,IF(U370*0.4-VLOOKUP(B360,INDIRECT($F$8),8+(O370-1)*3)&lt;=5,U370*0.4-VLOOKUP(B360,INDIRECT($F$8),8+(O370-1)*3),11),0))))</f>
        <v>11</v>
      </c>
      <c r="X370" s="1" t="str">
        <f ca="1">IF(ISERROR(F360),"",IF(W370=0,"",_xlfn.TEXTJOIN("",FALSE," G+",W370," in ",A370)))</f>
        <v xml:space="preserve"> G+11 in Enroll No.</v>
      </c>
    </row>
    <row r="371" spans="1:24" ht="12.75" customHeight="1" x14ac:dyDescent="0.2">
      <c r="A371" s="7" t="str">
        <f ca="1">IF(ISERROR(F360),"",VLOOKUP(C360,INDIRECT($F$8),6+(O371-1)*3,0))</f>
        <v>CAP 013</v>
      </c>
      <c r="B371" s="41" t="str">
        <f ca="1">IF(ISERROR(F360),"",VLOOKUP(D360,INDIRECT($F$8),6+(O371-1)*3-Z371,0))</f>
        <v>Major Project</v>
      </c>
      <c r="C371" s="41"/>
      <c r="D371" s="41"/>
      <c r="E371" s="41"/>
      <c r="F371" s="7">
        <f ca="1">IF(ISERROR(F360),"",VLOOKUP(E360,INDIRECT($F$8),6+(O371-1)*3,0))</f>
        <v>6</v>
      </c>
      <c r="G371" s="42" t="str">
        <f ca="1">IF(ISERROR(F360),"",_xlfn.TEXTJOIN("/",FALSE,P371,S371))</f>
        <v>0/200</v>
      </c>
      <c r="H371" s="42"/>
      <c r="I371" s="42" t="str">
        <f ca="1">IF(ISERROR(F360),"",_xlfn.TEXTJOIN("/",FALSE,Q371,T371))</f>
        <v>0/100</v>
      </c>
      <c r="J371" s="42"/>
      <c r="K371" s="42" t="str">
        <f ca="1">IF(ISERROR(F360),"",_xlfn.TEXTJOIN("/",FALSE,R371,U371))</f>
        <v>0/300</v>
      </c>
      <c r="L371" s="42"/>
      <c r="M371" s="7" t="str">
        <f ca="1">IF(ISERROR(F360),"",IF(ISTEXT(P371),IF(P371="A","Ab",IF(P371="D","Dt",IF(P371="UFM","UFM",IF(P371="NA","")))),IF(AND(ISBLANK(P371),ISBLANK(R371)),"",IF(P371&lt;0.3*S371,"F",IF(ISBLANK(R371),"",IF(ISTEXT(R371),R371,IF(R371&gt;=0.9*U371,"O",IF(R371&gt;=0.85*U371,"A+",IF(R371&gt;=0.8*U371,"A",IF(R371&gt;=0.7*U371,"B+",IF(R371&gt;=0.6*U371,"B",IF(R371&gt;=0.5*U371,"C",IF(R371&gt;=0.4*U371,"P",IF(R371&lt;0.4*U371,"F",R371))))))))))))))</f>
        <v>F</v>
      </c>
      <c r="N371" s="8">
        <f t="shared" ca="1" si="22"/>
        <v>0</v>
      </c>
      <c r="O371">
        <f ca="1">IF(O370&gt;0,10,"")</f>
        <v>10</v>
      </c>
      <c r="P371" s="1">
        <f ca="1">IF(ISERROR(F360),"",IF(ISTEXT(VLOOKUP(B360,INDIRECT($F$8),6+(O371-1)*3)),(VLOOKUP(B360,INDIRECT($F$8),6+(O371-1)*3)),SUM(VLOOKUP(B360,INDIRECT($F$8),6+(O371-1)*3),IF(W372,W371,0))))</f>
        <v>0</v>
      </c>
      <c r="Q371" s="1">
        <f ca="1">IF(ISERROR(F360),"",VLOOKUP(B360,INDIRECT($F$8),7+(O371-1)*3))</f>
        <v>0</v>
      </c>
      <c r="R371" s="1">
        <f ca="1">IF(ISERROR(F360),"",SUM(P371:Q371))</f>
        <v>0</v>
      </c>
      <c r="S371" s="1">
        <f ca="1">IF(ISERROR(F360),"",VLOOKUP(A360,INDIRECT($F$8),6+(O371-1)*3))</f>
        <v>200</v>
      </c>
      <c r="T371" s="1">
        <f ca="1">IF(ISERROR(F360),"",VLOOKUP(A360,INDIRECT($F$8),7+(O371-1)*3))</f>
        <v>100</v>
      </c>
      <c r="U371" s="1">
        <f ca="1">IF(ISERROR(F360),"",VLOOKUP(A360,INDIRECT($F$8),8+(O371-1)*3))</f>
        <v>300</v>
      </c>
      <c r="V371" s="1" t="str">
        <f ca="1">IF(ISERROR(F360),"",IF(N371=0,A371,""))</f>
        <v>CAP 013</v>
      </c>
      <c r="W371" s="1">
        <f ca="1">IF(ISERROR(F360),"",IF(ISTEXT(VLOOKUP(B360,INDIRECT($F$8),6+(O371-1)*3)),11,IF(VLOOKUP(B360,INDIRECT($F$8),6+(O371-1)*3)&lt;S371*0.3,IF(VLOOKUP(B360,INDIRECT($F$8),8+(O371-1)*3)&lt;U371*0.4,IF(AND(0.4*U371-VLOOKUP(B360,INDIRECT($F$8),8+(O371-1)*3)&lt;=5,0.3*S371-VLOOKUP(B360,INDIRECT($F$8),6+(O371-1)*3)&lt;=5),MAX(0.4*U371-VLOOKUP(B360,INDIRECT($F$8),8+(O371-1)*3),0.3*S371-VLOOKUP(B360,INDIRECT($F$8),6+(O371-1)*3)),11),IF(0.3*S371-VLOOKUP(B360,INDIRECT($F$8),6+(O371-1)*3)&lt;=5,0.3*S371-VLOOKUP(B360,INDIRECT($F$8),6+(O371-1)*3),11)),IF(VLOOKUP(B360,INDIRECT($F$8),8+(O371-1)*3)&lt;U371*0.4,IF(U371*0.4-VLOOKUP(B360,INDIRECT($F$8),8+(O371-1)*3)&lt;=5,U371*0.4-VLOOKUP(B360,INDIRECT($F$8),8+(O371-1)*3),11),0))))</f>
        <v>11</v>
      </c>
      <c r="X371" s="1" t="str">
        <f ca="1">IF(ISERROR(F360),"",IF(W371=0,"",_xlfn.TEXTJOIN("",FALSE," G+",W371," in ",A371)))</f>
        <v xml:space="preserve"> G+11 in CAP 013</v>
      </c>
    </row>
    <row r="372" spans="1:24" ht="12.75" customHeight="1" x14ac:dyDescent="0.2">
      <c r="A372" s="43" t="str">
        <f ca="1">IF(ISERROR(F360),"",A356)</f>
        <v>Total Credits/ Marks/ Total Grade Points</v>
      </c>
      <c r="B372" s="43"/>
      <c r="C372" s="43"/>
      <c r="D372" s="43"/>
      <c r="E372" s="43"/>
      <c r="F372" s="10">
        <f ca="1">IF(ISERROR(F360),"",SUM(F365:F371))</f>
        <v>15</v>
      </c>
      <c r="G372" s="44" t="str">
        <f ca="1">IF(ISERROR(F360),"",_xlfn.TEXTJOIN("/",TRUE,SUMIF(F365:F371,"&gt;0",P365:P371),SUMIF(F365:F371,"&gt;0",S365:S371)))</f>
        <v>0/430</v>
      </c>
      <c r="H372" s="44"/>
      <c r="I372" s="44" t="str">
        <f ca="1">IF(ISERROR(F360),"",_xlfn.TEXTJOIN("/",TRUE,SUMIF(F365:F371,"&gt;0",Q365:Q371),SUMIF(F365:F371,"&gt;0",T365:T371)))</f>
        <v>0/220</v>
      </c>
      <c r="J372" s="44"/>
      <c r="K372" s="44" t="str">
        <f ca="1">IF(ISERROR(F360),"",_xlfn.TEXTJOIN("/",TRUE,SUMIF(F365:F371,"&gt;0",R365:R371),SUMIF(F365:F371,"&gt;0",U365:U371)))</f>
        <v>0/650</v>
      </c>
      <c r="L372" s="44"/>
      <c r="M372" s="43" t="e">
        <f ca="1">IF(ISERROR(F360),"",SUMPRODUCT(N365:N371,F365:F371))</f>
        <v>#N/A</v>
      </c>
      <c r="N372" s="43"/>
      <c r="V372" s="1" t="e">
        <f ca="1">IF(ISERROR(F360),"",_xlfn.TEXTJOIN(", ",TRUE,V365:V371))</f>
        <v>#N/A</v>
      </c>
      <c r="W372" t="b">
        <f ca="1">IF(ISERROR(F360),"",IF(SUM(W365:W371)&lt;=W364,TRUE,FALSE))</f>
        <v>0</v>
      </c>
      <c r="X372" s="1" t="str">
        <f ca="1">IF(ISERROR(F360),"",_xlfn.TEXTJOIN(",",TRUE,X365:X371))</f>
        <v xml:space="preserve"> G+11 in CAT 022, G+11 in Enroll No., G+11 in CAT 030, G+11 in Enroll No., G+11 in CAP 011, G+11 in Enroll No., G+11 in CAP 013</v>
      </c>
    </row>
    <row r="373" spans="1:24" ht="12.75" customHeight="1" x14ac:dyDescent="0.2">
      <c r="A373" s="43" t="str">
        <f ca="1">IF(ISERROR(F360),"",A357)</f>
        <v>Result:</v>
      </c>
      <c r="B373" s="45" t="e">
        <f ca="1">IF(ISERROR(F360),"",IF(V372="","PASS","CARRY OVER"))</f>
        <v>#N/A</v>
      </c>
      <c r="C373" s="45"/>
      <c r="D373" s="43" t="str">
        <f ca="1">IF(ISERROR(F360),"",D357)</f>
        <v>Remark:</v>
      </c>
      <c r="E373" s="45" t="e">
        <f ca="1">IF(ISERROR(F360),"",IF(V372="",IF(X372="","",X372),_xlfn.TEXTJOIN(" ",TRUE,"BACK IN",V372)))</f>
        <v>#N/A</v>
      </c>
      <c r="F373" s="45"/>
      <c r="G373" s="43" t="str">
        <f ca="1">IF(ISERROR(F360),"",G357)</f>
        <v>SGPA:</v>
      </c>
      <c r="H373" s="46" t="e">
        <f ca="1">IF(ISERROR(F360),"",M372/F372)</f>
        <v>#N/A</v>
      </c>
      <c r="I373" s="43" t="str">
        <f ca="1">IF(ISERROR(F360),"",I357)</f>
        <v>CGPA:</v>
      </c>
      <c r="J373" s="46" t="e">
        <f ca="1">IF(ISERROR(F360),"",VLOOKUP(B360,INDIRECT($F$8),12+(O371-1)*3,0))</f>
        <v>#N/A</v>
      </c>
      <c r="K373" s="45" t="str">
        <f ca="1">IF(ISERROR(F360),"",K357)</f>
        <v>Earned Credits:</v>
      </c>
      <c r="L373" s="43">
        <f ca="1">IF(ISERROR(F360),"",SUMIF(N365:N371,"&gt;0",F365:F371))</f>
        <v>0</v>
      </c>
      <c r="M373" s="45" t="str">
        <f ca="1">IF(ISERROR(F360),"",M357)</f>
        <v>Cuml. Earned Credits:</v>
      </c>
      <c r="N373" s="43" t="e">
        <f ca="1">IF(ISERROR(F360),"",VLOOKUP(B360,INDIRECT($F$8),10+(O371-1)*3,0))</f>
        <v>#N/A</v>
      </c>
    </row>
    <row r="374" spans="1:24" ht="12.75" customHeight="1" x14ac:dyDescent="0.2">
      <c r="A374" s="43"/>
      <c r="B374" s="45"/>
      <c r="C374" s="45"/>
      <c r="D374" s="43"/>
      <c r="E374" s="45"/>
      <c r="F374" s="45"/>
      <c r="G374" s="43"/>
      <c r="H374" s="46"/>
      <c r="I374" s="43"/>
      <c r="J374" s="46"/>
      <c r="K374" s="45"/>
      <c r="L374" s="43"/>
      <c r="M374" s="45"/>
      <c r="N374" s="43"/>
    </row>
    <row r="375" spans="1:24" ht="12.75" customHeight="1" x14ac:dyDescent="0.2">
      <c r="A375" s="43"/>
      <c r="B375" s="45"/>
      <c r="C375" s="45"/>
      <c r="D375" s="43"/>
      <c r="E375" s="45"/>
      <c r="F375" s="45"/>
      <c r="G375" s="43"/>
      <c r="H375" s="46"/>
      <c r="I375" s="43"/>
      <c r="J375" s="46"/>
      <c r="K375" s="45"/>
      <c r="L375" s="43"/>
      <c r="M375" s="45"/>
      <c r="N375" s="43"/>
    </row>
    <row r="376" spans="1:24" ht="12.75" customHeight="1" x14ac:dyDescent="0.2">
      <c r="A376" s="11" t="str">
        <f>A360</f>
        <v>MM</v>
      </c>
      <c r="B376" s="11">
        <f>B360+1</f>
        <v>24</v>
      </c>
      <c r="C376" s="11" t="str">
        <f>C360</f>
        <v>SC</v>
      </c>
      <c r="D376" s="11" t="str">
        <f>D360</f>
        <v>SN</v>
      </c>
      <c r="E376" s="11" t="str">
        <f>E360</f>
        <v>C</v>
      </c>
      <c r="F376" s="11" t="str">
        <f ca="1">VLOOKUP(B376,INDIRECT($F$8),4,0)</f>
        <v>SIDDHARTH PATWAL</v>
      </c>
    </row>
    <row r="377" spans="1:24" ht="12.75" customHeight="1" x14ac:dyDescent="0.2">
      <c r="A377" s="47" t="str">
        <f ca="1">IF(ISERROR(F376),"",A361)</f>
        <v>Name:</v>
      </c>
      <c r="B377" s="47" t="str">
        <f ca="1">IFERROR(VLOOKUP(B376,INDIRECT($F$8),4,0),"")</f>
        <v>SIDDHARTH PATWAL</v>
      </c>
      <c r="C377" s="47"/>
      <c r="D377" s="47" t="str">
        <f ca="1">IF(ISERROR(F376),"",D361)</f>
        <v>Father's Name:</v>
      </c>
      <c r="E377" s="47" t="str">
        <f ca="1">IFERROR(VLOOKUP(B376,INDIRECT($F$8),5,0),"")</f>
        <v>MANOJ PATWAL</v>
      </c>
      <c r="F377" s="47"/>
      <c r="G377" s="47" t="str">
        <f ca="1">IF(ISERROR(F376),"",G361)</f>
        <v>University Roll No:</v>
      </c>
      <c r="H377" s="47"/>
      <c r="I377" s="48">
        <f ca="1">IFERROR(VLOOKUP(B376,INDIRECT($F$8),2,0),"")</f>
        <v>240090600024</v>
      </c>
      <c r="J377" s="48"/>
      <c r="K377" s="47" t="str">
        <f ca="1">IF(ISERROR(F376),"",K361)</f>
        <v>University Enrol. No:</v>
      </c>
      <c r="L377" s="47"/>
      <c r="M377" s="48" t="str">
        <f ca="1">IFERROR(VLOOKUP(B376,INDIRECT($F$8),3,0),"")</f>
        <v>UTU/2406100190</v>
      </c>
      <c r="N377" s="48"/>
    </row>
    <row r="378" spans="1:24" ht="12.75" customHeight="1" x14ac:dyDescent="0.2">
      <c r="A378" s="47"/>
      <c r="B378" s="47"/>
      <c r="C378" s="47"/>
      <c r="D378" s="47"/>
      <c r="E378" s="47"/>
      <c r="F378" s="47"/>
      <c r="G378" s="47"/>
      <c r="H378" s="47"/>
      <c r="I378" s="48"/>
      <c r="J378" s="48"/>
      <c r="K378" s="47"/>
      <c r="L378" s="47"/>
      <c r="M378" s="48"/>
      <c r="N378" s="48"/>
    </row>
    <row r="379" spans="1:24" ht="12.75" customHeight="1" x14ac:dyDescent="0.2">
      <c r="A379" s="45" t="str">
        <f ca="1">IF(ISERROR(F376),"",A363)</f>
        <v>Subject Code</v>
      </c>
      <c r="B379" s="45" t="str">
        <f ca="1">IF(ISERROR(F376),"",B363)</f>
        <v>Subject Name</v>
      </c>
      <c r="C379" s="45"/>
      <c r="D379" s="45"/>
      <c r="E379" s="45"/>
      <c r="F379" s="45" t="str">
        <f ca="1">IF(ISERROR(F376),"",F363)</f>
        <v>Credits</v>
      </c>
      <c r="G379" s="45" t="str">
        <f ca="1">IF(ISERROR(F376),"",G363)</f>
        <v>External Marks</v>
      </c>
      <c r="H379" s="45"/>
      <c r="I379" s="45" t="str">
        <f ca="1">IF(ISERROR(F376),"",I363)</f>
        <v>Sessional Marks</v>
      </c>
      <c r="J379" s="45"/>
      <c r="K379" s="45" t="str">
        <f ca="1">IF(ISERROR(F376),"",K363)</f>
        <v>Total Marks</v>
      </c>
      <c r="L379" s="45"/>
      <c r="M379" s="45" t="str">
        <f ca="1">IF(ISERROR(F376),"",M363)</f>
        <v>Grade</v>
      </c>
      <c r="N379" s="45" t="str">
        <f ca="1">IF(ISERROR(F376),"",N363)</f>
        <v>Grade Points</v>
      </c>
    </row>
    <row r="380" spans="1:24" ht="12.75" customHeight="1" x14ac:dyDescent="0.2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W380">
        <f ca="1">IF(ISNUMBER(MATCH($F$8,{"I","III","V","VII"},0)),10,10-INDEX(INDIRECT(_xlfn.TEXTJOIN("",TRUE,"SEM_",$G$8,"!",ADDRESS(6,4+$I$8*3+4),":",ADDRESS(5+$H$8,4+$I$8*3+4))),MATCH(INDIRECT(_xlfn.TEXTJOIN("",TRUE,"TC_",$F$8,"!",ADDRESS(ROW(I377),COLUMN(I377)))),INDIRECT(_xlfn.TEXTJOIN("",TRUE,"SEM_",$G$8,"!",ADDRESS(6,2),":",ADDRESS(5+$H$8,2))))))</f>
        <v>10</v>
      </c>
    </row>
    <row r="381" spans="1:24" ht="12.75" customHeight="1" x14ac:dyDescent="0.2">
      <c r="A381" s="7" t="str">
        <f ca="1">IF(ISERROR(F376),"",VLOOKUP(C376,INDIRECT($F$8),6+(O381-1)*3,0))</f>
        <v>CAT 022</v>
      </c>
      <c r="B381" s="41" t="str">
        <f ca="1">IF(ISERROR(F376),"",VLOOKUP(D376,INDIRECT($F$8),6+(O381-1)*3,0))</f>
        <v>Network Security</v>
      </c>
      <c r="C381" s="41"/>
      <c r="D381" s="41"/>
      <c r="E381" s="41"/>
      <c r="F381" s="7">
        <f ca="1">IF(ISERROR(F376),"",VLOOKUP(E376,INDIRECT($F$8),6+(O381-1)*3,0))</f>
        <v>4</v>
      </c>
      <c r="G381" s="42" t="str">
        <f ca="1">IF(ISERROR(F376),"",_xlfn.TEXTJOIN("/",FALSE,P381,S381))</f>
        <v>0/100</v>
      </c>
      <c r="H381" s="42"/>
      <c r="I381" s="42" t="str">
        <f ca="1">IF(ISERROR(F376),"",_xlfn.TEXTJOIN("/",FALSE,Q381,T381))</f>
        <v>0/50</v>
      </c>
      <c r="J381" s="42"/>
      <c r="K381" s="42" t="str">
        <f ca="1">IF(ISERROR(F376),"",_xlfn.TEXTJOIN("/",FALSE,R381,U381))</f>
        <v>0/150</v>
      </c>
      <c r="L381" s="42"/>
      <c r="M381" s="7" t="str">
        <f ca="1">IF(ISERROR(F376),"",IF(ISTEXT(P381),IF(P381="A","Ab",IF(P381="D","Dt",IF(P381="UFM","UFM",IF(P381="NA","")))),IF(AND(ISBLANK(P381),ISBLANK(R381)),"",IF(P381&lt;0.3*S381,"F",IF(ISBLANK(R381),"",IF(ISTEXT(R381),R381,IF(R381&gt;=0.9*U381,"O",IF(R381&gt;=0.85*U381,"A+",IF(R381&gt;=0.8*U381,"A",IF(R381&gt;=0.7*U381,"B+",IF(R381&gt;=0.6*U381,"B",IF(R381&gt;=0.5*U381,"C",IF(R381&gt;=0.4*U381,"P",IF(R381&lt;0.4*U381,"F",R381))))))))))))))</f>
        <v>F</v>
      </c>
      <c r="N381" s="8">
        <f t="shared" ref="N381:N387" ca="1" si="23">INDEX($Z$2:$Z$13,MATCH(M381,$Y$2:$Y$13,0))</f>
        <v>0</v>
      </c>
      <c r="O381">
        <v>1</v>
      </c>
      <c r="P381" s="1">
        <f ca="1">IF(ISERROR(F376),"",IF(ISTEXT(VLOOKUP(B376,INDIRECT($F$8),6+(O381-1)*3)),(VLOOKUP(B376,INDIRECT($F$8),6+(O381-1)*3)),SUM(VLOOKUP(B376,INDIRECT($F$8),6+(O381-1)*3),IF(W388,W381,0))))</f>
        <v>0</v>
      </c>
      <c r="Q381" s="1">
        <f ca="1">IF(ISERROR(F376),"",VLOOKUP(B376,INDIRECT($F$8),7+(O381-1)*3))</f>
        <v>0</v>
      </c>
      <c r="R381" s="1">
        <f ca="1">IF(ISERROR(F376),"",SUM(P381:Q381))</f>
        <v>0</v>
      </c>
      <c r="S381" s="1">
        <f ca="1">IF(ISERROR(F376),"",VLOOKUP(A376,INDIRECT($F$8),6+(O381-1)*3))</f>
        <v>100</v>
      </c>
      <c r="T381" s="1">
        <f ca="1">IF(ISERROR(F376),"",VLOOKUP(A376,INDIRECT($F$8),7+(O381-1)*3))</f>
        <v>50</v>
      </c>
      <c r="U381" s="1">
        <f ca="1">IF(ISERROR(F376),"",VLOOKUP(A376,INDIRECT($F$8),8+(O381-1)*3))</f>
        <v>150</v>
      </c>
      <c r="V381" s="1" t="str">
        <f ca="1">IF(ISERROR(F376),"",IF(N381=0,A381,""))</f>
        <v>CAT 022</v>
      </c>
      <c r="W381" s="1">
        <f ca="1">IF(ISERROR(F376),"",IF(ISTEXT(VLOOKUP(B376,INDIRECT($F$8),6+(O381-1)*3)),11,IF(VLOOKUP(B376,INDIRECT($F$8),6+(O381-1)*3)&lt;S381*0.3,IF(VLOOKUP(B376,INDIRECT($F$8),8+(O381-1)*3)&lt;U381*0.4,IF(AND(0.4*U381-VLOOKUP(B376,INDIRECT($F$8),8+(O381-1)*3)&lt;=5,0.3*S381-VLOOKUP(B376,INDIRECT($F$8),6+(O381-1)*3)&lt;=5),MAX(0.4*U381-VLOOKUP(B376,INDIRECT($F$8),8+(O381-1)*3),0.3*S381-VLOOKUP(B376,INDIRECT($F$8),6+(O381-1)*3)),11),IF(0.3*S381-VLOOKUP(B376,INDIRECT($F$8),6+(O381-1)*3)&lt;=5,0.3*S381-VLOOKUP(B376,INDIRECT($F$8),6+(O381-1)*3),11)),IF(VLOOKUP(B376,INDIRECT($F$8),8+(O381-1)*3)&lt;U381*0.4,IF(U381*0.4-VLOOKUP(B376,INDIRECT($F$8),8+(O381-1)*3)&lt;=5,U381*0.4-VLOOKUP(B376,INDIRECT($F$8),8+(O381-1)*3),11),0))))</f>
        <v>11</v>
      </c>
      <c r="X381" s="1" t="str">
        <f ca="1">IF(ISERROR(F376),"",IF(W381=0,"",_xlfn.TEXTJOIN("",FALSE," G+",W381," in ",A381)))</f>
        <v xml:space="preserve"> G+11 in CAT 022</v>
      </c>
    </row>
    <row r="382" spans="1:24" ht="12.75" customHeight="1" x14ac:dyDescent="0.2">
      <c r="A382" s="7" t="str">
        <f ca="1">IF(ISERROR(F376),"",VLOOKUP(C376,INDIRECT($F$8),6+(O382-1)*3,0))</f>
        <v>Enroll No.</v>
      </c>
      <c r="B382" s="41">
        <f ca="1">IF(ISERROR(F376),"",VLOOKUP(D376,INDIRECT($F$8),6+(O382-1)*3,0))</f>
        <v>0</v>
      </c>
      <c r="C382" s="41"/>
      <c r="D382" s="41"/>
      <c r="E382" s="41"/>
      <c r="F382" s="7">
        <f ca="1">IF(ISERROR(F376),"",VLOOKUP(E376,INDIRECT($F$8),6+(O382-1)*3,0))</f>
        <v>0</v>
      </c>
      <c r="G382" s="42" t="str">
        <f ca="1">IF(ISERROR(F376),"",_xlfn.TEXTJOIN("/",FALSE,P382,S382))</f>
        <v>UTU/2406100190/0</v>
      </c>
      <c r="H382" s="42"/>
      <c r="I382" s="42" t="str">
        <f ca="1">IF(ISERROR(F376),"",_xlfn.TEXTJOIN("/",FALSE,Q382,T382))</f>
        <v>SIDDHARTH PATWAL/0</v>
      </c>
      <c r="J382" s="42"/>
      <c r="K382" s="42" t="str">
        <f ca="1">IF(ISERROR(F376),"",_xlfn.TEXTJOIN("/",FALSE,R382,U382))</f>
        <v>0/0</v>
      </c>
      <c r="L382" s="42"/>
      <c r="M382" s="7" t="b">
        <f ca="1">IF(ISERROR(F376),"",IF(ISTEXT(P382),IF(P382="A","Ab",IF(P382="D","Dt",IF(P382="UFM","UFM",IF(P382="NA","")))),IF(AND(ISBLANK(P382),ISBLANK(R382)),"",IF(P382&lt;0.3*S382,"F",IF(ISBLANK(R382),"",IF(ISTEXT(R382),R382,IF(R382&gt;=0.9*U382,"O",IF(R382&gt;=0.85*U382,"A+",IF(R382&gt;=0.8*U382,"A",IF(R382&gt;=0.7*U382,"B+",IF(R382&gt;=0.6*U382,"B",IF(R382&gt;=0.5*U382,"C",IF(R382&gt;=0.4*U382,"P",IF(R382&lt;0.4*U382,"F",R382))))))))))))))</f>
        <v>0</v>
      </c>
      <c r="N382" s="8" t="e">
        <f t="shared" ca="1" si="23"/>
        <v>#N/A</v>
      </c>
      <c r="O382" t="b" cm="1">
        <f t="array" aca="1" ref="O382" ca="1">IF(NOT(ISBLANK(INDIRECT("SEM_IV!I"&amp;INT((ROW(O382)-14)/16)+6))),2,IF(NOT(ISBLANK(INDIRECT("SEM_IV!L"&amp;INT((ROW(O382)-14)/16)+6))),3))</f>
        <v>0</v>
      </c>
      <c r="P382" s="1" t="str">
        <f ca="1">IF(ISERROR(F376),"",IF(ISTEXT(VLOOKUP(B376,INDIRECT($F$8),6+(O382-1)*3)),(VLOOKUP(B376,INDIRECT($F$8),6+(O382-1)*3)),SUM(VLOOKUP(B376,INDIRECT($F$8),6+(O382-1)*3),IF(W388,W382,0))))</f>
        <v>UTU/2406100190</v>
      </c>
      <c r="Q382" s="1" t="str">
        <f ca="1">IF(ISERROR(F376),"",VLOOKUP(B376,INDIRECT($F$8),7+(O382-1)*3))</f>
        <v>SIDDHARTH PATWAL</v>
      </c>
      <c r="R382" s="1">
        <f ca="1">IF(ISERROR(F376),"",SUM(P382:Q382))</f>
        <v>0</v>
      </c>
      <c r="S382" s="1">
        <f ca="1">IF(ISERROR(F376),"",VLOOKUP(A376,INDIRECT($F$8),6+(O382-1)*3))</f>
        <v>0</v>
      </c>
      <c r="T382" s="1">
        <f ca="1">IF(ISERROR(F376),"",VLOOKUP(A376,INDIRECT($F$8),7+(O382-1)*3))</f>
        <v>0</v>
      </c>
      <c r="U382" s="1">
        <f ca="1">IF(ISERROR(F376),"",VLOOKUP(A376,INDIRECT($F$8),8+(O382-1)*3))</f>
        <v>0</v>
      </c>
      <c r="V382" s="1" t="e">
        <f ca="1">IF(ISERROR(F376),"",IF(N382=0,A382,""))</f>
        <v>#N/A</v>
      </c>
      <c r="W382" s="1">
        <f ca="1">IF(ISERROR(F376),"",IF(ISTEXT(VLOOKUP(B376,INDIRECT($F$8),6+(O382-1)*3)),11,IF(VLOOKUP(B376,INDIRECT($F$8),6+(O382-1)*3)&lt;S382*0.3,IF(VLOOKUP(B376,INDIRECT($F$8),8+(O382-1)*3)&lt;U382*0.4,IF(AND(0.4*U382-VLOOKUP(B376,INDIRECT($F$8),8+(O382-1)*3)&lt;=5,0.3*S382-VLOOKUP(B376,INDIRECT($F$8),6+(O382-1)*3)&lt;=5),MAX(0.4*U382-VLOOKUP(B376,INDIRECT($F$8),8+(O382-1)*3),0.3*S382-VLOOKUP(B376,INDIRECT($F$8),6+(O382-1)*3)),11),IF(0.3*S382-VLOOKUP(B376,INDIRECT($F$8),6+(O382-1)*3)&lt;=5,0.3*S382-VLOOKUP(B376,INDIRECT($F$8),6+(O382-1)*3),11)),IF(VLOOKUP(B376,INDIRECT($F$8),8+(O382-1)*3)&lt;U382*0.4,IF(U382*0.4-VLOOKUP(B376,INDIRECT($F$8),8+(O382-1)*3)&lt;=5,U382*0.4-VLOOKUP(B376,INDIRECT($F$8),8+(O382-1)*3),11),0))))</f>
        <v>11</v>
      </c>
      <c r="X382" s="1" t="str">
        <f ca="1">IF(ISERROR(F376),"",IF(W382=0,"",_xlfn.TEXTJOIN("",FALSE," G+",W382," in ",A382)))</f>
        <v xml:space="preserve"> G+11 in Enroll No.</v>
      </c>
    </row>
    <row r="383" spans="1:24" ht="12.75" customHeight="1" x14ac:dyDescent="0.2">
      <c r="A383" s="7" t="str">
        <f ca="1">IF(ISERROR(F376),"",VLOOKUP(C376,INDIRECT($F$8),6+(O383-1)*3,0))</f>
        <v>CAT 030</v>
      </c>
      <c r="B383" s="41" t="str">
        <f ca="1">IF(ISERROR(F376),"",VLOOKUP(D376,INDIRECT($F$8),6+(O383-1)*3,0))</f>
        <v>Software Testing &amp; Quality Assurance</v>
      </c>
      <c r="C383" s="41"/>
      <c r="D383" s="41"/>
      <c r="E383" s="41"/>
      <c r="F383" s="7">
        <f ca="1">IF(ISERROR(F376),"",VLOOKUP(E376,INDIRECT($F$8),6+(O383-1)*3,0))</f>
        <v>4</v>
      </c>
      <c r="G383" s="42" t="str">
        <f ca="1">IF(ISERROR(F376),"",_xlfn.TEXTJOIN("/",FALSE,P383,S383))</f>
        <v>0/100</v>
      </c>
      <c r="H383" s="42"/>
      <c r="I383" s="42" t="str">
        <f ca="1">IF(ISERROR(F376),"",_xlfn.TEXTJOIN("/",FALSE,Q383,T383))</f>
        <v>0/50</v>
      </c>
      <c r="J383" s="42"/>
      <c r="K383" s="42" t="str">
        <f ca="1">IF(ISERROR(F376),"",_xlfn.TEXTJOIN("/",FALSE,R383,U383))</f>
        <v>0/150</v>
      </c>
      <c r="L383" s="42"/>
      <c r="M383" s="7" t="str">
        <f ca="1">IF(ISERROR(F376),"",IF(ISTEXT(P383),IF(P383="A","Ab",IF(P383="D","Dt",IF(P383="UFM","UFM",IF(P383="NA","")))),IF(AND(ISBLANK(P383),ISBLANK(R383)),"",IF(P383&lt;0.3*S383,"F",IF(ISBLANK(R383),"",IF(ISTEXT(R383),R383,IF(R383&gt;=0.9*U383,"O",IF(R383&gt;=0.85*U383,"A+",IF(R383&gt;=0.8*U383,"A",IF(R383&gt;=0.7*U383,"B+",IF(R383&gt;=0.6*U383,"B",IF(R383&gt;=0.5*U383,"C",IF(R383&gt;=0.4*U383,"P",IF(R383&lt;0.4*U383,"F",R383))))))))))))))</f>
        <v>F</v>
      </c>
      <c r="N383" s="8">
        <f t="shared" ca="1" si="23"/>
        <v>0</v>
      </c>
      <c r="O383">
        <f ca="1">IF(O382&gt;0,4,"")</f>
        <v>4</v>
      </c>
      <c r="P383" s="1">
        <f ca="1">IF(ISERROR(F376),"",IF(ISTEXT(VLOOKUP(B376,INDIRECT($F$8),6+(O383-1)*3)),(VLOOKUP(B376,INDIRECT($F$8),6+(O383-1)*3)),SUM(VLOOKUP(B376,INDIRECT($F$8),6+(O383-1)*3),IF(W388,W383,0))))</f>
        <v>0</v>
      </c>
      <c r="Q383" s="1">
        <f ca="1">IF(ISERROR(F376),"",VLOOKUP(B376,INDIRECT($F$8),7+(O383-1)*3))</f>
        <v>0</v>
      </c>
      <c r="R383" s="1">
        <f ca="1">IF(ISERROR(F376),"",SUM(P383:Q383))</f>
        <v>0</v>
      </c>
      <c r="S383" s="1">
        <f ca="1">IF(ISERROR(F376),"",VLOOKUP(A376,INDIRECT($F$8),6+(O383-1)*3))</f>
        <v>100</v>
      </c>
      <c r="T383" s="1">
        <f ca="1">IF(ISERROR(F376),"",VLOOKUP(A376,INDIRECT($F$8),7+(O383-1)*3))</f>
        <v>50</v>
      </c>
      <c r="U383" s="1">
        <f ca="1">IF(ISERROR(F376),"",VLOOKUP(A376,INDIRECT($F$8),8+(O383-1)*3))</f>
        <v>150</v>
      </c>
      <c r="V383" s="1" t="str">
        <f ca="1">IF(ISERROR(F376),"",IF(N383=0,A383,""))</f>
        <v>CAT 030</v>
      </c>
      <c r="W383" s="1">
        <f ca="1">IF(ISERROR(F376),"",IF(ISTEXT(VLOOKUP(B376,INDIRECT($F$8),6+(O383-1)*3)),11,IF(VLOOKUP(B376,INDIRECT($F$8),6+(O383-1)*3)&lt;S383*0.3,IF(VLOOKUP(B376,INDIRECT($F$8),8+(O383-1)*3)&lt;U383*0.4,IF(AND(0.4*U383-VLOOKUP(B376,INDIRECT($F$8),8+(O383-1)*3)&lt;=5,0.3*S383-VLOOKUP(B376,INDIRECT($F$8),6+(O383-1)*3)&lt;=5),MAX(0.4*U383-VLOOKUP(B376,INDIRECT($F$8),8+(O383-1)*3),0.3*S383-VLOOKUP(B376,INDIRECT($F$8),6+(O383-1)*3)),11),IF(0.3*S383-VLOOKUP(B376,INDIRECT($F$8),6+(O383-1)*3)&lt;=5,0.3*S383-VLOOKUP(B376,INDIRECT($F$8),6+(O383-1)*3),11)),IF(VLOOKUP(B376,INDIRECT($F$8),8+(O383-1)*3)&lt;U383*0.4,IF(U383*0.4-VLOOKUP(B376,INDIRECT($F$8),8+(O383-1)*3)&lt;=5,U383*0.4-VLOOKUP(B376,INDIRECT($F$8),8+(O383-1)*3),11),0))))</f>
        <v>11</v>
      </c>
      <c r="X383" s="1" t="str">
        <f ca="1">IF(ISERROR(F376),"",IF(W383=0,"",_xlfn.TEXTJOIN("",FALSE," G+",W383," in ",A383)))</f>
        <v xml:space="preserve"> G+11 in CAT 030</v>
      </c>
    </row>
    <row r="384" spans="1:24" ht="12.75" customHeight="1" x14ac:dyDescent="0.2">
      <c r="A384" s="7" t="str">
        <f ca="1">IF(ISERROR(F376),"",VLOOKUP(C376,INDIRECT($F$8),6+(O384-1)*3,0))</f>
        <v>Enroll No.</v>
      </c>
      <c r="B384" s="41">
        <f ca="1">IF(ISERROR(F376),"",VLOOKUP(D376,INDIRECT($F$8),6+(O384-1)*3,0))</f>
        <v>0</v>
      </c>
      <c r="C384" s="41"/>
      <c r="D384" s="41"/>
      <c r="E384" s="41"/>
      <c r="F384" s="7">
        <f ca="1">IF(ISERROR(F376),"",VLOOKUP(E376,INDIRECT($F$8),6+(O384-1)*3,0))</f>
        <v>0</v>
      </c>
      <c r="G384" s="42" t="str">
        <f ca="1">IF(ISERROR(F376),"",_xlfn.TEXTJOIN("/",FALSE,P384,S384))</f>
        <v>UTU/2406100190/0</v>
      </c>
      <c r="H384" s="42"/>
      <c r="I384" s="42" t="str">
        <f ca="1">IF(ISERROR(F376),"",_xlfn.TEXTJOIN("/",FALSE,Q384,T384))</f>
        <v>SIDDHARTH PATWAL/0</v>
      </c>
      <c r="J384" s="42"/>
      <c r="K384" s="42" t="str">
        <f ca="1">IF(ISERROR(F376),"",_xlfn.TEXTJOIN("/",FALSE,R384,U384))</f>
        <v>0/0</v>
      </c>
      <c r="L384" s="42"/>
      <c r="M384" s="7" t="b">
        <f ca="1">IF(ISERROR(F376),"",IF(ISTEXT(P384),IF(P384="A","Ab",IF(P384="D","Dt",IF(P384="UFM","UFM",IF(P384="NA","")))),IF(AND(ISBLANK(P384),ISBLANK(R384)),"",IF(P384&lt;0.3*S384,"F",IF(ISBLANK(R384),"",IF(ISTEXT(R384),R384,IF(R384&gt;=0.9*U384,"O",IF(R384&gt;=0.85*U384,"A+",IF(R384&gt;=0.8*U384,"A",IF(R384&gt;=0.7*U384,"B+",IF(R384&gt;=0.6*U384,"B",IF(R384&gt;=0.5*U384,"C",IF(R384&gt;=0.4*U384,"P",IF(R384&lt;0.4*U384,"F",R384))))))))))))))</f>
        <v>0</v>
      </c>
      <c r="N384" s="8" t="e">
        <f t="shared" ca="1" si="23"/>
        <v>#N/A</v>
      </c>
      <c r="O384" t="b" cm="1">
        <f t="array" aca="1" ref="O384" ca="1">IF(NOT(ISBLANK(INDIRECT("SEM_IV!R"&amp;INT((ROW(O384)-16)/16)+6))),5,IF(NOT(ISBLANK(INDIRECT("SEM_IV!U"&amp;INT((ROW(O384)-16)/16)+6))),6))</f>
        <v>0</v>
      </c>
      <c r="P384" s="1" t="str">
        <f ca="1">IF(ISERROR(F376),"",IF(ISTEXT(VLOOKUP(B376,INDIRECT($F$8),6+(O384-1)*3)),(VLOOKUP(B376,INDIRECT($F$8),6+(O384-1)*3)),SUM(VLOOKUP(B376,INDIRECT($F$8),6+(O384-1)*3),IF(W388,W384,0))))</f>
        <v>UTU/2406100190</v>
      </c>
      <c r="Q384" s="1" t="str">
        <f ca="1">IF(ISERROR(F376),"",VLOOKUP(B376,INDIRECT($F$8),7+(O384-1)*3))</f>
        <v>SIDDHARTH PATWAL</v>
      </c>
      <c r="R384" s="1">
        <f ca="1">IF(ISERROR(F376),"",SUM(P384:Q384))</f>
        <v>0</v>
      </c>
      <c r="S384" s="1">
        <f ca="1">IF(ISERROR(F376),"",VLOOKUP(A376,INDIRECT($F$8),6+(O384-1)*3))</f>
        <v>0</v>
      </c>
      <c r="T384" s="1">
        <f ca="1">IF(ISERROR(F376),"",VLOOKUP(A376,INDIRECT($F$8),7+(O384-1)*3))</f>
        <v>0</v>
      </c>
      <c r="U384" s="1">
        <f ca="1">IF(ISERROR(F376),"",VLOOKUP(A376,INDIRECT($F$8),8+(O384-1)*3))</f>
        <v>0</v>
      </c>
      <c r="V384" s="1" t="e">
        <f ca="1">IF(ISERROR(F376),"",IF(N384=0,A384,""))</f>
        <v>#N/A</v>
      </c>
      <c r="W384" s="1">
        <f ca="1">IF(ISERROR(F376),"",IF(ISTEXT(VLOOKUP(B376,INDIRECT($F$8),6+(O384-1)*3)),11,IF(VLOOKUP(B376,INDIRECT($F$8),6+(O384-1)*3)&lt;S384*0.3,IF(VLOOKUP(B376,INDIRECT($F$8),8+(O384-1)*3)&lt;U384*0.4,IF(AND(0.4*U384-VLOOKUP(B376,INDIRECT($F$8),8+(O384-1)*3)&lt;=5,0.3*S384-VLOOKUP(B376,INDIRECT($F$8),6+(O384-1)*3)&lt;=5),MAX(0.4*U384-VLOOKUP(B376,INDIRECT($F$8),8+(O384-1)*3),0.3*S384-VLOOKUP(B376,INDIRECT($F$8),6+(O384-1)*3)),11),IF(0.3*S384-VLOOKUP(B376,INDIRECT($F$8),6+(O384-1)*3)&lt;=5,0.3*S384-VLOOKUP(B376,INDIRECT($F$8),6+(O384-1)*3),11)),IF(VLOOKUP(B376,INDIRECT($F$8),8+(O384-1)*3)&lt;U384*0.4,IF(U384*0.4-VLOOKUP(B376,INDIRECT($F$8),8+(O384-1)*3)&lt;=5,U384*0.4-VLOOKUP(B376,INDIRECT($F$8),8+(O384-1)*3),11),0))))</f>
        <v>11</v>
      </c>
      <c r="X384" s="1" t="str">
        <f ca="1">IF(ISERROR(F376),"",IF(W384=0,"",_xlfn.TEXTJOIN("",FALSE," G+",W384," in ",A384)))</f>
        <v xml:space="preserve"> G+11 in Enroll No.</v>
      </c>
    </row>
    <row r="385" spans="1:24" ht="12.75" customHeight="1" x14ac:dyDescent="0.2">
      <c r="A385" s="7" t="str">
        <f ca="1">IF(ISERROR(F376),"",VLOOKUP(C376,INDIRECT($F$8),6+(O385-1)*3,0))</f>
        <v>CAP 011</v>
      </c>
      <c r="B385" s="41" t="str">
        <f ca="1">IF(ISERROR(F376),"",VLOOKUP(D376,INDIRECT($F$8),6+(O385-1)*3,0))</f>
        <v>Network Security Lab</v>
      </c>
      <c r="C385" s="41"/>
      <c r="D385" s="41"/>
      <c r="E385" s="41"/>
      <c r="F385" s="7">
        <f ca="1">IF(ISERROR(F376),"",VLOOKUP(E376,INDIRECT($F$8),6+(O385-1)*3,0))</f>
        <v>1</v>
      </c>
      <c r="G385" s="42" t="str">
        <f ca="1">IF(ISERROR(F376),"",_xlfn.TEXTJOIN("/",FALSE,P385,S385))</f>
        <v>0/30</v>
      </c>
      <c r="H385" s="42"/>
      <c r="I385" s="42" t="str">
        <f ca="1">IF(ISERROR(F376),"",_xlfn.TEXTJOIN("/",FALSE,Q385,T385))</f>
        <v>0/20</v>
      </c>
      <c r="J385" s="42"/>
      <c r="K385" s="42" t="str">
        <f ca="1">IF(ISERROR(F376),"",_xlfn.TEXTJOIN("/",FALSE,R385,U385))</f>
        <v>0/50</v>
      </c>
      <c r="L385" s="42"/>
      <c r="M385" s="7" t="str">
        <f ca="1">IF(ISERROR(F376),"",IF(ISTEXT(P385),IF(P385="A","Ab",IF(P385="D","Dt",IF(P385="UFM","UFM",IF(P385="NA","")))),IF(AND(ISBLANK(P385),ISBLANK(R385)),"",IF(P385&lt;0.3*S385,"F",IF(ISBLANK(R385),"",IF(ISTEXT(R385),R385,IF(R385&gt;=0.9*U385,"O",IF(R385&gt;=0.85*U385,"A+",IF(R385&gt;=0.8*U385,"A",IF(R385&gt;=0.7*U385,"B+",IF(R385&gt;=0.6*U385,"B",IF(R385&gt;=0.5*U385,"C",IF(R385&gt;=0.4*U385,"P",IF(R385&lt;0.4*U385,"F",R385))))))))))))))</f>
        <v>F</v>
      </c>
      <c r="N385" s="8">
        <f t="shared" ca="1" si="23"/>
        <v>0</v>
      </c>
      <c r="O385">
        <f ca="1">IF(O384&gt;0,7,"")</f>
        <v>7</v>
      </c>
      <c r="P385" s="1">
        <f ca="1">IF(ISERROR(F376),"",IF(ISTEXT(VLOOKUP(B376,INDIRECT($F$8),6+(O385-1)*3)),(VLOOKUP(B376,INDIRECT($F$8),6+(O385-1)*3)),SUM(VLOOKUP(B376,INDIRECT($F$8),6+(O385-1)*3),IF(W388,W385,0))))</f>
        <v>0</v>
      </c>
      <c r="Q385" s="1">
        <f ca="1">IF(ISERROR(F376),"",VLOOKUP(B376,INDIRECT($F$8),7+(O385-1)*3))</f>
        <v>0</v>
      </c>
      <c r="R385" s="1">
        <f ca="1">IF(ISERROR(F376),"",SUM(P385:Q385))</f>
        <v>0</v>
      </c>
      <c r="S385" s="1">
        <f ca="1">IF(ISERROR(F376),"",VLOOKUP(A376,INDIRECT($F$8),6+(O385-1)*3))</f>
        <v>30</v>
      </c>
      <c r="T385" s="1">
        <f ca="1">IF(ISERROR(F376),"",VLOOKUP(A376,INDIRECT($F$8),7+(O385-1)*3))</f>
        <v>20</v>
      </c>
      <c r="U385" s="1">
        <f ca="1">IF(ISERROR(F376),"",VLOOKUP(A376,INDIRECT($F$8),8+(O385-1)*3))</f>
        <v>50</v>
      </c>
      <c r="V385" s="1" t="str">
        <f ca="1">IF(ISERROR(F376),"",IF(N385=0,A385,""))</f>
        <v>CAP 011</v>
      </c>
      <c r="W385" s="1">
        <f ca="1">IF(ISERROR(F376),"",IF(ISTEXT(VLOOKUP(B376,INDIRECT($F$8),6+(O385-1)*3)),11,IF(VLOOKUP(B376,INDIRECT($F$8),6+(O385-1)*3)&lt;S385*0.3,IF(VLOOKUP(B376,INDIRECT($F$8),8+(O385-1)*3)&lt;U385*0.4,IF(AND(0.4*U385-VLOOKUP(B376,INDIRECT($F$8),8+(O385-1)*3)&lt;=5,0.3*S385-VLOOKUP(B376,INDIRECT($F$8),6+(O385-1)*3)&lt;=5),MAX(0.4*U385-VLOOKUP(B376,INDIRECT($F$8),8+(O385-1)*3),0.3*S385-VLOOKUP(B376,INDIRECT($F$8),6+(O385-1)*3)),11),IF(0.3*S385-VLOOKUP(B376,INDIRECT($F$8),6+(O385-1)*3)&lt;=5,0.3*S385-VLOOKUP(B376,INDIRECT($F$8),6+(O385-1)*3),11)),IF(VLOOKUP(B376,INDIRECT($F$8),8+(O385-1)*3)&lt;U385*0.4,IF(U385*0.4-VLOOKUP(B376,INDIRECT($F$8),8+(O385-1)*3)&lt;=5,U385*0.4-VLOOKUP(B376,INDIRECT($F$8),8+(O385-1)*3),11),0))))</f>
        <v>11</v>
      </c>
      <c r="X385" s="1" t="str">
        <f ca="1">IF(ISERROR(F376),"",IF(W385=0,"",_xlfn.TEXTJOIN("",FALSE," G+",W385," in ",A385)))</f>
        <v xml:space="preserve"> G+11 in CAP 011</v>
      </c>
    </row>
    <row r="386" spans="1:24" ht="12.75" customHeight="1" x14ac:dyDescent="0.2">
      <c r="A386" s="7" t="str">
        <f ca="1">IF(ISERROR(F376),"",VLOOKUP(C376,INDIRECT($F$8),6+(O386-1)*3,0))</f>
        <v>Enroll No.</v>
      </c>
      <c r="B386" s="41">
        <f ca="1">IF(ISERROR(F376),"",VLOOKUP(D376,INDIRECT($F$8),6+(O386-1)*3,0))</f>
        <v>0</v>
      </c>
      <c r="C386" s="41"/>
      <c r="D386" s="41"/>
      <c r="E386" s="41"/>
      <c r="F386" s="7">
        <f ca="1">IF(ISERROR(F376),"",VLOOKUP(E376,INDIRECT($F$8),6+(O386-1)*3,0))</f>
        <v>0</v>
      </c>
      <c r="G386" s="42" t="str">
        <f ca="1">IF(ISERROR(F376),"",_xlfn.TEXTJOIN("/",FALSE,P386,S386))</f>
        <v>UTU/2406100190/0</v>
      </c>
      <c r="H386" s="42"/>
      <c r="I386" s="42" t="str">
        <f ca="1">IF(ISERROR(F376),"",_xlfn.TEXTJOIN("/",FALSE,Q386,T386))</f>
        <v>SIDDHARTH PATWAL/0</v>
      </c>
      <c r="J386" s="42"/>
      <c r="K386" s="42" t="str">
        <f ca="1">IF(ISERROR(F376),"",_xlfn.TEXTJOIN("/",FALSE,R386,U386))</f>
        <v>0/0</v>
      </c>
      <c r="L386" s="42"/>
      <c r="M386" s="7" t="b">
        <f ca="1">IF(ISERROR(F376),"",IF(ISTEXT(P386),IF(P386="A","Ab",IF(P386="D","Dt",IF(P386="UFM","UFM",IF(P386="NA","")))),IF(AND(ISBLANK(P386),ISBLANK(R386)),"",IF(P386&lt;0.3*S386,"F",IF(ISBLANK(R386),"",IF(ISTEXT(R386),R386,IF(R386&gt;=0.9*U386,"O",IF(R386&gt;=0.85*U386,"A+",IF(R386&gt;=0.8*U386,"A",IF(R386&gt;=0.7*U386,"B+",IF(R386&gt;=0.6*U386,"B",IF(R386&gt;=0.5*U386,"C",IF(R386&gt;=0.4*U386,"P",IF(R386&lt;0.4*U386,"F",R386))))))))))))))</f>
        <v>0</v>
      </c>
      <c r="N386" s="8" t="e">
        <f t="shared" ca="1" si="23"/>
        <v>#N/A</v>
      </c>
      <c r="O386" t="b" cm="1">
        <f t="array" aca="1" ref="O386" ca="1">IF(NOT(ISBLANK(INDIRECT("SEM_IV!AA"&amp;INT((ROW(O386)-18)/16)+6))),8,IF(NOT(ISBLANK(INDIRECT("SEM_IV!AD"&amp;INT((ROW(O386)-18)/16)+6))),9))</f>
        <v>0</v>
      </c>
      <c r="P386" s="1" t="str">
        <f ca="1">IF(ISERROR(F376),"",IF(ISTEXT(VLOOKUP(B376,INDIRECT($F$8),6+(O386-1)*3)),(VLOOKUP(B376,INDIRECT($F$8),6+(O386-1)*3)),SUM(VLOOKUP(B376,INDIRECT($F$8),6+(O386-1)*3),IF(W388,W386,0))))</f>
        <v>UTU/2406100190</v>
      </c>
      <c r="Q386" s="1" t="str">
        <f ca="1">IF(ISERROR(F376),"",VLOOKUP(B376,INDIRECT($F$8),7+(O386-1)*3))</f>
        <v>SIDDHARTH PATWAL</v>
      </c>
      <c r="R386" s="1">
        <f ca="1">IF(ISERROR(F376),"",SUM(P386:Q386))</f>
        <v>0</v>
      </c>
      <c r="S386" s="1">
        <f ca="1">IF(ISERROR(F376),"",VLOOKUP(A376,INDIRECT($F$8),6+(O386-1)*3))</f>
        <v>0</v>
      </c>
      <c r="T386" s="1">
        <f ca="1">IF(ISERROR(F376),"",VLOOKUP(A376,INDIRECT($F$8),7+(O386-1)*3))</f>
        <v>0</v>
      </c>
      <c r="U386" s="1">
        <f ca="1">IF(ISERROR(F376),"",VLOOKUP(A376,INDIRECT($F$8),8+(O386-1)*3))</f>
        <v>0</v>
      </c>
      <c r="V386" s="1" t="e">
        <f ca="1">IF(ISERROR(F376),"",IF(N386=0,A386,""))</f>
        <v>#N/A</v>
      </c>
      <c r="W386" s="1">
        <f ca="1">IF(ISERROR(F376),"",IF(ISTEXT(VLOOKUP(B376,INDIRECT($F$8),6+(O386-1)*3)),11,IF(VLOOKUP(B376,INDIRECT($F$8),6+(O386-1)*3)&lt;S386*0.3,IF(VLOOKUP(B376,INDIRECT($F$8),8+(O386-1)*3)&lt;U386*0.4,IF(AND(0.4*U386-VLOOKUP(B376,INDIRECT($F$8),8+(O386-1)*3)&lt;=5,0.3*S386-VLOOKUP(B376,INDIRECT($F$8),6+(O386-1)*3)&lt;=5),MAX(0.4*U386-VLOOKUP(B376,INDIRECT($F$8),8+(O386-1)*3),0.3*S386-VLOOKUP(B376,INDIRECT($F$8),6+(O386-1)*3)),11),IF(0.3*S386-VLOOKUP(B376,INDIRECT($F$8),6+(O386-1)*3)&lt;=5,0.3*S386-VLOOKUP(B376,INDIRECT($F$8),6+(O386-1)*3),11)),IF(VLOOKUP(B376,INDIRECT($F$8),8+(O386-1)*3)&lt;U386*0.4,IF(U386*0.4-VLOOKUP(B376,INDIRECT($F$8),8+(O386-1)*3)&lt;=5,U386*0.4-VLOOKUP(B376,INDIRECT($F$8),8+(O386-1)*3),11),0))))</f>
        <v>11</v>
      </c>
      <c r="X386" s="1" t="str">
        <f ca="1">IF(ISERROR(F376),"",IF(W386=0,"",_xlfn.TEXTJOIN("",FALSE," G+",W386," in ",A386)))</f>
        <v xml:space="preserve"> G+11 in Enroll No.</v>
      </c>
    </row>
    <row r="387" spans="1:24" ht="12.75" customHeight="1" x14ac:dyDescent="0.2">
      <c r="A387" s="7" t="str">
        <f ca="1">IF(ISERROR(F376),"",VLOOKUP(C376,INDIRECT($F$8),6+(O387-1)*3,0))</f>
        <v>CAP 013</v>
      </c>
      <c r="B387" s="41" t="str">
        <f ca="1">IF(ISERROR(F376),"",VLOOKUP(D376,INDIRECT($F$8),6+(O387-1)*3-Z387,0))</f>
        <v>Major Project</v>
      </c>
      <c r="C387" s="41"/>
      <c r="D387" s="41"/>
      <c r="E387" s="41"/>
      <c r="F387" s="7">
        <f ca="1">IF(ISERROR(F376),"",VLOOKUP(E376,INDIRECT($F$8),6+(O387-1)*3,0))</f>
        <v>6</v>
      </c>
      <c r="G387" s="42" t="str">
        <f ca="1">IF(ISERROR(F376),"",_xlfn.TEXTJOIN("/",FALSE,P387,S387))</f>
        <v>0/200</v>
      </c>
      <c r="H387" s="42"/>
      <c r="I387" s="42" t="str">
        <f ca="1">IF(ISERROR(F376),"",_xlfn.TEXTJOIN("/",FALSE,Q387,T387))</f>
        <v>0/100</v>
      </c>
      <c r="J387" s="42"/>
      <c r="K387" s="42" t="str">
        <f ca="1">IF(ISERROR(F376),"",_xlfn.TEXTJOIN("/",FALSE,R387,U387))</f>
        <v>0/300</v>
      </c>
      <c r="L387" s="42"/>
      <c r="M387" s="7" t="str">
        <f ca="1">IF(ISERROR(F376),"",IF(ISTEXT(P387),IF(P387="A","Ab",IF(P387="D","Dt",IF(P387="UFM","UFM",IF(P387="NA","")))),IF(AND(ISBLANK(P387),ISBLANK(R387)),"",IF(P387&lt;0.3*S387,"F",IF(ISBLANK(R387),"",IF(ISTEXT(R387),R387,IF(R387&gt;=0.9*U387,"O",IF(R387&gt;=0.85*U387,"A+",IF(R387&gt;=0.8*U387,"A",IF(R387&gt;=0.7*U387,"B+",IF(R387&gt;=0.6*U387,"B",IF(R387&gt;=0.5*U387,"C",IF(R387&gt;=0.4*U387,"P",IF(R387&lt;0.4*U387,"F",R387))))))))))))))</f>
        <v>F</v>
      </c>
      <c r="N387" s="8">
        <f t="shared" ca="1" si="23"/>
        <v>0</v>
      </c>
      <c r="O387">
        <f ca="1">IF(O386&gt;0,10,"")</f>
        <v>10</v>
      </c>
      <c r="P387" s="1">
        <f ca="1">IF(ISERROR(F376),"",IF(ISTEXT(VLOOKUP(B376,INDIRECT($F$8),6+(O387-1)*3)),(VLOOKUP(B376,INDIRECT($F$8),6+(O387-1)*3)),SUM(VLOOKUP(B376,INDIRECT($F$8),6+(O387-1)*3),IF(W388,W387,0))))</f>
        <v>0</v>
      </c>
      <c r="Q387" s="1">
        <f ca="1">IF(ISERROR(F376),"",VLOOKUP(B376,INDIRECT($F$8),7+(O387-1)*3))</f>
        <v>0</v>
      </c>
      <c r="R387" s="1">
        <f ca="1">IF(ISERROR(F376),"",SUM(P387:Q387))</f>
        <v>0</v>
      </c>
      <c r="S387" s="1">
        <f ca="1">IF(ISERROR(F376),"",VLOOKUP(A376,INDIRECT($F$8),6+(O387-1)*3))</f>
        <v>200</v>
      </c>
      <c r="T387" s="1">
        <f ca="1">IF(ISERROR(F376),"",VLOOKUP(A376,INDIRECT($F$8),7+(O387-1)*3))</f>
        <v>100</v>
      </c>
      <c r="U387" s="1">
        <f ca="1">IF(ISERROR(F376),"",VLOOKUP(A376,INDIRECT($F$8),8+(O387-1)*3))</f>
        <v>300</v>
      </c>
      <c r="V387" s="1" t="str">
        <f ca="1">IF(ISERROR(F376),"",IF(N387=0,A387,""))</f>
        <v>CAP 013</v>
      </c>
      <c r="W387" s="1">
        <f ca="1">IF(ISERROR(F376),"",IF(ISTEXT(VLOOKUP(B376,INDIRECT($F$8),6+(O387-1)*3)),11,IF(VLOOKUP(B376,INDIRECT($F$8),6+(O387-1)*3)&lt;S387*0.3,IF(VLOOKUP(B376,INDIRECT($F$8),8+(O387-1)*3)&lt;U387*0.4,IF(AND(0.4*U387-VLOOKUP(B376,INDIRECT($F$8),8+(O387-1)*3)&lt;=5,0.3*S387-VLOOKUP(B376,INDIRECT($F$8),6+(O387-1)*3)&lt;=5),MAX(0.4*U387-VLOOKUP(B376,INDIRECT($F$8),8+(O387-1)*3),0.3*S387-VLOOKUP(B376,INDIRECT($F$8),6+(O387-1)*3)),11),IF(0.3*S387-VLOOKUP(B376,INDIRECT($F$8),6+(O387-1)*3)&lt;=5,0.3*S387-VLOOKUP(B376,INDIRECT($F$8),6+(O387-1)*3),11)),IF(VLOOKUP(B376,INDIRECT($F$8),8+(O387-1)*3)&lt;U387*0.4,IF(U387*0.4-VLOOKUP(B376,INDIRECT($F$8),8+(O387-1)*3)&lt;=5,U387*0.4-VLOOKUP(B376,INDIRECT($F$8),8+(O387-1)*3),11),0))))</f>
        <v>11</v>
      </c>
      <c r="X387" s="1" t="str">
        <f ca="1">IF(ISERROR(F376),"",IF(W387=0,"",_xlfn.TEXTJOIN("",FALSE," G+",W387," in ",A387)))</f>
        <v xml:space="preserve"> G+11 in CAP 013</v>
      </c>
    </row>
    <row r="388" spans="1:24" ht="12.75" customHeight="1" x14ac:dyDescent="0.2">
      <c r="A388" s="43" t="str">
        <f ca="1">IF(ISERROR(F376),"",A372)</f>
        <v>Total Credits/ Marks/ Total Grade Points</v>
      </c>
      <c r="B388" s="43"/>
      <c r="C388" s="43"/>
      <c r="D388" s="43"/>
      <c r="E388" s="43"/>
      <c r="F388" s="10">
        <f ca="1">IF(ISERROR(F376),"",SUM(F381:F387))</f>
        <v>15</v>
      </c>
      <c r="G388" s="44" t="str">
        <f ca="1">IF(ISERROR(F376),"",_xlfn.TEXTJOIN("/",TRUE,SUMIF(F381:F387,"&gt;0",P381:P387),SUMIF(F381:F387,"&gt;0",S381:S387)))</f>
        <v>0/430</v>
      </c>
      <c r="H388" s="44"/>
      <c r="I388" s="44" t="str">
        <f ca="1">IF(ISERROR(F376),"",_xlfn.TEXTJOIN("/",TRUE,SUMIF(F381:F387,"&gt;0",Q381:Q387),SUMIF(F381:F387,"&gt;0",T381:T387)))</f>
        <v>0/220</v>
      </c>
      <c r="J388" s="44"/>
      <c r="K388" s="44" t="str">
        <f ca="1">IF(ISERROR(F376),"",_xlfn.TEXTJOIN("/",TRUE,SUMIF(F381:F387,"&gt;0",R381:R387),SUMIF(F381:F387,"&gt;0",U381:U387)))</f>
        <v>0/650</v>
      </c>
      <c r="L388" s="44"/>
      <c r="M388" s="43" t="e">
        <f ca="1">IF(ISERROR(F376),"",SUMPRODUCT(N381:N387,F381:F387))</f>
        <v>#N/A</v>
      </c>
      <c r="N388" s="43"/>
      <c r="V388" s="1" t="e">
        <f ca="1">IF(ISERROR(F376),"",_xlfn.TEXTJOIN(", ",TRUE,V381:V387))</f>
        <v>#N/A</v>
      </c>
      <c r="W388" t="b">
        <f ca="1">IF(ISERROR(F376),"",IF(SUM(W381:W387)&lt;=W380,TRUE,FALSE))</f>
        <v>0</v>
      </c>
      <c r="X388" s="1" t="str">
        <f ca="1">IF(ISERROR(F376),"",_xlfn.TEXTJOIN(",",TRUE,X381:X387))</f>
        <v xml:space="preserve"> G+11 in CAT 022, G+11 in Enroll No., G+11 in CAT 030, G+11 in Enroll No., G+11 in CAP 011, G+11 in Enroll No., G+11 in CAP 013</v>
      </c>
    </row>
    <row r="389" spans="1:24" ht="12.75" customHeight="1" x14ac:dyDescent="0.2">
      <c r="A389" s="43" t="str">
        <f ca="1">IF(ISERROR(F376),"",A373)</f>
        <v>Result:</v>
      </c>
      <c r="B389" s="45" t="e">
        <f ca="1">IF(ISERROR(F376),"",IF(V388="","PASS","CARRY OVER"))</f>
        <v>#N/A</v>
      </c>
      <c r="C389" s="45"/>
      <c r="D389" s="43" t="str">
        <f ca="1">IF(ISERROR(F376),"",D373)</f>
        <v>Remark:</v>
      </c>
      <c r="E389" s="45" t="e">
        <f ca="1">IF(ISERROR(F376),"",IF(V388="",IF(X388="","",X388),_xlfn.TEXTJOIN(" ",TRUE,"BACK IN",V388)))</f>
        <v>#N/A</v>
      </c>
      <c r="F389" s="45"/>
      <c r="G389" s="43" t="str">
        <f ca="1">IF(ISERROR(F376),"",G373)</f>
        <v>SGPA:</v>
      </c>
      <c r="H389" s="46" t="e">
        <f ca="1">IF(ISERROR(F376),"",M388/F388)</f>
        <v>#N/A</v>
      </c>
      <c r="I389" s="43" t="str">
        <f ca="1">IF(ISERROR(F376),"",I373)</f>
        <v>CGPA:</v>
      </c>
      <c r="J389" s="46" t="e">
        <f ca="1">IF(ISERROR(F376),"",VLOOKUP(B376,INDIRECT($F$8),12+(O387-1)*3,0))</f>
        <v>#N/A</v>
      </c>
      <c r="K389" s="45" t="str">
        <f ca="1">IF(ISERROR(F376),"",K373)</f>
        <v>Earned Credits:</v>
      </c>
      <c r="L389" s="43">
        <f ca="1">IF(ISERROR(F376),"",SUMIF(N381:N387,"&gt;0",F381:F387))</f>
        <v>0</v>
      </c>
      <c r="M389" s="45" t="str">
        <f ca="1">IF(ISERROR(F376),"",M373)</f>
        <v>Cuml. Earned Credits:</v>
      </c>
      <c r="N389" s="43" t="e">
        <f ca="1">IF(ISERROR(F376),"",VLOOKUP(B376,INDIRECT($F$8),10+(O387-1)*3,0))</f>
        <v>#N/A</v>
      </c>
    </row>
    <row r="390" spans="1:24" ht="12.75" customHeight="1" x14ac:dyDescent="0.2">
      <c r="A390" s="43"/>
      <c r="B390" s="45"/>
      <c r="C390" s="45"/>
      <c r="D390" s="43"/>
      <c r="E390" s="45"/>
      <c r="F390" s="45"/>
      <c r="G390" s="43"/>
      <c r="H390" s="46"/>
      <c r="I390" s="43"/>
      <c r="J390" s="46"/>
      <c r="K390" s="45"/>
      <c r="L390" s="43"/>
      <c r="M390" s="45"/>
      <c r="N390" s="43"/>
    </row>
    <row r="391" spans="1:24" ht="12.75" customHeight="1" x14ac:dyDescent="0.2">
      <c r="A391" s="43"/>
      <c r="B391" s="45"/>
      <c r="C391" s="45"/>
      <c r="D391" s="43"/>
      <c r="E391" s="45"/>
      <c r="F391" s="45"/>
      <c r="G391" s="43"/>
      <c r="H391" s="46"/>
      <c r="I391" s="43"/>
      <c r="J391" s="46"/>
      <c r="K391" s="45"/>
      <c r="L391" s="43"/>
      <c r="M391" s="45"/>
      <c r="N391" s="43"/>
    </row>
    <row r="392" spans="1:24" ht="12.75" customHeight="1" x14ac:dyDescent="0.2">
      <c r="A392" s="11" t="str">
        <f>A376</f>
        <v>MM</v>
      </c>
      <c r="B392" s="11">
        <f>B376+1</f>
        <v>25</v>
      </c>
      <c r="C392" s="11" t="str">
        <f>C376</f>
        <v>SC</v>
      </c>
      <c r="D392" s="11" t="str">
        <f>D376</f>
        <v>SN</v>
      </c>
      <c r="E392" s="11" t="str">
        <f>E376</f>
        <v>C</v>
      </c>
      <c r="F392" s="11" t="str">
        <f ca="1">VLOOKUP(B392,INDIRECT($F$8),4,0)</f>
        <v>SURAJ SINGH BISHT</v>
      </c>
    </row>
    <row r="393" spans="1:24" ht="12.75" customHeight="1" x14ac:dyDescent="0.2">
      <c r="A393" s="47" t="str">
        <f ca="1">IF(ISERROR(F392),"",A377)</f>
        <v>Name:</v>
      </c>
      <c r="B393" s="47" t="str">
        <f ca="1">IFERROR(VLOOKUP(B392,INDIRECT($F$8),4,0),"")</f>
        <v>SURAJ SINGH BISHT</v>
      </c>
      <c r="C393" s="47"/>
      <c r="D393" s="47" t="str">
        <f ca="1">IF(ISERROR(F392),"",D377)</f>
        <v>Father's Name:</v>
      </c>
      <c r="E393" s="47" t="str">
        <f ca="1">IFERROR(VLOOKUP(B392,INDIRECT($F$8),5,0),"")</f>
        <v>KHUSHAL SINGH</v>
      </c>
      <c r="F393" s="47"/>
      <c r="G393" s="47" t="str">
        <f ca="1">IF(ISERROR(F392),"",G377)</f>
        <v>University Roll No:</v>
      </c>
      <c r="H393" s="47"/>
      <c r="I393" s="48">
        <f ca="1">IFERROR(VLOOKUP(B392,INDIRECT($F$8),2,0),"")</f>
        <v>240090600025</v>
      </c>
      <c r="J393" s="48"/>
      <c r="K393" s="47" t="str">
        <f ca="1">IF(ISERROR(F392),"",K377)</f>
        <v>University Enrol. No:</v>
      </c>
      <c r="L393" s="47"/>
      <c r="M393" s="48" t="str">
        <f ca="1">IFERROR(VLOOKUP(B392,INDIRECT($F$8),3,0),"")</f>
        <v>UTU/2406100189</v>
      </c>
      <c r="N393" s="48"/>
    </row>
    <row r="394" spans="1:24" ht="12.75" customHeight="1" x14ac:dyDescent="0.2">
      <c r="A394" s="47"/>
      <c r="B394" s="47"/>
      <c r="C394" s="47"/>
      <c r="D394" s="47"/>
      <c r="E394" s="47"/>
      <c r="F394" s="47"/>
      <c r="G394" s="47"/>
      <c r="H394" s="47"/>
      <c r="I394" s="48"/>
      <c r="J394" s="48"/>
      <c r="K394" s="47"/>
      <c r="L394" s="47"/>
      <c r="M394" s="48"/>
      <c r="N394" s="48"/>
    </row>
    <row r="395" spans="1:24" ht="12.75" customHeight="1" x14ac:dyDescent="0.2">
      <c r="A395" s="45" t="str">
        <f ca="1">IF(ISERROR(F392),"",A379)</f>
        <v>Subject Code</v>
      </c>
      <c r="B395" s="45" t="str">
        <f ca="1">IF(ISERROR(F392),"",B379)</f>
        <v>Subject Name</v>
      </c>
      <c r="C395" s="45"/>
      <c r="D395" s="45"/>
      <c r="E395" s="45"/>
      <c r="F395" s="45" t="str">
        <f ca="1">IF(ISERROR(F392),"",F379)</f>
        <v>Credits</v>
      </c>
      <c r="G395" s="45" t="str">
        <f ca="1">IF(ISERROR(F392),"",G379)</f>
        <v>External Marks</v>
      </c>
      <c r="H395" s="45"/>
      <c r="I395" s="45" t="str">
        <f ca="1">IF(ISERROR(F392),"",I379)</f>
        <v>Sessional Marks</v>
      </c>
      <c r="J395" s="45"/>
      <c r="K395" s="45" t="str">
        <f ca="1">IF(ISERROR(F392),"",K379)</f>
        <v>Total Marks</v>
      </c>
      <c r="L395" s="45"/>
      <c r="M395" s="45" t="str">
        <f ca="1">IF(ISERROR(F392),"",M379)</f>
        <v>Grade</v>
      </c>
      <c r="N395" s="45" t="str">
        <f ca="1">IF(ISERROR(F392),"",N379)</f>
        <v>Grade Points</v>
      </c>
    </row>
    <row r="396" spans="1:24" ht="12.75" customHeight="1" x14ac:dyDescent="0.2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W396">
        <f ca="1">IF(ISNUMBER(MATCH($F$8,{"I","III","V","VII"},0)),10,10-INDEX(INDIRECT(_xlfn.TEXTJOIN("",TRUE,"SEM_",$G$8,"!",ADDRESS(6,4+$I$8*3+4),":",ADDRESS(5+$H$8,4+$I$8*3+4))),MATCH(INDIRECT(_xlfn.TEXTJOIN("",TRUE,"TC_",$F$8,"!",ADDRESS(ROW(I393),COLUMN(I393)))),INDIRECT(_xlfn.TEXTJOIN("",TRUE,"SEM_",$G$8,"!",ADDRESS(6,2),":",ADDRESS(5+$H$8,2))))))</f>
        <v>10</v>
      </c>
    </row>
    <row r="397" spans="1:24" ht="12.75" customHeight="1" x14ac:dyDescent="0.2">
      <c r="A397" s="7" t="str">
        <f ca="1">IF(ISERROR(F392),"",VLOOKUP(C392,INDIRECT($F$8),6+(O397-1)*3,0))</f>
        <v>CAT 022</v>
      </c>
      <c r="B397" s="41" t="str">
        <f ca="1">IF(ISERROR(F392),"",VLOOKUP(D392,INDIRECT($F$8),6+(O397-1)*3,0))</f>
        <v>Network Security</v>
      </c>
      <c r="C397" s="41"/>
      <c r="D397" s="41"/>
      <c r="E397" s="41"/>
      <c r="F397" s="7">
        <f ca="1">IF(ISERROR(F392),"",VLOOKUP(E392,INDIRECT($F$8),6+(O397-1)*3,0))</f>
        <v>4</v>
      </c>
      <c r="G397" s="42" t="str">
        <f ca="1">IF(ISERROR(F392),"",_xlfn.TEXTJOIN("/",FALSE,P397,S397))</f>
        <v>0/100</v>
      </c>
      <c r="H397" s="42"/>
      <c r="I397" s="42" t="str">
        <f ca="1">IF(ISERROR(F392),"",_xlfn.TEXTJOIN("/",FALSE,Q397,T397))</f>
        <v>0/50</v>
      </c>
      <c r="J397" s="42"/>
      <c r="K397" s="42" t="str">
        <f ca="1">IF(ISERROR(F392),"",_xlfn.TEXTJOIN("/",FALSE,R397,U397))</f>
        <v>0/150</v>
      </c>
      <c r="L397" s="42"/>
      <c r="M397" s="7" t="str">
        <f ca="1">IF(ISERROR(F392),"",IF(ISTEXT(P397),IF(P397="A","Ab",IF(P397="D","Dt",IF(P397="UFM","UFM",IF(P397="NA","")))),IF(AND(ISBLANK(P397),ISBLANK(R397)),"",IF(P397&lt;0.3*S397,"F",IF(ISBLANK(R397),"",IF(ISTEXT(R397),R397,IF(R397&gt;=0.9*U397,"O",IF(R397&gt;=0.85*U397,"A+",IF(R397&gt;=0.8*U397,"A",IF(R397&gt;=0.7*U397,"B+",IF(R397&gt;=0.6*U397,"B",IF(R397&gt;=0.5*U397,"C",IF(R397&gt;=0.4*U397,"P",IF(R397&lt;0.4*U397,"F",R397))))))))))))))</f>
        <v>F</v>
      </c>
      <c r="N397" s="8">
        <f t="shared" ref="N397:N403" ca="1" si="24">INDEX($Z$2:$Z$13,MATCH(M397,$Y$2:$Y$13,0))</f>
        <v>0</v>
      </c>
      <c r="O397">
        <v>1</v>
      </c>
      <c r="P397" s="1">
        <f ca="1">IF(ISERROR(F392),"",IF(ISTEXT(VLOOKUP(B392,INDIRECT($F$8),6+(O397-1)*3)),(VLOOKUP(B392,INDIRECT($F$8),6+(O397-1)*3)),SUM(VLOOKUP(B392,INDIRECT($F$8),6+(O397-1)*3),IF(W404,W397,0))))</f>
        <v>0</v>
      </c>
      <c r="Q397" s="1">
        <f ca="1">IF(ISERROR(F392),"",VLOOKUP(B392,INDIRECT($F$8),7+(O397-1)*3))</f>
        <v>0</v>
      </c>
      <c r="R397" s="1">
        <f ca="1">IF(ISERROR(F392),"",SUM(P397:Q397))</f>
        <v>0</v>
      </c>
      <c r="S397" s="1">
        <f ca="1">IF(ISERROR(F392),"",VLOOKUP(A392,INDIRECT($F$8),6+(O397-1)*3))</f>
        <v>100</v>
      </c>
      <c r="T397" s="1">
        <f ca="1">IF(ISERROR(F392),"",VLOOKUP(A392,INDIRECT($F$8),7+(O397-1)*3))</f>
        <v>50</v>
      </c>
      <c r="U397" s="1">
        <f ca="1">IF(ISERROR(F392),"",VLOOKUP(A392,INDIRECT($F$8),8+(O397-1)*3))</f>
        <v>150</v>
      </c>
      <c r="V397" s="1" t="str">
        <f ca="1">IF(ISERROR(F392),"",IF(N397=0,A397,""))</f>
        <v>CAT 022</v>
      </c>
      <c r="W397" s="1">
        <f ca="1">IF(ISERROR(F392),"",IF(ISTEXT(VLOOKUP(B392,INDIRECT($F$8),6+(O397-1)*3)),11,IF(VLOOKUP(B392,INDIRECT($F$8),6+(O397-1)*3)&lt;S397*0.3,IF(VLOOKUP(B392,INDIRECT($F$8),8+(O397-1)*3)&lt;U397*0.4,IF(AND(0.4*U397-VLOOKUP(B392,INDIRECT($F$8),8+(O397-1)*3)&lt;=5,0.3*S397-VLOOKUP(B392,INDIRECT($F$8),6+(O397-1)*3)&lt;=5),MAX(0.4*U397-VLOOKUP(B392,INDIRECT($F$8),8+(O397-1)*3),0.3*S397-VLOOKUP(B392,INDIRECT($F$8),6+(O397-1)*3)),11),IF(0.3*S397-VLOOKUP(B392,INDIRECT($F$8),6+(O397-1)*3)&lt;=5,0.3*S397-VLOOKUP(B392,INDIRECT($F$8),6+(O397-1)*3),11)),IF(VLOOKUP(B392,INDIRECT($F$8),8+(O397-1)*3)&lt;U397*0.4,IF(U397*0.4-VLOOKUP(B392,INDIRECT($F$8),8+(O397-1)*3)&lt;=5,U397*0.4-VLOOKUP(B392,INDIRECT($F$8),8+(O397-1)*3),11),0))))</f>
        <v>11</v>
      </c>
      <c r="X397" s="1" t="str">
        <f ca="1">IF(ISERROR(F392),"",IF(W397=0,"",_xlfn.TEXTJOIN("",FALSE," G+",W397," in ",A397)))</f>
        <v xml:space="preserve"> G+11 in CAT 022</v>
      </c>
    </row>
    <row r="398" spans="1:24" ht="12.75" customHeight="1" x14ac:dyDescent="0.2">
      <c r="A398" s="7" t="str">
        <f ca="1">IF(ISERROR(F392),"",VLOOKUP(C392,INDIRECT($F$8),6+(O398-1)*3,0))</f>
        <v>Enroll No.</v>
      </c>
      <c r="B398" s="41">
        <f ca="1">IF(ISERROR(F392),"",VLOOKUP(D392,INDIRECT($F$8),6+(O398-1)*3,0))</f>
        <v>0</v>
      </c>
      <c r="C398" s="41"/>
      <c r="D398" s="41"/>
      <c r="E398" s="41"/>
      <c r="F398" s="7">
        <f ca="1">IF(ISERROR(F392),"",VLOOKUP(E392,INDIRECT($F$8),6+(O398-1)*3,0))</f>
        <v>0</v>
      </c>
      <c r="G398" s="42" t="str">
        <f ca="1">IF(ISERROR(F392),"",_xlfn.TEXTJOIN("/",FALSE,P398,S398))</f>
        <v>UTU/2406100189/0</v>
      </c>
      <c r="H398" s="42"/>
      <c r="I398" s="42" t="str">
        <f ca="1">IF(ISERROR(F392),"",_xlfn.TEXTJOIN("/",FALSE,Q398,T398))</f>
        <v>SURAJ SINGH BISHT/0</v>
      </c>
      <c r="J398" s="42"/>
      <c r="K398" s="42" t="str">
        <f ca="1">IF(ISERROR(F392),"",_xlfn.TEXTJOIN("/",FALSE,R398,U398))</f>
        <v>0/0</v>
      </c>
      <c r="L398" s="42"/>
      <c r="M398" s="7" t="b">
        <f ca="1">IF(ISERROR(F392),"",IF(ISTEXT(P398),IF(P398="A","Ab",IF(P398="D","Dt",IF(P398="UFM","UFM",IF(P398="NA","")))),IF(AND(ISBLANK(P398),ISBLANK(R398)),"",IF(P398&lt;0.3*S398,"F",IF(ISBLANK(R398),"",IF(ISTEXT(R398),R398,IF(R398&gt;=0.9*U398,"O",IF(R398&gt;=0.85*U398,"A+",IF(R398&gt;=0.8*U398,"A",IF(R398&gt;=0.7*U398,"B+",IF(R398&gt;=0.6*U398,"B",IF(R398&gt;=0.5*U398,"C",IF(R398&gt;=0.4*U398,"P",IF(R398&lt;0.4*U398,"F",R398))))))))))))))</f>
        <v>0</v>
      </c>
      <c r="N398" s="8" t="e">
        <f t="shared" ca="1" si="24"/>
        <v>#N/A</v>
      </c>
      <c r="O398" t="b" cm="1">
        <f t="array" aca="1" ref="O398" ca="1">IF(NOT(ISBLANK(INDIRECT("SEM_IV!I"&amp;INT((ROW(O398)-14)/16)+6))),2,IF(NOT(ISBLANK(INDIRECT("SEM_IV!L"&amp;INT((ROW(O398)-14)/16)+6))),3))</f>
        <v>0</v>
      </c>
      <c r="P398" s="1" t="str">
        <f ca="1">IF(ISERROR(F392),"",IF(ISTEXT(VLOOKUP(B392,INDIRECT($F$8),6+(O398-1)*3)),(VLOOKUP(B392,INDIRECT($F$8),6+(O398-1)*3)),SUM(VLOOKUP(B392,INDIRECT($F$8),6+(O398-1)*3),IF(W404,W398,0))))</f>
        <v>UTU/2406100189</v>
      </c>
      <c r="Q398" s="1" t="str">
        <f ca="1">IF(ISERROR(F392),"",VLOOKUP(B392,INDIRECT($F$8),7+(O398-1)*3))</f>
        <v>SURAJ SINGH BISHT</v>
      </c>
      <c r="R398" s="1">
        <f ca="1">IF(ISERROR(F392),"",SUM(P398:Q398))</f>
        <v>0</v>
      </c>
      <c r="S398" s="1">
        <f ca="1">IF(ISERROR(F392),"",VLOOKUP(A392,INDIRECT($F$8),6+(O398-1)*3))</f>
        <v>0</v>
      </c>
      <c r="T398" s="1">
        <f ca="1">IF(ISERROR(F392),"",VLOOKUP(A392,INDIRECT($F$8),7+(O398-1)*3))</f>
        <v>0</v>
      </c>
      <c r="U398" s="1">
        <f ca="1">IF(ISERROR(F392),"",VLOOKUP(A392,INDIRECT($F$8),8+(O398-1)*3))</f>
        <v>0</v>
      </c>
      <c r="V398" s="1" t="e">
        <f ca="1">IF(ISERROR(F392),"",IF(N398=0,A398,""))</f>
        <v>#N/A</v>
      </c>
      <c r="W398" s="1">
        <f ca="1">IF(ISERROR(F392),"",IF(ISTEXT(VLOOKUP(B392,INDIRECT($F$8),6+(O398-1)*3)),11,IF(VLOOKUP(B392,INDIRECT($F$8),6+(O398-1)*3)&lt;S398*0.3,IF(VLOOKUP(B392,INDIRECT($F$8),8+(O398-1)*3)&lt;U398*0.4,IF(AND(0.4*U398-VLOOKUP(B392,INDIRECT($F$8),8+(O398-1)*3)&lt;=5,0.3*S398-VLOOKUP(B392,INDIRECT($F$8),6+(O398-1)*3)&lt;=5),MAX(0.4*U398-VLOOKUP(B392,INDIRECT($F$8),8+(O398-1)*3),0.3*S398-VLOOKUP(B392,INDIRECT($F$8),6+(O398-1)*3)),11),IF(0.3*S398-VLOOKUP(B392,INDIRECT($F$8),6+(O398-1)*3)&lt;=5,0.3*S398-VLOOKUP(B392,INDIRECT($F$8),6+(O398-1)*3),11)),IF(VLOOKUP(B392,INDIRECT($F$8),8+(O398-1)*3)&lt;U398*0.4,IF(U398*0.4-VLOOKUP(B392,INDIRECT($F$8),8+(O398-1)*3)&lt;=5,U398*0.4-VLOOKUP(B392,INDIRECT($F$8),8+(O398-1)*3),11),0))))</f>
        <v>11</v>
      </c>
      <c r="X398" s="1" t="str">
        <f ca="1">IF(ISERROR(F392),"",IF(W398=0,"",_xlfn.TEXTJOIN("",FALSE," G+",W398," in ",A398)))</f>
        <v xml:space="preserve"> G+11 in Enroll No.</v>
      </c>
    </row>
    <row r="399" spans="1:24" ht="12.75" customHeight="1" x14ac:dyDescent="0.2">
      <c r="A399" s="7" t="str">
        <f ca="1">IF(ISERROR(F392),"",VLOOKUP(C392,INDIRECT($F$8),6+(O399-1)*3,0))</f>
        <v>CAT 030</v>
      </c>
      <c r="B399" s="41" t="str">
        <f ca="1">IF(ISERROR(F392),"",VLOOKUP(D392,INDIRECT($F$8),6+(O399-1)*3,0))</f>
        <v>Software Testing &amp; Quality Assurance</v>
      </c>
      <c r="C399" s="41"/>
      <c r="D399" s="41"/>
      <c r="E399" s="41"/>
      <c r="F399" s="7">
        <f ca="1">IF(ISERROR(F392),"",VLOOKUP(E392,INDIRECT($F$8),6+(O399-1)*3,0))</f>
        <v>4</v>
      </c>
      <c r="G399" s="42" t="str">
        <f ca="1">IF(ISERROR(F392),"",_xlfn.TEXTJOIN("/",FALSE,P399,S399))</f>
        <v>0/100</v>
      </c>
      <c r="H399" s="42"/>
      <c r="I399" s="42" t="str">
        <f ca="1">IF(ISERROR(F392),"",_xlfn.TEXTJOIN("/",FALSE,Q399,T399))</f>
        <v>0/50</v>
      </c>
      <c r="J399" s="42"/>
      <c r="K399" s="42" t="str">
        <f ca="1">IF(ISERROR(F392),"",_xlfn.TEXTJOIN("/",FALSE,R399,U399))</f>
        <v>0/150</v>
      </c>
      <c r="L399" s="42"/>
      <c r="M399" s="7" t="str">
        <f ca="1">IF(ISERROR(F392),"",IF(ISTEXT(P399),IF(P399="A","Ab",IF(P399="D","Dt",IF(P399="UFM","UFM",IF(P399="NA","")))),IF(AND(ISBLANK(P399),ISBLANK(R399)),"",IF(P399&lt;0.3*S399,"F",IF(ISBLANK(R399),"",IF(ISTEXT(R399),R399,IF(R399&gt;=0.9*U399,"O",IF(R399&gt;=0.85*U399,"A+",IF(R399&gt;=0.8*U399,"A",IF(R399&gt;=0.7*U399,"B+",IF(R399&gt;=0.6*U399,"B",IF(R399&gt;=0.5*U399,"C",IF(R399&gt;=0.4*U399,"P",IF(R399&lt;0.4*U399,"F",R399))))))))))))))</f>
        <v>F</v>
      </c>
      <c r="N399" s="8">
        <f t="shared" ca="1" si="24"/>
        <v>0</v>
      </c>
      <c r="O399">
        <f ca="1">IF(O398&gt;0,4,"")</f>
        <v>4</v>
      </c>
      <c r="P399" s="1">
        <f ca="1">IF(ISERROR(F392),"",IF(ISTEXT(VLOOKUP(B392,INDIRECT($F$8),6+(O399-1)*3)),(VLOOKUP(B392,INDIRECT($F$8),6+(O399-1)*3)),SUM(VLOOKUP(B392,INDIRECT($F$8),6+(O399-1)*3),IF(W404,W399,0))))</f>
        <v>0</v>
      </c>
      <c r="Q399" s="1">
        <f ca="1">IF(ISERROR(F392),"",VLOOKUP(B392,INDIRECT($F$8),7+(O399-1)*3))</f>
        <v>0</v>
      </c>
      <c r="R399" s="1">
        <f ca="1">IF(ISERROR(F392),"",SUM(P399:Q399))</f>
        <v>0</v>
      </c>
      <c r="S399" s="1">
        <f ca="1">IF(ISERROR(F392),"",VLOOKUP(A392,INDIRECT($F$8),6+(O399-1)*3))</f>
        <v>100</v>
      </c>
      <c r="T399" s="1">
        <f ca="1">IF(ISERROR(F392),"",VLOOKUP(A392,INDIRECT($F$8),7+(O399-1)*3))</f>
        <v>50</v>
      </c>
      <c r="U399" s="1">
        <f ca="1">IF(ISERROR(F392),"",VLOOKUP(A392,INDIRECT($F$8),8+(O399-1)*3))</f>
        <v>150</v>
      </c>
      <c r="V399" s="1" t="str">
        <f ca="1">IF(ISERROR(F392),"",IF(N399=0,A399,""))</f>
        <v>CAT 030</v>
      </c>
      <c r="W399" s="1">
        <f ca="1">IF(ISERROR(F392),"",IF(ISTEXT(VLOOKUP(B392,INDIRECT($F$8),6+(O399-1)*3)),11,IF(VLOOKUP(B392,INDIRECT($F$8),6+(O399-1)*3)&lt;S399*0.3,IF(VLOOKUP(B392,INDIRECT($F$8),8+(O399-1)*3)&lt;U399*0.4,IF(AND(0.4*U399-VLOOKUP(B392,INDIRECT($F$8),8+(O399-1)*3)&lt;=5,0.3*S399-VLOOKUP(B392,INDIRECT($F$8),6+(O399-1)*3)&lt;=5),MAX(0.4*U399-VLOOKUP(B392,INDIRECT($F$8),8+(O399-1)*3),0.3*S399-VLOOKUP(B392,INDIRECT($F$8),6+(O399-1)*3)),11),IF(0.3*S399-VLOOKUP(B392,INDIRECT($F$8),6+(O399-1)*3)&lt;=5,0.3*S399-VLOOKUP(B392,INDIRECT($F$8),6+(O399-1)*3),11)),IF(VLOOKUP(B392,INDIRECT($F$8),8+(O399-1)*3)&lt;U399*0.4,IF(U399*0.4-VLOOKUP(B392,INDIRECT($F$8),8+(O399-1)*3)&lt;=5,U399*0.4-VLOOKUP(B392,INDIRECT($F$8),8+(O399-1)*3),11),0))))</f>
        <v>11</v>
      </c>
      <c r="X399" s="1" t="str">
        <f ca="1">IF(ISERROR(F392),"",IF(W399=0,"",_xlfn.TEXTJOIN("",FALSE," G+",W399," in ",A399)))</f>
        <v xml:space="preserve"> G+11 in CAT 030</v>
      </c>
    </row>
    <row r="400" spans="1:24" ht="12.75" customHeight="1" x14ac:dyDescent="0.2">
      <c r="A400" s="7" t="str">
        <f ca="1">IF(ISERROR(F392),"",VLOOKUP(C392,INDIRECT($F$8),6+(O400-1)*3,0))</f>
        <v>Enroll No.</v>
      </c>
      <c r="B400" s="41">
        <f ca="1">IF(ISERROR(F392),"",VLOOKUP(D392,INDIRECT($F$8),6+(O400-1)*3,0))</f>
        <v>0</v>
      </c>
      <c r="C400" s="41"/>
      <c r="D400" s="41"/>
      <c r="E400" s="41"/>
      <c r="F400" s="7">
        <f ca="1">IF(ISERROR(F392),"",VLOOKUP(E392,INDIRECT($F$8),6+(O400-1)*3,0))</f>
        <v>0</v>
      </c>
      <c r="G400" s="42" t="str">
        <f ca="1">IF(ISERROR(F392),"",_xlfn.TEXTJOIN("/",FALSE,P400,S400))</f>
        <v>UTU/2406100189/0</v>
      </c>
      <c r="H400" s="42"/>
      <c r="I400" s="42" t="str">
        <f ca="1">IF(ISERROR(F392),"",_xlfn.TEXTJOIN("/",FALSE,Q400,T400))</f>
        <v>SURAJ SINGH BISHT/0</v>
      </c>
      <c r="J400" s="42"/>
      <c r="K400" s="42" t="str">
        <f ca="1">IF(ISERROR(F392),"",_xlfn.TEXTJOIN("/",FALSE,R400,U400))</f>
        <v>0/0</v>
      </c>
      <c r="L400" s="42"/>
      <c r="M400" s="7" t="b">
        <f ca="1">IF(ISERROR(F392),"",IF(ISTEXT(P400),IF(P400="A","Ab",IF(P400="D","Dt",IF(P400="UFM","UFM",IF(P400="NA","")))),IF(AND(ISBLANK(P400),ISBLANK(R400)),"",IF(P400&lt;0.3*S400,"F",IF(ISBLANK(R400),"",IF(ISTEXT(R400),R400,IF(R400&gt;=0.9*U400,"O",IF(R400&gt;=0.85*U400,"A+",IF(R400&gt;=0.8*U400,"A",IF(R400&gt;=0.7*U400,"B+",IF(R400&gt;=0.6*U400,"B",IF(R400&gt;=0.5*U400,"C",IF(R400&gt;=0.4*U400,"P",IF(R400&lt;0.4*U400,"F",R400))))))))))))))</f>
        <v>0</v>
      </c>
      <c r="N400" s="8" t="e">
        <f t="shared" ca="1" si="24"/>
        <v>#N/A</v>
      </c>
      <c r="O400" t="b" cm="1">
        <f t="array" aca="1" ref="O400" ca="1">IF(NOT(ISBLANK(INDIRECT("SEM_IV!R"&amp;INT((ROW(O400)-16)/16)+6))),5,IF(NOT(ISBLANK(INDIRECT("SEM_IV!U"&amp;INT((ROW(O400)-16)/16)+6))),6))</f>
        <v>0</v>
      </c>
      <c r="P400" s="1" t="str">
        <f ca="1">IF(ISERROR(F392),"",IF(ISTEXT(VLOOKUP(B392,INDIRECT($F$8),6+(O400-1)*3)),(VLOOKUP(B392,INDIRECT($F$8),6+(O400-1)*3)),SUM(VLOOKUP(B392,INDIRECT($F$8),6+(O400-1)*3),IF(W404,W400,0))))</f>
        <v>UTU/2406100189</v>
      </c>
      <c r="Q400" s="1" t="str">
        <f ca="1">IF(ISERROR(F392),"",VLOOKUP(B392,INDIRECT($F$8),7+(O400-1)*3))</f>
        <v>SURAJ SINGH BISHT</v>
      </c>
      <c r="R400" s="1">
        <f ca="1">IF(ISERROR(F392),"",SUM(P400:Q400))</f>
        <v>0</v>
      </c>
      <c r="S400" s="1">
        <f ca="1">IF(ISERROR(F392),"",VLOOKUP(A392,INDIRECT($F$8),6+(O400-1)*3))</f>
        <v>0</v>
      </c>
      <c r="T400" s="1">
        <f ca="1">IF(ISERROR(F392),"",VLOOKUP(A392,INDIRECT($F$8),7+(O400-1)*3))</f>
        <v>0</v>
      </c>
      <c r="U400" s="1">
        <f ca="1">IF(ISERROR(F392),"",VLOOKUP(A392,INDIRECT($F$8),8+(O400-1)*3))</f>
        <v>0</v>
      </c>
      <c r="V400" s="1" t="e">
        <f ca="1">IF(ISERROR(F392),"",IF(N400=0,A400,""))</f>
        <v>#N/A</v>
      </c>
      <c r="W400" s="1">
        <f ca="1">IF(ISERROR(F392),"",IF(ISTEXT(VLOOKUP(B392,INDIRECT($F$8),6+(O400-1)*3)),11,IF(VLOOKUP(B392,INDIRECT($F$8),6+(O400-1)*3)&lt;S400*0.3,IF(VLOOKUP(B392,INDIRECT($F$8),8+(O400-1)*3)&lt;U400*0.4,IF(AND(0.4*U400-VLOOKUP(B392,INDIRECT($F$8),8+(O400-1)*3)&lt;=5,0.3*S400-VLOOKUP(B392,INDIRECT($F$8),6+(O400-1)*3)&lt;=5),MAX(0.4*U400-VLOOKUP(B392,INDIRECT($F$8),8+(O400-1)*3),0.3*S400-VLOOKUP(B392,INDIRECT($F$8),6+(O400-1)*3)),11),IF(0.3*S400-VLOOKUP(B392,INDIRECT($F$8),6+(O400-1)*3)&lt;=5,0.3*S400-VLOOKUP(B392,INDIRECT($F$8),6+(O400-1)*3),11)),IF(VLOOKUP(B392,INDIRECT($F$8),8+(O400-1)*3)&lt;U400*0.4,IF(U400*0.4-VLOOKUP(B392,INDIRECT($F$8),8+(O400-1)*3)&lt;=5,U400*0.4-VLOOKUP(B392,INDIRECT($F$8),8+(O400-1)*3),11),0))))</f>
        <v>11</v>
      </c>
      <c r="X400" s="1" t="str">
        <f ca="1">IF(ISERROR(F392),"",IF(W400=0,"",_xlfn.TEXTJOIN("",FALSE," G+",W400," in ",A400)))</f>
        <v xml:space="preserve"> G+11 in Enroll No.</v>
      </c>
    </row>
    <row r="401" spans="1:24" ht="12.75" customHeight="1" x14ac:dyDescent="0.2">
      <c r="A401" s="7" t="str">
        <f ca="1">IF(ISERROR(F392),"",VLOOKUP(C392,INDIRECT($F$8),6+(O401-1)*3,0))</f>
        <v>CAP 011</v>
      </c>
      <c r="B401" s="41" t="str">
        <f ca="1">IF(ISERROR(F392),"",VLOOKUP(D392,INDIRECT($F$8),6+(O401-1)*3,0))</f>
        <v>Network Security Lab</v>
      </c>
      <c r="C401" s="41"/>
      <c r="D401" s="41"/>
      <c r="E401" s="41"/>
      <c r="F401" s="7">
        <f ca="1">IF(ISERROR(F392),"",VLOOKUP(E392,INDIRECT($F$8),6+(O401-1)*3,0))</f>
        <v>1</v>
      </c>
      <c r="G401" s="42" t="str">
        <f ca="1">IF(ISERROR(F392),"",_xlfn.TEXTJOIN("/",FALSE,P401,S401))</f>
        <v>0/30</v>
      </c>
      <c r="H401" s="42"/>
      <c r="I401" s="42" t="str">
        <f ca="1">IF(ISERROR(F392),"",_xlfn.TEXTJOIN("/",FALSE,Q401,T401))</f>
        <v>0/20</v>
      </c>
      <c r="J401" s="42"/>
      <c r="K401" s="42" t="str">
        <f ca="1">IF(ISERROR(F392),"",_xlfn.TEXTJOIN("/",FALSE,R401,U401))</f>
        <v>0/50</v>
      </c>
      <c r="L401" s="42"/>
      <c r="M401" s="7" t="str">
        <f ca="1">IF(ISERROR(F392),"",IF(ISTEXT(P401),IF(P401="A","Ab",IF(P401="D","Dt",IF(P401="UFM","UFM",IF(P401="NA","")))),IF(AND(ISBLANK(P401),ISBLANK(R401)),"",IF(P401&lt;0.3*S401,"F",IF(ISBLANK(R401),"",IF(ISTEXT(R401),R401,IF(R401&gt;=0.9*U401,"O",IF(R401&gt;=0.85*U401,"A+",IF(R401&gt;=0.8*U401,"A",IF(R401&gt;=0.7*U401,"B+",IF(R401&gt;=0.6*U401,"B",IF(R401&gt;=0.5*U401,"C",IF(R401&gt;=0.4*U401,"P",IF(R401&lt;0.4*U401,"F",R401))))))))))))))</f>
        <v>F</v>
      </c>
      <c r="N401" s="8">
        <f t="shared" ca="1" si="24"/>
        <v>0</v>
      </c>
      <c r="O401">
        <f ca="1">IF(O400&gt;0,7,"")</f>
        <v>7</v>
      </c>
      <c r="P401" s="1">
        <f ca="1">IF(ISERROR(F392),"",IF(ISTEXT(VLOOKUP(B392,INDIRECT($F$8),6+(O401-1)*3)),(VLOOKUP(B392,INDIRECT($F$8),6+(O401-1)*3)),SUM(VLOOKUP(B392,INDIRECT($F$8),6+(O401-1)*3),IF(W404,W401,0))))</f>
        <v>0</v>
      </c>
      <c r="Q401" s="1">
        <f ca="1">IF(ISERROR(F392),"",VLOOKUP(B392,INDIRECT($F$8),7+(O401-1)*3))</f>
        <v>0</v>
      </c>
      <c r="R401" s="1">
        <f ca="1">IF(ISERROR(F392),"",SUM(P401:Q401))</f>
        <v>0</v>
      </c>
      <c r="S401" s="1">
        <f ca="1">IF(ISERROR(F392),"",VLOOKUP(A392,INDIRECT($F$8),6+(O401-1)*3))</f>
        <v>30</v>
      </c>
      <c r="T401" s="1">
        <f ca="1">IF(ISERROR(F392),"",VLOOKUP(A392,INDIRECT($F$8),7+(O401-1)*3))</f>
        <v>20</v>
      </c>
      <c r="U401" s="1">
        <f ca="1">IF(ISERROR(F392),"",VLOOKUP(A392,INDIRECT($F$8),8+(O401-1)*3))</f>
        <v>50</v>
      </c>
      <c r="V401" s="1" t="str">
        <f ca="1">IF(ISERROR(F392),"",IF(N401=0,A401,""))</f>
        <v>CAP 011</v>
      </c>
      <c r="W401" s="1">
        <f ca="1">IF(ISERROR(F392),"",IF(ISTEXT(VLOOKUP(B392,INDIRECT($F$8),6+(O401-1)*3)),11,IF(VLOOKUP(B392,INDIRECT($F$8),6+(O401-1)*3)&lt;S401*0.3,IF(VLOOKUP(B392,INDIRECT($F$8),8+(O401-1)*3)&lt;U401*0.4,IF(AND(0.4*U401-VLOOKUP(B392,INDIRECT($F$8),8+(O401-1)*3)&lt;=5,0.3*S401-VLOOKUP(B392,INDIRECT($F$8),6+(O401-1)*3)&lt;=5),MAX(0.4*U401-VLOOKUP(B392,INDIRECT($F$8),8+(O401-1)*3),0.3*S401-VLOOKUP(B392,INDIRECT($F$8),6+(O401-1)*3)),11),IF(0.3*S401-VLOOKUP(B392,INDIRECT($F$8),6+(O401-1)*3)&lt;=5,0.3*S401-VLOOKUP(B392,INDIRECT($F$8),6+(O401-1)*3),11)),IF(VLOOKUP(B392,INDIRECT($F$8),8+(O401-1)*3)&lt;U401*0.4,IF(U401*0.4-VLOOKUP(B392,INDIRECT($F$8),8+(O401-1)*3)&lt;=5,U401*0.4-VLOOKUP(B392,INDIRECT($F$8),8+(O401-1)*3),11),0))))</f>
        <v>11</v>
      </c>
      <c r="X401" s="1" t="str">
        <f ca="1">IF(ISERROR(F392),"",IF(W401=0,"",_xlfn.TEXTJOIN("",FALSE," G+",W401," in ",A401)))</f>
        <v xml:space="preserve"> G+11 in CAP 011</v>
      </c>
    </row>
    <row r="402" spans="1:24" ht="12.75" customHeight="1" x14ac:dyDescent="0.2">
      <c r="A402" s="7" t="str">
        <f ca="1">IF(ISERROR(F392),"",VLOOKUP(C392,INDIRECT($F$8),6+(O402-1)*3,0))</f>
        <v>Enroll No.</v>
      </c>
      <c r="B402" s="41">
        <f ca="1">IF(ISERROR(F392),"",VLOOKUP(D392,INDIRECT($F$8),6+(O402-1)*3,0))</f>
        <v>0</v>
      </c>
      <c r="C402" s="41"/>
      <c r="D402" s="41"/>
      <c r="E402" s="41"/>
      <c r="F402" s="7">
        <f ca="1">IF(ISERROR(F392),"",VLOOKUP(E392,INDIRECT($F$8),6+(O402-1)*3,0))</f>
        <v>0</v>
      </c>
      <c r="G402" s="42" t="str">
        <f ca="1">IF(ISERROR(F392),"",_xlfn.TEXTJOIN("/",FALSE,P402,S402))</f>
        <v>UTU/2406100189/0</v>
      </c>
      <c r="H402" s="42"/>
      <c r="I402" s="42" t="str">
        <f ca="1">IF(ISERROR(F392),"",_xlfn.TEXTJOIN("/",FALSE,Q402,T402))</f>
        <v>SURAJ SINGH BISHT/0</v>
      </c>
      <c r="J402" s="42"/>
      <c r="K402" s="42" t="str">
        <f ca="1">IF(ISERROR(F392),"",_xlfn.TEXTJOIN("/",FALSE,R402,U402))</f>
        <v>0/0</v>
      </c>
      <c r="L402" s="42"/>
      <c r="M402" s="7" t="b">
        <f ca="1">IF(ISERROR(F392),"",IF(ISTEXT(P402),IF(P402="A","Ab",IF(P402="D","Dt",IF(P402="UFM","UFM",IF(P402="NA","")))),IF(AND(ISBLANK(P402),ISBLANK(R402)),"",IF(P402&lt;0.3*S402,"F",IF(ISBLANK(R402),"",IF(ISTEXT(R402),R402,IF(R402&gt;=0.9*U402,"O",IF(R402&gt;=0.85*U402,"A+",IF(R402&gt;=0.8*U402,"A",IF(R402&gt;=0.7*U402,"B+",IF(R402&gt;=0.6*U402,"B",IF(R402&gt;=0.5*U402,"C",IF(R402&gt;=0.4*U402,"P",IF(R402&lt;0.4*U402,"F",R402))))))))))))))</f>
        <v>0</v>
      </c>
      <c r="N402" s="8" t="e">
        <f t="shared" ca="1" si="24"/>
        <v>#N/A</v>
      </c>
      <c r="O402" t="b" cm="1">
        <f t="array" aca="1" ref="O402" ca="1">IF(NOT(ISBLANK(INDIRECT("SEM_IV!AA"&amp;INT((ROW(O402)-18)/16)+6))),8,IF(NOT(ISBLANK(INDIRECT("SEM_IV!AD"&amp;INT((ROW(O402)-18)/16)+6))),9))</f>
        <v>0</v>
      </c>
      <c r="P402" s="1" t="str">
        <f ca="1">IF(ISERROR(F392),"",IF(ISTEXT(VLOOKUP(B392,INDIRECT($F$8),6+(O402-1)*3)),(VLOOKUP(B392,INDIRECT($F$8),6+(O402-1)*3)),SUM(VLOOKUP(B392,INDIRECT($F$8),6+(O402-1)*3),IF(W404,W402,0))))</f>
        <v>UTU/2406100189</v>
      </c>
      <c r="Q402" s="1" t="str">
        <f ca="1">IF(ISERROR(F392),"",VLOOKUP(B392,INDIRECT($F$8),7+(O402-1)*3))</f>
        <v>SURAJ SINGH BISHT</v>
      </c>
      <c r="R402" s="1">
        <f ca="1">IF(ISERROR(F392),"",SUM(P402:Q402))</f>
        <v>0</v>
      </c>
      <c r="S402" s="1">
        <f ca="1">IF(ISERROR(F392),"",VLOOKUP(A392,INDIRECT($F$8),6+(O402-1)*3))</f>
        <v>0</v>
      </c>
      <c r="T402" s="1">
        <f ca="1">IF(ISERROR(F392),"",VLOOKUP(A392,INDIRECT($F$8),7+(O402-1)*3))</f>
        <v>0</v>
      </c>
      <c r="U402" s="1">
        <f ca="1">IF(ISERROR(F392),"",VLOOKUP(A392,INDIRECT($F$8),8+(O402-1)*3))</f>
        <v>0</v>
      </c>
      <c r="V402" s="1" t="e">
        <f ca="1">IF(ISERROR(F392),"",IF(N402=0,A402,""))</f>
        <v>#N/A</v>
      </c>
      <c r="W402" s="1">
        <f ca="1">IF(ISERROR(F392),"",IF(ISTEXT(VLOOKUP(B392,INDIRECT($F$8),6+(O402-1)*3)),11,IF(VLOOKUP(B392,INDIRECT($F$8),6+(O402-1)*3)&lt;S402*0.3,IF(VLOOKUP(B392,INDIRECT($F$8),8+(O402-1)*3)&lt;U402*0.4,IF(AND(0.4*U402-VLOOKUP(B392,INDIRECT($F$8),8+(O402-1)*3)&lt;=5,0.3*S402-VLOOKUP(B392,INDIRECT($F$8),6+(O402-1)*3)&lt;=5),MAX(0.4*U402-VLOOKUP(B392,INDIRECT($F$8),8+(O402-1)*3),0.3*S402-VLOOKUP(B392,INDIRECT($F$8),6+(O402-1)*3)),11),IF(0.3*S402-VLOOKUP(B392,INDIRECT($F$8),6+(O402-1)*3)&lt;=5,0.3*S402-VLOOKUP(B392,INDIRECT($F$8),6+(O402-1)*3),11)),IF(VLOOKUP(B392,INDIRECT($F$8),8+(O402-1)*3)&lt;U402*0.4,IF(U402*0.4-VLOOKUP(B392,INDIRECT($F$8),8+(O402-1)*3)&lt;=5,U402*0.4-VLOOKUP(B392,INDIRECT($F$8),8+(O402-1)*3),11),0))))</f>
        <v>11</v>
      </c>
      <c r="X402" s="1" t="str">
        <f ca="1">IF(ISERROR(F392),"",IF(W402=0,"",_xlfn.TEXTJOIN("",FALSE," G+",W402," in ",A402)))</f>
        <v xml:space="preserve"> G+11 in Enroll No.</v>
      </c>
    </row>
    <row r="403" spans="1:24" ht="12.75" customHeight="1" x14ac:dyDescent="0.2">
      <c r="A403" s="7" t="str">
        <f ca="1">IF(ISERROR(F392),"",VLOOKUP(C392,INDIRECT($F$8),6+(O403-1)*3,0))</f>
        <v>CAP 013</v>
      </c>
      <c r="B403" s="41" t="str">
        <f ca="1">IF(ISERROR(F392),"",VLOOKUP(D392,INDIRECT($F$8),6+(O403-1)*3-Z403,0))</f>
        <v>Major Project</v>
      </c>
      <c r="C403" s="41"/>
      <c r="D403" s="41"/>
      <c r="E403" s="41"/>
      <c r="F403" s="7">
        <f ca="1">IF(ISERROR(F392),"",VLOOKUP(E392,INDIRECT($F$8),6+(O403-1)*3,0))</f>
        <v>6</v>
      </c>
      <c r="G403" s="42" t="str">
        <f ca="1">IF(ISERROR(F392),"",_xlfn.TEXTJOIN("/",FALSE,P403,S403))</f>
        <v>0/200</v>
      </c>
      <c r="H403" s="42"/>
      <c r="I403" s="42" t="str">
        <f ca="1">IF(ISERROR(F392),"",_xlfn.TEXTJOIN("/",FALSE,Q403,T403))</f>
        <v>0/100</v>
      </c>
      <c r="J403" s="42"/>
      <c r="K403" s="42" t="str">
        <f ca="1">IF(ISERROR(F392),"",_xlfn.TEXTJOIN("/",FALSE,R403,U403))</f>
        <v>0/300</v>
      </c>
      <c r="L403" s="42"/>
      <c r="M403" s="7" t="str">
        <f ca="1">IF(ISERROR(F392),"",IF(ISTEXT(P403),IF(P403="A","Ab",IF(P403="D","Dt",IF(P403="UFM","UFM",IF(P403="NA","")))),IF(AND(ISBLANK(P403),ISBLANK(R403)),"",IF(P403&lt;0.3*S403,"F",IF(ISBLANK(R403),"",IF(ISTEXT(R403),R403,IF(R403&gt;=0.9*U403,"O",IF(R403&gt;=0.85*U403,"A+",IF(R403&gt;=0.8*U403,"A",IF(R403&gt;=0.7*U403,"B+",IF(R403&gt;=0.6*U403,"B",IF(R403&gt;=0.5*U403,"C",IF(R403&gt;=0.4*U403,"P",IF(R403&lt;0.4*U403,"F",R403))))))))))))))</f>
        <v>F</v>
      </c>
      <c r="N403" s="8">
        <f t="shared" ca="1" si="24"/>
        <v>0</v>
      </c>
      <c r="O403">
        <f ca="1">IF(O402&gt;0,10,"")</f>
        <v>10</v>
      </c>
      <c r="P403" s="1">
        <f ca="1">IF(ISERROR(F392),"",IF(ISTEXT(VLOOKUP(B392,INDIRECT($F$8),6+(O403-1)*3)),(VLOOKUP(B392,INDIRECT($F$8),6+(O403-1)*3)),SUM(VLOOKUP(B392,INDIRECT($F$8),6+(O403-1)*3),IF(W404,W403,0))))</f>
        <v>0</v>
      </c>
      <c r="Q403" s="1">
        <f ca="1">IF(ISERROR(F392),"",VLOOKUP(B392,INDIRECT($F$8),7+(O403-1)*3))</f>
        <v>0</v>
      </c>
      <c r="R403" s="1">
        <f ca="1">IF(ISERROR(F392),"",SUM(P403:Q403))</f>
        <v>0</v>
      </c>
      <c r="S403" s="1">
        <f ca="1">IF(ISERROR(F392),"",VLOOKUP(A392,INDIRECT($F$8),6+(O403-1)*3))</f>
        <v>200</v>
      </c>
      <c r="T403" s="1">
        <f ca="1">IF(ISERROR(F392),"",VLOOKUP(A392,INDIRECT($F$8),7+(O403-1)*3))</f>
        <v>100</v>
      </c>
      <c r="U403" s="1">
        <f ca="1">IF(ISERROR(F392),"",VLOOKUP(A392,INDIRECT($F$8),8+(O403-1)*3))</f>
        <v>300</v>
      </c>
      <c r="V403" s="1" t="str">
        <f ca="1">IF(ISERROR(F392),"",IF(N403=0,A403,""))</f>
        <v>CAP 013</v>
      </c>
      <c r="W403" s="1">
        <f ca="1">IF(ISERROR(F392),"",IF(ISTEXT(VLOOKUP(B392,INDIRECT($F$8),6+(O403-1)*3)),11,IF(VLOOKUP(B392,INDIRECT($F$8),6+(O403-1)*3)&lt;S403*0.3,IF(VLOOKUP(B392,INDIRECT($F$8),8+(O403-1)*3)&lt;U403*0.4,IF(AND(0.4*U403-VLOOKUP(B392,INDIRECT($F$8),8+(O403-1)*3)&lt;=5,0.3*S403-VLOOKUP(B392,INDIRECT($F$8),6+(O403-1)*3)&lt;=5),MAX(0.4*U403-VLOOKUP(B392,INDIRECT($F$8),8+(O403-1)*3),0.3*S403-VLOOKUP(B392,INDIRECT($F$8),6+(O403-1)*3)),11),IF(0.3*S403-VLOOKUP(B392,INDIRECT($F$8),6+(O403-1)*3)&lt;=5,0.3*S403-VLOOKUP(B392,INDIRECT($F$8),6+(O403-1)*3),11)),IF(VLOOKUP(B392,INDIRECT($F$8),8+(O403-1)*3)&lt;U403*0.4,IF(U403*0.4-VLOOKUP(B392,INDIRECT($F$8),8+(O403-1)*3)&lt;=5,U403*0.4-VLOOKUP(B392,INDIRECT($F$8),8+(O403-1)*3),11),0))))</f>
        <v>11</v>
      </c>
      <c r="X403" s="1" t="str">
        <f ca="1">IF(ISERROR(F392),"",IF(W403=0,"",_xlfn.TEXTJOIN("",FALSE," G+",W403," in ",A403)))</f>
        <v xml:space="preserve"> G+11 in CAP 013</v>
      </c>
    </row>
    <row r="404" spans="1:24" ht="12.75" customHeight="1" x14ac:dyDescent="0.2">
      <c r="A404" s="43" t="str">
        <f ca="1">IF(ISERROR(F392),"",A388)</f>
        <v>Total Credits/ Marks/ Total Grade Points</v>
      </c>
      <c r="B404" s="43"/>
      <c r="C404" s="43"/>
      <c r="D404" s="43"/>
      <c r="E404" s="43"/>
      <c r="F404" s="10">
        <f ca="1">IF(ISERROR(F392),"",SUM(F397:F403))</f>
        <v>15</v>
      </c>
      <c r="G404" s="44" t="str">
        <f ca="1">IF(ISERROR(F392),"",_xlfn.TEXTJOIN("/",TRUE,SUMIF(F397:F403,"&gt;0",P397:P403),SUMIF(F397:F403,"&gt;0",S397:S403)))</f>
        <v>0/430</v>
      </c>
      <c r="H404" s="44"/>
      <c r="I404" s="44" t="str">
        <f ca="1">IF(ISERROR(F392),"",_xlfn.TEXTJOIN("/",TRUE,SUMIF(F397:F403,"&gt;0",Q397:Q403),SUMIF(F397:F403,"&gt;0",T397:T403)))</f>
        <v>0/220</v>
      </c>
      <c r="J404" s="44"/>
      <c r="K404" s="44" t="str">
        <f ca="1">IF(ISERROR(F392),"",_xlfn.TEXTJOIN("/",TRUE,SUMIF(F397:F403,"&gt;0",R397:R403),SUMIF(F397:F403,"&gt;0",U397:U403)))</f>
        <v>0/650</v>
      </c>
      <c r="L404" s="44"/>
      <c r="M404" s="43" t="e">
        <f ca="1">IF(ISERROR(F392),"",SUMPRODUCT(N397:N403,F397:F403))</f>
        <v>#N/A</v>
      </c>
      <c r="N404" s="43"/>
      <c r="V404" s="1" t="e">
        <f ca="1">IF(ISERROR(F392),"",_xlfn.TEXTJOIN(", ",TRUE,V397:V403))</f>
        <v>#N/A</v>
      </c>
      <c r="W404" t="b">
        <f ca="1">IF(ISERROR(F392),"",IF(SUM(W397:W403)&lt;=W396,TRUE,FALSE))</f>
        <v>0</v>
      </c>
      <c r="X404" s="1" t="str">
        <f ca="1">IF(ISERROR(F392),"",_xlfn.TEXTJOIN(",",TRUE,X397:X403))</f>
        <v xml:space="preserve"> G+11 in CAT 022, G+11 in Enroll No., G+11 in CAT 030, G+11 in Enroll No., G+11 in CAP 011, G+11 in Enroll No., G+11 in CAP 013</v>
      </c>
    </row>
    <row r="405" spans="1:24" ht="12.75" customHeight="1" x14ac:dyDescent="0.2">
      <c r="A405" s="43" t="str">
        <f ca="1">IF(ISERROR(F392),"",A389)</f>
        <v>Result:</v>
      </c>
      <c r="B405" s="45" t="e">
        <f ca="1">IF(ISERROR(F392),"",IF(V404="","PASS","CARRY OVER"))</f>
        <v>#N/A</v>
      </c>
      <c r="C405" s="45"/>
      <c r="D405" s="43" t="str">
        <f ca="1">IF(ISERROR(F392),"",D389)</f>
        <v>Remark:</v>
      </c>
      <c r="E405" s="45" t="e">
        <f ca="1">IF(ISERROR(F392),"",IF(V404="",IF(X404="","",X404),_xlfn.TEXTJOIN(" ",TRUE,"BACK IN",V404)))</f>
        <v>#N/A</v>
      </c>
      <c r="F405" s="45"/>
      <c r="G405" s="43" t="str">
        <f ca="1">IF(ISERROR(F392),"",G389)</f>
        <v>SGPA:</v>
      </c>
      <c r="H405" s="46" t="e">
        <f ca="1">IF(ISERROR(F392),"",M404/F404)</f>
        <v>#N/A</v>
      </c>
      <c r="I405" s="43" t="str">
        <f ca="1">IF(ISERROR(F392),"",I389)</f>
        <v>CGPA:</v>
      </c>
      <c r="J405" s="46" t="e">
        <f ca="1">IF(ISERROR(F392),"",VLOOKUP(B392,INDIRECT($F$8),12+(O403-1)*3,0))</f>
        <v>#N/A</v>
      </c>
      <c r="K405" s="45" t="str">
        <f ca="1">IF(ISERROR(F392),"",K389)</f>
        <v>Earned Credits:</v>
      </c>
      <c r="L405" s="43">
        <f ca="1">IF(ISERROR(F392),"",SUMIF(N397:N403,"&gt;0",F397:F403))</f>
        <v>0</v>
      </c>
      <c r="M405" s="45" t="str">
        <f ca="1">IF(ISERROR(F392),"",M389)</f>
        <v>Cuml. Earned Credits:</v>
      </c>
      <c r="N405" s="43" t="e">
        <f ca="1">IF(ISERROR(F392),"",VLOOKUP(B392,INDIRECT($F$8),10+(O403-1)*3,0))</f>
        <v>#N/A</v>
      </c>
    </row>
    <row r="406" spans="1:24" ht="12.75" customHeight="1" x14ac:dyDescent="0.2">
      <c r="A406" s="43"/>
      <c r="B406" s="45"/>
      <c r="C406" s="45"/>
      <c r="D406" s="43"/>
      <c r="E406" s="45"/>
      <c r="F406" s="45"/>
      <c r="G406" s="43"/>
      <c r="H406" s="46"/>
      <c r="I406" s="43"/>
      <c r="J406" s="46"/>
      <c r="K406" s="45"/>
      <c r="L406" s="43"/>
      <c r="M406" s="45"/>
      <c r="N406" s="43"/>
    </row>
    <row r="407" spans="1:24" ht="12.75" customHeight="1" x14ac:dyDescent="0.2">
      <c r="A407" s="43"/>
      <c r="B407" s="45"/>
      <c r="C407" s="45"/>
      <c r="D407" s="43"/>
      <c r="E407" s="45"/>
      <c r="F407" s="45"/>
      <c r="G407" s="43"/>
      <c r="H407" s="46"/>
      <c r="I407" s="43"/>
      <c r="J407" s="46"/>
      <c r="K407" s="45"/>
      <c r="L407" s="43"/>
      <c r="M407" s="45"/>
      <c r="N407" s="43"/>
    </row>
    <row r="408" spans="1:24" ht="12.75" customHeight="1" x14ac:dyDescent="0.2">
      <c r="A408" s="11" t="str">
        <f>A392</f>
        <v>MM</v>
      </c>
      <c r="B408" s="11">
        <f>B392+1</f>
        <v>26</v>
      </c>
      <c r="C408" s="11" t="str">
        <f>C392</f>
        <v>SC</v>
      </c>
      <c r="D408" s="11" t="str">
        <f>D392</f>
        <v>SN</v>
      </c>
      <c r="E408" s="11" t="str">
        <f>E392</f>
        <v>C</v>
      </c>
      <c r="F408" s="11" t="e">
        <f ca="1">VLOOKUP(B408,INDIRECT($F$8),4,0)</f>
        <v>#N/A</v>
      </c>
    </row>
    <row r="409" spans="1:24" ht="12.75" customHeight="1" x14ac:dyDescent="0.2">
      <c r="A409" s="47" t="str">
        <f ca="1">IF(ISERROR(F408),"",A393)</f>
        <v/>
      </c>
      <c r="B409" s="47" t="str">
        <f ca="1">IFERROR(VLOOKUP(B408,INDIRECT($F$8),4,0),"")</f>
        <v/>
      </c>
      <c r="C409" s="47"/>
      <c r="D409" s="47" t="str">
        <f ca="1">IF(ISERROR(F408),"",D393)</f>
        <v/>
      </c>
      <c r="E409" s="47" t="str">
        <f ca="1">IFERROR(VLOOKUP(B408,INDIRECT($F$8),5,0),"")</f>
        <v/>
      </c>
      <c r="F409" s="47"/>
      <c r="G409" s="47" t="str">
        <f ca="1">IF(ISERROR(F408),"",G393)</f>
        <v/>
      </c>
      <c r="H409" s="47"/>
      <c r="I409" s="48" t="str">
        <f ca="1">IFERROR(VLOOKUP(B408,INDIRECT($F$8),2,0),"")</f>
        <v/>
      </c>
      <c r="J409" s="48"/>
      <c r="K409" s="47" t="str">
        <f ca="1">IF(ISERROR(F408),"",K393)</f>
        <v/>
      </c>
      <c r="L409" s="47"/>
      <c r="M409" s="48" t="str">
        <f ca="1">IFERROR(VLOOKUP(B408,INDIRECT($F$8),3,0),"")</f>
        <v/>
      </c>
      <c r="N409" s="48"/>
    </row>
    <row r="410" spans="1:24" ht="12.75" customHeight="1" x14ac:dyDescent="0.2">
      <c r="A410" s="47"/>
      <c r="B410" s="47"/>
      <c r="C410" s="47"/>
      <c r="D410" s="47"/>
      <c r="E410" s="47"/>
      <c r="F410" s="47"/>
      <c r="G410" s="47"/>
      <c r="H410" s="47"/>
      <c r="I410" s="48"/>
      <c r="J410" s="48"/>
      <c r="K410" s="47"/>
      <c r="L410" s="47"/>
      <c r="M410" s="48"/>
      <c r="N410" s="48"/>
    </row>
    <row r="411" spans="1:24" ht="12.75" customHeight="1" x14ac:dyDescent="0.2">
      <c r="A411" s="45" t="str">
        <f ca="1">IF(ISERROR(F408),"",A395)</f>
        <v/>
      </c>
      <c r="B411" s="45" t="str">
        <f ca="1">IF(ISERROR(F408),"",B395)</f>
        <v/>
      </c>
      <c r="C411" s="45"/>
      <c r="D411" s="45"/>
      <c r="E411" s="45"/>
      <c r="F411" s="45" t="str">
        <f ca="1">IF(ISERROR(F408),"",F395)</f>
        <v/>
      </c>
      <c r="G411" s="45" t="str">
        <f ca="1">IF(ISERROR(F408),"",G395)</f>
        <v/>
      </c>
      <c r="H411" s="45"/>
      <c r="I411" s="45" t="str">
        <f ca="1">IF(ISERROR(F408),"",I395)</f>
        <v/>
      </c>
      <c r="J411" s="45"/>
      <c r="K411" s="45" t="str">
        <f ca="1">IF(ISERROR(F408),"",K395)</f>
        <v/>
      </c>
      <c r="L411" s="45"/>
      <c r="M411" s="45" t="str">
        <f ca="1">IF(ISERROR(F408),"",M395)</f>
        <v/>
      </c>
      <c r="N411" s="45" t="str">
        <f ca="1">IF(ISERROR(F408),"",N395)</f>
        <v/>
      </c>
    </row>
    <row r="412" spans="1:24" ht="12.75" customHeight="1" x14ac:dyDescent="0.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W412" t="e">
        <f ca="1">IF(ISNUMBER(MATCH($F$8,{"I","III","V","VII"},0)),10,10-INDEX(INDIRECT(_xlfn.TEXTJOIN("",TRUE,"SEM_",$G$8,"!",ADDRESS(6,4+$I$8*3+4),":",ADDRESS(5+$H$8,4+$I$8*3+4))),MATCH(INDIRECT(_xlfn.TEXTJOIN("",TRUE,"TC_",$F$8,"!",ADDRESS(ROW(I409),COLUMN(I409)))),INDIRECT(_xlfn.TEXTJOIN("",TRUE,"SEM_",$G$8,"!",ADDRESS(6,2),":",ADDRESS(5+$H$8,2))))))</f>
        <v>#N/A</v>
      </c>
    </row>
    <row r="413" spans="1:24" ht="12.75" customHeight="1" x14ac:dyDescent="0.2">
      <c r="A413" s="7" t="str">
        <f ca="1">IF(ISERROR(F408),"",VLOOKUP(C408,INDIRECT($F$8),6+(O413-1)*3,0))</f>
        <v/>
      </c>
      <c r="B413" s="41" t="str">
        <f ca="1">IF(ISERROR(F408),"",VLOOKUP(D408,INDIRECT($F$8),6+(O413-1)*3,0))</f>
        <v/>
      </c>
      <c r="C413" s="41"/>
      <c r="D413" s="41"/>
      <c r="E413" s="41"/>
      <c r="F413" s="7" t="str">
        <f ca="1">IF(ISERROR(F408),"",VLOOKUP(E408,INDIRECT($F$8),6+(O413-1)*3,0))</f>
        <v/>
      </c>
      <c r="G413" s="42" t="str">
        <f ca="1">IF(ISERROR(F408),"",_xlfn.TEXTJOIN("/",FALSE,P413,S413))</f>
        <v/>
      </c>
      <c r="H413" s="42"/>
      <c r="I413" s="42" t="str">
        <f ca="1">IF(ISERROR(F408),"",_xlfn.TEXTJOIN("/",FALSE,Q413,T413))</f>
        <v/>
      </c>
      <c r="J413" s="42"/>
      <c r="K413" s="42" t="str">
        <f ca="1">IF(ISERROR(F408),"",_xlfn.TEXTJOIN("/",FALSE,R413,U413))</f>
        <v/>
      </c>
      <c r="L413" s="42"/>
      <c r="M413" s="7" t="str">
        <f ca="1">IF(ISERROR(F408),"",IF(ISTEXT(P413),IF(P413="A","Ab",IF(P413="D","Dt",IF(P413="UFM","UFM",IF(P413="NA","")))),IF(AND(ISBLANK(P413),ISBLANK(R413)),"",IF(P413&lt;0.3*S413,"F",IF(ISBLANK(R413),"",IF(ISTEXT(R413),R413,IF(R413&gt;=0.9*U413,"O",IF(R413&gt;=0.85*U413,"A+",IF(R413&gt;=0.8*U413,"A",IF(R413&gt;=0.7*U413,"B+",IF(R413&gt;=0.6*U413,"B",IF(R413&gt;=0.5*U413,"C",IF(R413&gt;=0.4*U413,"P",IF(R413&lt;0.4*U413,"F",R413))))))))))))))</f>
        <v/>
      </c>
      <c r="N413" s="8" t="str">
        <f t="shared" ref="N413:N419" ca="1" si="25">INDEX($Z$2:$Z$13,MATCH(M413,$Y$2:$Y$13,0))</f>
        <v/>
      </c>
      <c r="O413">
        <v>1</v>
      </c>
      <c r="P413" s="1" t="str">
        <f ca="1">IF(ISERROR(F408),"",IF(ISTEXT(VLOOKUP(B408,INDIRECT($F$8),6+(O413-1)*3)),(VLOOKUP(B408,INDIRECT($F$8),6+(O413-1)*3)),SUM(VLOOKUP(B408,INDIRECT($F$8),6+(O413-1)*3),IF(W420,W413,0))))</f>
        <v/>
      </c>
      <c r="Q413" s="1" t="str">
        <f ca="1">IF(ISERROR(F408),"",VLOOKUP(B408,INDIRECT($F$8),7+(O413-1)*3))</f>
        <v/>
      </c>
      <c r="R413" s="1" t="str">
        <f ca="1">IF(ISERROR(F408),"",SUM(P413:Q413))</f>
        <v/>
      </c>
      <c r="S413" s="1" t="str">
        <f ca="1">IF(ISERROR(F408),"",VLOOKUP(A408,INDIRECT($F$8),6+(O413-1)*3))</f>
        <v/>
      </c>
      <c r="T413" s="1" t="str">
        <f ca="1">IF(ISERROR(F408),"",VLOOKUP(A408,INDIRECT($F$8),7+(O413-1)*3))</f>
        <v/>
      </c>
      <c r="U413" s="1" t="str">
        <f ca="1">IF(ISERROR(F408),"",VLOOKUP(A408,INDIRECT($F$8),8+(O413-1)*3))</f>
        <v/>
      </c>
      <c r="V413" s="1" t="str">
        <f ca="1">IF(ISERROR(F408),"",IF(N413=0,A413,""))</f>
        <v/>
      </c>
      <c r="W413" s="1" t="str">
        <f ca="1">IF(ISERROR(F408),"",IF(ISTEXT(VLOOKUP(B408,INDIRECT($F$8),6+(O413-1)*3)),11,IF(VLOOKUP(B408,INDIRECT($F$8),6+(O413-1)*3)&lt;S413*0.3,IF(VLOOKUP(B408,INDIRECT($F$8),8+(O413-1)*3)&lt;U413*0.4,IF(AND(0.4*U413-VLOOKUP(B408,INDIRECT($F$8),8+(O413-1)*3)&lt;=5,0.3*S413-VLOOKUP(B408,INDIRECT($F$8),6+(O413-1)*3)&lt;=5),MAX(0.4*U413-VLOOKUP(B408,INDIRECT($F$8),8+(O413-1)*3),0.3*S413-VLOOKUP(B408,INDIRECT($F$8),6+(O413-1)*3)),11),IF(0.3*S413-VLOOKUP(B408,INDIRECT($F$8),6+(O413-1)*3)&lt;=5,0.3*S413-VLOOKUP(B408,INDIRECT($F$8),6+(O413-1)*3),11)),IF(VLOOKUP(B408,INDIRECT($F$8),8+(O413-1)*3)&lt;U413*0.4,IF(U413*0.4-VLOOKUP(B408,INDIRECT($F$8),8+(O413-1)*3)&lt;=5,U413*0.4-VLOOKUP(B408,INDIRECT($F$8),8+(O413-1)*3),11),0))))</f>
        <v/>
      </c>
      <c r="X413" s="1" t="str">
        <f ca="1">IF(ISERROR(F408),"",IF(W413=0,"",_xlfn.TEXTJOIN("",FALSE," G+",W413," in ",A413)))</f>
        <v/>
      </c>
    </row>
    <row r="414" spans="1:24" ht="12.75" customHeight="1" x14ac:dyDescent="0.2">
      <c r="A414" s="7" t="str">
        <f ca="1">IF(ISERROR(F408),"",VLOOKUP(C408,INDIRECT($F$8),6+(O414-1)*3,0))</f>
        <v/>
      </c>
      <c r="B414" s="41" t="str">
        <f ca="1">IF(ISERROR(F408),"",VLOOKUP(D408,INDIRECT($F$8),6+(O414-1)*3,0))</f>
        <v/>
      </c>
      <c r="C414" s="41"/>
      <c r="D414" s="41"/>
      <c r="E414" s="41"/>
      <c r="F414" s="7" t="str">
        <f ca="1">IF(ISERROR(F408),"",VLOOKUP(E408,INDIRECT($F$8),6+(O414-1)*3,0))</f>
        <v/>
      </c>
      <c r="G414" s="42" t="str">
        <f ca="1">IF(ISERROR(F408),"",_xlfn.TEXTJOIN("/",FALSE,P414,S414))</f>
        <v/>
      </c>
      <c r="H414" s="42"/>
      <c r="I414" s="42" t="str">
        <f ca="1">IF(ISERROR(F408),"",_xlfn.TEXTJOIN("/",FALSE,Q414,T414))</f>
        <v/>
      </c>
      <c r="J414" s="42"/>
      <c r="K414" s="42" t="str">
        <f ca="1">IF(ISERROR(F408),"",_xlfn.TEXTJOIN("/",FALSE,R414,U414))</f>
        <v/>
      </c>
      <c r="L414" s="42"/>
      <c r="M414" s="7" t="str">
        <f ca="1">IF(ISERROR(F408),"",IF(ISTEXT(P414),IF(P414="A","Ab",IF(P414="D","Dt",IF(P414="UFM","UFM",IF(P414="NA","")))),IF(AND(ISBLANK(P414),ISBLANK(R414)),"",IF(P414&lt;0.3*S414,"F",IF(ISBLANK(R414),"",IF(ISTEXT(R414),R414,IF(R414&gt;=0.9*U414,"O",IF(R414&gt;=0.85*U414,"A+",IF(R414&gt;=0.8*U414,"A",IF(R414&gt;=0.7*U414,"B+",IF(R414&gt;=0.6*U414,"B",IF(R414&gt;=0.5*U414,"C",IF(R414&gt;=0.4*U414,"P",IF(R414&lt;0.4*U414,"F",R414))))))))))))))</f>
        <v/>
      </c>
      <c r="N414" s="8" t="str">
        <f t="shared" ca="1" si="25"/>
        <v/>
      </c>
      <c r="O414" t="b" cm="1">
        <f t="array" aca="1" ref="O414" ca="1">IF(NOT(ISBLANK(INDIRECT("SEM_IV!I"&amp;INT((ROW(O414)-14)/16)+6))),2,IF(NOT(ISBLANK(INDIRECT("SEM_IV!L"&amp;INT((ROW(O414)-14)/16)+6))),3))</f>
        <v>0</v>
      </c>
      <c r="P414" s="1" t="str">
        <f ca="1">IF(ISERROR(F408),"",IF(ISTEXT(VLOOKUP(B408,INDIRECT($F$8),6+(O414-1)*3)),(VLOOKUP(B408,INDIRECT($F$8),6+(O414-1)*3)),SUM(VLOOKUP(B408,INDIRECT($F$8),6+(O414-1)*3),IF(W420,W414,0))))</f>
        <v/>
      </c>
      <c r="Q414" s="1" t="str">
        <f ca="1">IF(ISERROR(F408),"",VLOOKUP(B408,INDIRECT($F$8),7+(O414-1)*3))</f>
        <v/>
      </c>
      <c r="R414" s="1" t="str">
        <f ca="1">IF(ISERROR(F408),"",SUM(P414:Q414))</f>
        <v/>
      </c>
      <c r="S414" s="1" t="str">
        <f ca="1">IF(ISERROR(F408),"",VLOOKUP(A408,INDIRECT($F$8),6+(O414-1)*3))</f>
        <v/>
      </c>
      <c r="T414" s="1" t="str">
        <f ca="1">IF(ISERROR(F408),"",VLOOKUP(A408,INDIRECT($F$8),7+(O414-1)*3))</f>
        <v/>
      </c>
      <c r="U414" s="1" t="str">
        <f ca="1">IF(ISERROR(F408),"",VLOOKUP(A408,INDIRECT($F$8),8+(O414-1)*3))</f>
        <v/>
      </c>
      <c r="V414" s="1" t="str">
        <f ca="1">IF(ISERROR(F408),"",IF(N414=0,A414,""))</f>
        <v/>
      </c>
      <c r="W414" s="1" t="str">
        <f ca="1">IF(ISERROR(F408),"",IF(ISTEXT(VLOOKUP(B408,INDIRECT($F$8),6+(O414-1)*3)),11,IF(VLOOKUP(B408,INDIRECT($F$8),6+(O414-1)*3)&lt;S414*0.3,IF(VLOOKUP(B408,INDIRECT($F$8),8+(O414-1)*3)&lt;U414*0.4,IF(AND(0.4*U414-VLOOKUP(B408,INDIRECT($F$8),8+(O414-1)*3)&lt;=5,0.3*S414-VLOOKUP(B408,INDIRECT($F$8),6+(O414-1)*3)&lt;=5),MAX(0.4*U414-VLOOKUP(B408,INDIRECT($F$8),8+(O414-1)*3),0.3*S414-VLOOKUP(B408,INDIRECT($F$8),6+(O414-1)*3)),11),IF(0.3*S414-VLOOKUP(B408,INDIRECT($F$8),6+(O414-1)*3)&lt;=5,0.3*S414-VLOOKUP(B408,INDIRECT($F$8),6+(O414-1)*3),11)),IF(VLOOKUP(B408,INDIRECT($F$8),8+(O414-1)*3)&lt;U414*0.4,IF(U414*0.4-VLOOKUP(B408,INDIRECT($F$8),8+(O414-1)*3)&lt;=5,U414*0.4-VLOOKUP(B408,INDIRECT($F$8),8+(O414-1)*3),11),0))))</f>
        <v/>
      </c>
      <c r="X414" s="1" t="str">
        <f ca="1">IF(ISERROR(F408),"",IF(W414=0,"",_xlfn.TEXTJOIN("",FALSE," G+",W414," in ",A414)))</f>
        <v/>
      </c>
    </row>
    <row r="415" spans="1:24" ht="12.75" customHeight="1" x14ac:dyDescent="0.2">
      <c r="A415" s="7" t="str">
        <f ca="1">IF(ISERROR(F408),"",VLOOKUP(C408,INDIRECT($F$8),6+(O415-1)*3,0))</f>
        <v/>
      </c>
      <c r="B415" s="41" t="str">
        <f ca="1">IF(ISERROR(F408),"",VLOOKUP(D408,INDIRECT($F$8),6+(O415-1)*3,0))</f>
        <v/>
      </c>
      <c r="C415" s="41"/>
      <c r="D415" s="41"/>
      <c r="E415" s="41"/>
      <c r="F415" s="7" t="str">
        <f ca="1">IF(ISERROR(F408),"",VLOOKUP(E408,INDIRECT($F$8),6+(O415-1)*3,0))</f>
        <v/>
      </c>
      <c r="G415" s="42" t="str">
        <f ca="1">IF(ISERROR(F408),"",_xlfn.TEXTJOIN("/",FALSE,P415,S415))</f>
        <v/>
      </c>
      <c r="H415" s="42"/>
      <c r="I415" s="42" t="str">
        <f ca="1">IF(ISERROR(F408),"",_xlfn.TEXTJOIN("/",FALSE,Q415,T415))</f>
        <v/>
      </c>
      <c r="J415" s="42"/>
      <c r="K415" s="42" t="str">
        <f ca="1">IF(ISERROR(F408),"",_xlfn.TEXTJOIN("/",FALSE,R415,U415))</f>
        <v/>
      </c>
      <c r="L415" s="42"/>
      <c r="M415" s="7" t="str">
        <f ca="1">IF(ISERROR(F408),"",IF(ISTEXT(P415),IF(P415="A","Ab",IF(P415="D","Dt",IF(P415="UFM","UFM",IF(P415="NA","")))),IF(AND(ISBLANK(P415),ISBLANK(R415)),"",IF(P415&lt;0.3*S415,"F",IF(ISBLANK(R415),"",IF(ISTEXT(R415),R415,IF(R415&gt;=0.9*U415,"O",IF(R415&gt;=0.85*U415,"A+",IF(R415&gt;=0.8*U415,"A",IF(R415&gt;=0.7*U415,"B+",IF(R415&gt;=0.6*U415,"B",IF(R415&gt;=0.5*U415,"C",IF(R415&gt;=0.4*U415,"P",IF(R415&lt;0.4*U415,"F",R415))))))))))))))</f>
        <v/>
      </c>
      <c r="N415" s="8" t="str">
        <f t="shared" ca="1" si="25"/>
        <v/>
      </c>
      <c r="O415">
        <f ca="1">IF(O414&gt;0,4,"")</f>
        <v>4</v>
      </c>
      <c r="P415" s="1" t="str">
        <f ca="1">IF(ISERROR(F408),"",IF(ISTEXT(VLOOKUP(B408,INDIRECT($F$8),6+(O415-1)*3)),(VLOOKUP(B408,INDIRECT($F$8),6+(O415-1)*3)),SUM(VLOOKUP(B408,INDIRECT($F$8),6+(O415-1)*3),IF(W420,W415,0))))</f>
        <v/>
      </c>
      <c r="Q415" s="1" t="str">
        <f ca="1">IF(ISERROR(F408),"",VLOOKUP(B408,INDIRECT($F$8),7+(O415-1)*3))</f>
        <v/>
      </c>
      <c r="R415" s="1" t="str">
        <f ca="1">IF(ISERROR(F408),"",SUM(P415:Q415))</f>
        <v/>
      </c>
      <c r="S415" s="1" t="str">
        <f ca="1">IF(ISERROR(F408),"",VLOOKUP(A408,INDIRECT($F$8),6+(O415-1)*3))</f>
        <v/>
      </c>
      <c r="T415" s="1" t="str">
        <f ca="1">IF(ISERROR(F408),"",VLOOKUP(A408,INDIRECT($F$8),7+(O415-1)*3))</f>
        <v/>
      </c>
      <c r="U415" s="1" t="str">
        <f ca="1">IF(ISERROR(F408),"",VLOOKUP(A408,INDIRECT($F$8),8+(O415-1)*3))</f>
        <v/>
      </c>
      <c r="V415" s="1" t="str">
        <f ca="1">IF(ISERROR(F408),"",IF(N415=0,A415,""))</f>
        <v/>
      </c>
      <c r="W415" s="1" t="str">
        <f ca="1">IF(ISERROR(F408),"",IF(ISTEXT(VLOOKUP(B408,INDIRECT($F$8),6+(O415-1)*3)),11,IF(VLOOKUP(B408,INDIRECT($F$8),6+(O415-1)*3)&lt;S415*0.3,IF(VLOOKUP(B408,INDIRECT($F$8),8+(O415-1)*3)&lt;U415*0.4,IF(AND(0.4*U415-VLOOKUP(B408,INDIRECT($F$8),8+(O415-1)*3)&lt;=5,0.3*S415-VLOOKUP(B408,INDIRECT($F$8),6+(O415-1)*3)&lt;=5),MAX(0.4*U415-VLOOKUP(B408,INDIRECT($F$8),8+(O415-1)*3),0.3*S415-VLOOKUP(B408,INDIRECT($F$8),6+(O415-1)*3)),11),IF(0.3*S415-VLOOKUP(B408,INDIRECT($F$8),6+(O415-1)*3)&lt;=5,0.3*S415-VLOOKUP(B408,INDIRECT($F$8),6+(O415-1)*3),11)),IF(VLOOKUP(B408,INDIRECT($F$8),8+(O415-1)*3)&lt;U415*0.4,IF(U415*0.4-VLOOKUP(B408,INDIRECT($F$8),8+(O415-1)*3)&lt;=5,U415*0.4-VLOOKUP(B408,INDIRECT($F$8),8+(O415-1)*3),11),0))))</f>
        <v/>
      </c>
      <c r="X415" s="1" t="str">
        <f ca="1">IF(ISERROR(F408),"",IF(W415=0,"",_xlfn.TEXTJOIN("",FALSE," G+",W415," in ",A415)))</f>
        <v/>
      </c>
    </row>
    <row r="416" spans="1:24" ht="12.75" customHeight="1" x14ac:dyDescent="0.2">
      <c r="A416" s="7" t="str">
        <f ca="1">IF(ISERROR(F408),"",VLOOKUP(C408,INDIRECT($F$8),6+(O416-1)*3,0))</f>
        <v/>
      </c>
      <c r="B416" s="41" t="str">
        <f ca="1">IF(ISERROR(F408),"",VLOOKUP(D408,INDIRECT($F$8),6+(O416-1)*3,0))</f>
        <v/>
      </c>
      <c r="C416" s="41"/>
      <c r="D416" s="41"/>
      <c r="E416" s="41"/>
      <c r="F416" s="7" t="str">
        <f ca="1">IF(ISERROR(F408),"",VLOOKUP(E408,INDIRECT($F$8),6+(O416-1)*3,0))</f>
        <v/>
      </c>
      <c r="G416" s="42" t="str">
        <f ca="1">IF(ISERROR(F408),"",_xlfn.TEXTJOIN("/",FALSE,P416,S416))</f>
        <v/>
      </c>
      <c r="H416" s="42"/>
      <c r="I416" s="42" t="str">
        <f ca="1">IF(ISERROR(F408),"",_xlfn.TEXTJOIN("/",FALSE,Q416,T416))</f>
        <v/>
      </c>
      <c r="J416" s="42"/>
      <c r="K416" s="42" t="str">
        <f ca="1">IF(ISERROR(F408),"",_xlfn.TEXTJOIN("/",FALSE,R416,U416))</f>
        <v/>
      </c>
      <c r="L416" s="42"/>
      <c r="M416" s="7" t="str">
        <f ca="1">IF(ISERROR(F408),"",IF(ISTEXT(P416),IF(P416="A","Ab",IF(P416="D","Dt",IF(P416="UFM","UFM",IF(P416="NA","")))),IF(AND(ISBLANK(P416),ISBLANK(R416)),"",IF(P416&lt;0.3*S416,"F",IF(ISBLANK(R416),"",IF(ISTEXT(R416),R416,IF(R416&gt;=0.9*U416,"O",IF(R416&gt;=0.85*U416,"A+",IF(R416&gt;=0.8*U416,"A",IF(R416&gt;=0.7*U416,"B+",IF(R416&gt;=0.6*U416,"B",IF(R416&gt;=0.5*U416,"C",IF(R416&gt;=0.4*U416,"P",IF(R416&lt;0.4*U416,"F",R416))))))))))))))</f>
        <v/>
      </c>
      <c r="N416" s="8" t="str">
        <f t="shared" ca="1" si="25"/>
        <v/>
      </c>
      <c r="O416" t="b" cm="1">
        <f t="array" aca="1" ref="O416" ca="1">IF(NOT(ISBLANK(INDIRECT("SEM_IV!R"&amp;INT((ROW(O416)-16)/16)+6))),5,IF(NOT(ISBLANK(INDIRECT("SEM_IV!U"&amp;INT((ROW(O416)-16)/16)+6))),6))</f>
        <v>0</v>
      </c>
      <c r="P416" s="1" t="str">
        <f ca="1">IF(ISERROR(F408),"",IF(ISTEXT(VLOOKUP(B408,INDIRECT($F$8),6+(O416-1)*3)),(VLOOKUP(B408,INDIRECT($F$8),6+(O416-1)*3)),SUM(VLOOKUP(B408,INDIRECT($F$8),6+(O416-1)*3),IF(W420,W416,0))))</f>
        <v/>
      </c>
      <c r="Q416" s="1" t="str">
        <f ca="1">IF(ISERROR(F408),"",VLOOKUP(B408,INDIRECT($F$8),7+(O416-1)*3))</f>
        <v/>
      </c>
      <c r="R416" s="1" t="str">
        <f ca="1">IF(ISERROR(F408),"",SUM(P416:Q416))</f>
        <v/>
      </c>
      <c r="S416" s="1" t="str">
        <f ca="1">IF(ISERROR(F408),"",VLOOKUP(A408,INDIRECT($F$8),6+(O416-1)*3))</f>
        <v/>
      </c>
      <c r="T416" s="1" t="str">
        <f ca="1">IF(ISERROR(F408),"",VLOOKUP(A408,INDIRECT($F$8),7+(O416-1)*3))</f>
        <v/>
      </c>
      <c r="U416" s="1" t="str">
        <f ca="1">IF(ISERROR(F408),"",VLOOKUP(A408,INDIRECT($F$8),8+(O416-1)*3))</f>
        <v/>
      </c>
      <c r="V416" s="1" t="str">
        <f ca="1">IF(ISERROR(F408),"",IF(N416=0,A416,""))</f>
        <v/>
      </c>
      <c r="W416" s="1" t="str">
        <f ca="1">IF(ISERROR(F408),"",IF(ISTEXT(VLOOKUP(B408,INDIRECT($F$8),6+(O416-1)*3)),11,IF(VLOOKUP(B408,INDIRECT($F$8),6+(O416-1)*3)&lt;S416*0.3,IF(VLOOKUP(B408,INDIRECT($F$8),8+(O416-1)*3)&lt;U416*0.4,IF(AND(0.4*U416-VLOOKUP(B408,INDIRECT($F$8),8+(O416-1)*3)&lt;=5,0.3*S416-VLOOKUP(B408,INDIRECT($F$8),6+(O416-1)*3)&lt;=5),MAX(0.4*U416-VLOOKUP(B408,INDIRECT($F$8),8+(O416-1)*3),0.3*S416-VLOOKUP(B408,INDIRECT($F$8),6+(O416-1)*3)),11),IF(0.3*S416-VLOOKUP(B408,INDIRECT($F$8),6+(O416-1)*3)&lt;=5,0.3*S416-VLOOKUP(B408,INDIRECT($F$8),6+(O416-1)*3),11)),IF(VLOOKUP(B408,INDIRECT($F$8),8+(O416-1)*3)&lt;U416*0.4,IF(U416*0.4-VLOOKUP(B408,INDIRECT($F$8),8+(O416-1)*3)&lt;=5,U416*0.4-VLOOKUP(B408,INDIRECT($F$8),8+(O416-1)*3),11),0))))</f>
        <v/>
      </c>
      <c r="X416" s="1" t="str">
        <f ca="1">IF(ISERROR(F408),"",IF(W416=0,"",_xlfn.TEXTJOIN("",FALSE," G+",W416," in ",A416)))</f>
        <v/>
      </c>
    </row>
    <row r="417" spans="1:24" ht="12.75" customHeight="1" x14ac:dyDescent="0.2">
      <c r="A417" s="7" t="str">
        <f ca="1">IF(ISERROR(F408),"",VLOOKUP(C408,INDIRECT($F$8),6+(O417-1)*3,0))</f>
        <v/>
      </c>
      <c r="B417" s="41" t="str">
        <f ca="1">IF(ISERROR(F408),"",VLOOKUP(D408,INDIRECT($F$8),6+(O417-1)*3,0))</f>
        <v/>
      </c>
      <c r="C417" s="41"/>
      <c r="D417" s="41"/>
      <c r="E417" s="41"/>
      <c r="F417" s="7" t="str">
        <f ca="1">IF(ISERROR(F408),"",VLOOKUP(E408,INDIRECT($F$8),6+(O417-1)*3,0))</f>
        <v/>
      </c>
      <c r="G417" s="42" t="str">
        <f ca="1">IF(ISERROR(F408),"",_xlfn.TEXTJOIN("/",FALSE,P417,S417))</f>
        <v/>
      </c>
      <c r="H417" s="42"/>
      <c r="I417" s="42" t="str">
        <f ca="1">IF(ISERROR(F408),"",_xlfn.TEXTJOIN("/",FALSE,Q417,T417))</f>
        <v/>
      </c>
      <c r="J417" s="42"/>
      <c r="K417" s="42" t="str">
        <f ca="1">IF(ISERROR(F408),"",_xlfn.TEXTJOIN("/",FALSE,R417,U417))</f>
        <v/>
      </c>
      <c r="L417" s="42"/>
      <c r="M417" s="7" t="str">
        <f ca="1">IF(ISERROR(F408),"",IF(ISTEXT(P417),IF(P417="A","Ab",IF(P417="D","Dt",IF(P417="UFM","UFM",IF(P417="NA","")))),IF(AND(ISBLANK(P417),ISBLANK(R417)),"",IF(P417&lt;0.3*S417,"F",IF(ISBLANK(R417),"",IF(ISTEXT(R417),R417,IF(R417&gt;=0.9*U417,"O",IF(R417&gt;=0.85*U417,"A+",IF(R417&gt;=0.8*U417,"A",IF(R417&gt;=0.7*U417,"B+",IF(R417&gt;=0.6*U417,"B",IF(R417&gt;=0.5*U417,"C",IF(R417&gt;=0.4*U417,"P",IF(R417&lt;0.4*U417,"F",R417))))))))))))))</f>
        <v/>
      </c>
      <c r="N417" s="8" t="str">
        <f t="shared" ca="1" si="25"/>
        <v/>
      </c>
      <c r="O417">
        <f ca="1">IF(O416&gt;0,7,"")</f>
        <v>7</v>
      </c>
      <c r="P417" s="1" t="str">
        <f ca="1">IF(ISERROR(F408),"",IF(ISTEXT(VLOOKUP(B408,INDIRECT($F$8),6+(O417-1)*3)),(VLOOKUP(B408,INDIRECT($F$8),6+(O417-1)*3)),SUM(VLOOKUP(B408,INDIRECT($F$8),6+(O417-1)*3),IF(W420,W417,0))))</f>
        <v/>
      </c>
      <c r="Q417" s="1" t="str">
        <f ca="1">IF(ISERROR(F408),"",VLOOKUP(B408,INDIRECT($F$8),7+(O417-1)*3))</f>
        <v/>
      </c>
      <c r="R417" s="1" t="str">
        <f ca="1">IF(ISERROR(F408),"",SUM(P417:Q417))</f>
        <v/>
      </c>
      <c r="S417" s="1" t="str">
        <f ca="1">IF(ISERROR(F408),"",VLOOKUP(A408,INDIRECT($F$8),6+(O417-1)*3))</f>
        <v/>
      </c>
      <c r="T417" s="1" t="str">
        <f ca="1">IF(ISERROR(F408),"",VLOOKUP(A408,INDIRECT($F$8),7+(O417-1)*3))</f>
        <v/>
      </c>
      <c r="U417" s="1" t="str">
        <f ca="1">IF(ISERROR(F408),"",VLOOKUP(A408,INDIRECT($F$8),8+(O417-1)*3))</f>
        <v/>
      </c>
      <c r="V417" s="1" t="str">
        <f ca="1">IF(ISERROR(F408),"",IF(N417=0,A417,""))</f>
        <v/>
      </c>
      <c r="W417" s="1" t="str">
        <f ca="1">IF(ISERROR(F408),"",IF(ISTEXT(VLOOKUP(B408,INDIRECT($F$8),6+(O417-1)*3)),11,IF(VLOOKUP(B408,INDIRECT($F$8),6+(O417-1)*3)&lt;S417*0.3,IF(VLOOKUP(B408,INDIRECT($F$8),8+(O417-1)*3)&lt;U417*0.4,IF(AND(0.4*U417-VLOOKUP(B408,INDIRECT($F$8),8+(O417-1)*3)&lt;=5,0.3*S417-VLOOKUP(B408,INDIRECT($F$8),6+(O417-1)*3)&lt;=5),MAX(0.4*U417-VLOOKUP(B408,INDIRECT($F$8),8+(O417-1)*3),0.3*S417-VLOOKUP(B408,INDIRECT($F$8),6+(O417-1)*3)),11),IF(0.3*S417-VLOOKUP(B408,INDIRECT($F$8),6+(O417-1)*3)&lt;=5,0.3*S417-VLOOKUP(B408,INDIRECT($F$8),6+(O417-1)*3),11)),IF(VLOOKUP(B408,INDIRECT($F$8),8+(O417-1)*3)&lt;U417*0.4,IF(U417*0.4-VLOOKUP(B408,INDIRECT($F$8),8+(O417-1)*3)&lt;=5,U417*0.4-VLOOKUP(B408,INDIRECT($F$8),8+(O417-1)*3),11),0))))</f>
        <v/>
      </c>
      <c r="X417" s="1" t="str">
        <f ca="1">IF(ISERROR(F408),"",IF(W417=0,"",_xlfn.TEXTJOIN("",FALSE," G+",W417," in ",A417)))</f>
        <v/>
      </c>
    </row>
    <row r="418" spans="1:24" ht="12.75" customHeight="1" x14ac:dyDescent="0.2">
      <c r="A418" s="7" t="str">
        <f ca="1">IF(ISERROR(F408),"",VLOOKUP(C408,INDIRECT($F$8),6+(O418-1)*3,0))</f>
        <v/>
      </c>
      <c r="B418" s="41" t="str">
        <f ca="1">IF(ISERROR(F408),"",VLOOKUP(D408,INDIRECT($F$8),6+(O418-1)*3,0))</f>
        <v/>
      </c>
      <c r="C418" s="41"/>
      <c r="D418" s="41"/>
      <c r="E418" s="41"/>
      <c r="F418" s="7" t="str">
        <f ca="1">IF(ISERROR(F408),"",VLOOKUP(E408,INDIRECT($F$8),6+(O418-1)*3,0))</f>
        <v/>
      </c>
      <c r="G418" s="42" t="str">
        <f ca="1">IF(ISERROR(F408),"",_xlfn.TEXTJOIN("/",FALSE,P418,S418))</f>
        <v/>
      </c>
      <c r="H418" s="42"/>
      <c r="I418" s="42" t="str">
        <f ca="1">IF(ISERROR(F408),"",_xlfn.TEXTJOIN("/",FALSE,Q418,T418))</f>
        <v/>
      </c>
      <c r="J418" s="42"/>
      <c r="K418" s="42" t="str">
        <f ca="1">IF(ISERROR(F408),"",_xlfn.TEXTJOIN("/",FALSE,R418,U418))</f>
        <v/>
      </c>
      <c r="L418" s="42"/>
      <c r="M418" s="7" t="str">
        <f ca="1">IF(ISERROR(F408),"",IF(ISTEXT(P418),IF(P418="A","Ab",IF(P418="D","Dt",IF(P418="UFM","UFM",IF(P418="NA","")))),IF(AND(ISBLANK(P418),ISBLANK(R418)),"",IF(P418&lt;0.3*S418,"F",IF(ISBLANK(R418),"",IF(ISTEXT(R418),R418,IF(R418&gt;=0.9*U418,"O",IF(R418&gt;=0.85*U418,"A+",IF(R418&gt;=0.8*U418,"A",IF(R418&gt;=0.7*U418,"B+",IF(R418&gt;=0.6*U418,"B",IF(R418&gt;=0.5*U418,"C",IF(R418&gt;=0.4*U418,"P",IF(R418&lt;0.4*U418,"F",R418))))))))))))))</f>
        <v/>
      </c>
      <c r="N418" s="8" t="str">
        <f t="shared" ca="1" si="25"/>
        <v/>
      </c>
      <c r="O418" t="b" cm="1">
        <f t="array" aca="1" ref="O418" ca="1">IF(NOT(ISBLANK(INDIRECT("SEM_IV!AA"&amp;INT((ROW(O418)-18)/16)+6))),8,IF(NOT(ISBLANK(INDIRECT("SEM_IV!AD"&amp;INT((ROW(O418)-18)/16)+6))),9))</f>
        <v>0</v>
      </c>
      <c r="P418" s="1" t="str">
        <f ca="1">IF(ISERROR(F408),"",IF(ISTEXT(VLOOKUP(B408,INDIRECT($F$8),6+(O418-1)*3)),(VLOOKUP(B408,INDIRECT($F$8),6+(O418-1)*3)),SUM(VLOOKUP(B408,INDIRECT($F$8),6+(O418-1)*3),IF(W420,W418,0))))</f>
        <v/>
      </c>
      <c r="Q418" s="1" t="str">
        <f ca="1">IF(ISERROR(F408),"",VLOOKUP(B408,INDIRECT($F$8),7+(O418-1)*3))</f>
        <v/>
      </c>
      <c r="R418" s="1" t="str">
        <f ca="1">IF(ISERROR(F408),"",SUM(P418:Q418))</f>
        <v/>
      </c>
      <c r="S418" s="1" t="str">
        <f ca="1">IF(ISERROR(F408),"",VLOOKUP(A408,INDIRECT($F$8),6+(O418-1)*3))</f>
        <v/>
      </c>
      <c r="T418" s="1" t="str">
        <f ca="1">IF(ISERROR(F408),"",VLOOKUP(A408,INDIRECT($F$8),7+(O418-1)*3))</f>
        <v/>
      </c>
      <c r="U418" s="1" t="str">
        <f ca="1">IF(ISERROR(F408),"",VLOOKUP(A408,INDIRECT($F$8),8+(O418-1)*3))</f>
        <v/>
      </c>
      <c r="V418" s="1" t="str">
        <f ca="1">IF(ISERROR(F408),"",IF(N418=0,A418,""))</f>
        <v/>
      </c>
      <c r="W418" s="1" t="str">
        <f ca="1">IF(ISERROR(F408),"",IF(ISTEXT(VLOOKUP(B408,INDIRECT($F$8),6+(O418-1)*3)),11,IF(VLOOKUP(B408,INDIRECT($F$8),6+(O418-1)*3)&lt;S418*0.3,IF(VLOOKUP(B408,INDIRECT($F$8),8+(O418-1)*3)&lt;U418*0.4,IF(AND(0.4*U418-VLOOKUP(B408,INDIRECT($F$8),8+(O418-1)*3)&lt;=5,0.3*S418-VLOOKUP(B408,INDIRECT($F$8),6+(O418-1)*3)&lt;=5),MAX(0.4*U418-VLOOKUP(B408,INDIRECT($F$8),8+(O418-1)*3),0.3*S418-VLOOKUP(B408,INDIRECT($F$8),6+(O418-1)*3)),11),IF(0.3*S418-VLOOKUP(B408,INDIRECT($F$8),6+(O418-1)*3)&lt;=5,0.3*S418-VLOOKUP(B408,INDIRECT($F$8),6+(O418-1)*3),11)),IF(VLOOKUP(B408,INDIRECT($F$8),8+(O418-1)*3)&lt;U418*0.4,IF(U418*0.4-VLOOKUP(B408,INDIRECT($F$8),8+(O418-1)*3)&lt;=5,U418*0.4-VLOOKUP(B408,INDIRECT($F$8),8+(O418-1)*3),11),0))))</f>
        <v/>
      </c>
      <c r="X418" s="1" t="str">
        <f ca="1">IF(ISERROR(F408),"",IF(W418=0,"",_xlfn.TEXTJOIN("",FALSE," G+",W418," in ",A418)))</f>
        <v/>
      </c>
    </row>
    <row r="419" spans="1:24" ht="12.75" customHeight="1" x14ac:dyDescent="0.2">
      <c r="A419" s="7" t="str">
        <f ca="1">IF(ISERROR(F408),"",VLOOKUP(C408,INDIRECT($F$8),6+(O419-1)*3,0))</f>
        <v/>
      </c>
      <c r="B419" s="41" t="str">
        <f ca="1">IF(ISERROR(F408),"",VLOOKUP(D408,INDIRECT($F$8),6+(O419-1)*3-Z419,0))</f>
        <v/>
      </c>
      <c r="C419" s="41"/>
      <c r="D419" s="41"/>
      <c r="E419" s="41"/>
      <c r="F419" s="7" t="str">
        <f ca="1">IF(ISERROR(F408),"",VLOOKUP(E408,INDIRECT($F$8),6+(O419-1)*3,0))</f>
        <v/>
      </c>
      <c r="G419" s="42" t="str">
        <f ca="1">IF(ISERROR(F408),"",_xlfn.TEXTJOIN("/",FALSE,P419,S419))</f>
        <v/>
      </c>
      <c r="H419" s="42"/>
      <c r="I419" s="42" t="str">
        <f ca="1">IF(ISERROR(F408),"",_xlfn.TEXTJOIN("/",FALSE,Q419,T419))</f>
        <v/>
      </c>
      <c r="J419" s="42"/>
      <c r="K419" s="42" t="str">
        <f ca="1">IF(ISERROR(F408),"",_xlfn.TEXTJOIN("/",FALSE,R419,U419))</f>
        <v/>
      </c>
      <c r="L419" s="42"/>
      <c r="M419" s="7" t="str">
        <f ca="1">IF(ISERROR(F408),"",IF(ISTEXT(P419),IF(P419="A","Ab",IF(P419="D","Dt",IF(P419="UFM","UFM",IF(P419="NA","")))),IF(AND(ISBLANK(P419),ISBLANK(R419)),"",IF(P419&lt;0.3*S419,"F",IF(ISBLANK(R419),"",IF(ISTEXT(R419),R419,IF(R419&gt;=0.9*U419,"O",IF(R419&gt;=0.85*U419,"A+",IF(R419&gt;=0.8*U419,"A",IF(R419&gt;=0.7*U419,"B+",IF(R419&gt;=0.6*U419,"B",IF(R419&gt;=0.5*U419,"C",IF(R419&gt;=0.4*U419,"P",IF(R419&lt;0.4*U419,"F",R419))))))))))))))</f>
        <v/>
      </c>
      <c r="N419" s="8" t="str">
        <f t="shared" ca="1" si="25"/>
        <v/>
      </c>
      <c r="O419">
        <f ca="1">IF(O418&gt;0,10,"")</f>
        <v>10</v>
      </c>
      <c r="P419" s="1" t="str">
        <f ca="1">IF(ISERROR(F408),"",IF(ISTEXT(VLOOKUP(B408,INDIRECT($F$8),6+(O419-1)*3)),(VLOOKUP(B408,INDIRECT($F$8),6+(O419-1)*3)),SUM(VLOOKUP(B408,INDIRECT($F$8),6+(O419-1)*3),IF(W420,W419,0))))</f>
        <v/>
      </c>
      <c r="Q419" s="1" t="str">
        <f ca="1">IF(ISERROR(F408),"",VLOOKUP(B408,INDIRECT($F$8),7+(O419-1)*3))</f>
        <v/>
      </c>
      <c r="R419" s="1" t="str">
        <f ca="1">IF(ISERROR(F408),"",SUM(P419:Q419))</f>
        <v/>
      </c>
      <c r="S419" s="1" t="str">
        <f ca="1">IF(ISERROR(F408),"",VLOOKUP(A408,INDIRECT($F$8),6+(O419-1)*3))</f>
        <v/>
      </c>
      <c r="T419" s="1" t="str">
        <f ca="1">IF(ISERROR(F408),"",VLOOKUP(A408,INDIRECT($F$8),7+(O419-1)*3))</f>
        <v/>
      </c>
      <c r="U419" s="1" t="str">
        <f ca="1">IF(ISERROR(F408),"",VLOOKUP(A408,INDIRECT($F$8),8+(O419-1)*3))</f>
        <v/>
      </c>
      <c r="V419" s="1" t="str">
        <f ca="1">IF(ISERROR(F408),"",IF(N419=0,A419,""))</f>
        <v/>
      </c>
      <c r="W419" s="1" t="str">
        <f ca="1">IF(ISERROR(F408),"",IF(ISTEXT(VLOOKUP(B408,INDIRECT($F$8),6+(O419-1)*3)),11,IF(VLOOKUP(B408,INDIRECT($F$8),6+(O419-1)*3)&lt;S419*0.3,IF(VLOOKUP(B408,INDIRECT($F$8),8+(O419-1)*3)&lt;U419*0.4,IF(AND(0.4*U419-VLOOKUP(B408,INDIRECT($F$8),8+(O419-1)*3)&lt;=5,0.3*S419-VLOOKUP(B408,INDIRECT($F$8),6+(O419-1)*3)&lt;=5),MAX(0.4*U419-VLOOKUP(B408,INDIRECT($F$8),8+(O419-1)*3),0.3*S419-VLOOKUP(B408,INDIRECT($F$8),6+(O419-1)*3)),11),IF(0.3*S419-VLOOKUP(B408,INDIRECT($F$8),6+(O419-1)*3)&lt;=5,0.3*S419-VLOOKUP(B408,INDIRECT($F$8),6+(O419-1)*3),11)),IF(VLOOKUP(B408,INDIRECT($F$8),8+(O419-1)*3)&lt;U419*0.4,IF(U419*0.4-VLOOKUP(B408,INDIRECT($F$8),8+(O419-1)*3)&lt;=5,U419*0.4-VLOOKUP(B408,INDIRECT($F$8),8+(O419-1)*3),11),0))))</f>
        <v/>
      </c>
      <c r="X419" s="1" t="str">
        <f ca="1">IF(ISERROR(F408),"",IF(W419=0,"",_xlfn.TEXTJOIN("",FALSE," G+",W419," in ",A419)))</f>
        <v/>
      </c>
    </row>
    <row r="420" spans="1:24" ht="12.75" customHeight="1" x14ac:dyDescent="0.2">
      <c r="A420" s="43" t="str">
        <f ca="1">IF(ISERROR(F408),"",A404)</f>
        <v/>
      </c>
      <c r="B420" s="43"/>
      <c r="C420" s="43"/>
      <c r="D420" s="43"/>
      <c r="E420" s="43"/>
      <c r="F420" s="10" t="str">
        <f ca="1">IF(ISERROR(F408),"",SUM(F413:F419))</f>
        <v/>
      </c>
      <c r="G420" s="44" t="str">
        <f ca="1">IF(ISERROR(F408),"",_xlfn.TEXTJOIN("/",TRUE,SUMIF(F413:F419,"&gt;0",P413:P419),SUMIF(F413:F419,"&gt;0",S413:S419)))</f>
        <v/>
      </c>
      <c r="H420" s="44"/>
      <c r="I420" s="44" t="str">
        <f ca="1">IF(ISERROR(F408),"",_xlfn.TEXTJOIN("/",TRUE,SUMIF(F413:F419,"&gt;0",Q413:Q419),SUMIF(F413:F419,"&gt;0",T413:T419)))</f>
        <v/>
      </c>
      <c r="J420" s="44"/>
      <c r="K420" s="44" t="str">
        <f ca="1">IF(ISERROR(F408),"",_xlfn.TEXTJOIN("/",TRUE,SUMIF(F413:F419,"&gt;0",R413:R419),SUMIF(F413:F419,"&gt;0",U413:U419)))</f>
        <v/>
      </c>
      <c r="L420" s="44"/>
      <c r="M420" s="43" t="str">
        <f ca="1">IF(ISERROR(F408),"",SUMPRODUCT(N413:N419,F413:F419))</f>
        <v/>
      </c>
      <c r="N420" s="43"/>
      <c r="V420" s="1" t="str">
        <f ca="1">IF(ISERROR(F408),"",_xlfn.TEXTJOIN(", ",TRUE,V413:V419))</f>
        <v/>
      </c>
      <c r="W420" t="str">
        <f ca="1">IF(ISERROR(F408),"",IF(SUM(W413:W419)&lt;=W412,TRUE,FALSE))</f>
        <v/>
      </c>
      <c r="X420" s="1" t="str">
        <f ca="1">IF(ISERROR(F408),"",_xlfn.TEXTJOIN(",",TRUE,X413:X419))</f>
        <v/>
      </c>
    </row>
    <row r="421" spans="1:24" ht="12.75" customHeight="1" x14ac:dyDescent="0.2">
      <c r="A421" s="43" t="str">
        <f ca="1">IF(ISERROR(F408),"",A405)</f>
        <v/>
      </c>
      <c r="B421" s="45" t="str">
        <f ca="1">IF(ISERROR(F408),"",IF(V420="","PASS","CARRY OVER"))</f>
        <v/>
      </c>
      <c r="C421" s="45"/>
      <c r="D421" s="43" t="str">
        <f ca="1">IF(ISERROR(F408),"",D405)</f>
        <v/>
      </c>
      <c r="E421" s="45" t="str">
        <f ca="1">IF(ISERROR(F408),"",IF(V420="",IF(X420="","",X420),_xlfn.TEXTJOIN(" ",TRUE,"BACK IN",V420)))</f>
        <v/>
      </c>
      <c r="F421" s="45"/>
      <c r="G421" s="43" t="str">
        <f ca="1">IF(ISERROR(F408),"",G405)</f>
        <v/>
      </c>
      <c r="H421" s="46" t="str">
        <f ca="1">IF(ISERROR(F408),"",M420/F420)</f>
        <v/>
      </c>
      <c r="I421" s="43" t="str">
        <f ca="1">IF(ISERROR(F408),"",I405)</f>
        <v/>
      </c>
      <c r="J421" s="46" t="str">
        <f ca="1">IF(ISERROR(F408),"",VLOOKUP(B408,INDIRECT($F$8),12+(O419-1)*3,0))</f>
        <v/>
      </c>
      <c r="K421" s="45" t="str">
        <f ca="1">IF(ISERROR(F408),"",K405)</f>
        <v/>
      </c>
      <c r="L421" s="43" t="str">
        <f ca="1">IF(ISERROR(F408),"",SUMIF(N413:N419,"&gt;0",F413:F419))</f>
        <v/>
      </c>
      <c r="M421" s="45" t="str">
        <f ca="1">IF(ISERROR(F408),"",M405)</f>
        <v/>
      </c>
      <c r="N421" s="43" t="str">
        <f ca="1">IF(ISERROR(F408),"",VLOOKUP(B408,INDIRECT($F$8),10+(O419-1)*3,0))</f>
        <v/>
      </c>
    </row>
    <row r="422" spans="1:24" ht="12.75" customHeight="1" x14ac:dyDescent="0.2">
      <c r="A422" s="43"/>
      <c r="B422" s="45"/>
      <c r="C422" s="45"/>
      <c r="D422" s="43"/>
      <c r="E422" s="45"/>
      <c r="F422" s="45"/>
      <c r="G422" s="43"/>
      <c r="H422" s="46"/>
      <c r="I422" s="43"/>
      <c r="J422" s="46"/>
      <c r="K422" s="45"/>
      <c r="L422" s="43"/>
      <c r="M422" s="45"/>
      <c r="N422" s="43"/>
    </row>
    <row r="423" spans="1:24" ht="12.75" customHeight="1" x14ac:dyDescent="0.2">
      <c r="A423" s="43"/>
      <c r="B423" s="45"/>
      <c r="C423" s="45"/>
      <c r="D423" s="43"/>
      <c r="E423" s="45"/>
      <c r="F423" s="45"/>
      <c r="G423" s="43"/>
      <c r="H423" s="46"/>
      <c r="I423" s="43"/>
      <c r="J423" s="46"/>
      <c r="K423" s="45"/>
      <c r="L423" s="43"/>
      <c r="M423" s="45"/>
      <c r="N423" s="43"/>
    </row>
    <row r="424" spans="1:24" ht="12.75" customHeight="1" x14ac:dyDescent="0.2">
      <c r="A424" s="11" t="str">
        <f>A408</f>
        <v>MM</v>
      </c>
      <c r="B424" s="11">
        <f>B408+1</f>
        <v>27</v>
      </c>
      <c r="C424" s="11" t="str">
        <f>C408</f>
        <v>SC</v>
      </c>
      <c r="D424" s="11" t="str">
        <f>D408</f>
        <v>SN</v>
      </c>
      <c r="E424" s="11" t="str">
        <f>E408</f>
        <v>C</v>
      </c>
      <c r="F424" s="11" t="e">
        <f ca="1">VLOOKUP(B424,INDIRECT($F$8),4,0)</f>
        <v>#N/A</v>
      </c>
    </row>
    <row r="425" spans="1:24" ht="12.75" customHeight="1" x14ac:dyDescent="0.2">
      <c r="A425" s="47" t="str">
        <f ca="1">IF(ISERROR(F424),"",A409)</f>
        <v/>
      </c>
      <c r="B425" s="47" t="str">
        <f ca="1">IFERROR(VLOOKUP(B424,INDIRECT($F$8),4,0),"")</f>
        <v/>
      </c>
      <c r="C425" s="47"/>
      <c r="D425" s="47" t="str">
        <f ca="1">IF(ISERROR(F424),"",D409)</f>
        <v/>
      </c>
      <c r="E425" s="47" t="str">
        <f ca="1">IFERROR(VLOOKUP(B424,INDIRECT($F$8),5,0),"")</f>
        <v/>
      </c>
      <c r="F425" s="47"/>
      <c r="G425" s="47" t="str">
        <f ca="1">IF(ISERROR(F424),"",G409)</f>
        <v/>
      </c>
      <c r="H425" s="47"/>
      <c r="I425" s="48" t="str">
        <f ca="1">IFERROR(VLOOKUP(B424,INDIRECT($F$8),2,0),"")</f>
        <v/>
      </c>
      <c r="J425" s="48"/>
      <c r="K425" s="47" t="str">
        <f ca="1">IF(ISERROR(F424),"",K409)</f>
        <v/>
      </c>
      <c r="L425" s="47"/>
      <c r="M425" s="48" t="str">
        <f ca="1">IFERROR(VLOOKUP(B424,INDIRECT($F$8),3,0),"")</f>
        <v/>
      </c>
      <c r="N425" s="48"/>
    </row>
    <row r="426" spans="1:24" ht="12.75" customHeight="1" x14ac:dyDescent="0.2">
      <c r="A426" s="47"/>
      <c r="B426" s="47"/>
      <c r="C426" s="47"/>
      <c r="D426" s="47"/>
      <c r="E426" s="47"/>
      <c r="F426" s="47"/>
      <c r="G426" s="47"/>
      <c r="H426" s="47"/>
      <c r="I426" s="48"/>
      <c r="J426" s="48"/>
      <c r="K426" s="47"/>
      <c r="L426" s="47"/>
      <c r="M426" s="48"/>
      <c r="N426" s="48"/>
    </row>
    <row r="427" spans="1:24" ht="12.75" customHeight="1" x14ac:dyDescent="0.2">
      <c r="A427" s="45" t="str">
        <f ca="1">IF(ISERROR(F424),"",A411)</f>
        <v/>
      </c>
      <c r="B427" s="45" t="str">
        <f ca="1">IF(ISERROR(F424),"",B411)</f>
        <v/>
      </c>
      <c r="C427" s="45"/>
      <c r="D427" s="45"/>
      <c r="E427" s="45"/>
      <c r="F427" s="45" t="str">
        <f ca="1">IF(ISERROR(F424),"",F411)</f>
        <v/>
      </c>
      <c r="G427" s="45" t="str">
        <f ca="1">IF(ISERROR(F424),"",G411)</f>
        <v/>
      </c>
      <c r="H427" s="45"/>
      <c r="I427" s="45" t="str">
        <f ca="1">IF(ISERROR(F424),"",I411)</f>
        <v/>
      </c>
      <c r="J427" s="45"/>
      <c r="K427" s="45" t="str">
        <f ca="1">IF(ISERROR(F424),"",K411)</f>
        <v/>
      </c>
      <c r="L427" s="45"/>
      <c r="M427" s="45" t="str">
        <f ca="1">IF(ISERROR(F424),"",M411)</f>
        <v/>
      </c>
      <c r="N427" s="45" t="str">
        <f ca="1">IF(ISERROR(F424),"",N411)</f>
        <v/>
      </c>
    </row>
    <row r="428" spans="1:24" ht="12.75" customHeight="1" x14ac:dyDescent="0.2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W428" t="e">
        <f ca="1">IF(ISNUMBER(MATCH($F$8,{"I","III","V","VII"},0)),10,10-INDEX(INDIRECT(_xlfn.TEXTJOIN("",TRUE,"SEM_",$G$8,"!",ADDRESS(6,4+$I$8*3+4),":",ADDRESS(5+$H$8,4+$I$8*3+4))),MATCH(INDIRECT(_xlfn.TEXTJOIN("",TRUE,"TC_",$F$8,"!",ADDRESS(ROW(I425),COLUMN(I425)))),INDIRECT(_xlfn.TEXTJOIN("",TRUE,"SEM_",$G$8,"!",ADDRESS(6,2),":",ADDRESS(5+$H$8,2))))))</f>
        <v>#N/A</v>
      </c>
    </row>
    <row r="429" spans="1:24" ht="12.75" customHeight="1" x14ac:dyDescent="0.2">
      <c r="A429" s="7" t="str">
        <f ca="1">IF(ISERROR(F424),"",VLOOKUP(C424,INDIRECT($F$8),6+(O429-1)*3,0))</f>
        <v/>
      </c>
      <c r="B429" s="41" t="str">
        <f ca="1">IF(ISERROR(F424),"",VLOOKUP(D424,INDIRECT($F$8),6+(O429-1)*3,0))</f>
        <v/>
      </c>
      <c r="C429" s="41"/>
      <c r="D429" s="41"/>
      <c r="E429" s="41"/>
      <c r="F429" s="7" t="str">
        <f ca="1">IF(ISERROR(F424),"",VLOOKUP(E424,INDIRECT($F$8),6+(O429-1)*3,0))</f>
        <v/>
      </c>
      <c r="G429" s="42" t="str">
        <f ca="1">IF(ISERROR(F424),"",_xlfn.TEXTJOIN("/",FALSE,P429,S429))</f>
        <v/>
      </c>
      <c r="H429" s="42"/>
      <c r="I429" s="42" t="str">
        <f ca="1">IF(ISERROR(F424),"",_xlfn.TEXTJOIN("/",FALSE,Q429,T429))</f>
        <v/>
      </c>
      <c r="J429" s="42"/>
      <c r="K429" s="42" t="str">
        <f ca="1">IF(ISERROR(F424),"",_xlfn.TEXTJOIN("/",FALSE,R429,U429))</f>
        <v/>
      </c>
      <c r="L429" s="42"/>
      <c r="M429" s="7" t="str">
        <f ca="1">IF(ISERROR(F424),"",IF(ISTEXT(P429),IF(P429="A","Ab",IF(P429="D","Dt",IF(P429="UFM","UFM",IF(P429="NA","")))),IF(AND(ISBLANK(P429),ISBLANK(R429)),"",IF(P429&lt;0.3*S429,"F",IF(ISBLANK(R429),"",IF(ISTEXT(R429),R429,IF(R429&gt;=0.9*U429,"O",IF(R429&gt;=0.85*U429,"A+",IF(R429&gt;=0.8*U429,"A",IF(R429&gt;=0.7*U429,"B+",IF(R429&gt;=0.6*U429,"B",IF(R429&gt;=0.5*U429,"C",IF(R429&gt;=0.4*U429,"P",IF(R429&lt;0.4*U429,"F",R429))))))))))))))</f>
        <v/>
      </c>
      <c r="N429" s="8" t="str">
        <f t="shared" ref="N429:N435" ca="1" si="26">INDEX($Z$2:$Z$13,MATCH(M429,$Y$2:$Y$13,0))</f>
        <v/>
      </c>
      <c r="O429">
        <v>1</v>
      </c>
      <c r="P429" s="1" t="str">
        <f ca="1">IF(ISERROR(F424),"",IF(ISTEXT(VLOOKUP(B424,INDIRECT($F$8),6+(O429-1)*3)),(VLOOKUP(B424,INDIRECT($F$8),6+(O429-1)*3)),SUM(VLOOKUP(B424,INDIRECT($F$8),6+(O429-1)*3),IF(W436,W429,0))))</f>
        <v/>
      </c>
      <c r="Q429" s="1" t="str">
        <f ca="1">IF(ISERROR(F424),"",VLOOKUP(B424,INDIRECT($F$8),7+(O429-1)*3))</f>
        <v/>
      </c>
      <c r="R429" s="1" t="str">
        <f ca="1">IF(ISERROR(F424),"",SUM(P429:Q429))</f>
        <v/>
      </c>
      <c r="S429" s="1" t="str">
        <f ca="1">IF(ISERROR(F424),"",VLOOKUP(A424,INDIRECT($F$8),6+(O429-1)*3))</f>
        <v/>
      </c>
      <c r="T429" s="1" t="str">
        <f ca="1">IF(ISERROR(F424),"",VLOOKUP(A424,INDIRECT($F$8),7+(O429-1)*3))</f>
        <v/>
      </c>
      <c r="U429" s="1" t="str">
        <f ca="1">IF(ISERROR(F424),"",VLOOKUP(A424,INDIRECT($F$8),8+(O429-1)*3))</f>
        <v/>
      </c>
      <c r="V429" s="1" t="str">
        <f ca="1">IF(ISERROR(F424),"",IF(N429=0,A429,""))</f>
        <v/>
      </c>
      <c r="W429" s="1" t="str">
        <f ca="1">IF(ISERROR(F424),"",IF(ISTEXT(VLOOKUP(B424,INDIRECT($F$8),6+(O429-1)*3)),11,IF(VLOOKUP(B424,INDIRECT($F$8),6+(O429-1)*3)&lt;S429*0.3,IF(VLOOKUP(B424,INDIRECT($F$8),8+(O429-1)*3)&lt;U429*0.4,IF(AND(0.4*U429-VLOOKUP(B424,INDIRECT($F$8),8+(O429-1)*3)&lt;=5,0.3*S429-VLOOKUP(B424,INDIRECT($F$8),6+(O429-1)*3)&lt;=5),MAX(0.4*U429-VLOOKUP(B424,INDIRECT($F$8),8+(O429-1)*3),0.3*S429-VLOOKUP(B424,INDIRECT($F$8),6+(O429-1)*3)),11),IF(0.3*S429-VLOOKUP(B424,INDIRECT($F$8),6+(O429-1)*3)&lt;=5,0.3*S429-VLOOKUP(B424,INDIRECT($F$8),6+(O429-1)*3),11)),IF(VLOOKUP(B424,INDIRECT($F$8),8+(O429-1)*3)&lt;U429*0.4,IF(U429*0.4-VLOOKUP(B424,INDIRECT($F$8),8+(O429-1)*3)&lt;=5,U429*0.4-VLOOKUP(B424,INDIRECT($F$8),8+(O429-1)*3),11),0))))</f>
        <v/>
      </c>
      <c r="X429" s="1" t="str">
        <f ca="1">IF(ISERROR(F424),"",IF(W429=0,"",_xlfn.TEXTJOIN("",FALSE," G+",W429," in ",A429)))</f>
        <v/>
      </c>
    </row>
    <row r="430" spans="1:24" ht="12.75" customHeight="1" x14ac:dyDescent="0.2">
      <c r="A430" s="7" t="str">
        <f ca="1">IF(ISERROR(F424),"",VLOOKUP(C424,INDIRECT($F$8),6+(O430-1)*3,0))</f>
        <v/>
      </c>
      <c r="B430" s="41" t="str">
        <f ca="1">IF(ISERROR(F424),"",VLOOKUP(D424,INDIRECT($F$8),6+(O430-1)*3,0))</f>
        <v/>
      </c>
      <c r="C430" s="41"/>
      <c r="D430" s="41"/>
      <c r="E430" s="41"/>
      <c r="F430" s="7" t="str">
        <f ca="1">IF(ISERROR(F424),"",VLOOKUP(E424,INDIRECT($F$8),6+(O430-1)*3,0))</f>
        <v/>
      </c>
      <c r="G430" s="42" t="str">
        <f ca="1">IF(ISERROR(F424),"",_xlfn.TEXTJOIN("/",FALSE,P430,S430))</f>
        <v/>
      </c>
      <c r="H430" s="42"/>
      <c r="I430" s="42" t="str">
        <f ca="1">IF(ISERROR(F424),"",_xlfn.TEXTJOIN("/",FALSE,Q430,T430))</f>
        <v/>
      </c>
      <c r="J430" s="42"/>
      <c r="K430" s="42" t="str">
        <f ca="1">IF(ISERROR(F424),"",_xlfn.TEXTJOIN("/",FALSE,R430,U430))</f>
        <v/>
      </c>
      <c r="L430" s="42"/>
      <c r="M430" s="7" t="str">
        <f ca="1">IF(ISERROR(F424),"",IF(ISTEXT(P430),IF(P430="A","Ab",IF(P430="D","Dt",IF(P430="UFM","UFM",IF(P430="NA","")))),IF(AND(ISBLANK(P430),ISBLANK(R430)),"",IF(P430&lt;0.3*S430,"F",IF(ISBLANK(R430),"",IF(ISTEXT(R430),R430,IF(R430&gt;=0.9*U430,"O",IF(R430&gt;=0.85*U430,"A+",IF(R430&gt;=0.8*U430,"A",IF(R430&gt;=0.7*U430,"B+",IF(R430&gt;=0.6*U430,"B",IF(R430&gt;=0.5*U430,"C",IF(R430&gt;=0.4*U430,"P",IF(R430&lt;0.4*U430,"F",R430))))))))))))))</f>
        <v/>
      </c>
      <c r="N430" s="8" t="str">
        <f t="shared" ca="1" si="26"/>
        <v/>
      </c>
      <c r="O430" t="b" cm="1">
        <f t="array" aca="1" ref="O430" ca="1">IF(NOT(ISBLANK(INDIRECT("SEM_IV!I"&amp;INT((ROW(O430)-14)/16)+6))),2,IF(NOT(ISBLANK(INDIRECT("SEM_IV!L"&amp;INT((ROW(O430)-14)/16)+6))),3))</f>
        <v>0</v>
      </c>
      <c r="P430" s="1" t="str">
        <f ca="1">IF(ISERROR(F424),"",IF(ISTEXT(VLOOKUP(B424,INDIRECT($F$8),6+(O430-1)*3)),(VLOOKUP(B424,INDIRECT($F$8),6+(O430-1)*3)),SUM(VLOOKUP(B424,INDIRECT($F$8),6+(O430-1)*3),IF(W436,W430,0))))</f>
        <v/>
      </c>
      <c r="Q430" s="1" t="str">
        <f ca="1">IF(ISERROR(F424),"",VLOOKUP(B424,INDIRECT($F$8),7+(O430-1)*3))</f>
        <v/>
      </c>
      <c r="R430" s="1" t="str">
        <f ca="1">IF(ISERROR(F424),"",SUM(P430:Q430))</f>
        <v/>
      </c>
      <c r="S430" s="1" t="str">
        <f ca="1">IF(ISERROR(F424),"",VLOOKUP(A424,INDIRECT($F$8),6+(O430-1)*3))</f>
        <v/>
      </c>
      <c r="T430" s="1" t="str">
        <f ca="1">IF(ISERROR(F424),"",VLOOKUP(A424,INDIRECT($F$8),7+(O430-1)*3))</f>
        <v/>
      </c>
      <c r="U430" s="1" t="str">
        <f ca="1">IF(ISERROR(F424),"",VLOOKUP(A424,INDIRECT($F$8),8+(O430-1)*3))</f>
        <v/>
      </c>
      <c r="V430" s="1" t="str">
        <f ca="1">IF(ISERROR(F424),"",IF(N430=0,A430,""))</f>
        <v/>
      </c>
      <c r="W430" s="1" t="str">
        <f ca="1">IF(ISERROR(F424),"",IF(ISTEXT(VLOOKUP(B424,INDIRECT($F$8),6+(O430-1)*3)),11,IF(VLOOKUP(B424,INDIRECT($F$8),6+(O430-1)*3)&lt;S430*0.3,IF(VLOOKUP(B424,INDIRECT($F$8),8+(O430-1)*3)&lt;U430*0.4,IF(AND(0.4*U430-VLOOKUP(B424,INDIRECT($F$8),8+(O430-1)*3)&lt;=5,0.3*S430-VLOOKUP(B424,INDIRECT($F$8),6+(O430-1)*3)&lt;=5),MAX(0.4*U430-VLOOKUP(B424,INDIRECT($F$8),8+(O430-1)*3),0.3*S430-VLOOKUP(B424,INDIRECT($F$8),6+(O430-1)*3)),11),IF(0.3*S430-VLOOKUP(B424,INDIRECT($F$8),6+(O430-1)*3)&lt;=5,0.3*S430-VLOOKUP(B424,INDIRECT($F$8),6+(O430-1)*3),11)),IF(VLOOKUP(B424,INDIRECT($F$8),8+(O430-1)*3)&lt;U430*0.4,IF(U430*0.4-VLOOKUP(B424,INDIRECT($F$8),8+(O430-1)*3)&lt;=5,U430*0.4-VLOOKUP(B424,INDIRECT($F$8),8+(O430-1)*3),11),0))))</f>
        <v/>
      </c>
      <c r="X430" s="1" t="str">
        <f ca="1">IF(ISERROR(F424),"",IF(W430=0,"",_xlfn.TEXTJOIN("",FALSE," G+",W430," in ",A430)))</f>
        <v/>
      </c>
    </row>
    <row r="431" spans="1:24" ht="12.75" customHeight="1" x14ac:dyDescent="0.2">
      <c r="A431" s="7" t="str">
        <f ca="1">IF(ISERROR(F424),"",VLOOKUP(C424,INDIRECT($F$8),6+(O431-1)*3,0))</f>
        <v/>
      </c>
      <c r="B431" s="41" t="str">
        <f ca="1">IF(ISERROR(F424),"",VLOOKUP(D424,INDIRECT($F$8),6+(O431-1)*3,0))</f>
        <v/>
      </c>
      <c r="C431" s="41"/>
      <c r="D431" s="41"/>
      <c r="E431" s="41"/>
      <c r="F431" s="7" t="str">
        <f ca="1">IF(ISERROR(F424),"",VLOOKUP(E424,INDIRECT($F$8),6+(O431-1)*3,0))</f>
        <v/>
      </c>
      <c r="G431" s="42" t="str">
        <f ca="1">IF(ISERROR(F424),"",_xlfn.TEXTJOIN("/",FALSE,P431,S431))</f>
        <v/>
      </c>
      <c r="H431" s="42"/>
      <c r="I431" s="42" t="str">
        <f ca="1">IF(ISERROR(F424),"",_xlfn.TEXTJOIN("/",FALSE,Q431,T431))</f>
        <v/>
      </c>
      <c r="J431" s="42"/>
      <c r="K431" s="42" t="str">
        <f ca="1">IF(ISERROR(F424),"",_xlfn.TEXTJOIN("/",FALSE,R431,U431))</f>
        <v/>
      </c>
      <c r="L431" s="42"/>
      <c r="M431" s="7" t="str">
        <f ca="1">IF(ISERROR(F424),"",IF(ISTEXT(P431),IF(P431="A","Ab",IF(P431="D","Dt",IF(P431="UFM","UFM",IF(P431="NA","")))),IF(AND(ISBLANK(P431),ISBLANK(R431)),"",IF(P431&lt;0.3*S431,"F",IF(ISBLANK(R431),"",IF(ISTEXT(R431),R431,IF(R431&gt;=0.9*U431,"O",IF(R431&gt;=0.85*U431,"A+",IF(R431&gt;=0.8*U431,"A",IF(R431&gt;=0.7*U431,"B+",IF(R431&gt;=0.6*U431,"B",IF(R431&gt;=0.5*U431,"C",IF(R431&gt;=0.4*U431,"P",IF(R431&lt;0.4*U431,"F",R431))))))))))))))</f>
        <v/>
      </c>
      <c r="N431" s="8" t="str">
        <f t="shared" ca="1" si="26"/>
        <v/>
      </c>
      <c r="O431">
        <f ca="1">IF(O430&gt;0,4,"")</f>
        <v>4</v>
      </c>
      <c r="P431" s="1" t="str">
        <f ca="1">IF(ISERROR(F424),"",IF(ISTEXT(VLOOKUP(B424,INDIRECT($F$8),6+(O431-1)*3)),(VLOOKUP(B424,INDIRECT($F$8),6+(O431-1)*3)),SUM(VLOOKUP(B424,INDIRECT($F$8),6+(O431-1)*3),IF(W436,W431,0))))</f>
        <v/>
      </c>
      <c r="Q431" s="1" t="str">
        <f ca="1">IF(ISERROR(F424),"",VLOOKUP(B424,INDIRECT($F$8),7+(O431-1)*3))</f>
        <v/>
      </c>
      <c r="R431" s="1" t="str">
        <f ca="1">IF(ISERROR(F424),"",SUM(P431:Q431))</f>
        <v/>
      </c>
      <c r="S431" s="1" t="str">
        <f ca="1">IF(ISERROR(F424),"",VLOOKUP(A424,INDIRECT($F$8),6+(O431-1)*3))</f>
        <v/>
      </c>
      <c r="T431" s="1" t="str">
        <f ca="1">IF(ISERROR(F424),"",VLOOKUP(A424,INDIRECT($F$8),7+(O431-1)*3))</f>
        <v/>
      </c>
      <c r="U431" s="1" t="str">
        <f ca="1">IF(ISERROR(F424),"",VLOOKUP(A424,INDIRECT($F$8),8+(O431-1)*3))</f>
        <v/>
      </c>
      <c r="V431" s="1" t="str">
        <f ca="1">IF(ISERROR(F424),"",IF(N431=0,A431,""))</f>
        <v/>
      </c>
      <c r="W431" s="1" t="str">
        <f ca="1">IF(ISERROR(F424),"",IF(ISTEXT(VLOOKUP(B424,INDIRECT($F$8),6+(O431-1)*3)),11,IF(VLOOKUP(B424,INDIRECT($F$8),6+(O431-1)*3)&lt;S431*0.3,IF(VLOOKUP(B424,INDIRECT($F$8),8+(O431-1)*3)&lt;U431*0.4,IF(AND(0.4*U431-VLOOKUP(B424,INDIRECT($F$8),8+(O431-1)*3)&lt;=5,0.3*S431-VLOOKUP(B424,INDIRECT($F$8),6+(O431-1)*3)&lt;=5),MAX(0.4*U431-VLOOKUP(B424,INDIRECT($F$8),8+(O431-1)*3),0.3*S431-VLOOKUP(B424,INDIRECT($F$8),6+(O431-1)*3)),11),IF(0.3*S431-VLOOKUP(B424,INDIRECT($F$8),6+(O431-1)*3)&lt;=5,0.3*S431-VLOOKUP(B424,INDIRECT($F$8),6+(O431-1)*3),11)),IF(VLOOKUP(B424,INDIRECT($F$8),8+(O431-1)*3)&lt;U431*0.4,IF(U431*0.4-VLOOKUP(B424,INDIRECT($F$8),8+(O431-1)*3)&lt;=5,U431*0.4-VLOOKUP(B424,INDIRECT($F$8),8+(O431-1)*3),11),0))))</f>
        <v/>
      </c>
      <c r="X431" s="1" t="str">
        <f ca="1">IF(ISERROR(F424),"",IF(W431=0,"",_xlfn.TEXTJOIN("",FALSE," G+",W431," in ",A431)))</f>
        <v/>
      </c>
    </row>
    <row r="432" spans="1:24" ht="12.75" customHeight="1" x14ac:dyDescent="0.2">
      <c r="A432" s="7" t="str">
        <f ca="1">IF(ISERROR(F424),"",VLOOKUP(C424,INDIRECT($F$8),6+(O432-1)*3,0))</f>
        <v/>
      </c>
      <c r="B432" s="41" t="str">
        <f ca="1">IF(ISERROR(F424),"",VLOOKUP(D424,INDIRECT($F$8),6+(O432-1)*3,0))</f>
        <v/>
      </c>
      <c r="C432" s="41"/>
      <c r="D432" s="41"/>
      <c r="E432" s="41"/>
      <c r="F432" s="7" t="str">
        <f ca="1">IF(ISERROR(F424),"",VLOOKUP(E424,INDIRECT($F$8),6+(O432-1)*3,0))</f>
        <v/>
      </c>
      <c r="G432" s="42" t="str">
        <f ca="1">IF(ISERROR(F424),"",_xlfn.TEXTJOIN("/",FALSE,P432,S432))</f>
        <v/>
      </c>
      <c r="H432" s="42"/>
      <c r="I432" s="42" t="str">
        <f ca="1">IF(ISERROR(F424),"",_xlfn.TEXTJOIN("/",FALSE,Q432,T432))</f>
        <v/>
      </c>
      <c r="J432" s="42"/>
      <c r="K432" s="42" t="str">
        <f ca="1">IF(ISERROR(F424),"",_xlfn.TEXTJOIN("/",FALSE,R432,U432))</f>
        <v/>
      </c>
      <c r="L432" s="42"/>
      <c r="M432" s="7" t="str">
        <f ca="1">IF(ISERROR(F424),"",IF(ISTEXT(P432),IF(P432="A","Ab",IF(P432="D","Dt",IF(P432="UFM","UFM",IF(P432="NA","")))),IF(AND(ISBLANK(P432),ISBLANK(R432)),"",IF(P432&lt;0.3*S432,"F",IF(ISBLANK(R432),"",IF(ISTEXT(R432),R432,IF(R432&gt;=0.9*U432,"O",IF(R432&gt;=0.85*U432,"A+",IF(R432&gt;=0.8*U432,"A",IF(R432&gt;=0.7*U432,"B+",IF(R432&gt;=0.6*U432,"B",IF(R432&gt;=0.5*U432,"C",IF(R432&gt;=0.4*U432,"P",IF(R432&lt;0.4*U432,"F",R432))))))))))))))</f>
        <v/>
      </c>
      <c r="N432" s="8" t="str">
        <f t="shared" ca="1" si="26"/>
        <v/>
      </c>
      <c r="O432" t="b" cm="1">
        <f t="array" aca="1" ref="O432" ca="1">IF(NOT(ISBLANK(INDIRECT("SEM_IV!R"&amp;INT((ROW(O432)-16)/16)+6))),5,IF(NOT(ISBLANK(INDIRECT("SEM_IV!U"&amp;INT((ROW(O432)-16)/16)+6))),6))</f>
        <v>0</v>
      </c>
      <c r="P432" s="1" t="str">
        <f ca="1">IF(ISERROR(F424),"",IF(ISTEXT(VLOOKUP(B424,INDIRECT($F$8),6+(O432-1)*3)),(VLOOKUP(B424,INDIRECT($F$8),6+(O432-1)*3)),SUM(VLOOKUP(B424,INDIRECT($F$8),6+(O432-1)*3),IF(W436,W432,0))))</f>
        <v/>
      </c>
      <c r="Q432" s="1" t="str">
        <f ca="1">IF(ISERROR(F424),"",VLOOKUP(B424,INDIRECT($F$8),7+(O432-1)*3))</f>
        <v/>
      </c>
      <c r="R432" s="1" t="str">
        <f ca="1">IF(ISERROR(F424),"",SUM(P432:Q432))</f>
        <v/>
      </c>
      <c r="S432" s="1" t="str">
        <f ca="1">IF(ISERROR(F424),"",VLOOKUP(A424,INDIRECT($F$8),6+(O432-1)*3))</f>
        <v/>
      </c>
      <c r="T432" s="1" t="str">
        <f ca="1">IF(ISERROR(F424),"",VLOOKUP(A424,INDIRECT($F$8),7+(O432-1)*3))</f>
        <v/>
      </c>
      <c r="U432" s="1" t="str">
        <f ca="1">IF(ISERROR(F424),"",VLOOKUP(A424,INDIRECT($F$8),8+(O432-1)*3))</f>
        <v/>
      </c>
      <c r="V432" s="1" t="str">
        <f ca="1">IF(ISERROR(F424),"",IF(N432=0,A432,""))</f>
        <v/>
      </c>
      <c r="W432" s="1" t="str">
        <f ca="1">IF(ISERROR(F424),"",IF(ISTEXT(VLOOKUP(B424,INDIRECT($F$8),6+(O432-1)*3)),11,IF(VLOOKUP(B424,INDIRECT($F$8),6+(O432-1)*3)&lt;S432*0.3,IF(VLOOKUP(B424,INDIRECT($F$8),8+(O432-1)*3)&lt;U432*0.4,IF(AND(0.4*U432-VLOOKUP(B424,INDIRECT($F$8),8+(O432-1)*3)&lt;=5,0.3*S432-VLOOKUP(B424,INDIRECT($F$8),6+(O432-1)*3)&lt;=5),MAX(0.4*U432-VLOOKUP(B424,INDIRECT($F$8),8+(O432-1)*3),0.3*S432-VLOOKUP(B424,INDIRECT($F$8),6+(O432-1)*3)),11),IF(0.3*S432-VLOOKUP(B424,INDIRECT($F$8),6+(O432-1)*3)&lt;=5,0.3*S432-VLOOKUP(B424,INDIRECT($F$8),6+(O432-1)*3),11)),IF(VLOOKUP(B424,INDIRECT($F$8),8+(O432-1)*3)&lt;U432*0.4,IF(U432*0.4-VLOOKUP(B424,INDIRECT($F$8),8+(O432-1)*3)&lt;=5,U432*0.4-VLOOKUP(B424,INDIRECT($F$8),8+(O432-1)*3),11),0))))</f>
        <v/>
      </c>
      <c r="X432" s="1" t="str">
        <f ca="1">IF(ISERROR(F424),"",IF(W432=0,"",_xlfn.TEXTJOIN("",FALSE," G+",W432," in ",A432)))</f>
        <v/>
      </c>
    </row>
    <row r="433" spans="1:24" ht="12.75" customHeight="1" x14ac:dyDescent="0.2">
      <c r="A433" s="7" t="str">
        <f ca="1">IF(ISERROR(F424),"",VLOOKUP(C424,INDIRECT($F$8),6+(O433-1)*3,0))</f>
        <v/>
      </c>
      <c r="B433" s="41" t="str">
        <f ca="1">IF(ISERROR(F424),"",VLOOKUP(D424,INDIRECT($F$8),6+(O433-1)*3,0))</f>
        <v/>
      </c>
      <c r="C433" s="41"/>
      <c r="D433" s="41"/>
      <c r="E433" s="41"/>
      <c r="F433" s="7" t="str">
        <f ca="1">IF(ISERROR(F424),"",VLOOKUP(E424,INDIRECT($F$8),6+(O433-1)*3,0))</f>
        <v/>
      </c>
      <c r="G433" s="42" t="str">
        <f ca="1">IF(ISERROR(F424),"",_xlfn.TEXTJOIN("/",FALSE,P433,S433))</f>
        <v/>
      </c>
      <c r="H433" s="42"/>
      <c r="I433" s="42" t="str">
        <f ca="1">IF(ISERROR(F424),"",_xlfn.TEXTJOIN("/",FALSE,Q433,T433))</f>
        <v/>
      </c>
      <c r="J433" s="42"/>
      <c r="K433" s="42" t="str">
        <f ca="1">IF(ISERROR(F424),"",_xlfn.TEXTJOIN("/",FALSE,R433,U433))</f>
        <v/>
      </c>
      <c r="L433" s="42"/>
      <c r="M433" s="7" t="str">
        <f ca="1">IF(ISERROR(F424),"",IF(ISTEXT(P433),IF(P433="A","Ab",IF(P433="D","Dt",IF(P433="UFM","UFM",IF(P433="NA","")))),IF(AND(ISBLANK(P433),ISBLANK(R433)),"",IF(P433&lt;0.3*S433,"F",IF(ISBLANK(R433),"",IF(ISTEXT(R433),R433,IF(R433&gt;=0.9*U433,"O",IF(R433&gt;=0.85*U433,"A+",IF(R433&gt;=0.8*U433,"A",IF(R433&gt;=0.7*U433,"B+",IF(R433&gt;=0.6*U433,"B",IF(R433&gt;=0.5*U433,"C",IF(R433&gt;=0.4*U433,"P",IF(R433&lt;0.4*U433,"F",R433))))))))))))))</f>
        <v/>
      </c>
      <c r="N433" s="8" t="str">
        <f t="shared" ca="1" si="26"/>
        <v/>
      </c>
      <c r="O433">
        <f ca="1">IF(O432&gt;0,7,"")</f>
        <v>7</v>
      </c>
      <c r="P433" s="1" t="str">
        <f ca="1">IF(ISERROR(F424),"",IF(ISTEXT(VLOOKUP(B424,INDIRECT($F$8),6+(O433-1)*3)),(VLOOKUP(B424,INDIRECT($F$8),6+(O433-1)*3)),SUM(VLOOKUP(B424,INDIRECT($F$8),6+(O433-1)*3),IF(W436,W433,0))))</f>
        <v/>
      </c>
      <c r="Q433" s="1" t="str">
        <f ca="1">IF(ISERROR(F424),"",VLOOKUP(B424,INDIRECT($F$8),7+(O433-1)*3))</f>
        <v/>
      </c>
      <c r="R433" s="1" t="str">
        <f ca="1">IF(ISERROR(F424),"",SUM(P433:Q433))</f>
        <v/>
      </c>
      <c r="S433" s="1" t="str">
        <f ca="1">IF(ISERROR(F424),"",VLOOKUP(A424,INDIRECT($F$8),6+(O433-1)*3))</f>
        <v/>
      </c>
      <c r="T433" s="1" t="str">
        <f ca="1">IF(ISERROR(F424),"",VLOOKUP(A424,INDIRECT($F$8),7+(O433-1)*3))</f>
        <v/>
      </c>
      <c r="U433" s="1" t="str">
        <f ca="1">IF(ISERROR(F424),"",VLOOKUP(A424,INDIRECT($F$8),8+(O433-1)*3))</f>
        <v/>
      </c>
      <c r="V433" s="1" t="str">
        <f ca="1">IF(ISERROR(F424),"",IF(N433=0,A433,""))</f>
        <v/>
      </c>
      <c r="W433" s="1" t="str">
        <f ca="1">IF(ISERROR(F424),"",IF(ISTEXT(VLOOKUP(B424,INDIRECT($F$8),6+(O433-1)*3)),11,IF(VLOOKUP(B424,INDIRECT($F$8),6+(O433-1)*3)&lt;S433*0.3,IF(VLOOKUP(B424,INDIRECT($F$8),8+(O433-1)*3)&lt;U433*0.4,IF(AND(0.4*U433-VLOOKUP(B424,INDIRECT($F$8),8+(O433-1)*3)&lt;=5,0.3*S433-VLOOKUP(B424,INDIRECT($F$8),6+(O433-1)*3)&lt;=5),MAX(0.4*U433-VLOOKUP(B424,INDIRECT($F$8),8+(O433-1)*3),0.3*S433-VLOOKUP(B424,INDIRECT($F$8),6+(O433-1)*3)),11),IF(0.3*S433-VLOOKUP(B424,INDIRECT($F$8),6+(O433-1)*3)&lt;=5,0.3*S433-VLOOKUP(B424,INDIRECT($F$8),6+(O433-1)*3),11)),IF(VLOOKUP(B424,INDIRECT($F$8),8+(O433-1)*3)&lt;U433*0.4,IF(U433*0.4-VLOOKUP(B424,INDIRECT($F$8),8+(O433-1)*3)&lt;=5,U433*0.4-VLOOKUP(B424,INDIRECT($F$8),8+(O433-1)*3),11),0))))</f>
        <v/>
      </c>
      <c r="X433" s="1" t="str">
        <f ca="1">IF(ISERROR(F424),"",IF(W433=0,"",_xlfn.TEXTJOIN("",FALSE," G+",W433," in ",A433)))</f>
        <v/>
      </c>
    </row>
    <row r="434" spans="1:24" ht="12.75" customHeight="1" x14ac:dyDescent="0.2">
      <c r="A434" s="7" t="str">
        <f ca="1">IF(ISERROR(F424),"",VLOOKUP(C424,INDIRECT($F$8),6+(O434-1)*3,0))</f>
        <v/>
      </c>
      <c r="B434" s="41" t="str">
        <f ca="1">IF(ISERROR(F424),"",VLOOKUP(D424,INDIRECT($F$8),6+(O434-1)*3,0))</f>
        <v/>
      </c>
      <c r="C434" s="41"/>
      <c r="D434" s="41"/>
      <c r="E434" s="41"/>
      <c r="F434" s="7" t="str">
        <f ca="1">IF(ISERROR(F424),"",VLOOKUP(E424,INDIRECT($F$8),6+(O434-1)*3,0))</f>
        <v/>
      </c>
      <c r="G434" s="42" t="str">
        <f ca="1">IF(ISERROR(F424),"",_xlfn.TEXTJOIN("/",FALSE,P434,S434))</f>
        <v/>
      </c>
      <c r="H434" s="42"/>
      <c r="I434" s="42" t="str">
        <f ca="1">IF(ISERROR(F424),"",_xlfn.TEXTJOIN("/",FALSE,Q434,T434))</f>
        <v/>
      </c>
      <c r="J434" s="42"/>
      <c r="K434" s="42" t="str">
        <f ca="1">IF(ISERROR(F424),"",_xlfn.TEXTJOIN("/",FALSE,R434,U434))</f>
        <v/>
      </c>
      <c r="L434" s="42"/>
      <c r="M434" s="7" t="str">
        <f ca="1">IF(ISERROR(F424),"",IF(ISTEXT(P434),IF(P434="A","Ab",IF(P434="D","Dt",IF(P434="UFM","UFM",IF(P434="NA","")))),IF(AND(ISBLANK(P434),ISBLANK(R434)),"",IF(P434&lt;0.3*S434,"F",IF(ISBLANK(R434),"",IF(ISTEXT(R434),R434,IF(R434&gt;=0.9*U434,"O",IF(R434&gt;=0.85*U434,"A+",IF(R434&gt;=0.8*U434,"A",IF(R434&gt;=0.7*U434,"B+",IF(R434&gt;=0.6*U434,"B",IF(R434&gt;=0.5*U434,"C",IF(R434&gt;=0.4*U434,"P",IF(R434&lt;0.4*U434,"F",R434))))))))))))))</f>
        <v/>
      </c>
      <c r="N434" s="8" t="str">
        <f t="shared" ca="1" si="26"/>
        <v/>
      </c>
      <c r="O434" t="b" cm="1">
        <f t="array" aca="1" ref="O434" ca="1">IF(NOT(ISBLANK(INDIRECT("SEM_IV!AA"&amp;INT((ROW(O434)-18)/16)+6))),8,IF(NOT(ISBLANK(INDIRECT("SEM_IV!AD"&amp;INT((ROW(O434)-18)/16)+6))),9))</f>
        <v>0</v>
      </c>
      <c r="P434" s="1" t="str">
        <f ca="1">IF(ISERROR(F424),"",IF(ISTEXT(VLOOKUP(B424,INDIRECT($F$8),6+(O434-1)*3)),(VLOOKUP(B424,INDIRECT($F$8),6+(O434-1)*3)),SUM(VLOOKUP(B424,INDIRECT($F$8),6+(O434-1)*3),IF(W436,W434,0))))</f>
        <v/>
      </c>
      <c r="Q434" s="1" t="str">
        <f ca="1">IF(ISERROR(F424),"",VLOOKUP(B424,INDIRECT($F$8),7+(O434-1)*3))</f>
        <v/>
      </c>
      <c r="R434" s="1" t="str">
        <f ca="1">IF(ISERROR(F424),"",SUM(P434:Q434))</f>
        <v/>
      </c>
      <c r="S434" s="1" t="str">
        <f ca="1">IF(ISERROR(F424),"",VLOOKUP(A424,INDIRECT($F$8),6+(O434-1)*3))</f>
        <v/>
      </c>
      <c r="T434" s="1" t="str">
        <f ca="1">IF(ISERROR(F424),"",VLOOKUP(A424,INDIRECT($F$8),7+(O434-1)*3))</f>
        <v/>
      </c>
      <c r="U434" s="1" t="str">
        <f ca="1">IF(ISERROR(F424),"",VLOOKUP(A424,INDIRECT($F$8),8+(O434-1)*3))</f>
        <v/>
      </c>
      <c r="V434" s="1" t="str">
        <f ca="1">IF(ISERROR(F424),"",IF(N434=0,A434,""))</f>
        <v/>
      </c>
      <c r="W434" s="1" t="str">
        <f ca="1">IF(ISERROR(F424),"",IF(ISTEXT(VLOOKUP(B424,INDIRECT($F$8),6+(O434-1)*3)),11,IF(VLOOKUP(B424,INDIRECT($F$8),6+(O434-1)*3)&lt;S434*0.3,IF(VLOOKUP(B424,INDIRECT($F$8),8+(O434-1)*3)&lt;U434*0.4,IF(AND(0.4*U434-VLOOKUP(B424,INDIRECT($F$8),8+(O434-1)*3)&lt;=5,0.3*S434-VLOOKUP(B424,INDIRECT($F$8),6+(O434-1)*3)&lt;=5),MAX(0.4*U434-VLOOKUP(B424,INDIRECT($F$8),8+(O434-1)*3),0.3*S434-VLOOKUP(B424,INDIRECT($F$8),6+(O434-1)*3)),11),IF(0.3*S434-VLOOKUP(B424,INDIRECT($F$8),6+(O434-1)*3)&lt;=5,0.3*S434-VLOOKUP(B424,INDIRECT($F$8),6+(O434-1)*3),11)),IF(VLOOKUP(B424,INDIRECT($F$8),8+(O434-1)*3)&lt;U434*0.4,IF(U434*0.4-VLOOKUP(B424,INDIRECT($F$8),8+(O434-1)*3)&lt;=5,U434*0.4-VLOOKUP(B424,INDIRECT($F$8),8+(O434-1)*3),11),0))))</f>
        <v/>
      </c>
      <c r="X434" s="1" t="str">
        <f ca="1">IF(ISERROR(F424),"",IF(W434=0,"",_xlfn.TEXTJOIN("",FALSE," G+",W434," in ",A434)))</f>
        <v/>
      </c>
    </row>
    <row r="435" spans="1:24" ht="12.75" customHeight="1" x14ac:dyDescent="0.2">
      <c r="A435" s="7" t="str">
        <f ca="1">IF(ISERROR(F424),"",VLOOKUP(C424,INDIRECT($F$8),6+(O435-1)*3,0))</f>
        <v/>
      </c>
      <c r="B435" s="41" t="str">
        <f ca="1">IF(ISERROR(F424),"",VLOOKUP(D424,INDIRECT($F$8),6+(O435-1)*3-Z435,0))</f>
        <v/>
      </c>
      <c r="C435" s="41"/>
      <c r="D435" s="41"/>
      <c r="E435" s="41"/>
      <c r="F435" s="7" t="str">
        <f ca="1">IF(ISERROR(F424),"",VLOOKUP(E424,INDIRECT($F$8),6+(O435-1)*3,0))</f>
        <v/>
      </c>
      <c r="G435" s="42" t="str">
        <f ca="1">IF(ISERROR(F424),"",_xlfn.TEXTJOIN("/",FALSE,P435,S435))</f>
        <v/>
      </c>
      <c r="H435" s="42"/>
      <c r="I435" s="42" t="str">
        <f ca="1">IF(ISERROR(F424),"",_xlfn.TEXTJOIN("/",FALSE,Q435,T435))</f>
        <v/>
      </c>
      <c r="J435" s="42"/>
      <c r="K435" s="42" t="str">
        <f ca="1">IF(ISERROR(F424),"",_xlfn.TEXTJOIN("/",FALSE,R435,U435))</f>
        <v/>
      </c>
      <c r="L435" s="42"/>
      <c r="M435" s="7" t="str">
        <f ca="1">IF(ISERROR(F424),"",IF(ISTEXT(P435),IF(P435="A","Ab",IF(P435="D","Dt",IF(P435="UFM","UFM",IF(P435="NA","")))),IF(AND(ISBLANK(P435),ISBLANK(R435)),"",IF(P435&lt;0.3*S435,"F",IF(ISBLANK(R435),"",IF(ISTEXT(R435),R435,IF(R435&gt;=0.9*U435,"O",IF(R435&gt;=0.85*U435,"A+",IF(R435&gt;=0.8*U435,"A",IF(R435&gt;=0.7*U435,"B+",IF(R435&gt;=0.6*U435,"B",IF(R435&gt;=0.5*U435,"C",IF(R435&gt;=0.4*U435,"P",IF(R435&lt;0.4*U435,"F",R435))))))))))))))</f>
        <v/>
      </c>
      <c r="N435" s="8" t="str">
        <f t="shared" ca="1" si="26"/>
        <v/>
      </c>
      <c r="O435">
        <f ca="1">IF(O434&gt;0,10,"")</f>
        <v>10</v>
      </c>
      <c r="P435" s="1" t="str">
        <f ca="1">IF(ISERROR(F424),"",IF(ISTEXT(VLOOKUP(B424,INDIRECT($F$8),6+(O435-1)*3)),(VLOOKUP(B424,INDIRECT($F$8),6+(O435-1)*3)),SUM(VLOOKUP(B424,INDIRECT($F$8),6+(O435-1)*3),IF(W436,W435,0))))</f>
        <v/>
      </c>
      <c r="Q435" s="1" t="str">
        <f ca="1">IF(ISERROR(F424),"",VLOOKUP(B424,INDIRECT($F$8),7+(O435-1)*3))</f>
        <v/>
      </c>
      <c r="R435" s="1" t="str">
        <f ca="1">IF(ISERROR(F424),"",SUM(P435:Q435))</f>
        <v/>
      </c>
      <c r="S435" s="1" t="str">
        <f ca="1">IF(ISERROR(F424),"",VLOOKUP(A424,INDIRECT($F$8),6+(O435-1)*3))</f>
        <v/>
      </c>
      <c r="T435" s="1" t="str">
        <f ca="1">IF(ISERROR(F424),"",VLOOKUP(A424,INDIRECT($F$8),7+(O435-1)*3))</f>
        <v/>
      </c>
      <c r="U435" s="1" t="str">
        <f ca="1">IF(ISERROR(F424),"",VLOOKUP(A424,INDIRECT($F$8),8+(O435-1)*3))</f>
        <v/>
      </c>
      <c r="V435" s="1" t="str">
        <f ca="1">IF(ISERROR(F424),"",IF(N435=0,A435,""))</f>
        <v/>
      </c>
      <c r="W435" s="1" t="str">
        <f ca="1">IF(ISERROR(F424),"",IF(ISTEXT(VLOOKUP(B424,INDIRECT($F$8),6+(O435-1)*3)),11,IF(VLOOKUP(B424,INDIRECT($F$8),6+(O435-1)*3)&lt;S435*0.3,IF(VLOOKUP(B424,INDIRECT($F$8),8+(O435-1)*3)&lt;U435*0.4,IF(AND(0.4*U435-VLOOKUP(B424,INDIRECT($F$8),8+(O435-1)*3)&lt;=5,0.3*S435-VLOOKUP(B424,INDIRECT($F$8),6+(O435-1)*3)&lt;=5),MAX(0.4*U435-VLOOKUP(B424,INDIRECT($F$8),8+(O435-1)*3),0.3*S435-VLOOKUP(B424,INDIRECT($F$8),6+(O435-1)*3)),11),IF(0.3*S435-VLOOKUP(B424,INDIRECT($F$8),6+(O435-1)*3)&lt;=5,0.3*S435-VLOOKUP(B424,INDIRECT($F$8),6+(O435-1)*3),11)),IF(VLOOKUP(B424,INDIRECT($F$8),8+(O435-1)*3)&lt;U435*0.4,IF(U435*0.4-VLOOKUP(B424,INDIRECT($F$8),8+(O435-1)*3)&lt;=5,U435*0.4-VLOOKUP(B424,INDIRECT($F$8),8+(O435-1)*3),11),0))))</f>
        <v/>
      </c>
      <c r="X435" s="1" t="str">
        <f ca="1">IF(ISERROR(F424),"",IF(W435=0,"",_xlfn.TEXTJOIN("",FALSE," G+",W435," in ",A435)))</f>
        <v/>
      </c>
    </row>
    <row r="436" spans="1:24" ht="12.75" customHeight="1" x14ac:dyDescent="0.2">
      <c r="A436" s="43" t="str">
        <f ca="1">IF(ISERROR(F424),"",A420)</f>
        <v/>
      </c>
      <c r="B436" s="43"/>
      <c r="C436" s="43"/>
      <c r="D436" s="43"/>
      <c r="E436" s="43"/>
      <c r="F436" s="10" t="str">
        <f ca="1">IF(ISERROR(F424),"",SUM(F429:F435))</f>
        <v/>
      </c>
      <c r="G436" s="44" t="str">
        <f ca="1">IF(ISERROR(F424),"",_xlfn.TEXTJOIN("/",TRUE,SUMIF(F429:F435,"&gt;0",P429:P435),SUMIF(F429:F435,"&gt;0",S429:S435)))</f>
        <v/>
      </c>
      <c r="H436" s="44"/>
      <c r="I436" s="44" t="str">
        <f ca="1">IF(ISERROR(F424),"",_xlfn.TEXTJOIN("/",TRUE,SUMIF(F429:F435,"&gt;0",Q429:Q435),SUMIF(F429:F435,"&gt;0",T429:T435)))</f>
        <v/>
      </c>
      <c r="J436" s="44"/>
      <c r="K436" s="44" t="str">
        <f ca="1">IF(ISERROR(F424),"",_xlfn.TEXTJOIN("/",TRUE,SUMIF(F429:F435,"&gt;0",R429:R435),SUMIF(F429:F435,"&gt;0",U429:U435)))</f>
        <v/>
      </c>
      <c r="L436" s="44"/>
      <c r="M436" s="43" t="str">
        <f ca="1">IF(ISERROR(F424),"",SUMPRODUCT(N429:N435,F429:F435))</f>
        <v/>
      </c>
      <c r="N436" s="43"/>
      <c r="V436" s="1" t="str">
        <f ca="1">IF(ISERROR(F424),"",_xlfn.TEXTJOIN(", ",TRUE,V429:V435))</f>
        <v/>
      </c>
      <c r="W436" t="str">
        <f ca="1">IF(ISERROR(F424),"",IF(SUM(W429:W435)&lt;=W428,TRUE,FALSE))</f>
        <v/>
      </c>
      <c r="X436" s="1" t="str">
        <f ca="1">IF(ISERROR(F424),"",_xlfn.TEXTJOIN(",",TRUE,X429:X435))</f>
        <v/>
      </c>
    </row>
    <row r="437" spans="1:24" ht="12.75" customHeight="1" x14ac:dyDescent="0.2">
      <c r="A437" s="43" t="str">
        <f ca="1">IF(ISERROR(F424),"",A421)</f>
        <v/>
      </c>
      <c r="B437" s="45" t="str">
        <f ca="1">IF(ISERROR(F424),"",IF(V436="","PASS","CARRY OVER"))</f>
        <v/>
      </c>
      <c r="C437" s="45"/>
      <c r="D437" s="43" t="str">
        <f ca="1">IF(ISERROR(F424),"",D421)</f>
        <v/>
      </c>
      <c r="E437" s="45" t="str">
        <f ca="1">IF(ISERROR(F424),"",IF(V436="",IF(X436="","",X436),_xlfn.TEXTJOIN(" ",TRUE,"BACK IN",V436)))</f>
        <v/>
      </c>
      <c r="F437" s="45"/>
      <c r="G437" s="43" t="str">
        <f ca="1">IF(ISERROR(F424),"",G421)</f>
        <v/>
      </c>
      <c r="H437" s="46" t="str">
        <f ca="1">IF(ISERROR(F424),"",M436/F436)</f>
        <v/>
      </c>
      <c r="I437" s="43" t="str">
        <f ca="1">IF(ISERROR(F424),"",I421)</f>
        <v/>
      </c>
      <c r="J437" s="46" t="str">
        <f ca="1">IF(ISERROR(F424),"",VLOOKUP(B424,INDIRECT($F$8),12+(O435-1)*3,0))</f>
        <v/>
      </c>
      <c r="K437" s="45" t="str">
        <f ca="1">IF(ISERROR(F424),"",K421)</f>
        <v/>
      </c>
      <c r="L437" s="43" t="str">
        <f ca="1">IF(ISERROR(F424),"",SUMIF(N429:N435,"&gt;0",F429:F435))</f>
        <v/>
      </c>
      <c r="M437" s="45" t="str">
        <f ca="1">IF(ISERROR(F424),"",M421)</f>
        <v/>
      </c>
      <c r="N437" s="43" t="str">
        <f ca="1">IF(ISERROR(F424),"",VLOOKUP(B424,INDIRECT($F$8),10+(O435-1)*3,0))</f>
        <v/>
      </c>
    </row>
    <row r="438" spans="1:24" ht="12.75" customHeight="1" x14ac:dyDescent="0.2">
      <c r="A438" s="43"/>
      <c r="B438" s="45"/>
      <c r="C438" s="45"/>
      <c r="D438" s="43"/>
      <c r="E438" s="45"/>
      <c r="F438" s="45"/>
      <c r="G438" s="43"/>
      <c r="H438" s="46"/>
      <c r="I438" s="43"/>
      <c r="J438" s="46"/>
      <c r="K438" s="45"/>
      <c r="L438" s="43"/>
      <c r="M438" s="45"/>
      <c r="N438" s="43"/>
    </row>
    <row r="439" spans="1:24" ht="12.75" customHeight="1" x14ac:dyDescent="0.2">
      <c r="A439" s="43"/>
      <c r="B439" s="45"/>
      <c r="C439" s="45"/>
      <c r="D439" s="43"/>
      <c r="E439" s="45"/>
      <c r="F439" s="45"/>
      <c r="G439" s="43"/>
      <c r="H439" s="46"/>
      <c r="I439" s="43"/>
      <c r="J439" s="46"/>
      <c r="K439" s="45"/>
      <c r="L439" s="43"/>
      <c r="M439" s="45"/>
      <c r="N439" s="43"/>
    </row>
    <row r="440" spans="1:24" ht="12.75" customHeight="1" x14ac:dyDescent="0.2">
      <c r="A440" s="11" t="str">
        <f>A424</f>
        <v>MM</v>
      </c>
      <c r="B440" s="11">
        <f>B424+1</f>
        <v>28</v>
      </c>
      <c r="C440" s="11" t="str">
        <f>C424</f>
        <v>SC</v>
      </c>
      <c r="D440" s="11" t="str">
        <f>D424</f>
        <v>SN</v>
      </c>
      <c r="E440" s="11" t="str">
        <f>E424</f>
        <v>C</v>
      </c>
      <c r="F440" s="11" t="e">
        <f ca="1">VLOOKUP(B440,INDIRECT($F$8),4,0)</f>
        <v>#N/A</v>
      </c>
    </row>
    <row r="441" spans="1:24" ht="12.75" customHeight="1" x14ac:dyDescent="0.2">
      <c r="A441" s="47" t="str">
        <f ca="1">IF(ISERROR(F440),"",A425)</f>
        <v/>
      </c>
      <c r="B441" s="47" t="str">
        <f ca="1">IFERROR(VLOOKUP(B440,INDIRECT($F$8),4,0),"")</f>
        <v/>
      </c>
      <c r="C441" s="47"/>
      <c r="D441" s="47" t="str">
        <f ca="1">IF(ISERROR(F440),"",D425)</f>
        <v/>
      </c>
      <c r="E441" s="47" t="str">
        <f ca="1">IFERROR(VLOOKUP(B440,INDIRECT($F$8),5,0),"")</f>
        <v/>
      </c>
      <c r="F441" s="47"/>
      <c r="G441" s="47" t="str">
        <f ca="1">IF(ISERROR(F440),"",G425)</f>
        <v/>
      </c>
      <c r="H441" s="47"/>
      <c r="I441" s="48" t="str">
        <f ca="1">IFERROR(VLOOKUP(B440,INDIRECT($F$8),2,0),"")</f>
        <v/>
      </c>
      <c r="J441" s="48"/>
      <c r="K441" s="47" t="str">
        <f ca="1">IF(ISERROR(F440),"",K425)</f>
        <v/>
      </c>
      <c r="L441" s="47"/>
      <c r="M441" s="48" t="str">
        <f ca="1">IFERROR(VLOOKUP(B440,INDIRECT($F$8),3,0),"")</f>
        <v/>
      </c>
      <c r="N441" s="48"/>
    </row>
    <row r="442" spans="1:24" ht="12.75" customHeight="1" x14ac:dyDescent="0.2">
      <c r="A442" s="47"/>
      <c r="B442" s="47"/>
      <c r="C442" s="47"/>
      <c r="D442" s="47"/>
      <c r="E442" s="47"/>
      <c r="F442" s="47"/>
      <c r="G442" s="47"/>
      <c r="H442" s="47"/>
      <c r="I442" s="48"/>
      <c r="J442" s="48"/>
      <c r="K442" s="47"/>
      <c r="L442" s="47"/>
      <c r="M442" s="48"/>
      <c r="N442" s="48"/>
    </row>
    <row r="443" spans="1:24" ht="12.75" customHeight="1" x14ac:dyDescent="0.2">
      <c r="A443" s="45" t="str">
        <f ca="1">IF(ISERROR(F440),"",A427)</f>
        <v/>
      </c>
      <c r="B443" s="45" t="str">
        <f ca="1">IF(ISERROR(F440),"",B427)</f>
        <v/>
      </c>
      <c r="C443" s="45"/>
      <c r="D443" s="45"/>
      <c r="E443" s="45"/>
      <c r="F443" s="45" t="str">
        <f ca="1">IF(ISERROR(F440),"",F427)</f>
        <v/>
      </c>
      <c r="G443" s="45" t="str">
        <f ca="1">IF(ISERROR(F440),"",G427)</f>
        <v/>
      </c>
      <c r="H443" s="45"/>
      <c r="I443" s="45" t="str">
        <f ca="1">IF(ISERROR(F440),"",I427)</f>
        <v/>
      </c>
      <c r="J443" s="45"/>
      <c r="K443" s="45" t="str">
        <f ca="1">IF(ISERROR(F440),"",K427)</f>
        <v/>
      </c>
      <c r="L443" s="45"/>
      <c r="M443" s="45" t="str">
        <f ca="1">IF(ISERROR(F440),"",M427)</f>
        <v/>
      </c>
      <c r="N443" s="45" t="str">
        <f ca="1">IF(ISERROR(F440),"",N427)</f>
        <v/>
      </c>
    </row>
    <row r="444" spans="1:24" ht="12.75" customHeight="1" x14ac:dyDescent="0.2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W444" t="e">
        <f ca="1">IF(ISNUMBER(MATCH($F$8,{"I","III","V","VII"},0)),10,10-INDEX(INDIRECT(_xlfn.TEXTJOIN("",TRUE,"SEM_",$G$8,"!",ADDRESS(6,4+$I$8*3+4),":",ADDRESS(5+$H$8,4+$I$8*3+4))),MATCH(INDIRECT(_xlfn.TEXTJOIN("",TRUE,"TC_",$F$8,"!",ADDRESS(ROW(I441),COLUMN(I441)))),INDIRECT(_xlfn.TEXTJOIN("",TRUE,"SEM_",$G$8,"!",ADDRESS(6,2),":",ADDRESS(5+$H$8,2))))))</f>
        <v>#N/A</v>
      </c>
    </row>
    <row r="445" spans="1:24" ht="12.75" customHeight="1" x14ac:dyDescent="0.2">
      <c r="A445" s="7" t="str">
        <f ca="1">IF(ISERROR(F440),"",VLOOKUP(C440,INDIRECT($F$8),6+(O445-1)*3,0))</f>
        <v/>
      </c>
      <c r="B445" s="41" t="str">
        <f ca="1">IF(ISERROR(F440),"",VLOOKUP(D440,INDIRECT($F$8),6+(O445-1)*3,0))</f>
        <v/>
      </c>
      <c r="C445" s="41"/>
      <c r="D445" s="41"/>
      <c r="E445" s="41"/>
      <c r="F445" s="7" t="str">
        <f ca="1">IF(ISERROR(F440),"",VLOOKUP(E440,INDIRECT($F$8),6+(O445-1)*3,0))</f>
        <v/>
      </c>
      <c r="G445" s="42" t="str">
        <f ca="1">IF(ISERROR(F440),"",_xlfn.TEXTJOIN("/",FALSE,P445,S445))</f>
        <v/>
      </c>
      <c r="H445" s="42"/>
      <c r="I445" s="42" t="str">
        <f ca="1">IF(ISERROR(F440),"",_xlfn.TEXTJOIN("/",FALSE,Q445,T445))</f>
        <v/>
      </c>
      <c r="J445" s="42"/>
      <c r="K445" s="42" t="str">
        <f ca="1">IF(ISERROR(F440),"",_xlfn.TEXTJOIN("/",FALSE,R445,U445))</f>
        <v/>
      </c>
      <c r="L445" s="42"/>
      <c r="M445" s="7" t="str">
        <f ca="1">IF(ISERROR(F440),"",IF(ISTEXT(P445),IF(P445="A","Ab",IF(P445="D","Dt",IF(P445="UFM","UFM",IF(P445="NA","")))),IF(AND(ISBLANK(P445),ISBLANK(R445)),"",IF(P445&lt;0.3*S445,"F",IF(ISBLANK(R445),"",IF(ISTEXT(R445),R445,IF(R445&gt;=0.9*U445,"O",IF(R445&gt;=0.85*U445,"A+",IF(R445&gt;=0.8*U445,"A",IF(R445&gt;=0.7*U445,"B+",IF(R445&gt;=0.6*U445,"B",IF(R445&gt;=0.5*U445,"C",IF(R445&gt;=0.4*U445,"P",IF(R445&lt;0.4*U445,"F",R445))))))))))))))</f>
        <v/>
      </c>
      <c r="N445" s="8" t="str">
        <f t="shared" ref="N445:N451" ca="1" si="27">INDEX($Z$2:$Z$13,MATCH(M445,$Y$2:$Y$13,0))</f>
        <v/>
      </c>
      <c r="O445">
        <v>1</v>
      </c>
      <c r="P445" s="1" t="str">
        <f ca="1">IF(ISERROR(F440),"",IF(ISTEXT(VLOOKUP(B440,INDIRECT($F$8),6+(O445-1)*3)),(VLOOKUP(B440,INDIRECT($F$8),6+(O445-1)*3)),SUM(VLOOKUP(B440,INDIRECT($F$8),6+(O445-1)*3),IF(W452,W445,0))))</f>
        <v/>
      </c>
      <c r="Q445" s="1" t="str">
        <f ca="1">IF(ISERROR(F440),"",VLOOKUP(B440,INDIRECT($F$8),7+(O445-1)*3))</f>
        <v/>
      </c>
      <c r="R445" s="1" t="str">
        <f ca="1">IF(ISERROR(F440),"",SUM(P445:Q445))</f>
        <v/>
      </c>
      <c r="S445" s="1" t="str">
        <f ca="1">IF(ISERROR(F440),"",VLOOKUP(A440,INDIRECT($F$8),6+(O445-1)*3))</f>
        <v/>
      </c>
      <c r="T445" s="1" t="str">
        <f ca="1">IF(ISERROR(F440),"",VLOOKUP(A440,INDIRECT($F$8),7+(O445-1)*3))</f>
        <v/>
      </c>
      <c r="U445" s="1" t="str">
        <f ca="1">IF(ISERROR(F440),"",VLOOKUP(A440,INDIRECT($F$8),8+(O445-1)*3))</f>
        <v/>
      </c>
      <c r="V445" s="1" t="str">
        <f ca="1">IF(ISERROR(F440),"",IF(N445=0,A445,""))</f>
        <v/>
      </c>
      <c r="W445" s="1" t="str">
        <f ca="1">IF(ISERROR(F440),"",IF(ISTEXT(VLOOKUP(B440,INDIRECT($F$8),6+(O445-1)*3)),11,IF(VLOOKUP(B440,INDIRECT($F$8),6+(O445-1)*3)&lt;S445*0.3,IF(VLOOKUP(B440,INDIRECT($F$8),8+(O445-1)*3)&lt;U445*0.4,IF(AND(0.4*U445-VLOOKUP(B440,INDIRECT($F$8),8+(O445-1)*3)&lt;=5,0.3*S445-VLOOKUP(B440,INDIRECT($F$8),6+(O445-1)*3)&lt;=5),MAX(0.4*U445-VLOOKUP(B440,INDIRECT($F$8),8+(O445-1)*3),0.3*S445-VLOOKUP(B440,INDIRECT($F$8),6+(O445-1)*3)),11),IF(0.3*S445-VLOOKUP(B440,INDIRECT($F$8),6+(O445-1)*3)&lt;=5,0.3*S445-VLOOKUP(B440,INDIRECT($F$8),6+(O445-1)*3),11)),IF(VLOOKUP(B440,INDIRECT($F$8),8+(O445-1)*3)&lt;U445*0.4,IF(U445*0.4-VLOOKUP(B440,INDIRECT($F$8),8+(O445-1)*3)&lt;=5,U445*0.4-VLOOKUP(B440,INDIRECT($F$8),8+(O445-1)*3),11),0))))</f>
        <v/>
      </c>
      <c r="X445" s="1" t="str">
        <f ca="1">IF(ISERROR(F440),"",IF(W445=0,"",_xlfn.TEXTJOIN("",FALSE," G+",W445," in ",A445)))</f>
        <v/>
      </c>
    </row>
    <row r="446" spans="1:24" ht="12.75" customHeight="1" x14ac:dyDescent="0.2">
      <c r="A446" s="7" t="str">
        <f ca="1">IF(ISERROR(F440),"",VLOOKUP(C440,INDIRECT($F$8),6+(O446-1)*3,0))</f>
        <v/>
      </c>
      <c r="B446" s="41" t="str">
        <f ca="1">IF(ISERROR(F440),"",VLOOKUP(D440,INDIRECT($F$8),6+(O446-1)*3,0))</f>
        <v/>
      </c>
      <c r="C446" s="41"/>
      <c r="D446" s="41"/>
      <c r="E446" s="41"/>
      <c r="F446" s="7" t="str">
        <f ca="1">IF(ISERROR(F440),"",VLOOKUP(E440,INDIRECT($F$8),6+(O446-1)*3,0))</f>
        <v/>
      </c>
      <c r="G446" s="42" t="str">
        <f ca="1">IF(ISERROR(F440),"",_xlfn.TEXTJOIN("/",FALSE,P446,S446))</f>
        <v/>
      </c>
      <c r="H446" s="42"/>
      <c r="I446" s="42" t="str">
        <f ca="1">IF(ISERROR(F440),"",_xlfn.TEXTJOIN("/",FALSE,Q446,T446))</f>
        <v/>
      </c>
      <c r="J446" s="42"/>
      <c r="K446" s="42" t="str">
        <f ca="1">IF(ISERROR(F440),"",_xlfn.TEXTJOIN("/",FALSE,R446,U446))</f>
        <v/>
      </c>
      <c r="L446" s="42"/>
      <c r="M446" s="7" t="str">
        <f ca="1">IF(ISERROR(F440),"",IF(ISTEXT(P446),IF(P446="A","Ab",IF(P446="D","Dt",IF(P446="UFM","UFM",IF(P446="NA","")))),IF(AND(ISBLANK(P446),ISBLANK(R446)),"",IF(P446&lt;0.3*S446,"F",IF(ISBLANK(R446),"",IF(ISTEXT(R446),R446,IF(R446&gt;=0.9*U446,"O",IF(R446&gt;=0.85*U446,"A+",IF(R446&gt;=0.8*U446,"A",IF(R446&gt;=0.7*U446,"B+",IF(R446&gt;=0.6*U446,"B",IF(R446&gt;=0.5*U446,"C",IF(R446&gt;=0.4*U446,"P",IF(R446&lt;0.4*U446,"F",R446))))))))))))))</f>
        <v/>
      </c>
      <c r="N446" s="8" t="str">
        <f t="shared" ca="1" si="27"/>
        <v/>
      </c>
      <c r="O446" t="b" cm="1">
        <f t="array" aca="1" ref="O446" ca="1">IF(NOT(ISBLANK(INDIRECT("SEM_IV!I"&amp;INT((ROW(O446)-14)/16)+6))),2,IF(NOT(ISBLANK(INDIRECT("SEM_IV!L"&amp;INT((ROW(O446)-14)/16)+6))),3))</f>
        <v>0</v>
      </c>
      <c r="P446" s="1" t="str">
        <f ca="1">IF(ISERROR(F440),"",IF(ISTEXT(VLOOKUP(B440,INDIRECT($F$8),6+(O446-1)*3)),(VLOOKUP(B440,INDIRECT($F$8),6+(O446-1)*3)),SUM(VLOOKUP(B440,INDIRECT($F$8),6+(O446-1)*3),IF(W452,W446,0))))</f>
        <v/>
      </c>
      <c r="Q446" s="1" t="str">
        <f ca="1">IF(ISERROR(F440),"",VLOOKUP(B440,INDIRECT($F$8),7+(O446-1)*3))</f>
        <v/>
      </c>
      <c r="R446" s="1" t="str">
        <f ca="1">IF(ISERROR(F440),"",SUM(P446:Q446))</f>
        <v/>
      </c>
      <c r="S446" s="1" t="str">
        <f ca="1">IF(ISERROR(F440),"",VLOOKUP(A440,INDIRECT($F$8),6+(O446-1)*3))</f>
        <v/>
      </c>
      <c r="T446" s="1" t="str">
        <f ca="1">IF(ISERROR(F440),"",VLOOKUP(A440,INDIRECT($F$8),7+(O446-1)*3))</f>
        <v/>
      </c>
      <c r="U446" s="1" t="str">
        <f ca="1">IF(ISERROR(F440),"",VLOOKUP(A440,INDIRECT($F$8),8+(O446-1)*3))</f>
        <v/>
      </c>
      <c r="V446" s="1" t="str">
        <f ca="1">IF(ISERROR(F440),"",IF(N446=0,A446,""))</f>
        <v/>
      </c>
      <c r="W446" s="1" t="str">
        <f ca="1">IF(ISERROR(F440),"",IF(ISTEXT(VLOOKUP(B440,INDIRECT($F$8),6+(O446-1)*3)),11,IF(VLOOKUP(B440,INDIRECT($F$8),6+(O446-1)*3)&lt;S446*0.3,IF(VLOOKUP(B440,INDIRECT($F$8),8+(O446-1)*3)&lt;U446*0.4,IF(AND(0.4*U446-VLOOKUP(B440,INDIRECT($F$8),8+(O446-1)*3)&lt;=5,0.3*S446-VLOOKUP(B440,INDIRECT($F$8),6+(O446-1)*3)&lt;=5),MAX(0.4*U446-VLOOKUP(B440,INDIRECT($F$8),8+(O446-1)*3),0.3*S446-VLOOKUP(B440,INDIRECT($F$8),6+(O446-1)*3)),11),IF(0.3*S446-VLOOKUP(B440,INDIRECT($F$8),6+(O446-1)*3)&lt;=5,0.3*S446-VLOOKUP(B440,INDIRECT($F$8),6+(O446-1)*3),11)),IF(VLOOKUP(B440,INDIRECT($F$8),8+(O446-1)*3)&lt;U446*0.4,IF(U446*0.4-VLOOKUP(B440,INDIRECT($F$8),8+(O446-1)*3)&lt;=5,U446*0.4-VLOOKUP(B440,INDIRECT($F$8),8+(O446-1)*3),11),0))))</f>
        <v/>
      </c>
      <c r="X446" s="1" t="str">
        <f ca="1">IF(ISERROR(F440),"",IF(W446=0,"",_xlfn.TEXTJOIN("",FALSE," G+",W446," in ",A446)))</f>
        <v/>
      </c>
    </row>
    <row r="447" spans="1:24" ht="12.75" customHeight="1" x14ac:dyDescent="0.2">
      <c r="A447" s="7" t="str">
        <f ca="1">IF(ISERROR(F440),"",VLOOKUP(C440,INDIRECT($F$8),6+(O447-1)*3,0))</f>
        <v/>
      </c>
      <c r="B447" s="41" t="str">
        <f ca="1">IF(ISERROR(F440),"",VLOOKUP(D440,INDIRECT($F$8),6+(O447-1)*3,0))</f>
        <v/>
      </c>
      <c r="C447" s="41"/>
      <c r="D447" s="41"/>
      <c r="E447" s="41"/>
      <c r="F447" s="7" t="str">
        <f ca="1">IF(ISERROR(F440),"",VLOOKUP(E440,INDIRECT($F$8),6+(O447-1)*3,0))</f>
        <v/>
      </c>
      <c r="G447" s="42" t="str">
        <f ca="1">IF(ISERROR(F440),"",_xlfn.TEXTJOIN("/",FALSE,P447,S447))</f>
        <v/>
      </c>
      <c r="H447" s="42"/>
      <c r="I447" s="42" t="str">
        <f ca="1">IF(ISERROR(F440),"",_xlfn.TEXTJOIN("/",FALSE,Q447,T447))</f>
        <v/>
      </c>
      <c r="J447" s="42"/>
      <c r="K447" s="42" t="str">
        <f ca="1">IF(ISERROR(F440),"",_xlfn.TEXTJOIN("/",FALSE,R447,U447))</f>
        <v/>
      </c>
      <c r="L447" s="42"/>
      <c r="M447" s="7" t="str">
        <f ca="1">IF(ISERROR(F440),"",IF(ISTEXT(P447),IF(P447="A","Ab",IF(P447="D","Dt",IF(P447="UFM","UFM",IF(P447="NA","")))),IF(AND(ISBLANK(P447),ISBLANK(R447)),"",IF(P447&lt;0.3*S447,"F",IF(ISBLANK(R447),"",IF(ISTEXT(R447),R447,IF(R447&gt;=0.9*U447,"O",IF(R447&gt;=0.85*U447,"A+",IF(R447&gt;=0.8*U447,"A",IF(R447&gt;=0.7*U447,"B+",IF(R447&gt;=0.6*U447,"B",IF(R447&gt;=0.5*U447,"C",IF(R447&gt;=0.4*U447,"P",IF(R447&lt;0.4*U447,"F",R447))))))))))))))</f>
        <v/>
      </c>
      <c r="N447" s="8" t="str">
        <f t="shared" ca="1" si="27"/>
        <v/>
      </c>
      <c r="O447">
        <f ca="1">IF(O446&gt;0,4,"")</f>
        <v>4</v>
      </c>
      <c r="P447" s="1" t="str">
        <f ca="1">IF(ISERROR(F440),"",IF(ISTEXT(VLOOKUP(B440,INDIRECT($F$8),6+(O447-1)*3)),(VLOOKUP(B440,INDIRECT($F$8),6+(O447-1)*3)),SUM(VLOOKUP(B440,INDIRECT($F$8),6+(O447-1)*3),IF(W452,W447,0))))</f>
        <v/>
      </c>
      <c r="Q447" s="1" t="str">
        <f ca="1">IF(ISERROR(F440),"",VLOOKUP(B440,INDIRECT($F$8),7+(O447-1)*3))</f>
        <v/>
      </c>
      <c r="R447" s="1" t="str">
        <f ca="1">IF(ISERROR(F440),"",SUM(P447:Q447))</f>
        <v/>
      </c>
      <c r="S447" s="1" t="str">
        <f ca="1">IF(ISERROR(F440),"",VLOOKUP(A440,INDIRECT($F$8),6+(O447-1)*3))</f>
        <v/>
      </c>
      <c r="T447" s="1" t="str">
        <f ca="1">IF(ISERROR(F440),"",VLOOKUP(A440,INDIRECT($F$8),7+(O447-1)*3))</f>
        <v/>
      </c>
      <c r="U447" s="1" t="str">
        <f ca="1">IF(ISERROR(F440),"",VLOOKUP(A440,INDIRECT($F$8),8+(O447-1)*3))</f>
        <v/>
      </c>
      <c r="V447" s="1" t="str">
        <f ca="1">IF(ISERROR(F440),"",IF(N447=0,A447,""))</f>
        <v/>
      </c>
      <c r="W447" s="1" t="str">
        <f ca="1">IF(ISERROR(F440),"",IF(ISTEXT(VLOOKUP(B440,INDIRECT($F$8),6+(O447-1)*3)),11,IF(VLOOKUP(B440,INDIRECT($F$8),6+(O447-1)*3)&lt;S447*0.3,IF(VLOOKUP(B440,INDIRECT($F$8),8+(O447-1)*3)&lt;U447*0.4,IF(AND(0.4*U447-VLOOKUP(B440,INDIRECT($F$8),8+(O447-1)*3)&lt;=5,0.3*S447-VLOOKUP(B440,INDIRECT($F$8),6+(O447-1)*3)&lt;=5),MAX(0.4*U447-VLOOKUP(B440,INDIRECT($F$8),8+(O447-1)*3),0.3*S447-VLOOKUP(B440,INDIRECT($F$8),6+(O447-1)*3)),11),IF(0.3*S447-VLOOKUP(B440,INDIRECT($F$8),6+(O447-1)*3)&lt;=5,0.3*S447-VLOOKUP(B440,INDIRECT($F$8),6+(O447-1)*3),11)),IF(VLOOKUP(B440,INDIRECT($F$8),8+(O447-1)*3)&lt;U447*0.4,IF(U447*0.4-VLOOKUP(B440,INDIRECT($F$8),8+(O447-1)*3)&lt;=5,U447*0.4-VLOOKUP(B440,INDIRECT($F$8),8+(O447-1)*3),11),0))))</f>
        <v/>
      </c>
      <c r="X447" s="1" t="str">
        <f ca="1">IF(ISERROR(F440),"",IF(W447=0,"",_xlfn.TEXTJOIN("",FALSE," G+",W447," in ",A447)))</f>
        <v/>
      </c>
    </row>
    <row r="448" spans="1:24" ht="12.75" customHeight="1" x14ac:dyDescent="0.2">
      <c r="A448" s="7" t="str">
        <f ca="1">IF(ISERROR(F440),"",VLOOKUP(C440,INDIRECT($F$8),6+(O448-1)*3,0))</f>
        <v/>
      </c>
      <c r="B448" s="41" t="str">
        <f ca="1">IF(ISERROR(F440),"",VLOOKUP(D440,INDIRECT($F$8),6+(O448-1)*3,0))</f>
        <v/>
      </c>
      <c r="C448" s="41"/>
      <c r="D448" s="41"/>
      <c r="E448" s="41"/>
      <c r="F448" s="7" t="str">
        <f ca="1">IF(ISERROR(F440),"",VLOOKUP(E440,INDIRECT($F$8),6+(O448-1)*3,0))</f>
        <v/>
      </c>
      <c r="G448" s="42" t="str">
        <f ca="1">IF(ISERROR(F440),"",_xlfn.TEXTJOIN("/",FALSE,P448,S448))</f>
        <v/>
      </c>
      <c r="H448" s="42"/>
      <c r="I448" s="42" t="str">
        <f ca="1">IF(ISERROR(F440),"",_xlfn.TEXTJOIN("/",FALSE,Q448,T448))</f>
        <v/>
      </c>
      <c r="J448" s="42"/>
      <c r="K448" s="42" t="str">
        <f ca="1">IF(ISERROR(F440),"",_xlfn.TEXTJOIN("/",FALSE,R448,U448))</f>
        <v/>
      </c>
      <c r="L448" s="42"/>
      <c r="M448" s="7" t="str">
        <f ca="1">IF(ISERROR(F440),"",IF(ISTEXT(P448),IF(P448="A","Ab",IF(P448="D","Dt",IF(P448="UFM","UFM",IF(P448="NA","")))),IF(AND(ISBLANK(P448),ISBLANK(R448)),"",IF(P448&lt;0.3*S448,"F",IF(ISBLANK(R448),"",IF(ISTEXT(R448),R448,IF(R448&gt;=0.9*U448,"O",IF(R448&gt;=0.85*U448,"A+",IF(R448&gt;=0.8*U448,"A",IF(R448&gt;=0.7*U448,"B+",IF(R448&gt;=0.6*U448,"B",IF(R448&gt;=0.5*U448,"C",IF(R448&gt;=0.4*U448,"P",IF(R448&lt;0.4*U448,"F",R448))))))))))))))</f>
        <v/>
      </c>
      <c r="N448" s="8" t="str">
        <f t="shared" ca="1" si="27"/>
        <v/>
      </c>
      <c r="O448" t="b" cm="1">
        <f t="array" aca="1" ref="O448" ca="1">IF(NOT(ISBLANK(INDIRECT("SEM_IV!R"&amp;INT((ROW(O448)-16)/16)+6))),5,IF(NOT(ISBLANK(INDIRECT("SEM_IV!U"&amp;INT((ROW(O448)-16)/16)+6))),6))</f>
        <v>0</v>
      </c>
      <c r="P448" s="1" t="str">
        <f ca="1">IF(ISERROR(F440),"",IF(ISTEXT(VLOOKUP(B440,INDIRECT($F$8),6+(O448-1)*3)),(VLOOKUP(B440,INDIRECT($F$8),6+(O448-1)*3)),SUM(VLOOKUP(B440,INDIRECT($F$8),6+(O448-1)*3),IF(W452,W448,0))))</f>
        <v/>
      </c>
      <c r="Q448" s="1" t="str">
        <f ca="1">IF(ISERROR(F440),"",VLOOKUP(B440,INDIRECT($F$8),7+(O448-1)*3))</f>
        <v/>
      </c>
      <c r="R448" s="1" t="str">
        <f ca="1">IF(ISERROR(F440),"",SUM(P448:Q448))</f>
        <v/>
      </c>
      <c r="S448" s="1" t="str">
        <f ca="1">IF(ISERROR(F440),"",VLOOKUP(A440,INDIRECT($F$8),6+(O448-1)*3))</f>
        <v/>
      </c>
      <c r="T448" s="1" t="str">
        <f ca="1">IF(ISERROR(F440),"",VLOOKUP(A440,INDIRECT($F$8),7+(O448-1)*3))</f>
        <v/>
      </c>
      <c r="U448" s="1" t="str">
        <f ca="1">IF(ISERROR(F440),"",VLOOKUP(A440,INDIRECT($F$8),8+(O448-1)*3))</f>
        <v/>
      </c>
      <c r="V448" s="1" t="str">
        <f ca="1">IF(ISERROR(F440),"",IF(N448=0,A448,""))</f>
        <v/>
      </c>
      <c r="W448" s="1" t="str">
        <f ca="1">IF(ISERROR(F440),"",IF(ISTEXT(VLOOKUP(B440,INDIRECT($F$8),6+(O448-1)*3)),11,IF(VLOOKUP(B440,INDIRECT($F$8),6+(O448-1)*3)&lt;S448*0.3,IF(VLOOKUP(B440,INDIRECT($F$8),8+(O448-1)*3)&lt;U448*0.4,IF(AND(0.4*U448-VLOOKUP(B440,INDIRECT($F$8),8+(O448-1)*3)&lt;=5,0.3*S448-VLOOKUP(B440,INDIRECT($F$8),6+(O448-1)*3)&lt;=5),MAX(0.4*U448-VLOOKUP(B440,INDIRECT($F$8),8+(O448-1)*3),0.3*S448-VLOOKUP(B440,INDIRECT($F$8),6+(O448-1)*3)),11),IF(0.3*S448-VLOOKUP(B440,INDIRECT($F$8),6+(O448-1)*3)&lt;=5,0.3*S448-VLOOKUP(B440,INDIRECT($F$8),6+(O448-1)*3),11)),IF(VLOOKUP(B440,INDIRECT($F$8),8+(O448-1)*3)&lt;U448*0.4,IF(U448*0.4-VLOOKUP(B440,INDIRECT($F$8),8+(O448-1)*3)&lt;=5,U448*0.4-VLOOKUP(B440,INDIRECT($F$8),8+(O448-1)*3),11),0))))</f>
        <v/>
      </c>
      <c r="X448" s="1" t="str">
        <f ca="1">IF(ISERROR(F440),"",IF(W448=0,"",_xlfn.TEXTJOIN("",FALSE," G+",W448," in ",A448)))</f>
        <v/>
      </c>
    </row>
    <row r="449" spans="1:24" ht="12.75" customHeight="1" x14ac:dyDescent="0.2">
      <c r="A449" s="7" t="str">
        <f ca="1">IF(ISERROR(F440),"",VLOOKUP(C440,INDIRECT($F$8),6+(O449-1)*3,0))</f>
        <v/>
      </c>
      <c r="B449" s="41" t="str">
        <f ca="1">IF(ISERROR(F440),"",VLOOKUP(D440,INDIRECT($F$8),6+(O449-1)*3,0))</f>
        <v/>
      </c>
      <c r="C449" s="41"/>
      <c r="D449" s="41"/>
      <c r="E449" s="41"/>
      <c r="F449" s="7" t="str">
        <f ca="1">IF(ISERROR(F440),"",VLOOKUP(E440,INDIRECT($F$8),6+(O449-1)*3,0))</f>
        <v/>
      </c>
      <c r="G449" s="42" t="str">
        <f ca="1">IF(ISERROR(F440),"",_xlfn.TEXTJOIN("/",FALSE,P449,S449))</f>
        <v/>
      </c>
      <c r="H449" s="42"/>
      <c r="I449" s="42" t="str">
        <f ca="1">IF(ISERROR(F440),"",_xlfn.TEXTJOIN("/",FALSE,Q449,T449))</f>
        <v/>
      </c>
      <c r="J449" s="42"/>
      <c r="K449" s="42" t="str">
        <f ca="1">IF(ISERROR(F440),"",_xlfn.TEXTJOIN("/",FALSE,R449,U449))</f>
        <v/>
      </c>
      <c r="L449" s="42"/>
      <c r="M449" s="7" t="str">
        <f ca="1">IF(ISERROR(F440),"",IF(ISTEXT(P449),IF(P449="A","Ab",IF(P449="D","Dt",IF(P449="UFM","UFM",IF(P449="NA","")))),IF(AND(ISBLANK(P449),ISBLANK(R449)),"",IF(P449&lt;0.3*S449,"F",IF(ISBLANK(R449),"",IF(ISTEXT(R449),R449,IF(R449&gt;=0.9*U449,"O",IF(R449&gt;=0.85*U449,"A+",IF(R449&gt;=0.8*U449,"A",IF(R449&gt;=0.7*U449,"B+",IF(R449&gt;=0.6*U449,"B",IF(R449&gt;=0.5*U449,"C",IF(R449&gt;=0.4*U449,"P",IF(R449&lt;0.4*U449,"F",R449))))))))))))))</f>
        <v/>
      </c>
      <c r="N449" s="8" t="str">
        <f t="shared" ca="1" si="27"/>
        <v/>
      </c>
      <c r="O449">
        <f ca="1">IF(O448&gt;0,7,"")</f>
        <v>7</v>
      </c>
      <c r="P449" s="1" t="str">
        <f ca="1">IF(ISERROR(F440),"",IF(ISTEXT(VLOOKUP(B440,INDIRECT($F$8),6+(O449-1)*3)),(VLOOKUP(B440,INDIRECT($F$8),6+(O449-1)*3)),SUM(VLOOKUP(B440,INDIRECT($F$8),6+(O449-1)*3),IF(W452,W449,0))))</f>
        <v/>
      </c>
      <c r="Q449" s="1" t="str">
        <f ca="1">IF(ISERROR(F440),"",VLOOKUP(B440,INDIRECT($F$8),7+(O449-1)*3))</f>
        <v/>
      </c>
      <c r="R449" s="1" t="str">
        <f ca="1">IF(ISERROR(F440),"",SUM(P449:Q449))</f>
        <v/>
      </c>
      <c r="S449" s="1" t="str">
        <f ca="1">IF(ISERROR(F440),"",VLOOKUP(A440,INDIRECT($F$8),6+(O449-1)*3))</f>
        <v/>
      </c>
      <c r="T449" s="1" t="str">
        <f ca="1">IF(ISERROR(F440),"",VLOOKUP(A440,INDIRECT($F$8),7+(O449-1)*3))</f>
        <v/>
      </c>
      <c r="U449" s="1" t="str">
        <f ca="1">IF(ISERROR(F440),"",VLOOKUP(A440,INDIRECT($F$8),8+(O449-1)*3))</f>
        <v/>
      </c>
      <c r="V449" s="1" t="str">
        <f ca="1">IF(ISERROR(F440),"",IF(N449=0,A449,""))</f>
        <v/>
      </c>
      <c r="W449" s="1" t="str">
        <f ca="1">IF(ISERROR(F440),"",IF(ISTEXT(VLOOKUP(B440,INDIRECT($F$8),6+(O449-1)*3)),11,IF(VLOOKUP(B440,INDIRECT($F$8),6+(O449-1)*3)&lt;S449*0.3,IF(VLOOKUP(B440,INDIRECT($F$8),8+(O449-1)*3)&lt;U449*0.4,IF(AND(0.4*U449-VLOOKUP(B440,INDIRECT($F$8),8+(O449-1)*3)&lt;=5,0.3*S449-VLOOKUP(B440,INDIRECT($F$8),6+(O449-1)*3)&lt;=5),MAX(0.4*U449-VLOOKUP(B440,INDIRECT($F$8),8+(O449-1)*3),0.3*S449-VLOOKUP(B440,INDIRECT($F$8),6+(O449-1)*3)),11),IF(0.3*S449-VLOOKUP(B440,INDIRECT($F$8),6+(O449-1)*3)&lt;=5,0.3*S449-VLOOKUP(B440,INDIRECT($F$8),6+(O449-1)*3),11)),IF(VLOOKUP(B440,INDIRECT($F$8),8+(O449-1)*3)&lt;U449*0.4,IF(U449*0.4-VLOOKUP(B440,INDIRECT($F$8),8+(O449-1)*3)&lt;=5,U449*0.4-VLOOKUP(B440,INDIRECT($F$8),8+(O449-1)*3),11),0))))</f>
        <v/>
      </c>
      <c r="X449" s="1" t="str">
        <f ca="1">IF(ISERROR(F440),"",IF(W449=0,"",_xlfn.TEXTJOIN("",FALSE," G+",W449," in ",A449)))</f>
        <v/>
      </c>
    </row>
    <row r="450" spans="1:24" ht="12.75" customHeight="1" x14ac:dyDescent="0.2">
      <c r="A450" s="7" t="str">
        <f ca="1">IF(ISERROR(F440),"",VLOOKUP(C440,INDIRECT($F$8),6+(O450-1)*3,0))</f>
        <v/>
      </c>
      <c r="B450" s="41" t="str">
        <f ca="1">IF(ISERROR(F440),"",VLOOKUP(D440,INDIRECT($F$8),6+(O450-1)*3,0))</f>
        <v/>
      </c>
      <c r="C450" s="41"/>
      <c r="D450" s="41"/>
      <c r="E450" s="41"/>
      <c r="F450" s="7" t="str">
        <f ca="1">IF(ISERROR(F440),"",VLOOKUP(E440,INDIRECT($F$8),6+(O450-1)*3,0))</f>
        <v/>
      </c>
      <c r="G450" s="42" t="str">
        <f ca="1">IF(ISERROR(F440),"",_xlfn.TEXTJOIN("/",FALSE,P450,S450))</f>
        <v/>
      </c>
      <c r="H450" s="42"/>
      <c r="I450" s="42" t="str">
        <f ca="1">IF(ISERROR(F440),"",_xlfn.TEXTJOIN("/",FALSE,Q450,T450))</f>
        <v/>
      </c>
      <c r="J450" s="42"/>
      <c r="K450" s="42" t="str">
        <f ca="1">IF(ISERROR(F440),"",_xlfn.TEXTJOIN("/",FALSE,R450,U450))</f>
        <v/>
      </c>
      <c r="L450" s="42"/>
      <c r="M450" s="7" t="str">
        <f ca="1">IF(ISERROR(F440),"",IF(ISTEXT(P450),IF(P450="A","Ab",IF(P450="D","Dt",IF(P450="UFM","UFM",IF(P450="NA","")))),IF(AND(ISBLANK(P450),ISBLANK(R450)),"",IF(P450&lt;0.3*S450,"F",IF(ISBLANK(R450),"",IF(ISTEXT(R450),R450,IF(R450&gt;=0.9*U450,"O",IF(R450&gt;=0.85*U450,"A+",IF(R450&gt;=0.8*U450,"A",IF(R450&gt;=0.7*U450,"B+",IF(R450&gt;=0.6*U450,"B",IF(R450&gt;=0.5*U450,"C",IF(R450&gt;=0.4*U450,"P",IF(R450&lt;0.4*U450,"F",R450))))))))))))))</f>
        <v/>
      </c>
      <c r="N450" s="8" t="str">
        <f t="shared" ca="1" si="27"/>
        <v/>
      </c>
      <c r="O450" t="b" cm="1">
        <f t="array" aca="1" ref="O450" ca="1">IF(NOT(ISBLANK(INDIRECT("SEM_IV!AA"&amp;INT((ROW(O450)-18)/16)+6))),8,IF(NOT(ISBLANK(INDIRECT("SEM_IV!AD"&amp;INT((ROW(O450)-18)/16)+6))),9))</f>
        <v>0</v>
      </c>
      <c r="P450" s="1" t="str">
        <f ca="1">IF(ISERROR(F440),"",IF(ISTEXT(VLOOKUP(B440,INDIRECT($F$8),6+(O450-1)*3)),(VLOOKUP(B440,INDIRECT($F$8),6+(O450-1)*3)),SUM(VLOOKUP(B440,INDIRECT($F$8),6+(O450-1)*3),IF(W452,W450,0))))</f>
        <v/>
      </c>
      <c r="Q450" s="1" t="str">
        <f ca="1">IF(ISERROR(F440),"",VLOOKUP(B440,INDIRECT($F$8),7+(O450-1)*3))</f>
        <v/>
      </c>
      <c r="R450" s="1" t="str">
        <f ca="1">IF(ISERROR(F440),"",SUM(P450:Q450))</f>
        <v/>
      </c>
      <c r="S450" s="1" t="str">
        <f ca="1">IF(ISERROR(F440),"",VLOOKUP(A440,INDIRECT($F$8),6+(O450-1)*3))</f>
        <v/>
      </c>
      <c r="T450" s="1" t="str">
        <f ca="1">IF(ISERROR(F440),"",VLOOKUP(A440,INDIRECT($F$8),7+(O450-1)*3))</f>
        <v/>
      </c>
      <c r="U450" s="1" t="str">
        <f ca="1">IF(ISERROR(F440),"",VLOOKUP(A440,INDIRECT($F$8),8+(O450-1)*3))</f>
        <v/>
      </c>
      <c r="V450" s="1" t="str">
        <f ca="1">IF(ISERROR(F440),"",IF(N450=0,A450,""))</f>
        <v/>
      </c>
      <c r="W450" s="1" t="str">
        <f ca="1">IF(ISERROR(F440),"",IF(ISTEXT(VLOOKUP(B440,INDIRECT($F$8),6+(O450-1)*3)),11,IF(VLOOKUP(B440,INDIRECT($F$8),6+(O450-1)*3)&lt;S450*0.3,IF(VLOOKUP(B440,INDIRECT($F$8),8+(O450-1)*3)&lt;U450*0.4,IF(AND(0.4*U450-VLOOKUP(B440,INDIRECT($F$8),8+(O450-1)*3)&lt;=5,0.3*S450-VLOOKUP(B440,INDIRECT($F$8),6+(O450-1)*3)&lt;=5),MAX(0.4*U450-VLOOKUP(B440,INDIRECT($F$8),8+(O450-1)*3),0.3*S450-VLOOKUP(B440,INDIRECT($F$8),6+(O450-1)*3)),11),IF(0.3*S450-VLOOKUP(B440,INDIRECT($F$8),6+(O450-1)*3)&lt;=5,0.3*S450-VLOOKUP(B440,INDIRECT($F$8),6+(O450-1)*3),11)),IF(VLOOKUP(B440,INDIRECT($F$8),8+(O450-1)*3)&lt;U450*0.4,IF(U450*0.4-VLOOKUP(B440,INDIRECT($F$8),8+(O450-1)*3)&lt;=5,U450*0.4-VLOOKUP(B440,INDIRECT($F$8),8+(O450-1)*3),11),0))))</f>
        <v/>
      </c>
      <c r="X450" s="1" t="str">
        <f ca="1">IF(ISERROR(F440),"",IF(W450=0,"",_xlfn.TEXTJOIN("",FALSE," G+",W450," in ",A450)))</f>
        <v/>
      </c>
    </row>
    <row r="451" spans="1:24" ht="12.75" customHeight="1" x14ac:dyDescent="0.2">
      <c r="A451" s="7" t="str">
        <f ca="1">IF(ISERROR(F440),"",VLOOKUP(C440,INDIRECT($F$8),6+(O451-1)*3,0))</f>
        <v/>
      </c>
      <c r="B451" s="41" t="str">
        <f ca="1">IF(ISERROR(F440),"",VLOOKUP(D440,INDIRECT($F$8),6+(O451-1)*3-Z451,0))</f>
        <v/>
      </c>
      <c r="C451" s="41"/>
      <c r="D451" s="41"/>
      <c r="E451" s="41"/>
      <c r="F451" s="7" t="str">
        <f ca="1">IF(ISERROR(F440),"",VLOOKUP(E440,INDIRECT($F$8),6+(O451-1)*3,0))</f>
        <v/>
      </c>
      <c r="G451" s="42" t="str">
        <f ca="1">IF(ISERROR(F440),"",_xlfn.TEXTJOIN("/",FALSE,P451,S451))</f>
        <v/>
      </c>
      <c r="H451" s="42"/>
      <c r="I451" s="42" t="str">
        <f ca="1">IF(ISERROR(F440),"",_xlfn.TEXTJOIN("/",FALSE,Q451,T451))</f>
        <v/>
      </c>
      <c r="J451" s="42"/>
      <c r="K451" s="42" t="str">
        <f ca="1">IF(ISERROR(F440),"",_xlfn.TEXTJOIN("/",FALSE,R451,U451))</f>
        <v/>
      </c>
      <c r="L451" s="42"/>
      <c r="M451" s="7" t="str">
        <f ca="1">IF(ISERROR(F440),"",IF(ISTEXT(P451),IF(P451="A","Ab",IF(P451="D","Dt",IF(P451="UFM","UFM",IF(P451="NA","")))),IF(AND(ISBLANK(P451),ISBLANK(R451)),"",IF(P451&lt;0.3*S451,"F",IF(ISBLANK(R451),"",IF(ISTEXT(R451),R451,IF(R451&gt;=0.9*U451,"O",IF(R451&gt;=0.85*U451,"A+",IF(R451&gt;=0.8*U451,"A",IF(R451&gt;=0.7*U451,"B+",IF(R451&gt;=0.6*U451,"B",IF(R451&gt;=0.5*U451,"C",IF(R451&gt;=0.4*U451,"P",IF(R451&lt;0.4*U451,"F",R451))))))))))))))</f>
        <v/>
      </c>
      <c r="N451" s="8" t="str">
        <f t="shared" ca="1" si="27"/>
        <v/>
      </c>
      <c r="O451">
        <f ca="1">IF(O450&gt;0,10,"")</f>
        <v>10</v>
      </c>
      <c r="P451" s="1" t="str">
        <f ca="1">IF(ISERROR(F440),"",IF(ISTEXT(VLOOKUP(B440,INDIRECT($F$8),6+(O451-1)*3)),(VLOOKUP(B440,INDIRECT($F$8),6+(O451-1)*3)),SUM(VLOOKUP(B440,INDIRECT($F$8),6+(O451-1)*3),IF(W452,W451,0))))</f>
        <v/>
      </c>
      <c r="Q451" s="1" t="str">
        <f ca="1">IF(ISERROR(F440),"",VLOOKUP(B440,INDIRECT($F$8),7+(O451-1)*3))</f>
        <v/>
      </c>
      <c r="R451" s="1" t="str">
        <f ca="1">IF(ISERROR(F440),"",SUM(P451:Q451))</f>
        <v/>
      </c>
      <c r="S451" s="1" t="str">
        <f ca="1">IF(ISERROR(F440),"",VLOOKUP(A440,INDIRECT($F$8),6+(O451-1)*3))</f>
        <v/>
      </c>
      <c r="T451" s="1" t="str">
        <f ca="1">IF(ISERROR(F440),"",VLOOKUP(A440,INDIRECT($F$8),7+(O451-1)*3))</f>
        <v/>
      </c>
      <c r="U451" s="1" t="str">
        <f ca="1">IF(ISERROR(F440),"",VLOOKUP(A440,INDIRECT($F$8),8+(O451-1)*3))</f>
        <v/>
      </c>
      <c r="V451" s="1" t="str">
        <f ca="1">IF(ISERROR(F440),"",IF(N451=0,A451,""))</f>
        <v/>
      </c>
      <c r="W451" s="1" t="str">
        <f ca="1">IF(ISERROR(F440),"",IF(ISTEXT(VLOOKUP(B440,INDIRECT($F$8),6+(O451-1)*3)),11,IF(VLOOKUP(B440,INDIRECT($F$8),6+(O451-1)*3)&lt;S451*0.3,IF(VLOOKUP(B440,INDIRECT($F$8),8+(O451-1)*3)&lt;U451*0.4,IF(AND(0.4*U451-VLOOKUP(B440,INDIRECT($F$8),8+(O451-1)*3)&lt;=5,0.3*S451-VLOOKUP(B440,INDIRECT($F$8),6+(O451-1)*3)&lt;=5),MAX(0.4*U451-VLOOKUP(B440,INDIRECT($F$8),8+(O451-1)*3),0.3*S451-VLOOKUP(B440,INDIRECT($F$8),6+(O451-1)*3)),11),IF(0.3*S451-VLOOKUP(B440,INDIRECT($F$8),6+(O451-1)*3)&lt;=5,0.3*S451-VLOOKUP(B440,INDIRECT($F$8),6+(O451-1)*3),11)),IF(VLOOKUP(B440,INDIRECT($F$8),8+(O451-1)*3)&lt;U451*0.4,IF(U451*0.4-VLOOKUP(B440,INDIRECT($F$8),8+(O451-1)*3)&lt;=5,U451*0.4-VLOOKUP(B440,INDIRECT($F$8),8+(O451-1)*3),11),0))))</f>
        <v/>
      </c>
      <c r="X451" s="1" t="str">
        <f ca="1">IF(ISERROR(F440),"",IF(W451=0,"",_xlfn.TEXTJOIN("",FALSE," G+",W451," in ",A451)))</f>
        <v/>
      </c>
    </row>
    <row r="452" spans="1:24" ht="12.75" customHeight="1" x14ac:dyDescent="0.2">
      <c r="A452" s="43" t="str">
        <f ca="1">IF(ISERROR(F440),"",A436)</f>
        <v/>
      </c>
      <c r="B452" s="43"/>
      <c r="C452" s="43"/>
      <c r="D452" s="43"/>
      <c r="E452" s="43"/>
      <c r="F452" s="10" t="str">
        <f ca="1">IF(ISERROR(F440),"",SUM(F445:F451))</f>
        <v/>
      </c>
      <c r="G452" s="44" t="str">
        <f ca="1">IF(ISERROR(F440),"",_xlfn.TEXTJOIN("/",TRUE,SUMIF(F445:F451,"&gt;0",P445:P451),SUMIF(F445:F451,"&gt;0",S445:S451)))</f>
        <v/>
      </c>
      <c r="H452" s="44"/>
      <c r="I452" s="44" t="str">
        <f ca="1">IF(ISERROR(F440),"",_xlfn.TEXTJOIN("/",TRUE,SUMIF(F445:F451,"&gt;0",Q445:Q451),SUMIF(F445:F451,"&gt;0",T445:T451)))</f>
        <v/>
      </c>
      <c r="J452" s="44"/>
      <c r="K452" s="44" t="str">
        <f ca="1">IF(ISERROR(F440),"",_xlfn.TEXTJOIN("/",TRUE,SUMIF(F445:F451,"&gt;0",R445:R451),SUMIF(F445:F451,"&gt;0",U445:U451)))</f>
        <v/>
      </c>
      <c r="L452" s="44"/>
      <c r="M452" s="43" t="str">
        <f ca="1">IF(ISERROR(F440),"",SUMPRODUCT(N445:N451,F445:F451))</f>
        <v/>
      </c>
      <c r="N452" s="43"/>
      <c r="V452" s="1" t="str">
        <f ca="1">IF(ISERROR(F440),"",_xlfn.TEXTJOIN(", ",TRUE,V445:V451))</f>
        <v/>
      </c>
      <c r="W452" t="str">
        <f ca="1">IF(ISERROR(F440),"",IF(SUM(W445:W451)&lt;=W444,TRUE,FALSE))</f>
        <v/>
      </c>
      <c r="X452" s="1" t="str">
        <f ca="1">IF(ISERROR(F440),"",_xlfn.TEXTJOIN(",",TRUE,X445:X451))</f>
        <v/>
      </c>
    </row>
    <row r="453" spans="1:24" ht="12.75" customHeight="1" x14ac:dyDescent="0.2">
      <c r="A453" s="43" t="str">
        <f ca="1">IF(ISERROR(F440),"",A437)</f>
        <v/>
      </c>
      <c r="B453" s="45" t="str">
        <f ca="1">IF(ISERROR(F440),"",IF(V452="","PASS","CARRY OVER"))</f>
        <v/>
      </c>
      <c r="C453" s="45"/>
      <c r="D453" s="43" t="str">
        <f ca="1">IF(ISERROR(F440),"",D437)</f>
        <v/>
      </c>
      <c r="E453" s="45" t="str">
        <f ca="1">IF(ISERROR(F440),"",IF(V452="",IF(X452="","",X452),_xlfn.TEXTJOIN(" ",TRUE,"BACK IN",V452)))</f>
        <v/>
      </c>
      <c r="F453" s="45"/>
      <c r="G453" s="43" t="str">
        <f ca="1">IF(ISERROR(F440),"",G437)</f>
        <v/>
      </c>
      <c r="H453" s="46" t="str">
        <f ca="1">IF(ISERROR(F440),"",M452/F452)</f>
        <v/>
      </c>
      <c r="I453" s="43" t="str">
        <f ca="1">IF(ISERROR(F440),"",I437)</f>
        <v/>
      </c>
      <c r="J453" s="46" t="str">
        <f ca="1">IF(ISERROR(F440),"",VLOOKUP(B440,INDIRECT($F$8),12+(O451-1)*3,0))</f>
        <v/>
      </c>
      <c r="K453" s="45" t="str">
        <f ca="1">IF(ISERROR(F440),"",K437)</f>
        <v/>
      </c>
      <c r="L453" s="43" t="str">
        <f ca="1">IF(ISERROR(F440),"",SUMIF(N445:N451,"&gt;0",F445:F451))</f>
        <v/>
      </c>
      <c r="M453" s="45" t="str">
        <f ca="1">IF(ISERROR(F440),"",M437)</f>
        <v/>
      </c>
      <c r="N453" s="43" t="str">
        <f ca="1">IF(ISERROR(F440),"",VLOOKUP(B440,INDIRECT($F$8),10+(O451-1)*3,0))</f>
        <v/>
      </c>
    </row>
    <row r="454" spans="1:24" ht="12.75" customHeight="1" x14ac:dyDescent="0.2">
      <c r="A454" s="43"/>
      <c r="B454" s="45"/>
      <c r="C454" s="45"/>
      <c r="D454" s="43"/>
      <c r="E454" s="45"/>
      <c r="F454" s="45"/>
      <c r="G454" s="43"/>
      <c r="H454" s="46"/>
      <c r="I454" s="43"/>
      <c r="J454" s="46"/>
      <c r="K454" s="45"/>
      <c r="L454" s="43"/>
      <c r="M454" s="45"/>
      <c r="N454" s="43"/>
    </row>
    <row r="455" spans="1:24" ht="12.75" customHeight="1" x14ac:dyDescent="0.2">
      <c r="A455" s="43"/>
      <c r="B455" s="45"/>
      <c r="C455" s="45"/>
      <c r="D455" s="43"/>
      <c r="E455" s="45"/>
      <c r="F455" s="45"/>
      <c r="G455" s="43"/>
      <c r="H455" s="46"/>
      <c r="I455" s="43"/>
      <c r="J455" s="46"/>
      <c r="K455" s="45"/>
      <c r="L455" s="43"/>
      <c r="M455" s="45"/>
      <c r="N455" s="43"/>
    </row>
    <row r="456" spans="1:24" ht="12.75" customHeight="1" x14ac:dyDescent="0.2">
      <c r="A456" s="11" t="str">
        <f>A440</f>
        <v>MM</v>
      </c>
      <c r="B456" s="11">
        <f>B440+1</f>
        <v>29</v>
      </c>
      <c r="C456" s="11" t="str">
        <f>C440</f>
        <v>SC</v>
      </c>
      <c r="D456" s="11" t="str">
        <f>D440</f>
        <v>SN</v>
      </c>
      <c r="E456" s="11" t="str">
        <f>E440</f>
        <v>C</v>
      </c>
      <c r="F456" s="11" t="e">
        <f ca="1">VLOOKUP(B456,INDIRECT($F$8),4,0)</f>
        <v>#N/A</v>
      </c>
    </row>
    <row r="457" spans="1:24" ht="12.75" customHeight="1" x14ac:dyDescent="0.2">
      <c r="A457" s="47" t="str">
        <f ca="1">IF(ISERROR(F456),"",A441)</f>
        <v/>
      </c>
      <c r="B457" s="47" t="str">
        <f ca="1">IFERROR(VLOOKUP(B456,INDIRECT($F$8),4,0),"")</f>
        <v/>
      </c>
      <c r="C457" s="47"/>
      <c r="D457" s="47" t="str">
        <f ca="1">IF(ISERROR(F456),"",D441)</f>
        <v/>
      </c>
      <c r="E457" s="47" t="str">
        <f ca="1">IFERROR(VLOOKUP(B456,INDIRECT($F$8),5,0),"")</f>
        <v/>
      </c>
      <c r="F457" s="47"/>
      <c r="G457" s="47" t="str">
        <f ca="1">IF(ISERROR(F456),"",G441)</f>
        <v/>
      </c>
      <c r="H457" s="47"/>
      <c r="I457" s="48" t="str">
        <f ca="1">IFERROR(VLOOKUP(B456,INDIRECT($F$8),2,0),"")</f>
        <v/>
      </c>
      <c r="J457" s="48"/>
      <c r="K457" s="47" t="str">
        <f ca="1">IF(ISERROR(F456),"",K441)</f>
        <v/>
      </c>
      <c r="L457" s="47"/>
      <c r="M457" s="48" t="str">
        <f ca="1">IFERROR(VLOOKUP(B456,INDIRECT($F$8),3,0),"")</f>
        <v/>
      </c>
      <c r="N457" s="48"/>
    </row>
    <row r="458" spans="1:24" ht="12.75" customHeight="1" x14ac:dyDescent="0.2">
      <c r="A458" s="47"/>
      <c r="B458" s="47"/>
      <c r="C458" s="47"/>
      <c r="D458" s="47"/>
      <c r="E458" s="47"/>
      <c r="F458" s="47"/>
      <c r="G458" s="47"/>
      <c r="H458" s="47"/>
      <c r="I458" s="48"/>
      <c r="J458" s="48"/>
      <c r="K458" s="47"/>
      <c r="L458" s="47"/>
      <c r="M458" s="48"/>
      <c r="N458" s="48"/>
    </row>
    <row r="459" spans="1:24" ht="12.75" customHeight="1" x14ac:dyDescent="0.2">
      <c r="A459" s="45" t="str">
        <f ca="1">IF(ISERROR(F456),"",A443)</f>
        <v/>
      </c>
      <c r="B459" s="45" t="str">
        <f ca="1">IF(ISERROR(F456),"",B443)</f>
        <v/>
      </c>
      <c r="C459" s="45"/>
      <c r="D459" s="45"/>
      <c r="E459" s="45"/>
      <c r="F459" s="45" t="str">
        <f ca="1">IF(ISERROR(F456),"",F443)</f>
        <v/>
      </c>
      <c r="G459" s="45" t="str">
        <f ca="1">IF(ISERROR(F456),"",G443)</f>
        <v/>
      </c>
      <c r="H459" s="45"/>
      <c r="I459" s="45" t="str">
        <f ca="1">IF(ISERROR(F456),"",I443)</f>
        <v/>
      </c>
      <c r="J459" s="45"/>
      <c r="K459" s="45" t="str">
        <f ca="1">IF(ISERROR(F456),"",K443)</f>
        <v/>
      </c>
      <c r="L459" s="45"/>
      <c r="M459" s="45" t="str">
        <f ca="1">IF(ISERROR(F456),"",M443)</f>
        <v/>
      </c>
      <c r="N459" s="45" t="str">
        <f ca="1">IF(ISERROR(F456),"",N443)</f>
        <v/>
      </c>
    </row>
    <row r="460" spans="1:24" ht="12.75" customHeight="1" x14ac:dyDescent="0.2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W460" t="e">
        <f ca="1">IF(ISNUMBER(MATCH($F$8,{"I","III","V","VII"},0)),10,10-INDEX(INDIRECT(_xlfn.TEXTJOIN("",TRUE,"SEM_",$G$8,"!",ADDRESS(6,4+$I$8*3+4),":",ADDRESS(5+$H$8,4+$I$8*3+4))),MATCH(INDIRECT(_xlfn.TEXTJOIN("",TRUE,"TC_",$F$8,"!",ADDRESS(ROW(I457),COLUMN(I457)))),INDIRECT(_xlfn.TEXTJOIN("",TRUE,"SEM_",$G$8,"!",ADDRESS(6,2),":",ADDRESS(5+$H$8,2))))))</f>
        <v>#N/A</v>
      </c>
    </row>
    <row r="461" spans="1:24" ht="12.75" customHeight="1" x14ac:dyDescent="0.2">
      <c r="A461" s="7" t="str">
        <f ca="1">IF(ISERROR(F456),"",VLOOKUP(C456,INDIRECT($F$8),6+(O461-1)*3,0))</f>
        <v/>
      </c>
      <c r="B461" s="41" t="str">
        <f ca="1">IF(ISERROR(F456),"",VLOOKUP(D456,INDIRECT($F$8),6+(O461-1)*3,0))</f>
        <v/>
      </c>
      <c r="C461" s="41"/>
      <c r="D461" s="41"/>
      <c r="E461" s="41"/>
      <c r="F461" s="7" t="str">
        <f ca="1">IF(ISERROR(F456),"",VLOOKUP(E456,INDIRECT($F$8),6+(O461-1)*3,0))</f>
        <v/>
      </c>
      <c r="G461" s="42" t="str">
        <f ca="1">IF(ISERROR(F456),"",_xlfn.TEXTJOIN("/",FALSE,P461,S461))</f>
        <v/>
      </c>
      <c r="H461" s="42"/>
      <c r="I461" s="42" t="str">
        <f ca="1">IF(ISERROR(F456),"",_xlfn.TEXTJOIN("/",FALSE,Q461,T461))</f>
        <v/>
      </c>
      <c r="J461" s="42"/>
      <c r="K461" s="42" t="str">
        <f ca="1">IF(ISERROR(F456),"",_xlfn.TEXTJOIN("/",FALSE,R461,U461))</f>
        <v/>
      </c>
      <c r="L461" s="42"/>
      <c r="M461" s="7" t="str">
        <f ca="1">IF(ISERROR(F456),"",IF(ISTEXT(P461),IF(P461="A","Ab",IF(P461="D","Dt",IF(P461="UFM","UFM",IF(P461="NA","")))),IF(AND(ISBLANK(P461),ISBLANK(R461)),"",IF(P461&lt;0.3*S461,"F",IF(ISBLANK(R461),"",IF(ISTEXT(R461),R461,IF(R461&gt;=0.9*U461,"O",IF(R461&gt;=0.85*U461,"A+",IF(R461&gt;=0.8*U461,"A",IF(R461&gt;=0.7*U461,"B+",IF(R461&gt;=0.6*U461,"B",IF(R461&gt;=0.5*U461,"C",IF(R461&gt;=0.4*U461,"P",IF(R461&lt;0.4*U461,"F",R461))))))))))))))</f>
        <v/>
      </c>
      <c r="N461" s="8" t="str">
        <f t="shared" ref="N461:N467" ca="1" si="28">INDEX($Z$2:$Z$13,MATCH(M461,$Y$2:$Y$13,0))</f>
        <v/>
      </c>
      <c r="O461">
        <v>1</v>
      </c>
      <c r="P461" s="1" t="str">
        <f ca="1">IF(ISERROR(F456),"",IF(ISTEXT(VLOOKUP(B456,INDIRECT($F$8),6+(O461-1)*3)),(VLOOKUP(B456,INDIRECT($F$8),6+(O461-1)*3)),SUM(VLOOKUP(B456,INDIRECT($F$8),6+(O461-1)*3),IF(W468,W461,0))))</f>
        <v/>
      </c>
      <c r="Q461" s="1" t="str">
        <f ca="1">IF(ISERROR(F456),"",VLOOKUP(B456,INDIRECT($F$8),7+(O461-1)*3))</f>
        <v/>
      </c>
      <c r="R461" s="1" t="str">
        <f ca="1">IF(ISERROR(F456),"",SUM(P461:Q461))</f>
        <v/>
      </c>
      <c r="S461" s="1" t="str">
        <f ca="1">IF(ISERROR(F456),"",VLOOKUP(A456,INDIRECT($F$8),6+(O461-1)*3))</f>
        <v/>
      </c>
      <c r="T461" s="1" t="str">
        <f ca="1">IF(ISERROR(F456),"",VLOOKUP(A456,INDIRECT($F$8),7+(O461-1)*3))</f>
        <v/>
      </c>
      <c r="U461" s="1" t="str">
        <f ca="1">IF(ISERROR(F456),"",VLOOKUP(A456,INDIRECT($F$8),8+(O461-1)*3))</f>
        <v/>
      </c>
      <c r="V461" s="1" t="str">
        <f ca="1">IF(ISERROR(F456),"",IF(N461=0,A461,""))</f>
        <v/>
      </c>
      <c r="W461" s="1" t="str">
        <f ca="1">IF(ISERROR(F456),"",IF(ISTEXT(VLOOKUP(B456,INDIRECT($F$8),6+(O461-1)*3)),11,IF(VLOOKUP(B456,INDIRECT($F$8),6+(O461-1)*3)&lt;S461*0.3,IF(VLOOKUP(B456,INDIRECT($F$8),8+(O461-1)*3)&lt;U461*0.4,IF(AND(0.4*U461-VLOOKUP(B456,INDIRECT($F$8),8+(O461-1)*3)&lt;=5,0.3*S461-VLOOKUP(B456,INDIRECT($F$8),6+(O461-1)*3)&lt;=5),MAX(0.4*U461-VLOOKUP(B456,INDIRECT($F$8),8+(O461-1)*3),0.3*S461-VLOOKUP(B456,INDIRECT($F$8),6+(O461-1)*3)),11),IF(0.3*S461-VLOOKUP(B456,INDIRECT($F$8),6+(O461-1)*3)&lt;=5,0.3*S461-VLOOKUP(B456,INDIRECT($F$8),6+(O461-1)*3),11)),IF(VLOOKUP(B456,INDIRECT($F$8),8+(O461-1)*3)&lt;U461*0.4,IF(U461*0.4-VLOOKUP(B456,INDIRECT($F$8),8+(O461-1)*3)&lt;=5,U461*0.4-VLOOKUP(B456,INDIRECT($F$8),8+(O461-1)*3),11),0))))</f>
        <v/>
      </c>
      <c r="X461" s="1" t="str">
        <f ca="1">IF(ISERROR(F456),"",IF(W461=0,"",_xlfn.TEXTJOIN("",FALSE," G+",W461," in ",A461)))</f>
        <v/>
      </c>
    </row>
    <row r="462" spans="1:24" ht="12.75" customHeight="1" x14ac:dyDescent="0.2">
      <c r="A462" s="7" t="str">
        <f ca="1">IF(ISERROR(F456),"",VLOOKUP(C456,INDIRECT($F$8),6+(O462-1)*3,0))</f>
        <v/>
      </c>
      <c r="B462" s="41" t="str">
        <f ca="1">IF(ISERROR(F456),"",VLOOKUP(D456,INDIRECT($F$8),6+(O462-1)*3,0))</f>
        <v/>
      </c>
      <c r="C462" s="41"/>
      <c r="D462" s="41"/>
      <c r="E462" s="41"/>
      <c r="F462" s="7" t="str">
        <f ca="1">IF(ISERROR(F456),"",VLOOKUP(E456,INDIRECT($F$8),6+(O462-1)*3,0))</f>
        <v/>
      </c>
      <c r="G462" s="42" t="str">
        <f ca="1">IF(ISERROR(F456),"",_xlfn.TEXTJOIN("/",FALSE,P462,S462))</f>
        <v/>
      </c>
      <c r="H462" s="42"/>
      <c r="I462" s="42" t="str">
        <f ca="1">IF(ISERROR(F456),"",_xlfn.TEXTJOIN("/",FALSE,Q462,T462))</f>
        <v/>
      </c>
      <c r="J462" s="42"/>
      <c r="K462" s="42" t="str">
        <f ca="1">IF(ISERROR(F456),"",_xlfn.TEXTJOIN("/",FALSE,R462,U462))</f>
        <v/>
      </c>
      <c r="L462" s="42"/>
      <c r="M462" s="7" t="str">
        <f ca="1">IF(ISERROR(F456),"",IF(ISTEXT(P462),IF(P462="A","Ab",IF(P462="D","Dt",IF(P462="UFM","UFM",IF(P462="NA","")))),IF(AND(ISBLANK(P462),ISBLANK(R462)),"",IF(P462&lt;0.3*S462,"F",IF(ISBLANK(R462),"",IF(ISTEXT(R462),R462,IF(R462&gt;=0.9*U462,"O",IF(R462&gt;=0.85*U462,"A+",IF(R462&gt;=0.8*U462,"A",IF(R462&gt;=0.7*U462,"B+",IF(R462&gt;=0.6*U462,"B",IF(R462&gt;=0.5*U462,"C",IF(R462&gt;=0.4*U462,"P",IF(R462&lt;0.4*U462,"F",R462))))))))))))))</f>
        <v/>
      </c>
      <c r="N462" s="8" t="str">
        <f t="shared" ca="1" si="28"/>
        <v/>
      </c>
      <c r="O462" t="b" cm="1">
        <f t="array" aca="1" ref="O462" ca="1">IF(NOT(ISBLANK(INDIRECT("SEM_IV!I"&amp;INT((ROW(O462)-14)/16)+6))),2,IF(NOT(ISBLANK(INDIRECT("SEM_IV!L"&amp;INT((ROW(O462)-14)/16)+6))),3))</f>
        <v>0</v>
      </c>
      <c r="P462" s="1" t="str">
        <f ca="1">IF(ISERROR(F456),"",IF(ISTEXT(VLOOKUP(B456,INDIRECT($F$8),6+(O462-1)*3)),(VLOOKUP(B456,INDIRECT($F$8),6+(O462-1)*3)),SUM(VLOOKUP(B456,INDIRECT($F$8),6+(O462-1)*3),IF(W468,W462,0))))</f>
        <v/>
      </c>
      <c r="Q462" s="1" t="str">
        <f ca="1">IF(ISERROR(F456),"",VLOOKUP(B456,INDIRECT($F$8),7+(O462-1)*3))</f>
        <v/>
      </c>
      <c r="R462" s="1" t="str">
        <f ca="1">IF(ISERROR(F456),"",SUM(P462:Q462))</f>
        <v/>
      </c>
      <c r="S462" s="1" t="str">
        <f ca="1">IF(ISERROR(F456),"",VLOOKUP(A456,INDIRECT($F$8),6+(O462-1)*3))</f>
        <v/>
      </c>
      <c r="T462" s="1" t="str">
        <f ca="1">IF(ISERROR(F456),"",VLOOKUP(A456,INDIRECT($F$8),7+(O462-1)*3))</f>
        <v/>
      </c>
      <c r="U462" s="1" t="str">
        <f ca="1">IF(ISERROR(F456),"",VLOOKUP(A456,INDIRECT($F$8),8+(O462-1)*3))</f>
        <v/>
      </c>
      <c r="V462" s="1" t="str">
        <f ca="1">IF(ISERROR(F456),"",IF(N462=0,A462,""))</f>
        <v/>
      </c>
      <c r="W462" s="1" t="str">
        <f ca="1">IF(ISERROR(F456),"",IF(ISTEXT(VLOOKUP(B456,INDIRECT($F$8),6+(O462-1)*3)),11,IF(VLOOKUP(B456,INDIRECT($F$8),6+(O462-1)*3)&lt;S462*0.3,IF(VLOOKUP(B456,INDIRECT($F$8),8+(O462-1)*3)&lt;U462*0.4,IF(AND(0.4*U462-VLOOKUP(B456,INDIRECT($F$8),8+(O462-1)*3)&lt;=5,0.3*S462-VLOOKUP(B456,INDIRECT($F$8),6+(O462-1)*3)&lt;=5),MAX(0.4*U462-VLOOKUP(B456,INDIRECT($F$8),8+(O462-1)*3),0.3*S462-VLOOKUP(B456,INDIRECT($F$8),6+(O462-1)*3)),11),IF(0.3*S462-VLOOKUP(B456,INDIRECT($F$8),6+(O462-1)*3)&lt;=5,0.3*S462-VLOOKUP(B456,INDIRECT($F$8),6+(O462-1)*3),11)),IF(VLOOKUP(B456,INDIRECT($F$8),8+(O462-1)*3)&lt;U462*0.4,IF(U462*0.4-VLOOKUP(B456,INDIRECT($F$8),8+(O462-1)*3)&lt;=5,U462*0.4-VLOOKUP(B456,INDIRECT($F$8),8+(O462-1)*3),11),0))))</f>
        <v/>
      </c>
      <c r="X462" s="1" t="str">
        <f ca="1">IF(ISERROR(F456),"",IF(W462=0,"",_xlfn.TEXTJOIN("",FALSE," G+",W462," in ",A462)))</f>
        <v/>
      </c>
    </row>
    <row r="463" spans="1:24" ht="12.75" customHeight="1" x14ac:dyDescent="0.2">
      <c r="A463" s="7" t="str">
        <f ca="1">IF(ISERROR(F456),"",VLOOKUP(C456,INDIRECT($F$8),6+(O463-1)*3,0))</f>
        <v/>
      </c>
      <c r="B463" s="41" t="str">
        <f ca="1">IF(ISERROR(F456),"",VLOOKUP(D456,INDIRECT($F$8),6+(O463-1)*3,0))</f>
        <v/>
      </c>
      <c r="C463" s="41"/>
      <c r="D463" s="41"/>
      <c r="E463" s="41"/>
      <c r="F463" s="7" t="str">
        <f ca="1">IF(ISERROR(F456),"",VLOOKUP(E456,INDIRECT($F$8),6+(O463-1)*3,0))</f>
        <v/>
      </c>
      <c r="G463" s="42" t="str">
        <f ca="1">IF(ISERROR(F456),"",_xlfn.TEXTJOIN("/",FALSE,P463,S463))</f>
        <v/>
      </c>
      <c r="H463" s="42"/>
      <c r="I463" s="42" t="str">
        <f ca="1">IF(ISERROR(F456),"",_xlfn.TEXTJOIN("/",FALSE,Q463,T463))</f>
        <v/>
      </c>
      <c r="J463" s="42"/>
      <c r="K463" s="42" t="str">
        <f ca="1">IF(ISERROR(F456),"",_xlfn.TEXTJOIN("/",FALSE,R463,U463))</f>
        <v/>
      </c>
      <c r="L463" s="42"/>
      <c r="M463" s="7" t="str">
        <f ca="1">IF(ISERROR(F456),"",IF(ISTEXT(P463),IF(P463="A","Ab",IF(P463="D","Dt",IF(P463="UFM","UFM",IF(P463="NA","")))),IF(AND(ISBLANK(P463),ISBLANK(R463)),"",IF(P463&lt;0.3*S463,"F",IF(ISBLANK(R463),"",IF(ISTEXT(R463),R463,IF(R463&gt;=0.9*U463,"O",IF(R463&gt;=0.85*U463,"A+",IF(R463&gt;=0.8*U463,"A",IF(R463&gt;=0.7*U463,"B+",IF(R463&gt;=0.6*U463,"B",IF(R463&gt;=0.5*U463,"C",IF(R463&gt;=0.4*U463,"P",IF(R463&lt;0.4*U463,"F",R463))))))))))))))</f>
        <v/>
      </c>
      <c r="N463" s="8" t="str">
        <f t="shared" ca="1" si="28"/>
        <v/>
      </c>
      <c r="O463">
        <f ca="1">IF(O462&gt;0,4,"")</f>
        <v>4</v>
      </c>
      <c r="P463" s="1" t="str">
        <f ca="1">IF(ISERROR(F456),"",IF(ISTEXT(VLOOKUP(B456,INDIRECT($F$8),6+(O463-1)*3)),(VLOOKUP(B456,INDIRECT($F$8),6+(O463-1)*3)),SUM(VLOOKUP(B456,INDIRECT($F$8),6+(O463-1)*3),IF(W468,W463,0))))</f>
        <v/>
      </c>
      <c r="Q463" s="1" t="str">
        <f ca="1">IF(ISERROR(F456),"",VLOOKUP(B456,INDIRECT($F$8),7+(O463-1)*3))</f>
        <v/>
      </c>
      <c r="R463" s="1" t="str">
        <f ca="1">IF(ISERROR(F456),"",SUM(P463:Q463))</f>
        <v/>
      </c>
      <c r="S463" s="1" t="str">
        <f ca="1">IF(ISERROR(F456),"",VLOOKUP(A456,INDIRECT($F$8),6+(O463-1)*3))</f>
        <v/>
      </c>
      <c r="T463" s="1" t="str">
        <f ca="1">IF(ISERROR(F456),"",VLOOKUP(A456,INDIRECT($F$8),7+(O463-1)*3))</f>
        <v/>
      </c>
      <c r="U463" s="1" t="str">
        <f ca="1">IF(ISERROR(F456),"",VLOOKUP(A456,INDIRECT($F$8),8+(O463-1)*3))</f>
        <v/>
      </c>
      <c r="V463" s="1" t="str">
        <f ca="1">IF(ISERROR(F456),"",IF(N463=0,A463,""))</f>
        <v/>
      </c>
      <c r="W463" s="1" t="str">
        <f ca="1">IF(ISERROR(F456),"",IF(ISTEXT(VLOOKUP(B456,INDIRECT($F$8),6+(O463-1)*3)),11,IF(VLOOKUP(B456,INDIRECT($F$8),6+(O463-1)*3)&lt;S463*0.3,IF(VLOOKUP(B456,INDIRECT($F$8),8+(O463-1)*3)&lt;U463*0.4,IF(AND(0.4*U463-VLOOKUP(B456,INDIRECT($F$8),8+(O463-1)*3)&lt;=5,0.3*S463-VLOOKUP(B456,INDIRECT($F$8),6+(O463-1)*3)&lt;=5),MAX(0.4*U463-VLOOKUP(B456,INDIRECT($F$8),8+(O463-1)*3),0.3*S463-VLOOKUP(B456,INDIRECT($F$8),6+(O463-1)*3)),11),IF(0.3*S463-VLOOKUP(B456,INDIRECT($F$8),6+(O463-1)*3)&lt;=5,0.3*S463-VLOOKUP(B456,INDIRECT($F$8),6+(O463-1)*3),11)),IF(VLOOKUP(B456,INDIRECT($F$8),8+(O463-1)*3)&lt;U463*0.4,IF(U463*0.4-VLOOKUP(B456,INDIRECT($F$8),8+(O463-1)*3)&lt;=5,U463*0.4-VLOOKUP(B456,INDIRECT($F$8),8+(O463-1)*3),11),0))))</f>
        <v/>
      </c>
      <c r="X463" s="1" t="str">
        <f ca="1">IF(ISERROR(F456),"",IF(W463=0,"",_xlfn.TEXTJOIN("",FALSE," G+",W463," in ",A463)))</f>
        <v/>
      </c>
    </row>
    <row r="464" spans="1:24" ht="12.75" customHeight="1" x14ac:dyDescent="0.2">
      <c r="A464" s="7" t="str">
        <f ca="1">IF(ISERROR(F456),"",VLOOKUP(C456,INDIRECT($F$8),6+(O464-1)*3,0))</f>
        <v/>
      </c>
      <c r="B464" s="41" t="str">
        <f ca="1">IF(ISERROR(F456),"",VLOOKUP(D456,INDIRECT($F$8),6+(O464-1)*3,0))</f>
        <v/>
      </c>
      <c r="C464" s="41"/>
      <c r="D464" s="41"/>
      <c r="E464" s="41"/>
      <c r="F464" s="7" t="str">
        <f ca="1">IF(ISERROR(F456),"",VLOOKUP(E456,INDIRECT($F$8),6+(O464-1)*3,0))</f>
        <v/>
      </c>
      <c r="G464" s="42" t="str">
        <f ca="1">IF(ISERROR(F456),"",_xlfn.TEXTJOIN("/",FALSE,P464,S464))</f>
        <v/>
      </c>
      <c r="H464" s="42"/>
      <c r="I464" s="42" t="str">
        <f ca="1">IF(ISERROR(F456),"",_xlfn.TEXTJOIN("/",FALSE,Q464,T464))</f>
        <v/>
      </c>
      <c r="J464" s="42"/>
      <c r="K464" s="42" t="str">
        <f ca="1">IF(ISERROR(F456),"",_xlfn.TEXTJOIN("/",FALSE,R464,U464))</f>
        <v/>
      </c>
      <c r="L464" s="42"/>
      <c r="M464" s="7" t="str">
        <f ca="1">IF(ISERROR(F456),"",IF(ISTEXT(P464),IF(P464="A","Ab",IF(P464="D","Dt",IF(P464="UFM","UFM",IF(P464="NA","")))),IF(AND(ISBLANK(P464),ISBLANK(R464)),"",IF(P464&lt;0.3*S464,"F",IF(ISBLANK(R464),"",IF(ISTEXT(R464),R464,IF(R464&gt;=0.9*U464,"O",IF(R464&gt;=0.85*U464,"A+",IF(R464&gt;=0.8*U464,"A",IF(R464&gt;=0.7*U464,"B+",IF(R464&gt;=0.6*U464,"B",IF(R464&gt;=0.5*U464,"C",IF(R464&gt;=0.4*U464,"P",IF(R464&lt;0.4*U464,"F",R464))))))))))))))</f>
        <v/>
      </c>
      <c r="N464" s="8" t="str">
        <f t="shared" ca="1" si="28"/>
        <v/>
      </c>
      <c r="O464" t="b" cm="1">
        <f t="array" aca="1" ref="O464" ca="1">IF(NOT(ISBLANK(INDIRECT("SEM_IV!R"&amp;INT((ROW(O464)-16)/16)+6))),5,IF(NOT(ISBLANK(INDIRECT("SEM_IV!U"&amp;INT((ROW(O464)-16)/16)+6))),6))</f>
        <v>0</v>
      </c>
      <c r="P464" s="1" t="str">
        <f ca="1">IF(ISERROR(F456),"",IF(ISTEXT(VLOOKUP(B456,INDIRECT($F$8),6+(O464-1)*3)),(VLOOKUP(B456,INDIRECT($F$8),6+(O464-1)*3)),SUM(VLOOKUP(B456,INDIRECT($F$8),6+(O464-1)*3),IF(W468,W464,0))))</f>
        <v/>
      </c>
      <c r="Q464" s="1" t="str">
        <f ca="1">IF(ISERROR(F456),"",VLOOKUP(B456,INDIRECT($F$8),7+(O464-1)*3))</f>
        <v/>
      </c>
      <c r="R464" s="1" t="str">
        <f ca="1">IF(ISERROR(F456),"",SUM(P464:Q464))</f>
        <v/>
      </c>
      <c r="S464" s="1" t="str">
        <f ca="1">IF(ISERROR(F456),"",VLOOKUP(A456,INDIRECT($F$8),6+(O464-1)*3))</f>
        <v/>
      </c>
      <c r="T464" s="1" t="str">
        <f ca="1">IF(ISERROR(F456),"",VLOOKUP(A456,INDIRECT($F$8),7+(O464-1)*3))</f>
        <v/>
      </c>
      <c r="U464" s="1" t="str">
        <f ca="1">IF(ISERROR(F456),"",VLOOKUP(A456,INDIRECT($F$8),8+(O464-1)*3))</f>
        <v/>
      </c>
      <c r="V464" s="1" t="str">
        <f ca="1">IF(ISERROR(F456),"",IF(N464=0,A464,""))</f>
        <v/>
      </c>
      <c r="W464" s="1" t="str">
        <f ca="1">IF(ISERROR(F456),"",IF(ISTEXT(VLOOKUP(B456,INDIRECT($F$8),6+(O464-1)*3)),11,IF(VLOOKUP(B456,INDIRECT($F$8),6+(O464-1)*3)&lt;S464*0.3,IF(VLOOKUP(B456,INDIRECT($F$8),8+(O464-1)*3)&lt;U464*0.4,IF(AND(0.4*U464-VLOOKUP(B456,INDIRECT($F$8),8+(O464-1)*3)&lt;=5,0.3*S464-VLOOKUP(B456,INDIRECT($F$8),6+(O464-1)*3)&lt;=5),MAX(0.4*U464-VLOOKUP(B456,INDIRECT($F$8),8+(O464-1)*3),0.3*S464-VLOOKUP(B456,INDIRECT($F$8),6+(O464-1)*3)),11),IF(0.3*S464-VLOOKUP(B456,INDIRECT($F$8),6+(O464-1)*3)&lt;=5,0.3*S464-VLOOKUP(B456,INDIRECT($F$8),6+(O464-1)*3),11)),IF(VLOOKUP(B456,INDIRECT($F$8),8+(O464-1)*3)&lt;U464*0.4,IF(U464*0.4-VLOOKUP(B456,INDIRECT($F$8),8+(O464-1)*3)&lt;=5,U464*0.4-VLOOKUP(B456,INDIRECT($F$8),8+(O464-1)*3),11),0))))</f>
        <v/>
      </c>
      <c r="X464" s="1" t="str">
        <f ca="1">IF(ISERROR(F456),"",IF(W464=0,"",_xlfn.TEXTJOIN("",FALSE," G+",W464," in ",A464)))</f>
        <v/>
      </c>
    </row>
    <row r="465" spans="1:24" ht="12.75" customHeight="1" x14ac:dyDescent="0.2">
      <c r="A465" s="7" t="str">
        <f ca="1">IF(ISERROR(F456),"",VLOOKUP(C456,INDIRECT($F$8),6+(O465-1)*3,0))</f>
        <v/>
      </c>
      <c r="B465" s="41" t="str">
        <f ca="1">IF(ISERROR(F456),"",VLOOKUP(D456,INDIRECT($F$8),6+(O465-1)*3,0))</f>
        <v/>
      </c>
      <c r="C465" s="41"/>
      <c r="D465" s="41"/>
      <c r="E465" s="41"/>
      <c r="F465" s="7" t="str">
        <f ca="1">IF(ISERROR(F456),"",VLOOKUP(E456,INDIRECT($F$8),6+(O465-1)*3,0))</f>
        <v/>
      </c>
      <c r="G465" s="42" t="str">
        <f ca="1">IF(ISERROR(F456),"",_xlfn.TEXTJOIN("/",FALSE,P465,S465))</f>
        <v/>
      </c>
      <c r="H465" s="42"/>
      <c r="I465" s="42" t="str">
        <f ca="1">IF(ISERROR(F456),"",_xlfn.TEXTJOIN("/",FALSE,Q465,T465))</f>
        <v/>
      </c>
      <c r="J465" s="42"/>
      <c r="K465" s="42" t="str">
        <f ca="1">IF(ISERROR(F456),"",_xlfn.TEXTJOIN("/",FALSE,R465,U465))</f>
        <v/>
      </c>
      <c r="L465" s="42"/>
      <c r="M465" s="7" t="str">
        <f ca="1">IF(ISERROR(F456),"",IF(ISTEXT(P465),IF(P465="A","Ab",IF(P465="D","Dt",IF(P465="UFM","UFM",IF(P465="NA","")))),IF(AND(ISBLANK(P465),ISBLANK(R465)),"",IF(P465&lt;0.3*S465,"F",IF(ISBLANK(R465),"",IF(ISTEXT(R465),R465,IF(R465&gt;=0.9*U465,"O",IF(R465&gt;=0.85*U465,"A+",IF(R465&gt;=0.8*U465,"A",IF(R465&gt;=0.7*U465,"B+",IF(R465&gt;=0.6*U465,"B",IF(R465&gt;=0.5*U465,"C",IF(R465&gt;=0.4*U465,"P",IF(R465&lt;0.4*U465,"F",R465))))))))))))))</f>
        <v/>
      </c>
      <c r="N465" s="8" t="str">
        <f t="shared" ca="1" si="28"/>
        <v/>
      </c>
      <c r="O465">
        <f ca="1">IF(O464&gt;0,7,"")</f>
        <v>7</v>
      </c>
      <c r="P465" s="1" t="str">
        <f ca="1">IF(ISERROR(F456),"",IF(ISTEXT(VLOOKUP(B456,INDIRECT($F$8),6+(O465-1)*3)),(VLOOKUP(B456,INDIRECT($F$8),6+(O465-1)*3)),SUM(VLOOKUP(B456,INDIRECT($F$8),6+(O465-1)*3),IF(W468,W465,0))))</f>
        <v/>
      </c>
      <c r="Q465" s="1" t="str">
        <f ca="1">IF(ISERROR(F456),"",VLOOKUP(B456,INDIRECT($F$8),7+(O465-1)*3))</f>
        <v/>
      </c>
      <c r="R465" s="1" t="str">
        <f ca="1">IF(ISERROR(F456),"",SUM(P465:Q465))</f>
        <v/>
      </c>
      <c r="S465" s="1" t="str">
        <f ca="1">IF(ISERROR(F456),"",VLOOKUP(A456,INDIRECT($F$8),6+(O465-1)*3))</f>
        <v/>
      </c>
      <c r="T465" s="1" t="str">
        <f ca="1">IF(ISERROR(F456),"",VLOOKUP(A456,INDIRECT($F$8),7+(O465-1)*3))</f>
        <v/>
      </c>
      <c r="U465" s="1" t="str">
        <f ca="1">IF(ISERROR(F456),"",VLOOKUP(A456,INDIRECT($F$8),8+(O465-1)*3))</f>
        <v/>
      </c>
      <c r="V465" s="1" t="str">
        <f ca="1">IF(ISERROR(F456),"",IF(N465=0,A465,""))</f>
        <v/>
      </c>
      <c r="W465" s="1" t="str">
        <f ca="1">IF(ISERROR(F456),"",IF(ISTEXT(VLOOKUP(B456,INDIRECT($F$8),6+(O465-1)*3)),11,IF(VLOOKUP(B456,INDIRECT($F$8),6+(O465-1)*3)&lt;S465*0.3,IF(VLOOKUP(B456,INDIRECT($F$8),8+(O465-1)*3)&lt;U465*0.4,IF(AND(0.4*U465-VLOOKUP(B456,INDIRECT($F$8),8+(O465-1)*3)&lt;=5,0.3*S465-VLOOKUP(B456,INDIRECT($F$8),6+(O465-1)*3)&lt;=5),MAX(0.4*U465-VLOOKUP(B456,INDIRECT($F$8),8+(O465-1)*3),0.3*S465-VLOOKUP(B456,INDIRECT($F$8),6+(O465-1)*3)),11),IF(0.3*S465-VLOOKUP(B456,INDIRECT($F$8),6+(O465-1)*3)&lt;=5,0.3*S465-VLOOKUP(B456,INDIRECT($F$8),6+(O465-1)*3),11)),IF(VLOOKUP(B456,INDIRECT($F$8),8+(O465-1)*3)&lt;U465*0.4,IF(U465*0.4-VLOOKUP(B456,INDIRECT($F$8),8+(O465-1)*3)&lt;=5,U465*0.4-VLOOKUP(B456,INDIRECT($F$8),8+(O465-1)*3),11),0))))</f>
        <v/>
      </c>
      <c r="X465" s="1" t="str">
        <f ca="1">IF(ISERROR(F456),"",IF(W465=0,"",_xlfn.TEXTJOIN("",FALSE," G+",W465," in ",A465)))</f>
        <v/>
      </c>
    </row>
    <row r="466" spans="1:24" ht="12.75" customHeight="1" x14ac:dyDescent="0.2">
      <c r="A466" s="7" t="str">
        <f ca="1">IF(ISERROR(F456),"",VLOOKUP(C456,INDIRECT($F$8),6+(O466-1)*3,0))</f>
        <v/>
      </c>
      <c r="B466" s="41" t="str">
        <f ca="1">IF(ISERROR(F456),"",VLOOKUP(D456,INDIRECT($F$8),6+(O466-1)*3,0))</f>
        <v/>
      </c>
      <c r="C466" s="41"/>
      <c r="D466" s="41"/>
      <c r="E466" s="41"/>
      <c r="F466" s="7" t="str">
        <f ca="1">IF(ISERROR(F456),"",VLOOKUP(E456,INDIRECT($F$8),6+(O466-1)*3,0))</f>
        <v/>
      </c>
      <c r="G466" s="42" t="str">
        <f ca="1">IF(ISERROR(F456),"",_xlfn.TEXTJOIN("/",FALSE,P466,S466))</f>
        <v/>
      </c>
      <c r="H466" s="42"/>
      <c r="I466" s="42" t="str">
        <f ca="1">IF(ISERROR(F456),"",_xlfn.TEXTJOIN("/",FALSE,Q466,T466))</f>
        <v/>
      </c>
      <c r="J466" s="42"/>
      <c r="K466" s="42" t="str">
        <f ca="1">IF(ISERROR(F456),"",_xlfn.TEXTJOIN("/",FALSE,R466,U466))</f>
        <v/>
      </c>
      <c r="L466" s="42"/>
      <c r="M466" s="7" t="str">
        <f ca="1">IF(ISERROR(F456),"",IF(ISTEXT(P466),IF(P466="A","Ab",IF(P466="D","Dt",IF(P466="UFM","UFM",IF(P466="NA","")))),IF(AND(ISBLANK(P466),ISBLANK(R466)),"",IF(P466&lt;0.3*S466,"F",IF(ISBLANK(R466),"",IF(ISTEXT(R466),R466,IF(R466&gt;=0.9*U466,"O",IF(R466&gt;=0.85*U466,"A+",IF(R466&gt;=0.8*U466,"A",IF(R466&gt;=0.7*U466,"B+",IF(R466&gt;=0.6*U466,"B",IF(R466&gt;=0.5*U466,"C",IF(R466&gt;=0.4*U466,"P",IF(R466&lt;0.4*U466,"F",R466))))))))))))))</f>
        <v/>
      </c>
      <c r="N466" s="8" t="str">
        <f t="shared" ca="1" si="28"/>
        <v/>
      </c>
      <c r="O466" t="b" cm="1">
        <f t="array" aca="1" ref="O466" ca="1">IF(NOT(ISBLANK(INDIRECT("SEM_IV!AA"&amp;INT((ROW(O466)-18)/16)+6))),8,IF(NOT(ISBLANK(INDIRECT("SEM_IV!AD"&amp;INT((ROW(O466)-18)/16)+6))),9))</f>
        <v>0</v>
      </c>
      <c r="P466" s="1" t="str">
        <f ca="1">IF(ISERROR(F456),"",IF(ISTEXT(VLOOKUP(B456,INDIRECT($F$8),6+(O466-1)*3)),(VLOOKUP(B456,INDIRECT($F$8),6+(O466-1)*3)),SUM(VLOOKUP(B456,INDIRECT($F$8),6+(O466-1)*3),IF(W468,W466,0))))</f>
        <v/>
      </c>
      <c r="Q466" s="1" t="str">
        <f ca="1">IF(ISERROR(F456),"",VLOOKUP(B456,INDIRECT($F$8),7+(O466-1)*3))</f>
        <v/>
      </c>
      <c r="R466" s="1" t="str">
        <f ca="1">IF(ISERROR(F456),"",SUM(P466:Q466))</f>
        <v/>
      </c>
      <c r="S466" s="1" t="str">
        <f ca="1">IF(ISERROR(F456),"",VLOOKUP(A456,INDIRECT($F$8),6+(O466-1)*3))</f>
        <v/>
      </c>
      <c r="T466" s="1" t="str">
        <f ca="1">IF(ISERROR(F456),"",VLOOKUP(A456,INDIRECT($F$8),7+(O466-1)*3))</f>
        <v/>
      </c>
      <c r="U466" s="1" t="str">
        <f ca="1">IF(ISERROR(F456),"",VLOOKUP(A456,INDIRECT($F$8),8+(O466-1)*3))</f>
        <v/>
      </c>
      <c r="V466" s="1" t="str">
        <f ca="1">IF(ISERROR(F456),"",IF(N466=0,A466,""))</f>
        <v/>
      </c>
      <c r="W466" s="1" t="str">
        <f ca="1">IF(ISERROR(F456),"",IF(ISTEXT(VLOOKUP(B456,INDIRECT($F$8),6+(O466-1)*3)),11,IF(VLOOKUP(B456,INDIRECT($F$8),6+(O466-1)*3)&lt;S466*0.3,IF(VLOOKUP(B456,INDIRECT($F$8),8+(O466-1)*3)&lt;U466*0.4,IF(AND(0.4*U466-VLOOKUP(B456,INDIRECT($F$8),8+(O466-1)*3)&lt;=5,0.3*S466-VLOOKUP(B456,INDIRECT($F$8),6+(O466-1)*3)&lt;=5),MAX(0.4*U466-VLOOKUP(B456,INDIRECT($F$8),8+(O466-1)*3),0.3*S466-VLOOKUP(B456,INDIRECT($F$8),6+(O466-1)*3)),11),IF(0.3*S466-VLOOKUP(B456,INDIRECT($F$8),6+(O466-1)*3)&lt;=5,0.3*S466-VLOOKUP(B456,INDIRECT($F$8),6+(O466-1)*3),11)),IF(VLOOKUP(B456,INDIRECT($F$8),8+(O466-1)*3)&lt;U466*0.4,IF(U466*0.4-VLOOKUP(B456,INDIRECT($F$8),8+(O466-1)*3)&lt;=5,U466*0.4-VLOOKUP(B456,INDIRECT($F$8),8+(O466-1)*3),11),0))))</f>
        <v/>
      </c>
      <c r="X466" s="1" t="str">
        <f ca="1">IF(ISERROR(F456),"",IF(W466=0,"",_xlfn.TEXTJOIN("",FALSE," G+",W466," in ",A466)))</f>
        <v/>
      </c>
    </row>
    <row r="467" spans="1:24" ht="12.75" customHeight="1" x14ac:dyDescent="0.2">
      <c r="A467" s="7" t="str">
        <f ca="1">IF(ISERROR(F456),"",VLOOKUP(C456,INDIRECT($F$8),6+(O467-1)*3,0))</f>
        <v/>
      </c>
      <c r="B467" s="41" t="str">
        <f ca="1">IF(ISERROR(F456),"",VLOOKUP(D456,INDIRECT($F$8),6+(O467-1)*3-Z467,0))</f>
        <v/>
      </c>
      <c r="C467" s="41"/>
      <c r="D467" s="41"/>
      <c r="E467" s="41"/>
      <c r="F467" s="7" t="str">
        <f ca="1">IF(ISERROR(F456),"",VLOOKUP(E456,INDIRECT($F$8),6+(O467-1)*3,0))</f>
        <v/>
      </c>
      <c r="G467" s="42" t="str">
        <f ca="1">IF(ISERROR(F456),"",_xlfn.TEXTJOIN("/",FALSE,P467,S467))</f>
        <v/>
      </c>
      <c r="H467" s="42"/>
      <c r="I467" s="42" t="str">
        <f ca="1">IF(ISERROR(F456),"",_xlfn.TEXTJOIN("/",FALSE,Q467,T467))</f>
        <v/>
      </c>
      <c r="J467" s="42"/>
      <c r="K467" s="42" t="str">
        <f ca="1">IF(ISERROR(F456),"",_xlfn.TEXTJOIN("/",FALSE,R467,U467))</f>
        <v/>
      </c>
      <c r="L467" s="42"/>
      <c r="M467" s="7" t="str">
        <f ca="1">IF(ISERROR(F456),"",IF(ISTEXT(P467),IF(P467="A","Ab",IF(P467="D","Dt",IF(P467="UFM","UFM",IF(P467="NA","")))),IF(AND(ISBLANK(P467),ISBLANK(R467)),"",IF(P467&lt;0.3*S467,"F",IF(ISBLANK(R467),"",IF(ISTEXT(R467),R467,IF(R467&gt;=0.9*U467,"O",IF(R467&gt;=0.85*U467,"A+",IF(R467&gt;=0.8*U467,"A",IF(R467&gt;=0.7*U467,"B+",IF(R467&gt;=0.6*U467,"B",IF(R467&gt;=0.5*U467,"C",IF(R467&gt;=0.4*U467,"P",IF(R467&lt;0.4*U467,"F",R467))))))))))))))</f>
        <v/>
      </c>
      <c r="N467" s="8" t="str">
        <f t="shared" ca="1" si="28"/>
        <v/>
      </c>
      <c r="O467">
        <f ca="1">IF(O466&gt;0,10,"")</f>
        <v>10</v>
      </c>
      <c r="P467" s="1" t="str">
        <f ca="1">IF(ISERROR(F456),"",IF(ISTEXT(VLOOKUP(B456,INDIRECT($F$8),6+(O467-1)*3)),(VLOOKUP(B456,INDIRECT($F$8),6+(O467-1)*3)),SUM(VLOOKUP(B456,INDIRECT($F$8),6+(O467-1)*3),IF(W468,W467,0))))</f>
        <v/>
      </c>
      <c r="Q467" s="1" t="str">
        <f ca="1">IF(ISERROR(F456),"",VLOOKUP(B456,INDIRECT($F$8),7+(O467-1)*3))</f>
        <v/>
      </c>
      <c r="R467" s="1" t="str">
        <f ca="1">IF(ISERROR(F456),"",SUM(P467:Q467))</f>
        <v/>
      </c>
      <c r="S467" s="1" t="str">
        <f ca="1">IF(ISERROR(F456),"",VLOOKUP(A456,INDIRECT($F$8),6+(O467-1)*3))</f>
        <v/>
      </c>
      <c r="T467" s="1" t="str">
        <f ca="1">IF(ISERROR(F456),"",VLOOKUP(A456,INDIRECT($F$8),7+(O467-1)*3))</f>
        <v/>
      </c>
      <c r="U467" s="1" t="str">
        <f ca="1">IF(ISERROR(F456),"",VLOOKUP(A456,INDIRECT($F$8),8+(O467-1)*3))</f>
        <v/>
      </c>
      <c r="V467" s="1" t="str">
        <f ca="1">IF(ISERROR(F456),"",IF(N467=0,A467,""))</f>
        <v/>
      </c>
      <c r="W467" s="1" t="str">
        <f ca="1">IF(ISERROR(F456),"",IF(ISTEXT(VLOOKUP(B456,INDIRECT($F$8),6+(O467-1)*3)),11,IF(VLOOKUP(B456,INDIRECT($F$8),6+(O467-1)*3)&lt;S467*0.3,IF(VLOOKUP(B456,INDIRECT($F$8),8+(O467-1)*3)&lt;U467*0.4,IF(AND(0.4*U467-VLOOKUP(B456,INDIRECT($F$8),8+(O467-1)*3)&lt;=5,0.3*S467-VLOOKUP(B456,INDIRECT($F$8),6+(O467-1)*3)&lt;=5),MAX(0.4*U467-VLOOKUP(B456,INDIRECT($F$8),8+(O467-1)*3),0.3*S467-VLOOKUP(B456,INDIRECT($F$8),6+(O467-1)*3)),11),IF(0.3*S467-VLOOKUP(B456,INDIRECT($F$8),6+(O467-1)*3)&lt;=5,0.3*S467-VLOOKUP(B456,INDIRECT($F$8),6+(O467-1)*3),11)),IF(VLOOKUP(B456,INDIRECT($F$8),8+(O467-1)*3)&lt;U467*0.4,IF(U467*0.4-VLOOKUP(B456,INDIRECT($F$8),8+(O467-1)*3)&lt;=5,U467*0.4-VLOOKUP(B456,INDIRECT($F$8),8+(O467-1)*3),11),0))))</f>
        <v/>
      </c>
      <c r="X467" s="1" t="str">
        <f ca="1">IF(ISERROR(F456),"",IF(W467=0,"",_xlfn.TEXTJOIN("",FALSE," G+",W467," in ",A467)))</f>
        <v/>
      </c>
    </row>
    <row r="468" spans="1:24" ht="12.75" customHeight="1" x14ac:dyDescent="0.2">
      <c r="A468" s="43" t="str">
        <f ca="1">IF(ISERROR(F456),"",A452)</f>
        <v/>
      </c>
      <c r="B468" s="43"/>
      <c r="C468" s="43"/>
      <c r="D468" s="43"/>
      <c r="E468" s="43"/>
      <c r="F468" s="10" t="str">
        <f ca="1">IF(ISERROR(F456),"",SUM(F461:F467))</f>
        <v/>
      </c>
      <c r="G468" s="44" t="str">
        <f ca="1">IF(ISERROR(F456),"",_xlfn.TEXTJOIN("/",TRUE,SUMIF(F461:F467,"&gt;0",P461:P467),SUMIF(F461:F467,"&gt;0",S461:S467)))</f>
        <v/>
      </c>
      <c r="H468" s="44"/>
      <c r="I468" s="44" t="str">
        <f ca="1">IF(ISERROR(F456),"",_xlfn.TEXTJOIN("/",TRUE,SUMIF(F461:F467,"&gt;0",Q461:Q467),SUMIF(F461:F467,"&gt;0",T461:T467)))</f>
        <v/>
      </c>
      <c r="J468" s="44"/>
      <c r="K468" s="44" t="str">
        <f ca="1">IF(ISERROR(F456),"",_xlfn.TEXTJOIN("/",TRUE,SUMIF(F461:F467,"&gt;0",R461:R467),SUMIF(F461:F467,"&gt;0",U461:U467)))</f>
        <v/>
      </c>
      <c r="L468" s="44"/>
      <c r="M468" s="43" t="str">
        <f ca="1">IF(ISERROR(F456),"",SUMPRODUCT(N461:N467,F461:F467))</f>
        <v/>
      </c>
      <c r="N468" s="43"/>
      <c r="V468" s="1" t="str">
        <f ca="1">IF(ISERROR(F456),"",_xlfn.TEXTJOIN(", ",TRUE,V461:V467))</f>
        <v/>
      </c>
      <c r="W468" t="str">
        <f ca="1">IF(ISERROR(F456),"",IF(SUM(W461:W467)&lt;=W460,TRUE,FALSE))</f>
        <v/>
      </c>
      <c r="X468" s="1" t="str">
        <f ca="1">IF(ISERROR(F456),"",_xlfn.TEXTJOIN(",",TRUE,X461:X467))</f>
        <v/>
      </c>
    </row>
    <row r="469" spans="1:24" ht="12.75" customHeight="1" x14ac:dyDescent="0.2">
      <c r="A469" s="43" t="str">
        <f ca="1">IF(ISERROR(F456),"",A453)</f>
        <v/>
      </c>
      <c r="B469" s="45" t="str">
        <f ca="1">IF(ISERROR(F456),"",IF(V468="","PASS","CARRY OVER"))</f>
        <v/>
      </c>
      <c r="C469" s="45"/>
      <c r="D469" s="43" t="str">
        <f ca="1">IF(ISERROR(F456),"",D453)</f>
        <v/>
      </c>
      <c r="E469" s="45" t="str">
        <f ca="1">IF(ISERROR(F456),"",IF(V468="",IF(X468="","",X468),_xlfn.TEXTJOIN(" ",TRUE,"BACK IN",V468)))</f>
        <v/>
      </c>
      <c r="F469" s="45"/>
      <c r="G469" s="43" t="str">
        <f ca="1">IF(ISERROR(F456),"",G453)</f>
        <v/>
      </c>
      <c r="H469" s="46" t="str">
        <f ca="1">IF(ISERROR(F456),"",M468/F468)</f>
        <v/>
      </c>
      <c r="I469" s="43" t="str">
        <f ca="1">IF(ISERROR(F456),"",I453)</f>
        <v/>
      </c>
      <c r="J469" s="46" t="str">
        <f ca="1">IF(ISERROR(F456),"",VLOOKUP(B456,INDIRECT($F$8),12+(O467-1)*3,0))</f>
        <v/>
      </c>
      <c r="K469" s="45" t="str">
        <f ca="1">IF(ISERROR(F456),"",K453)</f>
        <v/>
      </c>
      <c r="L469" s="43" t="str">
        <f ca="1">IF(ISERROR(F456),"",SUMIF(N461:N467,"&gt;0",F461:F467))</f>
        <v/>
      </c>
      <c r="M469" s="45" t="str">
        <f ca="1">IF(ISERROR(F456),"",M453)</f>
        <v/>
      </c>
      <c r="N469" s="43" t="str">
        <f ca="1">IF(ISERROR(F456),"",VLOOKUP(B456,INDIRECT($F$8),10+(O467-1)*3,0))</f>
        <v/>
      </c>
    </row>
    <row r="470" spans="1:24" ht="12.75" customHeight="1" x14ac:dyDescent="0.2">
      <c r="A470" s="43"/>
      <c r="B470" s="45"/>
      <c r="C470" s="45"/>
      <c r="D470" s="43"/>
      <c r="E470" s="45"/>
      <c r="F470" s="45"/>
      <c r="G470" s="43"/>
      <c r="H470" s="46"/>
      <c r="I470" s="43"/>
      <c r="J470" s="46"/>
      <c r="K470" s="45"/>
      <c r="L470" s="43"/>
      <c r="M470" s="45"/>
      <c r="N470" s="43"/>
    </row>
    <row r="471" spans="1:24" ht="12.75" customHeight="1" x14ac:dyDescent="0.2">
      <c r="A471" s="43"/>
      <c r="B471" s="45"/>
      <c r="C471" s="45"/>
      <c r="D471" s="43"/>
      <c r="E471" s="45"/>
      <c r="F471" s="45"/>
      <c r="G471" s="43"/>
      <c r="H471" s="46"/>
      <c r="I471" s="43"/>
      <c r="J471" s="46"/>
      <c r="K471" s="45"/>
      <c r="L471" s="43"/>
      <c r="M471" s="45"/>
      <c r="N471" s="43"/>
    </row>
    <row r="472" spans="1:24" ht="12.75" customHeight="1" x14ac:dyDescent="0.2">
      <c r="A472" s="11" t="str">
        <f>A456</f>
        <v>MM</v>
      </c>
      <c r="B472" s="11">
        <f>B456+1</f>
        <v>30</v>
      </c>
      <c r="C472" s="11" t="str">
        <f>C456</f>
        <v>SC</v>
      </c>
      <c r="D472" s="11" t="str">
        <f>D456</f>
        <v>SN</v>
      </c>
      <c r="E472" s="11" t="str">
        <f>E456</f>
        <v>C</v>
      </c>
      <c r="F472" s="11" t="e">
        <f ca="1">VLOOKUP(B472,INDIRECT($F$8),4,0)</f>
        <v>#N/A</v>
      </c>
    </row>
    <row r="473" spans="1:24" ht="12.75" customHeight="1" x14ac:dyDescent="0.2">
      <c r="A473" s="47" t="str">
        <f ca="1">IF(ISERROR(F472),"",A457)</f>
        <v/>
      </c>
      <c r="B473" s="47" t="str">
        <f ca="1">IFERROR(VLOOKUP(B472,INDIRECT($F$8),4,0),"")</f>
        <v/>
      </c>
      <c r="C473" s="47"/>
      <c r="D473" s="47" t="str">
        <f ca="1">IF(ISERROR(F472),"",D457)</f>
        <v/>
      </c>
      <c r="E473" s="47" t="str">
        <f ca="1">IFERROR(VLOOKUP(B472,INDIRECT($F$8),5,0),"")</f>
        <v/>
      </c>
      <c r="F473" s="47"/>
      <c r="G473" s="47" t="str">
        <f ca="1">IF(ISERROR(F472),"",G457)</f>
        <v/>
      </c>
      <c r="H473" s="47"/>
      <c r="I473" s="48" t="str">
        <f ca="1">IFERROR(VLOOKUP(B472,INDIRECT($F$8),2,0),"")</f>
        <v/>
      </c>
      <c r="J473" s="48"/>
      <c r="K473" s="47" t="str">
        <f ca="1">IF(ISERROR(F472),"",K457)</f>
        <v/>
      </c>
      <c r="L473" s="47"/>
      <c r="M473" s="48" t="str">
        <f ca="1">IFERROR(VLOOKUP(B472,INDIRECT($F$8),3,0),"")</f>
        <v/>
      </c>
      <c r="N473" s="48"/>
    </row>
    <row r="474" spans="1:24" ht="12.75" customHeight="1" x14ac:dyDescent="0.2">
      <c r="A474" s="47"/>
      <c r="B474" s="47"/>
      <c r="C474" s="47"/>
      <c r="D474" s="47"/>
      <c r="E474" s="47"/>
      <c r="F474" s="47"/>
      <c r="G474" s="47"/>
      <c r="H474" s="47"/>
      <c r="I474" s="48"/>
      <c r="J474" s="48"/>
      <c r="K474" s="47"/>
      <c r="L474" s="47"/>
      <c r="M474" s="48"/>
      <c r="N474" s="48"/>
    </row>
    <row r="475" spans="1:24" ht="12.75" customHeight="1" x14ac:dyDescent="0.2">
      <c r="A475" s="45" t="str">
        <f ca="1">IF(ISERROR(F472),"",A459)</f>
        <v/>
      </c>
      <c r="B475" s="45" t="str">
        <f ca="1">IF(ISERROR(F472),"",B459)</f>
        <v/>
      </c>
      <c r="C475" s="45"/>
      <c r="D475" s="45"/>
      <c r="E475" s="45"/>
      <c r="F475" s="45" t="str">
        <f ca="1">IF(ISERROR(F472),"",F459)</f>
        <v/>
      </c>
      <c r="G475" s="45" t="str">
        <f ca="1">IF(ISERROR(F472),"",G459)</f>
        <v/>
      </c>
      <c r="H475" s="45"/>
      <c r="I475" s="45" t="str">
        <f ca="1">IF(ISERROR(F472),"",I459)</f>
        <v/>
      </c>
      <c r="J475" s="45"/>
      <c r="K475" s="45" t="str">
        <f ca="1">IF(ISERROR(F472),"",K459)</f>
        <v/>
      </c>
      <c r="L475" s="45"/>
      <c r="M475" s="45" t="str">
        <f ca="1">IF(ISERROR(F472),"",M459)</f>
        <v/>
      </c>
      <c r="N475" s="45" t="str">
        <f ca="1">IF(ISERROR(F472),"",N459)</f>
        <v/>
      </c>
    </row>
    <row r="476" spans="1:24" ht="12.75" customHeight="1" x14ac:dyDescent="0.2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W476" t="e">
        <f ca="1">IF(ISNUMBER(MATCH($F$8,{"I","III","V","VII"},0)),10,10-INDEX(INDIRECT(_xlfn.TEXTJOIN("",TRUE,"SEM_",$G$8,"!",ADDRESS(6,4+$I$8*3+4),":",ADDRESS(5+$H$8,4+$I$8*3+4))),MATCH(INDIRECT(_xlfn.TEXTJOIN("",TRUE,"TC_",$F$8,"!",ADDRESS(ROW(I473),COLUMN(I473)))),INDIRECT(_xlfn.TEXTJOIN("",TRUE,"SEM_",$G$8,"!",ADDRESS(6,2),":",ADDRESS(5+$H$8,2))))))</f>
        <v>#N/A</v>
      </c>
    </row>
    <row r="477" spans="1:24" ht="12.75" customHeight="1" x14ac:dyDescent="0.2">
      <c r="A477" s="7" t="str">
        <f ca="1">IF(ISERROR(F472),"",VLOOKUP(C472,INDIRECT($F$8),6+(O477-1)*3,0))</f>
        <v/>
      </c>
      <c r="B477" s="41" t="str">
        <f ca="1">IF(ISERROR(F472),"",VLOOKUP(D472,INDIRECT($F$8),6+(O477-1)*3,0))</f>
        <v/>
      </c>
      <c r="C477" s="41"/>
      <c r="D477" s="41"/>
      <c r="E477" s="41"/>
      <c r="F477" s="7" t="str">
        <f ca="1">IF(ISERROR(F472),"",VLOOKUP(E472,INDIRECT($F$8),6+(O477-1)*3,0))</f>
        <v/>
      </c>
      <c r="G477" s="42" t="str">
        <f ca="1">IF(ISERROR(F472),"",_xlfn.TEXTJOIN("/",FALSE,P477,S477))</f>
        <v/>
      </c>
      <c r="H477" s="42"/>
      <c r="I477" s="42" t="str">
        <f ca="1">IF(ISERROR(F472),"",_xlfn.TEXTJOIN("/",FALSE,Q477,T477))</f>
        <v/>
      </c>
      <c r="J477" s="42"/>
      <c r="K477" s="42" t="str">
        <f ca="1">IF(ISERROR(F472),"",_xlfn.TEXTJOIN("/",FALSE,R477,U477))</f>
        <v/>
      </c>
      <c r="L477" s="42"/>
      <c r="M477" s="7" t="str">
        <f ca="1">IF(ISERROR(F472),"",IF(ISTEXT(P477),IF(P477="A","Ab",IF(P477="D","Dt",IF(P477="UFM","UFM",IF(P477="NA","")))),IF(AND(ISBLANK(P477),ISBLANK(R477)),"",IF(P477&lt;0.3*S477,"F",IF(ISBLANK(R477),"",IF(ISTEXT(R477),R477,IF(R477&gt;=0.9*U477,"O",IF(R477&gt;=0.85*U477,"A+",IF(R477&gt;=0.8*U477,"A",IF(R477&gt;=0.7*U477,"B+",IF(R477&gt;=0.6*U477,"B",IF(R477&gt;=0.5*U477,"C",IF(R477&gt;=0.4*U477,"P",IF(R477&lt;0.4*U477,"F",R477))))))))))))))</f>
        <v/>
      </c>
      <c r="N477" s="8" t="str">
        <f t="shared" ref="N477:N483" ca="1" si="29">INDEX($Z$2:$Z$13,MATCH(M477,$Y$2:$Y$13,0))</f>
        <v/>
      </c>
      <c r="O477">
        <v>1</v>
      </c>
      <c r="P477" s="1" t="str">
        <f ca="1">IF(ISERROR(F472),"",IF(ISTEXT(VLOOKUP(B472,INDIRECT($F$8),6+(O477-1)*3)),(VLOOKUP(B472,INDIRECT($F$8),6+(O477-1)*3)),SUM(VLOOKUP(B472,INDIRECT($F$8),6+(O477-1)*3),IF(W484,W477,0))))</f>
        <v/>
      </c>
      <c r="Q477" s="1" t="str">
        <f ca="1">IF(ISERROR(F472),"",VLOOKUP(B472,INDIRECT($F$8),7+(O477-1)*3))</f>
        <v/>
      </c>
      <c r="R477" s="1" t="str">
        <f ca="1">IF(ISERROR(F472),"",SUM(P477:Q477))</f>
        <v/>
      </c>
      <c r="S477" s="1" t="str">
        <f ca="1">IF(ISERROR(F472),"",VLOOKUP(A472,INDIRECT($F$8),6+(O477-1)*3))</f>
        <v/>
      </c>
      <c r="T477" s="1" t="str">
        <f ca="1">IF(ISERROR(F472),"",VLOOKUP(A472,INDIRECT($F$8),7+(O477-1)*3))</f>
        <v/>
      </c>
      <c r="U477" s="1" t="str">
        <f ca="1">IF(ISERROR(F472),"",VLOOKUP(A472,INDIRECT($F$8),8+(O477-1)*3))</f>
        <v/>
      </c>
      <c r="V477" s="1" t="str">
        <f ca="1">IF(ISERROR(F472),"",IF(N477=0,A477,""))</f>
        <v/>
      </c>
      <c r="W477" s="1" t="str">
        <f ca="1">IF(ISERROR(F472),"",IF(ISTEXT(VLOOKUP(B472,INDIRECT($F$8),6+(O477-1)*3)),11,IF(VLOOKUP(B472,INDIRECT($F$8),6+(O477-1)*3)&lt;S477*0.3,IF(VLOOKUP(B472,INDIRECT($F$8),8+(O477-1)*3)&lt;U477*0.4,IF(AND(0.4*U477-VLOOKUP(B472,INDIRECT($F$8),8+(O477-1)*3)&lt;=5,0.3*S477-VLOOKUP(B472,INDIRECT($F$8),6+(O477-1)*3)&lt;=5),MAX(0.4*U477-VLOOKUP(B472,INDIRECT($F$8),8+(O477-1)*3),0.3*S477-VLOOKUP(B472,INDIRECT($F$8),6+(O477-1)*3)),11),IF(0.3*S477-VLOOKUP(B472,INDIRECT($F$8),6+(O477-1)*3)&lt;=5,0.3*S477-VLOOKUP(B472,INDIRECT($F$8),6+(O477-1)*3),11)),IF(VLOOKUP(B472,INDIRECT($F$8),8+(O477-1)*3)&lt;U477*0.4,IF(U477*0.4-VLOOKUP(B472,INDIRECT($F$8),8+(O477-1)*3)&lt;=5,U477*0.4-VLOOKUP(B472,INDIRECT($F$8),8+(O477-1)*3),11),0))))</f>
        <v/>
      </c>
      <c r="X477" s="1" t="str">
        <f ca="1">IF(ISERROR(F472),"",IF(W477=0,"",_xlfn.TEXTJOIN("",FALSE," G+",W477," in ",A477)))</f>
        <v/>
      </c>
    </row>
    <row r="478" spans="1:24" ht="12.75" customHeight="1" x14ac:dyDescent="0.2">
      <c r="A478" s="7" t="str">
        <f ca="1">IF(ISERROR(F472),"",VLOOKUP(C472,INDIRECT($F$8),6+(O478-1)*3,0))</f>
        <v/>
      </c>
      <c r="B478" s="41" t="str">
        <f ca="1">IF(ISERROR(F472),"",VLOOKUP(D472,INDIRECT($F$8),6+(O478-1)*3,0))</f>
        <v/>
      </c>
      <c r="C478" s="41"/>
      <c r="D478" s="41"/>
      <c r="E478" s="41"/>
      <c r="F478" s="7" t="str">
        <f ca="1">IF(ISERROR(F472),"",VLOOKUP(E472,INDIRECT($F$8),6+(O478-1)*3,0))</f>
        <v/>
      </c>
      <c r="G478" s="42" t="str">
        <f ca="1">IF(ISERROR(F472),"",_xlfn.TEXTJOIN("/",FALSE,P478,S478))</f>
        <v/>
      </c>
      <c r="H478" s="42"/>
      <c r="I478" s="42" t="str">
        <f ca="1">IF(ISERROR(F472),"",_xlfn.TEXTJOIN("/",FALSE,Q478,T478))</f>
        <v/>
      </c>
      <c r="J478" s="42"/>
      <c r="K478" s="42" t="str">
        <f ca="1">IF(ISERROR(F472),"",_xlfn.TEXTJOIN("/",FALSE,R478,U478))</f>
        <v/>
      </c>
      <c r="L478" s="42"/>
      <c r="M478" s="7" t="str">
        <f ca="1">IF(ISERROR(F472),"",IF(ISTEXT(P478),IF(P478="A","Ab",IF(P478="D","Dt",IF(P478="UFM","UFM",IF(P478="NA","")))),IF(AND(ISBLANK(P478),ISBLANK(R478)),"",IF(P478&lt;0.3*S478,"F",IF(ISBLANK(R478),"",IF(ISTEXT(R478),R478,IF(R478&gt;=0.9*U478,"O",IF(R478&gt;=0.85*U478,"A+",IF(R478&gt;=0.8*U478,"A",IF(R478&gt;=0.7*U478,"B+",IF(R478&gt;=0.6*U478,"B",IF(R478&gt;=0.5*U478,"C",IF(R478&gt;=0.4*U478,"P",IF(R478&lt;0.4*U478,"F",R478))))))))))))))</f>
        <v/>
      </c>
      <c r="N478" s="8" t="str">
        <f t="shared" ca="1" si="29"/>
        <v/>
      </c>
      <c r="O478" t="b" cm="1">
        <f t="array" aca="1" ref="O478" ca="1">IF(NOT(ISBLANK(INDIRECT("SEM_IV!I"&amp;INT((ROW(O478)-14)/16)+6))),2,IF(NOT(ISBLANK(INDIRECT("SEM_IV!L"&amp;INT((ROW(O478)-14)/16)+6))),3))</f>
        <v>0</v>
      </c>
      <c r="P478" s="1" t="str">
        <f ca="1">IF(ISERROR(F472),"",IF(ISTEXT(VLOOKUP(B472,INDIRECT($F$8),6+(O478-1)*3)),(VLOOKUP(B472,INDIRECT($F$8),6+(O478-1)*3)),SUM(VLOOKUP(B472,INDIRECT($F$8),6+(O478-1)*3),IF(W484,W478,0))))</f>
        <v/>
      </c>
      <c r="Q478" s="1" t="str">
        <f ca="1">IF(ISERROR(F472),"",VLOOKUP(B472,INDIRECT($F$8),7+(O478-1)*3))</f>
        <v/>
      </c>
      <c r="R478" s="1" t="str">
        <f ca="1">IF(ISERROR(F472),"",SUM(P478:Q478))</f>
        <v/>
      </c>
      <c r="S478" s="1" t="str">
        <f ca="1">IF(ISERROR(F472),"",VLOOKUP(A472,INDIRECT($F$8),6+(O478-1)*3))</f>
        <v/>
      </c>
      <c r="T478" s="1" t="str">
        <f ca="1">IF(ISERROR(F472),"",VLOOKUP(A472,INDIRECT($F$8),7+(O478-1)*3))</f>
        <v/>
      </c>
      <c r="U478" s="1" t="str">
        <f ca="1">IF(ISERROR(F472),"",VLOOKUP(A472,INDIRECT($F$8),8+(O478-1)*3))</f>
        <v/>
      </c>
      <c r="V478" s="1" t="str">
        <f ca="1">IF(ISERROR(F472),"",IF(N478=0,A478,""))</f>
        <v/>
      </c>
      <c r="W478" s="1" t="str">
        <f ca="1">IF(ISERROR(F472),"",IF(ISTEXT(VLOOKUP(B472,INDIRECT($F$8),6+(O478-1)*3)),11,IF(VLOOKUP(B472,INDIRECT($F$8),6+(O478-1)*3)&lt;S478*0.3,IF(VLOOKUP(B472,INDIRECT($F$8),8+(O478-1)*3)&lt;U478*0.4,IF(AND(0.4*U478-VLOOKUP(B472,INDIRECT($F$8),8+(O478-1)*3)&lt;=5,0.3*S478-VLOOKUP(B472,INDIRECT($F$8),6+(O478-1)*3)&lt;=5),MAX(0.4*U478-VLOOKUP(B472,INDIRECT($F$8),8+(O478-1)*3),0.3*S478-VLOOKUP(B472,INDIRECT($F$8),6+(O478-1)*3)),11),IF(0.3*S478-VLOOKUP(B472,INDIRECT($F$8),6+(O478-1)*3)&lt;=5,0.3*S478-VLOOKUP(B472,INDIRECT($F$8),6+(O478-1)*3),11)),IF(VLOOKUP(B472,INDIRECT($F$8),8+(O478-1)*3)&lt;U478*0.4,IF(U478*0.4-VLOOKUP(B472,INDIRECT($F$8),8+(O478-1)*3)&lt;=5,U478*0.4-VLOOKUP(B472,INDIRECT($F$8),8+(O478-1)*3),11),0))))</f>
        <v/>
      </c>
      <c r="X478" s="1" t="str">
        <f ca="1">IF(ISERROR(F472),"",IF(W478=0,"",_xlfn.TEXTJOIN("",FALSE," G+",W478," in ",A478)))</f>
        <v/>
      </c>
    </row>
    <row r="479" spans="1:24" ht="12.75" customHeight="1" x14ac:dyDescent="0.2">
      <c r="A479" s="7" t="str">
        <f ca="1">IF(ISERROR(F472),"",VLOOKUP(C472,INDIRECT($F$8),6+(O479-1)*3,0))</f>
        <v/>
      </c>
      <c r="B479" s="41" t="str">
        <f ca="1">IF(ISERROR(F472),"",VLOOKUP(D472,INDIRECT($F$8),6+(O479-1)*3,0))</f>
        <v/>
      </c>
      <c r="C479" s="41"/>
      <c r="D479" s="41"/>
      <c r="E479" s="41"/>
      <c r="F479" s="7" t="str">
        <f ca="1">IF(ISERROR(F472),"",VLOOKUP(E472,INDIRECT($F$8),6+(O479-1)*3,0))</f>
        <v/>
      </c>
      <c r="G479" s="42" t="str">
        <f ca="1">IF(ISERROR(F472),"",_xlfn.TEXTJOIN("/",FALSE,P479,S479))</f>
        <v/>
      </c>
      <c r="H479" s="42"/>
      <c r="I479" s="42" t="str">
        <f ca="1">IF(ISERROR(F472),"",_xlfn.TEXTJOIN("/",FALSE,Q479,T479))</f>
        <v/>
      </c>
      <c r="J479" s="42"/>
      <c r="K479" s="42" t="str">
        <f ca="1">IF(ISERROR(F472),"",_xlfn.TEXTJOIN("/",FALSE,R479,U479))</f>
        <v/>
      </c>
      <c r="L479" s="42"/>
      <c r="M479" s="7" t="str">
        <f ca="1">IF(ISERROR(F472),"",IF(ISTEXT(P479),IF(P479="A","Ab",IF(P479="D","Dt",IF(P479="UFM","UFM",IF(P479="NA","")))),IF(AND(ISBLANK(P479),ISBLANK(R479)),"",IF(P479&lt;0.3*S479,"F",IF(ISBLANK(R479),"",IF(ISTEXT(R479),R479,IF(R479&gt;=0.9*U479,"O",IF(R479&gt;=0.85*U479,"A+",IF(R479&gt;=0.8*U479,"A",IF(R479&gt;=0.7*U479,"B+",IF(R479&gt;=0.6*U479,"B",IF(R479&gt;=0.5*U479,"C",IF(R479&gt;=0.4*U479,"P",IF(R479&lt;0.4*U479,"F",R479))))))))))))))</f>
        <v/>
      </c>
      <c r="N479" s="8" t="str">
        <f t="shared" ca="1" si="29"/>
        <v/>
      </c>
      <c r="O479">
        <f ca="1">IF(O478&gt;0,4,"")</f>
        <v>4</v>
      </c>
      <c r="P479" s="1" t="str">
        <f ca="1">IF(ISERROR(F472),"",IF(ISTEXT(VLOOKUP(B472,INDIRECT($F$8),6+(O479-1)*3)),(VLOOKUP(B472,INDIRECT($F$8),6+(O479-1)*3)),SUM(VLOOKUP(B472,INDIRECT($F$8),6+(O479-1)*3),IF(W484,W479,0))))</f>
        <v/>
      </c>
      <c r="Q479" s="1" t="str">
        <f ca="1">IF(ISERROR(F472),"",VLOOKUP(B472,INDIRECT($F$8),7+(O479-1)*3))</f>
        <v/>
      </c>
      <c r="R479" s="1" t="str">
        <f ca="1">IF(ISERROR(F472),"",SUM(P479:Q479))</f>
        <v/>
      </c>
      <c r="S479" s="1" t="str">
        <f ca="1">IF(ISERROR(F472),"",VLOOKUP(A472,INDIRECT($F$8),6+(O479-1)*3))</f>
        <v/>
      </c>
      <c r="T479" s="1" t="str">
        <f ca="1">IF(ISERROR(F472),"",VLOOKUP(A472,INDIRECT($F$8),7+(O479-1)*3))</f>
        <v/>
      </c>
      <c r="U479" s="1" t="str">
        <f ca="1">IF(ISERROR(F472),"",VLOOKUP(A472,INDIRECT($F$8),8+(O479-1)*3))</f>
        <v/>
      </c>
      <c r="V479" s="1" t="str">
        <f ca="1">IF(ISERROR(F472),"",IF(N479=0,A479,""))</f>
        <v/>
      </c>
      <c r="W479" s="1" t="str">
        <f ca="1">IF(ISERROR(F472),"",IF(ISTEXT(VLOOKUP(B472,INDIRECT($F$8),6+(O479-1)*3)),11,IF(VLOOKUP(B472,INDIRECT($F$8),6+(O479-1)*3)&lt;S479*0.3,IF(VLOOKUP(B472,INDIRECT($F$8),8+(O479-1)*3)&lt;U479*0.4,IF(AND(0.4*U479-VLOOKUP(B472,INDIRECT($F$8),8+(O479-1)*3)&lt;=5,0.3*S479-VLOOKUP(B472,INDIRECT($F$8),6+(O479-1)*3)&lt;=5),MAX(0.4*U479-VLOOKUP(B472,INDIRECT($F$8),8+(O479-1)*3),0.3*S479-VLOOKUP(B472,INDIRECT($F$8),6+(O479-1)*3)),11),IF(0.3*S479-VLOOKUP(B472,INDIRECT($F$8),6+(O479-1)*3)&lt;=5,0.3*S479-VLOOKUP(B472,INDIRECT($F$8),6+(O479-1)*3),11)),IF(VLOOKUP(B472,INDIRECT($F$8),8+(O479-1)*3)&lt;U479*0.4,IF(U479*0.4-VLOOKUP(B472,INDIRECT($F$8),8+(O479-1)*3)&lt;=5,U479*0.4-VLOOKUP(B472,INDIRECT($F$8),8+(O479-1)*3),11),0))))</f>
        <v/>
      </c>
      <c r="X479" s="1" t="str">
        <f ca="1">IF(ISERROR(F472),"",IF(W479=0,"",_xlfn.TEXTJOIN("",FALSE," G+",W479," in ",A479)))</f>
        <v/>
      </c>
    </row>
    <row r="480" spans="1:24" ht="12.75" customHeight="1" x14ac:dyDescent="0.2">
      <c r="A480" s="7" t="str">
        <f ca="1">IF(ISERROR(F472),"",VLOOKUP(C472,INDIRECT($F$8),6+(O480-1)*3,0))</f>
        <v/>
      </c>
      <c r="B480" s="41" t="str">
        <f ca="1">IF(ISERROR(F472),"",VLOOKUP(D472,INDIRECT($F$8),6+(O480-1)*3,0))</f>
        <v/>
      </c>
      <c r="C480" s="41"/>
      <c r="D480" s="41"/>
      <c r="E480" s="41"/>
      <c r="F480" s="7" t="str">
        <f ca="1">IF(ISERROR(F472),"",VLOOKUP(E472,INDIRECT($F$8),6+(O480-1)*3,0))</f>
        <v/>
      </c>
      <c r="G480" s="42" t="str">
        <f ca="1">IF(ISERROR(F472),"",_xlfn.TEXTJOIN("/",FALSE,P480,S480))</f>
        <v/>
      </c>
      <c r="H480" s="42"/>
      <c r="I480" s="42" t="str">
        <f ca="1">IF(ISERROR(F472),"",_xlfn.TEXTJOIN("/",FALSE,Q480,T480))</f>
        <v/>
      </c>
      <c r="J480" s="42"/>
      <c r="K480" s="42" t="str">
        <f ca="1">IF(ISERROR(F472),"",_xlfn.TEXTJOIN("/",FALSE,R480,U480))</f>
        <v/>
      </c>
      <c r="L480" s="42"/>
      <c r="M480" s="7" t="str">
        <f ca="1">IF(ISERROR(F472),"",IF(ISTEXT(P480),IF(P480="A","Ab",IF(P480="D","Dt",IF(P480="UFM","UFM",IF(P480="NA","")))),IF(AND(ISBLANK(P480),ISBLANK(R480)),"",IF(P480&lt;0.3*S480,"F",IF(ISBLANK(R480),"",IF(ISTEXT(R480),R480,IF(R480&gt;=0.9*U480,"O",IF(R480&gt;=0.85*U480,"A+",IF(R480&gt;=0.8*U480,"A",IF(R480&gt;=0.7*U480,"B+",IF(R480&gt;=0.6*U480,"B",IF(R480&gt;=0.5*U480,"C",IF(R480&gt;=0.4*U480,"P",IF(R480&lt;0.4*U480,"F",R480))))))))))))))</f>
        <v/>
      </c>
      <c r="N480" s="8" t="str">
        <f t="shared" ca="1" si="29"/>
        <v/>
      </c>
      <c r="O480" t="b" cm="1">
        <f t="array" aca="1" ref="O480" ca="1">IF(NOT(ISBLANK(INDIRECT("SEM_IV!R"&amp;INT((ROW(O480)-16)/16)+6))),5,IF(NOT(ISBLANK(INDIRECT("SEM_IV!U"&amp;INT((ROW(O480)-16)/16)+6))),6))</f>
        <v>0</v>
      </c>
      <c r="P480" s="1" t="str">
        <f ca="1">IF(ISERROR(F472),"",IF(ISTEXT(VLOOKUP(B472,INDIRECT($F$8),6+(O480-1)*3)),(VLOOKUP(B472,INDIRECT($F$8),6+(O480-1)*3)),SUM(VLOOKUP(B472,INDIRECT($F$8),6+(O480-1)*3),IF(W484,W480,0))))</f>
        <v/>
      </c>
      <c r="Q480" s="1" t="str">
        <f ca="1">IF(ISERROR(F472),"",VLOOKUP(B472,INDIRECT($F$8),7+(O480-1)*3))</f>
        <v/>
      </c>
      <c r="R480" s="1" t="str">
        <f ca="1">IF(ISERROR(F472),"",SUM(P480:Q480))</f>
        <v/>
      </c>
      <c r="S480" s="1" t="str">
        <f ca="1">IF(ISERROR(F472),"",VLOOKUP(A472,INDIRECT($F$8),6+(O480-1)*3))</f>
        <v/>
      </c>
      <c r="T480" s="1" t="str">
        <f ca="1">IF(ISERROR(F472),"",VLOOKUP(A472,INDIRECT($F$8),7+(O480-1)*3))</f>
        <v/>
      </c>
      <c r="U480" s="1" t="str">
        <f ca="1">IF(ISERROR(F472),"",VLOOKUP(A472,INDIRECT($F$8),8+(O480-1)*3))</f>
        <v/>
      </c>
      <c r="V480" s="1" t="str">
        <f ca="1">IF(ISERROR(F472),"",IF(N480=0,A480,""))</f>
        <v/>
      </c>
      <c r="W480" s="1" t="str">
        <f ca="1">IF(ISERROR(F472),"",IF(ISTEXT(VLOOKUP(B472,INDIRECT($F$8),6+(O480-1)*3)),11,IF(VLOOKUP(B472,INDIRECT($F$8),6+(O480-1)*3)&lt;S480*0.3,IF(VLOOKUP(B472,INDIRECT($F$8),8+(O480-1)*3)&lt;U480*0.4,IF(AND(0.4*U480-VLOOKUP(B472,INDIRECT($F$8),8+(O480-1)*3)&lt;=5,0.3*S480-VLOOKUP(B472,INDIRECT($F$8),6+(O480-1)*3)&lt;=5),MAX(0.4*U480-VLOOKUP(B472,INDIRECT($F$8),8+(O480-1)*3),0.3*S480-VLOOKUP(B472,INDIRECT($F$8),6+(O480-1)*3)),11),IF(0.3*S480-VLOOKUP(B472,INDIRECT($F$8),6+(O480-1)*3)&lt;=5,0.3*S480-VLOOKUP(B472,INDIRECT($F$8),6+(O480-1)*3),11)),IF(VLOOKUP(B472,INDIRECT($F$8),8+(O480-1)*3)&lt;U480*0.4,IF(U480*0.4-VLOOKUP(B472,INDIRECT($F$8),8+(O480-1)*3)&lt;=5,U480*0.4-VLOOKUP(B472,INDIRECT($F$8),8+(O480-1)*3),11),0))))</f>
        <v/>
      </c>
      <c r="X480" s="1" t="str">
        <f ca="1">IF(ISERROR(F472),"",IF(W480=0,"",_xlfn.TEXTJOIN("",FALSE," G+",W480," in ",A480)))</f>
        <v/>
      </c>
    </row>
    <row r="481" spans="1:24" ht="12.75" customHeight="1" x14ac:dyDescent="0.2">
      <c r="A481" s="7" t="str">
        <f ca="1">IF(ISERROR(F472),"",VLOOKUP(C472,INDIRECT($F$8),6+(O481-1)*3,0))</f>
        <v/>
      </c>
      <c r="B481" s="41" t="str">
        <f ca="1">IF(ISERROR(F472),"",VLOOKUP(D472,INDIRECT($F$8),6+(O481-1)*3,0))</f>
        <v/>
      </c>
      <c r="C481" s="41"/>
      <c r="D481" s="41"/>
      <c r="E481" s="41"/>
      <c r="F481" s="7" t="str">
        <f ca="1">IF(ISERROR(F472),"",VLOOKUP(E472,INDIRECT($F$8),6+(O481-1)*3,0))</f>
        <v/>
      </c>
      <c r="G481" s="42" t="str">
        <f ca="1">IF(ISERROR(F472),"",_xlfn.TEXTJOIN("/",FALSE,P481,S481))</f>
        <v/>
      </c>
      <c r="H481" s="42"/>
      <c r="I481" s="42" t="str">
        <f ca="1">IF(ISERROR(F472),"",_xlfn.TEXTJOIN("/",FALSE,Q481,T481))</f>
        <v/>
      </c>
      <c r="J481" s="42"/>
      <c r="K481" s="42" t="str">
        <f ca="1">IF(ISERROR(F472),"",_xlfn.TEXTJOIN("/",FALSE,R481,U481))</f>
        <v/>
      </c>
      <c r="L481" s="42"/>
      <c r="M481" s="7" t="str">
        <f ca="1">IF(ISERROR(F472),"",IF(ISTEXT(P481),IF(P481="A","Ab",IF(P481="D","Dt",IF(P481="UFM","UFM",IF(P481="NA","")))),IF(AND(ISBLANK(P481),ISBLANK(R481)),"",IF(P481&lt;0.3*S481,"F",IF(ISBLANK(R481),"",IF(ISTEXT(R481),R481,IF(R481&gt;=0.9*U481,"O",IF(R481&gt;=0.85*U481,"A+",IF(R481&gt;=0.8*U481,"A",IF(R481&gt;=0.7*U481,"B+",IF(R481&gt;=0.6*U481,"B",IF(R481&gt;=0.5*U481,"C",IF(R481&gt;=0.4*U481,"P",IF(R481&lt;0.4*U481,"F",R481))))))))))))))</f>
        <v/>
      </c>
      <c r="N481" s="8" t="str">
        <f t="shared" ca="1" si="29"/>
        <v/>
      </c>
      <c r="O481">
        <f ca="1">IF(O480&gt;0,7,"")</f>
        <v>7</v>
      </c>
      <c r="P481" s="1" t="str">
        <f ca="1">IF(ISERROR(F472),"",IF(ISTEXT(VLOOKUP(B472,INDIRECT($F$8),6+(O481-1)*3)),(VLOOKUP(B472,INDIRECT($F$8),6+(O481-1)*3)),SUM(VLOOKUP(B472,INDIRECT($F$8),6+(O481-1)*3),IF(W484,W481,0))))</f>
        <v/>
      </c>
      <c r="Q481" s="1" t="str">
        <f ca="1">IF(ISERROR(F472),"",VLOOKUP(B472,INDIRECT($F$8),7+(O481-1)*3))</f>
        <v/>
      </c>
      <c r="R481" s="1" t="str">
        <f ca="1">IF(ISERROR(F472),"",SUM(P481:Q481))</f>
        <v/>
      </c>
      <c r="S481" s="1" t="str">
        <f ca="1">IF(ISERROR(F472),"",VLOOKUP(A472,INDIRECT($F$8),6+(O481-1)*3))</f>
        <v/>
      </c>
      <c r="T481" s="1" t="str">
        <f ca="1">IF(ISERROR(F472),"",VLOOKUP(A472,INDIRECT($F$8),7+(O481-1)*3))</f>
        <v/>
      </c>
      <c r="U481" s="1" t="str">
        <f ca="1">IF(ISERROR(F472),"",VLOOKUP(A472,INDIRECT($F$8),8+(O481-1)*3))</f>
        <v/>
      </c>
      <c r="V481" s="1" t="str">
        <f ca="1">IF(ISERROR(F472),"",IF(N481=0,A481,""))</f>
        <v/>
      </c>
      <c r="W481" s="1" t="str">
        <f ca="1">IF(ISERROR(F472),"",IF(ISTEXT(VLOOKUP(B472,INDIRECT($F$8),6+(O481-1)*3)),11,IF(VLOOKUP(B472,INDIRECT($F$8),6+(O481-1)*3)&lt;S481*0.3,IF(VLOOKUP(B472,INDIRECT($F$8),8+(O481-1)*3)&lt;U481*0.4,IF(AND(0.4*U481-VLOOKUP(B472,INDIRECT($F$8),8+(O481-1)*3)&lt;=5,0.3*S481-VLOOKUP(B472,INDIRECT($F$8),6+(O481-1)*3)&lt;=5),MAX(0.4*U481-VLOOKUP(B472,INDIRECT($F$8),8+(O481-1)*3),0.3*S481-VLOOKUP(B472,INDIRECT($F$8),6+(O481-1)*3)),11),IF(0.3*S481-VLOOKUP(B472,INDIRECT($F$8),6+(O481-1)*3)&lt;=5,0.3*S481-VLOOKUP(B472,INDIRECT($F$8),6+(O481-1)*3),11)),IF(VLOOKUP(B472,INDIRECT($F$8),8+(O481-1)*3)&lt;U481*0.4,IF(U481*0.4-VLOOKUP(B472,INDIRECT($F$8),8+(O481-1)*3)&lt;=5,U481*0.4-VLOOKUP(B472,INDIRECT($F$8),8+(O481-1)*3),11),0))))</f>
        <v/>
      </c>
      <c r="X481" s="1" t="str">
        <f ca="1">IF(ISERROR(F472),"",IF(W481=0,"",_xlfn.TEXTJOIN("",FALSE," G+",W481," in ",A481)))</f>
        <v/>
      </c>
    </row>
    <row r="482" spans="1:24" ht="12.75" customHeight="1" x14ac:dyDescent="0.2">
      <c r="A482" s="7" t="str">
        <f ca="1">IF(ISERROR(F472),"",VLOOKUP(C472,INDIRECT($F$8),6+(O482-1)*3,0))</f>
        <v/>
      </c>
      <c r="B482" s="41" t="str">
        <f ca="1">IF(ISERROR(F472),"",VLOOKUP(D472,INDIRECT($F$8),6+(O482-1)*3,0))</f>
        <v/>
      </c>
      <c r="C482" s="41"/>
      <c r="D482" s="41"/>
      <c r="E482" s="41"/>
      <c r="F482" s="7" t="str">
        <f ca="1">IF(ISERROR(F472),"",VLOOKUP(E472,INDIRECT($F$8),6+(O482-1)*3,0))</f>
        <v/>
      </c>
      <c r="G482" s="42" t="str">
        <f ca="1">IF(ISERROR(F472),"",_xlfn.TEXTJOIN("/",FALSE,P482,S482))</f>
        <v/>
      </c>
      <c r="H482" s="42"/>
      <c r="I482" s="42" t="str">
        <f ca="1">IF(ISERROR(F472),"",_xlfn.TEXTJOIN("/",FALSE,Q482,T482))</f>
        <v/>
      </c>
      <c r="J482" s="42"/>
      <c r="K482" s="42" t="str">
        <f ca="1">IF(ISERROR(F472),"",_xlfn.TEXTJOIN("/",FALSE,R482,U482))</f>
        <v/>
      </c>
      <c r="L482" s="42"/>
      <c r="M482" s="7" t="str">
        <f ca="1">IF(ISERROR(F472),"",IF(ISTEXT(P482),IF(P482="A","Ab",IF(P482="D","Dt",IF(P482="UFM","UFM",IF(P482="NA","")))),IF(AND(ISBLANK(P482),ISBLANK(R482)),"",IF(P482&lt;0.3*S482,"F",IF(ISBLANK(R482),"",IF(ISTEXT(R482),R482,IF(R482&gt;=0.9*U482,"O",IF(R482&gt;=0.85*U482,"A+",IF(R482&gt;=0.8*U482,"A",IF(R482&gt;=0.7*U482,"B+",IF(R482&gt;=0.6*U482,"B",IF(R482&gt;=0.5*U482,"C",IF(R482&gt;=0.4*U482,"P",IF(R482&lt;0.4*U482,"F",R482))))))))))))))</f>
        <v/>
      </c>
      <c r="N482" s="8" t="str">
        <f t="shared" ca="1" si="29"/>
        <v/>
      </c>
      <c r="O482" t="b" cm="1">
        <f t="array" aca="1" ref="O482" ca="1">IF(NOT(ISBLANK(INDIRECT("SEM_IV!AA"&amp;INT((ROW(O482)-18)/16)+6))),8,IF(NOT(ISBLANK(INDIRECT("SEM_IV!AD"&amp;INT((ROW(O482)-18)/16)+6))),9))</f>
        <v>0</v>
      </c>
      <c r="P482" s="1" t="str">
        <f ca="1">IF(ISERROR(F472),"",IF(ISTEXT(VLOOKUP(B472,INDIRECT($F$8),6+(O482-1)*3)),(VLOOKUP(B472,INDIRECT($F$8),6+(O482-1)*3)),SUM(VLOOKUP(B472,INDIRECT($F$8),6+(O482-1)*3),IF(W484,W482,0))))</f>
        <v/>
      </c>
      <c r="Q482" s="1" t="str">
        <f ca="1">IF(ISERROR(F472),"",VLOOKUP(B472,INDIRECT($F$8),7+(O482-1)*3))</f>
        <v/>
      </c>
      <c r="R482" s="1" t="str">
        <f ca="1">IF(ISERROR(F472),"",SUM(P482:Q482))</f>
        <v/>
      </c>
      <c r="S482" s="1" t="str">
        <f ca="1">IF(ISERROR(F472),"",VLOOKUP(A472,INDIRECT($F$8),6+(O482-1)*3))</f>
        <v/>
      </c>
      <c r="T482" s="1" t="str">
        <f ca="1">IF(ISERROR(F472),"",VLOOKUP(A472,INDIRECT($F$8),7+(O482-1)*3))</f>
        <v/>
      </c>
      <c r="U482" s="1" t="str">
        <f ca="1">IF(ISERROR(F472),"",VLOOKUP(A472,INDIRECT($F$8),8+(O482-1)*3))</f>
        <v/>
      </c>
      <c r="V482" s="1" t="str">
        <f ca="1">IF(ISERROR(F472),"",IF(N482=0,A482,""))</f>
        <v/>
      </c>
      <c r="W482" s="1" t="str">
        <f ca="1">IF(ISERROR(F472),"",IF(ISTEXT(VLOOKUP(B472,INDIRECT($F$8),6+(O482-1)*3)),11,IF(VLOOKUP(B472,INDIRECT($F$8),6+(O482-1)*3)&lt;S482*0.3,IF(VLOOKUP(B472,INDIRECT($F$8),8+(O482-1)*3)&lt;U482*0.4,IF(AND(0.4*U482-VLOOKUP(B472,INDIRECT($F$8),8+(O482-1)*3)&lt;=5,0.3*S482-VLOOKUP(B472,INDIRECT($F$8),6+(O482-1)*3)&lt;=5),MAX(0.4*U482-VLOOKUP(B472,INDIRECT($F$8),8+(O482-1)*3),0.3*S482-VLOOKUP(B472,INDIRECT($F$8),6+(O482-1)*3)),11),IF(0.3*S482-VLOOKUP(B472,INDIRECT($F$8),6+(O482-1)*3)&lt;=5,0.3*S482-VLOOKUP(B472,INDIRECT($F$8),6+(O482-1)*3),11)),IF(VLOOKUP(B472,INDIRECT($F$8),8+(O482-1)*3)&lt;U482*0.4,IF(U482*0.4-VLOOKUP(B472,INDIRECT($F$8),8+(O482-1)*3)&lt;=5,U482*0.4-VLOOKUP(B472,INDIRECT($F$8),8+(O482-1)*3),11),0))))</f>
        <v/>
      </c>
      <c r="X482" s="1" t="str">
        <f ca="1">IF(ISERROR(F472),"",IF(W482=0,"",_xlfn.TEXTJOIN("",FALSE," G+",W482," in ",A482)))</f>
        <v/>
      </c>
    </row>
    <row r="483" spans="1:24" ht="12.75" customHeight="1" x14ac:dyDescent="0.2">
      <c r="A483" s="7" t="str">
        <f ca="1">IF(ISERROR(F472),"",VLOOKUP(C472,INDIRECT($F$8),6+(O483-1)*3,0))</f>
        <v/>
      </c>
      <c r="B483" s="41" t="str">
        <f ca="1">IF(ISERROR(F472),"",VLOOKUP(D472,INDIRECT($F$8),6+(O483-1)*3-Z483,0))</f>
        <v/>
      </c>
      <c r="C483" s="41"/>
      <c r="D483" s="41"/>
      <c r="E483" s="41"/>
      <c r="F483" s="7" t="str">
        <f ca="1">IF(ISERROR(F472),"",VLOOKUP(E472,INDIRECT($F$8),6+(O483-1)*3,0))</f>
        <v/>
      </c>
      <c r="G483" s="42" t="str">
        <f ca="1">IF(ISERROR(F472),"",_xlfn.TEXTJOIN("/",FALSE,P483,S483))</f>
        <v/>
      </c>
      <c r="H483" s="42"/>
      <c r="I483" s="42" t="str">
        <f ca="1">IF(ISERROR(F472),"",_xlfn.TEXTJOIN("/",FALSE,Q483,T483))</f>
        <v/>
      </c>
      <c r="J483" s="42"/>
      <c r="K483" s="42" t="str">
        <f ca="1">IF(ISERROR(F472),"",_xlfn.TEXTJOIN("/",FALSE,R483,U483))</f>
        <v/>
      </c>
      <c r="L483" s="42"/>
      <c r="M483" s="7" t="str">
        <f ca="1">IF(ISERROR(F472),"",IF(ISTEXT(P483),IF(P483="A","Ab",IF(P483="D","Dt",IF(P483="UFM","UFM",IF(P483="NA","")))),IF(AND(ISBLANK(P483),ISBLANK(R483)),"",IF(P483&lt;0.3*S483,"F",IF(ISBLANK(R483),"",IF(ISTEXT(R483),R483,IF(R483&gt;=0.9*U483,"O",IF(R483&gt;=0.85*U483,"A+",IF(R483&gt;=0.8*U483,"A",IF(R483&gt;=0.7*U483,"B+",IF(R483&gt;=0.6*U483,"B",IF(R483&gt;=0.5*U483,"C",IF(R483&gt;=0.4*U483,"P",IF(R483&lt;0.4*U483,"F",R483))))))))))))))</f>
        <v/>
      </c>
      <c r="N483" s="8" t="str">
        <f t="shared" ca="1" si="29"/>
        <v/>
      </c>
      <c r="O483">
        <f ca="1">IF(O482&gt;0,10,"")</f>
        <v>10</v>
      </c>
      <c r="P483" s="1" t="str">
        <f ca="1">IF(ISERROR(F472),"",IF(ISTEXT(VLOOKUP(B472,INDIRECT($F$8),6+(O483-1)*3)),(VLOOKUP(B472,INDIRECT($F$8),6+(O483-1)*3)),SUM(VLOOKUP(B472,INDIRECT($F$8),6+(O483-1)*3),IF(W484,W483,0))))</f>
        <v/>
      </c>
      <c r="Q483" s="1" t="str">
        <f ca="1">IF(ISERROR(F472),"",VLOOKUP(B472,INDIRECT($F$8),7+(O483-1)*3))</f>
        <v/>
      </c>
      <c r="R483" s="1" t="str">
        <f ca="1">IF(ISERROR(F472),"",SUM(P483:Q483))</f>
        <v/>
      </c>
      <c r="S483" s="1" t="str">
        <f ca="1">IF(ISERROR(F472),"",VLOOKUP(A472,INDIRECT($F$8),6+(O483-1)*3))</f>
        <v/>
      </c>
      <c r="T483" s="1" t="str">
        <f ca="1">IF(ISERROR(F472),"",VLOOKUP(A472,INDIRECT($F$8),7+(O483-1)*3))</f>
        <v/>
      </c>
      <c r="U483" s="1" t="str">
        <f ca="1">IF(ISERROR(F472),"",VLOOKUP(A472,INDIRECT($F$8),8+(O483-1)*3))</f>
        <v/>
      </c>
      <c r="V483" s="1" t="str">
        <f ca="1">IF(ISERROR(F472),"",IF(N483=0,A483,""))</f>
        <v/>
      </c>
      <c r="W483" s="1" t="str">
        <f ca="1">IF(ISERROR(F472),"",IF(ISTEXT(VLOOKUP(B472,INDIRECT($F$8),6+(O483-1)*3)),11,IF(VLOOKUP(B472,INDIRECT($F$8),6+(O483-1)*3)&lt;S483*0.3,IF(VLOOKUP(B472,INDIRECT($F$8),8+(O483-1)*3)&lt;U483*0.4,IF(AND(0.4*U483-VLOOKUP(B472,INDIRECT($F$8),8+(O483-1)*3)&lt;=5,0.3*S483-VLOOKUP(B472,INDIRECT($F$8),6+(O483-1)*3)&lt;=5),MAX(0.4*U483-VLOOKUP(B472,INDIRECT($F$8),8+(O483-1)*3),0.3*S483-VLOOKUP(B472,INDIRECT($F$8),6+(O483-1)*3)),11),IF(0.3*S483-VLOOKUP(B472,INDIRECT($F$8),6+(O483-1)*3)&lt;=5,0.3*S483-VLOOKUP(B472,INDIRECT($F$8),6+(O483-1)*3),11)),IF(VLOOKUP(B472,INDIRECT($F$8),8+(O483-1)*3)&lt;U483*0.4,IF(U483*0.4-VLOOKUP(B472,INDIRECT($F$8),8+(O483-1)*3)&lt;=5,U483*0.4-VLOOKUP(B472,INDIRECT($F$8),8+(O483-1)*3),11),0))))</f>
        <v/>
      </c>
      <c r="X483" s="1" t="str">
        <f ca="1">IF(ISERROR(F472),"",IF(W483=0,"",_xlfn.TEXTJOIN("",FALSE," G+",W483," in ",A483)))</f>
        <v/>
      </c>
    </row>
    <row r="484" spans="1:24" ht="12.75" customHeight="1" x14ac:dyDescent="0.2">
      <c r="A484" s="43" t="str">
        <f ca="1">IF(ISERROR(F472),"",A468)</f>
        <v/>
      </c>
      <c r="B484" s="43"/>
      <c r="C484" s="43"/>
      <c r="D484" s="43"/>
      <c r="E484" s="43"/>
      <c r="F484" s="10" t="str">
        <f ca="1">IF(ISERROR(F472),"",SUM(F477:F483))</f>
        <v/>
      </c>
      <c r="G484" s="44" t="str">
        <f ca="1">IF(ISERROR(F472),"",_xlfn.TEXTJOIN("/",TRUE,SUMIF(F477:F483,"&gt;0",P477:P483),SUMIF(F477:F483,"&gt;0",S477:S483)))</f>
        <v/>
      </c>
      <c r="H484" s="44"/>
      <c r="I484" s="44" t="str">
        <f ca="1">IF(ISERROR(F472),"",_xlfn.TEXTJOIN("/",TRUE,SUMIF(F477:F483,"&gt;0",Q477:Q483),SUMIF(F477:F483,"&gt;0",T477:T483)))</f>
        <v/>
      </c>
      <c r="J484" s="44"/>
      <c r="K484" s="44" t="str">
        <f ca="1">IF(ISERROR(F472),"",_xlfn.TEXTJOIN("/",TRUE,SUMIF(F477:F483,"&gt;0",R477:R483),SUMIF(F477:F483,"&gt;0",U477:U483)))</f>
        <v/>
      </c>
      <c r="L484" s="44"/>
      <c r="M484" s="43" t="str">
        <f ca="1">IF(ISERROR(F472),"",SUMPRODUCT(N477:N483,F477:F483))</f>
        <v/>
      </c>
      <c r="N484" s="43"/>
      <c r="V484" s="1" t="str">
        <f ca="1">IF(ISERROR(F472),"",_xlfn.TEXTJOIN(", ",TRUE,V477:V483))</f>
        <v/>
      </c>
      <c r="W484" t="str">
        <f ca="1">IF(ISERROR(F472),"",IF(SUM(W477:W483)&lt;=W476,TRUE,FALSE))</f>
        <v/>
      </c>
      <c r="X484" s="1" t="str">
        <f ca="1">IF(ISERROR(F472),"",_xlfn.TEXTJOIN(",",TRUE,X477:X483))</f>
        <v/>
      </c>
    </row>
    <row r="485" spans="1:24" ht="12.75" customHeight="1" x14ac:dyDescent="0.2">
      <c r="A485" s="43" t="str">
        <f ca="1">IF(ISERROR(F472),"",A469)</f>
        <v/>
      </c>
      <c r="B485" s="45" t="str">
        <f ca="1">IF(ISERROR(F472),"",IF(V484="","PASS","CARRY OVER"))</f>
        <v/>
      </c>
      <c r="C485" s="45"/>
      <c r="D485" s="43" t="str">
        <f ca="1">IF(ISERROR(F472),"",D469)</f>
        <v/>
      </c>
      <c r="E485" s="45" t="str">
        <f ca="1">IF(ISERROR(F472),"",IF(V484="",IF(X484="","",X484),_xlfn.TEXTJOIN(" ",TRUE,"BACK IN",V484)))</f>
        <v/>
      </c>
      <c r="F485" s="45"/>
      <c r="G485" s="43" t="str">
        <f ca="1">IF(ISERROR(F472),"",G469)</f>
        <v/>
      </c>
      <c r="H485" s="46" t="str">
        <f ca="1">IF(ISERROR(F472),"",M484/F484)</f>
        <v/>
      </c>
      <c r="I485" s="43" t="str">
        <f ca="1">IF(ISERROR(F472),"",I469)</f>
        <v/>
      </c>
      <c r="J485" s="46" t="str">
        <f ca="1">IF(ISERROR(F472),"",VLOOKUP(B472,INDIRECT($F$8),12+(O483-1)*3,0))</f>
        <v/>
      </c>
      <c r="K485" s="45" t="str">
        <f ca="1">IF(ISERROR(F472),"",K469)</f>
        <v/>
      </c>
      <c r="L485" s="43" t="str">
        <f ca="1">IF(ISERROR(F472),"",SUMIF(N477:N483,"&gt;0",F477:F483))</f>
        <v/>
      </c>
      <c r="M485" s="45" t="str">
        <f ca="1">IF(ISERROR(F472),"",M469)</f>
        <v/>
      </c>
      <c r="N485" s="43" t="str">
        <f ca="1">IF(ISERROR(F472),"",VLOOKUP(B472,INDIRECT($F$8),10+(O483-1)*3,0))</f>
        <v/>
      </c>
    </row>
    <row r="486" spans="1:24" ht="12.75" customHeight="1" x14ac:dyDescent="0.2">
      <c r="A486" s="43"/>
      <c r="B486" s="45"/>
      <c r="C486" s="45"/>
      <c r="D486" s="43"/>
      <c r="E486" s="45"/>
      <c r="F486" s="45"/>
      <c r="G486" s="43"/>
      <c r="H486" s="46"/>
      <c r="I486" s="43"/>
      <c r="J486" s="46"/>
      <c r="K486" s="45"/>
      <c r="L486" s="43"/>
      <c r="M486" s="45"/>
      <c r="N486" s="43"/>
    </row>
    <row r="487" spans="1:24" ht="12.75" customHeight="1" x14ac:dyDescent="0.2">
      <c r="A487" s="43"/>
      <c r="B487" s="45"/>
      <c r="C487" s="45"/>
      <c r="D487" s="43"/>
      <c r="E487" s="45"/>
      <c r="F487" s="45"/>
      <c r="G487" s="43"/>
      <c r="H487" s="46"/>
      <c r="I487" s="43"/>
      <c r="J487" s="46"/>
      <c r="K487" s="45"/>
      <c r="L487" s="43"/>
      <c r="M487" s="45"/>
      <c r="N487" s="43"/>
    </row>
    <row r="488" spans="1:24" ht="12.75" customHeight="1" x14ac:dyDescent="0.2">
      <c r="A488" s="11" t="str">
        <f>A472</f>
        <v>MM</v>
      </c>
      <c r="B488" s="11">
        <f>B472+1</f>
        <v>31</v>
      </c>
      <c r="C488" s="11" t="str">
        <f>C472</f>
        <v>SC</v>
      </c>
      <c r="D488" s="11" t="str">
        <f>D472</f>
        <v>SN</v>
      </c>
      <c r="E488" s="11" t="str">
        <f>E472</f>
        <v>C</v>
      </c>
      <c r="F488" s="11" t="e">
        <f ca="1">VLOOKUP(B488,INDIRECT($F$8),4,0)</f>
        <v>#N/A</v>
      </c>
    </row>
    <row r="489" spans="1:24" ht="12.75" customHeight="1" x14ac:dyDescent="0.2">
      <c r="A489" s="47" t="str">
        <f ca="1">IF(ISERROR(F488),"",A473)</f>
        <v/>
      </c>
      <c r="B489" s="47" t="str">
        <f ca="1">IFERROR(VLOOKUP(B488,INDIRECT($F$8),4,0),"")</f>
        <v/>
      </c>
      <c r="C489" s="47"/>
      <c r="D489" s="47" t="str">
        <f ca="1">IF(ISERROR(F488),"",D473)</f>
        <v/>
      </c>
      <c r="E489" s="47" t="str">
        <f ca="1">IFERROR(VLOOKUP(B488,INDIRECT($F$8),5,0),"")</f>
        <v/>
      </c>
      <c r="F489" s="47"/>
      <c r="G489" s="47" t="str">
        <f ca="1">IF(ISERROR(F488),"",G473)</f>
        <v/>
      </c>
      <c r="H489" s="47"/>
      <c r="I489" s="48" t="str">
        <f ca="1">IFERROR(VLOOKUP(B488,INDIRECT($F$8),2,0),"")</f>
        <v/>
      </c>
      <c r="J489" s="48"/>
      <c r="K489" s="47" t="str">
        <f ca="1">IF(ISERROR(F488),"",K473)</f>
        <v/>
      </c>
      <c r="L489" s="47"/>
      <c r="M489" s="48" t="str">
        <f ca="1">IFERROR(VLOOKUP(B488,INDIRECT($F$8),3,0),"")</f>
        <v/>
      </c>
      <c r="N489" s="48"/>
    </row>
    <row r="490" spans="1:24" ht="12.75" customHeight="1" x14ac:dyDescent="0.2">
      <c r="A490" s="47"/>
      <c r="B490" s="47"/>
      <c r="C490" s="47"/>
      <c r="D490" s="47"/>
      <c r="E490" s="47"/>
      <c r="F490" s="47"/>
      <c r="G490" s="47"/>
      <c r="H490" s="47"/>
      <c r="I490" s="48"/>
      <c r="J490" s="48"/>
      <c r="K490" s="47"/>
      <c r="L490" s="47"/>
      <c r="M490" s="48"/>
      <c r="N490" s="48"/>
    </row>
    <row r="491" spans="1:24" ht="12.75" customHeight="1" x14ac:dyDescent="0.2">
      <c r="A491" s="45" t="str">
        <f ca="1">IF(ISERROR(F488),"",A475)</f>
        <v/>
      </c>
      <c r="B491" s="45" t="str">
        <f ca="1">IF(ISERROR(F488),"",B475)</f>
        <v/>
      </c>
      <c r="C491" s="45"/>
      <c r="D491" s="45"/>
      <c r="E491" s="45"/>
      <c r="F491" s="45" t="str">
        <f ca="1">IF(ISERROR(F488),"",F475)</f>
        <v/>
      </c>
      <c r="G491" s="45" t="str">
        <f ca="1">IF(ISERROR(F488),"",G475)</f>
        <v/>
      </c>
      <c r="H491" s="45"/>
      <c r="I491" s="45" t="str">
        <f ca="1">IF(ISERROR(F488),"",I475)</f>
        <v/>
      </c>
      <c r="J491" s="45"/>
      <c r="K491" s="45" t="str">
        <f ca="1">IF(ISERROR(F488),"",K475)</f>
        <v/>
      </c>
      <c r="L491" s="45"/>
      <c r="M491" s="45" t="str">
        <f ca="1">IF(ISERROR(F488),"",M475)</f>
        <v/>
      </c>
      <c r="N491" s="45" t="str">
        <f ca="1">IF(ISERROR(F488),"",N475)</f>
        <v/>
      </c>
    </row>
    <row r="492" spans="1:24" ht="12.75" customHeight="1" x14ac:dyDescent="0.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W492" t="e">
        <f ca="1">IF(ISNUMBER(MATCH($F$8,{"I","III","V","VII"},0)),10,10-INDEX(INDIRECT(_xlfn.TEXTJOIN("",TRUE,"SEM_",$G$8,"!",ADDRESS(6,4+$I$8*3+4),":",ADDRESS(5+$H$8,4+$I$8*3+4))),MATCH(INDIRECT(_xlfn.TEXTJOIN("",TRUE,"TC_",$F$8,"!",ADDRESS(ROW(I489),COLUMN(I489)))),INDIRECT(_xlfn.TEXTJOIN("",TRUE,"SEM_",$G$8,"!",ADDRESS(6,2),":",ADDRESS(5+$H$8,2))))))</f>
        <v>#N/A</v>
      </c>
    </row>
    <row r="493" spans="1:24" ht="12.75" customHeight="1" x14ac:dyDescent="0.2">
      <c r="A493" s="7" t="str">
        <f ca="1">IF(ISERROR(F488),"",VLOOKUP(C488,INDIRECT($F$8),6+(O493-1)*3,0))</f>
        <v/>
      </c>
      <c r="B493" s="41" t="str">
        <f ca="1">IF(ISERROR(F488),"",VLOOKUP(D488,INDIRECT($F$8),6+(O493-1)*3,0))</f>
        <v/>
      </c>
      <c r="C493" s="41"/>
      <c r="D493" s="41"/>
      <c r="E493" s="41"/>
      <c r="F493" s="7" t="str">
        <f ca="1">IF(ISERROR(F488),"",VLOOKUP(E488,INDIRECT($F$8),6+(O493-1)*3,0))</f>
        <v/>
      </c>
      <c r="G493" s="42" t="str">
        <f ca="1">IF(ISERROR(F488),"",_xlfn.TEXTJOIN("/",FALSE,P493,S493))</f>
        <v/>
      </c>
      <c r="H493" s="42"/>
      <c r="I493" s="42" t="str">
        <f ca="1">IF(ISERROR(F488),"",_xlfn.TEXTJOIN("/",FALSE,Q493,T493))</f>
        <v/>
      </c>
      <c r="J493" s="42"/>
      <c r="K493" s="42" t="str">
        <f ca="1">IF(ISERROR(F488),"",_xlfn.TEXTJOIN("/",FALSE,R493,U493))</f>
        <v/>
      </c>
      <c r="L493" s="42"/>
      <c r="M493" s="7" t="str">
        <f ca="1">IF(ISERROR(F488),"",IF(ISTEXT(P493),IF(P493="A","Ab",IF(P493="D","Dt",IF(P493="UFM","UFM",IF(P493="NA","")))),IF(AND(ISBLANK(P493),ISBLANK(R493)),"",IF(P493&lt;0.3*S493,"F",IF(ISBLANK(R493),"",IF(ISTEXT(R493),R493,IF(R493&gt;=0.9*U493,"O",IF(R493&gt;=0.85*U493,"A+",IF(R493&gt;=0.8*U493,"A",IF(R493&gt;=0.7*U493,"B+",IF(R493&gt;=0.6*U493,"B",IF(R493&gt;=0.5*U493,"C",IF(R493&gt;=0.4*U493,"P",IF(R493&lt;0.4*U493,"F",R493))))))))))))))</f>
        <v/>
      </c>
      <c r="N493" s="8" t="str">
        <f t="shared" ref="N493:N499" ca="1" si="30">INDEX($Z$2:$Z$13,MATCH(M493,$Y$2:$Y$13,0))</f>
        <v/>
      </c>
      <c r="O493">
        <v>1</v>
      </c>
      <c r="P493" s="1" t="str">
        <f ca="1">IF(ISERROR(F488),"",IF(ISTEXT(VLOOKUP(B488,INDIRECT($F$8),6+(O493-1)*3)),(VLOOKUP(B488,INDIRECT($F$8),6+(O493-1)*3)),SUM(VLOOKUP(B488,INDIRECT($F$8),6+(O493-1)*3),IF(W500,W493,0))))</f>
        <v/>
      </c>
      <c r="Q493" s="1" t="str">
        <f ca="1">IF(ISERROR(F488),"",VLOOKUP(B488,INDIRECT($F$8),7+(O493-1)*3))</f>
        <v/>
      </c>
      <c r="R493" s="1" t="str">
        <f ca="1">IF(ISERROR(F488),"",SUM(P493:Q493))</f>
        <v/>
      </c>
      <c r="S493" s="1" t="str">
        <f ca="1">IF(ISERROR(F488),"",VLOOKUP(A488,INDIRECT($F$8),6+(O493-1)*3))</f>
        <v/>
      </c>
      <c r="T493" s="1" t="str">
        <f ca="1">IF(ISERROR(F488),"",VLOOKUP(A488,INDIRECT($F$8),7+(O493-1)*3))</f>
        <v/>
      </c>
      <c r="U493" s="1" t="str">
        <f ca="1">IF(ISERROR(F488),"",VLOOKUP(A488,INDIRECT($F$8),8+(O493-1)*3))</f>
        <v/>
      </c>
      <c r="V493" s="1" t="str">
        <f ca="1">IF(ISERROR(F488),"",IF(N493=0,A493,""))</f>
        <v/>
      </c>
      <c r="W493" s="1" t="str">
        <f ca="1">IF(ISERROR(F488),"",IF(ISTEXT(VLOOKUP(B488,INDIRECT($F$8),6+(O493-1)*3)),11,IF(VLOOKUP(B488,INDIRECT($F$8),6+(O493-1)*3)&lt;S493*0.3,IF(VLOOKUP(B488,INDIRECT($F$8),8+(O493-1)*3)&lt;U493*0.4,IF(AND(0.4*U493-VLOOKUP(B488,INDIRECT($F$8),8+(O493-1)*3)&lt;=5,0.3*S493-VLOOKUP(B488,INDIRECT($F$8),6+(O493-1)*3)&lt;=5),MAX(0.4*U493-VLOOKUP(B488,INDIRECT($F$8),8+(O493-1)*3),0.3*S493-VLOOKUP(B488,INDIRECT($F$8),6+(O493-1)*3)),11),IF(0.3*S493-VLOOKUP(B488,INDIRECT($F$8),6+(O493-1)*3)&lt;=5,0.3*S493-VLOOKUP(B488,INDIRECT($F$8),6+(O493-1)*3),11)),IF(VLOOKUP(B488,INDIRECT($F$8),8+(O493-1)*3)&lt;U493*0.4,IF(U493*0.4-VLOOKUP(B488,INDIRECT($F$8),8+(O493-1)*3)&lt;=5,U493*0.4-VLOOKUP(B488,INDIRECT($F$8),8+(O493-1)*3),11),0))))</f>
        <v/>
      </c>
      <c r="X493" s="1" t="str">
        <f ca="1">IF(ISERROR(F488),"",IF(W493=0,"",_xlfn.TEXTJOIN("",FALSE," G+",W493," in ",A493)))</f>
        <v/>
      </c>
    </row>
    <row r="494" spans="1:24" ht="12.75" customHeight="1" x14ac:dyDescent="0.2">
      <c r="A494" s="7" t="str">
        <f ca="1">IF(ISERROR(F488),"",VLOOKUP(C488,INDIRECT($F$8),6+(O494-1)*3,0))</f>
        <v/>
      </c>
      <c r="B494" s="41" t="str">
        <f ca="1">IF(ISERROR(F488),"",VLOOKUP(D488,INDIRECT($F$8),6+(O494-1)*3,0))</f>
        <v/>
      </c>
      <c r="C494" s="41"/>
      <c r="D494" s="41"/>
      <c r="E494" s="41"/>
      <c r="F494" s="7" t="str">
        <f ca="1">IF(ISERROR(F488),"",VLOOKUP(E488,INDIRECT($F$8),6+(O494-1)*3,0))</f>
        <v/>
      </c>
      <c r="G494" s="42" t="str">
        <f ca="1">IF(ISERROR(F488),"",_xlfn.TEXTJOIN("/",FALSE,P494,S494))</f>
        <v/>
      </c>
      <c r="H494" s="42"/>
      <c r="I494" s="42" t="str">
        <f ca="1">IF(ISERROR(F488),"",_xlfn.TEXTJOIN("/",FALSE,Q494,T494))</f>
        <v/>
      </c>
      <c r="J494" s="42"/>
      <c r="K494" s="42" t="str">
        <f ca="1">IF(ISERROR(F488),"",_xlfn.TEXTJOIN("/",FALSE,R494,U494))</f>
        <v/>
      </c>
      <c r="L494" s="42"/>
      <c r="M494" s="7" t="str">
        <f ca="1">IF(ISERROR(F488),"",IF(ISTEXT(P494),IF(P494="A","Ab",IF(P494="D","Dt",IF(P494="UFM","UFM",IF(P494="NA","")))),IF(AND(ISBLANK(P494),ISBLANK(R494)),"",IF(P494&lt;0.3*S494,"F",IF(ISBLANK(R494),"",IF(ISTEXT(R494),R494,IF(R494&gt;=0.9*U494,"O",IF(R494&gt;=0.85*U494,"A+",IF(R494&gt;=0.8*U494,"A",IF(R494&gt;=0.7*U494,"B+",IF(R494&gt;=0.6*U494,"B",IF(R494&gt;=0.5*U494,"C",IF(R494&gt;=0.4*U494,"P",IF(R494&lt;0.4*U494,"F",R494))))))))))))))</f>
        <v/>
      </c>
      <c r="N494" s="8" t="str">
        <f t="shared" ca="1" si="30"/>
        <v/>
      </c>
      <c r="O494" t="b" cm="1">
        <f t="array" aca="1" ref="O494" ca="1">IF(NOT(ISBLANK(INDIRECT("SEM_IV!I"&amp;INT((ROW(O494)-14)/16)+6))),2,IF(NOT(ISBLANK(INDIRECT("SEM_IV!L"&amp;INT((ROW(O494)-14)/16)+6))),3))</f>
        <v>0</v>
      </c>
      <c r="P494" s="1" t="str">
        <f ca="1">IF(ISERROR(F488),"",IF(ISTEXT(VLOOKUP(B488,INDIRECT($F$8),6+(O494-1)*3)),(VLOOKUP(B488,INDIRECT($F$8),6+(O494-1)*3)),SUM(VLOOKUP(B488,INDIRECT($F$8),6+(O494-1)*3),IF(W500,W494,0))))</f>
        <v/>
      </c>
      <c r="Q494" s="1" t="str">
        <f ca="1">IF(ISERROR(F488),"",VLOOKUP(B488,INDIRECT($F$8),7+(O494-1)*3))</f>
        <v/>
      </c>
      <c r="R494" s="1" t="str">
        <f ca="1">IF(ISERROR(F488),"",SUM(P494:Q494))</f>
        <v/>
      </c>
      <c r="S494" s="1" t="str">
        <f ca="1">IF(ISERROR(F488),"",VLOOKUP(A488,INDIRECT($F$8),6+(O494-1)*3))</f>
        <v/>
      </c>
      <c r="T494" s="1" t="str">
        <f ca="1">IF(ISERROR(F488),"",VLOOKUP(A488,INDIRECT($F$8),7+(O494-1)*3))</f>
        <v/>
      </c>
      <c r="U494" s="1" t="str">
        <f ca="1">IF(ISERROR(F488),"",VLOOKUP(A488,INDIRECT($F$8),8+(O494-1)*3))</f>
        <v/>
      </c>
      <c r="V494" s="1" t="str">
        <f ca="1">IF(ISERROR(F488),"",IF(N494=0,A494,""))</f>
        <v/>
      </c>
      <c r="W494" s="1" t="str">
        <f ca="1">IF(ISERROR(F488),"",IF(ISTEXT(VLOOKUP(B488,INDIRECT($F$8),6+(O494-1)*3)),11,IF(VLOOKUP(B488,INDIRECT($F$8),6+(O494-1)*3)&lt;S494*0.3,IF(VLOOKUP(B488,INDIRECT($F$8),8+(O494-1)*3)&lt;U494*0.4,IF(AND(0.4*U494-VLOOKUP(B488,INDIRECT($F$8),8+(O494-1)*3)&lt;=5,0.3*S494-VLOOKUP(B488,INDIRECT($F$8),6+(O494-1)*3)&lt;=5),MAX(0.4*U494-VLOOKUP(B488,INDIRECT($F$8),8+(O494-1)*3),0.3*S494-VLOOKUP(B488,INDIRECT($F$8),6+(O494-1)*3)),11),IF(0.3*S494-VLOOKUP(B488,INDIRECT($F$8),6+(O494-1)*3)&lt;=5,0.3*S494-VLOOKUP(B488,INDIRECT($F$8),6+(O494-1)*3),11)),IF(VLOOKUP(B488,INDIRECT($F$8),8+(O494-1)*3)&lt;U494*0.4,IF(U494*0.4-VLOOKUP(B488,INDIRECT($F$8),8+(O494-1)*3)&lt;=5,U494*0.4-VLOOKUP(B488,INDIRECT($F$8),8+(O494-1)*3),11),0))))</f>
        <v/>
      </c>
      <c r="X494" s="1" t="str">
        <f ca="1">IF(ISERROR(F488),"",IF(W494=0,"",_xlfn.TEXTJOIN("",FALSE," G+",W494," in ",A494)))</f>
        <v/>
      </c>
    </row>
    <row r="495" spans="1:24" ht="12.75" customHeight="1" x14ac:dyDescent="0.2">
      <c r="A495" s="7" t="str">
        <f ca="1">IF(ISERROR(F488),"",VLOOKUP(C488,INDIRECT($F$8),6+(O495-1)*3,0))</f>
        <v/>
      </c>
      <c r="B495" s="41" t="str">
        <f ca="1">IF(ISERROR(F488),"",VLOOKUP(D488,INDIRECT($F$8),6+(O495-1)*3,0))</f>
        <v/>
      </c>
      <c r="C495" s="41"/>
      <c r="D495" s="41"/>
      <c r="E495" s="41"/>
      <c r="F495" s="7" t="str">
        <f ca="1">IF(ISERROR(F488),"",VLOOKUP(E488,INDIRECT($F$8),6+(O495-1)*3,0))</f>
        <v/>
      </c>
      <c r="G495" s="42" t="str">
        <f ca="1">IF(ISERROR(F488),"",_xlfn.TEXTJOIN("/",FALSE,P495,S495))</f>
        <v/>
      </c>
      <c r="H495" s="42"/>
      <c r="I495" s="42" t="str">
        <f ca="1">IF(ISERROR(F488),"",_xlfn.TEXTJOIN("/",FALSE,Q495,T495))</f>
        <v/>
      </c>
      <c r="J495" s="42"/>
      <c r="K495" s="42" t="str">
        <f ca="1">IF(ISERROR(F488),"",_xlfn.TEXTJOIN("/",FALSE,R495,U495))</f>
        <v/>
      </c>
      <c r="L495" s="42"/>
      <c r="M495" s="7" t="str">
        <f ca="1">IF(ISERROR(F488),"",IF(ISTEXT(P495),IF(P495="A","Ab",IF(P495="D","Dt",IF(P495="UFM","UFM",IF(P495="NA","")))),IF(AND(ISBLANK(P495),ISBLANK(R495)),"",IF(P495&lt;0.3*S495,"F",IF(ISBLANK(R495),"",IF(ISTEXT(R495),R495,IF(R495&gt;=0.9*U495,"O",IF(R495&gt;=0.85*U495,"A+",IF(R495&gt;=0.8*U495,"A",IF(R495&gt;=0.7*U495,"B+",IF(R495&gt;=0.6*U495,"B",IF(R495&gt;=0.5*U495,"C",IF(R495&gt;=0.4*U495,"P",IF(R495&lt;0.4*U495,"F",R495))))))))))))))</f>
        <v/>
      </c>
      <c r="N495" s="8" t="str">
        <f t="shared" ca="1" si="30"/>
        <v/>
      </c>
      <c r="O495">
        <f ca="1">IF(O494&gt;0,4,"")</f>
        <v>4</v>
      </c>
      <c r="P495" s="1" t="str">
        <f ca="1">IF(ISERROR(F488),"",IF(ISTEXT(VLOOKUP(B488,INDIRECT($F$8),6+(O495-1)*3)),(VLOOKUP(B488,INDIRECT($F$8),6+(O495-1)*3)),SUM(VLOOKUP(B488,INDIRECT($F$8),6+(O495-1)*3),IF(W500,W495,0))))</f>
        <v/>
      </c>
      <c r="Q495" s="1" t="str">
        <f ca="1">IF(ISERROR(F488),"",VLOOKUP(B488,INDIRECT($F$8),7+(O495-1)*3))</f>
        <v/>
      </c>
      <c r="R495" s="1" t="str">
        <f ca="1">IF(ISERROR(F488),"",SUM(P495:Q495))</f>
        <v/>
      </c>
      <c r="S495" s="1" t="str">
        <f ca="1">IF(ISERROR(F488),"",VLOOKUP(A488,INDIRECT($F$8),6+(O495-1)*3))</f>
        <v/>
      </c>
      <c r="T495" s="1" t="str">
        <f ca="1">IF(ISERROR(F488),"",VLOOKUP(A488,INDIRECT($F$8),7+(O495-1)*3))</f>
        <v/>
      </c>
      <c r="U495" s="1" t="str">
        <f ca="1">IF(ISERROR(F488),"",VLOOKUP(A488,INDIRECT($F$8),8+(O495-1)*3))</f>
        <v/>
      </c>
      <c r="V495" s="1" t="str">
        <f ca="1">IF(ISERROR(F488),"",IF(N495=0,A495,""))</f>
        <v/>
      </c>
      <c r="W495" s="1" t="str">
        <f ca="1">IF(ISERROR(F488),"",IF(ISTEXT(VLOOKUP(B488,INDIRECT($F$8),6+(O495-1)*3)),11,IF(VLOOKUP(B488,INDIRECT($F$8),6+(O495-1)*3)&lt;S495*0.3,IF(VLOOKUP(B488,INDIRECT($F$8),8+(O495-1)*3)&lt;U495*0.4,IF(AND(0.4*U495-VLOOKUP(B488,INDIRECT($F$8),8+(O495-1)*3)&lt;=5,0.3*S495-VLOOKUP(B488,INDIRECT($F$8),6+(O495-1)*3)&lt;=5),MAX(0.4*U495-VLOOKUP(B488,INDIRECT($F$8),8+(O495-1)*3),0.3*S495-VLOOKUP(B488,INDIRECT($F$8),6+(O495-1)*3)),11),IF(0.3*S495-VLOOKUP(B488,INDIRECT($F$8),6+(O495-1)*3)&lt;=5,0.3*S495-VLOOKUP(B488,INDIRECT($F$8),6+(O495-1)*3),11)),IF(VLOOKUP(B488,INDIRECT($F$8),8+(O495-1)*3)&lt;U495*0.4,IF(U495*0.4-VLOOKUP(B488,INDIRECT($F$8),8+(O495-1)*3)&lt;=5,U495*0.4-VLOOKUP(B488,INDIRECT($F$8),8+(O495-1)*3),11),0))))</f>
        <v/>
      </c>
      <c r="X495" s="1" t="str">
        <f ca="1">IF(ISERROR(F488),"",IF(W495=0,"",_xlfn.TEXTJOIN("",FALSE," G+",W495," in ",A495)))</f>
        <v/>
      </c>
    </row>
    <row r="496" spans="1:24" ht="12.75" customHeight="1" x14ac:dyDescent="0.2">
      <c r="A496" s="7" t="str">
        <f ca="1">IF(ISERROR(F488),"",VLOOKUP(C488,INDIRECT($F$8),6+(O496-1)*3,0))</f>
        <v/>
      </c>
      <c r="B496" s="41" t="str">
        <f ca="1">IF(ISERROR(F488),"",VLOOKUP(D488,INDIRECT($F$8),6+(O496-1)*3,0))</f>
        <v/>
      </c>
      <c r="C496" s="41"/>
      <c r="D496" s="41"/>
      <c r="E496" s="41"/>
      <c r="F496" s="7" t="str">
        <f ca="1">IF(ISERROR(F488),"",VLOOKUP(E488,INDIRECT($F$8),6+(O496-1)*3,0))</f>
        <v/>
      </c>
      <c r="G496" s="42" t="str">
        <f ca="1">IF(ISERROR(F488),"",_xlfn.TEXTJOIN("/",FALSE,P496,S496))</f>
        <v/>
      </c>
      <c r="H496" s="42"/>
      <c r="I496" s="42" t="str">
        <f ca="1">IF(ISERROR(F488),"",_xlfn.TEXTJOIN("/",FALSE,Q496,T496))</f>
        <v/>
      </c>
      <c r="J496" s="42"/>
      <c r="K496" s="42" t="str">
        <f ca="1">IF(ISERROR(F488),"",_xlfn.TEXTJOIN("/",FALSE,R496,U496))</f>
        <v/>
      </c>
      <c r="L496" s="42"/>
      <c r="M496" s="7" t="str">
        <f ca="1">IF(ISERROR(F488),"",IF(ISTEXT(P496),IF(P496="A","Ab",IF(P496="D","Dt",IF(P496="UFM","UFM",IF(P496="NA","")))),IF(AND(ISBLANK(P496),ISBLANK(R496)),"",IF(P496&lt;0.3*S496,"F",IF(ISBLANK(R496),"",IF(ISTEXT(R496),R496,IF(R496&gt;=0.9*U496,"O",IF(R496&gt;=0.85*U496,"A+",IF(R496&gt;=0.8*U496,"A",IF(R496&gt;=0.7*U496,"B+",IF(R496&gt;=0.6*U496,"B",IF(R496&gt;=0.5*U496,"C",IF(R496&gt;=0.4*U496,"P",IF(R496&lt;0.4*U496,"F",R496))))))))))))))</f>
        <v/>
      </c>
      <c r="N496" s="8" t="str">
        <f t="shared" ca="1" si="30"/>
        <v/>
      </c>
      <c r="O496" t="b" cm="1">
        <f t="array" aca="1" ref="O496" ca="1">IF(NOT(ISBLANK(INDIRECT("SEM_IV!R"&amp;INT((ROW(O496)-16)/16)+6))),5,IF(NOT(ISBLANK(INDIRECT("SEM_IV!U"&amp;INT((ROW(O496)-16)/16)+6))),6))</f>
        <v>0</v>
      </c>
      <c r="P496" s="1" t="str">
        <f ca="1">IF(ISERROR(F488),"",IF(ISTEXT(VLOOKUP(B488,INDIRECT($F$8),6+(O496-1)*3)),(VLOOKUP(B488,INDIRECT($F$8),6+(O496-1)*3)),SUM(VLOOKUP(B488,INDIRECT($F$8),6+(O496-1)*3),IF(W500,W496,0))))</f>
        <v/>
      </c>
      <c r="Q496" s="1" t="str">
        <f ca="1">IF(ISERROR(F488),"",VLOOKUP(B488,INDIRECT($F$8),7+(O496-1)*3))</f>
        <v/>
      </c>
      <c r="R496" s="1" t="str">
        <f ca="1">IF(ISERROR(F488),"",SUM(P496:Q496))</f>
        <v/>
      </c>
      <c r="S496" s="1" t="str">
        <f ca="1">IF(ISERROR(F488),"",VLOOKUP(A488,INDIRECT($F$8),6+(O496-1)*3))</f>
        <v/>
      </c>
      <c r="T496" s="1" t="str">
        <f ca="1">IF(ISERROR(F488),"",VLOOKUP(A488,INDIRECT($F$8),7+(O496-1)*3))</f>
        <v/>
      </c>
      <c r="U496" s="1" t="str">
        <f ca="1">IF(ISERROR(F488),"",VLOOKUP(A488,INDIRECT($F$8),8+(O496-1)*3))</f>
        <v/>
      </c>
      <c r="V496" s="1" t="str">
        <f ca="1">IF(ISERROR(F488),"",IF(N496=0,A496,""))</f>
        <v/>
      </c>
      <c r="W496" s="1" t="str">
        <f ca="1">IF(ISERROR(F488),"",IF(ISTEXT(VLOOKUP(B488,INDIRECT($F$8),6+(O496-1)*3)),11,IF(VLOOKUP(B488,INDIRECT($F$8),6+(O496-1)*3)&lt;S496*0.3,IF(VLOOKUP(B488,INDIRECT($F$8),8+(O496-1)*3)&lt;U496*0.4,IF(AND(0.4*U496-VLOOKUP(B488,INDIRECT($F$8),8+(O496-1)*3)&lt;=5,0.3*S496-VLOOKUP(B488,INDIRECT($F$8),6+(O496-1)*3)&lt;=5),MAX(0.4*U496-VLOOKUP(B488,INDIRECT($F$8),8+(O496-1)*3),0.3*S496-VLOOKUP(B488,INDIRECT($F$8),6+(O496-1)*3)),11),IF(0.3*S496-VLOOKUP(B488,INDIRECT($F$8),6+(O496-1)*3)&lt;=5,0.3*S496-VLOOKUP(B488,INDIRECT($F$8),6+(O496-1)*3),11)),IF(VLOOKUP(B488,INDIRECT($F$8),8+(O496-1)*3)&lt;U496*0.4,IF(U496*0.4-VLOOKUP(B488,INDIRECT($F$8),8+(O496-1)*3)&lt;=5,U496*0.4-VLOOKUP(B488,INDIRECT($F$8),8+(O496-1)*3),11),0))))</f>
        <v/>
      </c>
      <c r="X496" s="1" t="str">
        <f ca="1">IF(ISERROR(F488),"",IF(W496=0,"",_xlfn.TEXTJOIN("",FALSE," G+",W496," in ",A496)))</f>
        <v/>
      </c>
    </row>
    <row r="497" spans="1:24" ht="12.75" customHeight="1" x14ac:dyDescent="0.2">
      <c r="A497" s="7" t="str">
        <f ca="1">IF(ISERROR(F488),"",VLOOKUP(C488,INDIRECT($F$8),6+(O497-1)*3,0))</f>
        <v/>
      </c>
      <c r="B497" s="41" t="str">
        <f ca="1">IF(ISERROR(F488),"",VLOOKUP(D488,INDIRECT($F$8),6+(O497-1)*3,0))</f>
        <v/>
      </c>
      <c r="C497" s="41"/>
      <c r="D497" s="41"/>
      <c r="E497" s="41"/>
      <c r="F497" s="7" t="str">
        <f ca="1">IF(ISERROR(F488),"",VLOOKUP(E488,INDIRECT($F$8),6+(O497-1)*3,0))</f>
        <v/>
      </c>
      <c r="G497" s="42" t="str">
        <f ca="1">IF(ISERROR(F488),"",_xlfn.TEXTJOIN("/",FALSE,P497,S497))</f>
        <v/>
      </c>
      <c r="H497" s="42"/>
      <c r="I497" s="42" t="str">
        <f ca="1">IF(ISERROR(F488),"",_xlfn.TEXTJOIN("/",FALSE,Q497,T497))</f>
        <v/>
      </c>
      <c r="J497" s="42"/>
      <c r="K497" s="42" t="str">
        <f ca="1">IF(ISERROR(F488),"",_xlfn.TEXTJOIN("/",FALSE,R497,U497))</f>
        <v/>
      </c>
      <c r="L497" s="42"/>
      <c r="M497" s="7" t="str">
        <f ca="1">IF(ISERROR(F488),"",IF(ISTEXT(P497),IF(P497="A","Ab",IF(P497="D","Dt",IF(P497="UFM","UFM",IF(P497="NA","")))),IF(AND(ISBLANK(P497),ISBLANK(R497)),"",IF(P497&lt;0.3*S497,"F",IF(ISBLANK(R497),"",IF(ISTEXT(R497),R497,IF(R497&gt;=0.9*U497,"O",IF(R497&gt;=0.85*U497,"A+",IF(R497&gt;=0.8*U497,"A",IF(R497&gt;=0.7*U497,"B+",IF(R497&gt;=0.6*U497,"B",IF(R497&gt;=0.5*U497,"C",IF(R497&gt;=0.4*U497,"P",IF(R497&lt;0.4*U497,"F",R497))))))))))))))</f>
        <v/>
      </c>
      <c r="N497" s="8" t="str">
        <f t="shared" ca="1" si="30"/>
        <v/>
      </c>
      <c r="O497">
        <f ca="1">IF(O496&gt;0,7,"")</f>
        <v>7</v>
      </c>
      <c r="P497" s="1" t="str">
        <f ca="1">IF(ISERROR(F488),"",IF(ISTEXT(VLOOKUP(B488,INDIRECT($F$8),6+(O497-1)*3)),(VLOOKUP(B488,INDIRECT($F$8),6+(O497-1)*3)),SUM(VLOOKUP(B488,INDIRECT($F$8),6+(O497-1)*3),IF(W500,W497,0))))</f>
        <v/>
      </c>
      <c r="Q497" s="1" t="str">
        <f ca="1">IF(ISERROR(F488),"",VLOOKUP(B488,INDIRECT($F$8),7+(O497-1)*3))</f>
        <v/>
      </c>
      <c r="R497" s="1" t="str">
        <f ca="1">IF(ISERROR(F488),"",SUM(P497:Q497))</f>
        <v/>
      </c>
      <c r="S497" s="1" t="str">
        <f ca="1">IF(ISERROR(F488),"",VLOOKUP(A488,INDIRECT($F$8),6+(O497-1)*3))</f>
        <v/>
      </c>
      <c r="T497" s="1" t="str">
        <f ca="1">IF(ISERROR(F488),"",VLOOKUP(A488,INDIRECT($F$8),7+(O497-1)*3))</f>
        <v/>
      </c>
      <c r="U497" s="1" t="str">
        <f ca="1">IF(ISERROR(F488),"",VLOOKUP(A488,INDIRECT($F$8),8+(O497-1)*3))</f>
        <v/>
      </c>
      <c r="V497" s="1" t="str">
        <f ca="1">IF(ISERROR(F488),"",IF(N497=0,A497,""))</f>
        <v/>
      </c>
      <c r="W497" s="1" t="str">
        <f ca="1">IF(ISERROR(F488),"",IF(ISTEXT(VLOOKUP(B488,INDIRECT($F$8),6+(O497-1)*3)),11,IF(VLOOKUP(B488,INDIRECT($F$8),6+(O497-1)*3)&lt;S497*0.3,IF(VLOOKUP(B488,INDIRECT($F$8),8+(O497-1)*3)&lt;U497*0.4,IF(AND(0.4*U497-VLOOKUP(B488,INDIRECT($F$8),8+(O497-1)*3)&lt;=5,0.3*S497-VLOOKUP(B488,INDIRECT($F$8),6+(O497-1)*3)&lt;=5),MAX(0.4*U497-VLOOKUP(B488,INDIRECT($F$8),8+(O497-1)*3),0.3*S497-VLOOKUP(B488,INDIRECT($F$8),6+(O497-1)*3)),11),IF(0.3*S497-VLOOKUP(B488,INDIRECT($F$8),6+(O497-1)*3)&lt;=5,0.3*S497-VLOOKUP(B488,INDIRECT($F$8),6+(O497-1)*3),11)),IF(VLOOKUP(B488,INDIRECT($F$8),8+(O497-1)*3)&lt;U497*0.4,IF(U497*0.4-VLOOKUP(B488,INDIRECT($F$8),8+(O497-1)*3)&lt;=5,U497*0.4-VLOOKUP(B488,INDIRECT($F$8),8+(O497-1)*3),11),0))))</f>
        <v/>
      </c>
      <c r="X497" s="1" t="str">
        <f ca="1">IF(ISERROR(F488),"",IF(W497=0,"",_xlfn.TEXTJOIN("",FALSE," G+",W497," in ",A497)))</f>
        <v/>
      </c>
    </row>
    <row r="498" spans="1:24" ht="12.75" customHeight="1" x14ac:dyDescent="0.2">
      <c r="A498" s="7" t="str">
        <f ca="1">IF(ISERROR(F488),"",VLOOKUP(C488,INDIRECT($F$8),6+(O498-1)*3,0))</f>
        <v/>
      </c>
      <c r="B498" s="41" t="str">
        <f ca="1">IF(ISERROR(F488),"",VLOOKUP(D488,INDIRECT($F$8),6+(O498-1)*3,0))</f>
        <v/>
      </c>
      <c r="C498" s="41"/>
      <c r="D498" s="41"/>
      <c r="E498" s="41"/>
      <c r="F498" s="7" t="str">
        <f ca="1">IF(ISERROR(F488),"",VLOOKUP(E488,INDIRECT($F$8),6+(O498-1)*3,0))</f>
        <v/>
      </c>
      <c r="G498" s="42" t="str">
        <f ca="1">IF(ISERROR(F488),"",_xlfn.TEXTJOIN("/",FALSE,P498,S498))</f>
        <v/>
      </c>
      <c r="H498" s="42"/>
      <c r="I498" s="42" t="str">
        <f ca="1">IF(ISERROR(F488),"",_xlfn.TEXTJOIN("/",FALSE,Q498,T498))</f>
        <v/>
      </c>
      <c r="J498" s="42"/>
      <c r="K498" s="42" t="str">
        <f ca="1">IF(ISERROR(F488),"",_xlfn.TEXTJOIN("/",FALSE,R498,U498))</f>
        <v/>
      </c>
      <c r="L498" s="42"/>
      <c r="M498" s="7" t="str">
        <f ca="1">IF(ISERROR(F488),"",IF(ISTEXT(P498),IF(P498="A","Ab",IF(P498="D","Dt",IF(P498="UFM","UFM",IF(P498="NA","")))),IF(AND(ISBLANK(P498),ISBLANK(R498)),"",IF(P498&lt;0.3*S498,"F",IF(ISBLANK(R498),"",IF(ISTEXT(R498),R498,IF(R498&gt;=0.9*U498,"O",IF(R498&gt;=0.85*U498,"A+",IF(R498&gt;=0.8*U498,"A",IF(R498&gt;=0.7*U498,"B+",IF(R498&gt;=0.6*U498,"B",IF(R498&gt;=0.5*U498,"C",IF(R498&gt;=0.4*U498,"P",IF(R498&lt;0.4*U498,"F",R498))))))))))))))</f>
        <v/>
      </c>
      <c r="N498" s="8" t="str">
        <f t="shared" ca="1" si="30"/>
        <v/>
      </c>
      <c r="O498" t="b" cm="1">
        <f t="array" aca="1" ref="O498" ca="1">IF(NOT(ISBLANK(INDIRECT("SEM_IV!AA"&amp;INT((ROW(O498)-18)/16)+6))),8,IF(NOT(ISBLANK(INDIRECT("SEM_IV!AD"&amp;INT((ROW(O498)-18)/16)+6))),9))</f>
        <v>0</v>
      </c>
      <c r="P498" s="1" t="str">
        <f ca="1">IF(ISERROR(F488),"",IF(ISTEXT(VLOOKUP(B488,INDIRECT($F$8),6+(O498-1)*3)),(VLOOKUP(B488,INDIRECT($F$8),6+(O498-1)*3)),SUM(VLOOKUP(B488,INDIRECT($F$8),6+(O498-1)*3),IF(W500,W498,0))))</f>
        <v/>
      </c>
      <c r="Q498" s="1" t="str">
        <f ca="1">IF(ISERROR(F488),"",VLOOKUP(B488,INDIRECT($F$8),7+(O498-1)*3))</f>
        <v/>
      </c>
      <c r="R498" s="1" t="str">
        <f ca="1">IF(ISERROR(F488),"",SUM(P498:Q498))</f>
        <v/>
      </c>
      <c r="S498" s="1" t="str">
        <f ca="1">IF(ISERROR(F488),"",VLOOKUP(A488,INDIRECT($F$8),6+(O498-1)*3))</f>
        <v/>
      </c>
      <c r="T498" s="1" t="str">
        <f ca="1">IF(ISERROR(F488),"",VLOOKUP(A488,INDIRECT($F$8),7+(O498-1)*3))</f>
        <v/>
      </c>
      <c r="U498" s="1" t="str">
        <f ca="1">IF(ISERROR(F488),"",VLOOKUP(A488,INDIRECT($F$8),8+(O498-1)*3))</f>
        <v/>
      </c>
      <c r="V498" s="1" t="str">
        <f ca="1">IF(ISERROR(F488),"",IF(N498=0,A498,""))</f>
        <v/>
      </c>
      <c r="W498" s="1" t="str">
        <f ca="1">IF(ISERROR(F488),"",IF(ISTEXT(VLOOKUP(B488,INDIRECT($F$8),6+(O498-1)*3)),11,IF(VLOOKUP(B488,INDIRECT($F$8),6+(O498-1)*3)&lt;S498*0.3,IF(VLOOKUP(B488,INDIRECT($F$8),8+(O498-1)*3)&lt;U498*0.4,IF(AND(0.4*U498-VLOOKUP(B488,INDIRECT($F$8),8+(O498-1)*3)&lt;=5,0.3*S498-VLOOKUP(B488,INDIRECT($F$8),6+(O498-1)*3)&lt;=5),MAX(0.4*U498-VLOOKUP(B488,INDIRECT($F$8),8+(O498-1)*3),0.3*S498-VLOOKUP(B488,INDIRECT($F$8),6+(O498-1)*3)),11),IF(0.3*S498-VLOOKUP(B488,INDIRECT($F$8),6+(O498-1)*3)&lt;=5,0.3*S498-VLOOKUP(B488,INDIRECT($F$8),6+(O498-1)*3),11)),IF(VLOOKUP(B488,INDIRECT($F$8),8+(O498-1)*3)&lt;U498*0.4,IF(U498*0.4-VLOOKUP(B488,INDIRECT($F$8),8+(O498-1)*3)&lt;=5,U498*0.4-VLOOKUP(B488,INDIRECT($F$8),8+(O498-1)*3),11),0))))</f>
        <v/>
      </c>
      <c r="X498" s="1" t="str">
        <f ca="1">IF(ISERROR(F488),"",IF(W498=0,"",_xlfn.TEXTJOIN("",FALSE," G+",W498," in ",A498)))</f>
        <v/>
      </c>
    </row>
    <row r="499" spans="1:24" ht="12.75" customHeight="1" x14ac:dyDescent="0.2">
      <c r="A499" s="7" t="str">
        <f ca="1">IF(ISERROR(F488),"",VLOOKUP(C488,INDIRECT($F$8),6+(O499-1)*3,0))</f>
        <v/>
      </c>
      <c r="B499" s="41" t="str">
        <f ca="1">IF(ISERROR(F488),"",VLOOKUP(D488,INDIRECT($F$8),6+(O499-1)*3-Z499,0))</f>
        <v/>
      </c>
      <c r="C499" s="41"/>
      <c r="D499" s="41"/>
      <c r="E499" s="41"/>
      <c r="F499" s="7" t="str">
        <f ca="1">IF(ISERROR(F488),"",VLOOKUP(E488,INDIRECT($F$8),6+(O499-1)*3,0))</f>
        <v/>
      </c>
      <c r="G499" s="42" t="str">
        <f ca="1">IF(ISERROR(F488),"",_xlfn.TEXTJOIN("/",FALSE,P499,S499))</f>
        <v/>
      </c>
      <c r="H499" s="42"/>
      <c r="I499" s="42" t="str">
        <f ca="1">IF(ISERROR(F488),"",_xlfn.TEXTJOIN("/",FALSE,Q499,T499))</f>
        <v/>
      </c>
      <c r="J499" s="42"/>
      <c r="K499" s="42" t="str">
        <f ca="1">IF(ISERROR(F488),"",_xlfn.TEXTJOIN("/",FALSE,R499,U499))</f>
        <v/>
      </c>
      <c r="L499" s="42"/>
      <c r="M499" s="7" t="str">
        <f ca="1">IF(ISERROR(F488),"",IF(ISTEXT(P499),IF(P499="A","Ab",IF(P499="D","Dt",IF(P499="UFM","UFM",IF(P499="NA","")))),IF(AND(ISBLANK(P499),ISBLANK(R499)),"",IF(P499&lt;0.3*S499,"F",IF(ISBLANK(R499),"",IF(ISTEXT(R499),R499,IF(R499&gt;=0.9*U499,"O",IF(R499&gt;=0.85*U499,"A+",IF(R499&gt;=0.8*U499,"A",IF(R499&gt;=0.7*U499,"B+",IF(R499&gt;=0.6*U499,"B",IF(R499&gt;=0.5*U499,"C",IF(R499&gt;=0.4*U499,"P",IF(R499&lt;0.4*U499,"F",R499))))))))))))))</f>
        <v/>
      </c>
      <c r="N499" s="8" t="str">
        <f t="shared" ca="1" si="30"/>
        <v/>
      </c>
      <c r="O499">
        <f ca="1">IF(O498&gt;0,10,"")</f>
        <v>10</v>
      </c>
      <c r="P499" s="1" t="str">
        <f ca="1">IF(ISERROR(F488),"",IF(ISTEXT(VLOOKUP(B488,INDIRECT($F$8),6+(O499-1)*3)),(VLOOKUP(B488,INDIRECT($F$8),6+(O499-1)*3)),SUM(VLOOKUP(B488,INDIRECT($F$8),6+(O499-1)*3),IF(W500,W499,0))))</f>
        <v/>
      </c>
      <c r="Q499" s="1" t="str">
        <f ca="1">IF(ISERROR(F488),"",VLOOKUP(B488,INDIRECT($F$8),7+(O499-1)*3))</f>
        <v/>
      </c>
      <c r="R499" s="1" t="str">
        <f ca="1">IF(ISERROR(F488),"",SUM(P499:Q499))</f>
        <v/>
      </c>
      <c r="S499" s="1" t="str">
        <f ca="1">IF(ISERROR(F488),"",VLOOKUP(A488,INDIRECT($F$8),6+(O499-1)*3))</f>
        <v/>
      </c>
      <c r="T499" s="1" t="str">
        <f ca="1">IF(ISERROR(F488),"",VLOOKUP(A488,INDIRECT($F$8),7+(O499-1)*3))</f>
        <v/>
      </c>
      <c r="U499" s="1" t="str">
        <f ca="1">IF(ISERROR(F488),"",VLOOKUP(A488,INDIRECT($F$8),8+(O499-1)*3))</f>
        <v/>
      </c>
      <c r="V499" s="1" t="str">
        <f ca="1">IF(ISERROR(F488),"",IF(N499=0,A499,""))</f>
        <v/>
      </c>
      <c r="W499" s="1" t="str">
        <f ca="1">IF(ISERROR(F488),"",IF(ISTEXT(VLOOKUP(B488,INDIRECT($F$8),6+(O499-1)*3)),11,IF(VLOOKUP(B488,INDIRECT($F$8),6+(O499-1)*3)&lt;S499*0.3,IF(VLOOKUP(B488,INDIRECT($F$8),8+(O499-1)*3)&lt;U499*0.4,IF(AND(0.4*U499-VLOOKUP(B488,INDIRECT($F$8),8+(O499-1)*3)&lt;=5,0.3*S499-VLOOKUP(B488,INDIRECT($F$8),6+(O499-1)*3)&lt;=5),MAX(0.4*U499-VLOOKUP(B488,INDIRECT($F$8),8+(O499-1)*3),0.3*S499-VLOOKUP(B488,INDIRECT($F$8),6+(O499-1)*3)),11),IF(0.3*S499-VLOOKUP(B488,INDIRECT($F$8),6+(O499-1)*3)&lt;=5,0.3*S499-VLOOKUP(B488,INDIRECT($F$8),6+(O499-1)*3),11)),IF(VLOOKUP(B488,INDIRECT($F$8),8+(O499-1)*3)&lt;U499*0.4,IF(U499*0.4-VLOOKUP(B488,INDIRECT($F$8),8+(O499-1)*3)&lt;=5,U499*0.4-VLOOKUP(B488,INDIRECT($F$8),8+(O499-1)*3),11),0))))</f>
        <v/>
      </c>
      <c r="X499" s="1" t="str">
        <f ca="1">IF(ISERROR(F488),"",IF(W499=0,"",_xlfn.TEXTJOIN("",FALSE," G+",W499," in ",A499)))</f>
        <v/>
      </c>
    </row>
    <row r="500" spans="1:24" ht="12.75" customHeight="1" x14ac:dyDescent="0.2">
      <c r="A500" s="43" t="str">
        <f ca="1">IF(ISERROR(F488),"",A484)</f>
        <v/>
      </c>
      <c r="B500" s="43"/>
      <c r="C500" s="43"/>
      <c r="D500" s="43"/>
      <c r="E500" s="43"/>
      <c r="F500" s="10" t="str">
        <f ca="1">IF(ISERROR(F488),"",SUM(F493:F499))</f>
        <v/>
      </c>
      <c r="G500" s="44" t="str">
        <f ca="1">IF(ISERROR(F488),"",_xlfn.TEXTJOIN("/",TRUE,SUMIF(F493:F499,"&gt;0",P493:P499),SUMIF(F493:F499,"&gt;0",S493:S499)))</f>
        <v/>
      </c>
      <c r="H500" s="44"/>
      <c r="I500" s="44" t="str">
        <f ca="1">IF(ISERROR(F488),"",_xlfn.TEXTJOIN("/",TRUE,SUMIF(F493:F499,"&gt;0",Q493:Q499),SUMIF(F493:F499,"&gt;0",T493:T499)))</f>
        <v/>
      </c>
      <c r="J500" s="44"/>
      <c r="K500" s="44" t="str">
        <f ca="1">IF(ISERROR(F488),"",_xlfn.TEXTJOIN("/",TRUE,SUMIF(F493:F499,"&gt;0",R493:R499),SUMIF(F493:F499,"&gt;0",U493:U499)))</f>
        <v/>
      </c>
      <c r="L500" s="44"/>
      <c r="M500" s="43" t="str">
        <f ca="1">IF(ISERROR(F488),"",SUMPRODUCT(N493:N499,F493:F499))</f>
        <v/>
      </c>
      <c r="N500" s="43"/>
      <c r="V500" s="1" t="str">
        <f ca="1">IF(ISERROR(F488),"",_xlfn.TEXTJOIN(", ",TRUE,V493:V499))</f>
        <v/>
      </c>
      <c r="W500" t="str">
        <f ca="1">IF(ISERROR(F488),"",IF(SUM(W493:W499)&lt;=W492,TRUE,FALSE))</f>
        <v/>
      </c>
      <c r="X500" s="1" t="str">
        <f ca="1">IF(ISERROR(F488),"",_xlfn.TEXTJOIN(",",TRUE,X493:X499))</f>
        <v/>
      </c>
    </row>
    <row r="501" spans="1:24" ht="12.75" customHeight="1" x14ac:dyDescent="0.2">
      <c r="A501" s="43" t="str">
        <f ca="1">IF(ISERROR(F488),"",A485)</f>
        <v/>
      </c>
      <c r="B501" s="45" t="str">
        <f ca="1">IF(ISERROR(F488),"",IF(V500="","PASS","CARRY OVER"))</f>
        <v/>
      </c>
      <c r="C501" s="45"/>
      <c r="D501" s="43" t="str">
        <f ca="1">IF(ISERROR(F488),"",D485)</f>
        <v/>
      </c>
      <c r="E501" s="45" t="str">
        <f ca="1">IF(ISERROR(F488),"",IF(V500="",IF(X500="","",X500),_xlfn.TEXTJOIN(" ",TRUE,"BACK IN",V500)))</f>
        <v/>
      </c>
      <c r="F501" s="45"/>
      <c r="G501" s="43" t="str">
        <f ca="1">IF(ISERROR(F488),"",G485)</f>
        <v/>
      </c>
      <c r="H501" s="46" t="str">
        <f ca="1">IF(ISERROR(F488),"",M500/F500)</f>
        <v/>
      </c>
      <c r="I501" s="43" t="str">
        <f ca="1">IF(ISERROR(F488),"",I485)</f>
        <v/>
      </c>
      <c r="J501" s="46" t="str">
        <f ca="1">IF(ISERROR(F488),"",VLOOKUP(B488,INDIRECT($F$8),12+(O499-1)*3,0))</f>
        <v/>
      </c>
      <c r="K501" s="45" t="str">
        <f ca="1">IF(ISERROR(F488),"",K485)</f>
        <v/>
      </c>
      <c r="L501" s="43" t="str">
        <f ca="1">IF(ISERROR(F488),"",SUMIF(N493:N499,"&gt;0",F493:F499))</f>
        <v/>
      </c>
      <c r="M501" s="45" t="str">
        <f ca="1">IF(ISERROR(F488),"",M485)</f>
        <v/>
      </c>
      <c r="N501" s="43" t="str">
        <f ca="1">IF(ISERROR(F488),"",VLOOKUP(B488,INDIRECT($F$8),10+(O499-1)*3,0))</f>
        <v/>
      </c>
    </row>
    <row r="502" spans="1:24" ht="12.75" customHeight="1" x14ac:dyDescent="0.2">
      <c r="A502" s="43"/>
      <c r="B502" s="45"/>
      <c r="C502" s="45"/>
      <c r="D502" s="43"/>
      <c r="E502" s="45"/>
      <c r="F502" s="45"/>
      <c r="G502" s="43"/>
      <c r="H502" s="46"/>
      <c r="I502" s="43"/>
      <c r="J502" s="46"/>
      <c r="K502" s="45"/>
      <c r="L502" s="43"/>
      <c r="M502" s="45"/>
      <c r="N502" s="43"/>
    </row>
    <row r="503" spans="1:24" ht="12.75" customHeight="1" x14ac:dyDescent="0.2">
      <c r="A503" s="43"/>
      <c r="B503" s="45"/>
      <c r="C503" s="45"/>
      <c r="D503" s="43"/>
      <c r="E503" s="45"/>
      <c r="F503" s="45"/>
      <c r="G503" s="43"/>
      <c r="H503" s="46"/>
      <c r="I503" s="43"/>
      <c r="J503" s="46"/>
      <c r="K503" s="45"/>
      <c r="L503" s="43"/>
      <c r="M503" s="45"/>
      <c r="N503" s="43"/>
    </row>
    <row r="504" spans="1:24" ht="12.75" customHeight="1" x14ac:dyDescent="0.2">
      <c r="A504" s="11" t="str">
        <f>A488</f>
        <v>MM</v>
      </c>
      <c r="B504" s="11">
        <f>B488+1</f>
        <v>32</v>
      </c>
      <c r="C504" s="11" t="str">
        <f>C488</f>
        <v>SC</v>
      </c>
      <c r="D504" s="11" t="str">
        <f>D488</f>
        <v>SN</v>
      </c>
      <c r="E504" s="11" t="str">
        <f>E488</f>
        <v>C</v>
      </c>
      <c r="F504" s="11" t="e">
        <f ca="1">VLOOKUP(B504,INDIRECT($F$8),4,0)</f>
        <v>#N/A</v>
      </c>
    </row>
    <row r="505" spans="1:24" ht="12.75" customHeight="1" x14ac:dyDescent="0.2">
      <c r="A505" s="47" t="str">
        <f ca="1">IF(ISERROR(F504),"",A489)</f>
        <v/>
      </c>
      <c r="B505" s="47" t="str">
        <f ca="1">IFERROR(VLOOKUP(B504,INDIRECT($F$8),4,0),"")</f>
        <v/>
      </c>
      <c r="C505" s="47"/>
      <c r="D505" s="47" t="str">
        <f ca="1">IF(ISERROR(F504),"",D489)</f>
        <v/>
      </c>
      <c r="E505" s="47" t="str">
        <f ca="1">IFERROR(VLOOKUP(B504,INDIRECT($F$8),5,0),"")</f>
        <v/>
      </c>
      <c r="F505" s="47"/>
      <c r="G505" s="47" t="str">
        <f ca="1">IF(ISERROR(F504),"",G489)</f>
        <v/>
      </c>
      <c r="H505" s="47"/>
      <c r="I505" s="48" t="str">
        <f ca="1">IFERROR(VLOOKUP(B504,INDIRECT($F$8),2,0),"")</f>
        <v/>
      </c>
      <c r="J505" s="48"/>
      <c r="K505" s="47" t="str">
        <f ca="1">IF(ISERROR(F504),"",K489)</f>
        <v/>
      </c>
      <c r="L505" s="47"/>
      <c r="M505" s="48" t="str">
        <f ca="1">IFERROR(VLOOKUP(B504,INDIRECT($F$8),3,0),"")</f>
        <v/>
      </c>
      <c r="N505" s="48"/>
    </row>
    <row r="506" spans="1:24" ht="12.75" customHeight="1" x14ac:dyDescent="0.2">
      <c r="A506" s="47"/>
      <c r="B506" s="47"/>
      <c r="C506" s="47"/>
      <c r="D506" s="47"/>
      <c r="E506" s="47"/>
      <c r="F506" s="47"/>
      <c r="G506" s="47"/>
      <c r="H506" s="47"/>
      <c r="I506" s="48"/>
      <c r="J506" s="48"/>
      <c r="K506" s="47"/>
      <c r="L506" s="47"/>
      <c r="M506" s="48"/>
      <c r="N506" s="48"/>
    </row>
    <row r="507" spans="1:24" ht="12.75" customHeight="1" x14ac:dyDescent="0.2">
      <c r="A507" s="45" t="str">
        <f ca="1">IF(ISERROR(F504),"",A491)</f>
        <v/>
      </c>
      <c r="B507" s="45" t="str">
        <f ca="1">IF(ISERROR(F504),"",B491)</f>
        <v/>
      </c>
      <c r="C507" s="45"/>
      <c r="D507" s="45"/>
      <c r="E507" s="45"/>
      <c r="F507" s="45" t="str">
        <f ca="1">IF(ISERROR(F504),"",F491)</f>
        <v/>
      </c>
      <c r="G507" s="45" t="str">
        <f ca="1">IF(ISERROR(F504),"",G491)</f>
        <v/>
      </c>
      <c r="H507" s="45"/>
      <c r="I507" s="45" t="str">
        <f ca="1">IF(ISERROR(F504),"",I491)</f>
        <v/>
      </c>
      <c r="J507" s="45"/>
      <c r="K507" s="45" t="str">
        <f ca="1">IF(ISERROR(F504),"",K491)</f>
        <v/>
      </c>
      <c r="L507" s="45"/>
      <c r="M507" s="45" t="str">
        <f ca="1">IF(ISERROR(F504),"",M491)</f>
        <v/>
      </c>
      <c r="N507" s="45" t="str">
        <f ca="1">IF(ISERROR(F504),"",N491)</f>
        <v/>
      </c>
    </row>
    <row r="508" spans="1:24" ht="12.75" customHeight="1" x14ac:dyDescent="0.2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W508" t="e">
        <f ca="1">IF(ISNUMBER(MATCH($F$8,{"I","III","V","VII"},0)),10,10-INDEX(INDIRECT(_xlfn.TEXTJOIN("",TRUE,"SEM_",$G$8,"!",ADDRESS(6,4+$I$8*3+4),":",ADDRESS(5+$H$8,4+$I$8*3+4))),MATCH(INDIRECT(_xlfn.TEXTJOIN("",TRUE,"TC_",$F$8,"!",ADDRESS(ROW(I505),COLUMN(I505)))),INDIRECT(_xlfn.TEXTJOIN("",TRUE,"SEM_",$G$8,"!",ADDRESS(6,2),":",ADDRESS(5+$H$8,2))))))</f>
        <v>#N/A</v>
      </c>
    </row>
    <row r="509" spans="1:24" ht="12.75" customHeight="1" x14ac:dyDescent="0.2">
      <c r="A509" s="7" t="str">
        <f ca="1">IF(ISERROR(F504),"",VLOOKUP(C504,INDIRECT($F$8),6+(O509-1)*3,0))</f>
        <v/>
      </c>
      <c r="B509" s="41" t="str">
        <f ca="1">IF(ISERROR(F504),"",VLOOKUP(D504,INDIRECT($F$8),6+(O509-1)*3,0))</f>
        <v/>
      </c>
      <c r="C509" s="41"/>
      <c r="D509" s="41"/>
      <c r="E509" s="41"/>
      <c r="F509" s="7" t="str">
        <f ca="1">IF(ISERROR(F504),"",VLOOKUP(E504,INDIRECT($F$8),6+(O509-1)*3,0))</f>
        <v/>
      </c>
      <c r="G509" s="42" t="str">
        <f ca="1">IF(ISERROR(F504),"",_xlfn.TEXTJOIN("/",FALSE,P509,S509))</f>
        <v/>
      </c>
      <c r="H509" s="42"/>
      <c r="I509" s="42" t="str">
        <f ca="1">IF(ISERROR(F504),"",_xlfn.TEXTJOIN("/",FALSE,Q509,T509))</f>
        <v/>
      </c>
      <c r="J509" s="42"/>
      <c r="K509" s="42" t="str">
        <f ca="1">IF(ISERROR(F504),"",_xlfn.TEXTJOIN("/",FALSE,R509,U509))</f>
        <v/>
      </c>
      <c r="L509" s="42"/>
      <c r="M509" s="7" t="str">
        <f ca="1">IF(ISERROR(F504),"",IF(ISTEXT(P509),IF(P509="A","Ab",IF(P509="D","Dt",IF(P509="UFM","UFM",IF(P509="NA","")))),IF(AND(ISBLANK(P509),ISBLANK(R509)),"",IF(P509&lt;0.3*S509,"F",IF(ISBLANK(R509),"",IF(ISTEXT(R509),R509,IF(R509&gt;=0.9*U509,"O",IF(R509&gt;=0.85*U509,"A+",IF(R509&gt;=0.8*U509,"A",IF(R509&gt;=0.7*U509,"B+",IF(R509&gt;=0.6*U509,"B",IF(R509&gt;=0.5*U509,"C",IF(R509&gt;=0.4*U509,"P",IF(R509&lt;0.4*U509,"F",R509))))))))))))))</f>
        <v/>
      </c>
      <c r="N509" s="8" t="str">
        <f t="shared" ref="N509:N515" ca="1" si="31">INDEX($Z$2:$Z$13,MATCH(M509,$Y$2:$Y$13,0))</f>
        <v/>
      </c>
      <c r="O509">
        <v>1</v>
      </c>
      <c r="P509" s="1" t="str">
        <f ca="1">IF(ISERROR(F504),"",IF(ISTEXT(VLOOKUP(B504,INDIRECT($F$8),6+(O509-1)*3)),(VLOOKUP(B504,INDIRECT($F$8),6+(O509-1)*3)),SUM(VLOOKUP(B504,INDIRECT($F$8),6+(O509-1)*3),IF(W516,W509,0))))</f>
        <v/>
      </c>
      <c r="Q509" s="1" t="str">
        <f ca="1">IF(ISERROR(F504),"",VLOOKUP(B504,INDIRECT($F$8),7+(O509-1)*3))</f>
        <v/>
      </c>
      <c r="R509" s="1" t="str">
        <f ca="1">IF(ISERROR(F504),"",SUM(P509:Q509))</f>
        <v/>
      </c>
      <c r="S509" s="1" t="str">
        <f ca="1">IF(ISERROR(F504),"",VLOOKUP(A504,INDIRECT($F$8),6+(O509-1)*3))</f>
        <v/>
      </c>
      <c r="T509" s="1" t="str">
        <f ca="1">IF(ISERROR(F504),"",VLOOKUP(A504,INDIRECT($F$8),7+(O509-1)*3))</f>
        <v/>
      </c>
      <c r="U509" s="1" t="str">
        <f ca="1">IF(ISERROR(F504),"",VLOOKUP(A504,INDIRECT($F$8),8+(O509-1)*3))</f>
        <v/>
      </c>
      <c r="V509" s="1" t="str">
        <f ca="1">IF(ISERROR(F504),"",IF(N509=0,A509,""))</f>
        <v/>
      </c>
      <c r="W509" s="1" t="str">
        <f ca="1">IF(ISERROR(F504),"",IF(ISTEXT(VLOOKUP(B504,INDIRECT($F$8),6+(O509-1)*3)),11,IF(VLOOKUP(B504,INDIRECT($F$8),6+(O509-1)*3)&lt;S509*0.3,IF(VLOOKUP(B504,INDIRECT($F$8),8+(O509-1)*3)&lt;U509*0.4,IF(AND(0.4*U509-VLOOKUP(B504,INDIRECT($F$8),8+(O509-1)*3)&lt;=5,0.3*S509-VLOOKUP(B504,INDIRECT($F$8),6+(O509-1)*3)&lt;=5),MAX(0.4*U509-VLOOKUP(B504,INDIRECT($F$8),8+(O509-1)*3),0.3*S509-VLOOKUP(B504,INDIRECT($F$8),6+(O509-1)*3)),11),IF(0.3*S509-VLOOKUP(B504,INDIRECT($F$8),6+(O509-1)*3)&lt;=5,0.3*S509-VLOOKUP(B504,INDIRECT($F$8),6+(O509-1)*3),11)),IF(VLOOKUP(B504,INDIRECT($F$8),8+(O509-1)*3)&lt;U509*0.4,IF(U509*0.4-VLOOKUP(B504,INDIRECT($F$8),8+(O509-1)*3)&lt;=5,U509*0.4-VLOOKUP(B504,INDIRECT($F$8),8+(O509-1)*3),11),0))))</f>
        <v/>
      </c>
      <c r="X509" s="1" t="str">
        <f ca="1">IF(ISERROR(F504),"",IF(W509=0,"",_xlfn.TEXTJOIN("",FALSE," G+",W509," in ",A509)))</f>
        <v/>
      </c>
    </row>
    <row r="510" spans="1:24" ht="12.75" customHeight="1" x14ac:dyDescent="0.2">
      <c r="A510" s="7" t="str">
        <f ca="1">IF(ISERROR(F504),"",VLOOKUP(C504,INDIRECT($F$8),6+(O510-1)*3,0))</f>
        <v/>
      </c>
      <c r="B510" s="41" t="str">
        <f ca="1">IF(ISERROR(F504),"",VLOOKUP(D504,INDIRECT($F$8),6+(O510-1)*3,0))</f>
        <v/>
      </c>
      <c r="C510" s="41"/>
      <c r="D510" s="41"/>
      <c r="E510" s="41"/>
      <c r="F510" s="7" t="str">
        <f ca="1">IF(ISERROR(F504),"",VLOOKUP(E504,INDIRECT($F$8),6+(O510-1)*3,0))</f>
        <v/>
      </c>
      <c r="G510" s="42" t="str">
        <f ca="1">IF(ISERROR(F504),"",_xlfn.TEXTJOIN("/",FALSE,P510,S510))</f>
        <v/>
      </c>
      <c r="H510" s="42"/>
      <c r="I510" s="42" t="str">
        <f ca="1">IF(ISERROR(F504),"",_xlfn.TEXTJOIN("/",FALSE,Q510,T510))</f>
        <v/>
      </c>
      <c r="J510" s="42"/>
      <c r="K510" s="42" t="str">
        <f ca="1">IF(ISERROR(F504),"",_xlfn.TEXTJOIN("/",FALSE,R510,U510))</f>
        <v/>
      </c>
      <c r="L510" s="42"/>
      <c r="M510" s="7" t="str">
        <f ca="1">IF(ISERROR(F504),"",IF(ISTEXT(P510),IF(P510="A","Ab",IF(P510="D","Dt",IF(P510="UFM","UFM",IF(P510="NA","")))),IF(AND(ISBLANK(P510),ISBLANK(R510)),"",IF(P510&lt;0.3*S510,"F",IF(ISBLANK(R510),"",IF(ISTEXT(R510),R510,IF(R510&gt;=0.9*U510,"O",IF(R510&gt;=0.85*U510,"A+",IF(R510&gt;=0.8*U510,"A",IF(R510&gt;=0.7*U510,"B+",IF(R510&gt;=0.6*U510,"B",IF(R510&gt;=0.5*U510,"C",IF(R510&gt;=0.4*U510,"P",IF(R510&lt;0.4*U510,"F",R510))))))))))))))</f>
        <v/>
      </c>
      <c r="N510" s="8" t="str">
        <f t="shared" ca="1" si="31"/>
        <v/>
      </c>
      <c r="O510" t="b" cm="1">
        <f t="array" aca="1" ref="O510" ca="1">IF(NOT(ISBLANK(INDIRECT("SEM_IV!I"&amp;INT((ROW(O510)-14)/16)+6))),2,IF(NOT(ISBLANK(INDIRECT("SEM_IV!L"&amp;INT((ROW(O510)-14)/16)+6))),3))</f>
        <v>0</v>
      </c>
      <c r="P510" s="1" t="str">
        <f ca="1">IF(ISERROR(F504),"",IF(ISTEXT(VLOOKUP(B504,INDIRECT($F$8),6+(O510-1)*3)),(VLOOKUP(B504,INDIRECT($F$8),6+(O510-1)*3)),SUM(VLOOKUP(B504,INDIRECT($F$8),6+(O510-1)*3),IF(W516,W510,0))))</f>
        <v/>
      </c>
      <c r="Q510" s="1" t="str">
        <f ca="1">IF(ISERROR(F504),"",VLOOKUP(B504,INDIRECT($F$8),7+(O510-1)*3))</f>
        <v/>
      </c>
      <c r="R510" s="1" t="str">
        <f ca="1">IF(ISERROR(F504),"",SUM(P510:Q510))</f>
        <v/>
      </c>
      <c r="S510" s="1" t="str">
        <f ca="1">IF(ISERROR(F504),"",VLOOKUP(A504,INDIRECT($F$8),6+(O510-1)*3))</f>
        <v/>
      </c>
      <c r="T510" s="1" t="str">
        <f ca="1">IF(ISERROR(F504),"",VLOOKUP(A504,INDIRECT($F$8),7+(O510-1)*3))</f>
        <v/>
      </c>
      <c r="U510" s="1" t="str">
        <f ca="1">IF(ISERROR(F504),"",VLOOKUP(A504,INDIRECT($F$8),8+(O510-1)*3))</f>
        <v/>
      </c>
      <c r="V510" s="1" t="str">
        <f ca="1">IF(ISERROR(F504),"",IF(N510=0,A510,""))</f>
        <v/>
      </c>
      <c r="W510" s="1" t="str">
        <f ca="1">IF(ISERROR(F504),"",IF(ISTEXT(VLOOKUP(B504,INDIRECT($F$8),6+(O510-1)*3)),11,IF(VLOOKUP(B504,INDIRECT($F$8),6+(O510-1)*3)&lt;S510*0.3,IF(VLOOKUP(B504,INDIRECT($F$8),8+(O510-1)*3)&lt;U510*0.4,IF(AND(0.4*U510-VLOOKUP(B504,INDIRECT($F$8),8+(O510-1)*3)&lt;=5,0.3*S510-VLOOKUP(B504,INDIRECT($F$8),6+(O510-1)*3)&lt;=5),MAX(0.4*U510-VLOOKUP(B504,INDIRECT($F$8),8+(O510-1)*3),0.3*S510-VLOOKUP(B504,INDIRECT($F$8),6+(O510-1)*3)),11),IF(0.3*S510-VLOOKUP(B504,INDIRECT($F$8),6+(O510-1)*3)&lt;=5,0.3*S510-VLOOKUP(B504,INDIRECT($F$8),6+(O510-1)*3),11)),IF(VLOOKUP(B504,INDIRECT($F$8),8+(O510-1)*3)&lt;U510*0.4,IF(U510*0.4-VLOOKUP(B504,INDIRECT($F$8),8+(O510-1)*3)&lt;=5,U510*0.4-VLOOKUP(B504,INDIRECT($F$8),8+(O510-1)*3),11),0))))</f>
        <v/>
      </c>
      <c r="X510" s="1" t="str">
        <f ca="1">IF(ISERROR(F504),"",IF(W510=0,"",_xlfn.TEXTJOIN("",FALSE," G+",W510," in ",A510)))</f>
        <v/>
      </c>
    </row>
    <row r="511" spans="1:24" ht="12.75" customHeight="1" x14ac:dyDescent="0.2">
      <c r="A511" s="7" t="str">
        <f ca="1">IF(ISERROR(F504),"",VLOOKUP(C504,INDIRECT($F$8),6+(O511-1)*3,0))</f>
        <v/>
      </c>
      <c r="B511" s="41" t="str">
        <f ca="1">IF(ISERROR(F504),"",VLOOKUP(D504,INDIRECT($F$8),6+(O511-1)*3,0))</f>
        <v/>
      </c>
      <c r="C511" s="41"/>
      <c r="D511" s="41"/>
      <c r="E511" s="41"/>
      <c r="F511" s="7" t="str">
        <f ca="1">IF(ISERROR(F504),"",VLOOKUP(E504,INDIRECT($F$8),6+(O511-1)*3,0))</f>
        <v/>
      </c>
      <c r="G511" s="42" t="str">
        <f ca="1">IF(ISERROR(F504),"",_xlfn.TEXTJOIN("/",FALSE,P511,S511))</f>
        <v/>
      </c>
      <c r="H511" s="42"/>
      <c r="I511" s="42" t="str">
        <f ca="1">IF(ISERROR(F504),"",_xlfn.TEXTJOIN("/",FALSE,Q511,T511))</f>
        <v/>
      </c>
      <c r="J511" s="42"/>
      <c r="K511" s="42" t="str">
        <f ca="1">IF(ISERROR(F504),"",_xlfn.TEXTJOIN("/",FALSE,R511,U511))</f>
        <v/>
      </c>
      <c r="L511" s="42"/>
      <c r="M511" s="7" t="str">
        <f ca="1">IF(ISERROR(F504),"",IF(ISTEXT(P511),IF(P511="A","Ab",IF(P511="D","Dt",IF(P511="UFM","UFM",IF(P511="NA","")))),IF(AND(ISBLANK(P511),ISBLANK(R511)),"",IF(P511&lt;0.3*S511,"F",IF(ISBLANK(R511),"",IF(ISTEXT(R511),R511,IF(R511&gt;=0.9*U511,"O",IF(R511&gt;=0.85*U511,"A+",IF(R511&gt;=0.8*U511,"A",IF(R511&gt;=0.7*U511,"B+",IF(R511&gt;=0.6*U511,"B",IF(R511&gt;=0.5*U511,"C",IF(R511&gt;=0.4*U511,"P",IF(R511&lt;0.4*U511,"F",R511))))))))))))))</f>
        <v/>
      </c>
      <c r="N511" s="8" t="str">
        <f t="shared" ca="1" si="31"/>
        <v/>
      </c>
      <c r="O511">
        <f ca="1">IF(O510&gt;0,4,"")</f>
        <v>4</v>
      </c>
      <c r="P511" s="1" t="str">
        <f ca="1">IF(ISERROR(F504),"",IF(ISTEXT(VLOOKUP(B504,INDIRECT($F$8),6+(O511-1)*3)),(VLOOKUP(B504,INDIRECT($F$8),6+(O511-1)*3)),SUM(VLOOKUP(B504,INDIRECT($F$8),6+(O511-1)*3),IF(W516,W511,0))))</f>
        <v/>
      </c>
      <c r="Q511" s="1" t="str">
        <f ca="1">IF(ISERROR(F504),"",VLOOKUP(B504,INDIRECT($F$8),7+(O511-1)*3))</f>
        <v/>
      </c>
      <c r="R511" s="1" t="str">
        <f ca="1">IF(ISERROR(F504),"",SUM(P511:Q511))</f>
        <v/>
      </c>
      <c r="S511" s="1" t="str">
        <f ca="1">IF(ISERROR(F504),"",VLOOKUP(A504,INDIRECT($F$8),6+(O511-1)*3))</f>
        <v/>
      </c>
      <c r="T511" s="1" t="str">
        <f ca="1">IF(ISERROR(F504),"",VLOOKUP(A504,INDIRECT($F$8),7+(O511-1)*3))</f>
        <v/>
      </c>
      <c r="U511" s="1" t="str">
        <f ca="1">IF(ISERROR(F504),"",VLOOKUP(A504,INDIRECT($F$8),8+(O511-1)*3))</f>
        <v/>
      </c>
      <c r="V511" s="1" t="str">
        <f ca="1">IF(ISERROR(F504),"",IF(N511=0,A511,""))</f>
        <v/>
      </c>
      <c r="W511" s="1" t="str">
        <f ca="1">IF(ISERROR(F504),"",IF(ISTEXT(VLOOKUP(B504,INDIRECT($F$8),6+(O511-1)*3)),11,IF(VLOOKUP(B504,INDIRECT($F$8),6+(O511-1)*3)&lt;S511*0.3,IF(VLOOKUP(B504,INDIRECT($F$8),8+(O511-1)*3)&lt;U511*0.4,IF(AND(0.4*U511-VLOOKUP(B504,INDIRECT($F$8),8+(O511-1)*3)&lt;=5,0.3*S511-VLOOKUP(B504,INDIRECT($F$8),6+(O511-1)*3)&lt;=5),MAX(0.4*U511-VLOOKUP(B504,INDIRECT($F$8),8+(O511-1)*3),0.3*S511-VLOOKUP(B504,INDIRECT($F$8),6+(O511-1)*3)),11),IF(0.3*S511-VLOOKUP(B504,INDIRECT($F$8),6+(O511-1)*3)&lt;=5,0.3*S511-VLOOKUP(B504,INDIRECT($F$8),6+(O511-1)*3),11)),IF(VLOOKUP(B504,INDIRECT($F$8),8+(O511-1)*3)&lt;U511*0.4,IF(U511*0.4-VLOOKUP(B504,INDIRECT($F$8),8+(O511-1)*3)&lt;=5,U511*0.4-VLOOKUP(B504,INDIRECT($F$8),8+(O511-1)*3),11),0))))</f>
        <v/>
      </c>
      <c r="X511" s="1" t="str">
        <f ca="1">IF(ISERROR(F504),"",IF(W511=0,"",_xlfn.TEXTJOIN("",FALSE," G+",W511," in ",A511)))</f>
        <v/>
      </c>
    </row>
    <row r="512" spans="1:24" ht="12.75" customHeight="1" x14ac:dyDescent="0.2">
      <c r="A512" s="7" t="str">
        <f ca="1">IF(ISERROR(F504),"",VLOOKUP(C504,INDIRECT($F$8),6+(O512-1)*3,0))</f>
        <v/>
      </c>
      <c r="B512" s="41" t="str">
        <f ca="1">IF(ISERROR(F504),"",VLOOKUP(D504,INDIRECT($F$8),6+(O512-1)*3,0))</f>
        <v/>
      </c>
      <c r="C512" s="41"/>
      <c r="D512" s="41"/>
      <c r="E512" s="41"/>
      <c r="F512" s="7" t="str">
        <f ca="1">IF(ISERROR(F504),"",VLOOKUP(E504,INDIRECT($F$8),6+(O512-1)*3,0))</f>
        <v/>
      </c>
      <c r="G512" s="42" t="str">
        <f ca="1">IF(ISERROR(F504),"",_xlfn.TEXTJOIN("/",FALSE,P512,S512))</f>
        <v/>
      </c>
      <c r="H512" s="42"/>
      <c r="I512" s="42" t="str">
        <f ca="1">IF(ISERROR(F504),"",_xlfn.TEXTJOIN("/",FALSE,Q512,T512))</f>
        <v/>
      </c>
      <c r="J512" s="42"/>
      <c r="K512" s="42" t="str">
        <f ca="1">IF(ISERROR(F504),"",_xlfn.TEXTJOIN("/",FALSE,R512,U512))</f>
        <v/>
      </c>
      <c r="L512" s="42"/>
      <c r="M512" s="7" t="str">
        <f ca="1">IF(ISERROR(F504),"",IF(ISTEXT(P512),IF(P512="A","Ab",IF(P512="D","Dt",IF(P512="UFM","UFM",IF(P512="NA","")))),IF(AND(ISBLANK(P512),ISBLANK(R512)),"",IF(P512&lt;0.3*S512,"F",IF(ISBLANK(R512),"",IF(ISTEXT(R512),R512,IF(R512&gt;=0.9*U512,"O",IF(R512&gt;=0.85*U512,"A+",IF(R512&gt;=0.8*U512,"A",IF(R512&gt;=0.7*U512,"B+",IF(R512&gt;=0.6*U512,"B",IF(R512&gt;=0.5*U512,"C",IF(R512&gt;=0.4*U512,"P",IF(R512&lt;0.4*U512,"F",R512))))))))))))))</f>
        <v/>
      </c>
      <c r="N512" s="8" t="str">
        <f t="shared" ca="1" si="31"/>
        <v/>
      </c>
      <c r="O512" t="b" cm="1">
        <f t="array" aca="1" ref="O512" ca="1">IF(NOT(ISBLANK(INDIRECT("SEM_IV!R"&amp;INT((ROW(O512)-16)/16)+6))),5,IF(NOT(ISBLANK(INDIRECT("SEM_IV!U"&amp;INT((ROW(O512)-16)/16)+6))),6))</f>
        <v>0</v>
      </c>
      <c r="P512" s="1" t="str">
        <f ca="1">IF(ISERROR(F504),"",IF(ISTEXT(VLOOKUP(B504,INDIRECT($F$8),6+(O512-1)*3)),(VLOOKUP(B504,INDIRECT($F$8),6+(O512-1)*3)),SUM(VLOOKUP(B504,INDIRECT($F$8),6+(O512-1)*3),IF(W516,W512,0))))</f>
        <v/>
      </c>
      <c r="Q512" s="1" t="str">
        <f ca="1">IF(ISERROR(F504),"",VLOOKUP(B504,INDIRECT($F$8),7+(O512-1)*3))</f>
        <v/>
      </c>
      <c r="R512" s="1" t="str">
        <f ca="1">IF(ISERROR(F504),"",SUM(P512:Q512))</f>
        <v/>
      </c>
      <c r="S512" s="1" t="str">
        <f ca="1">IF(ISERROR(F504),"",VLOOKUP(A504,INDIRECT($F$8),6+(O512-1)*3))</f>
        <v/>
      </c>
      <c r="T512" s="1" t="str">
        <f ca="1">IF(ISERROR(F504),"",VLOOKUP(A504,INDIRECT($F$8),7+(O512-1)*3))</f>
        <v/>
      </c>
      <c r="U512" s="1" t="str">
        <f ca="1">IF(ISERROR(F504),"",VLOOKUP(A504,INDIRECT($F$8),8+(O512-1)*3))</f>
        <v/>
      </c>
      <c r="V512" s="1" t="str">
        <f ca="1">IF(ISERROR(F504),"",IF(N512=0,A512,""))</f>
        <v/>
      </c>
      <c r="W512" s="1" t="str">
        <f ca="1">IF(ISERROR(F504),"",IF(ISTEXT(VLOOKUP(B504,INDIRECT($F$8),6+(O512-1)*3)),11,IF(VLOOKUP(B504,INDIRECT($F$8),6+(O512-1)*3)&lt;S512*0.3,IF(VLOOKUP(B504,INDIRECT($F$8),8+(O512-1)*3)&lt;U512*0.4,IF(AND(0.4*U512-VLOOKUP(B504,INDIRECT($F$8),8+(O512-1)*3)&lt;=5,0.3*S512-VLOOKUP(B504,INDIRECT($F$8),6+(O512-1)*3)&lt;=5),MAX(0.4*U512-VLOOKUP(B504,INDIRECT($F$8),8+(O512-1)*3),0.3*S512-VLOOKUP(B504,INDIRECT($F$8),6+(O512-1)*3)),11),IF(0.3*S512-VLOOKUP(B504,INDIRECT($F$8),6+(O512-1)*3)&lt;=5,0.3*S512-VLOOKUP(B504,INDIRECT($F$8),6+(O512-1)*3),11)),IF(VLOOKUP(B504,INDIRECT($F$8),8+(O512-1)*3)&lt;U512*0.4,IF(U512*0.4-VLOOKUP(B504,INDIRECT($F$8),8+(O512-1)*3)&lt;=5,U512*0.4-VLOOKUP(B504,INDIRECT($F$8),8+(O512-1)*3),11),0))))</f>
        <v/>
      </c>
      <c r="X512" s="1" t="str">
        <f ca="1">IF(ISERROR(F504),"",IF(W512=0,"",_xlfn.TEXTJOIN("",FALSE," G+",W512," in ",A512)))</f>
        <v/>
      </c>
    </row>
    <row r="513" spans="1:24" ht="12.75" customHeight="1" x14ac:dyDescent="0.2">
      <c r="A513" s="7" t="str">
        <f ca="1">IF(ISERROR(F504),"",VLOOKUP(C504,INDIRECT($F$8),6+(O513-1)*3,0))</f>
        <v/>
      </c>
      <c r="B513" s="41" t="str">
        <f ca="1">IF(ISERROR(F504),"",VLOOKUP(D504,INDIRECT($F$8),6+(O513-1)*3,0))</f>
        <v/>
      </c>
      <c r="C513" s="41"/>
      <c r="D513" s="41"/>
      <c r="E513" s="41"/>
      <c r="F513" s="7" t="str">
        <f ca="1">IF(ISERROR(F504),"",VLOOKUP(E504,INDIRECT($F$8),6+(O513-1)*3,0))</f>
        <v/>
      </c>
      <c r="G513" s="42" t="str">
        <f ca="1">IF(ISERROR(F504),"",_xlfn.TEXTJOIN("/",FALSE,P513,S513))</f>
        <v/>
      </c>
      <c r="H513" s="42"/>
      <c r="I513" s="42" t="str">
        <f ca="1">IF(ISERROR(F504),"",_xlfn.TEXTJOIN("/",FALSE,Q513,T513))</f>
        <v/>
      </c>
      <c r="J513" s="42"/>
      <c r="K513" s="42" t="str">
        <f ca="1">IF(ISERROR(F504),"",_xlfn.TEXTJOIN("/",FALSE,R513,U513))</f>
        <v/>
      </c>
      <c r="L513" s="42"/>
      <c r="M513" s="7" t="str">
        <f ca="1">IF(ISERROR(F504),"",IF(ISTEXT(P513),IF(P513="A","Ab",IF(P513="D","Dt",IF(P513="UFM","UFM",IF(P513="NA","")))),IF(AND(ISBLANK(P513),ISBLANK(R513)),"",IF(P513&lt;0.3*S513,"F",IF(ISBLANK(R513),"",IF(ISTEXT(R513),R513,IF(R513&gt;=0.9*U513,"O",IF(R513&gt;=0.85*U513,"A+",IF(R513&gt;=0.8*U513,"A",IF(R513&gt;=0.7*U513,"B+",IF(R513&gt;=0.6*U513,"B",IF(R513&gt;=0.5*U513,"C",IF(R513&gt;=0.4*U513,"P",IF(R513&lt;0.4*U513,"F",R513))))))))))))))</f>
        <v/>
      </c>
      <c r="N513" s="8" t="str">
        <f t="shared" ca="1" si="31"/>
        <v/>
      </c>
      <c r="O513">
        <f ca="1">IF(O512&gt;0,7,"")</f>
        <v>7</v>
      </c>
      <c r="P513" s="1" t="str">
        <f ca="1">IF(ISERROR(F504),"",IF(ISTEXT(VLOOKUP(B504,INDIRECT($F$8),6+(O513-1)*3)),(VLOOKUP(B504,INDIRECT($F$8),6+(O513-1)*3)),SUM(VLOOKUP(B504,INDIRECT($F$8),6+(O513-1)*3),IF(W516,W513,0))))</f>
        <v/>
      </c>
      <c r="Q513" s="1" t="str">
        <f ca="1">IF(ISERROR(F504),"",VLOOKUP(B504,INDIRECT($F$8),7+(O513-1)*3))</f>
        <v/>
      </c>
      <c r="R513" s="1" t="str">
        <f ca="1">IF(ISERROR(F504),"",SUM(P513:Q513))</f>
        <v/>
      </c>
      <c r="S513" s="1" t="str">
        <f ca="1">IF(ISERROR(F504),"",VLOOKUP(A504,INDIRECT($F$8),6+(O513-1)*3))</f>
        <v/>
      </c>
      <c r="T513" s="1" t="str">
        <f ca="1">IF(ISERROR(F504),"",VLOOKUP(A504,INDIRECT($F$8),7+(O513-1)*3))</f>
        <v/>
      </c>
      <c r="U513" s="1" t="str">
        <f ca="1">IF(ISERROR(F504),"",VLOOKUP(A504,INDIRECT($F$8),8+(O513-1)*3))</f>
        <v/>
      </c>
      <c r="V513" s="1" t="str">
        <f ca="1">IF(ISERROR(F504),"",IF(N513=0,A513,""))</f>
        <v/>
      </c>
      <c r="W513" s="1" t="str">
        <f ca="1">IF(ISERROR(F504),"",IF(ISTEXT(VLOOKUP(B504,INDIRECT($F$8),6+(O513-1)*3)),11,IF(VLOOKUP(B504,INDIRECT($F$8),6+(O513-1)*3)&lt;S513*0.3,IF(VLOOKUP(B504,INDIRECT($F$8),8+(O513-1)*3)&lt;U513*0.4,IF(AND(0.4*U513-VLOOKUP(B504,INDIRECT($F$8),8+(O513-1)*3)&lt;=5,0.3*S513-VLOOKUP(B504,INDIRECT($F$8),6+(O513-1)*3)&lt;=5),MAX(0.4*U513-VLOOKUP(B504,INDIRECT($F$8),8+(O513-1)*3),0.3*S513-VLOOKUP(B504,INDIRECT($F$8),6+(O513-1)*3)),11),IF(0.3*S513-VLOOKUP(B504,INDIRECT($F$8),6+(O513-1)*3)&lt;=5,0.3*S513-VLOOKUP(B504,INDIRECT($F$8),6+(O513-1)*3),11)),IF(VLOOKUP(B504,INDIRECT($F$8),8+(O513-1)*3)&lt;U513*0.4,IF(U513*0.4-VLOOKUP(B504,INDIRECT($F$8),8+(O513-1)*3)&lt;=5,U513*0.4-VLOOKUP(B504,INDIRECT($F$8),8+(O513-1)*3),11),0))))</f>
        <v/>
      </c>
      <c r="X513" s="1" t="str">
        <f ca="1">IF(ISERROR(F504),"",IF(W513=0,"",_xlfn.TEXTJOIN("",FALSE," G+",W513," in ",A513)))</f>
        <v/>
      </c>
    </row>
    <row r="514" spans="1:24" ht="12.75" customHeight="1" x14ac:dyDescent="0.2">
      <c r="A514" s="7" t="str">
        <f ca="1">IF(ISERROR(F504),"",VLOOKUP(C504,INDIRECT($F$8),6+(O514-1)*3,0))</f>
        <v/>
      </c>
      <c r="B514" s="41" t="str">
        <f ca="1">IF(ISERROR(F504),"",VLOOKUP(D504,INDIRECT($F$8),6+(O514-1)*3,0))</f>
        <v/>
      </c>
      <c r="C514" s="41"/>
      <c r="D514" s="41"/>
      <c r="E514" s="41"/>
      <c r="F514" s="7" t="str">
        <f ca="1">IF(ISERROR(F504),"",VLOOKUP(E504,INDIRECT($F$8),6+(O514-1)*3,0))</f>
        <v/>
      </c>
      <c r="G514" s="42" t="str">
        <f ca="1">IF(ISERROR(F504),"",_xlfn.TEXTJOIN("/",FALSE,P514,S514))</f>
        <v/>
      </c>
      <c r="H514" s="42"/>
      <c r="I514" s="42" t="str">
        <f ca="1">IF(ISERROR(F504),"",_xlfn.TEXTJOIN("/",FALSE,Q514,T514))</f>
        <v/>
      </c>
      <c r="J514" s="42"/>
      <c r="K514" s="42" t="str">
        <f ca="1">IF(ISERROR(F504),"",_xlfn.TEXTJOIN("/",FALSE,R514,U514))</f>
        <v/>
      </c>
      <c r="L514" s="42"/>
      <c r="M514" s="7" t="str">
        <f ca="1">IF(ISERROR(F504),"",IF(ISTEXT(P514),IF(P514="A","Ab",IF(P514="D","Dt",IF(P514="UFM","UFM",IF(P514="NA","")))),IF(AND(ISBLANK(P514),ISBLANK(R514)),"",IF(P514&lt;0.3*S514,"F",IF(ISBLANK(R514),"",IF(ISTEXT(R514),R514,IF(R514&gt;=0.9*U514,"O",IF(R514&gt;=0.85*U514,"A+",IF(R514&gt;=0.8*U514,"A",IF(R514&gt;=0.7*U514,"B+",IF(R514&gt;=0.6*U514,"B",IF(R514&gt;=0.5*U514,"C",IF(R514&gt;=0.4*U514,"P",IF(R514&lt;0.4*U514,"F",R514))))))))))))))</f>
        <v/>
      </c>
      <c r="N514" s="8" t="str">
        <f t="shared" ca="1" si="31"/>
        <v/>
      </c>
      <c r="O514" t="b" cm="1">
        <f t="array" aca="1" ref="O514" ca="1">IF(NOT(ISBLANK(INDIRECT("SEM_IV!AA"&amp;INT((ROW(O514)-18)/16)+6))),8,IF(NOT(ISBLANK(INDIRECT("SEM_IV!AD"&amp;INT((ROW(O514)-18)/16)+6))),9))</f>
        <v>0</v>
      </c>
      <c r="P514" s="1" t="str">
        <f ca="1">IF(ISERROR(F504),"",IF(ISTEXT(VLOOKUP(B504,INDIRECT($F$8),6+(O514-1)*3)),(VLOOKUP(B504,INDIRECT($F$8),6+(O514-1)*3)),SUM(VLOOKUP(B504,INDIRECT($F$8),6+(O514-1)*3),IF(W516,W514,0))))</f>
        <v/>
      </c>
      <c r="Q514" s="1" t="str">
        <f ca="1">IF(ISERROR(F504),"",VLOOKUP(B504,INDIRECT($F$8),7+(O514-1)*3))</f>
        <v/>
      </c>
      <c r="R514" s="1" t="str">
        <f ca="1">IF(ISERROR(F504),"",SUM(P514:Q514))</f>
        <v/>
      </c>
      <c r="S514" s="1" t="str">
        <f ca="1">IF(ISERROR(F504),"",VLOOKUP(A504,INDIRECT($F$8),6+(O514-1)*3))</f>
        <v/>
      </c>
      <c r="T514" s="1" t="str">
        <f ca="1">IF(ISERROR(F504),"",VLOOKUP(A504,INDIRECT($F$8),7+(O514-1)*3))</f>
        <v/>
      </c>
      <c r="U514" s="1" t="str">
        <f ca="1">IF(ISERROR(F504),"",VLOOKUP(A504,INDIRECT($F$8),8+(O514-1)*3))</f>
        <v/>
      </c>
      <c r="V514" s="1" t="str">
        <f ca="1">IF(ISERROR(F504),"",IF(N514=0,A514,""))</f>
        <v/>
      </c>
      <c r="W514" s="1" t="str">
        <f ca="1">IF(ISERROR(F504),"",IF(ISTEXT(VLOOKUP(B504,INDIRECT($F$8),6+(O514-1)*3)),11,IF(VLOOKUP(B504,INDIRECT($F$8),6+(O514-1)*3)&lt;S514*0.3,IF(VLOOKUP(B504,INDIRECT($F$8),8+(O514-1)*3)&lt;U514*0.4,IF(AND(0.4*U514-VLOOKUP(B504,INDIRECT($F$8),8+(O514-1)*3)&lt;=5,0.3*S514-VLOOKUP(B504,INDIRECT($F$8),6+(O514-1)*3)&lt;=5),MAX(0.4*U514-VLOOKUP(B504,INDIRECT($F$8),8+(O514-1)*3),0.3*S514-VLOOKUP(B504,INDIRECT($F$8),6+(O514-1)*3)),11),IF(0.3*S514-VLOOKUP(B504,INDIRECT($F$8),6+(O514-1)*3)&lt;=5,0.3*S514-VLOOKUP(B504,INDIRECT($F$8),6+(O514-1)*3),11)),IF(VLOOKUP(B504,INDIRECT($F$8),8+(O514-1)*3)&lt;U514*0.4,IF(U514*0.4-VLOOKUP(B504,INDIRECT($F$8),8+(O514-1)*3)&lt;=5,U514*0.4-VLOOKUP(B504,INDIRECT($F$8),8+(O514-1)*3),11),0))))</f>
        <v/>
      </c>
      <c r="X514" s="1" t="str">
        <f ca="1">IF(ISERROR(F504),"",IF(W514=0,"",_xlfn.TEXTJOIN("",FALSE," G+",W514," in ",A514)))</f>
        <v/>
      </c>
    </row>
    <row r="515" spans="1:24" ht="12.75" customHeight="1" x14ac:dyDescent="0.2">
      <c r="A515" s="7" t="str">
        <f ca="1">IF(ISERROR(F504),"",VLOOKUP(C504,INDIRECT($F$8),6+(O515-1)*3,0))</f>
        <v/>
      </c>
      <c r="B515" s="41" t="str">
        <f ca="1">IF(ISERROR(F504),"",VLOOKUP(D504,INDIRECT($F$8),6+(O515-1)*3-Z515,0))</f>
        <v/>
      </c>
      <c r="C515" s="41"/>
      <c r="D515" s="41"/>
      <c r="E515" s="41"/>
      <c r="F515" s="7" t="str">
        <f ca="1">IF(ISERROR(F504),"",VLOOKUP(E504,INDIRECT($F$8),6+(O515-1)*3,0))</f>
        <v/>
      </c>
      <c r="G515" s="42" t="str">
        <f ca="1">IF(ISERROR(F504),"",_xlfn.TEXTJOIN("/",FALSE,P515,S515))</f>
        <v/>
      </c>
      <c r="H515" s="42"/>
      <c r="I515" s="42" t="str">
        <f ca="1">IF(ISERROR(F504),"",_xlfn.TEXTJOIN("/",FALSE,Q515,T515))</f>
        <v/>
      </c>
      <c r="J515" s="42"/>
      <c r="K515" s="42" t="str">
        <f ca="1">IF(ISERROR(F504),"",_xlfn.TEXTJOIN("/",FALSE,R515,U515))</f>
        <v/>
      </c>
      <c r="L515" s="42"/>
      <c r="M515" s="7" t="str">
        <f ca="1">IF(ISERROR(F504),"",IF(ISTEXT(P515),IF(P515="A","Ab",IF(P515="D","Dt",IF(P515="UFM","UFM",IF(P515="NA","")))),IF(AND(ISBLANK(P515),ISBLANK(R515)),"",IF(P515&lt;0.3*S515,"F",IF(ISBLANK(R515),"",IF(ISTEXT(R515),R515,IF(R515&gt;=0.9*U515,"O",IF(R515&gt;=0.85*U515,"A+",IF(R515&gt;=0.8*U515,"A",IF(R515&gt;=0.7*U515,"B+",IF(R515&gt;=0.6*U515,"B",IF(R515&gt;=0.5*U515,"C",IF(R515&gt;=0.4*U515,"P",IF(R515&lt;0.4*U515,"F",R515))))))))))))))</f>
        <v/>
      </c>
      <c r="N515" s="8" t="str">
        <f t="shared" ca="1" si="31"/>
        <v/>
      </c>
      <c r="O515">
        <f ca="1">IF(O514&gt;0,10,"")</f>
        <v>10</v>
      </c>
      <c r="P515" s="1" t="str">
        <f ca="1">IF(ISERROR(F504),"",IF(ISTEXT(VLOOKUP(B504,INDIRECT($F$8),6+(O515-1)*3)),(VLOOKUP(B504,INDIRECT($F$8),6+(O515-1)*3)),SUM(VLOOKUP(B504,INDIRECT($F$8),6+(O515-1)*3),IF(W516,W515,0))))</f>
        <v/>
      </c>
      <c r="Q515" s="1" t="str">
        <f ca="1">IF(ISERROR(F504),"",VLOOKUP(B504,INDIRECT($F$8),7+(O515-1)*3))</f>
        <v/>
      </c>
      <c r="R515" s="1" t="str">
        <f ca="1">IF(ISERROR(F504),"",SUM(P515:Q515))</f>
        <v/>
      </c>
      <c r="S515" s="1" t="str">
        <f ca="1">IF(ISERROR(F504),"",VLOOKUP(A504,INDIRECT($F$8),6+(O515-1)*3))</f>
        <v/>
      </c>
      <c r="T515" s="1" t="str">
        <f ca="1">IF(ISERROR(F504),"",VLOOKUP(A504,INDIRECT($F$8),7+(O515-1)*3))</f>
        <v/>
      </c>
      <c r="U515" s="1" t="str">
        <f ca="1">IF(ISERROR(F504),"",VLOOKUP(A504,INDIRECT($F$8),8+(O515-1)*3))</f>
        <v/>
      </c>
      <c r="V515" s="1" t="str">
        <f ca="1">IF(ISERROR(F504),"",IF(N515=0,A515,""))</f>
        <v/>
      </c>
      <c r="W515" s="1" t="str">
        <f ca="1">IF(ISERROR(F504),"",IF(ISTEXT(VLOOKUP(B504,INDIRECT($F$8),6+(O515-1)*3)),11,IF(VLOOKUP(B504,INDIRECT($F$8),6+(O515-1)*3)&lt;S515*0.3,IF(VLOOKUP(B504,INDIRECT($F$8),8+(O515-1)*3)&lt;U515*0.4,IF(AND(0.4*U515-VLOOKUP(B504,INDIRECT($F$8),8+(O515-1)*3)&lt;=5,0.3*S515-VLOOKUP(B504,INDIRECT($F$8),6+(O515-1)*3)&lt;=5),MAX(0.4*U515-VLOOKUP(B504,INDIRECT($F$8),8+(O515-1)*3),0.3*S515-VLOOKUP(B504,INDIRECT($F$8),6+(O515-1)*3)),11),IF(0.3*S515-VLOOKUP(B504,INDIRECT($F$8),6+(O515-1)*3)&lt;=5,0.3*S515-VLOOKUP(B504,INDIRECT($F$8),6+(O515-1)*3),11)),IF(VLOOKUP(B504,INDIRECT($F$8),8+(O515-1)*3)&lt;U515*0.4,IF(U515*0.4-VLOOKUP(B504,INDIRECT($F$8),8+(O515-1)*3)&lt;=5,U515*0.4-VLOOKUP(B504,INDIRECT($F$8),8+(O515-1)*3),11),0))))</f>
        <v/>
      </c>
      <c r="X515" s="1" t="str">
        <f ca="1">IF(ISERROR(F504),"",IF(W515=0,"",_xlfn.TEXTJOIN("",FALSE," G+",W515," in ",A515)))</f>
        <v/>
      </c>
    </row>
    <row r="516" spans="1:24" ht="12.75" customHeight="1" x14ac:dyDescent="0.2">
      <c r="A516" s="43" t="str">
        <f ca="1">IF(ISERROR(F504),"",A500)</f>
        <v/>
      </c>
      <c r="B516" s="43"/>
      <c r="C516" s="43"/>
      <c r="D516" s="43"/>
      <c r="E516" s="43"/>
      <c r="F516" s="10" t="str">
        <f ca="1">IF(ISERROR(F504),"",SUM(F509:F515))</f>
        <v/>
      </c>
      <c r="G516" s="44" t="str">
        <f ca="1">IF(ISERROR(F504),"",_xlfn.TEXTJOIN("/",TRUE,SUMIF(F509:F515,"&gt;0",P509:P515),SUMIF(F509:F515,"&gt;0",S509:S515)))</f>
        <v/>
      </c>
      <c r="H516" s="44"/>
      <c r="I516" s="44" t="str">
        <f ca="1">IF(ISERROR(F504),"",_xlfn.TEXTJOIN("/",TRUE,SUMIF(F509:F515,"&gt;0",Q509:Q515),SUMIF(F509:F515,"&gt;0",T509:T515)))</f>
        <v/>
      </c>
      <c r="J516" s="44"/>
      <c r="K516" s="44" t="str">
        <f ca="1">IF(ISERROR(F504),"",_xlfn.TEXTJOIN("/",TRUE,SUMIF(F509:F515,"&gt;0",R509:R515),SUMIF(F509:F515,"&gt;0",U509:U515)))</f>
        <v/>
      </c>
      <c r="L516" s="44"/>
      <c r="M516" s="43" t="str">
        <f ca="1">IF(ISERROR(F504),"",SUMPRODUCT(N509:N515,F509:F515))</f>
        <v/>
      </c>
      <c r="N516" s="43"/>
      <c r="V516" s="1" t="str">
        <f ca="1">IF(ISERROR(F504),"",_xlfn.TEXTJOIN(", ",TRUE,V509:V515))</f>
        <v/>
      </c>
      <c r="W516" t="str">
        <f ca="1">IF(ISERROR(F504),"",IF(SUM(W509:W515)&lt;=W508,TRUE,FALSE))</f>
        <v/>
      </c>
      <c r="X516" s="1" t="str">
        <f ca="1">IF(ISERROR(F504),"",_xlfn.TEXTJOIN(",",TRUE,X509:X515))</f>
        <v/>
      </c>
    </row>
    <row r="517" spans="1:24" ht="12.75" customHeight="1" x14ac:dyDescent="0.2">
      <c r="A517" s="43" t="str">
        <f ca="1">IF(ISERROR(F504),"",A501)</f>
        <v/>
      </c>
      <c r="B517" s="45" t="str">
        <f ca="1">IF(ISERROR(F504),"",IF(V516="","PASS","CARRY OVER"))</f>
        <v/>
      </c>
      <c r="C517" s="45"/>
      <c r="D517" s="43" t="str">
        <f ca="1">IF(ISERROR(F504),"",D501)</f>
        <v/>
      </c>
      <c r="E517" s="45" t="str">
        <f ca="1">IF(ISERROR(F504),"",IF(V516="",IF(X516="","",X516),_xlfn.TEXTJOIN(" ",TRUE,"BACK IN",V516)))</f>
        <v/>
      </c>
      <c r="F517" s="45"/>
      <c r="G517" s="43" t="str">
        <f ca="1">IF(ISERROR(F504),"",G501)</f>
        <v/>
      </c>
      <c r="H517" s="46" t="str">
        <f ca="1">IF(ISERROR(F504),"",M516/F516)</f>
        <v/>
      </c>
      <c r="I517" s="43" t="str">
        <f ca="1">IF(ISERROR(F504),"",I501)</f>
        <v/>
      </c>
      <c r="J517" s="46" t="str">
        <f ca="1">IF(ISERROR(F504),"",VLOOKUP(B504,INDIRECT($F$8),12+(O515-1)*3,0))</f>
        <v/>
      </c>
      <c r="K517" s="45" t="str">
        <f ca="1">IF(ISERROR(F504),"",K501)</f>
        <v/>
      </c>
      <c r="L517" s="43" t="str">
        <f ca="1">IF(ISERROR(F504),"",SUMIF(N509:N515,"&gt;0",F509:F515))</f>
        <v/>
      </c>
      <c r="M517" s="45" t="str">
        <f ca="1">IF(ISERROR(F504),"",M501)</f>
        <v/>
      </c>
      <c r="N517" s="43" t="str">
        <f ca="1">IF(ISERROR(F504),"",VLOOKUP(B504,INDIRECT($F$8),10+(O515-1)*3,0))</f>
        <v/>
      </c>
    </row>
    <row r="518" spans="1:24" ht="12.75" customHeight="1" x14ac:dyDescent="0.2">
      <c r="A518" s="43"/>
      <c r="B518" s="45"/>
      <c r="C518" s="45"/>
      <c r="D518" s="43"/>
      <c r="E518" s="45"/>
      <c r="F518" s="45"/>
      <c r="G518" s="43"/>
      <c r="H518" s="46"/>
      <c r="I518" s="43"/>
      <c r="J518" s="46"/>
      <c r="K518" s="45"/>
      <c r="L518" s="43"/>
      <c r="M518" s="45"/>
      <c r="N518" s="43"/>
    </row>
    <row r="519" spans="1:24" ht="12.75" customHeight="1" x14ac:dyDescent="0.2">
      <c r="A519" s="43"/>
      <c r="B519" s="45"/>
      <c r="C519" s="45"/>
      <c r="D519" s="43"/>
      <c r="E519" s="45"/>
      <c r="F519" s="45"/>
      <c r="G519" s="43"/>
      <c r="H519" s="46"/>
      <c r="I519" s="43"/>
      <c r="J519" s="46"/>
      <c r="K519" s="45"/>
      <c r="L519" s="43"/>
      <c r="M519" s="45"/>
      <c r="N519" s="43"/>
    </row>
    <row r="520" spans="1:24" ht="12.75" customHeight="1" x14ac:dyDescent="0.2">
      <c r="A520" s="11" t="str">
        <f>A504</f>
        <v>MM</v>
      </c>
      <c r="B520" s="11">
        <f>B504+1</f>
        <v>33</v>
      </c>
      <c r="C520" s="11" t="str">
        <f>C504</f>
        <v>SC</v>
      </c>
      <c r="D520" s="11" t="str">
        <f>D504</f>
        <v>SN</v>
      </c>
      <c r="E520" s="11" t="str">
        <f>E504</f>
        <v>C</v>
      </c>
      <c r="F520" s="11" t="e">
        <f ca="1">VLOOKUP(B520,INDIRECT($F$8),4,0)</f>
        <v>#N/A</v>
      </c>
    </row>
    <row r="521" spans="1:24" ht="12.75" customHeight="1" x14ac:dyDescent="0.2">
      <c r="A521" s="47" t="str">
        <f ca="1">IF(ISERROR(F520),"",A505)</f>
        <v/>
      </c>
      <c r="B521" s="47" t="str">
        <f ca="1">IFERROR(VLOOKUP(B520,INDIRECT($F$8),4,0),"")</f>
        <v/>
      </c>
      <c r="C521" s="47"/>
      <c r="D521" s="47" t="str">
        <f ca="1">IF(ISERROR(F520),"",D505)</f>
        <v/>
      </c>
      <c r="E521" s="47" t="str">
        <f ca="1">IFERROR(VLOOKUP(B520,INDIRECT($F$8),5,0),"")</f>
        <v/>
      </c>
      <c r="F521" s="47"/>
      <c r="G521" s="47" t="str">
        <f ca="1">IF(ISERROR(F520),"",G505)</f>
        <v/>
      </c>
      <c r="H521" s="47"/>
      <c r="I521" s="48" t="str">
        <f ca="1">IFERROR(VLOOKUP(B520,INDIRECT($F$8),2,0),"")</f>
        <v/>
      </c>
      <c r="J521" s="48"/>
      <c r="K521" s="47" t="str">
        <f ca="1">IF(ISERROR(F520),"",K505)</f>
        <v/>
      </c>
      <c r="L521" s="47"/>
      <c r="M521" s="48" t="str">
        <f ca="1">IFERROR(VLOOKUP(B520,INDIRECT($F$8),3,0),"")</f>
        <v/>
      </c>
      <c r="N521" s="48"/>
    </row>
    <row r="522" spans="1:24" ht="12.75" customHeight="1" x14ac:dyDescent="0.2">
      <c r="A522" s="47"/>
      <c r="B522" s="47"/>
      <c r="C522" s="47"/>
      <c r="D522" s="47"/>
      <c r="E522" s="47"/>
      <c r="F522" s="47"/>
      <c r="G522" s="47"/>
      <c r="H522" s="47"/>
      <c r="I522" s="48"/>
      <c r="J522" s="48"/>
      <c r="K522" s="47"/>
      <c r="L522" s="47"/>
      <c r="M522" s="48"/>
      <c r="N522" s="48"/>
    </row>
    <row r="523" spans="1:24" ht="12.75" customHeight="1" x14ac:dyDescent="0.2">
      <c r="A523" s="45" t="str">
        <f ca="1">IF(ISERROR(F520),"",A507)</f>
        <v/>
      </c>
      <c r="B523" s="45" t="str">
        <f ca="1">IF(ISERROR(F520),"",B507)</f>
        <v/>
      </c>
      <c r="C523" s="45"/>
      <c r="D523" s="45"/>
      <c r="E523" s="45"/>
      <c r="F523" s="45" t="str">
        <f ca="1">IF(ISERROR(F520),"",F507)</f>
        <v/>
      </c>
      <c r="G523" s="45" t="str">
        <f ca="1">IF(ISERROR(F520),"",G507)</f>
        <v/>
      </c>
      <c r="H523" s="45"/>
      <c r="I523" s="45" t="str">
        <f ca="1">IF(ISERROR(F520),"",I507)</f>
        <v/>
      </c>
      <c r="J523" s="45"/>
      <c r="K523" s="45" t="str">
        <f ca="1">IF(ISERROR(F520),"",K507)</f>
        <v/>
      </c>
      <c r="L523" s="45"/>
      <c r="M523" s="45" t="str">
        <f ca="1">IF(ISERROR(F520),"",M507)</f>
        <v/>
      </c>
      <c r="N523" s="45" t="str">
        <f ca="1">IF(ISERROR(F520),"",N507)</f>
        <v/>
      </c>
    </row>
    <row r="524" spans="1:24" ht="12.75" customHeight="1" x14ac:dyDescent="0.2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W524" t="e">
        <f ca="1">IF(ISNUMBER(MATCH($F$8,{"I","III","V","VII"},0)),10,10-INDEX(INDIRECT(_xlfn.TEXTJOIN("",TRUE,"SEM_",$G$8,"!",ADDRESS(6,4+$I$8*3+4),":",ADDRESS(5+$H$8,4+$I$8*3+4))),MATCH(INDIRECT(_xlfn.TEXTJOIN("",TRUE,"TC_",$F$8,"!",ADDRESS(ROW(I521),COLUMN(I521)))),INDIRECT(_xlfn.TEXTJOIN("",TRUE,"SEM_",$G$8,"!",ADDRESS(6,2),":",ADDRESS(5+$H$8,2))))))</f>
        <v>#N/A</v>
      </c>
    </row>
    <row r="525" spans="1:24" ht="12.75" customHeight="1" x14ac:dyDescent="0.2">
      <c r="A525" s="7" t="str">
        <f ca="1">IF(ISERROR(F520),"",VLOOKUP(C520,INDIRECT($F$8),6+(O525-1)*3,0))</f>
        <v/>
      </c>
      <c r="B525" s="41" t="str">
        <f ca="1">IF(ISERROR(F520),"",VLOOKUP(D520,INDIRECT($F$8),6+(O525-1)*3,0))</f>
        <v/>
      </c>
      <c r="C525" s="41"/>
      <c r="D525" s="41"/>
      <c r="E525" s="41"/>
      <c r="F525" s="7" t="str">
        <f ca="1">IF(ISERROR(F520),"",VLOOKUP(E520,INDIRECT($F$8),6+(O525-1)*3,0))</f>
        <v/>
      </c>
      <c r="G525" s="42" t="str">
        <f ca="1">IF(ISERROR(F520),"",_xlfn.TEXTJOIN("/",FALSE,P525,S525))</f>
        <v/>
      </c>
      <c r="H525" s="42"/>
      <c r="I525" s="42" t="str">
        <f ca="1">IF(ISERROR(F520),"",_xlfn.TEXTJOIN("/",FALSE,Q525,T525))</f>
        <v/>
      </c>
      <c r="J525" s="42"/>
      <c r="K525" s="42" t="str">
        <f ca="1">IF(ISERROR(F520),"",_xlfn.TEXTJOIN("/",FALSE,R525,U525))</f>
        <v/>
      </c>
      <c r="L525" s="42"/>
      <c r="M525" s="7" t="str">
        <f ca="1">IF(ISERROR(F520),"",IF(ISTEXT(P525),IF(P525="A","Ab",IF(P525="D","Dt",IF(P525="UFM","UFM",IF(P525="NA","")))),IF(AND(ISBLANK(P525),ISBLANK(R525)),"",IF(P525&lt;0.3*S525,"F",IF(ISBLANK(R525),"",IF(ISTEXT(R525),R525,IF(R525&gt;=0.9*U525,"O",IF(R525&gt;=0.85*U525,"A+",IF(R525&gt;=0.8*U525,"A",IF(R525&gt;=0.7*U525,"B+",IF(R525&gt;=0.6*U525,"B",IF(R525&gt;=0.5*U525,"C",IF(R525&gt;=0.4*U525,"P",IF(R525&lt;0.4*U525,"F",R525))))))))))))))</f>
        <v/>
      </c>
      <c r="N525" s="8" t="str">
        <f t="shared" ref="N525:N531" ca="1" si="32">INDEX($Z$2:$Z$13,MATCH(M525,$Y$2:$Y$13,0))</f>
        <v/>
      </c>
      <c r="O525">
        <v>1</v>
      </c>
      <c r="P525" s="1" t="str">
        <f ca="1">IF(ISERROR(F520),"",IF(ISTEXT(VLOOKUP(B520,INDIRECT($F$8),6+(O525-1)*3)),(VLOOKUP(B520,INDIRECT($F$8),6+(O525-1)*3)),SUM(VLOOKUP(B520,INDIRECT($F$8),6+(O525-1)*3),IF(W532,W525,0))))</f>
        <v/>
      </c>
      <c r="Q525" s="1" t="str">
        <f ca="1">IF(ISERROR(F520),"",VLOOKUP(B520,INDIRECT($F$8),7+(O525-1)*3))</f>
        <v/>
      </c>
      <c r="R525" s="1" t="str">
        <f ca="1">IF(ISERROR(F520),"",SUM(P525:Q525))</f>
        <v/>
      </c>
      <c r="S525" s="1" t="str">
        <f ca="1">IF(ISERROR(F520),"",VLOOKUP(A520,INDIRECT($F$8),6+(O525-1)*3))</f>
        <v/>
      </c>
      <c r="T525" s="1" t="str">
        <f ca="1">IF(ISERROR(F520),"",VLOOKUP(A520,INDIRECT($F$8),7+(O525-1)*3))</f>
        <v/>
      </c>
      <c r="U525" s="1" t="str">
        <f ca="1">IF(ISERROR(F520),"",VLOOKUP(A520,INDIRECT($F$8),8+(O525-1)*3))</f>
        <v/>
      </c>
      <c r="V525" s="1" t="str">
        <f ca="1">IF(ISERROR(F520),"",IF(N525=0,A525,""))</f>
        <v/>
      </c>
      <c r="W525" s="1" t="str">
        <f ca="1">IF(ISERROR(F520),"",IF(ISTEXT(VLOOKUP(B520,INDIRECT($F$8),6+(O525-1)*3)),11,IF(VLOOKUP(B520,INDIRECT($F$8),6+(O525-1)*3)&lt;S525*0.3,IF(VLOOKUP(B520,INDIRECT($F$8),8+(O525-1)*3)&lt;U525*0.4,IF(AND(0.4*U525-VLOOKUP(B520,INDIRECT($F$8),8+(O525-1)*3)&lt;=5,0.3*S525-VLOOKUP(B520,INDIRECT($F$8),6+(O525-1)*3)&lt;=5),MAX(0.4*U525-VLOOKUP(B520,INDIRECT($F$8),8+(O525-1)*3),0.3*S525-VLOOKUP(B520,INDIRECT($F$8),6+(O525-1)*3)),11),IF(0.3*S525-VLOOKUP(B520,INDIRECT($F$8),6+(O525-1)*3)&lt;=5,0.3*S525-VLOOKUP(B520,INDIRECT($F$8),6+(O525-1)*3),11)),IF(VLOOKUP(B520,INDIRECT($F$8),8+(O525-1)*3)&lt;U525*0.4,IF(U525*0.4-VLOOKUP(B520,INDIRECT($F$8),8+(O525-1)*3)&lt;=5,U525*0.4-VLOOKUP(B520,INDIRECT($F$8),8+(O525-1)*3),11),0))))</f>
        <v/>
      </c>
      <c r="X525" s="1" t="str">
        <f ca="1">IF(ISERROR(F520),"",IF(W525=0,"",_xlfn.TEXTJOIN("",FALSE," G+",W525," in ",A525)))</f>
        <v/>
      </c>
    </row>
    <row r="526" spans="1:24" ht="12.75" customHeight="1" x14ac:dyDescent="0.2">
      <c r="A526" s="7" t="str">
        <f ca="1">IF(ISERROR(F520),"",VLOOKUP(C520,INDIRECT($F$8),6+(O526-1)*3,0))</f>
        <v/>
      </c>
      <c r="B526" s="41" t="str">
        <f ca="1">IF(ISERROR(F520),"",VLOOKUP(D520,INDIRECT($F$8),6+(O526-1)*3,0))</f>
        <v/>
      </c>
      <c r="C526" s="41"/>
      <c r="D526" s="41"/>
      <c r="E526" s="41"/>
      <c r="F526" s="7" t="str">
        <f ca="1">IF(ISERROR(F520),"",VLOOKUP(E520,INDIRECT($F$8),6+(O526-1)*3,0))</f>
        <v/>
      </c>
      <c r="G526" s="42" t="str">
        <f ca="1">IF(ISERROR(F520),"",_xlfn.TEXTJOIN("/",FALSE,P526,S526))</f>
        <v/>
      </c>
      <c r="H526" s="42"/>
      <c r="I526" s="42" t="str">
        <f ca="1">IF(ISERROR(F520),"",_xlfn.TEXTJOIN("/",FALSE,Q526,T526))</f>
        <v/>
      </c>
      <c r="J526" s="42"/>
      <c r="K526" s="42" t="str">
        <f ca="1">IF(ISERROR(F520),"",_xlfn.TEXTJOIN("/",FALSE,R526,U526))</f>
        <v/>
      </c>
      <c r="L526" s="42"/>
      <c r="M526" s="7" t="str">
        <f ca="1">IF(ISERROR(F520),"",IF(ISTEXT(P526),IF(P526="A","Ab",IF(P526="D","Dt",IF(P526="UFM","UFM",IF(P526="NA","")))),IF(AND(ISBLANK(P526),ISBLANK(R526)),"",IF(P526&lt;0.3*S526,"F",IF(ISBLANK(R526),"",IF(ISTEXT(R526),R526,IF(R526&gt;=0.9*U526,"O",IF(R526&gt;=0.85*U526,"A+",IF(R526&gt;=0.8*U526,"A",IF(R526&gt;=0.7*U526,"B+",IF(R526&gt;=0.6*U526,"B",IF(R526&gt;=0.5*U526,"C",IF(R526&gt;=0.4*U526,"P",IF(R526&lt;0.4*U526,"F",R526))))))))))))))</f>
        <v/>
      </c>
      <c r="N526" s="8" t="str">
        <f t="shared" ca="1" si="32"/>
        <v/>
      </c>
      <c r="O526" t="b" cm="1">
        <f t="array" aca="1" ref="O526" ca="1">IF(NOT(ISBLANK(INDIRECT("SEM_IV!I"&amp;INT((ROW(O526)-14)/16)+6))),2,IF(NOT(ISBLANK(INDIRECT("SEM_IV!L"&amp;INT((ROW(O526)-14)/16)+6))),3))</f>
        <v>0</v>
      </c>
      <c r="P526" s="1" t="str">
        <f ca="1">IF(ISERROR(F520),"",IF(ISTEXT(VLOOKUP(B520,INDIRECT($F$8),6+(O526-1)*3)),(VLOOKUP(B520,INDIRECT($F$8),6+(O526-1)*3)),SUM(VLOOKUP(B520,INDIRECT($F$8),6+(O526-1)*3),IF(W532,W526,0))))</f>
        <v/>
      </c>
      <c r="Q526" s="1" t="str">
        <f ca="1">IF(ISERROR(F520),"",VLOOKUP(B520,INDIRECT($F$8),7+(O526-1)*3))</f>
        <v/>
      </c>
      <c r="R526" s="1" t="str">
        <f ca="1">IF(ISERROR(F520),"",SUM(P526:Q526))</f>
        <v/>
      </c>
      <c r="S526" s="1" t="str">
        <f ca="1">IF(ISERROR(F520),"",VLOOKUP(A520,INDIRECT($F$8),6+(O526-1)*3))</f>
        <v/>
      </c>
      <c r="T526" s="1" t="str">
        <f ca="1">IF(ISERROR(F520),"",VLOOKUP(A520,INDIRECT($F$8),7+(O526-1)*3))</f>
        <v/>
      </c>
      <c r="U526" s="1" t="str">
        <f ca="1">IF(ISERROR(F520),"",VLOOKUP(A520,INDIRECT($F$8),8+(O526-1)*3))</f>
        <v/>
      </c>
      <c r="V526" s="1" t="str">
        <f ca="1">IF(ISERROR(F520),"",IF(N526=0,A526,""))</f>
        <v/>
      </c>
      <c r="W526" s="1" t="str">
        <f ca="1">IF(ISERROR(F520),"",IF(ISTEXT(VLOOKUP(B520,INDIRECT($F$8),6+(O526-1)*3)),11,IF(VLOOKUP(B520,INDIRECT($F$8),6+(O526-1)*3)&lt;S526*0.3,IF(VLOOKUP(B520,INDIRECT($F$8),8+(O526-1)*3)&lt;U526*0.4,IF(AND(0.4*U526-VLOOKUP(B520,INDIRECT($F$8),8+(O526-1)*3)&lt;=5,0.3*S526-VLOOKUP(B520,INDIRECT($F$8),6+(O526-1)*3)&lt;=5),MAX(0.4*U526-VLOOKUP(B520,INDIRECT($F$8),8+(O526-1)*3),0.3*S526-VLOOKUP(B520,INDIRECT($F$8),6+(O526-1)*3)),11),IF(0.3*S526-VLOOKUP(B520,INDIRECT($F$8),6+(O526-1)*3)&lt;=5,0.3*S526-VLOOKUP(B520,INDIRECT($F$8),6+(O526-1)*3),11)),IF(VLOOKUP(B520,INDIRECT($F$8),8+(O526-1)*3)&lt;U526*0.4,IF(U526*0.4-VLOOKUP(B520,INDIRECT($F$8),8+(O526-1)*3)&lt;=5,U526*0.4-VLOOKUP(B520,INDIRECT($F$8),8+(O526-1)*3),11),0))))</f>
        <v/>
      </c>
      <c r="X526" s="1" t="str">
        <f ca="1">IF(ISERROR(F520),"",IF(W526=0,"",_xlfn.TEXTJOIN("",FALSE," G+",W526," in ",A526)))</f>
        <v/>
      </c>
    </row>
    <row r="527" spans="1:24" ht="12.75" customHeight="1" x14ac:dyDescent="0.2">
      <c r="A527" s="7" t="str">
        <f ca="1">IF(ISERROR(F520),"",VLOOKUP(C520,INDIRECT($F$8),6+(O527-1)*3,0))</f>
        <v/>
      </c>
      <c r="B527" s="41" t="str">
        <f ca="1">IF(ISERROR(F520),"",VLOOKUP(D520,INDIRECT($F$8),6+(O527-1)*3,0))</f>
        <v/>
      </c>
      <c r="C527" s="41"/>
      <c r="D527" s="41"/>
      <c r="E527" s="41"/>
      <c r="F527" s="7" t="str">
        <f ca="1">IF(ISERROR(F520),"",VLOOKUP(E520,INDIRECT($F$8),6+(O527-1)*3,0))</f>
        <v/>
      </c>
      <c r="G527" s="42" t="str">
        <f ca="1">IF(ISERROR(F520),"",_xlfn.TEXTJOIN("/",FALSE,P527,S527))</f>
        <v/>
      </c>
      <c r="H527" s="42"/>
      <c r="I527" s="42" t="str">
        <f ca="1">IF(ISERROR(F520),"",_xlfn.TEXTJOIN("/",FALSE,Q527,T527))</f>
        <v/>
      </c>
      <c r="J527" s="42"/>
      <c r="K527" s="42" t="str">
        <f ca="1">IF(ISERROR(F520),"",_xlfn.TEXTJOIN("/",FALSE,R527,U527))</f>
        <v/>
      </c>
      <c r="L527" s="42"/>
      <c r="M527" s="7" t="str">
        <f ca="1">IF(ISERROR(F520),"",IF(ISTEXT(P527),IF(P527="A","Ab",IF(P527="D","Dt",IF(P527="UFM","UFM",IF(P527="NA","")))),IF(AND(ISBLANK(P527),ISBLANK(R527)),"",IF(P527&lt;0.3*S527,"F",IF(ISBLANK(R527),"",IF(ISTEXT(R527),R527,IF(R527&gt;=0.9*U527,"O",IF(R527&gt;=0.85*U527,"A+",IF(R527&gt;=0.8*U527,"A",IF(R527&gt;=0.7*U527,"B+",IF(R527&gt;=0.6*U527,"B",IF(R527&gt;=0.5*U527,"C",IF(R527&gt;=0.4*U527,"P",IF(R527&lt;0.4*U527,"F",R527))))))))))))))</f>
        <v/>
      </c>
      <c r="N527" s="8" t="str">
        <f t="shared" ca="1" si="32"/>
        <v/>
      </c>
      <c r="O527">
        <f ca="1">IF(O526&gt;0,4,"")</f>
        <v>4</v>
      </c>
      <c r="P527" s="1" t="str">
        <f ca="1">IF(ISERROR(F520),"",IF(ISTEXT(VLOOKUP(B520,INDIRECT($F$8),6+(O527-1)*3)),(VLOOKUP(B520,INDIRECT($F$8),6+(O527-1)*3)),SUM(VLOOKUP(B520,INDIRECT($F$8),6+(O527-1)*3),IF(W532,W527,0))))</f>
        <v/>
      </c>
      <c r="Q527" s="1" t="str">
        <f ca="1">IF(ISERROR(F520),"",VLOOKUP(B520,INDIRECT($F$8),7+(O527-1)*3))</f>
        <v/>
      </c>
      <c r="R527" s="1" t="str">
        <f ca="1">IF(ISERROR(F520),"",SUM(P527:Q527))</f>
        <v/>
      </c>
      <c r="S527" s="1" t="str">
        <f ca="1">IF(ISERROR(F520),"",VLOOKUP(A520,INDIRECT($F$8),6+(O527-1)*3))</f>
        <v/>
      </c>
      <c r="T527" s="1" t="str">
        <f ca="1">IF(ISERROR(F520),"",VLOOKUP(A520,INDIRECT($F$8),7+(O527-1)*3))</f>
        <v/>
      </c>
      <c r="U527" s="1" t="str">
        <f ca="1">IF(ISERROR(F520),"",VLOOKUP(A520,INDIRECT($F$8),8+(O527-1)*3))</f>
        <v/>
      </c>
      <c r="V527" s="1" t="str">
        <f ca="1">IF(ISERROR(F520),"",IF(N527=0,A527,""))</f>
        <v/>
      </c>
      <c r="W527" s="1" t="str">
        <f ca="1">IF(ISERROR(F520),"",IF(ISTEXT(VLOOKUP(B520,INDIRECT($F$8),6+(O527-1)*3)),11,IF(VLOOKUP(B520,INDIRECT($F$8),6+(O527-1)*3)&lt;S527*0.3,IF(VLOOKUP(B520,INDIRECT($F$8),8+(O527-1)*3)&lt;U527*0.4,IF(AND(0.4*U527-VLOOKUP(B520,INDIRECT($F$8),8+(O527-1)*3)&lt;=5,0.3*S527-VLOOKUP(B520,INDIRECT($F$8),6+(O527-1)*3)&lt;=5),MAX(0.4*U527-VLOOKUP(B520,INDIRECT($F$8),8+(O527-1)*3),0.3*S527-VLOOKUP(B520,INDIRECT($F$8),6+(O527-1)*3)),11),IF(0.3*S527-VLOOKUP(B520,INDIRECT($F$8),6+(O527-1)*3)&lt;=5,0.3*S527-VLOOKUP(B520,INDIRECT($F$8),6+(O527-1)*3),11)),IF(VLOOKUP(B520,INDIRECT($F$8),8+(O527-1)*3)&lt;U527*0.4,IF(U527*0.4-VLOOKUP(B520,INDIRECT($F$8),8+(O527-1)*3)&lt;=5,U527*0.4-VLOOKUP(B520,INDIRECT($F$8),8+(O527-1)*3),11),0))))</f>
        <v/>
      </c>
      <c r="X527" s="1" t="str">
        <f ca="1">IF(ISERROR(F520),"",IF(W527=0,"",_xlfn.TEXTJOIN("",FALSE," G+",W527," in ",A527)))</f>
        <v/>
      </c>
    </row>
    <row r="528" spans="1:24" ht="12.75" customHeight="1" x14ac:dyDescent="0.2">
      <c r="A528" s="7" t="str">
        <f ca="1">IF(ISERROR(F520),"",VLOOKUP(C520,INDIRECT($F$8),6+(O528-1)*3,0))</f>
        <v/>
      </c>
      <c r="B528" s="41" t="str">
        <f ca="1">IF(ISERROR(F520),"",VLOOKUP(D520,INDIRECT($F$8),6+(O528-1)*3,0))</f>
        <v/>
      </c>
      <c r="C528" s="41"/>
      <c r="D528" s="41"/>
      <c r="E528" s="41"/>
      <c r="F528" s="7" t="str">
        <f ca="1">IF(ISERROR(F520),"",VLOOKUP(E520,INDIRECT($F$8),6+(O528-1)*3,0))</f>
        <v/>
      </c>
      <c r="G528" s="42" t="str">
        <f ca="1">IF(ISERROR(F520),"",_xlfn.TEXTJOIN("/",FALSE,P528,S528))</f>
        <v/>
      </c>
      <c r="H528" s="42"/>
      <c r="I528" s="42" t="str">
        <f ca="1">IF(ISERROR(F520),"",_xlfn.TEXTJOIN("/",FALSE,Q528,T528))</f>
        <v/>
      </c>
      <c r="J528" s="42"/>
      <c r="K528" s="42" t="str">
        <f ca="1">IF(ISERROR(F520),"",_xlfn.TEXTJOIN("/",FALSE,R528,U528))</f>
        <v/>
      </c>
      <c r="L528" s="42"/>
      <c r="M528" s="7" t="str">
        <f ca="1">IF(ISERROR(F520),"",IF(ISTEXT(P528),IF(P528="A","Ab",IF(P528="D","Dt",IF(P528="UFM","UFM",IF(P528="NA","")))),IF(AND(ISBLANK(P528),ISBLANK(R528)),"",IF(P528&lt;0.3*S528,"F",IF(ISBLANK(R528),"",IF(ISTEXT(R528),R528,IF(R528&gt;=0.9*U528,"O",IF(R528&gt;=0.85*U528,"A+",IF(R528&gt;=0.8*U528,"A",IF(R528&gt;=0.7*U528,"B+",IF(R528&gt;=0.6*U528,"B",IF(R528&gt;=0.5*U528,"C",IF(R528&gt;=0.4*U528,"P",IF(R528&lt;0.4*U528,"F",R528))))))))))))))</f>
        <v/>
      </c>
      <c r="N528" s="8" t="str">
        <f t="shared" ca="1" si="32"/>
        <v/>
      </c>
      <c r="O528" t="b" cm="1">
        <f t="array" aca="1" ref="O528" ca="1">IF(NOT(ISBLANK(INDIRECT("SEM_IV!R"&amp;INT((ROW(O528)-16)/16)+6))),5,IF(NOT(ISBLANK(INDIRECT("SEM_IV!U"&amp;INT((ROW(O528)-16)/16)+6))),6))</f>
        <v>0</v>
      </c>
      <c r="P528" s="1" t="str">
        <f ca="1">IF(ISERROR(F520),"",IF(ISTEXT(VLOOKUP(B520,INDIRECT($F$8),6+(O528-1)*3)),(VLOOKUP(B520,INDIRECT($F$8),6+(O528-1)*3)),SUM(VLOOKUP(B520,INDIRECT($F$8),6+(O528-1)*3),IF(W532,W528,0))))</f>
        <v/>
      </c>
      <c r="Q528" s="1" t="str">
        <f ca="1">IF(ISERROR(F520),"",VLOOKUP(B520,INDIRECT($F$8),7+(O528-1)*3))</f>
        <v/>
      </c>
      <c r="R528" s="1" t="str">
        <f ca="1">IF(ISERROR(F520),"",SUM(P528:Q528))</f>
        <v/>
      </c>
      <c r="S528" s="1" t="str">
        <f ca="1">IF(ISERROR(F520),"",VLOOKUP(A520,INDIRECT($F$8),6+(O528-1)*3))</f>
        <v/>
      </c>
      <c r="T528" s="1" t="str">
        <f ca="1">IF(ISERROR(F520),"",VLOOKUP(A520,INDIRECT($F$8),7+(O528-1)*3))</f>
        <v/>
      </c>
      <c r="U528" s="1" t="str">
        <f ca="1">IF(ISERROR(F520),"",VLOOKUP(A520,INDIRECT($F$8),8+(O528-1)*3))</f>
        <v/>
      </c>
      <c r="V528" s="1" t="str">
        <f ca="1">IF(ISERROR(F520),"",IF(N528=0,A528,""))</f>
        <v/>
      </c>
      <c r="W528" s="1" t="str">
        <f ca="1">IF(ISERROR(F520),"",IF(ISTEXT(VLOOKUP(B520,INDIRECT($F$8),6+(O528-1)*3)),11,IF(VLOOKUP(B520,INDIRECT($F$8),6+(O528-1)*3)&lt;S528*0.3,IF(VLOOKUP(B520,INDIRECT($F$8),8+(O528-1)*3)&lt;U528*0.4,IF(AND(0.4*U528-VLOOKUP(B520,INDIRECT($F$8),8+(O528-1)*3)&lt;=5,0.3*S528-VLOOKUP(B520,INDIRECT($F$8),6+(O528-1)*3)&lt;=5),MAX(0.4*U528-VLOOKUP(B520,INDIRECT($F$8),8+(O528-1)*3),0.3*S528-VLOOKUP(B520,INDIRECT($F$8),6+(O528-1)*3)),11),IF(0.3*S528-VLOOKUP(B520,INDIRECT($F$8),6+(O528-1)*3)&lt;=5,0.3*S528-VLOOKUP(B520,INDIRECT($F$8),6+(O528-1)*3),11)),IF(VLOOKUP(B520,INDIRECT($F$8),8+(O528-1)*3)&lt;U528*0.4,IF(U528*0.4-VLOOKUP(B520,INDIRECT($F$8),8+(O528-1)*3)&lt;=5,U528*0.4-VLOOKUP(B520,INDIRECT($F$8),8+(O528-1)*3),11),0))))</f>
        <v/>
      </c>
      <c r="X528" s="1" t="str">
        <f ca="1">IF(ISERROR(F520),"",IF(W528=0,"",_xlfn.TEXTJOIN("",FALSE," G+",W528," in ",A528)))</f>
        <v/>
      </c>
    </row>
    <row r="529" spans="1:24" ht="12.75" customHeight="1" x14ac:dyDescent="0.2">
      <c r="A529" s="7" t="str">
        <f ca="1">IF(ISERROR(F520),"",VLOOKUP(C520,INDIRECT($F$8),6+(O529-1)*3,0))</f>
        <v/>
      </c>
      <c r="B529" s="41" t="str">
        <f ca="1">IF(ISERROR(F520),"",VLOOKUP(D520,INDIRECT($F$8),6+(O529-1)*3,0))</f>
        <v/>
      </c>
      <c r="C529" s="41"/>
      <c r="D529" s="41"/>
      <c r="E529" s="41"/>
      <c r="F529" s="7" t="str">
        <f ca="1">IF(ISERROR(F520),"",VLOOKUP(E520,INDIRECT($F$8),6+(O529-1)*3,0))</f>
        <v/>
      </c>
      <c r="G529" s="42" t="str">
        <f ca="1">IF(ISERROR(F520),"",_xlfn.TEXTJOIN("/",FALSE,P529,S529))</f>
        <v/>
      </c>
      <c r="H529" s="42"/>
      <c r="I529" s="42" t="str">
        <f ca="1">IF(ISERROR(F520),"",_xlfn.TEXTJOIN("/",FALSE,Q529,T529))</f>
        <v/>
      </c>
      <c r="J529" s="42"/>
      <c r="K529" s="42" t="str">
        <f ca="1">IF(ISERROR(F520),"",_xlfn.TEXTJOIN("/",FALSE,R529,U529))</f>
        <v/>
      </c>
      <c r="L529" s="42"/>
      <c r="M529" s="7" t="str">
        <f ca="1">IF(ISERROR(F520),"",IF(ISTEXT(P529),IF(P529="A","Ab",IF(P529="D","Dt",IF(P529="UFM","UFM",IF(P529="NA","")))),IF(AND(ISBLANK(P529),ISBLANK(R529)),"",IF(P529&lt;0.3*S529,"F",IF(ISBLANK(R529),"",IF(ISTEXT(R529),R529,IF(R529&gt;=0.9*U529,"O",IF(R529&gt;=0.85*U529,"A+",IF(R529&gt;=0.8*U529,"A",IF(R529&gt;=0.7*U529,"B+",IF(R529&gt;=0.6*U529,"B",IF(R529&gt;=0.5*U529,"C",IF(R529&gt;=0.4*U529,"P",IF(R529&lt;0.4*U529,"F",R529))))))))))))))</f>
        <v/>
      </c>
      <c r="N529" s="8" t="str">
        <f t="shared" ca="1" si="32"/>
        <v/>
      </c>
      <c r="O529">
        <f ca="1">IF(O528&gt;0,7,"")</f>
        <v>7</v>
      </c>
      <c r="P529" s="1" t="str">
        <f ca="1">IF(ISERROR(F520),"",IF(ISTEXT(VLOOKUP(B520,INDIRECT($F$8),6+(O529-1)*3)),(VLOOKUP(B520,INDIRECT($F$8),6+(O529-1)*3)),SUM(VLOOKUP(B520,INDIRECT($F$8),6+(O529-1)*3),IF(W532,W529,0))))</f>
        <v/>
      </c>
      <c r="Q529" s="1" t="str">
        <f ca="1">IF(ISERROR(F520),"",VLOOKUP(B520,INDIRECT($F$8),7+(O529-1)*3))</f>
        <v/>
      </c>
      <c r="R529" s="1" t="str">
        <f ca="1">IF(ISERROR(F520),"",SUM(P529:Q529))</f>
        <v/>
      </c>
      <c r="S529" s="1" t="str">
        <f ca="1">IF(ISERROR(F520),"",VLOOKUP(A520,INDIRECT($F$8),6+(O529-1)*3))</f>
        <v/>
      </c>
      <c r="T529" s="1" t="str">
        <f ca="1">IF(ISERROR(F520),"",VLOOKUP(A520,INDIRECT($F$8),7+(O529-1)*3))</f>
        <v/>
      </c>
      <c r="U529" s="1" t="str">
        <f ca="1">IF(ISERROR(F520),"",VLOOKUP(A520,INDIRECT($F$8),8+(O529-1)*3))</f>
        <v/>
      </c>
      <c r="V529" s="1" t="str">
        <f ca="1">IF(ISERROR(F520),"",IF(N529=0,A529,""))</f>
        <v/>
      </c>
      <c r="W529" s="1" t="str">
        <f ca="1">IF(ISERROR(F520),"",IF(ISTEXT(VLOOKUP(B520,INDIRECT($F$8),6+(O529-1)*3)),11,IF(VLOOKUP(B520,INDIRECT($F$8),6+(O529-1)*3)&lt;S529*0.3,IF(VLOOKUP(B520,INDIRECT($F$8),8+(O529-1)*3)&lt;U529*0.4,IF(AND(0.4*U529-VLOOKUP(B520,INDIRECT($F$8),8+(O529-1)*3)&lt;=5,0.3*S529-VLOOKUP(B520,INDIRECT($F$8),6+(O529-1)*3)&lt;=5),MAX(0.4*U529-VLOOKUP(B520,INDIRECT($F$8),8+(O529-1)*3),0.3*S529-VLOOKUP(B520,INDIRECT($F$8),6+(O529-1)*3)),11),IF(0.3*S529-VLOOKUP(B520,INDIRECT($F$8),6+(O529-1)*3)&lt;=5,0.3*S529-VLOOKUP(B520,INDIRECT($F$8),6+(O529-1)*3),11)),IF(VLOOKUP(B520,INDIRECT($F$8),8+(O529-1)*3)&lt;U529*0.4,IF(U529*0.4-VLOOKUP(B520,INDIRECT($F$8),8+(O529-1)*3)&lt;=5,U529*0.4-VLOOKUP(B520,INDIRECT($F$8),8+(O529-1)*3),11),0))))</f>
        <v/>
      </c>
      <c r="X529" s="1" t="str">
        <f ca="1">IF(ISERROR(F520),"",IF(W529=0,"",_xlfn.TEXTJOIN("",FALSE," G+",W529," in ",A529)))</f>
        <v/>
      </c>
    </row>
    <row r="530" spans="1:24" ht="12.75" customHeight="1" x14ac:dyDescent="0.2">
      <c r="A530" s="7" t="str">
        <f ca="1">IF(ISERROR(F520),"",VLOOKUP(C520,INDIRECT($F$8),6+(O530-1)*3,0))</f>
        <v/>
      </c>
      <c r="B530" s="41" t="str">
        <f ca="1">IF(ISERROR(F520),"",VLOOKUP(D520,INDIRECT($F$8),6+(O530-1)*3,0))</f>
        <v/>
      </c>
      <c r="C530" s="41"/>
      <c r="D530" s="41"/>
      <c r="E530" s="41"/>
      <c r="F530" s="7" t="str">
        <f ca="1">IF(ISERROR(F520),"",VLOOKUP(E520,INDIRECT($F$8),6+(O530-1)*3,0))</f>
        <v/>
      </c>
      <c r="G530" s="42" t="str">
        <f ca="1">IF(ISERROR(F520),"",_xlfn.TEXTJOIN("/",FALSE,P530,S530))</f>
        <v/>
      </c>
      <c r="H530" s="42"/>
      <c r="I530" s="42" t="str">
        <f ca="1">IF(ISERROR(F520),"",_xlfn.TEXTJOIN("/",FALSE,Q530,T530))</f>
        <v/>
      </c>
      <c r="J530" s="42"/>
      <c r="K530" s="42" t="str">
        <f ca="1">IF(ISERROR(F520),"",_xlfn.TEXTJOIN("/",FALSE,R530,U530))</f>
        <v/>
      </c>
      <c r="L530" s="42"/>
      <c r="M530" s="7" t="str">
        <f ca="1">IF(ISERROR(F520),"",IF(ISTEXT(P530),IF(P530="A","Ab",IF(P530="D","Dt",IF(P530="UFM","UFM",IF(P530="NA","")))),IF(AND(ISBLANK(P530),ISBLANK(R530)),"",IF(P530&lt;0.3*S530,"F",IF(ISBLANK(R530),"",IF(ISTEXT(R530),R530,IF(R530&gt;=0.9*U530,"O",IF(R530&gt;=0.85*U530,"A+",IF(R530&gt;=0.8*U530,"A",IF(R530&gt;=0.7*U530,"B+",IF(R530&gt;=0.6*U530,"B",IF(R530&gt;=0.5*U530,"C",IF(R530&gt;=0.4*U530,"P",IF(R530&lt;0.4*U530,"F",R530))))))))))))))</f>
        <v/>
      </c>
      <c r="N530" s="8" t="str">
        <f t="shared" ca="1" si="32"/>
        <v/>
      </c>
      <c r="O530" t="b" cm="1">
        <f t="array" aca="1" ref="O530" ca="1">IF(NOT(ISBLANK(INDIRECT("SEM_IV!AA"&amp;INT((ROW(O530)-18)/16)+6))),8,IF(NOT(ISBLANK(INDIRECT("SEM_IV!AD"&amp;INT((ROW(O530)-18)/16)+6))),9))</f>
        <v>0</v>
      </c>
      <c r="P530" s="1" t="str">
        <f ca="1">IF(ISERROR(F520),"",IF(ISTEXT(VLOOKUP(B520,INDIRECT($F$8),6+(O530-1)*3)),(VLOOKUP(B520,INDIRECT($F$8),6+(O530-1)*3)),SUM(VLOOKUP(B520,INDIRECT($F$8),6+(O530-1)*3),IF(W532,W530,0))))</f>
        <v/>
      </c>
      <c r="Q530" s="1" t="str">
        <f ca="1">IF(ISERROR(F520),"",VLOOKUP(B520,INDIRECT($F$8),7+(O530-1)*3))</f>
        <v/>
      </c>
      <c r="R530" s="1" t="str">
        <f ca="1">IF(ISERROR(F520),"",SUM(P530:Q530))</f>
        <v/>
      </c>
      <c r="S530" s="1" t="str">
        <f ca="1">IF(ISERROR(F520),"",VLOOKUP(A520,INDIRECT($F$8),6+(O530-1)*3))</f>
        <v/>
      </c>
      <c r="T530" s="1" t="str">
        <f ca="1">IF(ISERROR(F520),"",VLOOKUP(A520,INDIRECT($F$8),7+(O530-1)*3))</f>
        <v/>
      </c>
      <c r="U530" s="1" t="str">
        <f ca="1">IF(ISERROR(F520),"",VLOOKUP(A520,INDIRECT($F$8),8+(O530-1)*3))</f>
        <v/>
      </c>
      <c r="V530" s="1" t="str">
        <f ca="1">IF(ISERROR(F520),"",IF(N530=0,A530,""))</f>
        <v/>
      </c>
      <c r="W530" s="1" t="str">
        <f ca="1">IF(ISERROR(F520),"",IF(ISTEXT(VLOOKUP(B520,INDIRECT($F$8),6+(O530-1)*3)),11,IF(VLOOKUP(B520,INDIRECT($F$8),6+(O530-1)*3)&lt;S530*0.3,IF(VLOOKUP(B520,INDIRECT($F$8),8+(O530-1)*3)&lt;U530*0.4,IF(AND(0.4*U530-VLOOKUP(B520,INDIRECT($F$8),8+(O530-1)*3)&lt;=5,0.3*S530-VLOOKUP(B520,INDIRECT($F$8),6+(O530-1)*3)&lt;=5),MAX(0.4*U530-VLOOKUP(B520,INDIRECT($F$8),8+(O530-1)*3),0.3*S530-VLOOKUP(B520,INDIRECT($F$8),6+(O530-1)*3)),11),IF(0.3*S530-VLOOKUP(B520,INDIRECT($F$8),6+(O530-1)*3)&lt;=5,0.3*S530-VLOOKUP(B520,INDIRECT($F$8),6+(O530-1)*3),11)),IF(VLOOKUP(B520,INDIRECT($F$8),8+(O530-1)*3)&lt;U530*0.4,IF(U530*0.4-VLOOKUP(B520,INDIRECT($F$8),8+(O530-1)*3)&lt;=5,U530*0.4-VLOOKUP(B520,INDIRECT($F$8),8+(O530-1)*3),11),0))))</f>
        <v/>
      </c>
      <c r="X530" s="1" t="str">
        <f ca="1">IF(ISERROR(F520),"",IF(W530=0,"",_xlfn.TEXTJOIN("",FALSE," G+",W530," in ",A530)))</f>
        <v/>
      </c>
    </row>
    <row r="531" spans="1:24" ht="12.75" customHeight="1" x14ac:dyDescent="0.2">
      <c r="A531" s="7" t="str">
        <f ca="1">IF(ISERROR(F520),"",VLOOKUP(C520,INDIRECT($F$8),6+(O531-1)*3,0))</f>
        <v/>
      </c>
      <c r="B531" s="41" t="str">
        <f ca="1">IF(ISERROR(F520),"",VLOOKUP(D520,INDIRECT($F$8),6+(O531-1)*3-Z531,0))</f>
        <v/>
      </c>
      <c r="C531" s="41"/>
      <c r="D531" s="41"/>
      <c r="E531" s="41"/>
      <c r="F531" s="7" t="str">
        <f ca="1">IF(ISERROR(F520),"",VLOOKUP(E520,INDIRECT($F$8),6+(O531-1)*3,0))</f>
        <v/>
      </c>
      <c r="G531" s="42" t="str">
        <f ca="1">IF(ISERROR(F520),"",_xlfn.TEXTJOIN("/",FALSE,P531,S531))</f>
        <v/>
      </c>
      <c r="H531" s="42"/>
      <c r="I531" s="42" t="str">
        <f ca="1">IF(ISERROR(F520),"",_xlfn.TEXTJOIN("/",FALSE,Q531,T531))</f>
        <v/>
      </c>
      <c r="J531" s="42"/>
      <c r="K531" s="42" t="str">
        <f ca="1">IF(ISERROR(F520),"",_xlfn.TEXTJOIN("/",FALSE,R531,U531))</f>
        <v/>
      </c>
      <c r="L531" s="42"/>
      <c r="M531" s="7" t="str">
        <f ca="1">IF(ISERROR(F520),"",IF(ISTEXT(P531),IF(P531="A","Ab",IF(P531="D","Dt",IF(P531="UFM","UFM",IF(P531="NA","")))),IF(AND(ISBLANK(P531),ISBLANK(R531)),"",IF(P531&lt;0.3*S531,"F",IF(ISBLANK(R531),"",IF(ISTEXT(R531),R531,IF(R531&gt;=0.9*U531,"O",IF(R531&gt;=0.85*U531,"A+",IF(R531&gt;=0.8*U531,"A",IF(R531&gt;=0.7*U531,"B+",IF(R531&gt;=0.6*U531,"B",IF(R531&gt;=0.5*U531,"C",IF(R531&gt;=0.4*U531,"P",IF(R531&lt;0.4*U531,"F",R531))))))))))))))</f>
        <v/>
      </c>
      <c r="N531" s="8" t="str">
        <f t="shared" ca="1" si="32"/>
        <v/>
      </c>
      <c r="O531">
        <f ca="1">IF(O530&gt;0,10,"")</f>
        <v>10</v>
      </c>
      <c r="P531" s="1" t="str">
        <f ca="1">IF(ISERROR(F520),"",IF(ISTEXT(VLOOKUP(B520,INDIRECT($F$8),6+(O531-1)*3)),(VLOOKUP(B520,INDIRECT($F$8),6+(O531-1)*3)),SUM(VLOOKUP(B520,INDIRECT($F$8),6+(O531-1)*3),IF(W532,W531,0))))</f>
        <v/>
      </c>
      <c r="Q531" s="1" t="str">
        <f ca="1">IF(ISERROR(F520),"",VLOOKUP(B520,INDIRECT($F$8),7+(O531-1)*3))</f>
        <v/>
      </c>
      <c r="R531" s="1" t="str">
        <f ca="1">IF(ISERROR(F520),"",SUM(P531:Q531))</f>
        <v/>
      </c>
      <c r="S531" s="1" t="str">
        <f ca="1">IF(ISERROR(F520),"",VLOOKUP(A520,INDIRECT($F$8),6+(O531-1)*3))</f>
        <v/>
      </c>
      <c r="T531" s="1" t="str">
        <f ca="1">IF(ISERROR(F520),"",VLOOKUP(A520,INDIRECT($F$8),7+(O531-1)*3))</f>
        <v/>
      </c>
      <c r="U531" s="1" t="str">
        <f ca="1">IF(ISERROR(F520),"",VLOOKUP(A520,INDIRECT($F$8),8+(O531-1)*3))</f>
        <v/>
      </c>
      <c r="V531" s="1" t="str">
        <f ca="1">IF(ISERROR(F520),"",IF(N531=0,A531,""))</f>
        <v/>
      </c>
      <c r="W531" s="1" t="str">
        <f ca="1">IF(ISERROR(F520),"",IF(ISTEXT(VLOOKUP(B520,INDIRECT($F$8),6+(O531-1)*3)),11,IF(VLOOKUP(B520,INDIRECT($F$8),6+(O531-1)*3)&lt;S531*0.3,IF(VLOOKUP(B520,INDIRECT($F$8),8+(O531-1)*3)&lt;U531*0.4,IF(AND(0.4*U531-VLOOKUP(B520,INDIRECT($F$8),8+(O531-1)*3)&lt;=5,0.3*S531-VLOOKUP(B520,INDIRECT($F$8),6+(O531-1)*3)&lt;=5),MAX(0.4*U531-VLOOKUP(B520,INDIRECT($F$8),8+(O531-1)*3),0.3*S531-VLOOKUP(B520,INDIRECT($F$8),6+(O531-1)*3)),11),IF(0.3*S531-VLOOKUP(B520,INDIRECT($F$8),6+(O531-1)*3)&lt;=5,0.3*S531-VLOOKUP(B520,INDIRECT($F$8),6+(O531-1)*3),11)),IF(VLOOKUP(B520,INDIRECT($F$8),8+(O531-1)*3)&lt;U531*0.4,IF(U531*0.4-VLOOKUP(B520,INDIRECT($F$8),8+(O531-1)*3)&lt;=5,U531*0.4-VLOOKUP(B520,INDIRECT($F$8),8+(O531-1)*3),11),0))))</f>
        <v/>
      </c>
      <c r="X531" s="1" t="str">
        <f ca="1">IF(ISERROR(F520),"",IF(W531=0,"",_xlfn.TEXTJOIN("",FALSE," G+",W531," in ",A531)))</f>
        <v/>
      </c>
    </row>
    <row r="532" spans="1:24" ht="12.75" customHeight="1" x14ac:dyDescent="0.2">
      <c r="A532" s="43" t="str">
        <f ca="1">IF(ISERROR(F520),"",A516)</f>
        <v/>
      </c>
      <c r="B532" s="43"/>
      <c r="C532" s="43"/>
      <c r="D532" s="43"/>
      <c r="E532" s="43"/>
      <c r="F532" s="10" t="str">
        <f ca="1">IF(ISERROR(F520),"",SUM(F525:F531))</f>
        <v/>
      </c>
      <c r="G532" s="44" t="str">
        <f ca="1">IF(ISERROR(F520),"",_xlfn.TEXTJOIN("/",TRUE,SUMIF(F525:F531,"&gt;0",P525:P531),SUMIF(F525:F531,"&gt;0",S525:S531)))</f>
        <v/>
      </c>
      <c r="H532" s="44"/>
      <c r="I532" s="44" t="str">
        <f ca="1">IF(ISERROR(F520),"",_xlfn.TEXTJOIN("/",TRUE,SUMIF(F525:F531,"&gt;0",Q525:Q531),SUMIF(F525:F531,"&gt;0",T525:T531)))</f>
        <v/>
      </c>
      <c r="J532" s="44"/>
      <c r="K532" s="44" t="str">
        <f ca="1">IF(ISERROR(F520),"",_xlfn.TEXTJOIN("/",TRUE,SUMIF(F525:F531,"&gt;0",R525:R531),SUMIF(F525:F531,"&gt;0",U525:U531)))</f>
        <v/>
      </c>
      <c r="L532" s="44"/>
      <c r="M532" s="43" t="str">
        <f ca="1">IF(ISERROR(F520),"",SUMPRODUCT(N525:N531,F525:F531))</f>
        <v/>
      </c>
      <c r="N532" s="43"/>
      <c r="V532" s="1" t="str">
        <f ca="1">IF(ISERROR(F520),"",_xlfn.TEXTJOIN(", ",TRUE,V525:V531))</f>
        <v/>
      </c>
      <c r="W532" t="str">
        <f ca="1">IF(ISERROR(F520),"",IF(SUM(W525:W531)&lt;=W524,TRUE,FALSE))</f>
        <v/>
      </c>
      <c r="X532" s="1" t="str">
        <f ca="1">IF(ISERROR(F520),"",_xlfn.TEXTJOIN(",",TRUE,X525:X531))</f>
        <v/>
      </c>
    </row>
    <row r="533" spans="1:24" ht="12.75" customHeight="1" x14ac:dyDescent="0.2">
      <c r="A533" s="43" t="str">
        <f ca="1">IF(ISERROR(F520),"",A517)</f>
        <v/>
      </c>
      <c r="B533" s="45" t="str">
        <f ca="1">IF(ISERROR(F520),"",IF(V532="","PASS","CARRY OVER"))</f>
        <v/>
      </c>
      <c r="C533" s="45"/>
      <c r="D533" s="43" t="str">
        <f ca="1">IF(ISERROR(F520),"",D517)</f>
        <v/>
      </c>
      <c r="E533" s="45" t="str">
        <f ca="1">IF(ISERROR(F520),"",IF(V532="",IF(X532="","",X532),_xlfn.TEXTJOIN(" ",TRUE,"BACK IN",V532)))</f>
        <v/>
      </c>
      <c r="F533" s="45"/>
      <c r="G533" s="43" t="str">
        <f ca="1">IF(ISERROR(F520),"",G517)</f>
        <v/>
      </c>
      <c r="H533" s="46" t="str">
        <f ca="1">IF(ISERROR(F520),"",M532/F532)</f>
        <v/>
      </c>
      <c r="I533" s="43" t="str">
        <f ca="1">IF(ISERROR(F520),"",I517)</f>
        <v/>
      </c>
      <c r="J533" s="46" t="str">
        <f ca="1">IF(ISERROR(F520),"",VLOOKUP(B520,INDIRECT($F$8),12+(O531-1)*3,0))</f>
        <v/>
      </c>
      <c r="K533" s="45" t="str">
        <f ca="1">IF(ISERROR(F520),"",K517)</f>
        <v/>
      </c>
      <c r="L533" s="43" t="str">
        <f ca="1">IF(ISERROR(F520),"",SUMIF(N525:N531,"&gt;0",F525:F531))</f>
        <v/>
      </c>
      <c r="M533" s="45" t="str">
        <f ca="1">IF(ISERROR(F520),"",M517)</f>
        <v/>
      </c>
      <c r="N533" s="43" t="str">
        <f ca="1">IF(ISERROR(F520),"",VLOOKUP(B520,INDIRECT($F$8),10+(O531-1)*3,0))</f>
        <v/>
      </c>
    </row>
    <row r="534" spans="1:24" ht="12.75" customHeight="1" x14ac:dyDescent="0.2">
      <c r="A534" s="43"/>
      <c r="B534" s="45"/>
      <c r="C534" s="45"/>
      <c r="D534" s="43"/>
      <c r="E534" s="45"/>
      <c r="F534" s="45"/>
      <c r="G534" s="43"/>
      <c r="H534" s="46"/>
      <c r="I534" s="43"/>
      <c r="J534" s="46"/>
      <c r="K534" s="45"/>
      <c r="L534" s="43"/>
      <c r="M534" s="45"/>
      <c r="N534" s="43"/>
    </row>
    <row r="535" spans="1:24" ht="12.75" customHeight="1" x14ac:dyDescent="0.2">
      <c r="A535" s="43"/>
      <c r="B535" s="45"/>
      <c r="C535" s="45"/>
      <c r="D535" s="43"/>
      <c r="E535" s="45"/>
      <c r="F535" s="45"/>
      <c r="G535" s="43"/>
      <c r="H535" s="46"/>
      <c r="I535" s="43"/>
      <c r="J535" s="46"/>
      <c r="K535" s="45"/>
      <c r="L535" s="43"/>
      <c r="M535" s="45"/>
      <c r="N535" s="43"/>
    </row>
    <row r="536" spans="1:24" ht="12.75" customHeight="1" x14ac:dyDescent="0.2">
      <c r="A536" s="11" t="str">
        <f>A520</f>
        <v>MM</v>
      </c>
      <c r="B536" s="11">
        <f>B520+1</f>
        <v>34</v>
      </c>
      <c r="C536" s="11" t="str">
        <f>C520</f>
        <v>SC</v>
      </c>
      <c r="D536" s="11" t="str">
        <f>D520</f>
        <v>SN</v>
      </c>
      <c r="E536" s="11" t="str">
        <f>E520</f>
        <v>C</v>
      </c>
      <c r="F536" s="11" t="e">
        <f ca="1">VLOOKUP(B536,INDIRECT($F$8),4,0)</f>
        <v>#N/A</v>
      </c>
    </row>
    <row r="537" spans="1:24" ht="12.75" customHeight="1" x14ac:dyDescent="0.2">
      <c r="A537" s="47" t="str">
        <f ca="1">IF(ISERROR(F536),"",A521)</f>
        <v/>
      </c>
      <c r="B537" s="47" t="str">
        <f ca="1">IFERROR(VLOOKUP(B536,INDIRECT($F$8),4,0),"")</f>
        <v/>
      </c>
      <c r="C537" s="47"/>
      <c r="D537" s="47" t="str">
        <f ca="1">IF(ISERROR(F536),"",D521)</f>
        <v/>
      </c>
      <c r="E537" s="47" t="str">
        <f ca="1">IFERROR(VLOOKUP(B536,INDIRECT($F$8),5,0),"")</f>
        <v/>
      </c>
      <c r="F537" s="47"/>
      <c r="G537" s="47" t="str">
        <f ca="1">IF(ISERROR(F536),"",G521)</f>
        <v/>
      </c>
      <c r="H537" s="47"/>
      <c r="I537" s="48" t="str">
        <f ca="1">IFERROR(VLOOKUP(B536,INDIRECT($F$8),2,0),"")</f>
        <v/>
      </c>
      <c r="J537" s="48"/>
      <c r="K537" s="47" t="str">
        <f ca="1">IF(ISERROR(F536),"",K521)</f>
        <v/>
      </c>
      <c r="L537" s="47"/>
      <c r="M537" s="48" t="str">
        <f ca="1">IFERROR(VLOOKUP(B536,INDIRECT($F$8),3,0),"")</f>
        <v/>
      </c>
      <c r="N537" s="48"/>
    </row>
    <row r="538" spans="1:24" ht="12.75" customHeight="1" x14ac:dyDescent="0.2">
      <c r="A538" s="47"/>
      <c r="B538" s="47"/>
      <c r="C538" s="47"/>
      <c r="D538" s="47"/>
      <c r="E538" s="47"/>
      <c r="F538" s="47"/>
      <c r="G538" s="47"/>
      <c r="H538" s="47"/>
      <c r="I538" s="48"/>
      <c r="J538" s="48"/>
      <c r="K538" s="47"/>
      <c r="L538" s="47"/>
      <c r="M538" s="48"/>
      <c r="N538" s="48"/>
    </row>
    <row r="539" spans="1:24" ht="12.75" customHeight="1" x14ac:dyDescent="0.2">
      <c r="A539" s="45" t="str">
        <f ca="1">IF(ISERROR(F536),"",A523)</f>
        <v/>
      </c>
      <c r="B539" s="45" t="str">
        <f ca="1">IF(ISERROR(F536),"",B523)</f>
        <v/>
      </c>
      <c r="C539" s="45"/>
      <c r="D539" s="45"/>
      <c r="E539" s="45"/>
      <c r="F539" s="45" t="str">
        <f ca="1">IF(ISERROR(F536),"",F523)</f>
        <v/>
      </c>
      <c r="G539" s="45" t="str">
        <f ca="1">IF(ISERROR(F536),"",G523)</f>
        <v/>
      </c>
      <c r="H539" s="45"/>
      <c r="I539" s="45" t="str">
        <f ca="1">IF(ISERROR(F536),"",I523)</f>
        <v/>
      </c>
      <c r="J539" s="45"/>
      <c r="K539" s="45" t="str">
        <f ca="1">IF(ISERROR(F536),"",K523)</f>
        <v/>
      </c>
      <c r="L539" s="45"/>
      <c r="M539" s="45" t="str">
        <f ca="1">IF(ISERROR(F536),"",M523)</f>
        <v/>
      </c>
      <c r="N539" s="45" t="str">
        <f ca="1">IF(ISERROR(F536),"",N523)</f>
        <v/>
      </c>
    </row>
    <row r="540" spans="1:24" ht="12.75" customHeight="1" x14ac:dyDescent="0.2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W540" t="e">
        <f ca="1">IF(ISNUMBER(MATCH($F$8,{"I","III","V","VII"},0)),10,10-INDEX(INDIRECT(_xlfn.TEXTJOIN("",TRUE,"SEM_",$G$8,"!",ADDRESS(6,4+$I$8*3+4),":",ADDRESS(5+$H$8,4+$I$8*3+4))),MATCH(INDIRECT(_xlfn.TEXTJOIN("",TRUE,"TC_",$F$8,"!",ADDRESS(ROW(I537),COLUMN(I537)))),INDIRECT(_xlfn.TEXTJOIN("",TRUE,"SEM_",$G$8,"!",ADDRESS(6,2),":",ADDRESS(5+$H$8,2))))))</f>
        <v>#N/A</v>
      </c>
    </row>
    <row r="541" spans="1:24" ht="12.75" customHeight="1" x14ac:dyDescent="0.2">
      <c r="A541" s="7" t="str">
        <f ca="1">IF(ISERROR(F536),"",VLOOKUP(C536,INDIRECT($F$8),6+(O541-1)*3,0))</f>
        <v/>
      </c>
      <c r="B541" s="41" t="str">
        <f ca="1">IF(ISERROR(F536),"",VLOOKUP(D536,INDIRECT($F$8),6+(O541-1)*3,0))</f>
        <v/>
      </c>
      <c r="C541" s="41"/>
      <c r="D541" s="41"/>
      <c r="E541" s="41"/>
      <c r="F541" s="7" t="str">
        <f ca="1">IF(ISERROR(F536),"",VLOOKUP(E536,INDIRECT($F$8),6+(O541-1)*3,0))</f>
        <v/>
      </c>
      <c r="G541" s="42" t="str">
        <f ca="1">IF(ISERROR(F536),"",_xlfn.TEXTJOIN("/",FALSE,P541,S541))</f>
        <v/>
      </c>
      <c r="H541" s="42"/>
      <c r="I541" s="42" t="str">
        <f ca="1">IF(ISERROR(F536),"",_xlfn.TEXTJOIN("/",FALSE,Q541,T541))</f>
        <v/>
      </c>
      <c r="J541" s="42"/>
      <c r="K541" s="42" t="str">
        <f ca="1">IF(ISERROR(F536),"",_xlfn.TEXTJOIN("/",FALSE,R541,U541))</f>
        <v/>
      </c>
      <c r="L541" s="42"/>
      <c r="M541" s="7" t="str">
        <f ca="1">IF(ISERROR(F536),"",IF(ISTEXT(P541),IF(P541="A","Ab",IF(P541="D","Dt",IF(P541="UFM","UFM",IF(P541="NA","")))),IF(AND(ISBLANK(P541),ISBLANK(R541)),"",IF(P541&lt;0.3*S541,"F",IF(ISBLANK(R541),"",IF(ISTEXT(R541),R541,IF(R541&gt;=0.9*U541,"O",IF(R541&gt;=0.85*U541,"A+",IF(R541&gt;=0.8*U541,"A",IF(R541&gt;=0.7*U541,"B+",IF(R541&gt;=0.6*U541,"B",IF(R541&gt;=0.5*U541,"C",IF(R541&gt;=0.4*U541,"P",IF(R541&lt;0.4*U541,"F",R541))))))))))))))</f>
        <v/>
      </c>
      <c r="N541" s="8" t="str">
        <f t="shared" ref="N541:N547" ca="1" si="33">INDEX($Z$2:$Z$13,MATCH(M541,$Y$2:$Y$13,0))</f>
        <v/>
      </c>
      <c r="O541">
        <v>1</v>
      </c>
      <c r="P541" s="1" t="str">
        <f ca="1">IF(ISERROR(F536),"",IF(ISTEXT(VLOOKUP(B536,INDIRECT($F$8),6+(O541-1)*3)),(VLOOKUP(B536,INDIRECT($F$8),6+(O541-1)*3)),SUM(VLOOKUP(B536,INDIRECT($F$8),6+(O541-1)*3),IF(W548,W541,0))))</f>
        <v/>
      </c>
      <c r="Q541" s="1" t="str">
        <f ca="1">IF(ISERROR(F536),"",VLOOKUP(B536,INDIRECT($F$8),7+(O541-1)*3))</f>
        <v/>
      </c>
      <c r="R541" s="1" t="str">
        <f ca="1">IF(ISERROR(F536),"",SUM(P541:Q541))</f>
        <v/>
      </c>
      <c r="S541" s="1" t="str">
        <f ca="1">IF(ISERROR(F536),"",VLOOKUP(A536,INDIRECT($F$8),6+(O541-1)*3))</f>
        <v/>
      </c>
      <c r="T541" s="1" t="str">
        <f ca="1">IF(ISERROR(F536),"",VLOOKUP(A536,INDIRECT($F$8),7+(O541-1)*3))</f>
        <v/>
      </c>
      <c r="U541" s="1" t="str">
        <f ca="1">IF(ISERROR(F536),"",VLOOKUP(A536,INDIRECT($F$8),8+(O541-1)*3))</f>
        <v/>
      </c>
      <c r="V541" s="1" t="str">
        <f ca="1">IF(ISERROR(F536),"",IF(N541=0,A541,""))</f>
        <v/>
      </c>
      <c r="W541" s="1" t="str">
        <f ca="1">IF(ISERROR(F536),"",IF(ISTEXT(VLOOKUP(B536,INDIRECT($F$8),6+(O541-1)*3)),11,IF(VLOOKUP(B536,INDIRECT($F$8),6+(O541-1)*3)&lt;S541*0.3,IF(VLOOKUP(B536,INDIRECT($F$8),8+(O541-1)*3)&lt;U541*0.4,IF(AND(0.4*U541-VLOOKUP(B536,INDIRECT($F$8),8+(O541-1)*3)&lt;=5,0.3*S541-VLOOKUP(B536,INDIRECT($F$8),6+(O541-1)*3)&lt;=5),MAX(0.4*U541-VLOOKUP(B536,INDIRECT($F$8),8+(O541-1)*3),0.3*S541-VLOOKUP(B536,INDIRECT($F$8),6+(O541-1)*3)),11),IF(0.3*S541-VLOOKUP(B536,INDIRECT($F$8),6+(O541-1)*3)&lt;=5,0.3*S541-VLOOKUP(B536,INDIRECT($F$8),6+(O541-1)*3),11)),IF(VLOOKUP(B536,INDIRECT($F$8),8+(O541-1)*3)&lt;U541*0.4,IF(U541*0.4-VLOOKUP(B536,INDIRECT($F$8),8+(O541-1)*3)&lt;=5,U541*0.4-VLOOKUP(B536,INDIRECT($F$8),8+(O541-1)*3),11),0))))</f>
        <v/>
      </c>
      <c r="X541" s="1" t="str">
        <f ca="1">IF(ISERROR(F536),"",IF(W541=0,"",_xlfn.TEXTJOIN("",FALSE," G+",W541," in ",A541)))</f>
        <v/>
      </c>
    </row>
    <row r="542" spans="1:24" ht="12.75" customHeight="1" x14ac:dyDescent="0.2">
      <c r="A542" s="7" t="str">
        <f ca="1">IF(ISERROR(F536),"",VLOOKUP(C536,INDIRECT($F$8),6+(O542-1)*3,0))</f>
        <v/>
      </c>
      <c r="B542" s="41" t="str">
        <f ca="1">IF(ISERROR(F536),"",VLOOKUP(D536,INDIRECT($F$8),6+(O542-1)*3,0))</f>
        <v/>
      </c>
      <c r="C542" s="41"/>
      <c r="D542" s="41"/>
      <c r="E542" s="41"/>
      <c r="F542" s="7" t="str">
        <f ca="1">IF(ISERROR(F536),"",VLOOKUP(E536,INDIRECT($F$8),6+(O542-1)*3,0))</f>
        <v/>
      </c>
      <c r="G542" s="42" t="str">
        <f ca="1">IF(ISERROR(F536),"",_xlfn.TEXTJOIN("/",FALSE,P542,S542))</f>
        <v/>
      </c>
      <c r="H542" s="42"/>
      <c r="I542" s="42" t="str">
        <f ca="1">IF(ISERROR(F536),"",_xlfn.TEXTJOIN("/",FALSE,Q542,T542))</f>
        <v/>
      </c>
      <c r="J542" s="42"/>
      <c r="K542" s="42" t="str">
        <f ca="1">IF(ISERROR(F536),"",_xlfn.TEXTJOIN("/",FALSE,R542,U542))</f>
        <v/>
      </c>
      <c r="L542" s="42"/>
      <c r="M542" s="7" t="str">
        <f ca="1">IF(ISERROR(F536),"",IF(ISTEXT(P542),IF(P542="A","Ab",IF(P542="D","Dt",IF(P542="UFM","UFM",IF(P542="NA","")))),IF(AND(ISBLANK(P542),ISBLANK(R542)),"",IF(P542&lt;0.3*S542,"F",IF(ISBLANK(R542),"",IF(ISTEXT(R542),R542,IF(R542&gt;=0.9*U542,"O",IF(R542&gt;=0.85*U542,"A+",IF(R542&gt;=0.8*U542,"A",IF(R542&gt;=0.7*U542,"B+",IF(R542&gt;=0.6*U542,"B",IF(R542&gt;=0.5*U542,"C",IF(R542&gt;=0.4*U542,"P",IF(R542&lt;0.4*U542,"F",R542))))))))))))))</f>
        <v/>
      </c>
      <c r="N542" s="8" t="str">
        <f t="shared" ca="1" si="33"/>
        <v/>
      </c>
      <c r="O542" t="b" cm="1">
        <f t="array" aca="1" ref="O542" ca="1">IF(NOT(ISBLANK(INDIRECT("SEM_IV!I"&amp;INT((ROW(O542)-14)/16)+6))),2,IF(NOT(ISBLANK(INDIRECT("SEM_IV!L"&amp;INT((ROW(O542)-14)/16)+6))),3))</f>
        <v>0</v>
      </c>
      <c r="P542" s="1" t="str">
        <f ca="1">IF(ISERROR(F536),"",IF(ISTEXT(VLOOKUP(B536,INDIRECT($F$8),6+(O542-1)*3)),(VLOOKUP(B536,INDIRECT($F$8),6+(O542-1)*3)),SUM(VLOOKUP(B536,INDIRECT($F$8),6+(O542-1)*3),IF(W548,W542,0))))</f>
        <v/>
      </c>
      <c r="Q542" s="1" t="str">
        <f ca="1">IF(ISERROR(F536),"",VLOOKUP(B536,INDIRECT($F$8),7+(O542-1)*3))</f>
        <v/>
      </c>
      <c r="R542" s="1" t="str">
        <f ca="1">IF(ISERROR(F536),"",SUM(P542:Q542))</f>
        <v/>
      </c>
      <c r="S542" s="1" t="str">
        <f ca="1">IF(ISERROR(F536),"",VLOOKUP(A536,INDIRECT($F$8),6+(O542-1)*3))</f>
        <v/>
      </c>
      <c r="T542" s="1" t="str">
        <f ca="1">IF(ISERROR(F536),"",VLOOKUP(A536,INDIRECT($F$8),7+(O542-1)*3))</f>
        <v/>
      </c>
      <c r="U542" s="1" t="str">
        <f ca="1">IF(ISERROR(F536),"",VLOOKUP(A536,INDIRECT($F$8),8+(O542-1)*3))</f>
        <v/>
      </c>
      <c r="V542" s="1" t="str">
        <f ca="1">IF(ISERROR(F536),"",IF(N542=0,A542,""))</f>
        <v/>
      </c>
      <c r="W542" s="1" t="str">
        <f ca="1">IF(ISERROR(F536),"",IF(ISTEXT(VLOOKUP(B536,INDIRECT($F$8),6+(O542-1)*3)),11,IF(VLOOKUP(B536,INDIRECT($F$8),6+(O542-1)*3)&lt;S542*0.3,IF(VLOOKUP(B536,INDIRECT($F$8),8+(O542-1)*3)&lt;U542*0.4,IF(AND(0.4*U542-VLOOKUP(B536,INDIRECT($F$8),8+(O542-1)*3)&lt;=5,0.3*S542-VLOOKUP(B536,INDIRECT($F$8),6+(O542-1)*3)&lt;=5),MAX(0.4*U542-VLOOKUP(B536,INDIRECT($F$8),8+(O542-1)*3),0.3*S542-VLOOKUP(B536,INDIRECT($F$8),6+(O542-1)*3)),11),IF(0.3*S542-VLOOKUP(B536,INDIRECT($F$8),6+(O542-1)*3)&lt;=5,0.3*S542-VLOOKUP(B536,INDIRECT($F$8),6+(O542-1)*3),11)),IF(VLOOKUP(B536,INDIRECT($F$8),8+(O542-1)*3)&lt;U542*0.4,IF(U542*0.4-VLOOKUP(B536,INDIRECT($F$8),8+(O542-1)*3)&lt;=5,U542*0.4-VLOOKUP(B536,INDIRECT($F$8),8+(O542-1)*3),11),0))))</f>
        <v/>
      </c>
      <c r="X542" s="1" t="str">
        <f ca="1">IF(ISERROR(F536),"",IF(W542=0,"",_xlfn.TEXTJOIN("",FALSE," G+",W542," in ",A542)))</f>
        <v/>
      </c>
    </row>
    <row r="543" spans="1:24" ht="12.75" customHeight="1" x14ac:dyDescent="0.2">
      <c r="A543" s="7" t="str">
        <f ca="1">IF(ISERROR(F536),"",VLOOKUP(C536,INDIRECT($F$8),6+(O543-1)*3,0))</f>
        <v/>
      </c>
      <c r="B543" s="41" t="str">
        <f ca="1">IF(ISERROR(F536),"",VLOOKUP(D536,INDIRECT($F$8),6+(O543-1)*3,0))</f>
        <v/>
      </c>
      <c r="C543" s="41"/>
      <c r="D543" s="41"/>
      <c r="E543" s="41"/>
      <c r="F543" s="7" t="str">
        <f ca="1">IF(ISERROR(F536),"",VLOOKUP(E536,INDIRECT($F$8),6+(O543-1)*3,0))</f>
        <v/>
      </c>
      <c r="G543" s="42" t="str">
        <f ca="1">IF(ISERROR(F536),"",_xlfn.TEXTJOIN("/",FALSE,P543,S543))</f>
        <v/>
      </c>
      <c r="H543" s="42"/>
      <c r="I543" s="42" t="str">
        <f ca="1">IF(ISERROR(F536),"",_xlfn.TEXTJOIN("/",FALSE,Q543,T543))</f>
        <v/>
      </c>
      <c r="J543" s="42"/>
      <c r="K543" s="42" t="str">
        <f ca="1">IF(ISERROR(F536),"",_xlfn.TEXTJOIN("/",FALSE,R543,U543))</f>
        <v/>
      </c>
      <c r="L543" s="42"/>
      <c r="M543" s="7" t="str">
        <f ca="1">IF(ISERROR(F536),"",IF(ISTEXT(P543),IF(P543="A","Ab",IF(P543="D","Dt",IF(P543="UFM","UFM",IF(P543="NA","")))),IF(AND(ISBLANK(P543),ISBLANK(R543)),"",IF(P543&lt;0.3*S543,"F",IF(ISBLANK(R543),"",IF(ISTEXT(R543),R543,IF(R543&gt;=0.9*U543,"O",IF(R543&gt;=0.85*U543,"A+",IF(R543&gt;=0.8*U543,"A",IF(R543&gt;=0.7*U543,"B+",IF(R543&gt;=0.6*U543,"B",IF(R543&gt;=0.5*U543,"C",IF(R543&gt;=0.4*U543,"P",IF(R543&lt;0.4*U543,"F",R543))))))))))))))</f>
        <v/>
      </c>
      <c r="N543" s="8" t="str">
        <f t="shared" ca="1" si="33"/>
        <v/>
      </c>
      <c r="O543">
        <f ca="1">IF(O542&gt;0,4,"")</f>
        <v>4</v>
      </c>
      <c r="P543" s="1" t="str">
        <f ca="1">IF(ISERROR(F536),"",IF(ISTEXT(VLOOKUP(B536,INDIRECT($F$8),6+(O543-1)*3)),(VLOOKUP(B536,INDIRECT($F$8),6+(O543-1)*3)),SUM(VLOOKUP(B536,INDIRECT($F$8),6+(O543-1)*3),IF(W548,W543,0))))</f>
        <v/>
      </c>
      <c r="Q543" s="1" t="str">
        <f ca="1">IF(ISERROR(F536),"",VLOOKUP(B536,INDIRECT($F$8),7+(O543-1)*3))</f>
        <v/>
      </c>
      <c r="R543" s="1" t="str">
        <f ca="1">IF(ISERROR(F536),"",SUM(P543:Q543))</f>
        <v/>
      </c>
      <c r="S543" s="1" t="str">
        <f ca="1">IF(ISERROR(F536),"",VLOOKUP(A536,INDIRECT($F$8),6+(O543-1)*3))</f>
        <v/>
      </c>
      <c r="T543" s="1" t="str">
        <f ca="1">IF(ISERROR(F536),"",VLOOKUP(A536,INDIRECT($F$8),7+(O543-1)*3))</f>
        <v/>
      </c>
      <c r="U543" s="1" t="str">
        <f ca="1">IF(ISERROR(F536),"",VLOOKUP(A536,INDIRECT($F$8),8+(O543-1)*3))</f>
        <v/>
      </c>
      <c r="V543" s="1" t="str">
        <f ca="1">IF(ISERROR(F536),"",IF(N543=0,A543,""))</f>
        <v/>
      </c>
      <c r="W543" s="1" t="str">
        <f ca="1">IF(ISERROR(F536),"",IF(ISTEXT(VLOOKUP(B536,INDIRECT($F$8),6+(O543-1)*3)),11,IF(VLOOKUP(B536,INDIRECT($F$8),6+(O543-1)*3)&lt;S543*0.3,IF(VLOOKUP(B536,INDIRECT($F$8),8+(O543-1)*3)&lt;U543*0.4,IF(AND(0.4*U543-VLOOKUP(B536,INDIRECT($F$8),8+(O543-1)*3)&lt;=5,0.3*S543-VLOOKUP(B536,INDIRECT($F$8),6+(O543-1)*3)&lt;=5),MAX(0.4*U543-VLOOKUP(B536,INDIRECT($F$8),8+(O543-1)*3),0.3*S543-VLOOKUP(B536,INDIRECT($F$8),6+(O543-1)*3)),11),IF(0.3*S543-VLOOKUP(B536,INDIRECT($F$8),6+(O543-1)*3)&lt;=5,0.3*S543-VLOOKUP(B536,INDIRECT($F$8),6+(O543-1)*3),11)),IF(VLOOKUP(B536,INDIRECT($F$8),8+(O543-1)*3)&lt;U543*0.4,IF(U543*0.4-VLOOKUP(B536,INDIRECT($F$8),8+(O543-1)*3)&lt;=5,U543*0.4-VLOOKUP(B536,INDIRECT($F$8),8+(O543-1)*3),11),0))))</f>
        <v/>
      </c>
      <c r="X543" s="1" t="str">
        <f ca="1">IF(ISERROR(F536),"",IF(W543=0,"",_xlfn.TEXTJOIN("",FALSE," G+",W543," in ",A543)))</f>
        <v/>
      </c>
    </row>
    <row r="544" spans="1:24" ht="12.75" customHeight="1" x14ac:dyDescent="0.2">
      <c r="A544" s="7" t="str">
        <f ca="1">IF(ISERROR(F536),"",VLOOKUP(C536,INDIRECT($F$8),6+(O544-1)*3,0))</f>
        <v/>
      </c>
      <c r="B544" s="41" t="str">
        <f ca="1">IF(ISERROR(F536),"",VLOOKUP(D536,INDIRECT($F$8),6+(O544-1)*3,0))</f>
        <v/>
      </c>
      <c r="C544" s="41"/>
      <c r="D544" s="41"/>
      <c r="E544" s="41"/>
      <c r="F544" s="7" t="str">
        <f ca="1">IF(ISERROR(F536),"",VLOOKUP(E536,INDIRECT($F$8),6+(O544-1)*3,0))</f>
        <v/>
      </c>
      <c r="G544" s="42" t="str">
        <f ca="1">IF(ISERROR(F536),"",_xlfn.TEXTJOIN("/",FALSE,P544,S544))</f>
        <v/>
      </c>
      <c r="H544" s="42"/>
      <c r="I544" s="42" t="str">
        <f ca="1">IF(ISERROR(F536),"",_xlfn.TEXTJOIN("/",FALSE,Q544,T544))</f>
        <v/>
      </c>
      <c r="J544" s="42"/>
      <c r="K544" s="42" t="str">
        <f ca="1">IF(ISERROR(F536),"",_xlfn.TEXTJOIN("/",FALSE,R544,U544))</f>
        <v/>
      </c>
      <c r="L544" s="42"/>
      <c r="M544" s="7" t="str">
        <f ca="1">IF(ISERROR(F536),"",IF(ISTEXT(P544),IF(P544="A","Ab",IF(P544="D","Dt",IF(P544="UFM","UFM",IF(P544="NA","")))),IF(AND(ISBLANK(P544),ISBLANK(R544)),"",IF(P544&lt;0.3*S544,"F",IF(ISBLANK(R544),"",IF(ISTEXT(R544),R544,IF(R544&gt;=0.9*U544,"O",IF(R544&gt;=0.85*U544,"A+",IF(R544&gt;=0.8*U544,"A",IF(R544&gt;=0.7*U544,"B+",IF(R544&gt;=0.6*U544,"B",IF(R544&gt;=0.5*U544,"C",IF(R544&gt;=0.4*U544,"P",IF(R544&lt;0.4*U544,"F",R544))))))))))))))</f>
        <v/>
      </c>
      <c r="N544" s="8" t="str">
        <f t="shared" ca="1" si="33"/>
        <v/>
      </c>
      <c r="O544" t="b" cm="1">
        <f t="array" aca="1" ref="O544" ca="1">IF(NOT(ISBLANK(INDIRECT("SEM_IV!R"&amp;INT((ROW(O544)-16)/16)+6))),5,IF(NOT(ISBLANK(INDIRECT("SEM_IV!U"&amp;INT((ROW(O544)-16)/16)+6))),6))</f>
        <v>0</v>
      </c>
      <c r="P544" s="1" t="str">
        <f ca="1">IF(ISERROR(F536),"",IF(ISTEXT(VLOOKUP(B536,INDIRECT($F$8),6+(O544-1)*3)),(VLOOKUP(B536,INDIRECT($F$8),6+(O544-1)*3)),SUM(VLOOKUP(B536,INDIRECT($F$8),6+(O544-1)*3),IF(W548,W544,0))))</f>
        <v/>
      </c>
      <c r="Q544" s="1" t="str">
        <f ca="1">IF(ISERROR(F536),"",VLOOKUP(B536,INDIRECT($F$8),7+(O544-1)*3))</f>
        <v/>
      </c>
      <c r="R544" s="1" t="str">
        <f ca="1">IF(ISERROR(F536),"",SUM(P544:Q544))</f>
        <v/>
      </c>
      <c r="S544" s="1" t="str">
        <f ca="1">IF(ISERROR(F536),"",VLOOKUP(A536,INDIRECT($F$8),6+(O544-1)*3))</f>
        <v/>
      </c>
      <c r="T544" s="1" t="str">
        <f ca="1">IF(ISERROR(F536),"",VLOOKUP(A536,INDIRECT($F$8),7+(O544-1)*3))</f>
        <v/>
      </c>
      <c r="U544" s="1" t="str">
        <f ca="1">IF(ISERROR(F536),"",VLOOKUP(A536,INDIRECT($F$8),8+(O544-1)*3))</f>
        <v/>
      </c>
      <c r="V544" s="1" t="str">
        <f ca="1">IF(ISERROR(F536),"",IF(N544=0,A544,""))</f>
        <v/>
      </c>
      <c r="W544" s="1" t="str">
        <f ca="1">IF(ISERROR(F536),"",IF(ISTEXT(VLOOKUP(B536,INDIRECT($F$8),6+(O544-1)*3)),11,IF(VLOOKUP(B536,INDIRECT($F$8),6+(O544-1)*3)&lt;S544*0.3,IF(VLOOKUP(B536,INDIRECT($F$8),8+(O544-1)*3)&lt;U544*0.4,IF(AND(0.4*U544-VLOOKUP(B536,INDIRECT($F$8),8+(O544-1)*3)&lt;=5,0.3*S544-VLOOKUP(B536,INDIRECT($F$8),6+(O544-1)*3)&lt;=5),MAX(0.4*U544-VLOOKUP(B536,INDIRECT($F$8),8+(O544-1)*3),0.3*S544-VLOOKUP(B536,INDIRECT($F$8),6+(O544-1)*3)),11),IF(0.3*S544-VLOOKUP(B536,INDIRECT($F$8),6+(O544-1)*3)&lt;=5,0.3*S544-VLOOKUP(B536,INDIRECT($F$8),6+(O544-1)*3),11)),IF(VLOOKUP(B536,INDIRECT($F$8),8+(O544-1)*3)&lt;U544*0.4,IF(U544*0.4-VLOOKUP(B536,INDIRECT($F$8),8+(O544-1)*3)&lt;=5,U544*0.4-VLOOKUP(B536,INDIRECT($F$8),8+(O544-1)*3),11),0))))</f>
        <v/>
      </c>
      <c r="X544" s="1" t="str">
        <f ca="1">IF(ISERROR(F536),"",IF(W544=0,"",_xlfn.TEXTJOIN("",FALSE," G+",W544," in ",A544)))</f>
        <v/>
      </c>
    </row>
    <row r="545" spans="1:24" ht="12.75" customHeight="1" x14ac:dyDescent="0.2">
      <c r="A545" s="7" t="str">
        <f ca="1">IF(ISERROR(F536),"",VLOOKUP(C536,INDIRECT($F$8),6+(O545-1)*3,0))</f>
        <v/>
      </c>
      <c r="B545" s="41" t="str">
        <f ca="1">IF(ISERROR(F536),"",VLOOKUP(D536,INDIRECT($F$8),6+(O545-1)*3,0))</f>
        <v/>
      </c>
      <c r="C545" s="41"/>
      <c r="D545" s="41"/>
      <c r="E545" s="41"/>
      <c r="F545" s="7" t="str">
        <f ca="1">IF(ISERROR(F536),"",VLOOKUP(E536,INDIRECT($F$8),6+(O545-1)*3,0))</f>
        <v/>
      </c>
      <c r="G545" s="42" t="str">
        <f ca="1">IF(ISERROR(F536),"",_xlfn.TEXTJOIN("/",FALSE,P545,S545))</f>
        <v/>
      </c>
      <c r="H545" s="42"/>
      <c r="I545" s="42" t="str">
        <f ca="1">IF(ISERROR(F536),"",_xlfn.TEXTJOIN("/",FALSE,Q545,T545))</f>
        <v/>
      </c>
      <c r="J545" s="42"/>
      <c r="K545" s="42" t="str">
        <f ca="1">IF(ISERROR(F536),"",_xlfn.TEXTJOIN("/",FALSE,R545,U545))</f>
        <v/>
      </c>
      <c r="L545" s="42"/>
      <c r="M545" s="7" t="str">
        <f ca="1">IF(ISERROR(F536),"",IF(ISTEXT(P545),IF(P545="A","Ab",IF(P545="D","Dt",IF(P545="UFM","UFM",IF(P545="NA","")))),IF(AND(ISBLANK(P545),ISBLANK(R545)),"",IF(P545&lt;0.3*S545,"F",IF(ISBLANK(R545),"",IF(ISTEXT(R545),R545,IF(R545&gt;=0.9*U545,"O",IF(R545&gt;=0.85*U545,"A+",IF(R545&gt;=0.8*U545,"A",IF(R545&gt;=0.7*U545,"B+",IF(R545&gt;=0.6*U545,"B",IF(R545&gt;=0.5*U545,"C",IF(R545&gt;=0.4*U545,"P",IF(R545&lt;0.4*U545,"F",R545))))))))))))))</f>
        <v/>
      </c>
      <c r="N545" s="8" t="str">
        <f t="shared" ca="1" si="33"/>
        <v/>
      </c>
      <c r="O545">
        <f ca="1">IF(O544&gt;0,7,"")</f>
        <v>7</v>
      </c>
      <c r="P545" s="1" t="str">
        <f ca="1">IF(ISERROR(F536),"",IF(ISTEXT(VLOOKUP(B536,INDIRECT($F$8),6+(O545-1)*3)),(VLOOKUP(B536,INDIRECT($F$8),6+(O545-1)*3)),SUM(VLOOKUP(B536,INDIRECT($F$8),6+(O545-1)*3),IF(W548,W545,0))))</f>
        <v/>
      </c>
      <c r="Q545" s="1" t="str">
        <f ca="1">IF(ISERROR(F536),"",VLOOKUP(B536,INDIRECT($F$8),7+(O545-1)*3))</f>
        <v/>
      </c>
      <c r="R545" s="1" t="str">
        <f ca="1">IF(ISERROR(F536),"",SUM(P545:Q545))</f>
        <v/>
      </c>
      <c r="S545" s="1" t="str">
        <f ca="1">IF(ISERROR(F536),"",VLOOKUP(A536,INDIRECT($F$8),6+(O545-1)*3))</f>
        <v/>
      </c>
      <c r="T545" s="1" t="str">
        <f ca="1">IF(ISERROR(F536),"",VLOOKUP(A536,INDIRECT($F$8),7+(O545-1)*3))</f>
        <v/>
      </c>
      <c r="U545" s="1" t="str">
        <f ca="1">IF(ISERROR(F536),"",VLOOKUP(A536,INDIRECT($F$8),8+(O545-1)*3))</f>
        <v/>
      </c>
      <c r="V545" s="1" t="str">
        <f ca="1">IF(ISERROR(F536),"",IF(N545=0,A545,""))</f>
        <v/>
      </c>
      <c r="W545" s="1" t="str">
        <f ca="1">IF(ISERROR(F536),"",IF(ISTEXT(VLOOKUP(B536,INDIRECT($F$8),6+(O545-1)*3)),11,IF(VLOOKUP(B536,INDIRECT($F$8),6+(O545-1)*3)&lt;S545*0.3,IF(VLOOKUP(B536,INDIRECT($F$8),8+(O545-1)*3)&lt;U545*0.4,IF(AND(0.4*U545-VLOOKUP(B536,INDIRECT($F$8),8+(O545-1)*3)&lt;=5,0.3*S545-VLOOKUP(B536,INDIRECT($F$8),6+(O545-1)*3)&lt;=5),MAX(0.4*U545-VLOOKUP(B536,INDIRECT($F$8),8+(O545-1)*3),0.3*S545-VLOOKUP(B536,INDIRECT($F$8),6+(O545-1)*3)),11),IF(0.3*S545-VLOOKUP(B536,INDIRECT($F$8),6+(O545-1)*3)&lt;=5,0.3*S545-VLOOKUP(B536,INDIRECT($F$8),6+(O545-1)*3),11)),IF(VLOOKUP(B536,INDIRECT($F$8),8+(O545-1)*3)&lt;U545*0.4,IF(U545*0.4-VLOOKUP(B536,INDIRECT($F$8),8+(O545-1)*3)&lt;=5,U545*0.4-VLOOKUP(B536,INDIRECT($F$8),8+(O545-1)*3),11),0))))</f>
        <v/>
      </c>
      <c r="X545" s="1" t="str">
        <f ca="1">IF(ISERROR(F536),"",IF(W545=0,"",_xlfn.TEXTJOIN("",FALSE," G+",W545," in ",A545)))</f>
        <v/>
      </c>
    </row>
    <row r="546" spans="1:24" ht="12.75" customHeight="1" x14ac:dyDescent="0.2">
      <c r="A546" s="7" t="str">
        <f ca="1">IF(ISERROR(F536),"",VLOOKUP(C536,INDIRECT($F$8),6+(O546-1)*3,0))</f>
        <v/>
      </c>
      <c r="B546" s="41" t="str">
        <f ca="1">IF(ISERROR(F536),"",VLOOKUP(D536,INDIRECT($F$8),6+(O546-1)*3,0))</f>
        <v/>
      </c>
      <c r="C546" s="41"/>
      <c r="D546" s="41"/>
      <c r="E546" s="41"/>
      <c r="F546" s="7" t="str">
        <f ca="1">IF(ISERROR(F536),"",VLOOKUP(E536,INDIRECT($F$8),6+(O546-1)*3,0))</f>
        <v/>
      </c>
      <c r="G546" s="42" t="str">
        <f ca="1">IF(ISERROR(F536),"",_xlfn.TEXTJOIN("/",FALSE,P546,S546))</f>
        <v/>
      </c>
      <c r="H546" s="42"/>
      <c r="I546" s="42" t="str">
        <f ca="1">IF(ISERROR(F536),"",_xlfn.TEXTJOIN("/",FALSE,Q546,T546))</f>
        <v/>
      </c>
      <c r="J546" s="42"/>
      <c r="K546" s="42" t="str">
        <f ca="1">IF(ISERROR(F536),"",_xlfn.TEXTJOIN("/",FALSE,R546,U546))</f>
        <v/>
      </c>
      <c r="L546" s="42"/>
      <c r="M546" s="7" t="str">
        <f ca="1">IF(ISERROR(F536),"",IF(ISTEXT(P546),IF(P546="A","Ab",IF(P546="D","Dt",IF(P546="UFM","UFM",IF(P546="NA","")))),IF(AND(ISBLANK(P546),ISBLANK(R546)),"",IF(P546&lt;0.3*S546,"F",IF(ISBLANK(R546),"",IF(ISTEXT(R546),R546,IF(R546&gt;=0.9*U546,"O",IF(R546&gt;=0.85*U546,"A+",IF(R546&gt;=0.8*U546,"A",IF(R546&gt;=0.7*U546,"B+",IF(R546&gt;=0.6*U546,"B",IF(R546&gt;=0.5*U546,"C",IF(R546&gt;=0.4*U546,"P",IF(R546&lt;0.4*U546,"F",R546))))))))))))))</f>
        <v/>
      </c>
      <c r="N546" s="8" t="str">
        <f t="shared" ca="1" si="33"/>
        <v/>
      </c>
      <c r="O546" t="b" cm="1">
        <f t="array" aca="1" ref="O546" ca="1">IF(NOT(ISBLANK(INDIRECT("SEM_IV!AA"&amp;INT((ROW(O546)-18)/16)+6))),8,IF(NOT(ISBLANK(INDIRECT("SEM_IV!AD"&amp;INT((ROW(O546)-18)/16)+6))),9))</f>
        <v>0</v>
      </c>
      <c r="P546" s="1" t="str">
        <f ca="1">IF(ISERROR(F536),"",IF(ISTEXT(VLOOKUP(B536,INDIRECT($F$8),6+(O546-1)*3)),(VLOOKUP(B536,INDIRECT($F$8),6+(O546-1)*3)),SUM(VLOOKUP(B536,INDIRECT($F$8),6+(O546-1)*3),IF(W548,W546,0))))</f>
        <v/>
      </c>
      <c r="Q546" s="1" t="str">
        <f ca="1">IF(ISERROR(F536),"",VLOOKUP(B536,INDIRECT($F$8),7+(O546-1)*3))</f>
        <v/>
      </c>
      <c r="R546" s="1" t="str">
        <f ca="1">IF(ISERROR(F536),"",SUM(P546:Q546))</f>
        <v/>
      </c>
      <c r="S546" s="1" t="str">
        <f ca="1">IF(ISERROR(F536),"",VLOOKUP(A536,INDIRECT($F$8),6+(O546-1)*3))</f>
        <v/>
      </c>
      <c r="T546" s="1" t="str">
        <f ca="1">IF(ISERROR(F536),"",VLOOKUP(A536,INDIRECT($F$8),7+(O546-1)*3))</f>
        <v/>
      </c>
      <c r="U546" s="1" t="str">
        <f ca="1">IF(ISERROR(F536),"",VLOOKUP(A536,INDIRECT($F$8),8+(O546-1)*3))</f>
        <v/>
      </c>
      <c r="V546" s="1" t="str">
        <f ca="1">IF(ISERROR(F536),"",IF(N546=0,A546,""))</f>
        <v/>
      </c>
      <c r="W546" s="1" t="str">
        <f ca="1">IF(ISERROR(F536),"",IF(ISTEXT(VLOOKUP(B536,INDIRECT($F$8),6+(O546-1)*3)),11,IF(VLOOKUP(B536,INDIRECT($F$8),6+(O546-1)*3)&lt;S546*0.3,IF(VLOOKUP(B536,INDIRECT($F$8),8+(O546-1)*3)&lt;U546*0.4,IF(AND(0.4*U546-VLOOKUP(B536,INDIRECT($F$8),8+(O546-1)*3)&lt;=5,0.3*S546-VLOOKUP(B536,INDIRECT($F$8),6+(O546-1)*3)&lt;=5),MAX(0.4*U546-VLOOKUP(B536,INDIRECT($F$8),8+(O546-1)*3),0.3*S546-VLOOKUP(B536,INDIRECT($F$8),6+(O546-1)*3)),11),IF(0.3*S546-VLOOKUP(B536,INDIRECT($F$8),6+(O546-1)*3)&lt;=5,0.3*S546-VLOOKUP(B536,INDIRECT($F$8),6+(O546-1)*3),11)),IF(VLOOKUP(B536,INDIRECT($F$8),8+(O546-1)*3)&lt;U546*0.4,IF(U546*0.4-VLOOKUP(B536,INDIRECT($F$8),8+(O546-1)*3)&lt;=5,U546*0.4-VLOOKUP(B536,INDIRECT($F$8),8+(O546-1)*3),11),0))))</f>
        <v/>
      </c>
      <c r="X546" s="1" t="str">
        <f ca="1">IF(ISERROR(F536),"",IF(W546=0,"",_xlfn.TEXTJOIN("",FALSE," G+",W546," in ",A546)))</f>
        <v/>
      </c>
    </row>
    <row r="547" spans="1:24" ht="12.75" customHeight="1" x14ac:dyDescent="0.2">
      <c r="A547" s="7" t="str">
        <f ca="1">IF(ISERROR(F536),"",VLOOKUP(C536,INDIRECT($F$8),6+(O547-1)*3,0))</f>
        <v/>
      </c>
      <c r="B547" s="41" t="str">
        <f ca="1">IF(ISERROR(F536),"",VLOOKUP(D536,INDIRECT($F$8),6+(O547-1)*3-Z547,0))</f>
        <v/>
      </c>
      <c r="C547" s="41"/>
      <c r="D547" s="41"/>
      <c r="E547" s="41"/>
      <c r="F547" s="7" t="str">
        <f ca="1">IF(ISERROR(F536),"",VLOOKUP(E536,INDIRECT($F$8),6+(O547-1)*3,0))</f>
        <v/>
      </c>
      <c r="G547" s="42" t="str">
        <f ca="1">IF(ISERROR(F536),"",_xlfn.TEXTJOIN("/",FALSE,P547,S547))</f>
        <v/>
      </c>
      <c r="H547" s="42"/>
      <c r="I547" s="42" t="str">
        <f ca="1">IF(ISERROR(F536),"",_xlfn.TEXTJOIN("/",FALSE,Q547,T547))</f>
        <v/>
      </c>
      <c r="J547" s="42"/>
      <c r="K547" s="42" t="str">
        <f ca="1">IF(ISERROR(F536),"",_xlfn.TEXTJOIN("/",FALSE,R547,U547))</f>
        <v/>
      </c>
      <c r="L547" s="42"/>
      <c r="M547" s="7" t="str">
        <f ca="1">IF(ISERROR(F536),"",IF(ISTEXT(P547),IF(P547="A","Ab",IF(P547="D","Dt",IF(P547="UFM","UFM",IF(P547="NA","")))),IF(AND(ISBLANK(P547),ISBLANK(R547)),"",IF(P547&lt;0.3*S547,"F",IF(ISBLANK(R547),"",IF(ISTEXT(R547),R547,IF(R547&gt;=0.9*U547,"O",IF(R547&gt;=0.85*U547,"A+",IF(R547&gt;=0.8*U547,"A",IF(R547&gt;=0.7*U547,"B+",IF(R547&gt;=0.6*U547,"B",IF(R547&gt;=0.5*U547,"C",IF(R547&gt;=0.4*U547,"P",IF(R547&lt;0.4*U547,"F",R547))))))))))))))</f>
        <v/>
      </c>
      <c r="N547" s="8" t="str">
        <f t="shared" ca="1" si="33"/>
        <v/>
      </c>
      <c r="O547">
        <f ca="1">IF(O546&gt;0,10,"")</f>
        <v>10</v>
      </c>
      <c r="P547" s="1" t="str">
        <f ca="1">IF(ISERROR(F536),"",IF(ISTEXT(VLOOKUP(B536,INDIRECT($F$8),6+(O547-1)*3)),(VLOOKUP(B536,INDIRECT($F$8),6+(O547-1)*3)),SUM(VLOOKUP(B536,INDIRECT($F$8),6+(O547-1)*3),IF(W548,W547,0))))</f>
        <v/>
      </c>
      <c r="Q547" s="1" t="str">
        <f ca="1">IF(ISERROR(F536),"",VLOOKUP(B536,INDIRECT($F$8),7+(O547-1)*3))</f>
        <v/>
      </c>
      <c r="R547" s="1" t="str">
        <f ca="1">IF(ISERROR(F536),"",SUM(P547:Q547))</f>
        <v/>
      </c>
      <c r="S547" s="1" t="str">
        <f ca="1">IF(ISERROR(F536),"",VLOOKUP(A536,INDIRECT($F$8),6+(O547-1)*3))</f>
        <v/>
      </c>
      <c r="T547" s="1" t="str">
        <f ca="1">IF(ISERROR(F536),"",VLOOKUP(A536,INDIRECT($F$8),7+(O547-1)*3))</f>
        <v/>
      </c>
      <c r="U547" s="1" t="str">
        <f ca="1">IF(ISERROR(F536),"",VLOOKUP(A536,INDIRECT($F$8),8+(O547-1)*3))</f>
        <v/>
      </c>
      <c r="V547" s="1" t="str">
        <f ca="1">IF(ISERROR(F536),"",IF(N547=0,A547,""))</f>
        <v/>
      </c>
      <c r="W547" s="1" t="str">
        <f ca="1">IF(ISERROR(F536),"",IF(ISTEXT(VLOOKUP(B536,INDIRECT($F$8),6+(O547-1)*3)),11,IF(VLOOKUP(B536,INDIRECT($F$8),6+(O547-1)*3)&lt;S547*0.3,IF(VLOOKUP(B536,INDIRECT($F$8),8+(O547-1)*3)&lt;U547*0.4,IF(AND(0.4*U547-VLOOKUP(B536,INDIRECT($F$8),8+(O547-1)*3)&lt;=5,0.3*S547-VLOOKUP(B536,INDIRECT($F$8),6+(O547-1)*3)&lt;=5),MAX(0.4*U547-VLOOKUP(B536,INDIRECT($F$8),8+(O547-1)*3),0.3*S547-VLOOKUP(B536,INDIRECT($F$8),6+(O547-1)*3)),11),IF(0.3*S547-VLOOKUP(B536,INDIRECT($F$8),6+(O547-1)*3)&lt;=5,0.3*S547-VLOOKUP(B536,INDIRECT($F$8),6+(O547-1)*3),11)),IF(VLOOKUP(B536,INDIRECT($F$8),8+(O547-1)*3)&lt;U547*0.4,IF(U547*0.4-VLOOKUP(B536,INDIRECT($F$8),8+(O547-1)*3)&lt;=5,U547*0.4-VLOOKUP(B536,INDIRECT($F$8),8+(O547-1)*3),11),0))))</f>
        <v/>
      </c>
      <c r="X547" s="1" t="str">
        <f ca="1">IF(ISERROR(F536),"",IF(W547=0,"",_xlfn.TEXTJOIN("",FALSE," G+",W547," in ",A547)))</f>
        <v/>
      </c>
    </row>
    <row r="548" spans="1:24" ht="12.75" customHeight="1" x14ac:dyDescent="0.2">
      <c r="A548" s="43" t="str">
        <f ca="1">IF(ISERROR(F536),"",A532)</f>
        <v/>
      </c>
      <c r="B548" s="43"/>
      <c r="C548" s="43"/>
      <c r="D548" s="43"/>
      <c r="E548" s="43"/>
      <c r="F548" s="10" t="str">
        <f ca="1">IF(ISERROR(F536),"",SUM(F541:F547))</f>
        <v/>
      </c>
      <c r="G548" s="44" t="str">
        <f ca="1">IF(ISERROR(F536),"",_xlfn.TEXTJOIN("/",TRUE,SUMIF(F541:F547,"&gt;0",P541:P547),SUMIF(F541:F547,"&gt;0",S541:S547)))</f>
        <v/>
      </c>
      <c r="H548" s="44"/>
      <c r="I548" s="44" t="str">
        <f ca="1">IF(ISERROR(F536),"",_xlfn.TEXTJOIN("/",TRUE,SUMIF(F541:F547,"&gt;0",Q541:Q547),SUMIF(F541:F547,"&gt;0",T541:T547)))</f>
        <v/>
      </c>
      <c r="J548" s="44"/>
      <c r="K548" s="44" t="str">
        <f ca="1">IF(ISERROR(F536),"",_xlfn.TEXTJOIN("/",TRUE,SUMIF(F541:F547,"&gt;0",R541:R547),SUMIF(F541:F547,"&gt;0",U541:U547)))</f>
        <v/>
      </c>
      <c r="L548" s="44"/>
      <c r="M548" s="43" t="str">
        <f ca="1">IF(ISERROR(F536),"",SUMPRODUCT(N541:N547,F541:F547))</f>
        <v/>
      </c>
      <c r="N548" s="43"/>
      <c r="V548" s="1" t="str">
        <f ca="1">IF(ISERROR(F536),"",_xlfn.TEXTJOIN(", ",TRUE,V541:V547))</f>
        <v/>
      </c>
      <c r="W548" t="str">
        <f ca="1">IF(ISERROR(F536),"",IF(SUM(W541:W547)&lt;=W540,TRUE,FALSE))</f>
        <v/>
      </c>
      <c r="X548" s="1" t="str">
        <f ca="1">IF(ISERROR(F536),"",_xlfn.TEXTJOIN(",",TRUE,X541:X547))</f>
        <v/>
      </c>
    </row>
    <row r="549" spans="1:24" ht="12.75" customHeight="1" x14ac:dyDescent="0.2">
      <c r="A549" s="43" t="str">
        <f ca="1">IF(ISERROR(F536),"",A533)</f>
        <v/>
      </c>
      <c r="B549" s="45" t="str">
        <f ca="1">IF(ISERROR(F536),"",IF(V548="","PASS","CARRY OVER"))</f>
        <v/>
      </c>
      <c r="C549" s="45"/>
      <c r="D549" s="43" t="str">
        <f ca="1">IF(ISERROR(F536),"",D533)</f>
        <v/>
      </c>
      <c r="E549" s="45" t="str">
        <f ca="1">IF(ISERROR(F536),"",IF(V548="",IF(X548="","",X548),_xlfn.TEXTJOIN(" ",TRUE,"BACK IN",V548)))</f>
        <v/>
      </c>
      <c r="F549" s="45"/>
      <c r="G549" s="43" t="str">
        <f ca="1">IF(ISERROR(F536),"",G533)</f>
        <v/>
      </c>
      <c r="H549" s="46" t="str">
        <f ca="1">IF(ISERROR(F536),"",M548/F548)</f>
        <v/>
      </c>
      <c r="I549" s="43" t="str">
        <f ca="1">IF(ISERROR(F536),"",I533)</f>
        <v/>
      </c>
      <c r="J549" s="46" t="str">
        <f ca="1">IF(ISERROR(F536),"",VLOOKUP(B536,INDIRECT($F$8),12+(O547-1)*3,0))</f>
        <v/>
      </c>
      <c r="K549" s="45" t="str">
        <f ca="1">IF(ISERROR(F536),"",K533)</f>
        <v/>
      </c>
      <c r="L549" s="43" t="str">
        <f ca="1">IF(ISERROR(F536),"",SUMIF(N541:N547,"&gt;0",F541:F547))</f>
        <v/>
      </c>
      <c r="M549" s="45" t="str">
        <f ca="1">IF(ISERROR(F536),"",M533)</f>
        <v/>
      </c>
      <c r="N549" s="43" t="str">
        <f ca="1">IF(ISERROR(F536),"",VLOOKUP(B536,INDIRECT($F$8),10+(O547-1)*3,0))</f>
        <v/>
      </c>
    </row>
    <row r="550" spans="1:24" ht="12.75" customHeight="1" x14ac:dyDescent="0.2">
      <c r="A550" s="43"/>
      <c r="B550" s="45"/>
      <c r="C550" s="45"/>
      <c r="D550" s="43"/>
      <c r="E550" s="45"/>
      <c r="F550" s="45"/>
      <c r="G550" s="43"/>
      <c r="H550" s="46"/>
      <c r="I550" s="43"/>
      <c r="J550" s="46"/>
      <c r="K550" s="45"/>
      <c r="L550" s="43"/>
      <c r="M550" s="45"/>
      <c r="N550" s="43"/>
    </row>
    <row r="551" spans="1:24" ht="12.75" customHeight="1" x14ac:dyDescent="0.2">
      <c r="A551" s="43"/>
      <c r="B551" s="45"/>
      <c r="C551" s="45"/>
      <c r="D551" s="43"/>
      <c r="E551" s="45"/>
      <c r="F551" s="45"/>
      <c r="G551" s="43"/>
      <c r="H551" s="46"/>
      <c r="I551" s="43"/>
      <c r="J551" s="46"/>
      <c r="K551" s="45"/>
      <c r="L551" s="43"/>
      <c r="M551" s="45"/>
      <c r="N551" s="43"/>
    </row>
    <row r="552" spans="1:24" ht="12.75" customHeight="1" x14ac:dyDescent="0.2">
      <c r="A552" s="11" t="str">
        <f>A536</f>
        <v>MM</v>
      </c>
      <c r="B552" s="11">
        <f>B536+1</f>
        <v>35</v>
      </c>
      <c r="C552" s="11" t="str">
        <f>C536</f>
        <v>SC</v>
      </c>
      <c r="D552" s="11" t="str">
        <f>D536</f>
        <v>SN</v>
      </c>
      <c r="E552" s="11" t="str">
        <f>E536</f>
        <v>C</v>
      </c>
      <c r="F552" s="11" t="e">
        <f ca="1">VLOOKUP(B552,INDIRECT($F$8),4,0)</f>
        <v>#N/A</v>
      </c>
    </row>
    <row r="553" spans="1:24" ht="12.75" customHeight="1" x14ac:dyDescent="0.2">
      <c r="A553" s="47" t="str">
        <f ca="1">IF(ISERROR(F552),"",A537)</f>
        <v/>
      </c>
      <c r="B553" s="47" t="str">
        <f ca="1">IFERROR(VLOOKUP(B552,INDIRECT($F$8),4,0),"")</f>
        <v/>
      </c>
      <c r="C553" s="47"/>
      <c r="D553" s="47" t="str">
        <f ca="1">IF(ISERROR(F552),"",D537)</f>
        <v/>
      </c>
      <c r="E553" s="47" t="str">
        <f ca="1">IFERROR(VLOOKUP(B552,INDIRECT($F$8),5,0),"")</f>
        <v/>
      </c>
      <c r="F553" s="47"/>
      <c r="G553" s="47" t="str">
        <f ca="1">IF(ISERROR(F552),"",G537)</f>
        <v/>
      </c>
      <c r="H553" s="47"/>
      <c r="I553" s="48" t="str">
        <f ca="1">IFERROR(VLOOKUP(B552,INDIRECT($F$8),2,0),"")</f>
        <v/>
      </c>
      <c r="J553" s="48"/>
      <c r="K553" s="47" t="str">
        <f ca="1">IF(ISERROR(F552),"",K537)</f>
        <v/>
      </c>
      <c r="L553" s="47"/>
      <c r="M553" s="48" t="str">
        <f ca="1">IFERROR(VLOOKUP(B552,INDIRECT($F$8),3,0),"")</f>
        <v/>
      </c>
      <c r="N553" s="48"/>
    </row>
    <row r="554" spans="1:24" ht="12.75" customHeight="1" x14ac:dyDescent="0.2">
      <c r="A554" s="47"/>
      <c r="B554" s="47"/>
      <c r="C554" s="47"/>
      <c r="D554" s="47"/>
      <c r="E554" s="47"/>
      <c r="F554" s="47"/>
      <c r="G554" s="47"/>
      <c r="H554" s="47"/>
      <c r="I554" s="48"/>
      <c r="J554" s="48"/>
      <c r="K554" s="47"/>
      <c r="L554" s="47"/>
      <c r="M554" s="48"/>
      <c r="N554" s="48"/>
    </row>
    <row r="555" spans="1:24" ht="12.75" customHeight="1" x14ac:dyDescent="0.2">
      <c r="A555" s="45" t="str">
        <f ca="1">IF(ISERROR(F552),"",A539)</f>
        <v/>
      </c>
      <c r="B555" s="45" t="str">
        <f ca="1">IF(ISERROR(F552),"",B539)</f>
        <v/>
      </c>
      <c r="C555" s="45"/>
      <c r="D555" s="45"/>
      <c r="E555" s="45"/>
      <c r="F555" s="45" t="str">
        <f ca="1">IF(ISERROR(F552),"",F539)</f>
        <v/>
      </c>
      <c r="G555" s="45" t="str">
        <f ca="1">IF(ISERROR(F552),"",G539)</f>
        <v/>
      </c>
      <c r="H555" s="45"/>
      <c r="I555" s="45" t="str">
        <f ca="1">IF(ISERROR(F552),"",I539)</f>
        <v/>
      </c>
      <c r="J555" s="45"/>
      <c r="K555" s="45" t="str">
        <f ca="1">IF(ISERROR(F552),"",K539)</f>
        <v/>
      </c>
      <c r="L555" s="45"/>
      <c r="M555" s="45" t="str">
        <f ca="1">IF(ISERROR(F552),"",M539)</f>
        <v/>
      </c>
      <c r="N555" s="45" t="str">
        <f ca="1">IF(ISERROR(F552),"",N539)</f>
        <v/>
      </c>
    </row>
    <row r="556" spans="1:24" ht="12.75" customHeight="1" x14ac:dyDescent="0.2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W556" t="e">
        <f ca="1">IF(ISNUMBER(MATCH($F$8,{"I","III","V","VII"},0)),10,10-INDEX(INDIRECT(_xlfn.TEXTJOIN("",TRUE,"SEM_",$G$8,"!",ADDRESS(6,4+$I$8*3+4),":",ADDRESS(5+$H$8,4+$I$8*3+4))),MATCH(INDIRECT(_xlfn.TEXTJOIN("",TRUE,"TC_",$F$8,"!",ADDRESS(ROW(I553),COLUMN(I553)))),INDIRECT(_xlfn.TEXTJOIN("",TRUE,"SEM_",$G$8,"!",ADDRESS(6,2),":",ADDRESS(5+$H$8,2))))))</f>
        <v>#N/A</v>
      </c>
    </row>
    <row r="557" spans="1:24" ht="12.75" customHeight="1" x14ac:dyDescent="0.2">
      <c r="A557" s="7" t="str">
        <f ca="1">IF(ISERROR(F552),"",VLOOKUP(C552,INDIRECT($F$8),6+(O557-1)*3,0))</f>
        <v/>
      </c>
      <c r="B557" s="41" t="str">
        <f ca="1">IF(ISERROR(F552),"",VLOOKUP(D552,INDIRECT($F$8),6+(O557-1)*3,0))</f>
        <v/>
      </c>
      <c r="C557" s="41"/>
      <c r="D557" s="41"/>
      <c r="E557" s="41"/>
      <c r="F557" s="7" t="str">
        <f ca="1">IF(ISERROR(F552),"",VLOOKUP(E552,INDIRECT($F$8),6+(O557-1)*3,0))</f>
        <v/>
      </c>
      <c r="G557" s="42" t="str">
        <f ca="1">IF(ISERROR(F552),"",_xlfn.TEXTJOIN("/",FALSE,P557,S557))</f>
        <v/>
      </c>
      <c r="H557" s="42"/>
      <c r="I557" s="42" t="str">
        <f ca="1">IF(ISERROR(F552),"",_xlfn.TEXTJOIN("/",FALSE,Q557,T557))</f>
        <v/>
      </c>
      <c r="J557" s="42"/>
      <c r="K557" s="42" t="str">
        <f ca="1">IF(ISERROR(F552),"",_xlfn.TEXTJOIN("/",FALSE,R557,U557))</f>
        <v/>
      </c>
      <c r="L557" s="42"/>
      <c r="M557" s="7" t="str">
        <f ca="1">IF(ISERROR(F552),"",IF(ISTEXT(P557),IF(P557="A","Ab",IF(P557="D","Dt",IF(P557="UFM","UFM",IF(P557="NA","")))),IF(AND(ISBLANK(P557),ISBLANK(R557)),"",IF(P557&lt;0.3*S557,"F",IF(ISBLANK(R557),"",IF(ISTEXT(R557),R557,IF(R557&gt;=0.9*U557,"O",IF(R557&gt;=0.85*U557,"A+",IF(R557&gt;=0.8*U557,"A",IF(R557&gt;=0.7*U557,"B+",IF(R557&gt;=0.6*U557,"B",IF(R557&gt;=0.5*U557,"C",IF(R557&gt;=0.4*U557,"P",IF(R557&lt;0.4*U557,"F",R557))))))))))))))</f>
        <v/>
      </c>
      <c r="N557" s="8" t="str">
        <f t="shared" ref="N557:N563" ca="1" si="34">INDEX($Z$2:$Z$13,MATCH(M557,$Y$2:$Y$13,0))</f>
        <v/>
      </c>
      <c r="O557">
        <v>1</v>
      </c>
      <c r="P557" s="1" t="str">
        <f ca="1">IF(ISERROR(F552),"",IF(ISTEXT(VLOOKUP(B552,INDIRECT($F$8),6+(O557-1)*3)),(VLOOKUP(B552,INDIRECT($F$8),6+(O557-1)*3)),SUM(VLOOKUP(B552,INDIRECT($F$8),6+(O557-1)*3),IF(W564,W557,0))))</f>
        <v/>
      </c>
      <c r="Q557" s="1" t="str">
        <f ca="1">IF(ISERROR(F552),"",VLOOKUP(B552,INDIRECT($F$8),7+(O557-1)*3))</f>
        <v/>
      </c>
      <c r="R557" s="1" t="str">
        <f ca="1">IF(ISERROR(F552),"",SUM(P557:Q557))</f>
        <v/>
      </c>
      <c r="S557" s="1" t="str">
        <f ca="1">IF(ISERROR(F552),"",VLOOKUP(A552,INDIRECT($F$8),6+(O557-1)*3))</f>
        <v/>
      </c>
      <c r="T557" s="1" t="str">
        <f ca="1">IF(ISERROR(F552),"",VLOOKUP(A552,INDIRECT($F$8),7+(O557-1)*3))</f>
        <v/>
      </c>
      <c r="U557" s="1" t="str">
        <f ca="1">IF(ISERROR(F552),"",VLOOKUP(A552,INDIRECT($F$8),8+(O557-1)*3))</f>
        <v/>
      </c>
      <c r="V557" s="1" t="str">
        <f ca="1">IF(ISERROR(F552),"",IF(N557=0,A557,""))</f>
        <v/>
      </c>
      <c r="W557" s="1" t="str">
        <f ca="1">IF(ISERROR(F552),"",IF(ISTEXT(VLOOKUP(B552,INDIRECT($F$8),6+(O557-1)*3)),11,IF(VLOOKUP(B552,INDIRECT($F$8),6+(O557-1)*3)&lt;S557*0.3,IF(VLOOKUP(B552,INDIRECT($F$8),8+(O557-1)*3)&lt;U557*0.4,IF(AND(0.4*U557-VLOOKUP(B552,INDIRECT($F$8),8+(O557-1)*3)&lt;=5,0.3*S557-VLOOKUP(B552,INDIRECT($F$8),6+(O557-1)*3)&lt;=5),MAX(0.4*U557-VLOOKUP(B552,INDIRECT($F$8),8+(O557-1)*3),0.3*S557-VLOOKUP(B552,INDIRECT($F$8),6+(O557-1)*3)),11),IF(0.3*S557-VLOOKUP(B552,INDIRECT($F$8),6+(O557-1)*3)&lt;=5,0.3*S557-VLOOKUP(B552,INDIRECT($F$8),6+(O557-1)*3),11)),IF(VLOOKUP(B552,INDIRECT($F$8),8+(O557-1)*3)&lt;U557*0.4,IF(U557*0.4-VLOOKUP(B552,INDIRECT($F$8),8+(O557-1)*3)&lt;=5,U557*0.4-VLOOKUP(B552,INDIRECT($F$8),8+(O557-1)*3),11),0))))</f>
        <v/>
      </c>
      <c r="X557" s="1" t="str">
        <f ca="1">IF(ISERROR(F552),"",IF(W557=0,"",_xlfn.TEXTJOIN("",FALSE," G+",W557," in ",A557)))</f>
        <v/>
      </c>
    </row>
    <row r="558" spans="1:24" ht="12.75" customHeight="1" x14ac:dyDescent="0.2">
      <c r="A558" s="7" t="str">
        <f ca="1">IF(ISERROR(F552),"",VLOOKUP(C552,INDIRECT($F$8),6+(O558-1)*3,0))</f>
        <v/>
      </c>
      <c r="B558" s="41" t="str">
        <f ca="1">IF(ISERROR(F552),"",VLOOKUP(D552,INDIRECT($F$8),6+(O558-1)*3,0))</f>
        <v/>
      </c>
      <c r="C558" s="41"/>
      <c r="D558" s="41"/>
      <c r="E558" s="41"/>
      <c r="F558" s="7" t="str">
        <f ca="1">IF(ISERROR(F552),"",VLOOKUP(E552,INDIRECT($F$8),6+(O558-1)*3,0))</f>
        <v/>
      </c>
      <c r="G558" s="42" t="str">
        <f ca="1">IF(ISERROR(F552),"",_xlfn.TEXTJOIN("/",FALSE,P558,S558))</f>
        <v/>
      </c>
      <c r="H558" s="42"/>
      <c r="I558" s="42" t="str">
        <f ca="1">IF(ISERROR(F552),"",_xlfn.TEXTJOIN("/",FALSE,Q558,T558))</f>
        <v/>
      </c>
      <c r="J558" s="42"/>
      <c r="K558" s="42" t="str">
        <f ca="1">IF(ISERROR(F552),"",_xlfn.TEXTJOIN("/",FALSE,R558,U558))</f>
        <v/>
      </c>
      <c r="L558" s="42"/>
      <c r="M558" s="7" t="str">
        <f ca="1">IF(ISERROR(F552),"",IF(ISTEXT(P558),IF(P558="A","Ab",IF(P558="D","Dt",IF(P558="UFM","UFM",IF(P558="NA","")))),IF(AND(ISBLANK(P558),ISBLANK(R558)),"",IF(P558&lt;0.3*S558,"F",IF(ISBLANK(R558),"",IF(ISTEXT(R558),R558,IF(R558&gt;=0.9*U558,"O",IF(R558&gt;=0.85*U558,"A+",IF(R558&gt;=0.8*U558,"A",IF(R558&gt;=0.7*U558,"B+",IF(R558&gt;=0.6*U558,"B",IF(R558&gt;=0.5*U558,"C",IF(R558&gt;=0.4*U558,"P",IF(R558&lt;0.4*U558,"F",R558))))))))))))))</f>
        <v/>
      </c>
      <c r="N558" s="8" t="str">
        <f t="shared" ca="1" si="34"/>
        <v/>
      </c>
      <c r="O558" t="b" cm="1">
        <f t="array" aca="1" ref="O558" ca="1">IF(NOT(ISBLANK(INDIRECT("SEM_IV!I"&amp;INT((ROW(O558)-14)/16)+6))),2,IF(NOT(ISBLANK(INDIRECT("SEM_IV!L"&amp;INT((ROW(O558)-14)/16)+6))),3))</f>
        <v>0</v>
      </c>
      <c r="P558" s="1" t="str">
        <f ca="1">IF(ISERROR(F552),"",IF(ISTEXT(VLOOKUP(B552,INDIRECT($F$8),6+(O558-1)*3)),(VLOOKUP(B552,INDIRECT($F$8),6+(O558-1)*3)),SUM(VLOOKUP(B552,INDIRECT($F$8),6+(O558-1)*3),IF(W564,W558,0))))</f>
        <v/>
      </c>
      <c r="Q558" s="1" t="str">
        <f ca="1">IF(ISERROR(F552),"",VLOOKUP(B552,INDIRECT($F$8),7+(O558-1)*3))</f>
        <v/>
      </c>
      <c r="R558" s="1" t="str">
        <f ca="1">IF(ISERROR(F552),"",SUM(P558:Q558))</f>
        <v/>
      </c>
      <c r="S558" s="1" t="str">
        <f ca="1">IF(ISERROR(F552),"",VLOOKUP(A552,INDIRECT($F$8),6+(O558-1)*3))</f>
        <v/>
      </c>
      <c r="T558" s="1" t="str">
        <f ca="1">IF(ISERROR(F552),"",VLOOKUP(A552,INDIRECT($F$8),7+(O558-1)*3))</f>
        <v/>
      </c>
      <c r="U558" s="1" t="str">
        <f ca="1">IF(ISERROR(F552),"",VLOOKUP(A552,INDIRECT($F$8),8+(O558-1)*3))</f>
        <v/>
      </c>
      <c r="V558" s="1" t="str">
        <f ca="1">IF(ISERROR(F552),"",IF(N558=0,A558,""))</f>
        <v/>
      </c>
      <c r="W558" s="1" t="str">
        <f ca="1">IF(ISERROR(F552),"",IF(ISTEXT(VLOOKUP(B552,INDIRECT($F$8),6+(O558-1)*3)),11,IF(VLOOKUP(B552,INDIRECT($F$8),6+(O558-1)*3)&lt;S558*0.3,IF(VLOOKUP(B552,INDIRECT($F$8),8+(O558-1)*3)&lt;U558*0.4,IF(AND(0.4*U558-VLOOKUP(B552,INDIRECT($F$8),8+(O558-1)*3)&lt;=5,0.3*S558-VLOOKUP(B552,INDIRECT($F$8),6+(O558-1)*3)&lt;=5),MAX(0.4*U558-VLOOKUP(B552,INDIRECT($F$8),8+(O558-1)*3),0.3*S558-VLOOKUP(B552,INDIRECT($F$8),6+(O558-1)*3)),11),IF(0.3*S558-VLOOKUP(B552,INDIRECT($F$8),6+(O558-1)*3)&lt;=5,0.3*S558-VLOOKUP(B552,INDIRECT($F$8),6+(O558-1)*3),11)),IF(VLOOKUP(B552,INDIRECT($F$8),8+(O558-1)*3)&lt;U558*0.4,IF(U558*0.4-VLOOKUP(B552,INDIRECT($F$8),8+(O558-1)*3)&lt;=5,U558*0.4-VLOOKUP(B552,INDIRECT($F$8),8+(O558-1)*3),11),0))))</f>
        <v/>
      </c>
      <c r="X558" s="1" t="str">
        <f ca="1">IF(ISERROR(F552),"",IF(W558=0,"",_xlfn.TEXTJOIN("",FALSE," G+",W558," in ",A558)))</f>
        <v/>
      </c>
    </row>
    <row r="559" spans="1:24" ht="12.75" customHeight="1" x14ac:dyDescent="0.2">
      <c r="A559" s="7" t="str">
        <f ca="1">IF(ISERROR(F552),"",VLOOKUP(C552,INDIRECT($F$8),6+(O559-1)*3,0))</f>
        <v/>
      </c>
      <c r="B559" s="41" t="str">
        <f ca="1">IF(ISERROR(F552),"",VLOOKUP(D552,INDIRECT($F$8),6+(O559-1)*3,0))</f>
        <v/>
      </c>
      <c r="C559" s="41"/>
      <c r="D559" s="41"/>
      <c r="E559" s="41"/>
      <c r="F559" s="7" t="str">
        <f ca="1">IF(ISERROR(F552),"",VLOOKUP(E552,INDIRECT($F$8),6+(O559-1)*3,0))</f>
        <v/>
      </c>
      <c r="G559" s="42" t="str">
        <f ca="1">IF(ISERROR(F552),"",_xlfn.TEXTJOIN("/",FALSE,P559,S559))</f>
        <v/>
      </c>
      <c r="H559" s="42"/>
      <c r="I559" s="42" t="str">
        <f ca="1">IF(ISERROR(F552),"",_xlfn.TEXTJOIN("/",FALSE,Q559,T559))</f>
        <v/>
      </c>
      <c r="J559" s="42"/>
      <c r="K559" s="42" t="str">
        <f ca="1">IF(ISERROR(F552),"",_xlfn.TEXTJOIN("/",FALSE,R559,U559))</f>
        <v/>
      </c>
      <c r="L559" s="42"/>
      <c r="M559" s="7" t="str">
        <f ca="1">IF(ISERROR(F552),"",IF(ISTEXT(P559),IF(P559="A","Ab",IF(P559="D","Dt",IF(P559="UFM","UFM",IF(P559="NA","")))),IF(AND(ISBLANK(P559),ISBLANK(R559)),"",IF(P559&lt;0.3*S559,"F",IF(ISBLANK(R559),"",IF(ISTEXT(R559),R559,IF(R559&gt;=0.9*U559,"O",IF(R559&gt;=0.85*U559,"A+",IF(R559&gt;=0.8*U559,"A",IF(R559&gt;=0.7*U559,"B+",IF(R559&gt;=0.6*U559,"B",IF(R559&gt;=0.5*U559,"C",IF(R559&gt;=0.4*U559,"P",IF(R559&lt;0.4*U559,"F",R559))))))))))))))</f>
        <v/>
      </c>
      <c r="N559" s="8" t="str">
        <f t="shared" ca="1" si="34"/>
        <v/>
      </c>
      <c r="O559">
        <f ca="1">IF(O558&gt;0,4,"")</f>
        <v>4</v>
      </c>
      <c r="P559" s="1" t="str">
        <f ca="1">IF(ISERROR(F552),"",IF(ISTEXT(VLOOKUP(B552,INDIRECT($F$8),6+(O559-1)*3)),(VLOOKUP(B552,INDIRECT($F$8),6+(O559-1)*3)),SUM(VLOOKUP(B552,INDIRECT($F$8),6+(O559-1)*3),IF(W564,W559,0))))</f>
        <v/>
      </c>
      <c r="Q559" s="1" t="str">
        <f ca="1">IF(ISERROR(F552),"",VLOOKUP(B552,INDIRECT($F$8),7+(O559-1)*3))</f>
        <v/>
      </c>
      <c r="R559" s="1" t="str">
        <f ca="1">IF(ISERROR(F552),"",SUM(P559:Q559))</f>
        <v/>
      </c>
      <c r="S559" s="1" t="str">
        <f ca="1">IF(ISERROR(F552),"",VLOOKUP(A552,INDIRECT($F$8),6+(O559-1)*3))</f>
        <v/>
      </c>
      <c r="T559" s="1" t="str">
        <f ca="1">IF(ISERROR(F552),"",VLOOKUP(A552,INDIRECT($F$8),7+(O559-1)*3))</f>
        <v/>
      </c>
      <c r="U559" s="1" t="str">
        <f ca="1">IF(ISERROR(F552),"",VLOOKUP(A552,INDIRECT($F$8),8+(O559-1)*3))</f>
        <v/>
      </c>
      <c r="V559" s="1" t="str">
        <f ca="1">IF(ISERROR(F552),"",IF(N559=0,A559,""))</f>
        <v/>
      </c>
      <c r="W559" s="1" t="str">
        <f ca="1">IF(ISERROR(F552),"",IF(ISTEXT(VLOOKUP(B552,INDIRECT($F$8),6+(O559-1)*3)),11,IF(VLOOKUP(B552,INDIRECT($F$8),6+(O559-1)*3)&lt;S559*0.3,IF(VLOOKUP(B552,INDIRECT($F$8),8+(O559-1)*3)&lt;U559*0.4,IF(AND(0.4*U559-VLOOKUP(B552,INDIRECT($F$8),8+(O559-1)*3)&lt;=5,0.3*S559-VLOOKUP(B552,INDIRECT($F$8),6+(O559-1)*3)&lt;=5),MAX(0.4*U559-VLOOKUP(B552,INDIRECT($F$8),8+(O559-1)*3),0.3*S559-VLOOKUP(B552,INDIRECT($F$8),6+(O559-1)*3)),11),IF(0.3*S559-VLOOKUP(B552,INDIRECT($F$8),6+(O559-1)*3)&lt;=5,0.3*S559-VLOOKUP(B552,INDIRECT($F$8),6+(O559-1)*3),11)),IF(VLOOKUP(B552,INDIRECT($F$8),8+(O559-1)*3)&lt;U559*0.4,IF(U559*0.4-VLOOKUP(B552,INDIRECT($F$8),8+(O559-1)*3)&lt;=5,U559*0.4-VLOOKUP(B552,INDIRECT($F$8),8+(O559-1)*3),11),0))))</f>
        <v/>
      </c>
      <c r="X559" s="1" t="str">
        <f ca="1">IF(ISERROR(F552),"",IF(W559=0,"",_xlfn.TEXTJOIN("",FALSE," G+",W559," in ",A559)))</f>
        <v/>
      </c>
    </row>
    <row r="560" spans="1:24" ht="12.75" customHeight="1" x14ac:dyDescent="0.2">
      <c r="A560" s="7" t="str">
        <f ca="1">IF(ISERROR(F552),"",VLOOKUP(C552,INDIRECT($F$8),6+(O560-1)*3,0))</f>
        <v/>
      </c>
      <c r="B560" s="41" t="str">
        <f ca="1">IF(ISERROR(F552),"",VLOOKUP(D552,INDIRECT($F$8),6+(O560-1)*3,0))</f>
        <v/>
      </c>
      <c r="C560" s="41"/>
      <c r="D560" s="41"/>
      <c r="E560" s="41"/>
      <c r="F560" s="7" t="str">
        <f ca="1">IF(ISERROR(F552),"",VLOOKUP(E552,INDIRECT($F$8),6+(O560-1)*3,0))</f>
        <v/>
      </c>
      <c r="G560" s="42" t="str">
        <f ca="1">IF(ISERROR(F552),"",_xlfn.TEXTJOIN("/",FALSE,P560,S560))</f>
        <v/>
      </c>
      <c r="H560" s="42"/>
      <c r="I560" s="42" t="str">
        <f ca="1">IF(ISERROR(F552),"",_xlfn.TEXTJOIN("/",FALSE,Q560,T560))</f>
        <v/>
      </c>
      <c r="J560" s="42"/>
      <c r="K560" s="42" t="str">
        <f ca="1">IF(ISERROR(F552),"",_xlfn.TEXTJOIN("/",FALSE,R560,U560))</f>
        <v/>
      </c>
      <c r="L560" s="42"/>
      <c r="M560" s="7" t="str">
        <f ca="1">IF(ISERROR(F552),"",IF(ISTEXT(P560),IF(P560="A","Ab",IF(P560="D","Dt",IF(P560="UFM","UFM",IF(P560="NA","")))),IF(AND(ISBLANK(P560),ISBLANK(R560)),"",IF(P560&lt;0.3*S560,"F",IF(ISBLANK(R560),"",IF(ISTEXT(R560),R560,IF(R560&gt;=0.9*U560,"O",IF(R560&gt;=0.85*U560,"A+",IF(R560&gt;=0.8*U560,"A",IF(R560&gt;=0.7*U560,"B+",IF(R560&gt;=0.6*U560,"B",IF(R560&gt;=0.5*U560,"C",IF(R560&gt;=0.4*U560,"P",IF(R560&lt;0.4*U560,"F",R560))))))))))))))</f>
        <v/>
      </c>
      <c r="N560" s="8" t="str">
        <f t="shared" ca="1" si="34"/>
        <v/>
      </c>
      <c r="O560" t="b" cm="1">
        <f t="array" aca="1" ref="O560" ca="1">IF(NOT(ISBLANK(INDIRECT("SEM_IV!R"&amp;INT((ROW(O560)-16)/16)+6))),5,IF(NOT(ISBLANK(INDIRECT("SEM_IV!U"&amp;INT((ROW(O560)-16)/16)+6))),6))</f>
        <v>0</v>
      </c>
      <c r="P560" s="1" t="str">
        <f ca="1">IF(ISERROR(F552),"",IF(ISTEXT(VLOOKUP(B552,INDIRECT($F$8),6+(O560-1)*3)),(VLOOKUP(B552,INDIRECT($F$8),6+(O560-1)*3)),SUM(VLOOKUP(B552,INDIRECT($F$8),6+(O560-1)*3),IF(W564,W560,0))))</f>
        <v/>
      </c>
      <c r="Q560" s="1" t="str">
        <f ca="1">IF(ISERROR(F552),"",VLOOKUP(B552,INDIRECT($F$8),7+(O560-1)*3))</f>
        <v/>
      </c>
      <c r="R560" s="1" t="str">
        <f ca="1">IF(ISERROR(F552),"",SUM(P560:Q560))</f>
        <v/>
      </c>
      <c r="S560" s="1" t="str">
        <f ca="1">IF(ISERROR(F552),"",VLOOKUP(A552,INDIRECT($F$8),6+(O560-1)*3))</f>
        <v/>
      </c>
      <c r="T560" s="1" t="str">
        <f ca="1">IF(ISERROR(F552),"",VLOOKUP(A552,INDIRECT($F$8),7+(O560-1)*3))</f>
        <v/>
      </c>
      <c r="U560" s="1" t="str">
        <f ca="1">IF(ISERROR(F552),"",VLOOKUP(A552,INDIRECT($F$8),8+(O560-1)*3))</f>
        <v/>
      </c>
      <c r="V560" s="1" t="str">
        <f ca="1">IF(ISERROR(F552),"",IF(N560=0,A560,""))</f>
        <v/>
      </c>
      <c r="W560" s="1" t="str">
        <f ca="1">IF(ISERROR(F552),"",IF(ISTEXT(VLOOKUP(B552,INDIRECT($F$8),6+(O560-1)*3)),11,IF(VLOOKUP(B552,INDIRECT($F$8),6+(O560-1)*3)&lt;S560*0.3,IF(VLOOKUP(B552,INDIRECT($F$8),8+(O560-1)*3)&lt;U560*0.4,IF(AND(0.4*U560-VLOOKUP(B552,INDIRECT($F$8),8+(O560-1)*3)&lt;=5,0.3*S560-VLOOKUP(B552,INDIRECT($F$8),6+(O560-1)*3)&lt;=5),MAX(0.4*U560-VLOOKUP(B552,INDIRECT($F$8),8+(O560-1)*3),0.3*S560-VLOOKUP(B552,INDIRECT($F$8),6+(O560-1)*3)),11),IF(0.3*S560-VLOOKUP(B552,INDIRECT($F$8),6+(O560-1)*3)&lt;=5,0.3*S560-VLOOKUP(B552,INDIRECT($F$8),6+(O560-1)*3),11)),IF(VLOOKUP(B552,INDIRECT($F$8),8+(O560-1)*3)&lt;U560*0.4,IF(U560*0.4-VLOOKUP(B552,INDIRECT($F$8),8+(O560-1)*3)&lt;=5,U560*0.4-VLOOKUP(B552,INDIRECT($F$8),8+(O560-1)*3),11),0))))</f>
        <v/>
      </c>
      <c r="X560" s="1" t="str">
        <f ca="1">IF(ISERROR(F552),"",IF(W560=0,"",_xlfn.TEXTJOIN("",FALSE," G+",W560," in ",A560)))</f>
        <v/>
      </c>
    </row>
    <row r="561" spans="1:24" ht="12.75" customHeight="1" x14ac:dyDescent="0.2">
      <c r="A561" s="7" t="str">
        <f ca="1">IF(ISERROR(F552),"",VLOOKUP(C552,INDIRECT($F$8),6+(O561-1)*3,0))</f>
        <v/>
      </c>
      <c r="B561" s="41" t="str">
        <f ca="1">IF(ISERROR(F552),"",VLOOKUP(D552,INDIRECT($F$8),6+(O561-1)*3,0))</f>
        <v/>
      </c>
      <c r="C561" s="41"/>
      <c r="D561" s="41"/>
      <c r="E561" s="41"/>
      <c r="F561" s="7" t="str">
        <f ca="1">IF(ISERROR(F552),"",VLOOKUP(E552,INDIRECT($F$8),6+(O561-1)*3,0))</f>
        <v/>
      </c>
      <c r="G561" s="42" t="str">
        <f ca="1">IF(ISERROR(F552),"",_xlfn.TEXTJOIN("/",FALSE,P561,S561))</f>
        <v/>
      </c>
      <c r="H561" s="42"/>
      <c r="I561" s="42" t="str">
        <f ca="1">IF(ISERROR(F552),"",_xlfn.TEXTJOIN("/",FALSE,Q561,T561))</f>
        <v/>
      </c>
      <c r="J561" s="42"/>
      <c r="K561" s="42" t="str">
        <f ca="1">IF(ISERROR(F552),"",_xlfn.TEXTJOIN("/",FALSE,R561,U561))</f>
        <v/>
      </c>
      <c r="L561" s="42"/>
      <c r="M561" s="7" t="str">
        <f ca="1">IF(ISERROR(F552),"",IF(ISTEXT(P561),IF(P561="A","Ab",IF(P561="D","Dt",IF(P561="UFM","UFM",IF(P561="NA","")))),IF(AND(ISBLANK(P561),ISBLANK(R561)),"",IF(P561&lt;0.3*S561,"F",IF(ISBLANK(R561),"",IF(ISTEXT(R561),R561,IF(R561&gt;=0.9*U561,"O",IF(R561&gt;=0.85*U561,"A+",IF(R561&gt;=0.8*U561,"A",IF(R561&gt;=0.7*U561,"B+",IF(R561&gt;=0.6*U561,"B",IF(R561&gt;=0.5*U561,"C",IF(R561&gt;=0.4*U561,"P",IF(R561&lt;0.4*U561,"F",R561))))))))))))))</f>
        <v/>
      </c>
      <c r="N561" s="8" t="str">
        <f t="shared" ca="1" si="34"/>
        <v/>
      </c>
      <c r="O561">
        <f ca="1">IF(O560&gt;0,7,"")</f>
        <v>7</v>
      </c>
      <c r="P561" s="1" t="str">
        <f ca="1">IF(ISERROR(F552),"",IF(ISTEXT(VLOOKUP(B552,INDIRECT($F$8),6+(O561-1)*3)),(VLOOKUP(B552,INDIRECT($F$8),6+(O561-1)*3)),SUM(VLOOKUP(B552,INDIRECT($F$8),6+(O561-1)*3),IF(W564,W561,0))))</f>
        <v/>
      </c>
      <c r="Q561" s="1" t="str">
        <f ca="1">IF(ISERROR(F552),"",VLOOKUP(B552,INDIRECT($F$8),7+(O561-1)*3))</f>
        <v/>
      </c>
      <c r="R561" s="1" t="str">
        <f ca="1">IF(ISERROR(F552),"",SUM(P561:Q561))</f>
        <v/>
      </c>
      <c r="S561" s="1" t="str">
        <f ca="1">IF(ISERROR(F552),"",VLOOKUP(A552,INDIRECT($F$8),6+(O561-1)*3))</f>
        <v/>
      </c>
      <c r="T561" s="1" t="str">
        <f ca="1">IF(ISERROR(F552),"",VLOOKUP(A552,INDIRECT($F$8),7+(O561-1)*3))</f>
        <v/>
      </c>
      <c r="U561" s="1" t="str">
        <f ca="1">IF(ISERROR(F552),"",VLOOKUP(A552,INDIRECT($F$8),8+(O561-1)*3))</f>
        <v/>
      </c>
      <c r="V561" s="1" t="str">
        <f ca="1">IF(ISERROR(F552),"",IF(N561=0,A561,""))</f>
        <v/>
      </c>
      <c r="W561" s="1" t="str">
        <f ca="1">IF(ISERROR(F552),"",IF(ISTEXT(VLOOKUP(B552,INDIRECT($F$8),6+(O561-1)*3)),11,IF(VLOOKUP(B552,INDIRECT($F$8),6+(O561-1)*3)&lt;S561*0.3,IF(VLOOKUP(B552,INDIRECT($F$8),8+(O561-1)*3)&lt;U561*0.4,IF(AND(0.4*U561-VLOOKUP(B552,INDIRECT($F$8),8+(O561-1)*3)&lt;=5,0.3*S561-VLOOKUP(B552,INDIRECT($F$8),6+(O561-1)*3)&lt;=5),MAX(0.4*U561-VLOOKUP(B552,INDIRECT($F$8),8+(O561-1)*3),0.3*S561-VLOOKUP(B552,INDIRECT($F$8),6+(O561-1)*3)),11),IF(0.3*S561-VLOOKUP(B552,INDIRECT($F$8),6+(O561-1)*3)&lt;=5,0.3*S561-VLOOKUP(B552,INDIRECT($F$8),6+(O561-1)*3),11)),IF(VLOOKUP(B552,INDIRECT($F$8),8+(O561-1)*3)&lt;U561*0.4,IF(U561*0.4-VLOOKUP(B552,INDIRECT($F$8),8+(O561-1)*3)&lt;=5,U561*0.4-VLOOKUP(B552,INDIRECT($F$8),8+(O561-1)*3),11),0))))</f>
        <v/>
      </c>
      <c r="X561" s="1" t="str">
        <f ca="1">IF(ISERROR(F552),"",IF(W561=0,"",_xlfn.TEXTJOIN("",FALSE," G+",W561," in ",A561)))</f>
        <v/>
      </c>
    </row>
    <row r="562" spans="1:24" ht="12.75" customHeight="1" x14ac:dyDescent="0.2">
      <c r="A562" s="7" t="str">
        <f ca="1">IF(ISERROR(F552),"",VLOOKUP(C552,INDIRECT($F$8),6+(O562-1)*3,0))</f>
        <v/>
      </c>
      <c r="B562" s="41" t="str">
        <f ca="1">IF(ISERROR(F552),"",VLOOKUP(D552,INDIRECT($F$8),6+(O562-1)*3,0))</f>
        <v/>
      </c>
      <c r="C562" s="41"/>
      <c r="D562" s="41"/>
      <c r="E562" s="41"/>
      <c r="F562" s="7" t="str">
        <f ca="1">IF(ISERROR(F552),"",VLOOKUP(E552,INDIRECT($F$8),6+(O562-1)*3,0))</f>
        <v/>
      </c>
      <c r="G562" s="42" t="str">
        <f ca="1">IF(ISERROR(F552),"",_xlfn.TEXTJOIN("/",FALSE,P562,S562))</f>
        <v/>
      </c>
      <c r="H562" s="42"/>
      <c r="I562" s="42" t="str">
        <f ca="1">IF(ISERROR(F552),"",_xlfn.TEXTJOIN("/",FALSE,Q562,T562))</f>
        <v/>
      </c>
      <c r="J562" s="42"/>
      <c r="K562" s="42" t="str">
        <f ca="1">IF(ISERROR(F552),"",_xlfn.TEXTJOIN("/",FALSE,R562,U562))</f>
        <v/>
      </c>
      <c r="L562" s="42"/>
      <c r="M562" s="7" t="str">
        <f ca="1">IF(ISERROR(F552),"",IF(ISTEXT(P562),IF(P562="A","Ab",IF(P562="D","Dt",IF(P562="UFM","UFM",IF(P562="NA","")))),IF(AND(ISBLANK(P562),ISBLANK(R562)),"",IF(P562&lt;0.3*S562,"F",IF(ISBLANK(R562),"",IF(ISTEXT(R562),R562,IF(R562&gt;=0.9*U562,"O",IF(R562&gt;=0.85*U562,"A+",IF(R562&gt;=0.8*U562,"A",IF(R562&gt;=0.7*U562,"B+",IF(R562&gt;=0.6*U562,"B",IF(R562&gt;=0.5*U562,"C",IF(R562&gt;=0.4*U562,"P",IF(R562&lt;0.4*U562,"F",R562))))))))))))))</f>
        <v/>
      </c>
      <c r="N562" s="8" t="str">
        <f t="shared" ca="1" si="34"/>
        <v/>
      </c>
      <c r="O562" t="b" cm="1">
        <f t="array" aca="1" ref="O562" ca="1">IF(NOT(ISBLANK(INDIRECT("SEM_IV!AA"&amp;INT((ROW(O562)-18)/16)+6))),8,IF(NOT(ISBLANK(INDIRECT("SEM_IV!AD"&amp;INT((ROW(O562)-18)/16)+6))),9))</f>
        <v>0</v>
      </c>
      <c r="P562" s="1" t="str">
        <f ca="1">IF(ISERROR(F552),"",IF(ISTEXT(VLOOKUP(B552,INDIRECT($F$8),6+(O562-1)*3)),(VLOOKUP(B552,INDIRECT($F$8),6+(O562-1)*3)),SUM(VLOOKUP(B552,INDIRECT($F$8),6+(O562-1)*3),IF(W564,W562,0))))</f>
        <v/>
      </c>
      <c r="Q562" s="1" t="str">
        <f ca="1">IF(ISERROR(F552),"",VLOOKUP(B552,INDIRECT($F$8),7+(O562-1)*3))</f>
        <v/>
      </c>
      <c r="R562" s="1" t="str">
        <f ca="1">IF(ISERROR(F552),"",SUM(P562:Q562))</f>
        <v/>
      </c>
      <c r="S562" s="1" t="str">
        <f ca="1">IF(ISERROR(F552),"",VLOOKUP(A552,INDIRECT($F$8),6+(O562-1)*3))</f>
        <v/>
      </c>
      <c r="T562" s="1" t="str">
        <f ca="1">IF(ISERROR(F552),"",VLOOKUP(A552,INDIRECT($F$8),7+(O562-1)*3))</f>
        <v/>
      </c>
      <c r="U562" s="1" t="str">
        <f ca="1">IF(ISERROR(F552),"",VLOOKUP(A552,INDIRECT($F$8),8+(O562-1)*3))</f>
        <v/>
      </c>
      <c r="V562" s="1" t="str">
        <f ca="1">IF(ISERROR(F552),"",IF(N562=0,A562,""))</f>
        <v/>
      </c>
      <c r="W562" s="1" t="str">
        <f ca="1">IF(ISERROR(F552),"",IF(ISTEXT(VLOOKUP(B552,INDIRECT($F$8),6+(O562-1)*3)),11,IF(VLOOKUP(B552,INDIRECT($F$8),6+(O562-1)*3)&lt;S562*0.3,IF(VLOOKUP(B552,INDIRECT($F$8),8+(O562-1)*3)&lt;U562*0.4,IF(AND(0.4*U562-VLOOKUP(B552,INDIRECT($F$8),8+(O562-1)*3)&lt;=5,0.3*S562-VLOOKUP(B552,INDIRECT($F$8),6+(O562-1)*3)&lt;=5),MAX(0.4*U562-VLOOKUP(B552,INDIRECT($F$8),8+(O562-1)*3),0.3*S562-VLOOKUP(B552,INDIRECT($F$8),6+(O562-1)*3)),11),IF(0.3*S562-VLOOKUP(B552,INDIRECT($F$8),6+(O562-1)*3)&lt;=5,0.3*S562-VLOOKUP(B552,INDIRECT($F$8),6+(O562-1)*3),11)),IF(VLOOKUP(B552,INDIRECT($F$8),8+(O562-1)*3)&lt;U562*0.4,IF(U562*0.4-VLOOKUP(B552,INDIRECT($F$8),8+(O562-1)*3)&lt;=5,U562*0.4-VLOOKUP(B552,INDIRECT($F$8),8+(O562-1)*3),11),0))))</f>
        <v/>
      </c>
      <c r="X562" s="1" t="str">
        <f ca="1">IF(ISERROR(F552),"",IF(W562=0,"",_xlfn.TEXTJOIN("",FALSE," G+",W562," in ",A562)))</f>
        <v/>
      </c>
    </row>
    <row r="563" spans="1:24" ht="12.75" customHeight="1" x14ac:dyDescent="0.2">
      <c r="A563" s="7" t="str">
        <f ca="1">IF(ISERROR(F552),"",VLOOKUP(C552,INDIRECT($F$8),6+(O563-1)*3,0))</f>
        <v/>
      </c>
      <c r="B563" s="41" t="str">
        <f ca="1">IF(ISERROR(F552),"",VLOOKUP(D552,INDIRECT($F$8),6+(O563-1)*3-Z563,0))</f>
        <v/>
      </c>
      <c r="C563" s="41"/>
      <c r="D563" s="41"/>
      <c r="E563" s="41"/>
      <c r="F563" s="7" t="str">
        <f ca="1">IF(ISERROR(F552),"",VLOOKUP(E552,INDIRECT($F$8),6+(O563-1)*3,0))</f>
        <v/>
      </c>
      <c r="G563" s="42" t="str">
        <f ca="1">IF(ISERROR(F552),"",_xlfn.TEXTJOIN("/",FALSE,P563,S563))</f>
        <v/>
      </c>
      <c r="H563" s="42"/>
      <c r="I563" s="42" t="str">
        <f ca="1">IF(ISERROR(F552),"",_xlfn.TEXTJOIN("/",FALSE,Q563,T563))</f>
        <v/>
      </c>
      <c r="J563" s="42"/>
      <c r="K563" s="42" t="str">
        <f ca="1">IF(ISERROR(F552),"",_xlfn.TEXTJOIN("/",FALSE,R563,U563))</f>
        <v/>
      </c>
      <c r="L563" s="42"/>
      <c r="M563" s="7" t="str">
        <f ca="1">IF(ISERROR(F552),"",IF(ISTEXT(P563),IF(P563="A","Ab",IF(P563="D","Dt",IF(P563="UFM","UFM",IF(P563="NA","")))),IF(AND(ISBLANK(P563),ISBLANK(R563)),"",IF(P563&lt;0.3*S563,"F",IF(ISBLANK(R563),"",IF(ISTEXT(R563),R563,IF(R563&gt;=0.9*U563,"O",IF(R563&gt;=0.85*U563,"A+",IF(R563&gt;=0.8*U563,"A",IF(R563&gt;=0.7*U563,"B+",IF(R563&gt;=0.6*U563,"B",IF(R563&gt;=0.5*U563,"C",IF(R563&gt;=0.4*U563,"P",IF(R563&lt;0.4*U563,"F",R563))))))))))))))</f>
        <v/>
      </c>
      <c r="N563" s="8" t="str">
        <f t="shared" ca="1" si="34"/>
        <v/>
      </c>
      <c r="O563">
        <f ca="1">IF(O562&gt;0,10,"")</f>
        <v>10</v>
      </c>
      <c r="P563" s="1" t="str">
        <f ca="1">IF(ISERROR(F552),"",IF(ISTEXT(VLOOKUP(B552,INDIRECT($F$8),6+(O563-1)*3)),(VLOOKUP(B552,INDIRECT($F$8),6+(O563-1)*3)),SUM(VLOOKUP(B552,INDIRECT($F$8),6+(O563-1)*3),IF(W564,W563,0))))</f>
        <v/>
      </c>
      <c r="Q563" s="1" t="str">
        <f ca="1">IF(ISERROR(F552),"",VLOOKUP(B552,INDIRECT($F$8),7+(O563-1)*3))</f>
        <v/>
      </c>
      <c r="R563" s="1" t="str">
        <f ca="1">IF(ISERROR(F552),"",SUM(P563:Q563))</f>
        <v/>
      </c>
      <c r="S563" s="1" t="str">
        <f ca="1">IF(ISERROR(F552),"",VLOOKUP(A552,INDIRECT($F$8),6+(O563-1)*3))</f>
        <v/>
      </c>
      <c r="T563" s="1" t="str">
        <f ca="1">IF(ISERROR(F552),"",VLOOKUP(A552,INDIRECT($F$8),7+(O563-1)*3))</f>
        <v/>
      </c>
      <c r="U563" s="1" t="str">
        <f ca="1">IF(ISERROR(F552),"",VLOOKUP(A552,INDIRECT($F$8),8+(O563-1)*3))</f>
        <v/>
      </c>
      <c r="V563" s="1" t="str">
        <f ca="1">IF(ISERROR(F552),"",IF(N563=0,A563,""))</f>
        <v/>
      </c>
      <c r="W563" s="1" t="str">
        <f ca="1">IF(ISERROR(F552),"",IF(ISTEXT(VLOOKUP(B552,INDIRECT($F$8),6+(O563-1)*3)),11,IF(VLOOKUP(B552,INDIRECT($F$8),6+(O563-1)*3)&lt;S563*0.3,IF(VLOOKUP(B552,INDIRECT($F$8),8+(O563-1)*3)&lt;U563*0.4,IF(AND(0.4*U563-VLOOKUP(B552,INDIRECT($F$8),8+(O563-1)*3)&lt;=5,0.3*S563-VLOOKUP(B552,INDIRECT($F$8),6+(O563-1)*3)&lt;=5),MAX(0.4*U563-VLOOKUP(B552,INDIRECT($F$8),8+(O563-1)*3),0.3*S563-VLOOKUP(B552,INDIRECT($F$8),6+(O563-1)*3)),11),IF(0.3*S563-VLOOKUP(B552,INDIRECT($F$8),6+(O563-1)*3)&lt;=5,0.3*S563-VLOOKUP(B552,INDIRECT($F$8),6+(O563-1)*3),11)),IF(VLOOKUP(B552,INDIRECT($F$8),8+(O563-1)*3)&lt;U563*0.4,IF(U563*0.4-VLOOKUP(B552,INDIRECT($F$8),8+(O563-1)*3)&lt;=5,U563*0.4-VLOOKUP(B552,INDIRECT($F$8),8+(O563-1)*3),11),0))))</f>
        <v/>
      </c>
      <c r="X563" s="1" t="str">
        <f ca="1">IF(ISERROR(F552),"",IF(W563=0,"",_xlfn.TEXTJOIN("",FALSE," G+",W563," in ",A563)))</f>
        <v/>
      </c>
    </row>
    <row r="564" spans="1:24" ht="12.75" customHeight="1" x14ac:dyDescent="0.2">
      <c r="A564" s="43" t="str">
        <f ca="1">IF(ISERROR(F552),"",A548)</f>
        <v/>
      </c>
      <c r="B564" s="43"/>
      <c r="C564" s="43"/>
      <c r="D564" s="43"/>
      <c r="E564" s="43"/>
      <c r="F564" s="10" t="str">
        <f ca="1">IF(ISERROR(F552),"",SUM(F557:F563))</f>
        <v/>
      </c>
      <c r="G564" s="44" t="str">
        <f ca="1">IF(ISERROR(F552),"",_xlfn.TEXTJOIN("/",TRUE,SUMIF(F557:F563,"&gt;0",P557:P563),SUMIF(F557:F563,"&gt;0",S557:S563)))</f>
        <v/>
      </c>
      <c r="H564" s="44"/>
      <c r="I564" s="44" t="str">
        <f ca="1">IF(ISERROR(F552),"",_xlfn.TEXTJOIN("/",TRUE,SUMIF(F557:F563,"&gt;0",Q557:Q563),SUMIF(F557:F563,"&gt;0",T557:T563)))</f>
        <v/>
      </c>
      <c r="J564" s="44"/>
      <c r="K564" s="44" t="str">
        <f ca="1">IF(ISERROR(F552),"",_xlfn.TEXTJOIN("/",TRUE,SUMIF(F557:F563,"&gt;0",R557:R563),SUMIF(F557:F563,"&gt;0",U557:U563)))</f>
        <v/>
      </c>
      <c r="L564" s="44"/>
      <c r="M564" s="43" t="str">
        <f ca="1">IF(ISERROR(F552),"",SUMPRODUCT(N557:N563,F557:F563))</f>
        <v/>
      </c>
      <c r="N564" s="43"/>
      <c r="V564" s="1" t="str">
        <f ca="1">IF(ISERROR(F552),"",_xlfn.TEXTJOIN(", ",TRUE,V557:V563))</f>
        <v/>
      </c>
      <c r="W564" t="str">
        <f ca="1">IF(ISERROR(F552),"",IF(SUM(W557:W563)&lt;=W556,TRUE,FALSE))</f>
        <v/>
      </c>
      <c r="X564" s="1" t="str">
        <f ca="1">IF(ISERROR(F552),"",_xlfn.TEXTJOIN(",",TRUE,X557:X563))</f>
        <v/>
      </c>
    </row>
    <row r="565" spans="1:24" ht="12.75" customHeight="1" x14ac:dyDescent="0.2">
      <c r="A565" s="43" t="str">
        <f ca="1">IF(ISERROR(F552),"",A549)</f>
        <v/>
      </c>
      <c r="B565" s="45" t="str">
        <f ca="1">IF(ISERROR(F552),"",IF(V564="","PASS","CARRY OVER"))</f>
        <v/>
      </c>
      <c r="C565" s="45"/>
      <c r="D565" s="43" t="str">
        <f ca="1">IF(ISERROR(F552),"",D549)</f>
        <v/>
      </c>
      <c r="E565" s="45" t="str">
        <f ca="1">IF(ISERROR(F552),"",IF(V564="",IF(X564="","",X564),_xlfn.TEXTJOIN(" ",TRUE,"BACK IN",V564)))</f>
        <v/>
      </c>
      <c r="F565" s="45"/>
      <c r="G565" s="43" t="str">
        <f ca="1">IF(ISERROR(F552),"",G549)</f>
        <v/>
      </c>
      <c r="H565" s="46" t="str">
        <f ca="1">IF(ISERROR(F552),"",M564/F564)</f>
        <v/>
      </c>
      <c r="I565" s="43" t="str">
        <f ca="1">IF(ISERROR(F552),"",I549)</f>
        <v/>
      </c>
      <c r="J565" s="46" t="str">
        <f ca="1">IF(ISERROR(F552),"",VLOOKUP(B552,INDIRECT($F$8),12+(O563-1)*3,0))</f>
        <v/>
      </c>
      <c r="K565" s="45" t="str">
        <f ca="1">IF(ISERROR(F552),"",K549)</f>
        <v/>
      </c>
      <c r="L565" s="43" t="str">
        <f ca="1">IF(ISERROR(F552),"",SUMIF(N557:N563,"&gt;0",F557:F563))</f>
        <v/>
      </c>
      <c r="M565" s="45" t="str">
        <f ca="1">IF(ISERROR(F552),"",M549)</f>
        <v/>
      </c>
      <c r="N565" s="43" t="str">
        <f ca="1">IF(ISERROR(F552),"",VLOOKUP(B552,INDIRECT($F$8),10+(O563-1)*3,0))</f>
        <v/>
      </c>
    </row>
    <row r="566" spans="1:24" ht="12.75" customHeight="1" x14ac:dyDescent="0.2">
      <c r="A566" s="43"/>
      <c r="B566" s="45"/>
      <c r="C566" s="45"/>
      <c r="D566" s="43"/>
      <c r="E566" s="45"/>
      <c r="F566" s="45"/>
      <c r="G566" s="43"/>
      <c r="H566" s="46"/>
      <c r="I566" s="43"/>
      <c r="J566" s="46"/>
      <c r="K566" s="45"/>
      <c r="L566" s="43"/>
      <c r="M566" s="45"/>
      <c r="N566" s="43"/>
    </row>
    <row r="567" spans="1:24" ht="12.75" customHeight="1" x14ac:dyDescent="0.2">
      <c r="A567" s="43"/>
      <c r="B567" s="45"/>
      <c r="C567" s="45"/>
      <c r="D567" s="43"/>
      <c r="E567" s="45"/>
      <c r="F567" s="45"/>
      <c r="G567" s="43"/>
      <c r="H567" s="46"/>
      <c r="I567" s="43"/>
      <c r="J567" s="46"/>
      <c r="K567" s="45"/>
      <c r="L567" s="43"/>
      <c r="M567" s="45"/>
      <c r="N567" s="43"/>
    </row>
    <row r="568" spans="1:24" ht="12.75" customHeight="1" x14ac:dyDescent="0.2">
      <c r="A568" s="11" t="str">
        <f>A552</f>
        <v>MM</v>
      </c>
      <c r="B568" s="11">
        <f>B552+1</f>
        <v>36</v>
      </c>
      <c r="C568" s="11" t="str">
        <f>C552</f>
        <v>SC</v>
      </c>
      <c r="D568" s="11" t="str">
        <f>D552</f>
        <v>SN</v>
      </c>
      <c r="E568" s="11" t="str">
        <f>E552</f>
        <v>C</v>
      </c>
      <c r="F568" s="11" t="e">
        <f ca="1">VLOOKUP(B568,INDIRECT($F$8),4,0)</f>
        <v>#N/A</v>
      </c>
    </row>
    <row r="569" spans="1:24" ht="12.75" customHeight="1" x14ac:dyDescent="0.2">
      <c r="A569" s="47" t="str">
        <f ca="1">IF(ISERROR(F568),"",A553)</f>
        <v/>
      </c>
      <c r="B569" s="47" t="str">
        <f ca="1">IFERROR(VLOOKUP(B568,INDIRECT($F$8),4,0),"")</f>
        <v/>
      </c>
      <c r="C569" s="47"/>
      <c r="D569" s="47" t="str">
        <f ca="1">IF(ISERROR(F568),"",D553)</f>
        <v/>
      </c>
      <c r="E569" s="47" t="str">
        <f ca="1">IFERROR(VLOOKUP(B568,INDIRECT($F$8),5,0),"")</f>
        <v/>
      </c>
      <c r="F569" s="47"/>
      <c r="G569" s="47" t="str">
        <f ca="1">IF(ISERROR(F568),"",G553)</f>
        <v/>
      </c>
      <c r="H569" s="47"/>
      <c r="I569" s="48" t="str">
        <f ca="1">IFERROR(VLOOKUP(B568,INDIRECT($F$8),2,0),"")</f>
        <v/>
      </c>
      <c r="J569" s="48"/>
      <c r="K569" s="47" t="str">
        <f ca="1">IF(ISERROR(F568),"",K553)</f>
        <v/>
      </c>
      <c r="L569" s="47"/>
      <c r="M569" s="48" t="str">
        <f ca="1">IFERROR(VLOOKUP(B568,INDIRECT($F$8),3,0),"")</f>
        <v/>
      </c>
      <c r="N569" s="48"/>
    </row>
    <row r="570" spans="1:24" ht="12.75" customHeight="1" x14ac:dyDescent="0.2">
      <c r="A570" s="47"/>
      <c r="B570" s="47"/>
      <c r="C570" s="47"/>
      <c r="D570" s="47"/>
      <c r="E570" s="47"/>
      <c r="F570" s="47"/>
      <c r="G570" s="47"/>
      <c r="H570" s="47"/>
      <c r="I570" s="48"/>
      <c r="J570" s="48"/>
      <c r="K570" s="47"/>
      <c r="L570" s="47"/>
      <c r="M570" s="48"/>
      <c r="N570" s="48"/>
    </row>
    <row r="571" spans="1:24" ht="12.75" customHeight="1" x14ac:dyDescent="0.2">
      <c r="A571" s="45" t="str">
        <f ca="1">IF(ISERROR(F568),"",A555)</f>
        <v/>
      </c>
      <c r="B571" s="45" t="str">
        <f ca="1">IF(ISERROR(F568),"",B555)</f>
        <v/>
      </c>
      <c r="C571" s="45"/>
      <c r="D571" s="45"/>
      <c r="E571" s="45"/>
      <c r="F571" s="45" t="str">
        <f ca="1">IF(ISERROR(F568),"",F555)</f>
        <v/>
      </c>
      <c r="G571" s="45" t="str">
        <f ca="1">IF(ISERROR(F568),"",G555)</f>
        <v/>
      </c>
      <c r="H571" s="45"/>
      <c r="I571" s="45" t="str">
        <f ca="1">IF(ISERROR(F568),"",I555)</f>
        <v/>
      </c>
      <c r="J571" s="45"/>
      <c r="K571" s="45" t="str">
        <f ca="1">IF(ISERROR(F568),"",K555)</f>
        <v/>
      </c>
      <c r="L571" s="45"/>
      <c r="M571" s="45" t="str">
        <f ca="1">IF(ISERROR(F568),"",M555)</f>
        <v/>
      </c>
      <c r="N571" s="45" t="str">
        <f ca="1">IF(ISERROR(F568),"",N555)</f>
        <v/>
      </c>
    </row>
    <row r="572" spans="1:24" ht="12.75" customHeight="1" x14ac:dyDescent="0.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W572" t="e">
        <f ca="1">IF(ISNUMBER(MATCH($F$8,{"I","III","V","VII"},0)),10,10-INDEX(INDIRECT(_xlfn.TEXTJOIN("",TRUE,"SEM_",$G$8,"!",ADDRESS(6,4+$I$8*3+4),":",ADDRESS(5+$H$8,4+$I$8*3+4))),MATCH(INDIRECT(_xlfn.TEXTJOIN("",TRUE,"TC_",$F$8,"!",ADDRESS(ROW(I569),COLUMN(I569)))),INDIRECT(_xlfn.TEXTJOIN("",TRUE,"SEM_",$G$8,"!",ADDRESS(6,2),":",ADDRESS(5+$H$8,2))))))</f>
        <v>#N/A</v>
      </c>
    </row>
    <row r="573" spans="1:24" ht="12.75" customHeight="1" x14ac:dyDescent="0.2">
      <c r="A573" s="7" t="str">
        <f ca="1">IF(ISERROR(F568),"",VLOOKUP(C568,INDIRECT($F$8),6+(O573-1)*3,0))</f>
        <v/>
      </c>
      <c r="B573" s="41" t="str">
        <f ca="1">IF(ISERROR(F568),"",VLOOKUP(D568,INDIRECT($F$8),6+(O573-1)*3,0))</f>
        <v/>
      </c>
      <c r="C573" s="41"/>
      <c r="D573" s="41"/>
      <c r="E573" s="41"/>
      <c r="F573" s="7" t="str">
        <f ca="1">IF(ISERROR(F568),"",VLOOKUP(E568,INDIRECT($F$8),6+(O573-1)*3,0))</f>
        <v/>
      </c>
      <c r="G573" s="42" t="str">
        <f ca="1">IF(ISERROR(F568),"",_xlfn.TEXTJOIN("/",FALSE,P573,S573))</f>
        <v/>
      </c>
      <c r="H573" s="42"/>
      <c r="I573" s="42" t="str">
        <f ca="1">IF(ISERROR(F568),"",_xlfn.TEXTJOIN("/",FALSE,Q573,T573))</f>
        <v/>
      </c>
      <c r="J573" s="42"/>
      <c r="K573" s="42" t="str">
        <f ca="1">IF(ISERROR(F568),"",_xlfn.TEXTJOIN("/",FALSE,R573,U573))</f>
        <v/>
      </c>
      <c r="L573" s="42"/>
      <c r="M573" s="7" t="str">
        <f ca="1">IF(ISERROR(F568),"",IF(ISTEXT(P573),IF(P573="A","Ab",IF(P573="D","Dt",IF(P573="UFM","UFM",IF(P573="NA","")))),IF(AND(ISBLANK(P573),ISBLANK(R573)),"",IF(P573&lt;0.3*S573,"F",IF(ISBLANK(R573),"",IF(ISTEXT(R573),R573,IF(R573&gt;=0.9*U573,"O",IF(R573&gt;=0.85*U573,"A+",IF(R573&gt;=0.8*U573,"A",IF(R573&gt;=0.7*U573,"B+",IF(R573&gt;=0.6*U573,"B",IF(R573&gt;=0.5*U573,"C",IF(R573&gt;=0.4*U573,"P",IF(R573&lt;0.4*U573,"F",R573))))))))))))))</f>
        <v/>
      </c>
      <c r="N573" s="8" t="str">
        <f t="shared" ref="N573:N579" ca="1" si="35">INDEX($Z$2:$Z$13,MATCH(M573,$Y$2:$Y$13,0))</f>
        <v/>
      </c>
      <c r="O573">
        <v>1</v>
      </c>
      <c r="P573" s="1" t="str">
        <f ca="1">IF(ISERROR(F568),"",IF(ISTEXT(VLOOKUP(B568,INDIRECT($F$8),6+(O573-1)*3)),(VLOOKUP(B568,INDIRECT($F$8),6+(O573-1)*3)),SUM(VLOOKUP(B568,INDIRECT($F$8),6+(O573-1)*3),IF(W580,W573,0))))</f>
        <v/>
      </c>
      <c r="Q573" s="1" t="str">
        <f ca="1">IF(ISERROR(F568),"",VLOOKUP(B568,INDIRECT($F$8),7+(O573-1)*3))</f>
        <v/>
      </c>
      <c r="R573" s="1" t="str">
        <f ca="1">IF(ISERROR(F568),"",SUM(P573:Q573))</f>
        <v/>
      </c>
      <c r="S573" s="1" t="str">
        <f ca="1">IF(ISERROR(F568),"",VLOOKUP(A568,INDIRECT($F$8),6+(O573-1)*3))</f>
        <v/>
      </c>
      <c r="T573" s="1" t="str">
        <f ca="1">IF(ISERROR(F568),"",VLOOKUP(A568,INDIRECT($F$8),7+(O573-1)*3))</f>
        <v/>
      </c>
      <c r="U573" s="1" t="str">
        <f ca="1">IF(ISERROR(F568),"",VLOOKUP(A568,INDIRECT($F$8),8+(O573-1)*3))</f>
        <v/>
      </c>
      <c r="V573" s="1" t="str">
        <f ca="1">IF(ISERROR(F568),"",IF(N573=0,A573,""))</f>
        <v/>
      </c>
      <c r="W573" s="1" t="str">
        <f ca="1">IF(ISERROR(F568),"",IF(ISTEXT(VLOOKUP(B568,INDIRECT($F$8),6+(O573-1)*3)),11,IF(VLOOKUP(B568,INDIRECT($F$8),6+(O573-1)*3)&lt;S573*0.3,IF(VLOOKUP(B568,INDIRECT($F$8),8+(O573-1)*3)&lt;U573*0.4,IF(AND(0.4*U573-VLOOKUP(B568,INDIRECT($F$8),8+(O573-1)*3)&lt;=5,0.3*S573-VLOOKUP(B568,INDIRECT($F$8),6+(O573-1)*3)&lt;=5),MAX(0.4*U573-VLOOKUP(B568,INDIRECT($F$8),8+(O573-1)*3),0.3*S573-VLOOKUP(B568,INDIRECT($F$8),6+(O573-1)*3)),11),IF(0.3*S573-VLOOKUP(B568,INDIRECT($F$8),6+(O573-1)*3)&lt;=5,0.3*S573-VLOOKUP(B568,INDIRECT($F$8),6+(O573-1)*3),11)),IF(VLOOKUP(B568,INDIRECT($F$8),8+(O573-1)*3)&lt;U573*0.4,IF(U573*0.4-VLOOKUP(B568,INDIRECT($F$8),8+(O573-1)*3)&lt;=5,U573*0.4-VLOOKUP(B568,INDIRECT($F$8),8+(O573-1)*3),11),0))))</f>
        <v/>
      </c>
      <c r="X573" s="1" t="str">
        <f ca="1">IF(ISERROR(F568),"",IF(W573=0,"",_xlfn.TEXTJOIN("",FALSE," G+",W573," in ",A573)))</f>
        <v/>
      </c>
    </row>
    <row r="574" spans="1:24" ht="12.75" customHeight="1" x14ac:dyDescent="0.2">
      <c r="A574" s="7" t="str">
        <f ca="1">IF(ISERROR(F568),"",VLOOKUP(C568,INDIRECT($F$8),6+(O574-1)*3,0))</f>
        <v/>
      </c>
      <c r="B574" s="41" t="str">
        <f ca="1">IF(ISERROR(F568),"",VLOOKUP(D568,INDIRECT($F$8),6+(O574-1)*3,0))</f>
        <v/>
      </c>
      <c r="C574" s="41"/>
      <c r="D574" s="41"/>
      <c r="E574" s="41"/>
      <c r="F574" s="7" t="str">
        <f ca="1">IF(ISERROR(F568),"",VLOOKUP(E568,INDIRECT($F$8),6+(O574-1)*3,0))</f>
        <v/>
      </c>
      <c r="G574" s="42" t="str">
        <f ca="1">IF(ISERROR(F568),"",_xlfn.TEXTJOIN("/",FALSE,P574,S574))</f>
        <v/>
      </c>
      <c r="H574" s="42"/>
      <c r="I574" s="42" t="str">
        <f ca="1">IF(ISERROR(F568),"",_xlfn.TEXTJOIN("/",FALSE,Q574,T574))</f>
        <v/>
      </c>
      <c r="J574" s="42"/>
      <c r="K574" s="42" t="str">
        <f ca="1">IF(ISERROR(F568),"",_xlfn.TEXTJOIN("/",FALSE,R574,U574))</f>
        <v/>
      </c>
      <c r="L574" s="42"/>
      <c r="M574" s="7" t="str">
        <f ca="1">IF(ISERROR(F568),"",IF(ISTEXT(P574),IF(P574="A","Ab",IF(P574="D","Dt",IF(P574="UFM","UFM",IF(P574="NA","")))),IF(AND(ISBLANK(P574),ISBLANK(R574)),"",IF(P574&lt;0.3*S574,"F",IF(ISBLANK(R574),"",IF(ISTEXT(R574),R574,IF(R574&gt;=0.9*U574,"O",IF(R574&gt;=0.85*U574,"A+",IF(R574&gt;=0.8*U574,"A",IF(R574&gt;=0.7*U574,"B+",IF(R574&gt;=0.6*U574,"B",IF(R574&gt;=0.5*U574,"C",IF(R574&gt;=0.4*U574,"P",IF(R574&lt;0.4*U574,"F",R574))))))))))))))</f>
        <v/>
      </c>
      <c r="N574" s="8" t="str">
        <f t="shared" ca="1" si="35"/>
        <v/>
      </c>
      <c r="O574" t="b" cm="1">
        <f t="array" aca="1" ref="O574" ca="1">IF(NOT(ISBLANK(INDIRECT("SEM_IV!I"&amp;INT((ROW(O574)-14)/16)+6))),2,IF(NOT(ISBLANK(INDIRECT("SEM_IV!L"&amp;INT((ROW(O574)-14)/16)+6))),3))</f>
        <v>0</v>
      </c>
      <c r="P574" s="1" t="str">
        <f ca="1">IF(ISERROR(F568),"",IF(ISTEXT(VLOOKUP(B568,INDIRECT($F$8),6+(O574-1)*3)),(VLOOKUP(B568,INDIRECT($F$8),6+(O574-1)*3)),SUM(VLOOKUP(B568,INDIRECT($F$8),6+(O574-1)*3),IF(W580,W574,0))))</f>
        <v/>
      </c>
      <c r="Q574" s="1" t="str">
        <f ca="1">IF(ISERROR(F568),"",VLOOKUP(B568,INDIRECT($F$8),7+(O574-1)*3))</f>
        <v/>
      </c>
      <c r="R574" s="1" t="str">
        <f ca="1">IF(ISERROR(F568),"",SUM(P574:Q574))</f>
        <v/>
      </c>
      <c r="S574" s="1" t="str">
        <f ca="1">IF(ISERROR(F568),"",VLOOKUP(A568,INDIRECT($F$8),6+(O574-1)*3))</f>
        <v/>
      </c>
      <c r="T574" s="1" t="str">
        <f ca="1">IF(ISERROR(F568),"",VLOOKUP(A568,INDIRECT($F$8),7+(O574-1)*3))</f>
        <v/>
      </c>
      <c r="U574" s="1" t="str">
        <f ca="1">IF(ISERROR(F568),"",VLOOKUP(A568,INDIRECT($F$8),8+(O574-1)*3))</f>
        <v/>
      </c>
      <c r="V574" s="1" t="str">
        <f ca="1">IF(ISERROR(F568),"",IF(N574=0,A574,""))</f>
        <v/>
      </c>
      <c r="W574" s="1" t="str">
        <f ca="1">IF(ISERROR(F568),"",IF(ISTEXT(VLOOKUP(B568,INDIRECT($F$8),6+(O574-1)*3)),11,IF(VLOOKUP(B568,INDIRECT($F$8),6+(O574-1)*3)&lt;S574*0.3,IF(VLOOKUP(B568,INDIRECT($F$8),8+(O574-1)*3)&lt;U574*0.4,IF(AND(0.4*U574-VLOOKUP(B568,INDIRECT($F$8),8+(O574-1)*3)&lt;=5,0.3*S574-VLOOKUP(B568,INDIRECT($F$8),6+(O574-1)*3)&lt;=5),MAX(0.4*U574-VLOOKUP(B568,INDIRECT($F$8),8+(O574-1)*3),0.3*S574-VLOOKUP(B568,INDIRECT($F$8),6+(O574-1)*3)),11),IF(0.3*S574-VLOOKUP(B568,INDIRECT($F$8),6+(O574-1)*3)&lt;=5,0.3*S574-VLOOKUP(B568,INDIRECT($F$8),6+(O574-1)*3),11)),IF(VLOOKUP(B568,INDIRECT($F$8),8+(O574-1)*3)&lt;U574*0.4,IF(U574*0.4-VLOOKUP(B568,INDIRECT($F$8),8+(O574-1)*3)&lt;=5,U574*0.4-VLOOKUP(B568,INDIRECT($F$8),8+(O574-1)*3),11),0))))</f>
        <v/>
      </c>
      <c r="X574" s="1" t="str">
        <f ca="1">IF(ISERROR(F568),"",IF(W574=0,"",_xlfn.TEXTJOIN("",FALSE," G+",W574," in ",A574)))</f>
        <v/>
      </c>
    </row>
    <row r="575" spans="1:24" ht="12.75" customHeight="1" x14ac:dyDescent="0.2">
      <c r="A575" s="7" t="str">
        <f ca="1">IF(ISERROR(F568),"",VLOOKUP(C568,INDIRECT($F$8),6+(O575-1)*3,0))</f>
        <v/>
      </c>
      <c r="B575" s="41" t="str">
        <f ca="1">IF(ISERROR(F568),"",VLOOKUP(D568,INDIRECT($F$8),6+(O575-1)*3,0))</f>
        <v/>
      </c>
      <c r="C575" s="41"/>
      <c r="D575" s="41"/>
      <c r="E575" s="41"/>
      <c r="F575" s="7" t="str">
        <f ca="1">IF(ISERROR(F568),"",VLOOKUP(E568,INDIRECT($F$8),6+(O575-1)*3,0))</f>
        <v/>
      </c>
      <c r="G575" s="42" t="str">
        <f ca="1">IF(ISERROR(F568),"",_xlfn.TEXTJOIN("/",FALSE,P575,S575))</f>
        <v/>
      </c>
      <c r="H575" s="42"/>
      <c r="I575" s="42" t="str">
        <f ca="1">IF(ISERROR(F568),"",_xlfn.TEXTJOIN("/",FALSE,Q575,T575))</f>
        <v/>
      </c>
      <c r="J575" s="42"/>
      <c r="K575" s="42" t="str">
        <f ca="1">IF(ISERROR(F568),"",_xlfn.TEXTJOIN("/",FALSE,R575,U575))</f>
        <v/>
      </c>
      <c r="L575" s="42"/>
      <c r="M575" s="7" t="str">
        <f ca="1">IF(ISERROR(F568),"",IF(ISTEXT(P575),IF(P575="A","Ab",IF(P575="D","Dt",IF(P575="UFM","UFM",IF(P575="NA","")))),IF(AND(ISBLANK(P575),ISBLANK(R575)),"",IF(P575&lt;0.3*S575,"F",IF(ISBLANK(R575),"",IF(ISTEXT(R575),R575,IF(R575&gt;=0.9*U575,"O",IF(R575&gt;=0.85*U575,"A+",IF(R575&gt;=0.8*U575,"A",IF(R575&gt;=0.7*U575,"B+",IF(R575&gt;=0.6*U575,"B",IF(R575&gt;=0.5*U575,"C",IF(R575&gt;=0.4*U575,"P",IF(R575&lt;0.4*U575,"F",R575))))))))))))))</f>
        <v/>
      </c>
      <c r="N575" s="8" t="str">
        <f t="shared" ca="1" si="35"/>
        <v/>
      </c>
      <c r="O575">
        <f ca="1">IF(O574&gt;0,4,"")</f>
        <v>4</v>
      </c>
      <c r="P575" s="1" t="str">
        <f ca="1">IF(ISERROR(F568),"",IF(ISTEXT(VLOOKUP(B568,INDIRECT($F$8),6+(O575-1)*3)),(VLOOKUP(B568,INDIRECT($F$8),6+(O575-1)*3)),SUM(VLOOKUP(B568,INDIRECT($F$8),6+(O575-1)*3),IF(W580,W575,0))))</f>
        <v/>
      </c>
      <c r="Q575" s="1" t="str">
        <f ca="1">IF(ISERROR(F568),"",VLOOKUP(B568,INDIRECT($F$8),7+(O575-1)*3))</f>
        <v/>
      </c>
      <c r="R575" s="1" t="str">
        <f ca="1">IF(ISERROR(F568),"",SUM(P575:Q575))</f>
        <v/>
      </c>
      <c r="S575" s="1" t="str">
        <f ca="1">IF(ISERROR(F568),"",VLOOKUP(A568,INDIRECT($F$8),6+(O575-1)*3))</f>
        <v/>
      </c>
      <c r="T575" s="1" t="str">
        <f ca="1">IF(ISERROR(F568),"",VLOOKUP(A568,INDIRECT($F$8),7+(O575-1)*3))</f>
        <v/>
      </c>
      <c r="U575" s="1" t="str">
        <f ca="1">IF(ISERROR(F568),"",VLOOKUP(A568,INDIRECT($F$8),8+(O575-1)*3))</f>
        <v/>
      </c>
      <c r="V575" s="1" t="str">
        <f ca="1">IF(ISERROR(F568),"",IF(N575=0,A575,""))</f>
        <v/>
      </c>
      <c r="W575" s="1" t="str">
        <f ca="1">IF(ISERROR(F568),"",IF(ISTEXT(VLOOKUP(B568,INDIRECT($F$8),6+(O575-1)*3)),11,IF(VLOOKUP(B568,INDIRECT($F$8),6+(O575-1)*3)&lt;S575*0.3,IF(VLOOKUP(B568,INDIRECT($F$8),8+(O575-1)*3)&lt;U575*0.4,IF(AND(0.4*U575-VLOOKUP(B568,INDIRECT($F$8),8+(O575-1)*3)&lt;=5,0.3*S575-VLOOKUP(B568,INDIRECT($F$8),6+(O575-1)*3)&lt;=5),MAX(0.4*U575-VLOOKUP(B568,INDIRECT($F$8),8+(O575-1)*3),0.3*S575-VLOOKUP(B568,INDIRECT($F$8),6+(O575-1)*3)),11),IF(0.3*S575-VLOOKUP(B568,INDIRECT($F$8),6+(O575-1)*3)&lt;=5,0.3*S575-VLOOKUP(B568,INDIRECT($F$8),6+(O575-1)*3),11)),IF(VLOOKUP(B568,INDIRECT($F$8),8+(O575-1)*3)&lt;U575*0.4,IF(U575*0.4-VLOOKUP(B568,INDIRECT($F$8),8+(O575-1)*3)&lt;=5,U575*0.4-VLOOKUP(B568,INDIRECT($F$8),8+(O575-1)*3),11),0))))</f>
        <v/>
      </c>
      <c r="X575" s="1" t="str">
        <f ca="1">IF(ISERROR(F568),"",IF(W575=0,"",_xlfn.TEXTJOIN("",FALSE," G+",W575," in ",A575)))</f>
        <v/>
      </c>
    </row>
    <row r="576" spans="1:24" ht="12.75" customHeight="1" x14ac:dyDescent="0.2">
      <c r="A576" s="7" t="str">
        <f ca="1">IF(ISERROR(F568),"",VLOOKUP(C568,INDIRECT($F$8),6+(O576-1)*3,0))</f>
        <v/>
      </c>
      <c r="B576" s="41" t="str">
        <f ca="1">IF(ISERROR(F568),"",VLOOKUP(D568,INDIRECT($F$8),6+(O576-1)*3,0))</f>
        <v/>
      </c>
      <c r="C576" s="41"/>
      <c r="D576" s="41"/>
      <c r="E576" s="41"/>
      <c r="F576" s="7" t="str">
        <f ca="1">IF(ISERROR(F568),"",VLOOKUP(E568,INDIRECT($F$8),6+(O576-1)*3,0))</f>
        <v/>
      </c>
      <c r="G576" s="42" t="str">
        <f ca="1">IF(ISERROR(F568),"",_xlfn.TEXTJOIN("/",FALSE,P576,S576))</f>
        <v/>
      </c>
      <c r="H576" s="42"/>
      <c r="I576" s="42" t="str">
        <f ca="1">IF(ISERROR(F568),"",_xlfn.TEXTJOIN("/",FALSE,Q576,T576))</f>
        <v/>
      </c>
      <c r="J576" s="42"/>
      <c r="K576" s="42" t="str">
        <f ca="1">IF(ISERROR(F568),"",_xlfn.TEXTJOIN("/",FALSE,R576,U576))</f>
        <v/>
      </c>
      <c r="L576" s="42"/>
      <c r="M576" s="7" t="str">
        <f ca="1">IF(ISERROR(F568),"",IF(ISTEXT(P576),IF(P576="A","Ab",IF(P576="D","Dt",IF(P576="UFM","UFM",IF(P576="NA","")))),IF(AND(ISBLANK(P576),ISBLANK(R576)),"",IF(P576&lt;0.3*S576,"F",IF(ISBLANK(R576),"",IF(ISTEXT(R576),R576,IF(R576&gt;=0.9*U576,"O",IF(R576&gt;=0.85*U576,"A+",IF(R576&gt;=0.8*U576,"A",IF(R576&gt;=0.7*U576,"B+",IF(R576&gt;=0.6*U576,"B",IF(R576&gt;=0.5*U576,"C",IF(R576&gt;=0.4*U576,"P",IF(R576&lt;0.4*U576,"F",R576))))))))))))))</f>
        <v/>
      </c>
      <c r="N576" s="8" t="str">
        <f t="shared" ca="1" si="35"/>
        <v/>
      </c>
      <c r="O576" t="b" cm="1">
        <f t="array" aca="1" ref="O576" ca="1">IF(NOT(ISBLANK(INDIRECT("SEM_IV!R"&amp;INT((ROW(O576)-16)/16)+6))),5,IF(NOT(ISBLANK(INDIRECT("SEM_IV!U"&amp;INT((ROW(O576)-16)/16)+6))),6))</f>
        <v>0</v>
      </c>
      <c r="P576" s="1" t="str">
        <f ca="1">IF(ISERROR(F568),"",IF(ISTEXT(VLOOKUP(B568,INDIRECT($F$8),6+(O576-1)*3)),(VLOOKUP(B568,INDIRECT($F$8),6+(O576-1)*3)),SUM(VLOOKUP(B568,INDIRECT($F$8),6+(O576-1)*3),IF(W580,W576,0))))</f>
        <v/>
      </c>
      <c r="Q576" s="1" t="str">
        <f ca="1">IF(ISERROR(F568),"",VLOOKUP(B568,INDIRECT($F$8),7+(O576-1)*3))</f>
        <v/>
      </c>
      <c r="R576" s="1" t="str">
        <f ca="1">IF(ISERROR(F568),"",SUM(P576:Q576))</f>
        <v/>
      </c>
      <c r="S576" s="1" t="str">
        <f ca="1">IF(ISERROR(F568),"",VLOOKUP(A568,INDIRECT($F$8),6+(O576-1)*3))</f>
        <v/>
      </c>
      <c r="T576" s="1" t="str">
        <f ca="1">IF(ISERROR(F568),"",VLOOKUP(A568,INDIRECT($F$8),7+(O576-1)*3))</f>
        <v/>
      </c>
      <c r="U576" s="1" t="str">
        <f ca="1">IF(ISERROR(F568),"",VLOOKUP(A568,INDIRECT($F$8),8+(O576-1)*3))</f>
        <v/>
      </c>
      <c r="V576" s="1" t="str">
        <f ca="1">IF(ISERROR(F568),"",IF(N576=0,A576,""))</f>
        <v/>
      </c>
      <c r="W576" s="1" t="str">
        <f ca="1">IF(ISERROR(F568),"",IF(ISTEXT(VLOOKUP(B568,INDIRECT($F$8),6+(O576-1)*3)),11,IF(VLOOKUP(B568,INDIRECT($F$8),6+(O576-1)*3)&lt;S576*0.3,IF(VLOOKUP(B568,INDIRECT($F$8),8+(O576-1)*3)&lt;U576*0.4,IF(AND(0.4*U576-VLOOKUP(B568,INDIRECT($F$8),8+(O576-1)*3)&lt;=5,0.3*S576-VLOOKUP(B568,INDIRECT($F$8),6+(O576-1)*3)&lt;=5),MAX(0.4*U576-VLOOKUP(B568,INDIRECT($F$8),8+(O576-1)*3),0.3*S576-VLOOKUP(B568,INDIRECT($F$8),6+(O576-1)*3)),11),IF(0.3*S576-VLOOKUP(B568,INDIRECT($F$8),6+(O576-1)*3)&lt;=5,0.3*S576-VLOOKUP(B568,INDIRECT($F$8),6+(O576-1)*3),11)),IF(VLOOKUP(B568,INDIRECT($F$8),8+(O576-1)*3)&lt;U576*0.4,IF(U576*0.4-VLOOKUP(B568,INDIRECT($F$8),8+(O576-1)*3)&lt;=5,U576*0.4-VLOOKUP(B568,INDIRECT($F$8),8+(O576-1)*3),11),0))))</f>
        <v/>
      </c>
      <c r="X576" s="1" t="str">
        <f ca="1">IF(ISERROR(F568),"",IF(W576=0,"",_xlfn.TEXTJOIN("",FALSE," G+",W576," in ",A576)))</f>
        <v/>
      </c>
    </row>
    <row r="577" spans="1:24" ht="12.75" customHeight="1" x14ac:dyDescent="0.2">
      <c r="A577" s="7" t="str">
        <f ca="1">IF(ISERROR(F568),"",VLOOKUP(C568,INDIRECT($F$8),6+(O577-1)*3,0))</f>
        <v/>
      </c>
      <c r="B577" s="41" t="str">
        <f ca="1">IF(ISERROR(F568),"",VLOOKUP(D568,INDIRECT($F$8),6+(O577-1)*3,0))</f>
        <v/>
      </c>
      <c r="C577" s="41"/>
      <c r="D577" s="41"/>
      <c r="E577" s="41"/>
      <c r="F577" s="7" t="str">
        <f ca="1">IF(ISERROR(F568),"",VLOOKUP(E568,INDIRECT($F$8),6+(O577-1)*3,0))</f>
        <v/>
      </c>
      <c r="G577" s="42" t="str">
        <f ca="1">IF(ISERROR(F568),"",_xlfn.TEXTJOIN("/",FALSE,P577,S577))</f>
        <v/>
      </c>
      <c r="H577" s="42"/>
      <c r="I577" s="42" t="str">
        <f ca="1">IF(ISERROR(F568),"",_xlfn.TEXTJOIN("/",FALSE,Q577,T577))</f>
        <v/>
      </c>
      <c r="J577" s="42"/>
      <c r="K577" s="42" t="str">
        <f ca="1">IF(ISERROR(F568),"",_xlfn.TEXTJOIN("/",FALSE,R577,U577))</f>
        <v/>
      </c>
      <c r="L577" s="42"/>
      <c r="M577" s="7" t="str">
        <f ca="1">IF(ISERROR(F568),"",IF(ISTEXT(P577),IF(P577="A","Ab",IF(P577="D","Dt",IF(P577="UFM","UFM",IF(P577="NA","")))),IF(AND(ISBLANK(P577),ISBLANK(R577)),"",IF(P577&lt;0.3*S577,"F",IF(ISBLANK(R577),"",IF(ISTEXT(R577),R577,IF(R577&gt;=0.9*U577,"O",IF(R577&gt;=0.85*U577,"A+",IF(R577&gt;=0.8*U577,"A",IF(R577&gt;=0.7*U577,"B+",IF(R577&gt;=0.6*U577,"B",IF(R577&gt;=0.5*U577,"C",IF(R577&gt;=0.4*U577,"P",IF(R577&lt;0.4*U577,"F",R577))))))))))))))</f>
        <v/>
      </c>
      <c r="N577" s="8" t="str">
        <f t="shared" ca="1" si="35"/>
        <v/>
      </c>
      <c r="O577">
        <f ca="1">IF(O576&gt;0,7,"")</f>
        <v>7</v>
      </c>
      <c r="P577" s="1" t="str">
        <f ca="1">IF(ISERROR(F568),"",IF(ISTEXT(VLOOKUP(B568,INDIRECT($F$8),6+(O577-1)*3)),(VLOOKUP(B568,INDIRECT($F$8),6+(O577-1)*3)),SUM(VLOOKUP(B568,INDIRECT($F$8),6+(O577-1)*3),IF(W580,W577,0))))</f>
        <v/>
      </c>
      <c r="Q577" s="1" t="str">
        <f ca="1">IF(ISERROR(F568),"",VLOOKUP(B568,INDIRECT($F$8),7+(O577-1)*3))</f>
        <v/>
      </c>
      <c r="R577" s="1" t="str">
        <f ca="1">IF(ISERROR(F568),"",SUM(P577:Q577))</f>
        <v/>
      </c>
      <c r="S577" s="1" t="str">
        <f ca="1">IF(ISERROR(F568),"",VLOOKUP(A568,INDIRECT($F$8),6+(O577-1)*3))</f>
        <v/>
      </c>
      <c r="T577" s="1" t="str">
        <f ca="1">IF(ISERROR(F568),"",VLOOKUP(A568,INDIRECT($F$8),7+(O577-1)*3))</f>
        <v/>
      </c>
      <c r="U577" s="1" t="str">
        <f ca="1">IF(ISERROR(F568),"",VLOOKUP(A568,INDIRECT($F$8),8+(O577-1)*3))</f>
        <v/>
      </c>
      <c r="V577" s="1" t="str">
        <f ca="1">IF(ISERROR(F568),"",IF(N577=0,A577,""))</f>
        <v/>
      </c>
      <c r="W577" s="1" t="str">
        <f ca="1">IF(ISERROR(F568),"",IF(ISTEXT(VLOOKUP(B568,INDIRECT($F$8),6+(O577-1)*3)),11,IF(VLOOKUP(B568,INDIRECT($F$8),6+(O577-1)*3)&lt;S577*0.3,IF(VLOOKUP(B568,INDIRECT($F$8),8+(O577-1)*3)&lt;U577*0.4,IF(AND(0.4*U577-VLOOKUP(B568,INDIRECT($F$8),8+(O577-1)*3)&lt;=5,0.3*S577-VLOOKUP(B568,INDIRECT($F$8),6+(O577-1)*3)&lt;=5),MAX(0.4*U577-VLOOKUP(B568,INDIRECT($F$8),8+(O577-1)*3),0.3*S577-VLOOKUP(B568,INDIRECT($F$8),6+(O577-1)*3)),11),IF(0.3*S577-VLOOKUP(B568,INDIRECT($F$8),6+(O577-1)*3)&lt;=5,0.3*S577-VLOOKUP(B568,INDIRECT($F$8),6+(O577-1)*3),11)),IF(VLOOKUP(B568,INDIRECT($F$8),8+(O577-1)*3)&lt;U577*0.4,IF(U577*0.4-VLOOKUP(B568,INDIRECT($F$8),8+(O577-1)*3)&lt;=5,U577*0.4-VLOOKUP(B568,INDIRECT($F$8),8+(O577-1)*3),11),0))))</f>
        <v/>
      </c>
      <c r="X577" s="1" t="str">
        <f ca="1">IF(ISERROR(F568),"",IF(W577=0,"",_xlfn.TEXTJOIN("",FALSE," G+",W577," in ",A577)))</f>
        <v/>
      </c>
    </row>
    <row r="578" spans="1:24" ht="12.75" customHeight="1" x14ac:dyDescent="0.2">
      <c r="A578" s="7" t="str">
        <f ca="1">IF(ISERROR(F568),"",VLOOKUP(C568,INDIRECT($F$8),6+(O578-1)*3,0))</f>
        <v/>
      </c>
      <c r="B578" s="41" t="str">
        <f ca="1">IF(ISERROR(F568),"",VLOOKUP(D568,INDIRECT($F$8),6+(O578-1)*3,0))</f>
        <v/>
      </c>
      <c r="C578" s="41"/>
      <c r="D578" s="41"/>
      <c r="E578" s="41"/>
      <c r="F578" s="7" t="str">
        <f ca="1">IF(ISERROR(F568),"",VLOOKUP(E568,INDIRECT($F$8),6+(O578-1)*3,0))</f>
        <v/>
      </c>
      <c r="G578" s="42" t="str">
        <f ca="1">IF(ISERROR(F568),"",_xlfn.TEXTJOIN("/",FALSE,P578,S578))</f>
        <v/>
      </c>
      <c r="H578" s="42"/>
      <c r="I578" s="42" t="str">
        <f ca="1">IF(ISERROR(F568),"",_xlfn.TEXTJOIN("/",FALSE,Q578,T578))</f>
        <v/>
      </c>
      <c r="J578" s="42"/>
      <c r="K578" s="42" t="str">
        <f ca="1">IF(ISERROR(F568),"",_xlfn.TEXTJOIN("/",FALSE,R578,U578))</f>
        <v/>
      </c>
      <c r="L578" s="42"/>
      <c r="M578" s="7" t="str">
        <f ca="1">IF(ISERROR(F568),"",IF(ISTEXT(P578),IF(P578="A","Ab",IF(P578="D","Dt",IF(P578="UFM","UFM",IF(P578="NA","")))),IF(AND(ISBLANK(P578),ISBLANK(R578)),"",IF(P578&lt;0.3*S578,"F",IF(ISBLANK(R578),"",IF(ISTEXT(R578),R578,IF(R578&gt;=0.9*U578,"O",IF(R578&gt;=0.85*U578,"A+",IF(R578&gt;=0.8*U578,"A",IF(R578&gt;=0.7*U578,"B+",IF(R578&gt;=0.6*U578,"B",IF(R578&gt;=0.5*U578,"C",IF(R578&gt;=0.4*U578,"P",IF(R578&lt;0.4*U578,"F",R578))))))))))))))</f>
        <v/>
      </c>
      <c r="N578" s="8" t="str">
        <f t="shared" ca="1" si="35"/>
        <v/>
      </c>
      <c r="O578" t="b" cm="1">
        <f t="array" aca="1" ref="O578" ca="1">IF(NOT(ISBLANK(INDIRECT("SEM_IV!AA"&amp;INT((ROW(O578)-18)/16)+6))),8,IF(NOT(ISBLANK(INDIRECT("SEM_IV!AD"&amp;INT((ROW(O578)-18)/16)+6))),9))</f>
        <v>0</v>
      </c>
      <c r="P578" s="1" t="str">
        <f ca="1">IF(ISERROR(F568),"",IF(ISTEXT(VLOOKUP(B568,INDIRECT($F$8),6+(O578-1)*3)),(VLOOKUP(B568,INDIRECT($F$8),6+(O578-1)*3)),SUM(VLOOKUP(B568,INDIRECT($F$8),6+(O578-1)*3),IF(W580,W578,0))))</f>
        <v/>
      </c>
      <c r="Q578" s="1" t="str">
        <f ca="1">IF(ISERROR(F568),"",VLOOKUP(B568,INDIRECT($F$8),7+(O578-1)*3))</f>
        <v/>
      </c>
      <c r="R578" s="1" t="str">
        <f ca="1">IF(ISERROR(F568),"",SUM(P578:Q578))</f>
        <v/>
      </c>
      <c r="S578" s="1" t="str">
        <f ca="1">IF(ISERROR(F568),"",VLOOKUP(A568,INDIRECT($F$8),6+(O578-1)*3))</f>
        <v/>
      </c>
      <c r="T578" s="1" t="str">
        <f ca="1">IF(ISERROR(F568),"",VLOOKUP(A568,INDIRECT($F$8),7+(O578-1)*3))</f>
        <v/>
      </c>
      <c r="U578" s="1" t="str">
        <f ca="1">IF(ISERROR(F568),"",VLOOKUP(A568,INDIRECT($F$8),8+(O578-1)*3))</f>
        <v/>
      </c>
      <c r="V578" s="1" t="str">
        <f ca="1">IF(ISERROR(F568),"",IF(N578=0,A578,""))</f>
        <v/>
      </c>
      <c r="W578" s="1" t="str">
        <f ca="1">IF(ISERROR(F568),"",IF(ISTEXT(VLOOKUP(B568,INDIRECT($F$8),6+(O578-1)*3)),11,IF(VLOOKUP(B568,INDIRECT($F$8),6+(O578-1)*3)&lt;S578*0.3,IF(VLOOKUP(B568,INDIRECT($F$8),8+(O578-1)*3)&lt;U578*0.4,IF(AND(0.4*U578-VLOOKUP(B568,INDIRECT($F$8),8+(O578-1)*3)&lt;=5,0.3*S578-VLOOKUP(B568,INDIRECT($F$8),6+(O578-1)*3)&lt;=5),MAX(0.4*U578-VLOOKUP(B568,INDIRECT($F$8),8+(O578-1)*3),0.3*S578-VLOOKUP(B568,INDIRECT($F$8),6+(O578-1)*3)),11),IF(0.3*S578-VLOOKUP(B568,INDIRECT($F$8),6+(O578-1)*3)&lt;=5,0.3*S578-VLOOKUP(B568,INDIRECT($F$8),6+(O578-1)*3),11)),IF(VLOOKUP(B568,INDIRECT($F$8),8+(O578-1)*3)&lt;U578*0.4,IF(U578*0.4-VLOOKUP(B568,INDIRECT($F$8),8+(O578-1)*3)&lt;=5,U578*0.4-VLOOKUP(B568,INDIRECT($F$8),8+(O578-1)*3),11),0))))</f>
        <v/>
      </c>
      <c r="X578" s="1" t="str">
        <f ca="1">IF(ISERROR(F568),"",IF(W578=0,"",_xlfn.TEXTJOIN("",FALSE," G+",W578," in ",A578)))</f>
        <v/>
      </c>
    </row>
    <row r="579" spans="1:24" ht="12.75" customHeight="1" x14ac:dyDescent="0.2">
      <c r="A579" s="7" t="str">
        <f ca="1">IF(ISERROR(F568),"",VLOOKUP(C568,INDIRECT($F$8),6+(O579-1)*3,0))</f>
        <v/>
      </c>
      <c r="B579" s="41" t="str">
        <f ca="1">IF(ISERROR(F568),"",VLOOKUP(D568,INDIRECT($F$8),6+(O579-1)*3-Z579,0))</f>
        <v/>
      </c>
      <c r="C579" s="41"/>
      <c r="D579" s="41"/>
      <c r="E579" s="41"/>
      <c r="F579" s="7" t="str">
        <f ca="1">IF(ISERROR(F568),"",VLOOKUP(E568,INDIRECT($F$8),6+(O579-1)*3,0))</f>
        <v/>
      </c>
      <c r="G579" s="42" t="str">
        <f ca="1">IF(ISERROR(F568),"",_xlfn.TEXTJOIN("/",FALSE,P579,S579))</f>
        <v/>
      </c>
      <c r="H579" s="42"/>
      <c r="I579" s="42" t="str">
        <f ca="1">IF(ISERROR(F568),"",_xlfn.TEXTJOIN("/",FALSE,Q579,T579))</f>
        <v/>
      </c>
      <c r="J579" s="42"/>
      <c r="K579" s="42" t="str">
        <f ca="1">IF(ISERROR(F568),"",_xlfn.TEXTJOIN("/",FALSE,R579,U579))</f>
        <v/>
      </c>
      <c r="L579" s="42"/>
      <c r="M579" s="7" t="str">
        <f ca="1">IF(ISERROR(F568),"",IF(ISTEXT(P579),IF(P579="A","Ab",IF(P579="D","Dt",IF(P579="UFM","UFM",IF(P579="NA","")))),IF(AND(ISBLANK(P579),ISBLANK(R579)),"",IF(P579&lt;0.3*S579,"F",IF(ISBLANK(R579),"",IF(ISTEXT(R579),R579,IF(R579&gt;=0.9*U579,"O",IF(R579&gt;=0.85*U579,"A+",IF(R579&gt;=0.8*U579,"A",IF(R579&gt;=0.7*U579,"B+",IF(R579&gt;=0.6*U579,"B",IF(R579&gt;=0.5*U579,"C",IF(R579&gt;=0.4*U579,"P",IF(R579&lt;0.4*U579,"F",R579))))))))))))))</f>
        <v/>
      </c>
      <c r="N579" s="8" t="str">
        <f t="shared" ca="1" si="35"/>
        <v/>
      </c>
      <c r="O579">
        <f ca="1">IF(O578&gt;0,10,"")</f>
        <v>10</v>
      </c>
      <c r="P579" s="1" t="str">
        <f ca="1">IF(ISERROR(F568),"",IF(ISTEXT(VLOOKUP(B568,INDIRECT($F$8),6+(O579-1)*3)),(VLOOKUP(B568,INDIRECT($F$8),6+(O579-1)*3)),SUM(VLOOKUP(B568,INDIRECT($F$8),6+(O579-1)*3),IF(W580,W579,0))))</f>
        <v/>
      </c>
      <c r="Q579" s="1" t="str">
        <f ca="1">IF(ISERROR(F568),"",VLOOKUP(B568,INDIRECT($F$8),7+(O579-1)*3))</f>
        <v/>
      </c>
      <c r="R579" s="1" t="str">
        <f ca="1">IF(ISERROR(F568),"",SUM(P579:Q579))</f>
        <v/>
      </c>
      <c r="S579" s="1" t="str">
        <f ca="1">IF(ISERROR(F568),"",VLOOKUP(A568,INDIRECT($F$8),6+(O579-1)*3))</f>
        <v/>
      </c>
      <c r="T579" s="1" t="str">
        <f ca="1">IF(ISERROR(F568),"",VLOOKUP(A568,INDIRECT($F$8),7+(O579-1)*3))</f>
        <v/>
      </c>
      <c r="U579" s="1" t="str">
        <f ca="1">IF(ISERROR(F568),"",VLOOKUP(A568,INDIRECT($F$8),8+(O579-1)*3))</f>
        <v/>
      </c>
      <c r="V579" s="1" t="str">
        <f ca="1">IF(ISERROR(F568),"",IF(N579=0,A579,""))</f>
        <v/>
      </c>
      <c r="W579" s="1" t="str">
        <f ca="1">IF(ISERROR(F568),"",IF(ISTEXT(VLOOKUP(B568,INDIRECT($F$8),6+(O579-1)*3)),11,IF(VLOOKUP(B568,INDIRECT($F$8),6+(O579-1)*3)&lt;S579*0.3,IF(VLOOKUP(B568,INDIRECT($F$8),8+(O579-1)*3)&lt;U579*0.4,IF(AND(0.4*U579-VLOOKUP(B568,INDIRECT($F$8),8+(O579-1)*3)&lt;=5,0.3*S579-VLOOKUP(B568,INDIRECT($F$8),6+(O579-1)*3)&lt;=5),MAX(0.4*U579-VLOOKUP(B568,INDIRECT($F$8),8+(O579-1)*3),0.3*S579-VLOOKUP(B568,INDIRECT($F$8),6+(O579-1)*3)),11),IF(0.3*S579-VLOOKUP(B568,INDIRECT($F$8),6+(O579-1)*3)&lt;=5,0.3*S579-VLOOKUP(B568,INDIRECT($F$8),6+(O579-1)*3),11)),IF(VLOOKUP(B568,INDIRECT($F$8),8+(O579-1)*3)&lt;U579*0.4,IF(U579*0.4-VLOOKUP(B568,INDIRECT($F$8),8+(O579-1)*3)&lt;=5,U579*0.4-VLOOKUP(B568,INDIRECT($F$8),8+(O579-1)*3),11),0))))</f>
        <v/>
      </c>
      <c r="X579" s="1" t="str">
        <f ca="1">IF(ISERROR(F568),"",IF(W579=0,"",_xlfn.TEXTJOIN("",FALSE," G+",W579," in ",A579)))</f>
        <v/>
      </c>
    </row>
    <row r="580" spans="1:24" ht="12.75" customHeight="1" x14ac:dyDescent="0.2">
      <c r="A580" s="43" t="str">
        <f ca="1">IF(ISERROR(F568),"",A564)</f>
        <v/>
      </c>
      <c r="B580" s="43"/>
      <c r="C580" s="43"/>
      <c r="D580" s="43"/>
      <c r="E580" s="43"/>
      <c r="F580" s="10" t="str">
        <f ca="1">IF(ISERROR(F568),"",SUM(F573:F579))</f>
        <v/>
      </c>
      <c r="G580" s="44" t="str">
        <f ca="1">IF(ISERROR(F568),"",_xlfn.TEXTJOIN("/",TRUE,SUMIF(F573:F579,"&gt;0",P573:P579),SUMIF(F573:F579,"&gt;0",S573:S579)))</f>
        <v/>
      </c>
      <c r="H580" s="44"/>
      <c r="I580" s="44" t="str">
        <f ca="1">IF(ISERROR(F568),"",_xlfn.TEXTJOIN("/",TRUE,SUMIF(F573:F579,"&gt;0",Q573:Q579),SUMIF(F573:F579,"&gt;0",T573:T579)))</f>
        <v/>
      </c>
      <c r="J580" s="44"/>
      <c r="K580" s="44" t="str">
        <f ca="1">IF(ISERROR(F568),"",_xlfn.TEXTJOIN("/",TRUE,SUMIF(F573:F579,"&gt;0",R573:R579),SUMIF(F573:F579,"&gt;0",U573:U579)))</f>
        <v/>
      </c>
      <c r="L580" s="44"/>
      <c r="M580" s="43" t="str">
        <f ca="1">IF(ISERROR(F568),"",SUMPRODUCT(N573:N579,F573:F579))</f>
        <v/>
      </c>
      <c r="N580" s="43"/>
      <c r="V580" s="1" t="str">
        <f ca="1">IF(ISERROR(F568),"",_xlfn.TEXTJOIN(", ",TRUE,V573:V579))</f>
        <v/>
      </c>
      <c r="W580" t="str">
        <f ca="1">IF(ISERROR(F568),"",IF(SUM(W573:W579)&lt;=W572,TRUE,FALSE))</f>
        <v/>
      </c>
      <c r="X580" s="1" t="str">
        <f ca="1">IF(ISERROR(F568),"",_xlfn.TEXTJOIN(",",TRUE,X573:X579))</f>
        <v/>
      </c>
    </row>
    <row r="581" spans="1:24" ht="12.75" customHeight="1" x14ac:dyDescent="0.2">
      <c r="A581" s="43" t="str">
        <f ca="1">IF(ISERROR(F568),"",A565)</f>
        <v/>
      </c>
      <c r="B581" s="45" t="str">
        <f ca="1">IF(ISERROR(F568),"",IF(V580="","PASS","CARRY OVER"))</f>
        <v/>
      </c>
      <c r="C581" s="45"/>
      <c r="D581" s="43" t="str">
        <f ca="1">IF(ISERROR(F568),"",D565)</f>
        <v/>
      </c>
      <c r="E581" s="45" t="str">
        <f ca="1">IF(ISERROR(F568),"",IF(V580="",IF(X580="","",X580),_xlfn.TEXTJOIN(" ",TRUE,"BACK IN",V580)))</f>
        <v/>
      </c>
      <c r="F581" s="45"/>
      <c r="G581" s="43" t="str">
        <f ca="1">IF(ISERROR(F568),"",G565)</f>
        <v/>
      </c>
      <c r="H581" s="46" t="str">
        <f ca="1">IF(ISERROR(F568),"",M580/F580)</f>
        <v/>
      </c>
      <c r="I581" s="43" t="str">
        <f ca="1">IF(ISERROR(F568),"",I565)</f>
        <v/>
      </c>
      <c r="J581" s="46" t="str">
        <f ca="1">IF(ISERROR(F568),"",VLOOKUP(B568,INDIRECT($F$8),12+(O579-1)*3,0))</f>
        <v/>
      </c>
      <c r="K581" s="45" t="str">
        <f ca="1">IF(ISERROR(F568),"",K565)</f>
        <v/>
      </c>
      <c r="L581" s="43" t="str">
        <f ca="1">IF(ISERROR(F568),"",SUMIF(N573:N579,"&gt;0",F573:F579))</f>
        <v/>
      </c>
      <c r="M581" s="45" t="str">
        <f ca="1">IF(ISERROR(F568),"",M565)</f>
        <v/>
      </c>
      <c r="N581" s="43" t="str">
        <f ca="1">IF(ISERROR(F568),"",VLOOKUP(B568,INDIRECT($F$8),10+(O579-1)*3,0))</f>
        <v/>
      </c>
    </row>
    <row r="582" spans="1:24" ht="12.75" customHeight="1" x14ac:dyDescent="0.2">
      <c r="A582" s="43"/>
      <c r="B582" s="45"/>
      <c r="C582" s="45"/>
      <c r="D582" s="43"/>
      <c r="E582" s="45"/>
      <c r="F582" s="45"/>
      <c r="G582" s="43"/>
      <c r="H582" s="46"/>
      <c r="I582" s="43"/>
      <c r="J582" s="46"/>
      <c r="K582" s="45"/>
      <c r="L582" s="43"/>
      <c r="M582" s="45"/>
      <c r="N582" s="43"/>
    </row>
    <row r="583" spans="1:24" ht="12.75" customHeight="1" x14ac:dyDescent="0.2">
      <c r="A583" s="43"/>
      <c r="B583" s="45"/>
      <c r="C583" s="45"/>
      <c r="D583" s="43"/>
      <c r="E583" s="45"/>
      <c r="F583" s="45"/>
      <c r="G583" s="43"/>
      <c r="H583" s="46"/>
      <c r="I583" s="43"/>
      <c r="J583" s="46"/>
      <c r="K583" s="45"/>
      <c r="L583" s="43"/>
      <c r="M583" s="45"/>
      <c r="N583" s="43"/>
    </row>
    <row r="584" spans="1:24" ht="12.75" customHeight="1" x14ac:dyDescent="0.2">
      <c r="A584" s="11" t="str">
        <f>A568</f>
        <v>MM</v>
      </c>
      <c r="B584" s="11">
        <f>B568+1</f>
        <v>37</v>
      </c>
      <c r="C584" s="11" t="str">
        <f>C568</f>
        <v>SC</v>
      </c>
      <c r="D584" s="11" t="str">
        <f>D568</f>
        <v>SN</v>
      </c>
      <c r="E584" s="11" t="str">
        <f>E568</f>
        <v>C</v>
      </c>
      <c r="F584" s="11" t="e">
        <f ca="1">VLOOKUP(B584,INDIRECT($F$8),4,0)</f>
        <v>#N/A</v>
      </c>
    </row>
    <row r="585" spans="1:24" ht="12.75" customHeight="1" x14ac:dyDescent="0.2">
      <c r="A585" s="47" t="str">
        <f ca="1">IF(ISERROR(F584),"",A569)</f>
        <v/>
      </c>
      <c r="B585" s="47" t="str">
        <f ca="1">IFERROR(VLOOKUP(B584,INDIRECT($F$8),4,0),"")</f>
        <v/>
      </c>
      <c r="C585" s="47"/>
      <c r="D585" s="47" t="str">
        <f ca="1">IF(ISERROR(F584),"",D569)</f>
        <v/>
      </c>
      <c r="E585" s="47" t="str">
        <f ca="1">IFERROR(VLOOKUP(B584,INDIRECT($F$8),5,0),"")</f>
        <v/>
      </c>
      <c r="F585" s="47"/>
      <c r="G585" s="47" t="str">
        <f ca="1">IF(ISERROR(F584),"",G569)</f>
        <v/>
      </c>
      <c r="H585" s="47"/>
      <c r="I585" s="48" t="str">
        <f ca="1">IFERROR(VLOOKUP(B584,INDIRECT($F$8),2,0),"")</f>
        <v/>
      </c>
      <c r="J585" s="48"/>
      <c r="K585" s="47" t="str">
        <f ca="1">IF(ISERROR(F584),"",K569)</f>
        <v/>
      </c>
      <c r="L585" s="47"/>
      <c r="M585" s="48" t="str">
        <f ca="1">IFERROR(VLOOKUP(B584,INDIRECT($F$8),3,0),"")</f>
        <v/>
      </c>
      <c r="N585" s="48"/>
    </row>
    <row r="586" spans="1:24" ht="12.75" customHeight="1" x14ac:dyDescent="0.2">
      <c r="A586" s="47"/>
      <c r="B586" s="47"/>
      <c r="C586" s="47"/>
      <c r="D586" s="47"/>
      <c r="E586" s="47"/>
      <c r="F586" s="47"/>
      <c r="G586" s="47"/>
      <c r="H586" s="47"/>
      <c r="I586" s="48"/>
      <c r="J586" s="48"/>
      <c r="K586" s="47"/>
      <c r="L586" s="47"/>
      <c r="M586" s="48"/>
      <c r="N586" s="48"/>
    </row>
    <row r="587" spans="1:24" ht="12.75" customHeight="1" x14ac:dyDescent="0.2">
      <c r="A587" s="45" t="str">
        <f ca="1">IF(ISERROR(F584),"",A571)</f>
        <v/>
      </c>
      <c r="B587" s="45" t="str">
        <f ca="1">IF(ISERROR(F584),"",B571)</f>
        <v/>
      </c>
      <c r="C587" s="45"/>
      <c r="D587" s="45"/>
      <c r="E587" s="45"/>
      <c r="F587" s="45" t="str">
        <f ca="1">IF(ISERROR(F584),"",F571)</f>
        <v/>
      </c>
      <c r="G587" s="45" t="str">
        <f ca="1">IF(ISERROR(F584),"",G571)</f>
        <v/>
      </c>
      <c r="H587" s="45"/>
      <c r="I587" s="45" t="str">
        <f ca="1">IF(ISERROR(F584),"",I571)</f>
        <v/>
      </c>
      <c r="J587" s="45"/>
      <c r="K587" s="45" t="str">
        <f ca="1">IF(ISERROR(F584),"",K571)</f>
        <v/>
      </c>
      <c r="L587" s="45"/>
      <c r="M587" s="45" t="str">
        <f ca="1">IF(ISERROR(F584),"",M571)</f>
        <v/>
      </c>
      <c r="N587" s="45" t="str">
        <f ca="1">IF(ISERROR(F584),"",N571)</f>
        <v/>
      </c>
    </row>
    <row r="588" spans="1:24" ht="12.75" customHeight="1" x14ac:dyDescent="0.2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W588" t="e">
        <f ca="1">IF(ISNUMBER(MATCH($F$8,{"I","III","V","VII"},0)),10,10-INDEX(INDIRECT(_xlfn.TEXTJOIN("",TRUE,"SEM_",$G$8,"!",ADDRESS(6,4+$I$8*3+4),":",ADDRESS(5+$H$8,4+$I$8*3+4))),MATCH(INDIRECT(_xlfn.TEXTJOIN("",TRUE,"TC_",$F$8,"!",ADDRESS(ROW(I585),COLUMN(I585)))),INDIRECT(_xlfn.TEXTJOIN("",TRUE,"SEM_",$G$8,"!",ADDRESS(6,2),":",ADDRESS(5+$H$8,2))))))</f>
        <v>#N/A</v>
      </c>
    </row>
    <row r="589" spans="1:24" ht="12.75" customHeight="1" x14ac:dyDescent="0.2">
      <c r="A589" s="7" t="str">
        <f ca="1">IF(ISERROR(F584),"",VLOOKUP(C584,INDIRECT($F$8),6+(O589-1)*3,0))</f>
        <v/>
      </c>
      <c r="B589" s="41" t="str">
        <f ca="1">IF(ISERROR(F584),"",VLOOKUP(D584,INDIRECT($F$8),6+(O589-1)*3,0))</f>
        <v/>
      </c>
      <c r="C589" s="41"/>
      <c r="D589" s="41"/>
      <c r="E589" s="41"/>
      <c r="F589" s="7" t="str">
        <f ca="1">IF(ISERROR(F584),"",VLOOKUP(E584,INDIRECT($F$8),6+(O589-1)*3,0))</f>
        <v/>
      </c>
      <c r="G589" s="42" t="str">
        <f ca="1">IF(ISERROR(F584),"",_xlfn.TEXTJOIN("/",FALSE,P589,S589))</f>
        <v/>
      </c>
      <c r="H589" s="42"/>
      <c r="I589" s="42" t="str">
        <f ca="1">IF(ISERROR(F584),"",_xlfn.TEXTJOIN("/",FALSE,Q589,T589))</f>
        <v/>
      </c>
      <c r="J589" s="42"/>
      <c r="K589" s="42" t="str">
        <f ca="1">IF(ISERROR(F584),"",_xlfn.TEXTJOIN("/",FALSE,R589,U589))</f>
        <v/>
      </c>
      <c r="L589" s="42"/>
      <c r="M589" s="7" t="str">
        <f ca="1">IF(ISERROR(F584),"",IF(ISTEXT(P589),IF(P589="A","Ab",IF(P589="D","Dt",IF(P589="UFM","UFM",IF(P589="NA","")))),IF(AND(ISBLANK(P589),ISBLANK(R589)),"",IF(P589&lt;0.3*S589,"F",IF(ISBLANK(R589),"",IF(ISTEXT(R589),R589,IF(R589&gt;=0.9*U589,"O",IF(R589&gt;=0.85*U589,"A+",IF(R589&gt;=0.8*U589,"A",IF(R589&gt;=0.7*U589,"B+",IF(R589&gt;=0.6*U589,"B",IF(R589&gt;=0.5*U589,"C",IF(R589&gt;=0.4*U589,"P",IF(R589&lt;0.4*U589,"F",R589))))))))))))))</f>
        <v/>
      </c>
      <c r="N589" s="8" t="str">
        <f t="shared" ref="N589:N595" ca="1" si="36">INDEX($Z$2:$Z$13,MATCH(M589,$Y$2:$Y$13,0))</f>
        <v/>
      </c>
      <c r="O589">
        <v>1</v>
      </c>
      <c r="P589" s="1" t="str">
        <f ca="1">IF(ISERROR(F584),"",IF(ISTEXT(VLOOKUP(B584,INDIRECT($F$8),6+(O589-1)*3)),(VLOOKUP(B584,INDIRECT($F$8),6+(O589-1)*3)),SUM(VLOOKUP(B584,INDIRECT($F$8),6+(O589-1)*3),IF(W596,W589,0))))</f>
        <v/>
      </c>
      <c r="Q589" s="1" t="str">
        <f ca="1">IF(ISERROR(F584),"",VLOOKUP(B584,INDIRECT($F$8),7+(O589-1)*3))</f>
        <v/>
      </c>
      <c r="R589" s="1" t="str">
        <f ca="1">IF(ISERROR(F584),"",SUM(P589:Q589))</f>
        <v/>
      </c>
      <c r="S589" s="1" t="str">
        <f ca="1">IF(ISERROR(F584),"",VLOOKUP(A584,INDIRECT($F$8),6+(O589-1)*3))</f>
        <v/>
      </c>
      <c r="T589" s="1" t="str">
        <f ca="1">IF(ISERROR(F584),"",VLOOKUP(A584,INDIRECT($F$8),7+(O589-1)*3))</f>
        <v/>
      </c>
      <c r="U589" s="1" t="str">
        <f ca="1">IF(ISERROR(F584),"",VLOOKUP(A584,INDIRECT($F$8),8+(O589-1)*3))</f>
        <v/>
      </c>
      <c r="V589" s="1" t="str">
        <f ca="1">IF(ISERROR(F584),"",IF(N589=0,A589,""))</f>
        <v/>
      </c>
      <c r="W589" s="1" t="str">
        <f ca="1">IF(ISERROR(F584),"",IF(ISTEXT(VLOOKUP(B584,INDIRECT($F$8),6+(O589-1)*3)),11,IF(VLOOKUP(B584,INDIRECT($F$8),6+(O589-1)*3)&lt;S589*0.3,IF(VLOOKUP(B584,INDIRECT($F$8),8+(O589-1)*3)&lt;U589*0.4,IF(AND(0.4*U589-VLOOKUP(B584,INDIRECT($F$8),8+(O589-1)*3)&lt;=5,0.3*S589-VLOOKUP(B584,INDIRECT($F$8),6+(O589-1)*3)&lt;=5),MAX(0.4*U589-VLOOKUP(B584,INDIRECT($F$8),8+(O589-1)*3),0.3*S589-VLOOKUP(B584,INDIRECT($F$8),6+(O589-1)*3)),11),IF(0.3*S589-VLOOKUP(B584,INDIRECT($F$8),6+(O589-1)*3)&lt;=5,0.3*S589-VLOOKUP(B584,INDIRECT($F$8),6+(O589-1)*3),11)),IF(VLOOKUP(B584,INDIRECT($F$8),8+(O589-1)*3)&lt;U589*0.4,IF(U589*0.4-VLOOKUP(B584,INDIRECT($F$8),8+(O589-1)*3)&lt;=5,U589*0.4-VLOOKUP(B584,INDIRECT($F$8),8+(O589-1)*3),11),0))))</f>
        <v/>
      </c>
      <c r="X589" s="1" t="str">
        <f ca="1">IF(ISERROR(F584),"",IF(W589=0,"",_xlfn.TEXTJOIN("",FALSE," G+",W589," in ",A589)))</f>
        <v/>
      </c>
    </row>
    <row r="590" spans="1:24" ht="12.75" customHeight="1" x14ac:dyDescent="0.2">
      <c r="A590" s="7" t="str">
        <f ca="1">IF(ISERROR(F584),"",VLOOKUP(C584,INDIRECT($F$8),6+(O590-1)*3,0))</f>
        <v/>
      </c>
      <c r="B590" s="41" t="str">
        <f ca="1">IF(ISERROR(F584),"",VLOOKUP(D584,INDIRECT($F$8),6+(O590-1)*3,0))</f>
        <v/>
      </c>
      <c r="C590" s="41"/>
      <c r="D590" s="41"/>
      <c r="E590" s="41"/>
      <c r="F590" s="7" t="str">
        <f ca="1">IF(ISERROR(F584),"",VLOOKUP(E584,INDIRECT($F$8),6+(O590-1)*3,0))</f>
        <v/>
      </c>
      <c r="G590" s="42" t="str">
        <f ca="1">IF(ISERROR(F584),"",_xlfn.TEXTJOIN("/",FALSE,P590,S590))</f>
        <v/>
      </c>
      <c r="H590" s="42"/>
      <c r="I590" s="42" t="str">
        <f ca="1">IF(ISERROR(F584),"",_xlfn.TEXTJOIN("/",FALSE,Q590,T590))</f>
        <v/>
      </c>
      <c r="J590" s="42"/>
      <c r="K590" s="42" t="str">
        <f ca="1">IF(ISERROR(F584),"",_xlfn.TEXTJOIN("/",FALSE,R590,U590))</f>
        <v/>
      </c>
      <c r="L590" s="42"/>
      <c r="M590" s="7" t="str">
        <f ca="1">IF(ISERROR(F584),"",IF(ISTEXT(P590),IF(P590="A","Ab",IF(P590="D","Dt",IF(P590="UFM","UFM",IF(P590="NA","")))),IF(AND(ISBLANK(P590),ISBLANK(R590)),"",IF(P590&lt;0.3*S590,"F",IF(ISBLANK(R590),"",IF(ISTEXT(R590),R590,IF(R590&gt;=0.9*U590,"O",IF(R590&gt;=0.85*U590,"A+",IF(R590&gt;=0.8*U590,"A",IF(R590&gt;=0.7*U590,"B+",IF(R590&gt;=0.6*U590,"B",IF(R590&gt;=0.5*U590,"C",IF(R590&gt;=0.4*U590,"P",IF(R590&lt;0.4*U590,"F",R590))))))))))))))</f>
        <v/>
      </c>
      <c r="N590" s="8" t="str">
        <f t="shared" ca="1" si="36"/>
        <v/>
      </c>
      <c r="O590" t="b" cm="1">
        <f t="array" aca="1" ref="O590" ca="1">IF(NOT(ISBLANK(INDIRECT("SEM_IV!I"&amp;INT((ROW(O590)-14)/16)+6))),2,IF(NOT(ISBLANK(INDIRECT("SEM_IV!L"&amp;INT((ROW(O590)-14)/16)+6))),3))</f>
        <v>0</v>
      </c>
      <c r="P590" s="1" t="str">
        <f ca="1">IF(ISERROR(F584),"",IF(ISTEXT(VLOOKUP(B584,INDIRECT($F$8),6+(O590-1)*3)),(VLOOKUP(B584,INDIRECT($F$8),6+(O590-1)*3)),SUM(VLOOKUP(B584,INDIRECT($F$8),6+(O590-1)*3),IF(W596,W590,0))))</f>
        <v/>
      </c>
      <c r="Q590" s="1" t="str">
        <f ca="1">IF(ISERROR(F584),"",VLOOKUP(B584,INDIRECT($F$8),7+(O590-1)*3))</f>
        <v/>
      </c>
      <c r="R590" s="1" t="str">
        <f ca="1">IF(ISERROR(F584),"",SUM(P590:Q590))</f>
        <v/>
      </c>
      <c r="S590" s="1" t="str">
        <f ca="1">IF(ISERROR(F584),"",VLOOKUP(A584,INDIRECT($F$8),6+(O590-1)*3))</f>
        <v/>
      </c>
      <c r="T590" s="1" t="str">
        <f ca="1">IF(ISERROR(F584),"",VLOOKUP(A584,INDIRECT($F$8),7+(O590-1)*3))</f>
        <v/>
      </c>
      <c r="U590" s="1" t="str">
        <f ca="1">IF(ISERROR(F584),"",VLOOKUP(A584,INDIRECT($F$8),8+(O590-1)*3))</f>
        <v/>
      </c>
      <c r="V590" s="1" t="str">
        <f ca="1">IF(ISERROR(F584),"",IF(N590=0,A590,""))</f>
        <v/>
      </c>
      <c r="W590" s="1" t="str">
        <f ca="1">IF(ISERROR(F584),"",IF(ISTEXT(VLOOKUP(B584,INDIRECT($F$8),6+(O590-1)*3)),11,IF(VLOOKUP(B584,INDIRECT($F$8),6+(O590-1)*3)&lt;S590*0.3,IF(VLOOKUP(B584,INDIRECT($F$8),8+(O590-1)*3)&lt;U590*0.4,IF(AND(0.4*U590-VLOOKUP(B584,INDIRECT($F$8),8+(O590-1)*3)&lt;=5,0.3*S590-VLOOKUP(B584,INDIRECT($F$8),6+(O590-1)*3)&lt;=5),MAX(0.4*U590-VLOOKUP(B584,INDIRECT($F$8),8+(O590-1)*3),0.3*S590-VLOOKUP(B584,INDIRECT($F$8),6+(O590-1)*3)),11),IF(0.3*S590-VLOOKUP(B584,INDIRECT($F$8),6+(O590-1)*3)&lt;=5,0.3*S590-VLOOKUP(B584,INDIRECT($F$8),6+(O590-1)*3),11)),IF(VLOOKUP(B584,INDIRECT($F$8),8+(O590-1)*3)&lt;U590*0.4,IF(U590*0.4-VLOOKUP(B584,INDIRECT($F$8),8+(O590-1)*3)&lt;=5,U590*0.4-VLOOKUP(B584,INDIRECT($F$8),8+(O590-1)*3),11),0))))</f>
        <v/>
      </c>
      <c r="X590" s="1" t="str">
        <f ca="1">IF(ISERROR(F584),"",IF(W590=0,"",_xlfn.TEXTJOIN("",FALSE," G+",W590," in ",A590)))</f>
        <v/>
      </c>
    </row>
    <row r="591" spans="1:24" ht="12.75" customHeight="1" x14ac:dyDescent="0.2">
      <c r="A591" s="7" t="str">
        <f ca="1">IF(ISERROR(F584),"",VLOOKUP(C584,INDIRECT($F$8),6+(O591-1)*3,0))</f>
        <v/>
      </c>
      <c r="B591" s="41" t="str">
        <f ca="1">IF(ISERROR(F584),"",VLOOKUP(D584,INDIRECT($F$8),6+(O591-1)*3,0))</f>
        <v/>
      </c>
      <c r="C591" s="41"/>
      <c r="D591" s="41"/>
      <c r="E591" s="41"/>
      <c r="F591" s="7" t="str">
        <f ca="1">IF(ISERROR(F584),"",VLOOKUP(E584,INDIRECT($F$8),6+(O591-1)*3,0))</f>
        <v/>
      </c>
      <c r="G591" s="42" t="str">
        <f ca="1">IF(ISERROR(F584),"",_xlfn.TEXTJOIN("/",FALSE,P591,S591))</f>
        <v/>
      </c>
      <c r="H591" s="42"/>
      <c r="I591" s="42" t="str">
        <f ca="1">IF(ISERROR(F584),"",_xlfn.TEXTJOIN("/",FALSE,Q591,T591))</f>
        <v/>
      </c>
      <c r="J591" s="42"/>
      <c r="K591" s="42" t="str">
        <f ca="1">IF(ISERROR(F584),"",_xlfn.TEXTJOIN("/",FALSE,R591,U591))</f>
        <v/>
      </c>
      <c r="L591" s="42"/>
      <c r="M591" s="7" t="str">
        <f ca="1">IF(ISERROR(F584),"",IF(ISTEXT(P591),IF(P591="A","Ab",IF(P591="D","Dt",IF(P591="UFM","UFM",IF(P591="NA","")))),IF(AND(ISBLANK(P591),ISBLANK(R591)),"",IF(P591&lt;0.3*S591,"F",IF(ISBLANK(R591),"",IF(ISTEXT(R591),R591,IF(R591&gt;=0.9*U591,"O",IF(R591&gt;=0.85*U591,"A+",IF(R591&gt;=0.8*U591,"A",IF(R591&gt;=0.7*U591,"B+",IF(R591&gt;=0.6*U591,"B",IF(R591&gt;=0.5*U591,"C",IF(R591&gt;=0.4*U591,"P",IF(R591&lt;0.4*U591,"F",R591))))))))))))))</f>
        <v/>
      </c>
      <c r="N591" s="8" t="str">
        <f t="shared" ca="1" si="36"/>
        <v/>
      </c>
      <c r="O591">
        <f ca="1">IF(O590&gt;0,4,"")</f>
        <v>4</v>
      </c>
      <c r="P591" s="1" t="str">
        <f ca="1">IF(ISERROR(F584),"",IF(ISTEXT(VLOOKUP(B584,INDIRECT($F$8),6+(O591-1)*3)),(VLOOKUP(B584,INDIRECT($F$8),6+(O591-1)*3)),SUM(VLOOKUP(B584,INDIRECT($F$8),6+(O591-1)*3),IF(W596,W591,0))))</f>
        <v/>
      </c>
      <c r="Q591" s="1" t="str">
        <f ca="1">IF(ISERROR(F584),"",VLOOKUP(B584,INDIRECT($F$8),7+(O591-1)*3))</f>
        <v/>
      </c>
      <c r="R591" s="1" t="str">
        <f ca="1">IF(ISERROR(F584),"",SUM(P591:Q591))</f>
        <v/>
      </c>
      <c r="S591" s="1" t="str">
        <f ca="1">IF(ISERROR(F584),"",VLOOKUP(A584,INDIRECT($F$8),6+(O591-1)*3))</f>
        <v/>
      </c>
      <c r="T591" s="1" t="str">
        <f ca="1">IF(ISERROR(F584),"",VLOOKUP(A584,INDIRECT($F$8),7+(O591-1)*3))</f>
        <v/>
      </c>
      <c r="U591" s="1" t="str">
        <f ca="1">IF(ISERROR(F584),"",VLOOKUP(A584,INDIRECT($F$8),8+(O591-1)*3))</f>
        <v/>
      </c>
      <c r="V591" s="1" t="str">
        <f ca="1">IF(ISERROR(F584),"",IF(N591=0,A591,""))</f>
        <v/>
      </c>
      <c r="W591" s="1" t="str">
        <f ca="1">IF(ISERROR(F584),"",IF(ISTEXT(VLOOKUP(B584,INDIRECT($F$8),6+(O591-1)*3)),11,IF(VLOOKUP(B584,INDIRECT($F$8),6+(O591-1)*3)&lt;S591*0.3,IF(VLOOKUP(B584,INDIRECT($F$8),8+(O591-1)*3)&lt;U591*0.4,IF(AND(0.4*U591-VLOOKUP(B584,INDIRECT($F$8),8+(O591-1)*3)&lt;=5,0.3*S591-VLOOKUP(B584,INDIRECT($F$8),6+(O591-1)*3)&lt;=5),MAX(0.4*U591-VLOOKUP(B584,INDIRECT($F$8),8+(O591-1)*3),0.3*S591-VLOOKUP(B584,INDIRECT($F$8),6+(O591-1)*3)),11),IF(0.3*S591-VLOOKUP(B584,INDIRECT($F$8),6+(O591-1)*3)&lt;=5,0.3*S591-VLOOKUP(B584,INDIRECT($F$8),6+(O591-1)*3),11)),IF(VLOOKUP(B584,INDIRECT($F$8),8+(O591-1)*3)&lt;U591*0.4,IF(U591*0.4-VLOOKUP(B584,INDIRECT($F$8),8+(O591-1)*3)&lt;=5,U591*0.4-VLOOKUP(B584,INDIRECT($F$8),8+(O591-1)*3),11),0))))</f>
        <v/>
      </c>
      <c r="X591" s="1" t="str">
        <f ca="1">IF(ISERROR(F584),"",IF(W591=0,"",_xlfn.TEXTJOIN("",FALSE," G+",W591," in ",A591)))</f>
        <v/>
      </c>
    </row>
    <row r="592" spans="1:24" ht="12.75" customHeight="1" x14ac:dyDescent="0.2">
      <c r="A592" s="7" t="str">
        <f ca="1">IF(ISERROR(F584),"",VLOOKUP(C584,INDIRECT($F$8),6+(O592-1)*3,0))</f>
        <v/>
      </c>
      <c r="B592" s="41" t="str">
        <f ca="1">IF(ISERROR(F584),"",VLOOKUP(D584,INDIRECT($F$8),6+(O592-1)*3,0))</f>
        <v/>
      </c>
      <c r="C592" s="41"/>
      <c r="D592" s="41"/>
      <c r="E592" s="41"/>
      <c r="F592" s="7" t="str">
        <f ca="1">IF(ISERROR(F584),"",VLOOKUP(E584,INDIRECT($F$8),6+(O592-1)*3,0))</f>
        <v/>
      </c>
      <c r="G592" s="42" t="str">
        <f ca="1">IF(ISERROR(F584),"",_xlfn.TEXTJOIN("/",FALSE,P592,S592))</f>
        <v/>
      </c>
      <c r="H592" s="42"/>
      <c r="I592" s="42" t="str">
        <f ca="1">IF(ISERROR(F584),"",_xlfn.TEXTJOIN("/",FALSE,Q592,T592))</f>
        <v/>
      </c>
      <c r="J592" s="42"/>
      <c r="K592" s="42" t="str">
        <f ca="1">IF(ISERROR(F584),"",_xlfn.TEXTJOIN("/",FALSE,R592,U592))</f>
        <v/>
      </c>
      <c r="L592" s="42"/>
      <c r="M592" s="7" t="str">
        <f ca="1">IF(ISERROR(F584),"",IF(ISTEXT(P592),IF(P592="A","Ab",IF(P592="D","Dt",IF(P592="UFM","UFM",IF(P592="NA","")))),IF(AND(ISBLANK(P592),ISBLANK(R592)),"",IF(P592&lt;0.3*S592,"F",IF(ISBLANK(R592),"",IF(ISTEXT(R592),R592,IF(R592&gt;=0.9*U592,"O",IF(R592&gt;=0.85*U592,"A+",IF(R592&gt;=0.8*U592,"A",IF(R592&gt;=0.7*U592,"B+",IF(R592&gt;=0.6*U592,"B",IF(R592&gt;=0.5*U592,"C",IF(R592&gt;=0.4*U592,"P",IF(R592&lt;0.4*U592,"F",R592))))))))))))))</f>
        <v/>
      </c>
      <c r="N592" s="8" t="str">
        <f t="shared" ca="1" si="36"/>
        <v/>
      </c>
      <c r="O592" t="b" cm="1">
        <f t="array" aca="1" ref="O592" ca="1">IF(NOT(ISBLANK(INDIRECT("SEM_IV!R"&amp;INT((ROW(O592)-16)/16)+6))),5,IF(NOT(ISBLANK(INDIRECT("SEM_IV!U"&amp;INT((ROW(O592)-16)/16)+6))),6))</f>
        <v>0</v>
      </c>
      <c r="P592" s="1" t="str">
        <f ca="1">IF(ISERROR(F584),"",IF(ISTEXT(VLOOKUP(B584,INDIRECT($F$8),6+(O592-1)*3)),(VLOOKUP(B584,INDIRECT($F$8),6+(O592-1)*3)),SUM(VLOOKUP(B584,INDIRECT($F$8),6+(O592-1)*3),IF(W596,W592,0))))</f>
        <v/>
      </c>
      <c r="Q592" s="1" t="str">
        <f ca="1">IF(ISERROR(F584),"",VLOOKUP(B584,INDIRECT($F$8),7+(O592-1)*3))</f>
        <v/>
      </c>
      <c r="R592" s="1" t="str">
        <f ca="1">IF(ISERROR(F584),"",SUM(P592:Q592))</f>
        <v/>
      </c>
      <c r="S592" s="1" t="str">
        <f ca="1">IF(ISERROR(F584),"",VLOOKUP(A584,INDIRECT($F$8),6+(O592-1)*3))</f>
        <v/>
      </c>
      <c r="T592" s="1" t="str">
        <f ca="1">IF(ISERROR(F584),"",VLOOKUP(A584,INDIRECT($F$8),7+(O592-1)*3))</f>
        <v/>
      </c>
      <c r="U592" s="1" t="str">
        <f ca="1">IF(ISERROR(F584),"",VLOOKUP(A584,INDIRECT($F$8),8+(O592-1)*3))</f>
        <v/>
      </c>
      <c r="V592" s="1" t="str">
        <f ca="1">IF(ISERROR(F584),"",IF(N592=0,A592,""))</f>
        <v/>
      </c>
      <c r="W592" s="1" t="str">
        <f ca="1">IF(ISERROR(F584),"",IF(ISTEXT(VLOOKUP(B584,INDIRECT($F$8),6+(O592-1)*3)),11,IF(VLOOKUP(B584,INDIRECT($F$8),6+(O592-1)*3)&lt;S592*0.3,IF(VLOOKUP(B584,INDIRECT($F$8),8+(O592-1)*3)&lt;U592*0.4,IF(AND(0.4*U592-VLOOKUP(B584,INDIRECT($F$8),8+(O592-1)*3)&lt;=5,0.3*S592-VLOOKUP(B584,INDIRECT($F$8),6+(O592-1)*3)&lt;=5),MAX(0.4*U592-VLOOKUP(B584,INDIRECT($F$8),8+(O592-1)*3),0.3*S592-VLOOKUP(B584,INDIRECT($F$8),6+(O592-1)*3)),11),IF(0.3*S592-VLOOKUP(B584,INDIRECT($F$8),6+(O592-1)*3)&lt;=5,0.3*S592-VLOOKUP(B584,INDIRECT($F$8),6+(O592-1)*3),11)),IF(VLOOKUP(B584,INDIRECT($F$8),8+(O592-1)*3)&lt;U592*0.4,IF(U592*0.4-VLOOKUP(B584,INDIRECT($F$8),8+(O592-1)*3)&lt;=5,U592*0.4-VLOOKUP(B584,INDIRECT($F$8),8+(O592-1)*3),11),0))))</f>
        <v/>
      </c>
      <c r="X592" s="1" t="str">
        <f ca="1">IF(ISERROR(F584),"",IF(W592=0,"",_xlfn.TEXTJOIN("",FALSE," G+",W592," in ",A592)))</f>
        <v/>
      </c>
    </row>
    <row r="593" spans="1:24" ht="12.75" customHeight="1" x14ac:dyDescent="0.2">
      <c r="A593" s="7" t="str">
        <f ca="1">IF(ISERROR(F584),"",VLOOKUP(C584,INDIRECT($F$8),6+(O593-1)*3,0))</f>
        <v/>
      </c>
      <c r="B593" s="41" t="str">
        <f ca="1">IF(ISERROR(F584),"",VLOOKUP(D584,INDIRECT($F$8),6+(O593-1)*3,0))</f>
        <v/>
      </c>
      <c r="C593" s="41"/>
      <c r="D593" s="41"/>
      <c r="E593" s="41"/>
      <c r="F593" s="7" t="str">
        <f ca="1">IF(ISERROR(F584),"",VLOOKUP(E584,INDIRECT($F$8),6+(O593-1)*3,0))</f>
        <v/>
      </c>
      <c r="G593" s="42" t="str">
        <f ca="1">IF(ISERROR(F584),"",_xlfn.TEXTJOIN("/",FALSE,P593,S593))</f>
        <v/>
      </c>
      <c r="H593" s="42"/>
      <c r="I593" s="42" t="str">
        <f ca="1">IF(ISERROR(F584),"",_xlfn.TEXTJOIN("/",FALSE,Q593,T593))</f>
        <v/>
      </c>
      <c r="J593" s="42"/>
      <c r="K593" s="42" t="str">
        <f ca="1">IF(ISERROR(F584),"",_xlfn.TEXTJOIN("/",FALSE,R593,U593))</f>
        <v/>
      </c>
      <c r="L593" s="42"/>
      <c r="M593" s="7" t="str">
        <f ca="1">IF(ISERROR(F584),"",IF(ISTEXT(P593),IF(P593="A","Ab",IF(P593="D","Dt",IF(P593="UFM","UFM",IF(P593="NA","")))),IF(AND(ISBLANK(P593),ISBLANK(R593)),"",IF(P593&lt;0.3*S593,"F",IF(ISBLANK(R593),"",IF(ISTEXT(R593),R593,IF(R593&gt;=0.9*U593,"O",IF(R593&gt;=0.85*U593,"A+",IF(R593&gt;=0.8*U593,"A",IF(R593&gt;=0.7*U593,"B+",IF(R593&gt;=0.6*U593,"B",IF(R593&gt;=0.5*U593,"C",IF(R593&gt;=0.4*U593,"P",IF(R593&lt;0.4*U593,"F",R593))))))))))))))</f>
        <v/>
      </c>
      <c r="N593" s="8" t="str">
        <f t="shared" ca="1" si="36"/>
        <v/>
      </c>
      <c r="O593">
        <f ca="1">IF(O592&gt;0,7,"")</f>
        <v>7</v>
      </c>
      <c r="P593" s="1" t="str">
        <f ca="1">IF(ISERROR(F584),"",IF(ISTEXT(VLOOKUP(B584,INDIRECT($F$8),6+(O593-1)*3)),(VLOOKUP(B584,INDIRECT($F$8),6+(O593-1)*3)),SUM(VLOOKUP(B584,INDIRECT($F$8),6+(O593-1)*3),IF(W596,W593,0))))</f>
        <v/>
      </c>
      <c r="Q593" s="1" t="str">
        <f ca="1">IF(ISERROR(F584),"",VLOOKUP(B584,INDIRECT($F$8),7+(O593-1)*3))</f>
        <v/>
      </c>
      <c r="R593" s="1" t="str">
        <f ca="1">IF(ISERROR(F584),"",SUM(P593:Q593))</f>
        <v/>
      </c>
      <c r="S593" s="1" t="str">
        <f ca="1">IF(ISERROR(F584),"",VLOOKUP(A584,INDIRECT($F$8),6+(O593-1)*3))</f>
        <v/>
      </c>
      <c r="T593" s="1" t="str">
        <f ca="1">IF(ISERROR(F584),"",VLOOKUP(A584,INDIRECT($F$8),7+(O593-1)*3))</f>
        <v/>
      </c>
      <c r="U593" s="1" t="str">
        <f ca="1">IF(ISERROR(F584),"",VLOOKUP(A584,INDIRECT($F$8),8+(O593-1)*3))</f>
        <v/>
      </c>
      <c r="V593" s="1" t="str">
        <f ca="1">IF(ISERROR(F584),"",IF(N593=0,A593,""))</f>
        <v/>
      </c>
      <c r="W593" s="1" t="str">
        <f ca="1">IF(ISERROR(F584),"",IF(ISTEXT(VLOOKUP(B584,INDIRECT($F$8),6+(O593-1)*3)),11,IF(VLOOKUP(B584,INDIRECT($F$8),6+(O593-1)*3)&lt;S593*0.3,IF(VLOOKUP(B584,INDIRECT($F$8),8+(O593-1)*3)&lt;U593*0.4,IF(AND(0.4*U593-VLOOKUP(B584,INDIRECT($F$8),8+(O593-1)*3)&lt;=5,0.3*S593-VLOOKUP(B584,INDIRECT($F$8),6+(O593-1)*3)&lt;=5),MAX(0.4*U593-VLOOKUP(B584,INDIRECT($F$8),8+(O593-1)*3),0.3*S593-VLOOKUP(B584,INDIRECT($F$8),6+(O593-1)*3)),11),IF(0.3*S593-VLOOKUP(B584,INDIRECT($F$8),6+(O593-1)*3)&lt;=5,0.3*S593-VLOOKUP(B584,INDIRECT($F$8),6+(O593-1)*3),11)),IF(VLOOKUP(B584,INDIRECT($F$8),8+(O593-1)*3)&lt;U593*0.4,IF(U593*0.4-VLOOKUP(B584,INDIRECT($F$8),8+(O593-1)*3)&lt;=5,U593*0.4-VLOOKUP(B584,INDIRECT($F$8),8+(O593-1)*3),11),0))))</f>
        <v/>
      </c>
      <c r="X593" s="1" t="str">
        <f ca="1">IF(ISERROR(F584),"",IF(W593=0,"",_xlfn.TEXTJOIN("",FALSE," G+",W593," in ",A593)))</f>
        <v/>
      </c>
    </row>
    <row r="594" spans="1:24" ht="12.75" customHeight="1" x14ac:dyDescent="0.2">
      <c r="A594" s="7" t="str">
        <f ca="1">IF(ISERROR(F584),"",VLOOKUP(C584,INDIRECT($F$8),6+(O594-1)*3,0))</f>
        <v/>
      </c>
      <c r="B594" s="41" t="str">
        <f ca="1">IF(ISERROR(F584),"",VLOOKUP(D584,INDIRECT($F$8),6+(O594-1)*3,0))</f>
        <v/>
      </c>
      <c r="C594" s="41"/>
      <c r="D594" s="41"/>
      <c r="E594" s="41"/>
      <c r="F594" s="7" t="str">
        <f ca="1">IF(ISERROR(F584),"",VLOOKUP(E584,INDIRECT($F$8),6+(O594-1)*3,0))</f>
        <v/>
      </c>
      <c r="G594" s="42" t="str">
        <f ca="1">IF(ISERROR(F584),"",_xlfn.TEXTJOIN("/",FALSE,P594,S594))</f>
        <v/>
      </c>
      <c r="H594" s="42"/>
      <c r="I594" s="42" t="str">
        <f ca="1">IF(ISERROR(F584),"",_xlfn.TEXTJOIN("/",FALSE,Q594,T594))</f>
        <v/>
      </c>
      <c r="J594" s="42"/>
      <c r="K594" s="42" t="str">
        <f ca="1">IF(ISERROR(F584),"",_xlfn.TEXTJOIN("/",FALSE,R594,U594))</f>
        <v/>
      </c>
      <c r="L594" s="42"/>
      <c r="M594" s="7" t="str">
        <f ca="1">IF(ISERROR(F584),"",IF(ISTEXT(P594),IF(P594="A","Ab",IF(P594="D","Dt",IF(P594="UFM","UFM",IF(P594="NA","")))),IF(AND(ISBLANK(P594),ISBLANK(R594)),"",IF(P594&lt;0.3*S594,"F",IF(ISBLANK(R594),"",IF(ISTEXT(R594),R594,IF(R594&gt;=0.9*U594,"O",IF(R594&gt;=0.85*U594,"A+",IF(R594&gt;=0.8*U594,"A",IF(R594&gt;=0.7*U594,"B+",IF(R594&gt;=0.6*U594,"B",IF(R594&gt;=0.5*U594,"C",IF(R594&gt;=0.4*U594,"P",IF(R594&lt;0.4*U594,"F",R594))))))))))))))</f>
        <v/>
      </c>
      <c r="N594" s="8" t="str">
        <f t="shared" ca="1" si="36"/>
        <v/>
      </c>
      <c r="O594" t="b" cm="1">
        <f t="array" aca="1" ref="O594" ca="1">IF(NOT(ISBLANK(INDIRECT("SEM_IV!AA"&amp;INT((ROW(O594)-18)/16)+6))),8,IF(NOT(ISBLANK(INDIRECT("SEM_IV!AD"&amp;INT((ROW(O594)-18)/16)+6))),9))</f>
        <v>0</v>
      </c>
      <c r="P594" s="1" t="str">
        <f ca="1">IF(ISERROR(F584),"",IF(ISTEXT(VLOOKUP(B584,INDIRECT($F$8),6+(O594-1)*3)),(VLOOKUP(B584,INDIRECT($F$8),6+(O594-1)*3)),SUM(VLOOKUP(B584,INDIRECT($F$8),6+(O594-1)*3),IF(W596,W594,0))))</f>
        <v/>
      </c>
      <c r="Q594" s="1" t="str">
        <f ca="1">IF(ISERROR(F584),"",VLOOKUP(B584,INDIRECT($F$8),7+(O594-1)*3))</f>
        <v/>
      </c>
      <c r="R594" s="1" t="str">
        <f ca="1">IF(ISERROR(F584),"",SUM(P594:Q594))</f>
        <v/>
      </c>
      <c r="S594" s="1" t="str">
        <f ca="1">IF(ISERROR(F584),"",VLOOKUP(A584,INDIRECT($F$8),6+(O594-1)*3))</f>
        <v/>
      </c>
      <c r="T594" s="1" t="str">
        <f ca="1">IF(ISERROR(F584),"",VLOOKUP(A584,INDIRECT($F$8),7+(O594-1)*3))</f>
        <v/>
      </c>
      <c r="U594" s="1" t="str">
        <f ca="1">IF(ISERROR(F584),"",VLOOKUP(A584,INDIRECT($F$8),8+(O594-1)*3))</f>
        <v/>
      </c>
      <c r="V594" s="1" t="str">
        <f ca="1">IF(ISERROR(F584),"",IF(N594=0,A594,""))</f>
        <v/>
      </c>
      <c r="W594" s="1" t="str">
        <f ca="1">IF(ISERROR(F584),"",IF(ISTEXT(VLOOKUP(B584,INDIRECT($F$8),6+(O594-1)*3)),11,IF(VLOOKUP(B584,INDIRECT($F$8),6+(O594-1)*3)&lt;S594*0.3,IF(VLOOKUP(B584,INDIRECT($F$8),8+(O594-1)*3)&lt;U594*0.4,IF(AND(0.4*U594-VLOOKUP(B584,INDIRECT($F$8),8+(O594-1)*3)&lt;=5,0.3*S594-VLOOKUP(B584,INDIRECT($F$8),6+(O594-1)*3)&lt;=5),MAX(0.4*U594-VLOOKUP(B584,INDIRECT($F$8),8+(O594-1)*3),0.3*S594-VLOOKUP(B584,INDIRECT($F$8),6+(O594-1)*3)),11),IF(0.3*S594-VLOOKUP(B584,INDIRECT($F$8),6+(O594-1)*3)&lt;=5,0.3*S594-VLOOKUP(B584,INDIRECT($F$8),6+(O594-1)*3),11)),IF(VLOOKUP(B584,INDIRECT($F$8),8+(O594-1)*3)&lt;U594*0.4,IF(U594*0.4-VLOOKUP(B584,INDIRECT($F$8),8+(O594-1)*3)&lt;=5,U594*0.4-VLOOKUP(B584,INDIRECT($F$8),8+(O594-1)*3),11),0))))</f>
        <v/>
      </c>
      <c r="X594" s="1" t="str">
        <f ca="1">IF(ISERROR(F584),"",IF(W594=0,"",_xlfn.TEXTJOIN("",FALSE," G+",W594," in ",A594)))</f>
        <v/>
      </c>
    </row>
    <row r="595" spans="1:24" ht="12.75" customHeight="1" x14ac:dyDescent="0.2">
      <c r="A595" s="7" t="str">
        <f ca="1">IF(ISERROR(F584),"",VLOOKUP(C584,INDIRECT($F$8),6+(O595-1)*3,0))</f>
        <v/>
      </c>
      <c r="B595" s="41" t="str">
        <f ca="1">IF(ISERROR(F584),"",VLOOKUP(D584,INDIRECT($F$8),6+(O595-1)*3-Z595,0))</f>
        <v/>
      </c>
      <c r="C595" s="41"/>
      <c r="D595" s="41"/>
      <c r="E595" s="41"/>
      <c r="F595" s="7" t="str">
        <f ca="1">IF(ISERROR(F584),"",VLOOKUP(E584,INDIRECT($F$8),6+(O595-1)*3,0))</f>
        <v/>
      </c>
      <c r="G595" s="42" t="str">
        <f ca="1">IF(ISERROR(F584),"",_xlfn.TEXTJOIN("/",FALSE,P595,S595))</f>
        <v/>
      </c>
      <c r="H595" s="42"/>
      <c r="I595" s="42" t="str">
        <f ca="1">IF(ISERROR(F584),"",_xlfn.TEXTJOIN("/",FALSE,Q595,T595))</f>
        <v/>
      </c>
      <c r="J595" s="42"/>
      <c r="K595" s="42" t="str">
        <f ca="1">IF(ISERROR(F584),"",_xlfn.TEXTJOIN("/",FALSE,R595,U595))</f>
        <v/>
      </c>
      <c r="L595" s="42"/>
      <c r="M595" s="7" t="str">
        <f ca="1">IF(ISERROR(F584),"",IF(ISTEXT(P595),IF(P595="A","Ab",IF(P595="D","Dt",IF(P595="UFM","UFM",IF(P595="NA","")))),IF(AND(ISBLANK(P595),ISBLANK(R595)),"",IF(P595&lt;0.3*S595,"F",IF(ISBLANK(R595),"",IF(ISTEXT(R595),R595,IF(R595&gt;=0.9*U595,"O",IF(R595&gt;=0.85*U595,"A+",IF(R595&gt;=0.8*U595,"A",IF(R595&gt;=0.7*U595,"B+",IF(R595&gt;=0.6*U595,"B",IF(R595&gt;=0.5*U595,"C",IF(R595&gt;=0.4*U595,"P",IF(R595&lt;0.4*U595,"F",R595))))))))))))))</f>
        <v/>
      </c>
      <c r="N595" s="8" t="str">
        <f t="shared" ca="1" si="36"/>
        <v/>
      </c>
      <c r="O595">
        <f ca="1">IF(O594&gt;0,10,"")</f>
        <v>10</v>
      </c>
      <c r="P595" s="1" t="str">
        <f ca="1">IF(ISERROR(F584),"",IF(ISTEXT(VLOOKUP(B584,INDIRECT($F$8),6+(O595-1)*3)),(VLOOKUP(B584,INDIRECT($F$8),6+(O595-1)*3)),SUM(VLOOKUP(B584,INDIRECT($F$8),6+(O595-1)*3),IF(W596,W595,0))))</f>
        <v/>
      </c>
      <c r="Q595" s="1" t="str">
        <f ca="1">IF(ISERROR(F584),"",VLOOKUP(B584,INDIRECT($F$8),7+(O595-1)*3))</f>
        <v/>
      </c>
      <c r="R595" s="1" t="str">
        <f ca="1">IF(ISERROR(F584),"",SUM(P595:Q595))</f>
        <v/>
      </c>
      <c r="S595" s="1" t="str">
        <f ca="1">IF(ISERROR(F584),"",VLOOKUP(A584,INDIRECT($F$8),6+(O595-1)*3))</f>
        <v/>
      </c>
      <c r="T595" s="1" t="str">
        <f ca="1">IF(ISERROR(F584),"",VLOOKUP(A584,INDIRECT($F$8),7+(O595-1)*3))</f>
        <v/>
      </c>
      <c r="U595" s="1" t="str">
        <f ca="1">IF(ISERROR(F584),"",VLOOKUP(A584,INDIRECT($F$8),8+(O595-1)*3))</f>
        <v/>
      </c>
      <c r="V595" s="1" t="str">
        <f ca="1">IF(ISERROR(F584),"",IF(N595=0,A595,""))</f>
        <v/>
      </c>
      <c r="W595" s="1" t="str">
        <f ca="1">IF(ISERROR(F584),"",IF(ISTEXT(VLOOKUP(B584,INDIRECT($F$8),6+(O595-1)*3)),11,IF(VLOOKUP(B584,INDIRECT($F$8),6+(O595-1)*3)&lt;S595*0.3,IF(VLOOKUP(B584,INDIRECT($F$8),8+(O595-1)*3)&lt;U595*0.4,IF(AND(0.4*U595-VLOOKUP(B584,INDIRECT($F$8),8+(O595-1)*3)&lt;=5,0.3*S595-VLOOKUP(B584,INDIRECT($F$8),6+(O595-1)*3)&lt;=5),MAX(0.4*U595-VLOOKUP(B584,INDIRECT($F$8),8+(O595-1)*3),0.3*S595-VLOOKUP(B584,INDIRECT($F$8),6+(O595-1)*3)),11),IF(0.3*S595-VLOOKUP(B584,INDIRECT($F$8),6+(O595-1)*3)&lt;=5,0.3*S595-VLOOKUP(B584,INDIRECT($F$8),6+(O595-1)*3),11)),IF(VLOOKUP(B584,INDIRECT($F$8),8+(O595-1)*3)&lt;U595*0.4,IF(U595*0.4-VLOOKUP(B584,INDIRECT($F$8),8+(O595-1)*3)&lt;=5,U595*0.4-VLOOKUP(B584,INDIRECT($F$8),8+(O595-1)*3),11),0))))</f>
        <v/>
      </c>
      <c r="X595" s="1" t="str">
        <f ca="1">IF(ISERROR(F584),"",IF(W595=0,"",_xlfn.TEXTJOIN("",FALSE," G+",W595," in ",A595)))</f>
        <v/>
      </c>
    </row>
    <row r="596" spans="1:24" ht="12.75" customHeight="1" x14ac:dyDescent="0.2">
      <c r="A596" s="43" t="str">
        <f ca="1">IF(ISERROR(F584),"",A580)</f>
        <v/>
      </c>
      <c r="B596" s="43"/>
      <c r="C596" s="43"/>
      <c r="D596" s="43"/>
      <c r="E596" s="43"/>
      <c r="F596" s="10" t="str">
        <f ca="1">IF(ISERROR(F584),"",SUM(F589:F595))</f>
        <v/>
      </c>
      <c r="G596" s="44" t="str">
        <f ca="1">IF(ISERROR(F584),"",_xlfn.TEXTJOIN("/",TRUE,SUMIF(F589:F595,"&gt;0",P589:P595),SUMIF(F589:F595,"&gt;0",S589:S595)))</f>
        <v/>
      </c>
      <c r="H596" s="44"/>
      <c r="I596" s="44" t="str">
        <f ca="1">IF(ISERROR(F584),"",_xlfn.TEXTJOIN("/",TRUE,SUMIF(F589:F595,"&gt;0",Q589:Q595),SUMIF(F589:F595,"&gt;0",T589:T595)))</f>
        <v/>
      </c>
      <c r="J596" s="44"/>
      <c r="K596" s="44" t="str">
        <f ca="1">IF(ISERROR(F584),"",_xlfn.TEXTJOIN("/",TRUE,SUMIF(F589:F595,"&gt;0",R589:R595),SUMIF(F589:F595,"&gt;0",U589:U595)))</f>
        <v/>
      </c>
      <c r="L596" s="44"/>
      <c r="M596" s="43" t="str">
        <f ca="1">IF(ISERROR(F584),"",SUMPRODUCT(N589:N595,F589:F595))</f>
        <v/>
      </c>
      <c r="N596" s="43"/>
      <c r="V596" s="1" t="str">
        <f ca="1">IF(ISERROR(F584),"",_xlfn.TEXTJOIN(", ",TRUE,V589:V595))</f>
        <v/>
      </c>
      <c r="W596" t="str">
        <f ca="1">IF(ISERROR(F584),"",IF(SUM(W589:W595)&lt;=W588,TRUE,FALSE))</f>
        <v/>
      </c>
      <c r="X596" s="1" t="str">
        <f ca="1">IF(ISERROR(F584),"",_xlfn.TEXTJOIN(",",TRUE,X589:X595))</f>
        <v/>
      </c>
    </row>
    <row r="597" spans="1:24" ht="12.75" customHeight="1" x14ac:dyDescent="0.2">
      <c r="A597" s="43" t="str">
        <f ca="1">IF(ISERROR(F584),"",A581)</f>
        <v/>
      </c>
      <c r="B597" s="45" t="str">
        <f ca="1">IF(ISERROR(F584),"",IF(V596="","PASS","CARRY OVER"))</f>
        <v/>
      </c>
      <c r="C597" s="45"/>
      <c r="D597" s="43" t="str">
        <f ca="1">IF(ISERROR(F584),"",D581)</f>
        <v/>
      </c>
      <c r="E597" s="45" t="str">
        <f ca="1">IF(ISERROR(F584),"",IF(V596="",IF(X596="","",X596),_xlfn.TEXTJOIN(" ",TRUE,"BACK IN",V596)))</f>
        <v/>
      </c>
      <c r="F597" s="45"/>
      <c r="G597" s="43" t="str">
        <f ca="1">IF(ISERROR(F584),"",G581)</f>
        <v/>
      </c>
      <c r="H597" s="46" t="str">
        <f ca="1">IF(ISERROR(F584),"",M596/F596)</f>
        <v/>
      </c>
      <c r="I597" s="43" t="str">
        <f ca="1">IF(ISERROR(F584),"",I581)</f>
        <v/>
      </c>
      <c r="J597" s="46" t="str">
        <f ca="1">IF(ISERROR(F584),"",VLOOKUP(B584,INDIRECT($F$8),12+(O595-1)*3,0))</f>
        <v/>
      </c>
      <c r="K597" s="45" t="str">
        <f ca="1">IF(ISERROR(F584),"",K581)</f>
        <v/>
      </c>
      <c r="L597" s="43" t="str">
        <f ca="1">IF(ISERROR(F584),"",SUMIF(N589:N595,"&gt;0",F589:F595))</f>
        <v/>
      </c>
      <c r="M597" s="45" t="str">
        <f ca="1">IF(ISERROR(F584),"",M581)</f>
        <v/>
      </c>
      <c r="N597" s="43" t="str">
        <f ca="1">IF(ISERROR(F584),"",VLOOKUP(B584,INDIRECT($F$8),10+(O595-1)*3,0))</f>
        <v/>
      </c>
    </row>
    <row r="598" spans="1:24" ht="12.75" customHeight="1" x14ac:dyDescent="0.2">
      <c r="A598" s="43"/>
      <c r="B598" s="45"/>
      <c r="C598" s="45"/>
      <c r="D598" s="43"/>
      <c r="E598" s="45"/>
      <c r="F598" s="45"/>
      <c r="G598" s="43"/>
      <c r="H598" s="46"/>
      <c r="I598" s="43"/>
      <c r="J598" s="46"/>
      <c r="K598" s="45"/>
      <c r="L598" s="43"/>
      <c r="M598" s="45"/>
      <c r="N598" s="43"/>
    </row>
    <row r="599" spans="1:24" ht="12.75" customHeight="1" x14ac:dyDescent="0.2">
      <c r="A599" s="43"/>
      <c r="B599" s="45"/>
      <c r="C599" s="45"/>
      <c r="D599" s="43"/>
      <c r="E599" s="45"/>
      <c r="F599" s="45"/>
      <c r="G599" s="43"/>
      <c r="H599" s="46"/>
      <c r="I599" s="43"/>
      <c r="J599" s="46"/>
      <c r="K599" s="45"/>
      <c r="L599" s="43"/>
      <c r="M599" s="45"/>
      <c r="N599" s="43"/>
    </row>
    <row r="600" spans="1:24" ht="12.75" customHeight="1" x14ac:dyDescent="0.2">
      <c r="A600" s="11" t="str">
        <f>A584</f>
        <v>MM</v>
      </c>
      <c r="B600" s="11">
        <f>B584+1</f>
        <v>38</v>
      </c>
      <c r="C600" s="11" t="str">
        <f>C584</f>
        <v>SC</v>
      </c>
      <c r="D600" s="11" t="str">
        <f>D584</f>
        <v>SN</v>
      </c>
      <c r="E600" s="11" t="str">
        <f>E584</f>
        <v>C</v>
      </c>
      <c r="F600" s="11" t="e">
        <f ca="1">VLOOKUP(B600,INDIRECT($F$8),4,0)</f>
        <v>#N/A</v>
      </c>
    </row>
    <row r="601" spans="1:24" ht="12.75" customHeight="1" x14ac:dyDescent="0.2">
      <c r="A601" s="47" t="str">
        <f ca="1">IF(ISERROR(F600),"",A585)</f>
        <v/>
      </c>
      <c r="B601" s="47" t="str">
        <f ca="1">IFERROR(VLOOKUP(B600,INDIRECT($F$8),4,0),"")</f>
        <v/>
      </c>
      <c r="C601" s="47"/>
      <c r="D601" s="47" t="str">
        <f ca="1">IF(ISERROR(F600),"",D585)</f>
        <v/>
      </c>
      <c r="E601" s="47" t="str">
        <f ca="1">IFERROR(VLOOKUP(B600,INDIRECT($F$8),5,0),"")</f>
        <v/>
      </c>
      <c r="F601" s="47"/>
      <c r="G601" s="47" t="str">
        <f ca="1">IF(ISERROR(F600),"",G585)</f>
        <v/>
      </c>
      <c r="H601" s="47"/>
      <c r="I601" s="48" t="str">
        <f ca="1">IFERROR(VLOOKUP(B600,INDIRECT($F$8),2,0),"")</f>
        <v/>
      </c>
      <c r="J601" s="48"/>
      <c r="K601" s="47" t="str">
        <f ca="1">IF(ISERROR(F600),"",K585)</f>
        <v/>
      </c>
      <c r="L601" s="47"/>
      <c r="M601" s="48" t="str">
        <f ca="1">IFERROR(VLOOKUP(B600,INDIRECT($F$8),3,0),"")</f>
        <v/>
      </c>
      <c r="N601" s="48"/>
    </row>
    <row r="602" spans="1:24" ht="12.75" customHeight="1" x14ac:dyDescent="0.2">
      <c r="A602" s="47"/>
      <c r="B602" s="47"/>
      <c r="C602" s="47"/>
      <c r="D602" s="47"/>
      <c r="E602" s="47"/>
      <c r="F602" s="47"/>
      <c r="G602" s="47"/>
      <c r="H602" s="47"/>
      <c r="I602" s="48"/>
      <c r="J602" s="48"/>
      <c r="K602" s="47"/>
      <c r="L602" s="47"/>
      <c r="M602" s="48"/>
      <c r="N602" s="48"/>
    </row>
    <row r="603" spans="1:24" ht="12.75" customHeight="1" x14ac:dyDescent="0.2">
      <c r="A603" s="45" t="str">
        <f ca="1">IF(ISERROR(F600),"",A587)</f>
        <v/>
      </c>
      <c r="B603" s="45" t="str">
        <f ca="1">IF(ISERROR(F600),"",B587)</f>
        <v/>
      </c>
      <c r="C603" s="45"/>
      <c r="D603" s="45"/>
      <c r="E603" s="45"/>
      <c r="F603" s="45" t="str">
        <f ca="1">IF(ISERROR(F600),"",F587)</f>
        <v/>
      </c>
      <c r="G603" s="45" t="str">
        <f ca="1">IF(ISERROR(F600),"",G587)</f>
        <v/>
      </c>
      <c r="H603" s="45"/>
      <c r="I603" s="45" t="str">
        <f ca="1">IF(ISERROR(F600),"",I587)</f>
        <v/>
      </c>
      <c r="J603" s="45"/>
      <c r="K603" s="45" t="str">
        <f ca="1">IF(ISERROR(F600),"",K587)</f>
        <v/>
      </c>
      <c r="L603" s="45"/>
      <c r="M603" s="45" t="str">
        <f ca="1">IF(ISERROR(F600),"",M587)</f>
        <v/>
      </c>
      <c r="N603" s="45" t="str">
        <f ca="1">IF(ISERROR(F600),"",N587)</f>
        <v/>
      </c>
    </row>
    <row r="604" spans="1:24" ht="12.75" customHeight="1" x14ac:dyDescent="0.2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W604" t="e">
        <f ca="1">IF(ISNUMBER(MATCH($F$8,{"I","III","V","VII"},0)),10,10-INDEX(INDIRECT(_xlfn.TEXTJOIN("",TRUE,"SEM_",$G$8,"!",ADDRESS(6,4+$I$8*3+4),":",ADDRESS(5+$H$8,4+$I$8*3+4))),MATCH(INDIRECT(_xlfn.TEXTJOIN("",TRUE,"TC_",$F$8,"!",ADDRESS(ROW(I601),COLUMN(I601)))),INDIRECT(_xlfn.TEXTJOIN("",TRUE,"SEM_",$G$8,"!",ADDRESS(6,2),":",ADDRESS(5+$H$8,2))))))</f>
        <v>#N/A</v>
      </c>
    </row>
    <row r="605" spans="1:24" ht="12.75" customHeight="1" x14ac:dyDescent="0.2">
      <c r="A605" s="7" t="str">
        <f ca="1">IF(ISERROR(F600),"",VLOOKUP(C600,INDIRECT($F$8),6+(O605-1)*3,0))</f>
        <v/>
      </c>
      <c r="B605" s="41" t="str">
        <f ca="1">IF(ISERROR(F600),"",VLOOKUP(D600,INDIRECT($F$8),6+(O605-1)*3,0))</f>
        <v/>
      </c>
      <c r="C605" s="41"/>
      <c r="D605" s="41"/>
      <c r="E605" s="41"/>
      <c r="F605" s="7" t="str">
        <f ca="1">IF(ISERROR(F600),"",VLOOKUP(E600,INDIRECT($F$8),6+(O605-1)*3,0))</f>
        <v/>
      </c>
      <c r="G605" s="42" t="str">
        <f ca="1">IF(ISERROR(F600),"",_xlfn.TEXTJOIN("/",FALSE,P605,S605))</f>
        <v/>
      </c>
      <c r="H605" s="42"/>
      <c r="I605" s="42" t="str">
        <f ca="1">IF(ISERROR(F600),"",_xlfn.TEXTJOIN("/",FALSE,Q605,T605))</f>
        <v/>
      </c>
      <c r="J605" s="42"/>
      <c r="K605" s="42" t="str">
        <f ca="1">IF(ISERROR(F600),"",_xlfn.TEXTJOIN("/",FALSE,R605,U605))</f>
        <v/>
      </c>
      <c r="L605" s="42"/>
      <c r="M605" s="7" t="str">
        <f ca="1">IF(ISERROR(F600),"",IF(ISTEXT(P605),IF(P605="A","Ab",IF(P605="D","Dt",IF(P605="UFM","UFM",IF(P605="NA","")))),IF(AND(ISBLANK(P605),ISBLANK(R605)),"",IF(P605&lt;0.3*S605,"F",IF(ISBLANK(R605),"",IF(ISTEXT(R605),R605,IF(R605&gt;=0.9*U605,"O",IF(R605&gt;=0.85*U605,"A+",IF(R605&gt;=0.8*U605,"A",IF(R605&gt;=0.7*U605,"B+",IF(R605&gt;=0.6*U605,"B",IF(R605&gt;=0.5*U605,"C",IF(R605&gt;=0.4*U605,"P",IF(R605&lt;0.4*U605,"F",R605))))))))))))))</f>
        <v/>
      </c>
      <c r="N605" s="8" t="str">
        <f t="shared" ref="N605:N611" ca="1" si="37">INDEX($Z$2:$Z$13,MATCH(M605,$Y$2:$Y$13,0))</f>
        <v/>
      </c>
      <c r="O605">
        <v>1</v>
      </c>
      <c r="P605" s="1" t="str">
        <f ca="1">IF(ISERROR(F600),"",IF(ISTEXT(VLOOKUP(B600,INDIRECT($F$8),6+(O605-1)*3)),(VLOOKUP(B600,INDIRECT($F$8),6+(O605-1)*3)),SUM(VLOOKUP(B600,INDIRECT($F$8),6+(O605-1)*3),IF(W612,W605,0))))</f>
        <v/>
      </c>
      <c r="Q605" s="1" t="str">
        <f ca="1">IF(ISERROR(F600),"",VLOOKUP(B600,INDIRECT($F$8),7+(O605-1)*3))</f>
        <v/>
      </c>
      <c r="R605" s="1" t="str">
        <f ca="1">IF(ISERROR(F600),"",SUM(P605:Q605))</f>
        <v/>
      </c>
      <c r="S605" s="1" t="str">
        <f ca="1">IF(ISERROR(F600),"",VLOOKUP(A600,INDIRECT($F$8),6+(O605-1)*3))</f>
        <v/>
      </c>
      <c r="T605" s="1" t="str">
        <f ca="1">IF(ISERROR(F600),"",VLOOKUP(A600,INDIRECT($F$8),7+(O605-1)*3))</f>
        <v/>
      </c>
      <c r="U605" s="1" t="str">
        <f ca="1">IF(ISERROR(F600),"",VLOOKUP(A600,INDIRECT($F$8),8+(O605-1)*3))</f>
        <v/>
      </c>
      <c r="V605" s="1" t="str">
        <f ca="1">IF(ISERROR(F600),"",IF(N605=0,A605,""))</f>
        <v/>
      </c>
      <c r="W605" s="1" t="str">
        <f ca="1">IF(ISERROR(F600),"",IF(ISTEXT(VLOOKUP(B600,INDIRECT($F$8),6+(O605-1)*3)),11,IF(VLOOKUP(B600,INDIRECT($F$8),6+(O605-1)*3)&lt;S605*0.3,IF(VLOOKUP(B600,INDIRECT($F$8),8+(O605-1)*3)&lt;U605*0.4,IF(AND(0.4*U605-VLOOKUP(B600,INDIRECT($F$8),8+(O605-1)*3)&lt;=5,0.3*S605-VLOOKUP(B600,INDIRECT($F$8),6+(O605-1)*3)&lt;=5),MAX(0.4*U605-VLOOKUP(B600,INDIRECT($F$8),8+(O605-1)*3),0.3*S605-VLOOKUP(B600,INDIRECT($F$8),6+(O605-1)*3)),11),IF(0.3*S605-VLOOKUP(B600,INDIRECT($F$8),6+(O605-1)*3)&lt;=5,0.3*S605-VLOOKUP(B600,INDIRECT($F$8),6+(O605-1)*3),11)),IF(VLOOKUP(B600,INDIRECT($F$8),8+(O605-1)*3)&lt;U605*0.4,IF(U605*0.4-VLOOKUP(B600,INDIRECT($F$8),8+(O605-1)*3)&lt;=5,U605*0.4-VLOOKUP(B600,INDIRECT($F$8),8+(O605-1)*3),11),0))))</f>
        <v/>
      </c>
      <c r="X605" s="1" t="str">
        <f ca="1">IF(ISERROR(F600),"",IF(W605=0,"",_xlfn.TEXTJOIN("",FALSE," G+",W605," in ",A605)))</f>
        <v/>
      </c>
    </row>
    <row r="606" spans="1:24" ht="12.75" customHeight="1" x14ac:dyDescent="0.2">
      <c r="A606" s="7" t="str">
        <f ca="1">IF(ISERROR(F600),"",VLOOKUP(C600,INDIRECT($F$8),6+(O606-1)*3,0))</f>
        <v/>
      </c>
      <c r="B606" s="41" t="str">
        <f ca="1">IF(ISERROR(F600),"",VLOOKUP(D600,INDIRECT($F$8),6+(O606-1)*3,0))</f>
        <v/>
      </c>
      <c r="C606" s="41"/>
      <c r="D606" s="41"/>
      <c r="E606" s="41"/>
      <c r="F606" s="7" t="str">
        <f ca="1">IF(ISERROR(F600),"",VLOOKUP(E600,INDIRECT($F$8),6+(O606-1)*3,0))</f>
        <v/>
      </c>
      <c r="G606" s="42" t="str">
        <f ca="1">IF(ISERROR(F600),"",_xlfn.TEXTJOIN("/",FALSE,P606,S606))</f>
        <v/>
      </c>
      <c r="H606" s="42"/>
      <c r="I606" s="42" t="str">
        <f ca="1">IF(ISERROR(F600),"",_xlfn.TEXTJOIN("/",FALSE,Q606,T606))</f>
        <v/>
      </c>
      <c r="J606" s="42"/>
      <c r="K606" s="42" t="str">
        <f ca="1">IF(ISERROR(F600),"",_xlfn.TEXTJOIN("/",FALSE,R606,U606))</f>
        <v/>
      </c>
      <c r="L606" s="42"/>
      <c r="M606" s="7" t="str">
        <f ca="1">IF(ISERROR(F600),"",IF(ISTEXT(P606),IF(P606="A","Ab",IF(P606="D","Dt",IF(P606="UFM","UFM",IF(P606="NA","")))),IF(AND(ISBLANK(P606),ISBLANK(R606)),"",IF(P606&lt;0.3*S606,"F",IF(ISBLANK(R606),"",IF(ISTEXT(R606),R606,IF(R606&gt;=0.9*U606,"O",IF(R606&gt;=0.85*U606,"A+",IF(R606&gt;=0.8*U606,"A",IF(R606&gt;=0.7*U606,"B+",IF(R606&gt;=0.6*U606,"B",IF(R606&gt;=0.5*U606,"C",IF(R606&gt;=0.4*U606,"P",IF(R606&lt;0.4*U606,"F",R606))))))))))))))</f>
        <v/>
      </c>
      <c r="N606" s="8" t="str">
        <f t="shared" ca="1" si="37"/>
        <v/>
      </c>
      <c r="O606" t="b" cm="1">
        <f t="array" aca="1" ref="O606" ca="1">IF(NOT(ISBLANK(INDIRECT("SEM_IV!I"&amp;INT((ROW(O606)-14)/16)+6))),2,IF(NOT(ISBLANK(INDIRECT("SEM_IV!L"&amp;INT((ROW(O606)-14)/16)+6))),3))</f>
        <v>0</v>
      </c>
      <c r="P606" s="1" t="str">
        <f ca="1">IF(ISERROR(F600),"",IF(ISTEXT(VLOOKUP(B600,INDIRECT($F$8),6+(O606-1)*3)),(VLOOKUP(B600,INDIRECT($F$8),6+(O606-1)*3)),SUM(VLOOKUP(B600,INDIRECT($F$8),6+(O606-1)*3),IF(W612,W606,0))))</f>
        <v/>
      </c>
      <c r="Q606" s="1" t="str">
        <f ca="1">IF(ISERROR(F600),"",VLOOKUP(B600,INDIRECT($F$8),7+(O606-1)*3))</f>
        <v/>
      </c>
      <c r="R606" s="1" t="str">
        <f ca="1">IF(ISERROR(F600),"",SUM(P606:Q606))</f>
        <v/>
      </c>
      <c r="S606" s="1" t="str">
        <f ca="1">IF(ISERROR(F600),"",VLOOKUP(A600,INDIRECT($F$8),6+(O606-1)*3))</f>
        <v/>
      </c>
      <c r="T606" s="1" t="str">
        <f ca="1">IF(ISERROR(F600),"",VLOOKUP(A600,INDIRECT($F$8),7+(O606-1)*3))</f>
        <v/>
      </c>
      <c r="U606" s="1" t="str">
        <f ca="1">IF(ISERROR(F600),"",VLOOKUP(A600,INDIRECT($F$8),8+(O606-1)*3))</f>
        <v/>
      </c>
      <c r="V606" s="1" t="str">
        <f ca="1">IF(ISERROR(F600),"",IF(N606=0,A606,""))</f>
        <v/>
      </c>
      <c r="W606" s="1" t="str">
        <f ca="1">IF(ISERROR(F600),"",IF(ISTEXT(VLOOKUP(B600,INDIRECT($F$8),6+(O606-1)*3)),11,IF(VLOOKUP(B600,INDIRECT($F$8),6+(O606-1)*3)&lt;S606*0.3,IF(VLOOKUP(B600,INDIRECT($F$8),8+(O606-1)*3)&lt;U606*0.4,IF(AND(0.4*U606-VLOOKUP(B600,INDIRECT($F$8),8+(O606-1)*3)&lt;=5,0.3*S606-VLOOKUP(B600,INDIRECT($F$8),6+(O606-1)*3)&lt;=5),MAX(0.4*U606-VLOOKUP(B600,INDIRECT($F$8),8+(O606-1)*3),0.3*S606-VLOOKUP(B600,INDIRECT($F$8),6+(O606-1)*3)),11),IF(0.3*S606-VLOOKUP(B600,INDIRECT($F$8),6+(O606-1)*3)&lt;=5,0.3*S606-VLOOKUP(B600,INDIRECT($F$8),6+(O606-1)*3),11)),IF(VLOOKUP(B600,INDIRECT($F$8),8+(O606-1)*3)&lt;U606*0.4,IF(U606*0.4-VLOOKUP(B600,INDIRECT($F$8),8+(O606-1)*3)&lt;=5,U606*0.4-VLOOKUP(B600,INDIRECT($F$8),8+(O606-1)*3),11),0))))</f>
        <v/>
      </c>
      <c r="X606" s="1" t="str">
        <f ca="1">IF(ISERROR(F600),"",IF(W606=0,"",_xlfn.TEXTJOIN("",FALSE," G+",W606," in ",A606)))</f>
        <v/>
      </c>
    </row>
    <row r="607" spans="1:24" ht="12.75" customHeight="1" x14ac:dyDescent="0.2">
      <c r="A607" s="7" t="str">
        <f ca="1">IF(ISERROR(F600),"",VLOOKUP(C600,INDIRECT($F$8),6+(O607-1)*3,0))</f>
        <v/>
      </c>
      <c r="B607" s="41" t="str">
        <f ca="1">IF(ISERROR(F600),"",VLOOKUP(D600,INDIRECT($F$8),6+(O607-1)*3,0))</f>
        <v/>
      </c>
      <c r="C607" s="41"/>
      <c r="D607" s="41"/>
      <c r="E607" s="41"/>
      <c r="F607" s="7" t="str">
        <f ca="1">IF(ISERROR(F600),"",VLOOKUP(E600,INDIRECT($F$8),6+(O607-1)*3,0))</f>
        <v/>
      </c>
      <c r="G607" s="42" t="str">
        <f ca="1">IF(ISERROR(F600),"",_xlfn.TEXTJOIN("/",FALSE,P607,S607))</f>
        <v/>
      </c>
      <c r="H607" s="42"/>
      <c r="I607" s="42" t="str">
        <f ca="1">IF(ISERROR(F600),"",_xlfn.TEXTJOIN("/",FALSE,Q607,T607))</f>
        <v/>
      </c>
      <c r="J607" s="42"/>
      <c r="K607" s="42" t="str">
        <f ca="1">IF(ISERROR(F600),"",_xlfn.TEXTJOIN("/",FALSE,R607,U607))</f>
        <v/>
      </c>
      <c r="L607" s="42"/>
      <c r="M607" s="7" t="str">
        <f ca="1">IF(ISERROR(F600),"",IF(ISTEXT(P607),IF(P607="A","Ab",IF(P607="D","Dt",IF(P607="UFM","UFM",IF(P607="NA","")))),IF(AND(ISBLANK(P607),ISBLANK(R607)),"",IF(P607&lt;0.3*S607,"F",IF(ISBLANK(R607),"",IF(ISTEXT(R607),R607,IF(R607&gt;=0.9*U607,"O",IF(R607&gt;=0.85*U607,"A+",IF(R607&gt;=0.8*U607,"A",IF(R607&gt;=0.7*U607,"B+",IF(R607&gt;=0.6*U607,"B",IF(R607&gt;=0.5*U607,"C",IF(R607&gt;=0.4*U607,"P",IF(R607&lt;0.4*U607,"F",R607))))))))))))))</f>
        <v/>
      </c>
      <c r="N607" s="8" t="str">
        <f t="shared" ca="1" si="37"/>
        <v/>
      </c>
      <c r="O607">
        <f ca="1">IF(O606&gt;0,4,"")</f>
        <v>4</v>
      </c>
      <c r="P607" s="1" t="str">
        <f ca="1">IF(ISERROR(F600),"",IF(ISTEXT(VLOOKUP(B600,INDIRECT($F$8),6+(O607-1)*3)),(VLOOKUP(B600,INDIRECT($F$8),6+(O607-1)*3)),SUM(VLOOKUP(B600,INDIRECT($F$8),6+(O607-1)*3),IF(W612,W607,0))))</f>
        <v/>
      </c>
      <c r="Q607" s="1" t="str">
        <f ca="1">IF(ISERROR(F600),"",VLOOKUP(B600,INDIRECT($F$8),7+(O607-1)*3))</f>
        <v/>
      </c>
      <c r="R607" s="1" t="str">
        <f ca="1">IF(ISERROR(F600),"",SUM(P607:Q607))</f>
        <v/>
      </c>
      <c r="S607" s="1" t="str">
        <f ca="1">IF(ISERROR(F600),"",VLOOKUP(A600,INDIRECT($F$8),6+(O607-1)*3))</f>
        <v/>
      </c>
      <c r="T607" s="1" t="str">
        <f ca="1">IF(ISERROR(F600),"",VLOOKUP(A600,INDIRECT($F$8),7+(O607-1)*3))</f>
        <v/>
      </c>
      <c r="U607" s="1" t="str">
        <f ca="1">IF(ISERROR(F600),"",VLOOKUP(A600,INDIRECT($F$8),8+(O607-1)*3))</f>
        <v/>
      </c>
      <c r="V607" s="1" t="str">
        <f ca="1">IF(ISERROR(F600),"",IF(N607=0,A607,""))</f>
        <v/>
      </c>
      <c r="W607" s="1" t="str">
        <f ca="1">IF(ISERROR(F600),"",IF(ISTEXT(VLOOKUP(B600,INDIRECT($F$8),6+(O607-1)*3)),11,IF(VLOOKUP(B600,INDIRECT($F$8),6+(O607-1)*3)&lt;S607*0.3,IF(VLOOKUP(B600,INDIRECT($F$8),8+(O607-1)*3)&lt;U607*0.4,IF(AND(0.4*U607-VLOOKUP(B600,INDIRECT($F$8),8+(O607-1)*3)&lt;=5,0.3*S607-VLOOKUP(B600,INDIRECT($F$8),6+(O607-1)*3)&lt;=5),MAX(0.4*U607-VLOOKUP(B600,INDIRECT($F$8),8+(O607-1)*3),0.3*S607-VLOOKUP(B600,INDIRECT($F$8),6+(O607-1)*3)),11),IF(0.3*S607-VLOOKUP(B600,INDIRECT($F$8),6+(O607-1)*3)&lt;=5,0.3*S607-VLOOKUP(B600,INDIRECT($F$8),6+(O607-1)*3),11)),IF(VLOOKUP(B600,INDIRECT($F$8),8+(O607-1)*3)&lt;U607*0.4,IF(U607*0.4-VLOOKUP(B600,INDIRECT($F$8),8+(O607-1)*3)&lt;=5,U607*0.4-VLOOKUP(B600,INDIRECT($F$8),8+(O607-1)*3),11),0))))</f>
        <v/>
      </c>
      <c r="X607" s="1" t="str">
        <f ca="1">IF(ISERROR(F600),"",IF(W607=0,"",_xlfn.TEXTJOIN("",FALSE," G+",W607," in ",A607)))</f>
        <v/>
      </c>
    </row>
    <row r="608" spans="1:24" ht="12.75" customHeight="1" x14ac:dyDescent="0.2">
      <c r="A608" s="7" t="str">
        <f ca="1">IF(ISERROR(F600),"",VLOOKUP(C600,INDIRECT($F$8),6+(O608-1)*3,0))</f>
        <v/>
      </c>
      <c r="B608" s="41" t="str">
        <f ca="1">IF(ISERROR(F600),"",VLOOKUP(D600,INDIRECT($F$8),6+(O608-1)*3,0))</f>
        <v/>
      </c>
      <c r="C608" s="41"/>
      <c r="D608" s="41"/>
      <c r="E608" s="41"/>
      <c r="F608" s="7" t="str">
        <f ca="1">IF(ISERROR(F600),"",VLOOKUP(E600,INDIRECT($F$8),6+(O608-1)*3,0))</f>
        <v/>
      </c>
      <c r="G608" s="42" t="str">
        <f ca="1">IF(ISERROR(F600),"",_xlfn.TEXTJOIN("/",FALSE,P608,S608))</f>
        <v/>
      </c>
      <c r="H608" s="42"/>
      <c r="I608" s="42" t="str">
        <f ca="1">IF(ISERROR(F600),"",_xlfn.TEXTJOIN("/",FALSE,Q608,T608))</f>
        <v/>
      </c>
      <c r="J608" s="42"/>
      <c r="K608" s="42" t="str">
        <f ca="1">IF(ISERROR(F600),"",_xlfn.TEXTJOIN("/",FALSE,R608,U608))</f>
        <v/>
      </c>
      <c r="L608" s="42"/>
      <c r="M608" s="7" t="str">
        <f ca="1">IF(ISERROR(F600),"",IF(ISTEXT(P608),IF(P608="A","Ab",IF(P608="D","Dt",IF(P608="UFM","UFM",IF(P608="NA","")))),IF(AND(ISBLANK(P608),ISBLANK(R608)),"",IF(P608&lt;0.3*S608,"F",IF(ISBLANK(R608),"",IF(ISTEXT(R608),R608,IF(R608&gt;=0.9*U608,"O",IF(R608&gt;=0.85*U608,"A+",IF(R608&gt;=0.8*U608,"A",IF(R608&gt;=0.7*U608,"B+",IF(R608&gt;=0.6*U608,"B",IF(R608&gt;=0.5*U608,"C",IF(R608&gt;=0.4*U608,"P",IF(R608&lt;0.4*U608,"F",R608))))))))))))))</f>
        <v/>
      </c>
      <c r="N608" s="8" t="str">
        <f t="shared" ca="1" si="37"/>
        <v/>
      </c>
      <c r="O608" t="b" cm="1">
        <f t="array" aca="1" ref="O608" ca="1">IF(NOT(ISBLANK(INDIRECT("SEM_IV!R"&amp;INT((ROW(O608)-16)/16)+6))),5,IF(NOT(ISBLANK(INDIRECT("SEM_IV!U"&amp;INT((ROW(O608)-16)/16)+6))),6))</f>
        <v>0</v>
      </c>
      <c r="P608" s="1" t="str">
        <f ca="1">IF(ISERROR(F600),"",IF(ISTEXT(VLOOKUP(B600,INDIRECT($F$8),6+(O608-1)*3)),(VLOOKUP(B600,INDIRECT($F$8),6+(O608-1)*3)),SUM(VLOOKUP(B600,INDIRECT($F$8),6+(O608-1)*3),IF(W612,W608,0))))</f>
        <v/>
      </c>
      <c r="Q608" s="1" t="str">
        <f ca="1">IF(ISERROR(F600),"",VLOOKUP(B600,INDIRECT($F$8),7+(O608-1)*3))</f>
        <v/>
      </c>
      <c r="R608" s="1" t="str">
        <f ca="1">IF(ISERROR(F600),"",SUM(P608:Q608))</f>
        <v/>
      </c>
      <c r="S608" s="1" t="str">
        <f ca="1">IF(ISERROR(F600),"",VLOOKUP(A600,INDIRECT($F$8),6+(O608-1)*3))</f>
        <v/>
      </c>
      <c r="T608" s="1" t="str">
        <f ca="1">IF(ISERROR(F600),"",VLOOKUP(A600,INDIRECT($F$8),7+(O608-1)*3))</f>
        <v/>
      </c>
      <c r="U608" s="1" t="str">
        <f ca="1">IF(ISERROR(F600),"",VLOOKUP(A600,INDIRECT($F$8),8+(O608-1)*3))</f>
        <v/>
      </c>
      <c r="V608" s="1" t="str">
        <f ca="1">IF(ISERROR(F600),"",IF(N608=0,A608,""))</f>
        <v/>
      </c>
      <c r="W608" s="1" t="str">
        <f ca="1">IF(ISERROR(F600),"",IF(ISTEXT(VLOOKUP(B600,INDIRECT($F$8),6+(O608-1)*3)),11,IF(VLOOKUP(B600,INDIRECT($F$8),6+(O608-1)*3)&lt;S608*0.3,IF(VLOOKUP(B600,INDIRECT($F$8),8+(O608-1)*3)&lt;U608*0.4,IF(AND(0.4*U608-VLOOKUP(B600,INDIRECT($F$8),8+(O608-1)*3)&lt;=5,0.3*S608-VLOOKUP(B600,INDIRECT($F$8),6+(O608-1)*3)&lt;=5),MAX(0.4*U608-VLOOKUP(B600,INDIRECT($F$8),8+(O608-1)*3),0.3*S608-VLOOKUP(B600,INDIRECT($F$8),6+(O608-1)*3)),11),IF(0.3*S608-VLOOKUP(B600,INDIRECT($F$8),6+(O608-1)*3)&lt;=5,0.3*S608-VLOOKUP(B600,INDIRECT($F$8),6+(O608-1)*3),11)),IF(VLOOKUP(B600,INDIRECT($F$8),8+(O608-1)*3)&lt;U608*0.4,IF(U608*0.4-VLOOKUP(B600,INDIRECT($F$8),8+(O608-1)*3)&lt;=5,U608*0.4-VLOOKUP(B600,INDIRECT($F$8),8+(O608-1)*3),11),0))))</f>
        <v/>
      </c>
      <c r="X608" s="1" t="str">
        <f ca="1">IF(ISERROR(F600),"",IF(W608=0,"",_xlfn.TEXTJOIN("",FALSE," G+",W608," in ",A608)))</f>
        <v/>
      </c>
    </row>
    <row r="609" spans="1:24" ht="12.75" customHeight="1" x14ac:dyDescent="0.2">
      <c r="A609" s="7" t="str">
        <f ca="1">IF(ISERROR(F600),"",VLOOKUP(C600,INDIRECT($F$8),6+(O609-1)*3,0))</f>
        <v/>
      </c>
      <c r="B609" s="41" t="str">
        <f ca="1">IF(ISERROR(F600),"",VLOOKUP(D600,INDIRECT($F$8),6+(O609-1)*3,0))</f>
        <v/>
      </c>
      <c r="C609" s="41"/>
      <c r="D609" s="41"/>
      <c r="E609" s="41"/>
      <c r="F609" s="7" t="str">
        <f ca="1">IF(ISERROR(F600),"",VLOOKUP(E600,INDIRECT($F$8),6+(O609-1)*3,0))</f>
        <v/>
      </c>
      <c r="G609" s="42" t="str">
        <f ca="1">IF(ISERROR(F600),"",_xlfn.TEXTJOIN("/",FALSE,P609,S609))</f>
        <v/>
      </c>
      <c r="H609" s="42"/>
      <c r="I609" s="42" t="str">
        <f ca="1">IF(ISERROR(F600),"",_xlfn.TEXTJOIN("/",FALSE,Q609,T609))</f>
        <v/>
      </c>
      <c r="J609" s="42"/>
      <c r="K609" s="42" t="str">
        <f ca="1">IF(ISERROR(F600),"",_xlfn.TEXTJOIN("/",FALSE,R609,U609))</f>
        <v/>
      </c>
      <c r="L609" s="42"/>
      <c r="M609" s="7" t="str">
        <f ca="1">IF(ISERROR(F600),"",IF(ISTEXT(P609),IF(P609="A","Ab",IF(P609="D","Dt",IF(P609="UFM","UFM",IF(P609="NA","")))),IF(AND(ISBLANK(P609),ISBLANK(R609)),"",IF(P609&lt;0.3*S609,"F",IF(ISBLANK(R609),"",IF(ISTEXT(R609),R609,IF(R609&gt;=0.9*U609,"O",IF(R609&gt;=0.85*U609,"A+",IF(R609&gt;=0.8*U609,"A",IF(R609&gt;=0.7*U609,"B+",IF(R609&gt;=0.6*U609,"B",IF(R609&gt;=0.5*U609,"C",IF(R609&gt;=0.4*U609,"P",IF(R609&lt;0.4*U609,"F",R609))))))))))))))</f>
        <v/>
      </c>
      <c r="N609" s="8" t="str">
        <f t="shared" ca="1" si="37"/>
        <v/>
      </c>
      <c r="O609">
        <f ca="1">IF(O608&gt;0,7,"")</f>
        <v>7</v>
      </c>
      <c r="P609" s="1" t="str">
        <f ca="1">IF(ISERROR(F600),"",IF(ISTEXT(VLOOKUP(B600,INDIRECT($F$8),6+(O609-1)*3)),(VLOOKUP(B600,INDIRECT($F$8),6+(O609-1)*3)),SUM(VLOOKUP(B600,INDIRECT($F$8),6+(O609-1)*3),IF(W612,W609,0))))</f>
        <v/>
      </c>
      <c r="Q609" s="1" t="str">
        <f ca="1">IF(ISERROR(F600),"",VLOOKUP(B600,INDIRECT($F$8),7+(O609-1)*3))</f>
        <v/>
      </c>
      <c r="R609" s="1" t="str">
        <f ca="1">IF(ISERROR(F600),"",SUM(P609:Q609))</f>
        <v/>
      </c>
      <c r="S609" s="1" t="str">
        <f ca="1">IF(ISERROR(F600),"",VLOOKUP(A600,INDIRECT($F$8),6+(O609-1)*3))</f>
        <v/>
      </c>
      <c r="T609" s="1" t="str">
        <f ca="1">IF(ISERROR(F600),"",VLOOKUP(A600,INDIRECT($F$8),7+(O609-1)*3))</f>
        <v/>
      </c>
      <c r="U609" s="1" t="str">
        <f ca="1">IF(ISERROR(F600),"",VLOOKUP(A600,INDIRECT($F$8),8+(O609-1)*3))</f>
        <v/>
      </c>
      <c r="V609" s="1" t="str">
        <f ca="1">IF(ISERROR(F600),"",IF(N609=0,A609,""))</f>
        <v/>
      </c>
      <c r="W609" s="1" t="str">
        <f ca="1">IF(ISERROR(F600),"",IF(ISTEXT(VLOOKUP(B600,INDIRECT($F$8),6+(O609-1)*3)),11,IF(VLOOKUP(B600,INDIRECT($F$8),6+(O609-1)*3)&lt;S609*0.3,IF(VLOOKUP(B600,INDIRECT($F$8),8+(O609-1)*3)&lt;U609*0.4,IF(AND(0.4*U609-VLOOKUP(B600,INDIRECT($F$8),8+(O609-1)*3)&lt;=5,0.3*S609-VLOOKUP(B600,INDIRECT($F$8),6+(O609-1)*3)&lt;=5),MAX(0.4*U609-VLOOKUP(B600,INDIRECT($F$8),8+(O609-1)*3),0.3*S609-VLOOKUP(B600,INDIRECT($F$8),6+(O609-1)*3)),11),IF(0.3*S609-VLOOKUP(B600,INDIRECT($F$8),6+(O609-1)*3)&lt;=5,0.3*S609-VLOOKUP(B600,INDIRECT($F$8),6+(O609-1)*3),11)),IF(VLOOKUP(B600,INDIRECT($F$8),8+(O609-1)*3)&lt;U609*0.4,IF(U609*0.4-VLOOKUP(B600,INDIRECT($F$8),8+(O609-1)*3)&lt;=5,U609*0.4-VLOOKUP(B600,INDIRECT($F$8),8+(O609-1)*3),11),0))))</f>
        <v/>
      </c>
      <c r="X609" s="1" t="str">
        <f ca="1">IF(ISERROR(F600),"",IF(W609=0,"",_xlfn.TEXTJOIN("",FALSE," G+",W609," in ",A609)))</f>
        <v/>
      </c>
    </row>
    <row r="610" spans="1:24" ht="12.75" customHeight="1" x14ac:dyDescent="0.2">
      <c r="A610" s="7" t="str">
        <f ca="1">IF(ISERROR(F600),"",VLOOKUP(C600,INDIRECT($F$8),6+(O610-1)*3,0))</f>
        <v/>
      </c>
      <c r="B610" s="41" t="str">
        <f ca="1">IF(ISERROR(F600),"",VLOOKUP(D600,INDIRECT($F$8),6+(O610-1)*3,0))</f>
        <v/>
      </c>
      <c r="C610" s="41"/>
      <c r="D610" s="41"/>
      <c r="E610" s="41"/>
      <c r="F610" s="7" t="str">
        <f ca="1">IF(ISERROR(F600),"",VLOOKUP(E600,INDIRECT($F$8),6+(O610-1)*3,0))</f>
        <v/>
      </c>
      <c r="G610" s="42" t="str">
        <f ca="1">IF(ISERROR(F600),"",_xlfn.TEXTJOIN("/",FALSE,P610,S610))</f>
        <v/>
      </c>
      <c r="H610" s="42"/>
      <c r="I610" s="42" t="str">
        <f ca="1">IF(ISERROR(F600),"",_xlfn.TEXTJOIN("/",FALSE,Q610,T610))</f>
        <v/>
      </c>
      <c r="J610" s="42"/>
      <c r="K610" s="42" t="str">
        <f ca="1">IF(ISERROR(F600),"",_xlfn.TEXTJOIN("/",FALSE,R610,U610))</f>
        <v/>
      </c>
      <c r="L610" s="42"/>
      <c r="M610" s="7" t="str">
        <f ca="1">IF(ISERROR(F600),"",IF(ISTEXT(P610),IF(P610="A","Ab",IF(P610="D","Dt",IF(P610="UFM","UFM",IF(P610="NA","")))),IF(AND(ISBLANK(P610),ISBLANK(R610)),"",IF(P610&lt;0.3*S610,"F",IF(ISBLANK(R610),"",IF(ISTEXT(R610),R610,IF(R610&gt;=0.9*U610,"O",IF(R610&gt;=0.85*U610,"A+",IF(R610&gt;=0.8*U610,"A",IF(R610&gt;=0.7*U610,"B+",IF(R610&gt;=0.6*U610,"B",IF(R610&gt;=0.5*U610,"C",IF(R610&gt;=0.4*U610,"P",IF(R610&lt;0.4*U610,"F",R610))))))))))))))</f>
        <v/>
      </c>
      <c r="N610" s="8" t="str">
        <f t="shared" ca="1" si="37"/>
        <v/>
      </c>
      <c r="O610" t="b" cm="1">
        <f t="array" aca="1" ref="O610" ca="1">IF(NOT(ISBLANK(INDIRECT("SEM_IV!AA"&amp;INT((ROW(O610)-18)/16)+6))),8,IF(NOT(ISBLANK(INDIRECT("SEM_IV!AD"&amp;INT((ROW(O610)-18)/16)+6))),9))</f>
        <v>0</v>
      </c>
      <c r="P610" s="1" t="str">
        <f ca="1">IF(ISERROR(F600),"",IF(ISTEXT(VLOOKUP(B600,INDIRECT($F$8),6+(O610-1)*3)),(VLOOKUP(B600,INDIRECT($F$8),6+(O610-1)*3)),SUM(VLOOKUP(B600,INDIRECT($F$8),6+(O610-1)*3),IF(W612,W610,0))))</f>
        <v/>
      </c>
      <c r="Q610" s="1" t="str">
        <f ca="1">IF(ISERROR(F600),"",VLOOKUP(B600,INDIRECT($F$8),7+(O610-1)*3))</f>
        <v/>
      </c>
      <c r="R610" s="1" t="str">
        <f ca="1">IF(ISERROR(F600),"",SUM(P610:Q610))</f>
        <v/>
      </c>
      <c r="S610" s="1" t="str">
        <f ca="1">IF(ISERROR(F600),"",VLOOKUP(A600,INDIRECT($F$8),6+(O610-1)*3))</f>
        <v/>
      </c>
      <c r="T610" s="1" t="str">
        <f ca="1">IF(ISERROR(F600),"",VLOOKUP(A600,INDIRECT($F$8),7+(O610-1)*3))</f>
        <v/>
      </c>
      <c r="U610" s="1" t="str">
        <f ca="1">IF(ISERROR(F600),"",VLOOKUP(A600,INDIRECT($F$8),8+(O610-1)*3))</f>
        <v/>
      </c>
      <c r="V610" s="1" t="str">
        <f ca="1">IF(ISERROR(F600),"",IF(N610=0,A610,""))</f>
        <v/>
      </c>
      <c r="W610" s="1" t="str">
        <f ca="1">IF(ISERROR(F600),"",IF(ISTEXT(VLOOKUP(B600,INDIRECT($F$8),6+(O610-1)*3)),11,IF(VLOOKUP(B600,INDIRECT($F$8),6+(O610-1)*3)&lt;S610*0.3,IF(VLOOKUP(B600,INDIRECT($F$8),8+(O610-1)*3)&lt;U610*0.4,IF(AND(0.4*U610-VLOOKUP(B600,INDIRECT($F$8),8+(O610-1)*3)&lt;=5,0.3*S610-VLOOKUP(B600,INDIRECT($F$8),6+(O610-1)*3)&lt;=5),MAX(0.4*U610-VLOOKUP(B600,INDIRECT($F$8),8+(O610-1)*3),0.3*S610-VLOOKUP(B600,INDIRECT($F$8),6+(O610-1)*3)),11),IF(0.3*S610-VLOOKUP(B600,INDIRECT($F$8),6+(O610-1)*3)&lt;=5,0.3*S610-VLOOKUP(B600,INDIRECT($F$8),6+(O610-1)*3),11)),IF(VLOOKUP(B600,INDIRECT($F$8),8+(O610-1)*3)&lt;U610*0.4,IF(U610*0.4-VLOOKUP(B600,INDIRECT($F$8),8+(O610-1)*3)&lt;=5,U610*0.4-VLOOKUP(B600,INDIRECT($F$8),8+(O610-1)*3),11),0))))</f>
        <v/>
      </c>
      <c r="X610" s="1" t="str">
        <f ca="1">IF(ISERROR(F600),"",IF(W610=0,"",_xlfn.TEXTJOIN("",FALSE," G+",W610," in ",A610)))</f>
        <v/>
      </c>
    </row>
    <row r="611" spans="1:24" ht="12.75" customHeight="1" x14ac:dyDescent="0.2">
      <c r="A611" s="7" t="str">
        <f ca="1">IF(ISERROR(F600),"",VLOOKUP(C600,INDIRECT($F$8),6+(O611-1)*3,0))</f>
        <v/>
      </c>
      <c r="B611" s="41" t="str">
        <f ca="1">IF(ISERROR(F600),"",VLOOKUP(D600,INDIRECT($F$8),6+(O611-1)*3-Z611,0))</f>
        <v/>
      </c>
      <c r="C611" s="41"/>
      <c r="D611" s="41"/>
      <c r="E611" s="41"/>
      <c r="F611" s="7" t="str">
        <f ca="1">IF(ISERROR(F600),"",VLOOKUP(E600,INDIRECT($F$8),6+(O611-1)*3,0))</f>
        <v/>
      </c>
      <c r="G611" s="42" t="str">
        <f ca="1">IF(ISERROR(F600),"",_xlfn.TEXTJOIN("/",FALSE,P611,S611))</f>
        <v/>
      </c>
      <c r="H611" s="42"/>
      <c r="I611" s="42" t="str">
        <f ca="1">IF(ISERROR(F600),"",_xlfn.TEXTJOIN("/",FALSE,Q611,T611))</f>
        <v/>
      </c>
      <c r="J611" s="42"/>
      <c r="K611" s="42" t="str">
        <f ca="1">IF(ISERROR(F600),"",_xlfn.TEXTJOIN("/",FALSE,R611,U611))</f>
        <v/>
      </c>
      <c r="L611" s="42"/>
      <c r="M611" s="7" t="str">
        <f ca="1">IF(ISERROR(F600),"",IF(ISTEXT(P611),IF(P611="A","Ab",IF(P611="D","Dt",IF(P611="UFM","UFM",IF(P611="NA","")))),IF(AND(ISBLANK(P611),ISBLANK(R611)),"",IF(P611&lt;0.3*S611,"F",IF(ISBLANK(R611),"",IF(ISTEXT(R611),R611,IF(R611&gt;=0.9*U611,"O",IF(R611&gt;=0.85*U611,"A+",IF(R611&gt;=0.8*U611,"A",IF(R611&gt;=0.7*U611,"B+",IF(R611&gt;=0.6*U611,"B",IF(R611&gt;=0.5*U611,"C",IF(R611&gt;=0.4*U611,"P",IF(R611&lt;0.4*U611,"F",R611))))))))))))))</f>
        <v/>
      </c>
      <c r="N611" s="8" t="str">
        <f t="shared" ca="1" si="37"/>
        <v/>
      </c>
      <c r="O611">
        <f ca="1">IF(O610&gt;0,10,"")</f>
        <v>10</v>
      </c>
      <c r="P611" s="1" t="str">
        <f ca="1">IF(ISERROR(F600),"",IF(ISTEXT(VLOOKUP(B600,INDIRECT($F$8),6+(O611-1)*3)),(VLOOKUP(B600,INDIRECT($F$8),6+(O611-1)*3)),SUM(VLOOKUP(B600,INDIRECT($F$8),6+(O611-1)*3),IF(W612,W611,0))))</f>
        <v/>
      </c>
      <c r="Q611" s="1" t="str">
        <f ca="1">IF(ISERROR(F600),"",VLOOKUP(B600,INDIRECT($F$8),7+(O611-1)*3))</f>
        <v/>
      </c>
      <c r="R611" s="1" t="str">
        <f ca="1">IF(ISERROR(F600),"",SUM(P611:Q611))</f>
        <v/>
      </c>
      <c r="S611" s="1" t="str">
        <f ca="1">IF(ISERROR(F600),"",VLOOKUP(A600,INDIRECT($F$8),6+(O611-1)*3))</f>
        <v/>
      </c>
      <c r="T611" s="1" t="str">
        <f ca="1">IF(ISERROR(F600),"",VLOOKUP(A600,INDIRECT($F$8),7+(O611-1)*3))</f>
        <v/>
      </c>
      <c r="U611" s="1" t="str">
        <f ca="1">IF(ISERROR(F600),"",VLOOKUP(A600,INDIRECT($F$8),8+(O611-1)*3))</f>
        <v/>
      </c>
      <c r="V611" s="1" t="str">
        <f ca="1">IF(ISERROR(F600),"",IF(N611=0,A611,""))</f>
        <v/>
      </c>
      <c r="W611" s="1" t="str">
        <f ca="1">IF(ISERROR(F600),"",IF(ISTEXT(VLOOKUP(B600,INDIRECT($F$8),6+(O611-1)*3)),11,IF(VLOOKUP(B600,INDIRECT($F$8),6+(O611-1)*3)&lt;S611*0.3,IF(VLOOKUP(B600,INDIRECT($F$8),8+(O611-1)*3)&lt;U611*0.4,IF(AND(0.4*U611-VLOOKUP(B600,INDIRECT($F$8),8+(O611-1)*3)&lt;=5,0.3*S611-VLOOKUP(B600,INDIRECT($F$8),6+(O611-1)*3)&lt;=5),MAX(0.4*U611-VLOOKUP(B600,INDIRECT($F$8),8+(O611-1)*3),0.3*S611-VLOOKUP(B600,INDIRECT($F$8),6+(O611-1)*3)),11),IF(0.3*S611-VLOOKUP(B600,INDIRECT($F$8),6+(O611-1)*3)&lt;=5,0.3*S611-VLOOKUP(B600,INDIRECT($F$8),6+(O611-1)*3),11)),IF(VLOOKUP(B600,INDIRECT($F$8),8+(O611-1)*3)&lt;U611*0.4,IF(U611*0.4-VLOOKUP(B600,INDIRECT($F$8),8+(O611-1)*3)&lt;=5,U611*0.4-VLOOKUP(B600,INDIRECT($F$8),8+(O611-1)*3),11),0))))</f>
        <v/>
      </c>
      <c r="X611" s="1" t="str">
        <f ca="1">IF(ISERROR(F600),"",IF(W611=0,"",_xlfn.TEXTJOIN("",FALSE," G+",W611," in ",A611)))</f>
        <v/>
      </c>
    </row>
    <row r="612" spans="1:24" ht="12.75" customHeight="1" x14ac:dyDescent="0.2">
      <c r="A612" s="43" t="str">
        <f ca="1">IF(ISERROR(F600),"",A596)</f>
        <v/>
      </c>
      <c r="B612" s="43"/>
      <c r="C612" s="43"/>
      <c r="D612" s="43"/>
      <c r="E612" s="43"/>
      <c r="F612" s="10" t="str">
        <f ca="1">IF(ISERROR(F600),"",SUM(F605:F611))</f>
        <v/>
      </c>
      <c r="G612" s="44" t="str">
        <f ca="1">IF(ISERROR(F600),"",_xlfn.TEXTJOIN("/",TRUE,SUMIF(F605:F611,"&gt;0",P605:P611),SUMIF(F605:F611,"&gt;0",S605:S611)))</f>
        <v/>
      </c>
      <c r="H612" s="44"/>
      <c r="I612" s="44" t="str">
        <f ca="1">IF(ISERROR(F600),"",_xlfn.TEXTJOIN("/",TRUE,SUMIF(F605:F611,"&gt;0",Q605:Q611),SUMIF(F605:F611,"&gt;0",T605:T611)))</f>
        <v/>
      </c>
      <c r="J612" s="44"/>
      <c r="K612" s="44" t="str">
        <f ca="1">IF(ISERROR(F600),"",_xlfn.TEXTJOIN("/",TRUE,SUMIF(F605:F611,"&gt;0",R605:R611),SUMIF(F605:F611,"&gt;0",U605:U611)))</f>
        <v/>
      </c>
      <c r="L612" s="44"/>
      <c r="M612" s="43" t="str">
        <f ca="1">IF(ISERROR(F600),"",SUMPRODUCT(N605:N611,F605:F611))</f>
        <v/>
      </c>
      <c r="N612" s="43"/>
      <c r="V612" s="1" t="str">
        <f ca="1">IF(ISERROR(F600),"",_xlfn.TEXTJOIN(", ",TRUE,V605:V611))</f>
        <v/>
      </c>
      <c r="W612" t="str">
        <f ca="1">IF(ISERROR(F600),"",IF(SUM(W605:W611)&lt;=W604,TRUE,FALSE))</f>
        <v/>
      </c>
      <c r="X612" s="1" t="str">
        <f ca="1">IF(ISERROR(F600),"",_xlfn.TEXTJOIN(",",TRUE,X605:X611))</f>
        <v/>
      </c>
    </row>
    <row r="613" spans="1:24" ht="12.75" customHeight="1" x14ac:dyDescent="0.2">
      <c r="A613" s="43" t="str">
        <f ca="1">IF(ISERROR(F600),"",A597)</f>
        <v/>
      </c>
      <c r="B613" s="45" t="str">
        <f ca="1">IF(ISERROR(F600),"",IF(V612="","PASS","CARRY OVER"))</f>
        <v/>
      </c>
      <c r="C613" s="45"/>
      <c r="D613" s="43" t="str">
        <f ca="1">IF(ISERROR(F600),"",D597)</f>
        <v/>
      </c>
      <c r="E613" s="45" t="str">
        <f ca="1">IF(ISERROR(F600),"",IF(V612="",IF(X612="","",X612),_xlfn.TEXTJOIN(" ",TRUE,"BACK IN",V612)))</f>
        <v/>
      </c>
      <c r="F613" s="45"/>
      <c r="G613" s="43" t="str">
        <f ca="1">IF(ISERROR(F600),"",G597)</f>
        <v/>
      </c>
      <c r="H613" s="46" t="str">
        <f ca="1">IF(ISERROR(F600),"",M612/F612)</f>
        <v/>
      </c>
      <c r="I613" s="43" t="str">
        <f ca="1">IF(ISERROR(F600),"",I597)</f>
        <v/>
      </c>
      <c r="J613" s="46" t="str">
        <f ca="1">IF(ISERROR(F600),"",VLOOKUP(B600,INDIRECT($F$8),12+(O611-1)*3,0))</f>
        <v/>
      </c>
      <c r="K613" s="45" t="str">
        <f ca="1">IF(ISERROR(F600),"",K597)</f>
        <v/>
      </c>
      <c r="L613" s="43" t="str">
        <f ca="1">IF(ISERROR(F600),"",SUMIF(N605:N611,"&gt;0",F605:F611))</f>
        <v/>
      </c>
      <c r="M613" s="45" t="str">
        <f ca="1">IF(ISERROR(F600),"",M597)</f>
        <v/>
      </c>
      <c r="N613" s="43" t="str">
        <f ca="1">IF(ISERROR(F600),"",VLOOKUP(B600,INDIRECT($F$8),10+(O611-1)*3,0))</f>
        <v/>
      </c>
    </row>
    <row r="614" spans="1:24" ht="12.75" customHeight="1" x14ac:dyDescent="0.2">
      <c r="A614" s="43"/>
      <c r="B614" s="45"/>
      <c r="C614" s="45"/>
      <c r="D614" s="43"/>
      <c r="E614" s="45"/>
      <c r="F614" s="45"/>
      <c r="G614" s="43"/>
      <c r="H614" s="46"/>
      <c r="I614" s="43"/>
      <c r="J614" s="46"/>
      <c r="K614" s="45"/>
      <c r="L614" s="43"/>
      <c r="M614" s="45"/>
      <c r="N614" s="43"/>
    </row>
    <row r="615" spans="1:24" ht="12.75" customHeight="1" x14ac:dyDescent="0.2">
      <c r="A615" s="43"/>
      <c r="B615" s="45"/>
      <c r="C615" s="45"/>
      <c r="D615" s="43"/>
      <c r="E615" s="45"/>
      <c r="F615" s="45"/>
      <c r="G615" s="43"/>
      <c r="H615" s="46"/>
      <c r="I615" s="43"/>
      <c r="J615" s="46"/>
      <c r="K615" s="45"/>
      <c r="L615" s="43"/>
      <c r="M615" s="45"/>
      <c r="N615" s="43"/>
    </row>
    <row r="616" spans="1:24" ht="12.75" customHeight="1" x14ac:dyDescent="0.2">
      <c r="A616" s="11" t="str">
        <f>A600</f>
        <v>MM</v>
      </c>
      <c r="B616" s="11">
        <f>B600+1</f>
        <v>39</v>
      </c>
      <c r="C616" s="11" t="str">
        <f>C600</f>
        <v>SC</v>
      </c>
      <c r="D616" s="11" t="str">
        <f>D600</f>
        <v>SN</v>
      </c>
      <c r="E616" s="11" t="str">
        <f>E600</f>
        <v>C</v>
      </c>
      <c r="F616" s="11" t="e">
        <f ca="1">VLOOKUP(B616,INDIRECT($F$8),4,0)</f>
        <v>#N/A</v>
      </c>
    </row>
    <row r="617" spans="1:24" ht="12.75" customHeight="1" x14ac:dyDescent="0.2">
      <c r="A617" s="47" t="str">
        <f ca="1">IF(ISERROR(F616),"",A601)</f>
        <v/>
      </c>
      <c r="B617" s="47" t="str">
        <f ca="1">IFERROR(VLOOKUP(B616,INDIRECT($F$8),4,0),"")</f>
        <v/>
      </c>
      <c r="C617" s="47"/>
      <c r="D617" s="47" t="str">
        <f ca="1">IF(ISERROR(F616),"",D601)</f>
        <v/>
      </c>
      <c r="E617" s="47" t="str">
        <f ca="1">IFERROR(VLOOKUP(B616,INDIRECT($F$8),5,0),"")</f>
        <v/>
      </c>
      <c r="F617" s="47"/>
      <c r="G617" s="47" t="str">
        <f ca="1">IF(ISERROR(F616),"",G601)</f>
        <v/>
      </c>
      <c r="H617" s="47"/>
      <c r="I617" s="48" t="str">
        <f ca="1">IFERROR(VLOOKUP(B616,INDIRECT($F$8),2,0),"")</f>
        <v/>
      </c>
      <c r="J617" s="48"/>
      <c r="K617" s="47" t="str">
        <f ca="1">IF(ISERROR(F616),"",K601)</f>
        <v/>
      </c>
      <c r="L617" s="47"/>
      <c r="M617" s="48" t="str">
        <f ca="1">IFERROR(VLOOKUP(B616,INDIRECT($F$8),3,0),"")</f>
        <v/>
      </c>
      <c r="N617" s="48"/>
    </row>
    <row r="618" spans="1:24" ht="12.75" customHeight="1" x14ac:dyDescent="0.2">
      <c r="A618" s="47"/>
      <c r="B618" s="47"/>
      <c r="C618" s="47"/>
      <c r="D618" s="47"/>
      <c r="E618" s="47"/>
      <c r="F618" s="47"/>
      <c r="G618" s="47"/>
      <c r="H618" s="47"/>
      <c r="I618" s="48"/>
      <c r="J618" s="48"/>
      <c r="K618" s="47"/>
      <c r="L618" s="47"/>
      <c r="M618" s="48"/>
      <c r="N618" s="48"/>
    </row>
    <row r="619" spans="1:24" ht="12.75" customHeight="1" x14ac:dyDescent="0.2">
      <c r="A619" s="45" t="str">
        <f ca="1">IF(ISERROR(F616),"",A603)</f>
        <v/>
      </c>
      <c r="B619" s="45" t="str">
        <f ca="1">IF(ISERROR(F616),"",B603)</f>
        <v/>
      </c>
      <c r="C619" s="45"/>
      <c r="D619" s="45"/>
      <c r="E619" s="45"/>
      <c r="F619" s="45" t="str">
        <f ca="1">IF(ISERROR(F616),"",F603)</f>
        <v/>
      </c>
      <c r="G619" s="45" t="str">
        <f ca="1">IF(ISERROR(F616),"",G603)</f>
        <v/>
      </c>
      <c r="H619" s="45"/>
      <c r="I619" s="45" t="str">
        <f ca="1">IF(ISERROR(F616),"",I603)</f>
        <v/>
      </c>
      <c r="J619" s="45"/>
      <c r="K619" s="45" t="str">
        <f ca="1">IF(ISERROR(F616),"",K603)</f>
        <v/>
      </c>
      <c r="L619" s="45"/>
      <c r="M619" s="45" t="str">
        <f ca="1">IF(ISERROR(F616),"",M603)</f>
        <v/>
      </c>
      <c r="N619" s="45" t="str">
        <f ca="1">IF(ISERROR(F616),"",N603)</f>
        <v/>
      </c>
    </row>
    <row r="620" spans="1:24" ht="12.75" customHeight="1" x14ac:dyDescent="0.2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W620" t="e">
        <f ca="1">IF(ISNUMBER(MATCH($F$8,{"I","III","V","VII"},0)),10,10-INDEX(INDIRECT(_xlfn.TEXTJOIN("",TRUE,"SEM_",$G$8,"!",ADDRESS(6,4+$I$8*3+4),":",ADDRESS(5+$H$8,4+$I$8*3+4))),MATCH(INDIRECT(_xlfn.TEXTJOIN("",TRUE,"TC_",$F$8,"!",ADDRESS(ROW(I617),COLUMN(I617)))),INDIRECT(_xlfn.TEXTJOIN("",TRUE,"SEM_",$G$8,"!",ADDRESS(6,2),":",ADDRESS(5+$H$8,2))))))</f>
        <v>#N/A</v>
      </c>
    </row>
    <row r="621" spans="1:24" ht="12.75" customHeight="1" x14ac:dyDescent="0.2">
      <c r="A621" s="7" t="str">
        <f ca="1">IF(ISERROR(F616),"",VLOOKUP(C616,INDIRECT($F$8),6+(O621-1)*3,0))</f>
        <v/>
      </c>
      <c r="B621" s="41" t="str">
        <f ca="1">IF(ISERROR(F616),"",VLOOKUP(D616,INDIRECT($F$8),6+(O621-1)*3,0))</f>
        <v/>
      </c>
      <c r="C621" s="41"/>
      <c r="D621" s="41"/>
      <c r="E621" s="41"/>
      <c r="F621" s="7" t="str">
        <f ca="1">IF(ISERROR(F616),"",VLOOKUP(E616,INDIRECT($F$8),6+(O621-1)*3,0))</f>
        <v/>
      </c>
      <c r="G621" s="42" t="str">
        <f ca="1">IF(ISERROR(F616),"",_xlfn.TEXTJOIN("/",FALSE,P621,S621))</f>
        <v/>
      </c>
      <c r="H621" s="42"/>
      <c r="I621" s="42" t="str">
        <f ca="1">IF(ISERROR(F616),"",_xlfn.TEXTJOIN("/",FALSE,Q621,T621))</f>
        <v/>
      </c>
      <c r="J621" s="42"/>
      <c r="K621" s="42" t="str">
        <f ca="1">IF(ISERROR(F616),"",_xlfn.TEXTJOIN("/",FALSE,R621,U621))</f>
        <v/>
      </c>
      <c r="L621" s="42"/>
      <c r="M621" s="7" t="str">
        <f ca="1">IF(ISERROR(F616),"",IF(ISTEXT(P621),IF(P621="A","Ab",IF(P621="D","Dt",IF(P621="UFM","UFM",IF(P621="NA","")))),IF(AND(ISBLANK(P621),ISBLANK(R621)),"",IF(P621&lt;0.3*S621,"F",IF(ISBLANK(R621),"",IF(ISTEXT(R621),R621,IF(R621&gt;=0.9*U621,"O",IF(R621&gt;=0.85*U621,"A+",IF(R621&gt;=0.8*U621,"A",IF(R621&gt;=0.7*U621,"B+",IF(R621&gt;=0.6*U621,"B",IF(R621&gt;=0.5*U621,"C",IF(R621&gt;=0.4*U621,"P",IF(R621&lt;0.4*U621,"F",R621))))))))))))))</f>
        <v/>
      </c>
      <c r="N621" s="8" t="str">
        <f t="shared" ref="N621:N627" ca="1" si="38">INDEX($Z$2:$Z$13,MATCH(M621,$Y$2:$Y$13,0))</f>
        <v/>
      </c>
      <c r="O621">
        <v>1</v>
      </c>
      <c r="P621" s="1" t="str">
        <f ca="1">IF(ISERROR(F616),"",IF(ISTEXT(VLOOKUP(B616,INDIRECT($F$8),6+(O621-1)*3)),(VLOOKUP(B616,INDIRECT($F$8),6+(O621-1)*3)),SUM(VLOOKUP(B616,INDIRECT($F$8),6+(O621-1)*3),IF(W628,W621,0))))</f>
        <v/>
      </c>
      <c r="Q621" s="1" t="str">
        <f ca="1">IF(ISERROR(F616),"",VLOOKUP(B616,INDIRECT($F$8),7+(O621-1)*3))</f>
        <v/>
      </c>
      <c r="R621" s="1" t="str">
        <f ca="1">IF(ISERROR(F616),"",SUM(P621:Q621))</f>
        <v/>
      </c>
      <c r="S621" s="1" t="str">
        <f ca="1">IF(ISERROR(F616),"",VLOOKUP(A616,INDIRECT($F$8),6+(O621-1)*3))</f>
        <v/>
      </c>
      <c r="T621" s="1" t="str">
        <f ca="1">IF(ISERROR(F616),"",VLOOKUP(A616,INDIRECT($F$8),7+(O621-1)*3))</f>
        <v/>
      </c>
      <c r="U621" s="1" t="str">
        <f ca="1">IF(ISERROR(F616),"",VLOOKUP(A616,INDIRECT($F$8),8+(O621-1)*3))</f>
        <v/>
      </c>
      <c r="V621" s="1" t="str">
        <f ca="1">IF(ISERROR(F616),"",IF(N621=0,A621,""))</f>
        <v/>
      </c>
      <c r="W621" s="1" t="str">
        <f ca="1">IF(ISERROR(F616),"",IF(ISTEXT(VLOOKUP(B616,INDIRECT($F$8),6+(O621-1)*3)),11,IF(VLOOKUP(B616,INDIRECT($F$8),6+(O621-1)*3)&lt;S621*0.3,IF(VLOOKUP(B616,INDIRECT($F$8),8+(O621-1)*3)&lt;U621*0.4,IF(AND(0.4*U621-VLOOKUP(B616,INDIRECT($F$8),8+(O621-1)*3)&lt;=5,0.3*S621-VLOOKUP(B616,INDIRECT($F$8),6+(O621-1)*3)&lt;=5),MAX(0.4*U621-VLOOKUP(B616,INDIRECT($F$8),8+(O621-1)*3),0.3*S621-VLOOKUP(B616,INDIRECT($F$8),6+(O621-1)*3)),11),IF(0.3*S621-VLOOKUP(B616,INDIRECT($F$8),6+(O621-1)*3)&lt;=5,0.3*S621-VLOOKUP(B616,INDIRECT($F$8),6+(O621-1)*3),11)),IF(VLOOKUP(B616,INDIRECT($F$8),8+(O621-1)*3)&lt;U621*0.4,IF(U621*0.4-VLOOKUP(B616,INDIRECT($F$8),8+(O621-1)*3)&lt;=5,U621*0.4-VLOOKUP(B616,INDIRECT($F$8),8+(O621-1)*3),11),0))))</f>
        <v/>
      </c>
      <c r="X621" s="1" t="str">
        <f ca="1">IF(ISERROR(F616),"",IF(W621=0,"",_xlfn.TEXTJOIN("",FALSE," G+",W621," in ",A621)))</f>
        <v/>
      </c>
    </row>
    <row r="622" spans="1:24" ht="12.75" customHeight="1" x14ac:dyDescent="0.2">
      <c r="A622" s="7" t="str">
        <f ca="1">IF(ISERROR(F616),"",VLOOKUP(C616,INDIRECT($F$8),6+(O622-1)*3,0))</f>
        <v/>
      </c>
      <c r="B622" s="41" t="str">
        <f ca="1">IF(ISERROR(F616),"",VLOOKUP(D616,INDIRECT($F$8),6+(O622-1)*3,0))</f>
        <v/>
      </c>
      <c r="C622" s="41"/>
      <c r="D622" s="41"/>
      <c r="E622" s="41"/>
      <c r="F622" s="7" t="str">
        <f ca="1">IF(ISERROR(F616),"",VLOOKUP(E616,INDIRECT($F$8),6+(O622-1)*3,0))</f>
        <v/>
      </c>
      <c r="G622" s="42" t="str">
        <f ca="1">IF(ISERROR(F616),"",_xlfn.TEXTJOIN("/",FALSE,P622,S622))</f>
        <v/>
      </c>
      <c r="H622" s="42"/>
      <c r="I622" s="42" t="str">
        <f ca="1">IF(ISERROR(F616),"",_xlfn.TEXTJOIN("/",FALSE,Q622,T622))</f>
        <v/>
      </c>
      <c r="J622" s="42"/>
      <c r="K622" s="42" t="str">
        <f ca="1">IF(ISERROR(F616),"",_xlfn.TEXTJOIN("/",FALSE,R622,U622))</f>
        <v/>
      </c>
      <c r="L622" s="42"/>
      <c r="M622" s="7" t="str">
        <f ca="1">IF(ISERROR(F616),"",IF(ISTEXT(P622),IF(P622="A","Ab",IF(P622="D","Dt",IF(P622="UFM","UFM",IF(P622="NA","")))),IF(AND(ISBLANK(P622),ISBLANK(R622)),"",IF(P622&lt;0.3*S622,"F",IF(ISBLANK(R622),"",IF(ISTEXT(R622),R622,IF(R622&gt;=0.9*U622,"O",IF(R622&gt;=0.85*U622,"A+",IF(R622&gt;=0.8*U622,"A",IF(R622&gt;=0.7*U622,"B+",IF(R622&gt;=0.6*U622,"B",IF(R622&gt;=0.5*U622,"C",IF(R622&gt;=0.4*U622,"P",IF(R622&lt;0.4*U622,"F",R622))))))))))))))</f>
        <v/>
      </c>
      <c r="N622" s="8" t="str">
        <f t="shared" ca="1" si="38"/>
        <v/>
      </c>
      <c r="O622" t="b" cm="1">
        <f t="array" aca="1" ref="O622" ca="1">IF(NOT(ISBLANK(INDIRECT("SEM_IV!I"&amp;INT((ROW(O622)-14)/16)+6))),2,IF(NOT(ISBLANK(INDIRECT("SEM_IV!L"&amp;INT((ROW(O622)-14)/16)+6))),3))</f>
        <v>0</v>
      </c>
      <c r="P622" s="1" t="str">
        <f ca="1">IF(ISERROR(F616),"",IF(ISTEXT(VLOOKUP(B616,INDIRECT($F$8),6+(O622-1)*3)),(VLOOKUP(B616,INDIRECT($F$8),6+(O622-1)*3)),SUM(VLOOKUP(B616,INDIRECT($F$8),6+(O622-1)*3),IF(W628,W622,0))))</f>
        <v/>
      </c>
      <c r="Q622" s="1" t="str">
        <f ca="1">IF(ISERROR(F616),"",VLOOKUP(B616,INDIRECT($F$8),7+(O622-1)*3))</f>
        <v/>
      </c>
      <c r="R622" s="1" t="str">
        <f ca="1">IF(ISERROR(F616),"",SUM(P622:Q622))</f>
        <v/>
      </c>
      <c r="S622" s="1" t="str">
        <f ca="1">IF(ISERROR(F616),"",VLOOKUP(A616,INDIRECT($F$8),6+(O622-1)*3))</f>
        <v/>
      </c>
      <c r="T622" s="1" t="str">
        <f ca="1">IF(ISERROR(F616),"",VLOOKUP(A616,INDIRECT($F$8),7+(O622-1)*3))</f>
        <v/>
      </c>
      <c r="U622" s="1" t="str">
        <f ca="1">IF(ISERROR(F616),"",VLOOKUP(A616,INDIRECT($F$8),8+(O622-1)*3))</f>
        <v/>
      </c>
      <c r="V622" s="1" t="str">
        <f ca="1">IF(ISERROR(F616),"",IF(N622=0,A622,""))</f>
        <v/>
      </c>
      <c r="W622" s="1" t="str">
        <f ca="1">IF(ISERROR(F616),"",IF(ISTEXT(VLOOKUP(B616,INDIRECT($F$8),6+(O622-1)*3)),11,IF(VLOOKUP(B616,INDIRECT($F$8),6+(O622-1)*3)&lt;S622*0.3,IF(VLOOKUP(B616,INDIRECT($F$8),8+(O622-1)*3)&lt;U622*0.4,IF(AND(0.4*U622-VLOOKUP(B616,INDIRECT($F$8),8+(O622-1)*3)&lt;=5,0.3*S622-VLOOKUP(B616,INDIRECT($F$8),6+(O622-1)*3)&lt;=5),MAX(0.4*U622-VLOOKUP(B616,INDIRECT($F$8),8+(O622-1)*3),0.3*S622-VLOOKUP(B616,INDIRECT($F$8),6+(O622-1)*3)),11),IF(0.3*S622-VLOOKUP(B616,INDIRECT($F$8),6+(O622-1)*3)&lt;=5,0.3*S622-VLOOKUP(B616,INDIRECT($F$8),6+(O622-1)*3),11)),IF(VLOOKUP(B616,INDIRECT($F$8),8+(O622-1)*3)&lt;U622*0.4,IF(U622*0.4-VLOOKUP(B616,INDIRECT($F$8),8+(O622-1)*3)&lt;=5,U622*0.4-VLOOKUP(B616,INDIRECT($F$8),8+(O622-1)*3),11),0))))</f>
        <v/>
      </c>
      <c r="X622" s="1" t="str">
        <f ca="1">IF(ISERROR(F616),"",IF(W622=0,"",_xlfn.TEXTJOIN("",FALSE," G+",W622," in ",A622)))</f>
        <v/>
      </c>
    </row>
    <row r="623" spans="1:24" ht="12.75" customHeight="1" x14ac:dyDescent="0.2">
      <c r="A623" s="7" t="str">
        <f ca="1">IF(ISERROR(F616),"",VLOOKUP(C616,INDIRECT($F$8),6+(O623-1)*3,0))</f>
        <v/>
      </c>
      <c r="B623" s="41" t="str">
        <f ca="1">IF(ISERROR(F616),"",VLOOKUP(D616,INDIRECT($F$8),6+(O623-1)*3,0))</f>
        <v/>
      </c>
      <c r="C623" s="41"/>
      <c r="D623" s="41"/>
      <c r="E623" s="41"/>
      <c r="F623" s="7" t="str">
        <f ca="1">IF(ISERROR(F616),"",VLOOKUP(E616,INDIRECT($F$8),6+(O623-1)*3,0))</f>
        <v/>
      </c>
      <c r="G623" s="42" t="str">
        <f ca="1">IF(ISERROR(F616),"",_xlfn.TEXTJOIN("/",FALSE,P623,S623))</f>
        <v/>
      </c>
      <c r="H623" s="42"/>
      <c r="I623" s="42" t="str">
        <f ca="1">IF(ISERROR(F616),"",_xlfn.TEXTJOIN("/",FALSE,Q623,T623))</f>
        <v/>
      </c>
      <c r="J623" s="42"/>
      <c r="K623" s="42" t="str">
        <f ca="1">IF(ISERROR(F616),"",_xlfn.TEXTJOIN("/",FALSE,R623,U623))</f>
        <v/>
      </c>
      <c r="L623" s="42"/>
      <c r="M623" s="7" t="str">
        <f ca="1">IF(ISERROR(F616),"",IF(ISTEXT(P623),IF(P623="A","Ab",IF(P623="D","Dt",IF(P623="UFM","UFM",IF(P623="NA","")))),IF(AND(ISBLANK(P623),ISBLANK(R623)),"",IF(P623&lt;0.3*S623,"F",IF(ISBLANK(R623),"",IF(ISTEXT(R623),R623,IF(R623&gt;=0.9*U623,"O",IF(R623&gt;=0.85*U623,"A+",IF(R623&gt;=0.8*U623,"A",IF(R623&gt;=0.7*U623,"B+",IF(R623&gt;=0.6*U623,"B",IF(R623&gt;=0.5*U623,"C",IF(R623&gt;=0.4*U623,"P",IF(R623&lt;0.4*U623,"F",R623))))))))))))))</f>
        <v/>
      </c>
      <c r="N623" s="8" t="str">
        <f t="shared" ca="1" si="38"/>
        <v/>
      </c>
      <c r="O623">
        <f ca="1">IF(O622&gt;0,4,"")</f>
        <v>4</v>
      </c>
      <c r="P623" s="1" t="str">
        <f ca="1">IF(ISERROR(F616),"",IF(ISTEXT(VLOOKUP(B616,INDIRECT($F$8),6+(O623-1)*3)),(VLOOKUP(B616,INDIRECT($F$8),6+(O623-1)*3)),SUM(VLOOKUP(B616,INDIRECT($F$8),6+(O623-1)*3),IF(W628,W623,0))))</f>
        <v/>
      </c>
      <c r="Q623" s="1" t="str">
        <f ca="1">IF(ISERROR(F616),"",VLOOKUP(B616,INDIRECT($F$8),7+(O623-1)*3))</f>
        <v/>
      </c>
      <c r="R623" s="1" t="str">
        <f ca="1">IF(ISERROR(F616),"",SUM(P623:Q623))</f>
        <v/>
      </c>
      <c r="S623" s="1" t="str">
        <f ca="1">IF(ISERROR(F616),"",VLOOKUP(A616,INDIRECT($F$8),6+(O623-1)*3))</f>
        <v/>
      </c>
      <c r="T623" s="1" t="str">
        <f ca="1">IF(ISERROR(F616),"",VLOOKUP(A616,INDIRECT($F$8),7+(O623-1)*3))</f>
        <v/>
      </c>
      <c r="U623" s="1" t="str">
        <f ca="1">IF(ISERROR(F616),"",VLOOKUP(A616,INDIRECT($F$8),8+(O623-1)*3))</f>
        <v/>
      </c>
      <c r="V623" s="1" t="str">
        <f ca="1">IF(ISERROR(F616),"",IF(N623=0,A623,""))</f>
        <v/>
      </c>
      <c r="W623" s="1" t="str">
        <f ca="1">IF(ISERROR(F616),"",IF(ISTEXT(VLOOKUP(B616,INDIRECT($F$8),6+(O623-1)*3)),11,IF(VLOOKUP(B616,INDIRECT($F$8),6+(O623-1)*3)&lt;S623*0.3,IF(VLOOKUP(B616,INDIRECT($F$8),8+(O623-1)*3)&lt;U623*0.4,IF(AND(0.4*U623-VLOOKUP(B616,INDIRECT($F$8),8+(O623-1)*3)&lt;=5,0.3*S623-VLOOKUP(B616,INDIRECT($F$8),6+(O623-1)*3)&lt;=5),MAX(0.4*U623-VLOOKUP(B616,INDIRECT($F$8),8+(O623-1)*3),0.3*S623-VLOOKUP(B616,INDIRECT($F$8),6+(O623-1)*3)),11),IF(0.3*S623-VLOOKUP(B616,INDIRECT($F$8),6+(O623-1)*3)&lt;=5,0.3*S623-VLOOKUP(B616,INDIRECT($F$8),6+(O623-1)*3),11)),IF(VLOOKUP(B616,INDIRECT($F$8),8+(O623-1)*3)&lt;U623*0.4,IF(U623*0.4-VLOOKUP(B616,INDIRECT($F$8),8+(O623-1)*3)&lt;=5,U623*0.4-VLOOKUP(B616,INDIRECT($F$8),8+(O623-1)*3),11),0))))</f>
        <v/>
      </c>
      <c r="X623" s="1" t="str">
        <f ca="1">IF(ISERROR(F616),"",IF(W623=0,"",_xlfn.TEXTJOIN("",FALSE," G+",W623," in ",A623)))</f>
        <v/>
      </c>
    </row>
    <row r="624" spans="1:24" ht="12.75" customHeight="1" x14ac:dyDescent="0.2">
      <c r="A624" s="7" t="str">
        <f ca="1">IF(ISERROR(F616),"",VLOOKUP(C616,INDIRECT($F$8),6+(O624-1)*3,0))</f>
        <v/>
      </c>
      <c r="B624" s="41" t="str">
        <f ca="1">IF(ISERROR(F616),"",VLOOKUP(D616,INDIRECT($F$8),6+(O624-1)*3,0))</f>
        <v/>
      </c>
      <c r="C624" s="41"/>
      <c r="D624" s="41"/>
      <c r="E624" s="41"/>
      <c r="F624" s="7" t="str">
        <f ca="1">IF(ISERROR(F616),"",VLOOKUP(E616,INDIRECT($F$8),6+(O624-1)*3,0))</f>
        <v/>
      </c>
      <c r="G624" s="42" t="str">
        <f ca="1">IF(ISERROR(F616),"",_xlfn.TEXTJOIN("/",FALSE,P624,S624))</f>
        <v/>
      </c>
      <c r="H624" s="42"/>
      <c r="I624" s="42" t="str">
        <f ca="1">IF(ISERROR(F616),"",_xlfn.TEXTJOIN("/",FALSE,Q624,T624))</f>
        <v/>
      </c>
      <c r="J624" s="42"/>
      <c r="K624" s="42" t="str">
        <f ca="1">IF(ISERROR(F616),"",_xlfn.TEXTJOIN("/",FALSE,R624,U624))</f>
        <v/>
      </c>
      <c r="L624" s="42"/>
      <c r="M624" s="7" t="str">
        <f ca="1">IF(ISERROR(F616),"",IF(ISTEXT(P624),IF(P624="A","Ab",IF(P624="D","Dt",IF(P624="UFM","UFM",IF(P624="NA","")))),IF(AND(ISBLANK(P624),ISBLANK(R624)),"",IF(P624&lt;0.3*S624,"F",IF(ISBLANK(R624),"",IF(ISTEXT(R624),R624,IF(R624&gt;=0.9*U624,"O",IF(R624&gt;=0.85*U624,"A+",IF(R624&gt;=0.8*U624,"A",IF(R624&gt;=0.7*U624,"B+",IF(R624&gt;=0.6*U624,"B",IF(R624&gt;=0.5*U624,"C",IF(R624&gt;=0.4*U624,"P",IF(R624&lt;0.4*U624,"F",R624))))))))))))))</f>
        <v/>
      </c>
      <c r="N624" s="8" t="str">
        <f t="shared" ca="1" si="38"/>
        <v/>
      </c>
      <c r="O624" t="b" cm="1">
        <f t="array" aca="1" ref="O624" ca="1">IF(NOT(ISBLANK(INDIRECT("SEM_IV!R"&amp;INT((ROW(O624)-16)/16)+6))),5,IF(NOT(ISBLANK(INDIRECT("SEM_IV!U"&amp;INT((ROW(O624)-16)/16)+6))),6))</f>
        <v>0</v>
      </c>
      <c r="P624" s="1" t="str">
        <f ca="1">IF(ISERROR(F616),"",IF(ISTEXT(VLOOKUP(B616,INDIRECT($F$8),6+(O624-1)*3)),(VLOOKUP(B616,INDIRECT($F$8),6+(O624-1)*3)),SUM(VLOOKUP(B616,INDIRECT($F$8),6+(O624-1)*3),IF(W628,W624,0))))</f>
        <v/>
      </c>
      <c r="Q624" s="1" t="str">
        <f ca="1">IF(ISERROR(F616),"",VLOOKUP(B616,INDIRECT($F$8),7+(O624-1)*3))</f>
        <v/>
      </c>
      <c r="R624" s="1" t="str">
        <f ca="1">IF(ISERROR(F616),"",SUM(P624:Q624))</f>
        <v/>
      </c>
      <c r="S624" s="1" t="str">
        <f ca="1">IF(ISERROR(F616),"",VLOOKUP(A616,INDIRECT($F$8),6+(O624-1)*3))</f>
        <v/>
      </c>
      <c r="T624" s="1" t="str">
        <f ca="1">IF(ISERROR(F616),"",VLOOKUP(A616,INDIRECT($F$8),7+(O624-1)*3))</f>
        <v/>
      </c>
      <c r="U624" s="1" t="str">
        <f ca="1">IF(ISERROR(F616),"",VLOOKUP(A616,INDIRECT($F$8),8+(O624-1)*3))</f>
        <v/>
      </c>
      <c r="V624" s="1" t="str">
        <f ca="1">IF(ISERROR(F616),"",IF(N624=0,A624,""))</f>
        <v/>
      </c>
      <c r="W624" s="1" t="str">
        <f ca="1">IF(ISERROR(F616),"",IF(ISTEXT(VLOOKUP(B616,INDIRECT($F$8),6+(O624-1)*3)),11,IF(VLOOKUP(B616,INDIRECT($F$8),6+(O624-1)*3)&lt;S624*0.3,IF(VLOOKUP(B616,INDIRECT($F$8),8+(O624-1)*3)&lt;U624*0.4,IF(AND(0.4*U624-VLOOKUP(B616,INDIRECT($F$8),8+(O624-1)*3)&lt;=5,0.3*S624-VLOOKUP(B616,INDIRECT($F$8),6+(O624-1)*3)&lt;=5),MAX(0.4*U624-VLOOKUP(B616,INDIRECT($F$8),8+(O624-1)*3),0.3*S624-VLOOKUP(B616,INDIRECT($F$8),6+(O624-1)*3)),11),IF(0.3*S624-VLOOKUP(B616,INDIRECT($F$8),6+(O624-1)*3)&lt;=5,0.3*S624-VLOOKUP(B616,INDIRECT($F$8),6+(O624-1)*3),11)),IF(VLOOKUP(B616,INDIRECT($F$8),8+(O624-1)*3)&lt;U624*0.4,IF(U624*0.4-VLOOKUP(B616,INDIRECT($F$8),8+(O624-1)*3)&lt;=5,U624*0.4-VLOOKUP(B616,INDIRECT($F$8),8+(O624-1)*3),11),0))))</f>
        <v/>
      </c>
      <c r="X624" s="1" t="str">
        <f ca="1">IF(ISERROR(F616),"",IF(W624=0,"",_xlfn.TEXTJOIN("",FALSE," G+",W624," in ",A624)))</f>
        <v/>
      </c>
    </row>
    <row r="625" spans="1:24" ht="12.75" customHeight="1" x14ac:dyDescent="0.2">
      <c r="A625" s="7" t="str">
        <f ca="1">IF(ISERROR(F616),"",VLOOKUP(C616,INDIRECT($F$8),6+(O625-1)*3,0))</f>
        <v/>
      </c>
      <c r="B625" s="41" t="str">
        <f ca="1">IF(ISERROR(F616),"",VLOOKUP(D616,INDIRECT($F$8),6+(O625-1)*3,0))</f>
        <v/>
      </c>
      <c r="C625" s="41"/>
      <c r="D625" s="41"/>
      <c r="E625" s="41"/>
      <c r="F625" s="7" t="str">
        <f ca="1">IF(ISERROR(F616),"",VLOOKUP(E616,INDIRECT($F$8),6+(O625-1)*3,0))</f>
        <v/>
      </c>
      <c r="G625" s="42" t="str">
        <f ca="1">IF(ISERROR(F616),"",_xlfn.TEXTJOIN("/",FALSE,P625,S625))</f>
        <v/>
      </c>
      <c r="H625" s="42"/>
      <c r="I625" s="42" t="str">
        <f ca="1">IF(ISERROR(F616),"",_xlfn.TEXTJOIN("/",FALSE,Q625,T625))</f>
        <v/>
      </c>
      <c r="J625" s="42"/>
      <c r="K625" s="42" t="str">
        <f ca="1">IF(ISERROR(F616),"",_xlfn.TEXTJOIN("/",FALSE,R625,U625))</f>
        <v/>
      </c>
      <c r="L625" s="42"/>
      <c r="M625" s="7" t="str">
        <f ca="1">IF(ISERROR(F616),"",IF(ISTEXT(P625),IF(P625="A","Ab",IF(P625="D","Dt",IF(P625="UFM","UFM",IF(P625="NA","")))),IF(AND(ISBLANK(P625),ISBLANK(R625)),"",IF(P625&lt;0.3*S625,"F",IF(ISBLANK(R625),"",IF(ISTEXT(R625),R625,IF(R625&gt;=0.9*U625,"O",IF(R625&gt;=0.85*U625,"A+",IF(R625&gt;=0.8*U625,"A",IF(R625&gt;=0.7*U625,"B+",IF(R625&gt;=0.6*U625,"B",IF(R625&gt;=0.5*U625,"C",IF(R625&gt;=0.4*U625,"P",IF(R625&lt;0.4*U625,"F",R625))))))))))))))</f>
        <v/>
      </c>
      <c r="N625" s="8" t="str">
        <f t="shared" ca="1" si="38"/>
        <v/>
      </c>
      <c r="O625">
        <f ca="1">IF(O624&gt;0,7,"")</f>
        <v>7</v>
      </c>
      <c r="P625" s="1" t="str">
        <f ca="1">IF(ISERROR(F616),"",IF(ISTEXT(VLOOKUP(B616,INDIRECT($F$8),6+(O625-1)*3)),(VLOOKUP(B616,INDIRECT($F$8),6+(O625-1)*3)),SUM(VLOOKUP(B616,INDIRECT($F$8),6+(O625-1)*3),IF(W628,W625,0))))</f>
        <v/>
      </c>
      <c r="Q625" s="1" t="str">
        <f ca="1">IF(ISERROR(F616),"",VLOOKUP(B616,INDIRECT($F$8),7+(O625-1)*3))</f>
        <v/>
      </c>
      <c r="R625" s="1" t="str">
        <f ca="1">IF(ISERROR(F616),"",SUM(P625:Q625))</f>
        <v/>
      </c>
      <c r="S625" s="1" t="str">
        <f ca="1">IF(ISERROR(F616),"",VLOOKUP(A616,INDIRECT($F$8),6+(O625-1)*3))</f>
        <v/>
      </c>
      <c r="T625" s="1" t="str">
        <f ca="1">IF(ISERROR(F616),"",VLOOKUP(A616,INDIRECT($F$8),7+(O625-1)*3))</f>
        <v/>
      </c>
      <c r="U625" s="1" t="str">
        <f ca="1">IF(ISERROR(F616),"",VLOOKUP(A616,INDIRECT($F$8),8+(O625-1)*3))</f>
        <v/>
      </c>
      <c r="V625" s="1" t="str">
        <f ca="1">IF(ISERROR(F616),"",IF(N625=0,A625,""))</f>
        <v/>
      </c>
      <c r="W625" s="1" t="str">
        <f ca="1">IF(ISERROR(F616),"",IF(ISTEXT(VLOOKUP(B616,INDIRECT($F$8),6+(O625-1)*3)),11,IF(VLOOKUP(B616,INDIRECT($F$8),6+(O625-1)*3)&lt;S625*0.3,IF(VLOOKUP(B616,INDIRECT($F$8),8+(O625-1)*3)&lt;U625*0.4,IF(AND(0.4*U625-VLOOKUP(B616,INDIRECT($F$8),8+(O625-1)*3)&lt;=5,0.3*S625-VLOOKUP(B616,INDIRECT($F$8),6+(O625-1)*3)&lt;=5),MAX(0.4*U625-VLOOKUP(B616,INDIRECT($F$8),8+(O625-1)*3),0.3*S625-VLOOKUP(B616,INDIRECT($F$8),6+(O625-1)*3)),11),IF(0.3*S625-VLOOKUP(B616,INDIRECT($F$8),6+(O625-1)*3)&lt;=5,0.3*S625-VLOOKUP(B616,INDIRECT($F$8),6+(O625-1)*3),11)),IF(VLOOKUP(B616,INDIRECT($F$8),8+(O625-1)*3)&lt;U625*0.4,IF(U625*0.4-VLOOKUP(B616,INDIRECT($F$8),8+(O625-1)*3)&lt;=5,U625*0.4-VLOOKUP(B616,INDIRECT($F$8),8+(O625-1)*3),11),0))))</f>
        <v/>
      </c>
      <c r="X625" s="1" t="str">
        <f ca="1">IF(ISERROR(F616),"",IF(W625=0,"",_xlfn.TEXTJOIN("",FALSE," G+",W625," in ",A625)))</f>
        <v/>
      </c>
    </row>
    <row r="626" spans="1:24" ht="12.75" customHeight="1" x14ac:dyDescent="0.2">
      <c r="A626" s="7" t="str">
        <f ca="1">IF(ISERROR(F616),"",VLOOKUP(C616,INDIRECT($F$8),6+(O626-1)*3,0))</f>
        <v/>
      </c>
      <c r="B626" s="41" t="str">
        <f ca="1">IF(ISERROR(F616),"",VLOOKUP(D616,INDIRECT($F$8),6+(O626-1)*3,0))</f>
        <v/>
      </c>
      <c r="C626" s="41"/>
      <c r="D626" s="41"/>
      <c r="E626" s="41"/>
      <c r="F626" s="7" t="str">
        <f ca="1">IF(ISERROR(F616),"",VLOOKUP(E616,INDIRECT($F$8),6+(O626-1)*3,0))</f>
        <v/>
      </c>
      <c r="G626" s="42" t="str">
        <f ca="1">IF(ISERROR(F616),"",_xlfn.TEXTJOIN("/",FALSE,P626,S626))</f>
        <v/>
      </c>
      <c r="H626" s="42"/>
      <c r="I626" s="42" t="str">
        <f ca="1">IF(ISERROR(F616),"",_xlfn.TEXTJOIN("/",FALSE,Q626,T626))</f>
        <v/>
      </c>
      <c r="J626" s="42"/>
      <c r="K626" s="42" t="str">
        <f ca="1">IF(ISERROR(F616),"",_xlfn.TEXTJOIN("/",FALSE,R626,U626))</f>
        <v/>
      </c>
      <c r="L626" s="42"/>
      <c r="M626" s="7" t="str">
        <f ca="1">IF(ISERROR(F616),"",IF(ISTEXT(P626),IF(P626="A","Ab",IF(P626="D","Dt",IF(P626="UFM","UFM",IF(P626="NA","")))),IF(AND(ISBLANK(P626),ISBLANK(R626)),"",IF(P626&lt;0.3*S626,"F",IF(ISBLANK(R626),"",IF(ISTEXT(R626),R626,IF(R626&gt;=0.9*U626,"O",IF(R626&gt;=0.85*U626,"A+",IF(R626&gt;=0.8*U626,"A",IF(R626&gt;=0.7*U626,"B+",IF(R626&gt;=0.6*U626,"B",IF(R626&gt;=0.5*U626,"C",IF(R626&gt;=0.4*U626,"P",IF(R626&lt;0.4*U626,"F",R626))))))))))))))</f>
        <v/>
      </c>
      <c r="N626" s="8" t="str">
        <f t="shared" ca="1" si="38"/>
        <v/>
      </c>
      <c r="O626" t="b" cm="1">
        <f t="array" aca="1" ref="O626" ca="1">IF(NOT(ISBLANK(INDIRECT("SEM_IV!AA"&amp;INT((ROW(O626)-18)/16)+6))),8,IF(NOT(ISBLANK(INDIRECT("SEM_IV!AD"&amp;INT((ROW(O626)-18)/16)+6))),9))</f>
        <v>0</v>
      </c>
      <c r="P626" s="1" t="str">
        <f ca="1">IF(ISERROR(F616),"",IF(ISTEXT(VLOOKUP(B616,INDIRECT($F$8),6+(O626-1)*3)),(VLOOKUP(B616,INDIRECT($F$8),6+(O626-1)*3)),SUM(VLOOKUP(B616,INDIRECT($F$8),6+(O626-1)*3),IF(W628,W626,0))))</f>
        <v/>
      </c>
      <c r="Q626" s="1" t="str">
        <f ca="1">IF(ISERROR(F616),"",VLOOKUP(B616,INDIRECT($F$8),7+(O626-1)*3))</f>
        <v/>
      </c>
      <c r="R626" s="1" t="str">
        <f ca="1">IF(ISERROR(F616),"",SUM(P626:Q626))</f>
        <v/>
      </c>
      <c r="S626" s="1" t="str">
        <f ca="1">IF(ISERROR(F616),"",VLOOKUP(A616,INDIRECT($F$8),6+(O626-1)*3))</f>
        <v/>
      </c>
      <c r="T626" s="1" t="str">
        <f ca="1">IF(ISERROR(F616),"",VLOOKUP(A616,INDIRECT($F$8),7+(O626-1)*3))</f>
        <v/>
      </c>
      <c r="U626" s="1" t="str">
        <f ca="1">IF(ISERROR(F616),"",VLOOKUP(A616,INDIRECT($F$8),8+(O626-1)*3))</f>
        <v/>
      </c>
      <c r="V626" s="1" t="str">
        <f ca="1">IF(ISERROR(F616),"",IF(N626=0,A626,""))</f>
        <v/>
      </c>
      <c r="W626" s="1" t="str">
        <f ca="1">IF(ISERROR(F616),"",IF(ISTEXT(VLOOKUP(B616,INDIRECT($F$8),6+(O626-1)*3)),11,IF(VLOOKUP(B616,INDIRECT($F$8),6+(O626-1)*3)&lt;S626*0.3,IF(VLOOKUP(B616,INDIRECT($F$8),8+(O626-1)*3)&lt;U626*0.4,IF(AND(0.4*U626-VLOOKUP(B616,INDIRECT($F$8),8+(O626-1)*3)&lt;=5,0.3*S626-VLOOKUP(B616,INDIRECT($F$8),6+(O626-1)*3)&lt;=5),MAX(0.4*U626-VLOOKUP(B616,INDIRECT($F$8),8+(O626-1)*3),0.3*S626-VLOOKUP(B616,INDIRECT($F$8),6+(O626-1)*3)),11),IF(0.3*S626-VLOOKUP(B616,INDIRECT($F$8),6+(O626-1)*3)&lt;=5,0.3*S626-VLOOKUP(B616,INDIRECT($F$8),6+(O626-1)*3),11)),IF(VLOOKUP(B616,INDIRECT($F$8),8+(O626-1)*3)&lt;U626*0.4,IF(U626*0.4-VLOOKUP(B616,INDIRECT($F$8),8+(O626-1)*3)&lt;=5,U626*0.4-VLOOKUP(B616,INDIRECT($F$8),8+(O626-1)*3),11),0))))</f>
        <v/>
      </c>
      <c r="X626" s="1" t="str">
        <f ca="1">IF(ISERROR(F616),"",IF(W626=0,"",_xlfn.TEXTJOIN("",FALSE," G+",W626," in ",A626)))</f>
        <v/>
      </c>
    </row>
    <row r="627" spans="1:24" ht="12.75" customHeight="1" x14ac:dyDescent="0.2">
      <c r="A627" s="7" t="str">
        <f ca="1">IF(ISERROR(F616),"",VLOOKUP(C616,INDIRECT($F$8),6+(O627-1)*3,0))</f>
        <v/>
      </c>
      <c r="B627" s="41" t="str">
        <f ca="1">IF(ISERROR(F616),"",VLOOKUP(D616,INDIRECT($F$8),6+(O627-1)*3-Z627,0))</f>
        <v/>
      </c>
      <c r="C627" s="41"/>
      <c r="D627" s="41"/>
      <c r="E627" s="41"/>
      <c r="F627" s="7" t="str">
        <f ca="1">IF(ISERROR(F616),"",VLOOKUP(E616,INDIRECT($F$8),6+(O627-1)*3,0))</f>
        <v/>
      </c>
      <c r="G627" s="42" t="str">
        <f ca="1">IF(ISERROR(F616),"",_xlfn.TEXTJOIN("/",FALSE,P627,S627))</f>
        <v/>
      </c>
      <c r="H627" s="42"/>
      <c r="I627" s="42" t="str">
        <f ca="1">IF(ISERROR(F616),"",_xlfn.TEXTJOIN("/",FALSE,Q627,T627))</f>
        <v/>
      </c>
      <c r="J627" s="42"/>
      <c r="K627" s="42" t="str">
        <f ca="1">IF(ISERROR(F616),"",_xlfn.TEXTJOIN("/",FALSE,R627,U627))</f>
        <v/>
      </c>
      <c r="L627" s="42"/>
      <c r="M627" s="7" t="str">
        <f ca="1">IF(ISERROR(F616),"",IF(ISTEXT(P627),IF(P627="A","Ab",IF(P627="D","Dt",IF(P627="UFM","UFM",IF(P627="NA","")))),IF(AND(ISBLANK(P627),ISBLANK(R627)),"",IF(P627&lt;0.3*S627,"F",IF(ISBLANK(R627),"",IF(ISTEXT(R627),R627,IF(R627&gt;=0.9*U627,"O",IF(R627&gt;=0.85*U627,"A+",IF(R627&gt;=0.8*U627,"A",IF(R627&gt;=0.7*U627,"B+",IF(R627&gt;=0.6*U627,"B",IF(R627&gt;=0.5*U627,"C",IF(R627&gt;=0.4*U627,"P",IF(R627&lt;0.4*U627,"F",R627))))))))))))))</f>
        <v/>
      </c>
      <c r="N627" s="8" t="str">
        <f t="shared" ca="1" si="38"/>
        <v/>
      </c>
      <c r="O627">
        <f ca="1">IF(O626&gt;0,10,"")</f>
        <v>10</v>
      </c>
      <c r="P627" s="1" t="str">
        <f ca="1">IF(ISERROR(F616),"",IF(ISTEXT(VLOOKUP(B616,INDIRECT($F$8),6+(O627-1)*3)),(VLOOKUP(B616,INDIRECT($F$8),6+(O627-1)*3)),SUM(VLOOKUP(B616,INDIRECT($F$8),6+(O627-1)*3),IF(W628,W627,0))))</f>
        <v/>
      </c>
      <c r="Q627" s="1" t="str">
        <f ca="1">IF(ISERROR(F616),"",VLOOKUP(B616,INDIRECT($F$8),7+(O627-1)*3))</f>
        <v/>
      </c>
      <c r="R627" s="1" t="str">
        <f ca="1">IF(ISERROR(F616),"",SUM(P627:Q627))</f>
        <v/>
      </c>
      <c r="S627" s="1" t="str">
        <f ca="1">IF(ISERROR(F616),"",VLOOKUP(A616,INDIRECT($F$8),6+(O627-1)*3))</f>
        <v/>
      </c>
      <c r="T627" s="1" t="str">
        <f ca="1">IF(ISERROR(F616),"",VLOOKUP(A616,INDIRECT($F$8),7+(O627-1)*3))</f>
        <v/>
      </c>
      <c r="U627" s="1" t="str">
        <f ca="1">IF(ISERROR(F616),"",VLOOKUP(A616,INDIRECT($F$8),8+(O627-1)*3))</f>
        <v/>
      </c>
      <c r="V627" s="1" t="str">
        <f ca="1">IF(ISERROR(F616),"",IF(N627=0,A627,""))</f>
        <v/>
      </c>
      <c r="W627" s="1" t="str">
        <f ca="1">IF(ISERROR(F616),"",IF(ISTEXT(VLOOKUP(B616,INDIRECT($F$8),6+(O627-1)*3)),11,IF(VLOOKUP(B616,INDIRECT($F$8),6+(O627-1)*3)&lt;S627*0.3,IF(VLOOKUP(B616,INDIRECT($F$8),8+(O627-1)*3)&lt;U627*0.4,IF(AND(0.4*U627-VLOOKUP(B616,INDIRECT($F$8),8+(O627-1)*3)&lt;=5,0.3*S627-VLOOKUP(B616,INDIRECT($F$8),6+(O627-1)*3)&lt;=5),MAX(0.4*U627-VLOOKUP(B616,INDIRECT($F$8),8+(O627-1)*3),0.3*S627-VLOOKUP(B616,INDIRECT($F$8),6+(O627-1)*3)),11),IF(0.3*S627-VLOOKUP(B616,INDIRECT($F$8),6+(O627-1)*3)&lt;=5,0.3*S627-VLOOKUP(B616,INDIRECT($F$8),6+(O627-1)*3),11)),IF(VLOOKUP(B616,INDIRECT($F$8),8+(O627-1)*3)&lt;U627*0.4,IF(U627*0.4-VLOOKUP(B616,INDIRECT($F$8),8+(O627-1)*3)&lt;=5,U627*0.4-VLOOKUP(B616,INDIRECT($F$8),8+(O627-1)*3),11),0))))</f>
        <v/>
      </c>
      <c r="X627" s="1" t="str">
        <f ca="1">IF(ISERROR(F616),"",IF(W627=0,"",_xlfn.TEXTJOIN("",FALSE," G+",W627," in ",A627)))</f>
        <v/>
      </c>
    </row>
    <row r="628" spans="1:24" ht="12.75" customHeight="1" x14ac:dyDescent="0.2">
      <c r="A628" s="43" t="str">
        <f ca="1">IF(ISERROR(F616),"",A612)</f>
        <v/>
      </c>
      <c r="B628" s="43"/>
      <c r="C628" s="43"/>
      <c r="D628" s="43"/>
      <c r="E628" s="43"/>
      <c r="F628" s="10" t="str">
        <f ca="1">IF(ISERROR(F616),"",SUM(F621:F627))</f>
        <v/>
      </c>
      <c r="G628" s="44" t="str">
        <f ca="1">IF(ISERROR(F616),"",_xlfn.TEXTJOIN("/",TRUE,SUMIF(F621:F627,"&gt;0",P621:P627),SUMIF(F621:F627,"&gt;0",S621:S627)))</f>
        <v/>
      </c>
      <c r="H628" s="44"/>
      <c r="I628" s="44" t="str">
        <f ca="1">IF(ISERROR(F616),"",_xlfn.TEXTJOIN("/",TRUE,SUMIF(F621:F627,"&gt;0",Q621:Q627),SUMIF(F621:F627,"&gt;0",T621:T627)))</f>
        <v/>
      </c>
      <c r="J628" s="44"/>
      <c r="K628" s="44" t="str">
        <f ca="1">IF(ISERROR(F616),"",_xlfn.TEXTJOIN("/",TRUE,SUMIF(F621:F627,"&gt;0",R621:R627),SUMIF(F621:F627,"&gt;0",U621:U627)))</f>
        <v/>
      </c>
      <c r="L628" s="44"/>
      <c r="M628" s="43" t="str">
        <f ca="1">IF(ISERROR(F616),"",SUMPRODUCT(N621:N627,F621:F627))</f>
        <v/>
      </c>
      <c r="N628" s="43"/>
      <c r="V628" s="1" t="str">
        <f ca="1">IF(ISERROR(F616),"",_xlfn.TEXTJOIN(", ",TRUE,V621:V627))</f>
        <v/>
      </c>
      <c r="W628" t="str">
        <f ca="1">IF(ISERROR(F616),"",IF(SUM(W621:W627)&lt;=W620,TRUE,FALSE))</f>
        <v/>
      </c>
      <c r="X628" s="1" t="str">
        <f ca="1">IF(ISERROR(F616),"",_xlfn.TEXTJOIN(",",TRUE,X621:X627))</f>
        <v/>
      </c>
    </row>
    <row r="629" spans="1:24" ht="12.75" customHeight="1" x14ac:dyDescent="0.2">
      <c r="A629" s="43" t="str">
        <f ca="1">IF(ISERROR(F616),"",A613)</f>
        <v/>
      </c>
      <c r="B629" s="45" t="str">
        <f ca="1">IF(ISERROR(F616),"",IF(V628="","PASS","CARRY OVER"))</f>
        <v/>
      </c>
      <c r="C629" s="45"/>
      <c r="D629" s="43" t="str">
        <f ca="1">IF(ISERROR(F616),"",D613)</f>
        <v/>
      </c>
      <c r="E629" s="45" t="str">
        <f ca="1">IF(ISERROR(F616),"",IF(V628="",IF(X628="","",X628),_xlfn.TEXTJOIN(" ",TRUE,"BACK IN",V628)))</f>
        <v/>
      </c>
      <c r="F629" s="45"/>
      <c r="G629" s="43" t="str">
        <f ca="1">IF(ISERROR(F616),"",G613)</f>
        <v/>
      </c>
      <c r="H629" s="46" t="str">
        <f ca="1">IF(ISERROR(F616),"",M628/F628)</f>
        <v/>
      </c>
      <c r="I629" s="43" t="str">
        <f ca="1">IF(ISERROR(F616),"",I613)</f>
        <v/>
      </c>
      <c r="J629" s="46" t="str">
        <f ca="1">IF(ISERROR(F616),"",VLOOKUP(B616,INDIRECT($F$8),12+(O627-1)*3,0))</f>
        <v/>
      </c>
      <c r="K629" s="45" t="str">
        <f ca="1">IF(ISERROR(F616),"",K613)</f>
        <v/>
      </c>
      <c r="L629" s="43" t="str">
        <f ca="1">IF(ISERROR(F616),"",SUMIF(N621:N627,"&gt;0",F621:F627))</f>
        <v/>
      </c>
      <c r="M629" s="45" t="str">
        <f ca="1">IF(ISERROR(F616),"",M613)</f>
        <v/>
      </c>
      <c r="N629" s="43" t="str">
        <f ca="1">IF(ISERROR(F616),"",VLOOKUP(B616,INDIRECT($F$8),10+(O627-1)*3,0))</f>
        <v/>
      </c>
    </row>
    <row r="630" spans="1:24" ht="12.75" customHeight="1" x14ac:dyDescent="0.2">
      <c r="A630" s="43"/>
      <c r="B630" s="45"/>
      <c r="C630" s="45"/>
      <c r="D630" s="43"/>
      <c r="E630" s="45"/>
      <c r="F630" s="45"/>
      <c r="G630" s="43"/>
      <c r="H630" s="46"/>
      <c r="I630" s="43"/>
      <c r="J630" s="46"/>
      <c r="K630" s="45"/>
      <c r="L630" s="43"/>
      <c r="M630" s="45"/>
      <c r="N630" s="43"/>
    </row>
    <row r="631" spans="1:24" ht="12.75" customHeight="1" x14ac:dyDescent="0.2">
      <c r="A631" s="43"/>
      <c r="B631" s="45"/>
      <c r="C631" s="45"/>
      <c r="D631" s="43"/>
      <c r="E631" s="45"/>
      <c r="F631" s="45"/>
      <c r="G631" s="43"/>
      <c r="H631" s="46"/>
      <c r="I631" s="43"/>
      <c r="J631" s="46"/>
      <c r="K631" s="45"/>
      <c r="L631" s="43"/>
      <c r="M631" s="45"/>
      <c r="N631" s="43"/>
    </row>
    <row r="632" spans="1:24" ht="12.75" customHeight="1" x14ac:dyDescent="0.2">
      <c r="A632" s="11" t="str">
        <f>A616</f>
        <v>MM</v>
      </c>
      <c r="B632" s="11">
        <f>B616+1</f>
        <v>40</v>
      </c>
      <c r="C632" s="11" t="str">
        <f>C616</f>
        <v>SC</v>
      </c>
      <c r="D632" s="11" t="str">
        <f>D616</f>
        <v>SN</v>
      </c>
      <c r="E632" s="11" t="str">
        <f>E616</f>
        <v>C</v>
      </c>
      <c r="F632" s="11" t="e">
        <f ca="1">VLOOKUP(B632,INDIRECT($F$8),4,0)</f>
        <v>#N/A</v>
      </c>
    </row>
    <row r="633" spans="1:24" ht="12.75" customHeight="1" x14ac:dyDescent="0.2">
      <c r="A633" s="47" t="str">
        <f ca="1">IF(ISERROR(F632),"",A617)</f>
        <v/>
      </c>
      <c r="B633" s="47" t="str">
        <f ca="1">IFERROR(VLOOKUP(B632,INDIRECT($F$8),4,0),"")</f>
        <v/>
      </c>
      <c r="C633" s="47"/>
      <c r="D633" s="47" t="str">
        <f ca="1">IF(ISERROR(F632),"",D617)</f>
        <v/>
      </c>
      <c r="E633" s="47" t="str">
        <f ca="1">IFERROR(VLOOKUP(B632,INDIRECT($F$8),5,0),"")</f>
        <v/>
      </c>
      <c r="F633" s="47"/>
      <c r="G633" s="47" t="str">
        <f ca="1">IF(ISERROR(F632),"",G617)</f>
        <v/>
      </c>
      <c r="H633" s="47"/>
      <c r="I633" s="48" t="str">
        <f ca="1">IFERROR(VLOOKUP(B632,INDIRECT($F$8),2,0),"")</f>
        <v/>
      </c>
      <c r="J633" s="48"/>
      <c r="K633" s="47" t="str">
        <f ca="1">IF(ISERROR(F632),"",K617)</f>
        <v/>
      </c>
      <c r="L633" s="47"/>
      <c r="M633" s="48" t="str">
        <f ca="1">IFERROR(VLOOKUP(B632,INDIRECT($F$8),3,0),"")</f>
        <v/>
      </c>
      <c r="N633" s="48"/>
    </row>
    <row r="634" spans="1:24" ht="12.75" customHeight="1" x14ac:dyDescent="0.2">
      <c r="A634" s="47"/>
      <c r="B634" s="47"/>
      <c r="C634" s="47"/>
      <c r="D634" s="47"/>
      <c r="E634" s="47"/>
      <c r="F634" s="47"/>
      <c r="G634" s="47"/>
      <c r="H634" s="47"/>
      <c r="I634" s="48"/>
      <c r="J634" s="48"/>
      <c r="K634" s="47"/>
      <c r="L634" s="47"/>
      <c r="M634" s="48"/>
      <c r="N634" s="48"/>
    </row>
    <row r="635" spans="1:24" ht="12.75" customHeight="1" x14ac:dyDescent="0.2">
      <c r="A635" s="45" t="str">
        <f ca="1">IF(ISERROR(F632),"",A619)</f>
        <v/>
      </c>
      <c r="B635" s="45" t="str">
        <f ca="1">IF(ISERROR(F632),"",B619)</f>
        <v/>
      </c>
      <c r="C635" s="45"/>
      <c r="D635" s="45"/>
      <c r="E635" s="45"/>
      <c r="F635" s="45" t="str">
        <f ca="1">IF(ISERROR(F632),"",F619)</f>
        <v/>
      </c>
      <c r="G635" s="45" t="str">
        <f ca="1">IF(ISERROR(F632),"",G619)</f>
        <v/>
      </c>
      <c r="H635" s="45"/>
      <c r="I635" s="45" t="str">
        <f ca="1">IF(ISERROR(F632),"",I619)</f>
        <v/>
      </c>
      <c r="J635" s="45"/>
      <c r="K635" s="45" t="str">
        <f ca="1">IF(ISERROR(F632),"",K619)</f>
        <v/>
      </c>
      <c r="L635" s="45"/>
      <c r="M635" s="45" t="str">
        <f ca="1">IF(ISERROR(F632),"",M619)</f>
        <v/>
      </c>
      <c r="N635" s="45" t="str">
        <f ca="1">IF(ISERROR(F632),"",N619)</f>
        <v/>
      </c>
    </row>
    <row r="636" spans="1:24" ht="12.75" customHeight="1" x14ac:dyDescent="0.2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W636" t="e">
        <f ca="1">IF(ISNUMBER(MATCH($F$8,{"I","III","V","VII"},0)),10,10-INDEX(INDIRECT(_xlfn.TEXTJOIN("",TRUE,"SEM_",$G$8,"!",ADDRESS(6,4+$I$8*3+4),":",ADDRESS(5+$H$8,4+$I$8*3+4))),MATCH(INDIRECT(_xlfn.TEXTJOIN("",TRUE,"TC_",$F$8,"!",ADDRESS(ROW(I633),COLUMN(I633)))),INDIRECT(_xlfn.TEXTJOIN("",TRUE,"SEM_",$G$8,"!",ADDRESS(6,2),":",ADDRESS(5+$H$8,2))))))</f>
        <v>#N/A</v>
      </c>
    </row>
    <row r="637" spans="1:24" ht="12.75" customHeight="1" x14ac:dyDescent="0.2">
      <c r="A637" s="7" t="str">
        <f ca="1">IF(ISERROR(F632),"",VLOOKUP(C632,INDIRECT($F$8),6+(O637-1)*3,0))</f>
        <v/>
      </c>
      <c r="B637" s="41" t="str">
        <f ca="1">IF(ISERROR(F632),"",VLOOKUP(D632,INDIRECT($F$8),6+(O637-1)*3,0))</f>
        <v/>
      </c>
      <c r="C637" s="41"/>
      <c r="D637" s="41"/>
      <c r="E637" s="41"/>
      <c r="F637" s="7" t="str">
        <f ca="1">IF(ISERROR(F632),"",VLOOKUP(E632,INDIRECT($F$8),6+(O637-1)*3,0))</f>
        <v/>
      </c>
      <c r="G637" s="42" t="str">
        <f ca="1">IF(ISERROR(F632),"",_xlfn.TEXTJOIN("/",FALSE,P637,S637))</f>
        <v/>
      </c>
      <c r="H637" s="42"/>
      <c r="I637" s="42" t="str">
        <f ca="1">IF(ISERROR(F632),"",_xlfn.TEXTJOIN("/",FALSE,Q637,T637))</f>
        <v/>
      </c>
      <c r="J637" s="42"/>
      <c r="K637" s="42" t="str">
        <f ca="1">IF(ISERROR(F632),"",_xlfn.TEXTJOIN("/",FALSE,R637,U637))</f>
        <v/>
      </c>
      <c r="L637" s="42"/>
      <c r="M637" s="7" t="str">
        <f ca="1">IF(ISERROR(F632),"",IF(ISTEXT(P637),IF(P637="A","Ab",IF(P637="D","Dt",IF(P637="UFM","UFM",IF(P637="NA","")))),IF(AND(ISBLANK(P637),ISBLANK(R637)),"",IF(P637&lt;0.3*S637,"F",IF(ISBLANK(R637),"",IF(ISTEXT(R637),R637,IF(R637&gt;=0.9*U637,"O",IF(R637&gt;=0.85*U637,"A+",IF(R637&gt;=0.8*U637,"A",IF(R637&gt;=0.7*U637,"B+",IF(R637&gt;=0.6*U637,"B",IF(R637&gt;=0.5*U637,"C",IF(R637&gt;=0.4*U637,"P",IF(R637&lt;0.4*U637,"F",R637))))))))))))))</f>
        <v/>
      </c>
      <c r="N637" s="8" t="str">
        <f t="shared" ref="N637:N643" ca="1" si="39">INDEX($Z$2:$Z$13,MATCH(M637,$Y$2:$Y$13,0))</f>
        <v/>
      </c>
      <c r="O637">
        <v>1</v>
      </c>
      <c r="P637" s="1" t="str">
        <f ca="1">IF(ISERROR(F632),"",IF(ISTEXT(VLOOKUP(B632,INDIRECT($F$8),6+(O637-1)*3)),(VLOOKUP(B632,INDIRECT($F$8),6+(O637-1)*3)),SUM(VLOOKUP(B632,INDIRECT($F$8),6+(O637-1)*3),IF(W644,W637,0))))</f>
        <v/>
      </c>
      <c r="Q637" s="1" t="str">
        <f ca="1">IF(ISERROR(F632),"",VLOOKUP(B632,INDIRECT($F$8),7+(O637-1)*3))</f>
        <v/>
      </c>
      <c r="R637" s="1" t="str">
        <f ca="1">IF(ISERROR(F632),"",SUM(P637:Q637))</f>
        <v/>
      </c>
      <c r="S637" s="1" t="str">
        <f ca="1">IF(ISERROR(F632),"",VLOOKUP(A632,INDIRECT($F$8),6+(O637-1)*3))</f>
        <v/>
      </c>
      <c r="T637" s="1" t="str">
        <f ca="1">IF(ISERROR(F632),"",VLOOKUP(A632,INDIRECT($F$8),7+(O637-1)*3))</f>
        <v/>
      </c>
      <c r="U637" s="1" t="str">
        <f ca="1">IF(ISERROR(F632),"",VLOOKUP(A632,INDIRECT($F$8),8+(O637-1)*3))</f>
        <v/>
      </c>
      <c r="V637" s="1" t="str">
        <f ca="1">IF(ISERROR(F632),"",IF(N637=0,A637,""))</f>
        <v/>
      </c>
      <c r="W637" s="1" t="str">
        <f ca="1">IF(ISERROR(F632),"",IF(ISTEXT(VLOOKUP(B632,INDIRECT($F$8),6+(O637-1)*3)),11,IF(VLOOKUP(B632,INDIRECT($F$8),6+(O637-1)*3)&lt;S637*0.3,IF(VLOOKUP(B632,INDIRECT($F$8),8+(O637-1)*3)&lt;U637*0.4,IF(AND(0.4*U637-VLOOKUP(B632,INDIRECT($F$8),8+(O637-1)*3)&lt;=5,0.3*S637-VLOOKUP(B632,INDIRECT($F$8),6+(O637-1)*3)&lt;=5),MAX(0.4*U637-VLOOKUP(B632,INDIRECT($F$8),8+(O637-1)*3),0.3*S637-VLOOKUP(B632,INDIRECT($F$8),6+(O637-1)*3)),11),IF(0.3*S637-VLOOKUP(B632,INDIRECT($F$8),6+(O637-1)*3)&lt;=5,0.3*S637-VLOOKUP(B632,INDIRECT($F$8),6+(O637-1)*3),11)),IF(VLOOKUP(B632,INDIRECT($F$8),8+(O637-1)*3)&lt;U637*0.4,IF(U637*0.4-VLOOKUP(B632,INDIRECT($F$8),8+(O637-1)*3)&lt;=5,U637*0.4-VLOOKUP(B632,INDIRECT($F$8),8+(O637-1)*3),11),0))))</f>
        <v/>
      </c>
      <c r="X637" s="1" t="str">
        <f ca="1">IF(ISERROR(F632),"",IF(W637=0,"",_xlfn.TEXTJOIN("",FALSE," G+",W637," in ",A637)))</f>
        <v/>
      </c>
    </row>
    <row r="638" spans="1:24" ht="12.75" customHeight="1" x14ac:dyDescent="0.2">
      <c r="A638" s="7" t="str">
        <f ca="1">IF(ISERROR(F632),"",VLOOKUP(C632,INDIRECT($F$8),6+(O638-1)*3,0))</f>
        <v/>
      </c>
      <c r="B638" s="41" t="str">
        <f ca="1">IF(ISERROR(F632),"",VLOOKUP(D632,INDIRECT($F$8),6+(O638-1)*3,0))</f>
        <v/>
      </c>
      <c r="C638" s="41"/>
      <c r="D638" s="41"/>
      <c r="E638" s="41"/>
      <c r="F638" s="7" t="str">
        <f ca="1">IF(ISERROR(F632),"",VLOOKUP(E632,INDIRECT($F$8),6+(O638-1)*3,0))</f>
        <v/>
      </c>
      <c r="G638" s="42" t="str">
        <f ca="1">IF(ISERROR(F632),"",_xlfn.TEXTJOIN("/",FALSE,P638,S638))</f>
        <v/>
      </c>
      <c r="H638" s="42"/>
      <c r="I638" s="42" t="str">
        <f ca="1">IF(ISERROR(F632),"",_xlfn.TEXTJOIN("/",FALSE,Q638,T638))</f>
        <v/>
      </c>
      <c r="J638" s="42"/>
      <c r="K638" s="42" t="str">
        <f ca="1">IF(ISERROR(F632),"",_xlfn.TEXTJOIN("/",FALSE,R638,U638))</f>
        <v/>
      </c>
      <c r="L638" s="42"/>
      <c r="M638" s="7" t="str">
        <f ca="1">IF(ISERROR(F632),"",IF(ISTEXT(P638),IF(P638="A","Ab",IF(P638="D","Dt",IF(P638="UFM","UFM",IF(P638="NA","")))),IF(AND(ISBLANK(P638),ISBLANK(R638)),"",IF(P638&lt;0.3*S638,"F",IF(ISBLANK(R638),"",IF(ISTEXT(R638),R638,IF(R638&gt;=0.9*U638,"O",IF(R638&gt;=0.85*U638,"A+",IF(R638&gt;=0.8*U638,"A",IF(R638&gt;=0.7*U638,"B+",IF(R638&gt;=0.6*U638,"B",IF(R638&gt;=0.5*U638,"C",IF(R638&gt;=0.4*U638,"P",IF(R638&lt;0.4*U638,"F",R638))))))))))))))</f>
        <v/>
      </c>
      <c r="N638" s="8" t="str">
        <f t="shared" ca="1" si="39"/>
        <v/>
      </c>
      <c r="O638">
        <f>IF(ISERROR(MATCH(B632,{3,8,11,12,15,16,17,18,23,29,33},0)),O637+1,O637+2)</f>
        <v>2</v>
      </c>
      <c r="P638" s="1" t="str">
        <f ca="1">IF(ISERROR(F632),"",IF(ISTEXT(VLOOKUP(B632,INDIRECT($F$8),6+(O638-1)*3)),(VLOOKUP(B632,INDIRECT($F$8),6+(O638-1)*3)),SUM(VLOOKUP(B632,INDIRECT($F$8),6+(O638-1)*3),IF(W644,W638,0))))</f>
        <v/>
      </c>
      <c r="Q638" s="1" t="str">
        <f ca="1">IF(ISERROR(F632),"",VLOOKUP(B632,INDIRECT($F$8),7+(O638-1)*3))</f>
        <v/>
      </c>
      <c r="R638" s="1" t="str">
        <f ca="1">IF(ISERROR(F632),"",SUM(P638:Q638))</f>
        <v/>
      </c>
      <c r="S638" s="1" t="str">
        <f ca="1">IF(ISERROR(F632),"",VLOOKUP(A632,INDIRECT($F$8),6+(O638-1)*3))</f>
        <v/>
      </c>
      <c r="T638" s="1" t="str">
        <f ca="1">IF(ISERROR(F632),"",VLOOKUP(A632,INDIRECT($F$8),7+(O638-1)*3))</f>
        <v/>
      </c>
      <c r="U638" s="1" t="str">
        <f ca="1">IF(ISERROR(F632),"",VLOOKUP(A632,INDIRECT($F$8),8+(O638-1)*3))</f>
        <v/>
      </c>
      <c r="V638" s="1" t="str">
        <f ca="1">IF(ISERROR(F632),"",IF(N638=0,A638,""))</f>
        <v/>
      </c>
      <c r="W638" s="1" t="str">
        <f ca="1">IF(ISERROR(F632),"",IF(ISTEXT(VLOOKUP(B632,INDIRECT($F$8),6+(O638-1)*3)),11,IF(VLOOKUP(B632,INDIRECT($F$8),6+(O638-1)*3)&lt;S638*0.3,IF(VLOOKUP(B632,INDIRECT($F$8),8+(O638-1)*3)&lt;U638*0.4,IF(AND(0.4*U638-VLOOKUP(B632,INDIRECT($F$8),8+(O638-1)*3)&lt;=5,0.3*S638-VLOOKUP(B632,INDIRECT($F$8),6+(O638-1)*3)&lt;=5),MAX(0.4*U638-VLOOKUP(B632,INDIRECT($F$8),8+(O638-1)*3),0.3*S638-VLOOKUP(B632,INDIRECT($F$8),6+(O638-1)*3)),11),IF(0.3*S638-VLOOKUP(B632,INDIRECT($F$8),6+(O638-1)*3)&lt;=5,0.3*S638-VLOOKUP(B632,INDIRECT($F$8),6+(O638-1)*3),11)),IF(VLOOKUP(B632,INDIRECT($F$8),8+(O638-1)*3)&lt;U638*0.4,IF(U638*0.4-VLOOKUP(B632,INDIRECT($F$8),8+(O638-1)*3)&lt;=5,U638*0.4-VLOOKUP(B632,INDIRECT($F$8),8+(O638-1)*3),11),0))))</f>
        <v/>
      </c>
      <c r="X638" s="1" t="str">
        <f ca="1">IF(ISERROR(F632),"",IF(W638=0,"",_xlfn.TEXTJOIN("",FALSE," G+",W638," in ",A638)))</f>
        <v/>
      </c>
    </row>
    <row r="639" spans="1:24" ht="12.75" customHeight="1" x14ac:dyDescent="0.2">
      <c r="A639" s="7" t="str">
        <f ca="1">IF(ISERROR(F632),"",VLOOKUP(C632,INDIRECT($F$8),6+(O639-1)*3,0))</f>
        <v/>
      </c>
      <c r="B639" s="41" t="str">
        <f ca="1">IF(ISERROR(F632),"",VLOOKUP(D632,INDIRECT($F$8),6+(O639-1)*3,0))</f>
        <v/>
      </c>
      <c r="C639" s="41"/>
      <c r="D639" s="41"/>
      <c r="E639" s="41"/>
      <c r="F639" s="7" t="str">
        <f ca="1">IF(ISERROR(F632),"",VLOOKUP(E632,INDIRECT($F$8),6+(O639-1)*3,0))</f>
        <v/>
      </c>
      <c r="G639" s="42" t="str">
        <f ca="1">IF(ISERROR(F632),"",_xlfn.TEXTJOIN("/",FALSE,P639,S639))</f>
        <v/>
      </c>
      <c r="H639" s="42"/>
      <c r="I639" s="42" t="str">
        <f ca="1">IF(ISERROR(F632),"",_xlfn.TEXTJOIN("/",FALSE,Q639,T639))</f>
        <v/>
      </c>
      <c r="J639" s="42"/>
      <c r="K639" s="42" t="str">
        <f ca="1">IF(ISERROR(F632),"",_xlfn.TEXTJOIN("/",FALSE,R639,U639))</f>
        <v/>
      </c>
      <c r="L639" s="42"/>
      <c r="M639" s="7" t="str">
        <f ca="1">IF(ISERROR(F632),"",IF(ISTEXT(P639),IF(P639="A","Ab",IF(P639="D","Dt",IF(P639="UFM","UFM",IF(P639="NA","")))),IF(AND(ISBLANK(P639),ISBLANK(R639)),"",IF(P639&lt;0.3*S639,"F",IF(ISBLANK(R639),"",IF(ISTEXT(R639),R639,IF(R639&gt;=0.9*U639,"O",IF(R639&gt;=0.85*U639,"A+",IF(R639&gt;=0.8*U639,"A",IF(R639&gt;=0.7*U639,"B+",IF(R639&gt;=0.6*U639,"B",IF(R639&gt;=0.5*U639,"C",IF(R639&gt;=0.4*U639,"P",IF(R639&lt;0.4*U639,"F",R639))))))))))))))</f>
        <v/>
      </c>
      <c r="N639" s="8" t="str">
        <f t="shared" ca="1" si="39"/>
        <v/>
      </c>
      <c r="O639">
        <f>O637+3</f>
        <v>4</v>
      </c>
      <c r="P639" s="1" t="str">
        <f ca="1">IF(ISERROR(F632),"",IF(ISTEXT(VLOOKUP(B632,INDIRECT($F$8),6+(O639-1)*3)),(VLOOKUP(B632,INDIRECT($F$8),6+(O639-1)*3)),SUM(VLOOKUP(B632,INDIRECT($F$8),6+(O639-1)*3),IF(W644,W639,0))))</f>
        <v/>
      </c>
      <c r="Q639" s="1" t="str">
        <f ca="1">IF(ISERROR(F632),"",VLOOKUP(B632,INDIRECT($F$8),7+(O639-1)*3))</f>
        <v/>
      </c>
      <c r="R639" s="1" t="str">
        <f ca="1">IF(ISERROR(F632),"",SUM(P639:Q639))</f>
        <v/>
      </c>
      <c r="S639" s="1" t="str">
        <f ca="1">IF(ISERROR(F632),"",VLOOKUP(A632,INDIRECT($F$8),6+(O639-1)*3))</f>
        <v/>
      </c>
      <c r="T639" s="1" t="str">
        <f ca="1">IF(ISERROR(F632),"",VLOOKUP(A632,INDIRECT($F$8),7+(O639-1)*3))</f>
        <v/>
      </c>
      <c r="U639" s="1" t="str">
        <f ca="1">IF(ISERROR(F632),"",VLOOKUP(A632,INDIRECT($F$8),8+(O639-1)*3))</f>
        <v/>
      </c>
      <c r="V639" s="1" t="str">
        <f ca="1">IF(ISERROR(F632),"",IF(N639=0,A639,""))</f>
        <v/>
      </c>
      <c r="W639" s="1" t="str">
        <f ca="1">IF(ISERROR(F632),"",IF(ISTEXT(VLOOKUP(B632,INDIRECT($F$8),6+(O639-1)*3)),11,IF(VLOOKUP(B632,INDIRECT($F$8),6+(O639-1)*3)&lt;S639*0.3,IF(VLOOKUP(B632,INDIRECT($F$8),8+(O639-1)*3)&lt;U639*0.4,IF(AND(0.4*U639-VLOOKUP(B632,INDIRECT($F$8),8+(O639-1)*3)&lt;=5,0.3*S639-VLOOKUP(B632,INDIRECT($F$8),6+(O639-1)*3)&lt;=5),MAX(0.4*U639-VLOOKUP(B632,INDIRECT($F$8),8+(O639-1)*3),0.3*S639-VLOOKUP(B632,INDIRECT($F$8),6+(O639-1)*3)),11),IF(0.3*S639-VLOOKUP(B632,INDIRECT($F$8),6+(O639-1)*3)&lt;=5,0.3*S639-VLOOKUP(B632,INDIRECT($F$8),6+(O639-1)*3),11)),IF(VLOOKUP(B632,INDIRECT($F$8),8+(O639-1)*3)&lt;U639*0.4,IF(U639*0.4-VLOOKUP(B632,INDIRECT($F$8),8+(O639-1)*3)&lt;=5,U639*0.4-VLOOKUP(B632,INDIRECT($F$8),8+(O639-1)*3),11),0))))</f>
        <v/>
      </c>
      <c r="X639" s="1" t="str">
        <f ca="1">IF(ISERROR(F632),"",IF(W639=0,"",_xlfn.TEXTJOIN("",FALSE," G+",W639," in ",A639)))</f>
        <v/>
      </c>
    </row>
    <row r="640" spans="1:24" ht="12.75" customHeight="1" x14ac:dyDescent="0.2">
      <c r="A640" s="7" t="str">
        <f ca="1">IF(ISERROR(F632),"",VLOOKUP(C632,INDIRECT($F$8),6+(O640-1)*3,0))</f>
        <v/>
      </c>
      <c r="B640" s="41" t="str">
        <f ca="1">IF(ISERROR(F632),"",VLOOKUP(D632,INDIRECT($F$8),6+(O640-1)*3,0))</f>
        <v/>
      </c>
      <c r="C640" s="41"/>
      <c r="D640" s="41"/>
      <c r="E640" s="41"/>
      <c r="F640" s="7" t="str">
        <f ca="1">IF(ISERROR(F632),"",VLOOKUP(E632,INDIRECT($F$8),6+(O640-1)*3,0))</f>
        <v/>
      </c>
      <c r="G640" s="42" t="str">
        <f ca="1">IF(ISERROR(F632),"",_xlfn.TEXTJOIN("/",FALSE,P640,S640))</f>
        <v/>
      </c>
      <c r="H640" s="42"/>
      <c r="I640" s="42" t="str">
        <f ca="1">IF(ISERROR(F632),"",_xlfn.TEXTJOIN("/",FALSE,Q640,T640))</f>
        <v/>
      </c>
      <c r="J640" s="42"/>
      <c r="K640" s="42" t="str">
        <f ca="1">IF(ISERROR(F632),"",_xlfn.TEXTJOIN("/",FALSE,R640,U640))</f>
        <v/>
      </c>
      <c r="L640" s="42"/>
      <c r="M640" s="7" t="str">
        <f ca="1">IF(ISERROR(F632),"",IF(ISTEXT(P640),IF(P640="A","Ab",IF(P640="D","Dt",IF(P640="UFM","UFM",IF(P640="NA","")))),IF(AND(ISBLANK(P640),ISBLANK(R640)),"",IF(P640&lt;0.3*S640,"F",IF(ISBLANK(R640),"",IF(ISTEXT(R640),R640,IF(R640&gt;=0.9*U640,"O",IF(R640&gt;=0.85*U640,"A+",IF(R640&gt;=0.8*U640,"A",IF(R640&gt;=0.7*U640,"B+",IF(R640&gt;=0.6*U640,"B",IF(R640&gt;=0.5*U640,"C",IF(R640&gt;=0.4*U640,"P",IF(R640&lt;0.4*U640,"F",R640))))))))))))))</f>
        <v/>
      </c>
      <c r="N640" s="8" t="str">
        <f t="shared" ca="1" si="39"/>
        <v/>
      </c>
      <c r="O640">
        <f>IF(ISERROR(MATCH(B632,{12,13,15,16,18,19,22,24,28,29,30,31,33},0)),O639+2,O639+1)</f>
        <v>6</v>
      </c>
      <c r="P640" s="1" t="str">
        <f ca="1">IF(ISERROR(F632),"",IF(ISTEXT(VLOOKUP(B632,INDIRECT($F$8),6+(O640-1)*3)),(VLOOKUP(B632,INDIRECT($F$8),6+(O640-1)*3)),SUM(VLOOKUP(B632,INDIRECT($F$8),6+(O640-1)*3),IF(W644,W640,0))))</f>
        <v/>
      </c>
      <c r="Q640" s="1" t="str">
        <f ca="1">IF(ISERROR(F632),"",VLOOKUP(B632,INDIRECT($F$8),7+(O640-1)*3))</f>
        <v/>
      </c>
      <c r="R640" s="1" t="str">
        <f ca="1">IF(ISERROR(F632),"",SUM(P640:Q640))</f>
        <v/>
      </c>
      <c r="S640" s="1" t="str">
        <f ca="1">IF(ISERROR(F632),"",VLOOKUP(A632,INDIRECT($F$8),6+(O640-1)*3))</f>
        <v/>
      </c>
      <c r="T640" s="1" t="str">
        <f ca="1">IF(ISERROR(F632),"",VLOOKUP(A632,INDIRECT($F$8),7+(O640-1)*3))</f>
        <v/>
      </c>
      <c r="U640" s="1" t="str">
        <f ca="1">IF(ISERROR(F632),"",VLOOKUP(A632,INDIRECT($F$8),8+(O640-1)*3))</f>
        <v/>
      </c>
      <c r="V640" s="1" t="str">
        <f ca="1">IF(ISERROR(F632),"",IF(N640=0,A640,""))</f>
        <v/>
      </c>
      <c r="W640" s="1" t="str">
        <f ca="1">IF(ISERROR(F632),"",IF(ISTEXT(VLOOKUP(B632,INDIRECT($F$8),6+(O640-1)*3)),11,IF(VLOOKUP(B632,INDIRECT($F$8),6+(O640-1)*3)&lt;S640*0.3,IF(VLOOKUP(B632,INDIRECT($F$8),8+(O640-1)*3)&lt;U640*0.4,IF(AND(0.4*U640-VLOOKUP(B632,INDIRECT($F$8),8+(O640-1)*3)&lt;=5,0.3*S640-VLOOKUP(B632,INDIRECT($F$8),6+(O640-1)*3)&lt;=5),MAX(0.4*U640-VLOOKUP(B632,INDIRECT($F$8),8+(O640-1)*3),0.3*S640-VLOOKUP(B632,INDIRECT($F$8),6+(O640-1)*3)),11),IF(0.3*S640-VLOOKUP(B632,INDIRECT($F$8),6+(O640-1)*3)&lt;=5,0.3*S640-VLOOKUP(B632,INDIRECT($F$8),6+(O640-1)*3),11)),IF(VLOOKUP(B632,INDIRECT($F$8),8+(O640-1)*3)&lt;U640*0.4,IF(U640*0.4-VLOOKUP(B632,INDIRECT($F$8),8+(O640-1)*3)&lt;=5,U640*0.4-VLOOKUP(B632,INDIRECT($F$8),8+(O640-1)*3),11),0))))</f>
        <v/>
      </c>
      <c r="X640" s="1" t="str">
        <f ca="1">IF(ISERROR(F632),"",IF(W640=0,"",_xlfn.TEXTJOIN("",FALSE," G+",W640," in ",A640)))</f>
        <v/>
      </c>
    </row>
    <row r="641" spans="1:24" ht="12.75" customHeight="1" x14ac:dyDescent="0.2">
      <c r="A641" s="7" t="str">
        <f ca="1">IF(ISERROR(F632),"",VLOOKUP(C632,INDIRECT($F$8),6+(O641-1)*3,0))</f>
        <v/>
      </c>
      <c r="B641" s="41" t="str">
        <f ca="1">IF(ISERROR(F632),"",VLOOKUP(D632,INDIRECT($F$8),6+(O641-1)*3,0))</f>
        <v/>
      </c>
      <c r="C641" s="41"/>
      <c r="D641" s="41"/>
      <c r="E641" s="41"/>
      <c r="F641" s="7" t="str">
        <f ca="1">IF(ISERROR(F632),"",VLOOKUP(E632,INDIRECT($F$8),6+(O641-1)*3,0))</f>
        <v/>
      </c>
      <c r="G641" s="42" t="str">
        <f ca="1">IF(ISERROR(F632),"",_xlfn.TEXTJOIN("/",FALSE,P641,S641))</f>
        <v/>
      </c>
      <c r="H641" s="42"/>
      <c r="I641" s="42" t="str">
        <f ca="1">IF(ISERROR(F632),"",_xlfn.TEXTJOIN("/",FALSE,Q641,T641))</f>
        <v/>
      </c>
      <c r="J641" s="42"/>
      <c r="K641" s="42" t="str">
        <f ca="1">IF(ISERROR(F632),"",_xlfn.TEXTJOIN("/",FALSE,R641,U641))</f>
        <v/>
      </c>
      <c r="L641" s="42"/>
      <c r="M641" s="7" t="str">
        <f ca="1">IF(ISERROR(F632),"",IF(ISTEXT(P641),IF(P641="A","Ab",IF(P641="D","Dt",IF(P641="UFM","UFM",IF(P641="NA","")))),IF(AND(ISBLANK(P641),ISBLANK(R641)),"",IF(P641&lt;0.3*S641,"F",IF(ISBLANK(R641),"",IF(ISTEXT(R641),R641,IF(R641&gt;=0.9*U641,"O",IF(R641&gt;=0.85*U641,"A+",IF(R641&gt;=0.8*U641,"A",IF(R641&gt;=0.7*U641,"B+",IF(R641&gt;=0.6*U641,"B",IF(R641&gt;=0.5*U641,"C",IF(R641&gt;=0.4*U641,"P",IF(R641&lt;0.4*U641,"F",R641))))))))))))))</f>
        <v/>
      </c>
      <c r="N641" s="8" t="str">
        <f t="shared" ca="1" si="39"/>
        <v/>
      </c>
      <c r="O641">
        <f>O639+3</f>
        <v>7</v>
      </c>
      <c r="P641" s="1" t="str">
        <f ca="1">IF(ISERROR(F632),"",IF(ISTEXT(VLOOKUP(B632,INDIRECT($F$8),6+(O641-1)*3)),(VLOOKUP(B632,INDIRECT($F$8),6+(O641-1)*3)),SUM(VLOOKUP(B632,INDIRECT($F$8),6+(O641-1)*3),IF(W644,W641,0))))</f>
        <v/>
      </c>
      <c r="Q641" s="1" t="str">
        <f ca="1">IF(ISERROR(F632),"",VLOOKUP(B632,INDIRECT($F$8),7+(O641-1)*3))</f>
        <v/>
      </c>
      <c r="R641" s="1" t="str">
        <f ca="1">IF(ISERROR(F632),"",SUM(P641:Q641))</f>
        <v/>
      </c>
      <c r="S641" s="1" t="str">
        <f ca="1">IF(ISERROR(F632),"",VLOOKUP(A632,INDIRECT($F$8),6+(O641-1)*3))</f>
        <v/>
      </c>
      <c r="T641" s="1" t="str">
        <f ca="1">IF(ISERROR(F632),"",VLOOKUP(A632,INDIRECT($F$8),7+(O641-1)*3))</f>
        <v/>
      </c>
      <c r="U641" s="1" t="str">
        <f ca="1">IF(ISERROR(F632),"",VLOOKUP(A632,INDIRECT($F$8),8+(O641-1)*3))</f>
        <v/>
      </c>
      <c r="V641" s="1" t="str">
        <f ca="1">IF(ISERROR(F632),"",IF(N641=0,A641,""))</f>
        <v/>
      </c>
      <c r="W641" s="1" t="str">
        <f ca="1">IF(ISERROR(F632),"",IF(ISTEXT(VLOOKUP(B632,INDIRECT($F$8),6+(O641-1)*3)),11,IF(VLOOKUP(B632,INDIRECT($F$8),6+(O641-1)*3)&lt;S641*0.3,IF(VLOOKUP(B632,INDIRECT($F$8),8+(O641-1)*3)&lt;U641*0.4,IF(AND(0.4*U641-VLOOKUP(B632,INDIRECT($F$8),8+(O641-1)*3)&lt;=5,0.3*S641-VLOOKUP(B632,INDIRECT($F$8),6+(O641-1)*3)&lt;=5),MAX(0.4*U641-VLOOKUP(B632,INDIRECT($F$8),8+(O641-1)*3),0.3*S641-VLOOKUP(B632,INDIRECT($F$8),6+(O641-1)*3)),11),IF(0.3*S641-VLOOKUP(B632,INDIRECT($F$8),6+(O641-1)*3)&lt;=5,0.3*S641-VLOOKUP(B632,INDIRECT($F$8),6+(O641-1)*3),11)),IF(VLOOKUP(B632,INDIRECT($F$8),8+(O641-1)*3)&lt;U641*0.4,IF(U641*0.4-VLOOKUP(B632,INDIRECT($F$8),8+(O641-1)*3)&lt;=5,U641*0.4-VLOOKUP(B632,INDIRECT($F$8),8+(O641-1)*3),11),0))))</f>
        <v/>
      </c>
      <c r="X641" s="1" t="str">
        <f ca="1">IF(ISERROR(F632),"",IF(W641=0,"",_xlfn.TEXTJOIN("",FALSE," G+",W641," in ",A641)))</f>
        <v/>
      </c>
    </row>
    <row r="642" spans="1:24" ht="12.75" customHeight="1" x14ac:dyDescent="0.2">
      <c r="A642" s="7" t="str">
        <f ca="1">IF(ISERROR(F632),"",VLOOKUP(C632,INDIRECT($F$8),6+(O642-1)*3,0))</f>
        <v/>
      </c>
      <c r="B642" s="41" t="str">
        <f ca="1">IF(ISERROR(F632),"",VLOOKUP(D632,INDIRECT($F$8),6+(O642-1)*3,0))</f>
        <v/>
      </c>
      <c r="C642" s="41"/>
      <c r="D642" s="41"/>
      <c r="E642" s="41"/>
      <c r="F642" s="7" t="str">
        <f ca="1">IF(ISERROR(F632),"",VLOOKUP(E632,INDIRECT($F$8),6+(O642-1)*3,0))</f>
        <v/>
      </c>
      <c r="G642" s="42" t="str">
        <f ca="1">IF(ISERROR(F632),"",_xlfn.TEXTJOIN("/",FALSE,P642,S642))</f>
        <v/>
      </c>
      <c r="H642" s="42"/>
      <c r="I642" s="42" t="str">
        <f ca="1">IF(ISERROR(F632),"",_xlfn.TEXTJOIN("/",FALSE,Q642,T642))</f>
        <v/>
      </c>
      <c r="J642" s="42"/>
      <c r="K642" s="42" t="str">
        <f ca="1">IF(ISERROR(F632),"",_xlfn.TEXTJOIN("/",FALSE,R642,U642))</f>
        <v/>
      </c>
      <c r="L642" s="42"/>
      <c r="M642" s="7" t="str">
        <f ca="1">IF(ISERROR(F632),"",IF(ISTEXT(P642),IF(P642="A","Ab",IF(P642="D","Dt",IF(P642="UFM","UFM",IF(P642="NA","")))),IF(AND(ISBLANK(P642),ISBLANK(R642)),"",IF(P642&lt;0.3*S642,"F",IF(ISBLANK(R642),"",IF(ISTEXT(R642),R642,IF(R642&gt;=0.9*U642,"O",IF(R642&gt;=0.85*U642,"A+",IF(R642&gt;=0.8*U642,"A",IF(R642&gt;=0.7*U642,"B+",IF(R642&gt;=0.6*U642,"B",IF(R642&gt;=0.5*U642,"C",IF(R642&gt;=0.4*U642,"P",IF(R642&lt;0.4*U642,"F",R642))))))))))))))</f>
        <v/>
      </c>
      <c r="N642" s="8" t="str">
        <f t="shared" ca="1" si="39"/>
        <v/>
      </c>
      <c r="O642">
        <f>IF(ISERROR(MATCH(B632,{12,13,15,16,18,19,22,24,28,29,30,31,33},0)),O641+2,O641+1)</f>
        <v>9</v>
      </c>
      <c r="P642" s="1" t="str">
        <f ca="1">IF(ISERROR(F632),"",IF(ISTEXT(VLOOKUP(B632,INDIRECT($F$8),6+(O642-1)*3)),(VLOOKUP(B632,INDIRECT($F$8),6+(O642-1)*3)),SUM(VLOOKUP(B632,INDIRECT($F$8),6+(O642-1)*3),IF(W644,W642,0))))</f>
        <v/>
      </c>
      <c r="Q642" s="1" t="str">
        <f ca="1">IF(ISERROR(F632),"",VLOOKUP(B632,INDIRECT($F$8),7+(O642-1)*3))</f>
        <v/>
      </c>
      <c r="R642" s="1" t="str">
        <f ca="1">IF(ISERROR(F632),"",SUM(P642:Q642))</f>
        <v/>
      </c>
      <c r="S642" s="1" t="str">
        <f ca="1">IF(ISERROR(F632),"",VLOOKUP(A632,INDIRECT($F$8),6+(O642-1)*3))</f>
        <v/>
      </c>
      <c r="T642" s="1" t="str">
        <f ca="1">IF(ISERROR(F632),"",VLOOKUP(A632,INDIRECT($F$8),7+(O642-1)*3))</f>
        <v/>
      </c>
      <c r="U642" s="1" t="str">
        <f ca="1">IF(ISERROR(F632),"",VLOOKUP(A632,INDIRECT($F$8),8+(O642-1)*3))</f>
        <v/>
      </c>
      <c r="V642" s="1" t="str">
        <f ca="1">IF(ISERROR(F632),"",IF(N642=0,A642,""))</f>
        <v/>
      </c>
      <c r="W642" s="1" t="str">
        <f ca="1">IF(ISERROR(F632),"",IF(ISTEXT(VLOOKUP(B632,INDIRECT($F$8),6+(O642-1)*3)),11,IF(VLOOKUP(B632,INDIRECT($F$8),6+(O642-1)*3)&lt;S642*0.3,IF(VLOOKUP(B632,INDIRECT($F$8),8+(O642-1)*3)&lt;U642*0.4,IF(AND(0.4*U642-VLOOKUP(B632,INDIRECT($F$8),8+(O642-1)*3)&lt;=5,0.3*S642-VLOOKUP(B632,INDIRECT($F$8),6+(O642-1)*3)&lt;=5),MAX(0.4*U642-VLOOKUP(B632,INDIRECT($F$8),8+(O642-1)*3),0.3*S642-VLOOKUP(B632,INDIRECT($F$8),6+(O642-1)*3)),11),IF(0.3*S642-VLOOKUP(B632,INDIRECT($F$8),6+(O642-1)*3)&lt;=5,0.3*S642-VLOOKUP(B632,INDIRECT($F$8),6+(O642-1)*3),11)),IF(VLOOKUP(B632,INDIRECT($F$8),8+(O642-1)*3)&lt;U642*0.4,IF(U642*0.4-VLOOKUP(B632,INDIRECT($F$8),8+(O642-1)*3)&lt;=5,U642*0.4-VLOOKUP(B632,INDIRECT($F$8),8+(O642-1)*3),11),0))))</f>
        <v/>
      </c>
      <c r="X642" s="1" t="str">
        <f ca="1">IF(ISERROR(F632),"",IF(W642=0,"",_xlfn.TEXTJOIN("",FALSE," G+",W642," in ",A642)))</f>
        <v/>
      </c>
    </row>
    <row r="643" spans="1:24" ht="12.75" customHeight="1" x14ac:dyDescent="0.2">
      <c r="A643" s="7" t="str">
        <f ca="1">IF(ISERROR(F632),"",VLOOKUP(C632,INDIRECT($F$8),6+(O643-1)*3,0))</f>
        <v/>
      </c>
      <c r="B643" s="41" t="str">
        <f ca="1">IF(ISERROR(F632),"",VLOOKUP(D632,INDIRECT($F$8),6+(O643-1)*3-Z643,0))</f>
        <v/>
      </c>
      <c r="C643" s="41"/>
      <c r="D643" s="41"/>
      <c r="E643" s="41"/>
      <c r="F643" s="7" t="str">
        <f ca="1">IF(ISERROR(F632),"",VLOOKUP(E632,INDIRECT($F$8),6+(O643-1)*3,0))</f>
        <v/>
      </c>
      <c r="G643" s="42" t="str">
        <f ca="1">IF(ISERROR(F632),"",_xlfn.TEXTJOIN("/",FALSE,P643,S643))</f>
        <v/>
      </c>
      <c r="H643" s="42"/>
      <c r="I643" s="42" t="str">
        <f ca="1">IF(ISERROR(F632),"",_xlfn.TEXTJOIN("/",FALSE,Q643,T643))</f>
        <v/>
      </c>
      <c r="J643" s="42"/>
      <c r="K643" s="42" t="str">
        <f ca="1">IF(ISERROR(F632),"",_xlfn.TEXTJOIN("/",FALSE,R643,U643))</f>
        <v/>
      </c>
      <c r="L643" s="42"/>
      <c r="M643" s="7" t="str">
        <f ca="1">IF(ISERROR(F632),"",IF(ISTEXT(P643),IF(P643="A","Ab",IF(P643="D","Dt",IF(P643="UFM","UFM",IF(P643="NA","")))),IF(AND(ISBLANK(P643),ISBLANK(R643)),"",IF(P643&lt;0.3*S643,"F",IF(ISBLANK(R643),"",IF(ISTEXT(R643),R643,IF(R643&gt;=0.9*U643,"O",IF(R643&gt;=0.85*U643,"A+",IF(R643&gt;=0.8*U643,"A",IF(R643&gt;=0.7*U643,"B+",IF(R643&gt;=0.6*U643,"B",IF(R643&gt;=0.5*U643,"C",IF(R643&gt;=0.4*U643,"P",IF(R643&lt;0.4*U643,"F",R643))))))))))))))</f>
        <v/>
      </c>
      <c r="N643" s="8" t="str">
        <f t="shared" ca="1" si="39"/>
        <v/>
      </c>
      <c r="O643">
        <f>O641+3</f>
        <v>10</v>
      </c>
      <c r="P643" s="1" t="str">
        <f ca="1">IF(ISERROR(F632),"",IF(ISTEXT(VLOOKUP(B632,INDIRECT($F$8),6+(O643-1)*3)),(VLOOKUP(B632,INDIRECT($F$8),6+(O643-1)*3)),SUM(VLOOKUP(B632,INDIRECT($F$8),6+(O643-1)*3),IF(W644,W643,0))))</f>
        <v/>
      </c>
      <c r="Q643" s="1" t="str">
        <f ca="1">IF(ISERROR(F632),"",VLOOKUP(B632,INDIRECT($F$8),7+(O643-1)*3))</f>
        <v/>
      </c>
      <c r="R643" s="1" t="str">
        <f ca="1">IF(ISERROR(F632),"",SUM(P643:Q643))</f>
        <v/>
      </c>
      <c r="S643" s="1" t="str">
        <f ca="1">IF(ISERROR(F632),"",VLOOKUP(A632,INDIRECT($F$8),6+(O643-1)*3))</f>
        <v/>
      </c>
      <c r="T643" s="1" t="str">
        <f ca="1">IF(ISERROR(F632),"",VLOOKUP(A632,INDIRECT($F$8),7+(O643-1)*3))</f>
        <v/>
      </c>
      <c r="U643" s="1" t="str">
        <f ca="1">IF(ISERROR(F632),"",VLOOKUP(A632,INDIRECT($F$8),8+(O643-1)*3))</f>
        <v/>
      </c>
      <c r="V643" s="1" t="str">
        <f ca="1">IF(ISERROR(F632),"",IF(N643=0,A643,""))</f>
        <v/>
      </c>
      <c r="W643" s="1" t="str">
        <f ca="1">IF(ISERROR(F632),"",IF(ISTEXT(VLOOKUP(B632,INDIRECT($F$8),6+(O643-1)*3)),11,IF(VLOOKUP(B632,INDIRECT($F$8),6+(O643-1)*3)&lt;S643*0.3,IF(VLOOKUP(B632,INDIRECT($F$8),8+(O643-1)*3)&lt;U643*0.4,IF(AND(0.4*U643-VLOOKUP(B632,INDIRECT($F$8),8+(O643-1)*3)&lt;=5,0.3*S643-VLOOKUP(B632,INDIRECT($F$8),6+(O643-1)*3)&lt;=5),MAX(0.4*U643-VLOOKUP(B632,INDIRECT($F$8),8+(O643-1)*3),0.3*S643-VLOOKUP(B632,INDIRECT($F$8),6+(O643-1)*3)),11),IF(0.3*S643-VLOOKUP(B632,INDIRECT($F$8),6+(O643-1)*3)&lt;=5,0.3*S643-VLOOKUP(B632,INDIRECT($F$8),6+(O643-1)*3),11)),IF(VLOOKUP(B632,INDIRECT($F$8),8+(O643-1)*3)&lt;U643*0.4,IF(U643*0.4-VLOOKUP(B632,INDIRECT($F$8),8+(O643-1)*3)&lt;=5,U643*0.4-VLOOKUP(B632,INDIRECT($F$8),8+(O643-1)*3),11),0))))</f>
        <v/>
      </c>
      <c r="X643" s="1" t="str">
        <f ca="1">IF(ISERROR(F632),"",IF(W643=0,"",_xlfn.TEXTJOIN("",FALSE," G+",W643," in ",A643)))</f>
        <v/>
      </c>
    </row>
    <row r="644" spans="1:24" ht="12.75" customHeight="1" x14ac:dyDescent="0.2">
      <c r="A644" s="43" t="str">
        <f ca="1">IF(ISERROR(F632),"",A628)</f>
        <v/>
      </c>
      <c r="B644" s="43"/>
      <c r="C644" s="43"/>
      <c r="D644" s="43"/>
      <c r="E644" s="43"/>
      <c r="F644" s="10" t="str">
        <f ca="1">IF(ISERROR(F632),"",SUM(F637:F643))</f>
        <v/>
      </c>
      <c r="G644" s="44" t="str">
        <f ca="1">IF(ISERROR(F632),"",_xlfn.TEXTJOIN("/",TRUE,SUMIF(F637:F643,"&gt;0",P637:P643),SUMIF(F637:F643,"&gt;0",S637:S643)))</f>
        <v/>
      </c>
      <c r="H644" s="44"/>
      <c r="I644" s="44" t="str">
        <f ca="1">IF(ISERROR(F632),"",_xlfn.TEXTJOIN("/",TRUE,SUMIF(F637:F643,"&gt;0",Q637:Q643),SUMIF(F637:F643,"&gt;0",T637:T643)))</f>
        <v/>
      </c>
      <c r="J644" s="44"/>
      <c r="K644" s="44" t="str">
        <f ca="1">IF(ISERROR(F632),"",_xlfn.TEXTJOIN("/",TRUE,SUMIF(F637:F643,"&gt;0",R637:R643),SUMIF(F637:F643,"&gt;0",U637:U643)))</f>
        <v/>
      </c>
      <c r="L644" s="44"/>
      <c r="M644" s="43" t="str">
        <f ca="1">IF(ISERROR(F632),"",SUMPRODUCT(N637:N643,F637:F643))</f>
        <v/>
      </c>
      <c r="N644" s="43"/>
      <c r="V644" s="1" t="str">
        <f ca="1">IF(ISERROR(F632),"",_xlfn.TEXTJOIN(", ",TRUE,V637:V643))</f>
        <v/>
      </c>
      <c r="W644" t="str">
        <f ca="1">IF(ISERROR(F632),"",IF(SUM(W637:W643)&lt;=W636,TRUE,FALSE))</f>
        <v/>
      </c>
      <c r="X644" s="1" t="str">
        <f ca="1">IF(ISERROR(F632),"",_xlfn.TEXTJOIN(",",TRUE,X637:X643))</f>
        <v/>
      </c>
    </row>
    <row r="645" spans="1:24" ht="12.75" customHeight="1" x14ac:dyDescent="0.2">
      <c r="A645" s="43" t="str">
        <f ca="1">IF(ISERROR(F632),"",A629)</f>
        <v/>
      </c>
      <c r="B645" s="45" t="str">
        <f ca="1">IF(ISERROR(F632),"",IF(V644="","PASS","CARRY OVER"))</f>
        <v/>
      </c>
      <c r="C645" s="45"/>
      <c r="D645" s="43" t="str">
        <f ca="1">IF(ISERROR(F632),"",D629)</f>
        <v/>
      </c>
      <c r="E645" s="45" t="str">
        <f ca="1">IF(ISERROR(F632),"",IF(V644="",IF(X644="","",X644),_xlfn.TEXTJOIN(" ",TRUE,"BACK IN",V644)))</f>
        <v/>
      </c>
      <c r="F645" s="45"/>
      <c r="G645" s="43" t="str">
        <f ca="1">IF(ISERROR(F632),"",G629)</f>
        <v/>
      </c>
      <c r="H645" s="46" t="str">
        <f ca="1">IF(ISERROR(F632),"",M644/F644)</f>
        <v/>
      </c>
      <c r="I645" s="43" t="str">
        <f ca="1">IF(ISERROR(F632),"",I629)</f>
        <v/>
      </c>
      <c r="J645" s="46" t="str">
        <f ca="1">IF(ISERROR(F632),"",VLOOKUP(B632,INDIRECT($F$8),12+(O643-1)*3,0))</f>
        <v/>
      </c>
      <c r="K645" s="45" t="str">
        <f ca="1">IF(ISERROR(F632),"",K629)</f>
        <v/>
      </c>
      <c r="L645" s="43" t="str">
        <f ca="1">IF(ISERROR(F632),"",SUMIF(N637:N643,"&gt;0",F637:F643))</f>
        <v/>
      </c>
      <c r="M645" s="45" t="str">
        <f ca="1">IF(ISERROR(F632),"",M629)</f>
        <v/>
      </c>
      <c r="N645" s="43" t="str">
        <f ca="1">IF(ISERROR(F632),"",VLOOKUP(B632,INDIRECT($F$8),10+(O643-1)*3,0))</f>
        <v/>
      </c>
    </row>
    <row r="646" spans="1:24" ht="12.75" customHeight="1" x14ac:dyDescent="0.2">
      <c r="A646" s="43"/>
      <c r="B646" s="45"/>
      <c r="C646" s="45"/>
      <c r="D646" s="43"/>
      <c r="E646" s="45"/>
      <c r="F646" s="45"/>
      <c r="G646" s="43"/>
      <c r="H646" s="46"/>
      <c r="I646" s="43"/>
      <c r="J646" s="46"/>
      <c r="K646" s="45"/>
      <c r="L646" s="43"/>
      <c r="M646" s="45"/>
      <c r="N646" s="43"/>
    </row>
    <row r="647" spans="1:24" ht="12.75" customHeight="1" x14ac:dyDescent="0.2">
      <c r="A647" s="43"/>
      <c r="B647" s="45"/>
      <c r="C647" s="45"/>
      <c r="D647" s="43"/>
      <c r="E647" s="45"/>
      <c r="F647" s="45"/>
      <c r="G647" s="43"/>
      <c r="H647" s="46"/>
      <c r="I647" s="43"/>
      <c r="J647" s="46"/>
      <c r="K647" s="45"/>
      <c r="L647" s="43"/>
      <c r="M647" s="45"/>
      <c r="N647" s="43"/>
    </row>
  </sheetData>
  <mergeCells count="2444">
    <mergeCell ref="M645:M647"/>
    <mergeCell ref="N645:N647"/>
    <mergeCell ref="M644:N644"/>
    <mergeCell ref="A645:A647"/>
    <mergeCell ref="B645:C647"/>
    <mergeCell ref="D645:D647"/>
    <mergeCell ref="E645:F647"/>
    <mergeCell ref="G645:G647"/>
    <mergeCell ref="H645:H647"/>
    <mergeCell ref="I645:I647"/>
    <mergeCell ref="J645:J647"/>
    <mergeCell ref="K645:K647"/>
    <mergeCell ref="M635:M636"/>
    <mergeCell ref="N635:N636"/>
    <mergeCell ref="B637:E637"/>
    <mergeCell ref="G637:H637"/>
    <mergeCell ref="I637:J637"/>
    <mergeCell ref="K637:L637"/>
    <mergeCell ref="A635:A636"/>
    <mergeCell ref="B635:E636"/>
    <mergeCell ref="F635:F636"/>
    <mergeCell ref="G635:H636"/>
    <mergeCell ref="I635:J636"/>
    <mergeCell ref="K635:L636"/>
    <mergeCell ref="L645:L647"/>
    <mergeCell ref="B643:E643"/>
    <mergeCell ref="G643:H643"/>
    <mergeCell ref="I643:J643"/>
    <mergeCell ref="K643:L643"/>
    <mergeCell ref="G644:H644"/>
    <mergeCell ref="I644:J644"/>
    <mergeCell ref="K644:L644"/>
    <mergeCell ref="K629:K631"/>
    <mergeCell ref="L629:L631"/>
    <mergeCell ref="M629:M631"/>
    <mergeCell ref="N629:N631"/>
    <mergeCell ref="A633:A634"/>
    <mergeCell ref="B633:C634"/>
    <mergeCell ref="D633:D634"/>
    <mergeCell ref="E633:F634"/>
    <mergeCell ref="G633:H634"/>
    <mergeCell ref="I633:J634"/>
    <mergeCell ref="A629:A631"/>
    <mergeCell ref="B629:C631"/>
    <mergeCell ref="D629:D631"/>
    <mergeCell ref="E629:F631"/>
    <mergeCell ref="G629:G631"/>
    <mergeCell ref="H629:H631"/>
    <mergeCell ref="B622:E622"/>
    <mergeCell ref="G622:H622"/>
    <mergeCell ref="I622:J622"/>
    <mergeCell ref="K622:L622"/>
    <mergeCell ref="A628:E628"/>
    <mergeCell ref="M628:N628"/>
    <mergeCell ref="K633:L634"/>
    <mergeCell ref="M633:N634"/>
    <mergeCell ref="I629:I631"/>
    <mergeCell ref="J629:J631"/>
    <mergeCell ref="B627:E627"/>
    <mergeCell ref="G627:H627"/>
    <mergeCell ref="I627:J627"/>
    <mergeCell ref="K627:L627"/>
    <mergeCell ref="G628:H628"/>
    <mergeCell ref="I628:J628"/>
    <mergeCell ref="F619:F620"/>
    <mergeCell ref="M619:M620"/>
    <mergeCell ref="N619:N620"/>
    <mergeCell ref="B621:E621"/>
    <mergeCell ref="G621:H621"/>
    <mergeCell ref="I621:J621"/>
    <mergeCell ref="K621:L621"/>
    <mergeCell ref="M613:M615"/>
    <mergeCell ref="N613:N615"/>
    <mergeCell ref="A617:A618"/>
    <mergeCell ref="B617:C618"/>
    <mergeCell ref="D617:D618"/>
    <mergeCell ref="E617:F618"/>
    <mergeCell ref="G617:H618"/>
    <mergeCell ref="I617:J618"/>
    <mergeCell ref="K617:L618"/>
    <mergeCell ref="M617:N618"/>
    <mergeCell ref="B619:E620"/>
    <mergeCell ref="A619:A620"/>
    <mergeCell ref="G619:H620"/>
    <mergeCell ref="I619:J620"/>
    <mergeCell ref="K619:L620"/>
    <mergeCell ref="M612:N612"/>
    <mergeCell ref="A613:A615"/>
    <mergeCell ref="B613:C615"/>
    <mergeCell ref="D613:D615"/>
    <mergeCell ref="E613:F615"/>
    <mergeCell ref="G613:G615"/>
    <mergeCell ref="H613:H615"/>
    <mergeCell ref="I613:I615"/>
    <mergeCell ref="J613:J615"/>
    <mergeCell ref="K613:K615"/>
    <mergeCell ref="M603:M604"/>
    <mergeCell ref="N603:N604"/>
    <mergeCell ref="B605:E605"/>
    <mergeCell ref="G605:H605"/>
    <mergeCell ref="I605:J605"/>
    <mergeCell ref="K605:L605"/>
    <mergeCell ref="N597:N599"/>
    <mergeCell ref="A601:A602"/>
    <mergeCell ref="B601:C602"/>
    <mergeCell ref="D601:D602"/>
    <mergeCell ref="E601:F602"/>
    <mergeCell ref="G601:H602"/>
    <mergeCell ref="I601:J602"/>
    <mergeCell ref="K601:L602"/>
    <mergeCell ref="M601:N602"/>
    <mergeCell ref="L613:L615"/>
    <mergeCell ref="B611:E611"/>
    <mergeCell ref="G611:H611"/>
    <mergeCell ref="I611:J611"/>
    <mergeCell ref="K611:L611"/>
    <mergeCell ref="G612:H612"/>
    <mergeCell ref="I612:J612"/>
    <mergeCell ref="N571:N572"/>
    <mergeCell ref="A596:E596"/>
    <mergeCell ref="M596:N596"/>
    <mergeCell ref="A597:A599"/>
    <mergeCell ref="B597:C599"/>
    <mergeCell ref="D597:D599"/>
    <mergeCell ref="E597:F599"/>
    <mergeCell ref="G597:G599"/>
    <mergeCell ref="H597:H599"/>
    <mergeCell ref="N565:N567"/>
    <mergeCell ref="A569:A570"/>
    <mergeCell ref="B569:C570"/>
    <mergeCell ref="D569:D570"/>
    <mergeCell ref="E569:F570"/>
    <mergeCell ref="G569:H570"/>
    <mergeCell ref="I569:J570"/>
    <mergeCell ref="K569:L570"/>
    <mergeCell ref="M569:N570"/>
    <mergeCell ref="B565:C567"/>
    <mergeCell ref="D565:D567"/>
    <mergeCell ref="E565:F567"/>
    <mergeCell ref="G565:G567"/>
    <mergeCell ref="H565:H567"/>
    <mergeCell ref="I565:I567"/>
    <mergeCell ref="B593:E593"/>
    <mergeCell ref="G593:H593"/>
    <mergeCell ref="I593:J593"/>
    <mergeCell ref="K593:L593"/>
    <mergeCell ref="B594:E594"/>
    <mergeCell ref="G594:H594"/>
    <mergeCell ref="I594:J594"/>
    <mergeCell ref="K594:L594"/>
    <mergeCell ref="M555:M556"/>
    <mergeCell ref="N555:N556"/>
    <mergeCell ref="B563:E563"/>
    <mergeCell ref="A564:E564"/>
    <mergeCell ref="G564:H564"/>
    <mergeCell ref="I564:J564"/>
    <mergeCell ref="K564:L564"/>
    <mergeCell ref="M564:N564"/>
    <mergeCell ref="B553:C554"/>
    <mergeCell ref="D553:D554"/>
    <mergeCell ref="E553:F554"/>
    <mergeCell ref="M553:N554"/>
    <mergeCell ref="A555:A556"/>
    <mergeCell ref="B555:E556"/>
    <mergeCell ref="F555:F556"/>
    <mergeCell ref="G555:H556"/>
    <mergeCell ref="I555:J556"/>
    <mergeCell ref="K555:L556"/>
    <mergeCell ref="B559:E559"/>
    <mergeCell ref="G559:H559"/>
    <mergeCell ref="I559:J559"/>
    <mergeCell ref="K559:L559"/>
    <mergeCell ref="B560:E560"/>
    <mergeCell ref="G560:H560"/>
    <mergeCell ref="I560:J560"/>
    <mergeCell ref="K560:L560"/>
    <mergeCell ref="B557:E557"/>
    <mergeCell ref="G557:H557"/>
    <mergeCell ref="I557:J557"/>
    <mergeCell ref="K557:L557"/>
    <mergeCell ref="B558:E558"/>
    <mergeCell ref="G558:H558"/>
    <mergeCell ref="M549:M551"/>
    <mergeCell ref="N549:N551"/>
    <mergeCell ref="A548:E548"/>
    <mergeCell ref="G548:H548"/>
    <mergeCell ref="I548:J548"/>
    <mergeCell ref="K548:L548"/>
    <mergeCell ref="M548:N548"/>
    <mergeCell ref="A549:A551"/>
    <mergeCell ref="B549:C551"/>
    <mergeCell ref="D549:D551"/>
    <mergeCell ref="E549:F551"/>
    <mergeCell ref="G549:G551"/>
    <mergeCell ref="M539:M540"/>
    <mergeCell ref="N539:N540"/>
    <mergeCell ref="B546:E546"/>
    <mergeCell ref="B547:E547"/>
    <mergeCell ref="G547:H547"/>
    <mergeCell ref="I547:J547"/>
    <mergeCell ref="K547:L547"/>
    <mergeCell ref="A539:A540"/>
    <mergeCell ref="B539:E540"/>
    <mergeCell ref="F539:F540"/>
    <mergeCell ref="G539:H540"/>
    <mergeCell ref="I539:J540"/>
    <mergeCell ref="K539:L540"/>
    <mergeCell ref="B541:E541"/>
    <mergeCell ref="G541:H541"/>
    <mergeCell ref="I541:J541"/>
    <mergeCell ref="K541:L541"/>
    <mergeCell ref="B542:E542"/>
    <mergeCell ref="G542:H542"/>
    <mergeCell ref="I542:J542"/>
    <mergeCell ref="N533:N535"/>
    <mergeCell ref="A537:A538"/>
    <mergeCell ref="B537:C538"/>
    <mergeCell ref="D537:D538"/>
    <mergeCell ref="E537:F538"/>
    <mergeCell ref="G537:H538"/>
    <mergeCell ref="I537:J538"/>
    <mergeCell ref="K537:L538"/>
    <mergeCell ref="M537:N538"/>
    <mergeCell ref="H533:H535"/>
    <mergeCell ref="I533:I535"/>
    <mergeCell ref="J533:J535"/>
    <mergeCell ref="K533:K535"/>
    <mergeCell ref="L533:L535"/>
    <mergeCell ref="M533:M535"/>
    <mergeCell ref="A532:E532"/>
    <mergeCell ref="G532:H532"/>
    <mergeCell ref="I532:J532"/>
    <mergeCell ref="K532:L532"/>
    <mergeCell ref="M532:N532"/>
    <mergeCell ref="A533:A535"/>
    <mergeCell ref="B533:C535"/>
    <mergeCell ref="D533:D535"/>
    <mergeCell ref="E533:F535"/>
    <mergeCell ref="G533:G535"/>
    <mergeCell ref="M523:M524"/>
    <mergeCell ref="N523:N524"/>
    <mergeCell ref="B529:E529"/>
    <mergeCell ref="B530:E530"/>
    <mergeCell ref="G530:H530"/>
    <mergeCell ref="I530:J530"/>
    <mergeCell ref="K530:L530"/>
    <mergeCell ref="A523:A524"/>
    <mergeCell ref="B523:E524"/>
    <mergeCell ref="F523:F524"/>
    <mergeCell ref="G523:H524"/>
    <mergeCell ref="I523:J524"/>
    <mergeCell ref="K523:L524"/>
    <mergeCell ref="M517:M519"/>
    <mergeCell ref="N517:N519"/>
    <mergeCell ref="A521:A522"/>
    <mergeCell ref="B521:C522"/>
    <mergeCell ref="D521:D522"/>
    <mergeCell ref="E521:F522"/>
    <mergeCell ref="G521:H522"/>
    <mergeCell ref="I521:J522"/>
    <mergeCell ref="K521:L522"/>
    <mergeCell ref="M521:N522"/>
    <mergeCell ref="B525:E525"/>
    <mergeCell ref="G525:H525"/>
    <mergeCell ref="I525:J525"/>
    <mergeCell ref="K525:L525"/>
    <mergeCell ref="B526:E526"/>
    <mergeCell ref="G526:H526"/>
    <mergeCell ref="I526:J526"/>
    <mergeCell ref="K526:L526"/>
    <mergeCell ref="I512:J512"/>
    <mergeCell ref="K512:L512"/>
    <mergeCell ref="B512:E512"/>
    <mergeCell ref="B509:E509"/>
    <mergeCell ref="M516:N516"/>
    <mergeCell ref="A517:A519"/>
    <mergeCell ref="B517:C519"/>
    <mergeCell ref="D517:D519"/>
    <mergeCell ref="E517:F519"/>
    <mergeCell ref="G517:G519"/>
    <mergeCell ref="H517:H519"/>
    <mergeCell ref="I517:I519"/>
    <mergeCell ref="J517:J519"/>
    <mergeCell ref="K517:K519"/>
    <mergeCell ref="B515:E515"/>
    <mergeCell ref="G515:H515"/>
    <mergeCell ref="I515:J515"/>
    <mergeCell ref="K515:L515"/>
    <mergeCell ref="A516:E516"/>
    <mergeCell ref="G516:H516"/>
    <mergeCell ref="I516:J516"/>
    <mergeCell ref="K516:L516"/>
    <mergeCell ref="L517:L519"/>
    <mergeCell ref="A507:A508"/>
    <mergeCell ref="B507:E508"/>
    <mergeCell ref="F507:F508"/>
    <mergeCell ref="G507:H508"/>
    <mergeCell ref="I507:J508"/>
    <mergeCell ref="K507:L508"/>
    <mergeCell ref="M507:M508"/>
    <mergeCell ref="N507:N508"/>
    <mergeCell ref="A505:A506"/>
    <mergeCell ref="B505:C506"/>
    <mergeCell ref="D505:D506"/>
    <mergeCell ref="E505:F506"/>
    <mergeCell ref="G505:H506"/>
    <mergeCell ref="I505:J506"/>
    <mergeCell ref="B511:E511"/>
    <mergeCell ref="G511:H511"/>
    <mergeCell ref="I511:J511"/>
    <mergeCell ref="K511:L511"/>
    <mergeCell ref="K505:L506"/>
    <mergeCell ref="M505:N506"/>
    <mergeCell ref="A501:A503"/>
    <mergeCell ref="B501:C503"/>
    <mergeCell ref="D501:D503"/>
    <mergeCell ref="E501:F503"/>
    <mergeCell ref="G501:G503"/>
    <mergeCell ref="H501:H503"/>
    <mergeCell ref="I501:I503"/>
    <mergeCell ref="J501:J503"/>
    <mergeCell ref="K501:K503"/>
    <mergeCell ref="B499:E499"/>
    <mergeCell ref="G499:H499"/>
    <mergeCell ref="I499:J499"/>
    <mergeCell ref="K499:L499"/>
    <mergeCell ref="A500:E500"/>
    <mergeCell ref="G500:H500"/>
    <mergeCell ref="I500:J500"/>
    <mergeCell ref="K500:L500"/>
    <mergeCell ref="L501:L503"/>
    <mergeCell ref="A491:A492"/>
    <mergeCell ref="B491:E492"/>
    <mergeCell ref="F491:F492"/>
    <mergeCell ref="G491:H492"/>
    <mergeCell ref="I491:J492"/>
    <mergeCell ref="K491:L492"/>
    <mergeCell ref="M491:M492"/>
    <mergeCell ref="N491:N492"/>
    <mergeCell ref="B493:E493"/>
    <mergeCell ref="G493:H493"/>
    <mergeCell ref="I493:J493"/>
    <mergeCell ref="K493:L493"/>
    <mergeCell ref="B494:E494"/>
    <mergeCell ref="G494:H494"/>
    <mergeCell ref="I494:J494"/>
    <mergeCell ref="K494:L494"/>
    <mergeCell ref="M500:N500"/>
    <mergeCell ref="K485:K487"/>
    <mergeCell ref="L485:L487"/>
    <mergeCell ref="M485:M487"/>
    <mergeCell ref="N485:N487"/>
    <mergeCell ref="A489:A490"/>
    <mergeCell ref="B489:C490"/>
    <mergeCell ref="D489:D490"/>
    <mergeCell ref="E489:F490"/>
    <mergeCell ref="G489:H490"/>
    <mergeCell ref="I489:J490"/>
    <mergeCell ref="G484:H484"/>
    <mergeCell ref="I484:J484"/>
    <mergeCell ref="K484:L484"/>
    <mergeCell ref="M484:N484"/>
    <mergeCell ref="A485:A487"/>
    <mergeCell ref="B485:C487"/>
    <mergeCell ref="D485:D487"/>
    <mergeCell ref="E485:F487"/>
    <mergeCell ref="G485:G487"/>
    <mergeCell ref="H485:H487"/>
    <mergeCell ref="K489:L490"/>
    <mergeCell ref="I485:I487"/>
    <mergeCell ref="J485:J487"/>
    <mergeCell ref="A484:E484"/>
    <mergeCell ref="M489:N490"/>
    <mergeCell ref="B482:E482"/>
    <mergeCell ref="G482:H482"/>
    <mergeCell ref="I482:J482"/>
    <mergeCell ref="K482:L482"/>
    <mergeCell ref="B483:E483"/>
    <mergeCell ref="G483:H483"/>
    <mergeCell ref="I483:J483"/>
    <mergeCell ref="K483:L483"/>
    <mergeCell ref="B480:E480"/>
    <mergeCell ref="G480:H480"/>
    <mergeCell ref="I480:J480"/>
    <mergeCell ref="K480:L480"/>
    <mergeCell ref="B481:E481"/>
    <mergeCell ref="G481:H481"/>
    <mergeCell ref="I481:J481"/>
    <mergeCell ref="K481:L481"/>
    <mergeCell ref="M475:M476"/>
    <mergeCell ref="N475:N476"/>
    <mergeCell ref="B478:E478"/>
    <mergeCell ref="B479:E479"/>
    <mergeCell ref="G479:H479"/>
    <mergeCell ref="I479:J479"/>
    <mergeCell ref="K479:L479"/>
    <mergeCell ref="A475:A476"/>
    <mergeCell ref="B475:E476"/>
    <mergeCell ref="F475:F476"/>
    <mergeCell ref="G475:H476"/>
    <mergeCell ref="I475:J476"/>
    <mergeCell ref="K475:L476"/>
    <mergeCell ref="M469:M471"/>
    <mergeCell ref="N469:N471"/>
    <mergeCell ref="A473:A474"/>
    <mergeCell ref="B473:C474"/>
    <mergeCell ref="D473:D474"/>
    <mergeCell ref="E473:F474"/>
    <mergeCell ref="G473:H474"/>
    <mergeCell ref="I473:J474"/>
    <mergeCell ref="K473:L474"/>
    <mergeCell ref="M473:N474"/>
    <mergeCell ref="B477:E477"/>
    <mergeCell ref="G477:H477"/>
    <mergeCell ref="I477:J477"/>
    <mergeCell ref="K477:L477"/>
    <mergeCell ref="G478:H478"/>
    <mergeCell ref="I478:J478"/>
    <mergeCell ref="K478:L478"/>
    <mergeCell ref="M468:N468"/>
    <mergeCell ref="A469:A471"/>
    <mergeCell ref="B469:C471"/>
    <mergeCell ref="D469:D471"/>
    <mergeCell ref="E469:F471"/>
    <mergeCell ref="G469:G471"/>
    <mergeCell ref="H469:H471"/>
    <mergeCell ref="I469:I471"/>
    <mergeCell ref="J469:J471"/>
    <mergeCell ref="K469:K471"/>
    <mergeCell ref="B466:E466"/>
    <mergeCell ref="G466:H466"/>
    <mergeCell ref="I466:J466"/>
    <mergeCell ref="K466:L466"/>
    <mergeCell ref="B467:E467"/>
    <mergeCell ref="G467:H467"/>
    <mergeCell ref="I467:J467"/>
    <mergeCell ref="K467:L467"/>
    <mergeCell ref="L469:L471"/>
    <mergeCell ref="A468:E468"/>
    <mergeCell ref="G468:H468"/>
    <mergeCell ref="I468:J468"/>
    <mergeCell ref="K468:L468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M459:M460"/>
    <mergeCell ref="N459:N460"/>
    <mergeCell ref="B461:E461"/>
    <mergeCell ref="B462:E462"/>
    <mergeCell ref="G462:H462"/>
    <mergeCell ref="I462:J462"/>
    <mergeCell ref="K462:L462"/>
    <mergeCell ref="A459:A460"/>
    <mergeCell ref="B459:E460"/>
    <mergeCell ref="F459:F460"/>
    <mergeCell ref="G459:H460"/>
    <mergeCell ref="I459:J460"/>
    <mergeCell ref="K459:L460"/>
    <mergeCell ref="B463:E463"/>
    <mergeCell ref="G463:H463"/>
    <mergeCell ref="I463:J463"/>
    <mergeCell ref="K463:L463"/>
    <mergeCell ref="G461:H461"/>
    <mergeCell ref="I461:J461"/>
    <mergeCell ref="K461:L461"/>
    <mergeCell ref="M453:M455"/>
    <mergeCell ref="N453:N455"/>
    <mergeCell ref="A457:A458"/>
    <mergeCell ref="B457:C458"/>
    <mergeCell ref="D457:D458"/>
    <mergeCell ref="E457:F458"/>
    <mergeCell ref="G457:H458"/>
    <mergeCell ref="I457:J458"/>
    <mergeCell ref="K457:L458"/>
    <mergeCell ref="M457:N458"/>
    <mergeCell ref="M452:N452"/>
    <mergeCell ref="A453:A455"/>
    <mergeCell ref="B453:C455"/>
    <mergeCell ref="D453:D455"/>
    <mergeCell ref="E453:F455"/>
    <mergeCell ref="G453:G455"/>
    <mergeCell ref="H453:H455"/>
    <mergeCell ref="I453:I455"/>
    <mergeCell ref="J453:J455"/>
    <mergeCell ref="K453:K455"/>
    <mergeCell ref="L453:L455"/>
    <mergeCell ref="B451:E451"/>
    <mergeCell ref="G451:H451"/>
    <mergeCell ref="I451:J451"/>
    <mergeCell ref="K451:L451"/>
    <mergeCell ref="A452:E452"/>
    <mergeCell ref="G452:H452"/>
    <mergeCell ref="I452:J452"/>
    <mergeCell ref="K452:L452"/>
    <mergeCell ref="G449:H449"/>
    <mergeCell ref="I449:J449"/>
    <mergeCell ref="K449:L449"/>
    <mergeCell ref="B450:E450"/>
    <mergeCell ref="G450:H450"/>
    <mergeCell ref="I450:J450"/>
    <mergeCell ref="K450:L450"/>
    <mergeCell ref="B447:E447"/>
    <mergeCell ref="G447:H447"/>
    <mergeCell ref="I447:J447"/>
    <mergeCell ref="K447:L447"/>
    <mergeCell ref="B448:E448"/>
    <mergeCell ref="G448:H448"/>
    <mergeCell ref="I448:J448"/>
    <mergeCell ref="K448:L448"/>
    <mergeCell ref="B449:E449"/>
    <mergeCell ref="B445:E445"/>
    <mergeCell ref="G445:H445"/>
    <mergeCell ref="I445:J445"/>
    <mergeCell ref="K445:L445"/>
    <mergeCell ref="B446:E446"/>
    <mergeCell ref="G446:H446"/>
    <mergeCell ref="I446:J446"/>
    <mergeCell ref="K446:L446"/>
    <mergeCell ref="F443:F444"/>
    <mergeCell ref="G443:H444"/>
    <mergeCell ref="I443:J444"/>
    <mergeCell ref="K443:L444"/>
    <mergeCell ref="M443:M444"/>
    <mergeCell ref="N443:N444"/>
    <mergeCell ref="M437:M439"/>
    <mergeCell ref="N437:N439"/>
    <mergeCell ref="A441:A442"/>
    <mergeCell ref="B441:C442"/>
    <mergeCell ref="D441:D442"/>
    <mergeCell ref="E441:F442"/>
    <mergeCell ref="G441:H442"/>
    <mergeCell ref="I441:J442"/>
    <mergeCell ref="K441:L442"/>
    <mergeCell ref="M441:N442"/>
    <mergeCell ref="A443:A444"/>
    <mergeCell ref="B443:E444"/>
    <mergeCell ref="A436:E436"/>
    <mergeCell ref="M436:N436"/>
    <mergeCell ref="A437:A439"/>
    <mergeCell ref="B437:C439"/>
    <mergeCell ref="D437:D439"/>
    <mergeCell ref="E437:F439"/>
    <mergeCell ref="G437:G439"/>
    <mergeCell ref="H437:H439"/>
    <mergeCell ref="I437:I439"/>
    <mergeCell ref="J437:J439"/>
    <mergeCell ref="B433:E433"/>
    <mergeCell ref="G433:H433"/>
    <mergeCell ref="I433:J433"/>
    <mergeCell ref="K433:L433"/>
    <mergeCell ref="B434:E434"/>
    <mergeCell ref="G434:H434"/>
    <mergeCell ref="I434:J434"/>
    <mergeCell ref="K434:L434"/>
    <mergeCell ref="K437:K439"/>
    <mergeCell ref="L437:L439"/>
    <mergeCell ref="G436:H436"/>
    <mergeCell ref="I436:J436"/>
    <mergeCell ref="K436:L436"/>
    <mergeCell ref="B435:E435"/>
    <mergeCell ref="G435:H435"/>
    <mergeCell ref="I435:J435"/>
    <mergeCell ref="K435:L435"/>
    <mergeCell ref="B431:E431"/>
    <mergeCell ref="G431:H431"/>
    <mergeCell ref="I431:J431"/>
    <mergeCell ref="K431:L431"/>
    <mergeCell ref="B432:E432"/>
    <mergeCell ref="G432:H432"/>
    <mergeCell ref="I432:J432"/>
    <mergeCell ref="K432:L432"/>
    <mergeCell ref="N427:N428"/>
    <mergeCell ref="B429:E429"/>
    <mergeCell ref="G429:H429"/>
    <mergeCell ref="I429:J429"/>
    <mergeCell ref="K429:L429"/>
    <mergeCell ref="B430:E430"/>
    <mergeCell ref="G430:H430"/>
    <mergeCell ref="I430:J430"/>
    <mergeCell ref="K430:L430"/>
    <mergeCell ref="B427:E428"/>
    <mergeCell ref="F427:F428"/>
    <mergeCell ref="G427:H428"/>
    <mergeCell ref="I427:J428"/>
    <mergeCell ref="K427:L428"/>
    <mergeCell ref="M427:M428"/>
    <mergeCell ref="M421:M423"/>
    <mergeCell ref="N421:N423"/>
    <mergeCell ref="A425:A426"/>
    <mergeCell ref="B425:C426"/>
    <mergeCell ref="D425:D426"/>
    <mergeCell ref="E425:F426"/>
    <mergeCell ref="G425:H426"/>
    <mergeCell ref="I425:J426"/>
    <mergeCell ref="K425:L426"/>
    <mergeCell ref="M425:N426"/>
    <mergeCell ref="A421:A423"/>
    <mergeCell ref="B421:C423"/>
    <mergeCell ref="D421:D423"/>
    <mergeCell ref="E421:F423"/>
    <mergeCell ref="G421:G423"/>
    <mergeCell ref="H421:H423"/>
    <mergeCell ref="B418:E418"/>
    <mergeCell ref="G418:H418"/>
    <mergeCell ref="I418:J418"/>
    <mergeCell ref="K418:L418"/>
    <mergeCell ref="A420:E420"/>
    <mergeCell ref="M420:N420"/>
    <mergeCell ref="I416:J416"/>
    <mergeCell ref="K416:L416"/>
    <mergeCell ref="B417:E417"/>
    <mergeCell ref="G417:H417"/>
    <mergeCell ref="I417:J417"/>
    <mergeCell ref="K417:L417"/>
    <mergeCell ref="B414:E414"/>
    <mergeCell ref="G414:H414"/>
    <mergeCell ref="I414:J414"/>
    <mergeCell ref="K414:L414"/>
    <mergeCell ref="B415:E415"/>
    <mergeCell ref="G415:H415"/>
    <mergeCell ref="I415:J415"/>
    <mergeCell ref="K415:L415"/>
    <mergeCell ref="M411:M412"/>
    <mergeCell ref="N411:N412"/>
    <mergeCell ref="B413:E413"/>
    <mergeCell ref="G413:H413"/>
    <mergeCell ref="I413:J413"/>
    <mergeCell ref="K413:L413"/>
    <mergeCell ref="N395:N396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5:E396"/>
    <mergeCell ref="F395:F396"/>
    <mergeCell ref="G395:H396"/>
    <mergeCell ref="I395:J396"/>
    <mergeCell ref="K395:L396"/>
    <mergeCell ref="M395:M396"/>
    <mergeCell ref="A411:A412"/>
    <mergeCell ref="B411:E412"/>
    <mergeCell ref="F411:F412"/>
    <mergeCell ref="G411:H412"/>
    <mergeCell ref="I411:J412"/>
    <mergeCell ref="K411:L412"/>
    <mergeCell ref="M405:M407"/>
    <mergeCell ref="N405:N407"/>
    <mergeCell ref="A409:A410"/>
    <mergeCell ref="B409:C410"/>
    <mergeCell ref="D409:D410"/>
    <mergeCell ref="E409:F410"/>
    <mergeCell ref="G409:H410"/>
    <mergeCell ref="I409:J410"/>
    <mergeCell ref="K409:L410"/>
    <mergeCell ref="M409:N410"/>
    <mergeCell ref="M404:N404"/>
    <mergeCell ref="M389:M391"/>
    <mergeCell ref="N389:N391"/>
    <mergeCell ref="A393:A394"/>
    <mergeCell ref="B393:C394"/>
    <mergeCell ref="D393:D394"/>
    <mergeCell ref="E393:F394"/>
    <mergeCell ref="G393:H394"/>
    <mergeCell ref="I393:J394"/>
    <mergeCell ref="K393:L394"/>
    <mergeCell ref="M393:N394"/>
    <mergeCell ref="A389:A391"/>
    <mergeCell ref="B389:C391"/>
    <mergeCell ref="D389:D391"/>
    <mergeCell ref="E389:F391"/>
    <mergeCell ref="G389:G391"/>
    <mergeCell ref="H389:H391"/>
    <mergeCell ref="B384:E384"/>
    <mergeCell ref="G384:H384"/>
    <mergeCell ref="I384:J384"/>
    <mergeCell ref="K384:L384"/>
    <mergeCell ref="A388:E388"/>
    <mergeCell ref="M388:N388"/>
    <mergeCell ref="B385:E385"/>
    <mergeCell ref="G385:H385"/>
    <mergeCell ref="I385:J385"/>
    <mergeCell ref="K385:L385"/>
    <mergeCell ref="B386:E386"/>
    <mergeCell ref="G386:H386"/>
    <mergeCell ref="I386:J386"/>
    <mergeCell ref="K386:L386"/>
    <mergeCell ref="G382:H382"/>
    <mergeCell ref="I382:J382"/>
    <mergeCell ref="K382:L382"/>
    <mergeCell ref="B383:E383"/>
    <mergeCell ref="G383:H383"/>
    <mergeCell ref="I383:J383"/>
    <mergeCell ref="K383:L383"/>
    <mergeCell ref="M379:M380"/>
    <mergeCell ref="N379:N380"/>
    <mergeCell ref="B381:E381"/>
    <mergeCell ref="G381:H381"/>
    <mergeCell ref="I381:J381"/>
    <mergeCell ref="K381:L381"/>
    <mergeCell ref="A379:A380"/>
    <mergeCell ref="B379:E380"/>
    <mergeCell ref="F379:F380"/>
    <mergeCell ref="G379:H380"/>
    <mergeCell ref="I379:J380"/>
    <mergeCell ref="K379:L380"/>
    <mergeCell ref="B382:E382"/>
    <mergeCell ref="M373:M375"/>
    <mergeCell ref="N373:N375"/>
    <mergeCell ref="A377:A378"/>
    <mergeCell ref="B377:C378"/>
    <mergeCell ref="D377:D378"/>
    <mergeCell ref="E377:F378"/>
    <mergeCell ref="G377:H378"/>
    <mergeCell ref="I377:J378"/>
    <mergeCell ref="K377:L378"/>
    <mergeCell ref="M377:N378"/>
    <mergeCell ref="M372:N372"/>
    <mergeCell ref="A373:A375"/>
    <mergeCell ref="B373:C375"/>
    <mergeCell ref="D373:D375"/>
    <mergeCell ref="E373:F375"/>
    <mergeCell ref="G373:G375"/>
    <mergeCell ref="H373:H375"/>
    <mergeCell ref="I373:I375"/>
    <mergeCell ref="J373:J375"/>
    <mergeCell ref="K373:K375"/>
    <mergeCell ref="L373:L375"/>
    <mergeCell ref="B354:E354"/>
    <mergeCell ref="G354:H354"/>
    <mergeCell ref="I354:J354"/>
    <mergeCell ref="K354:L354"/>
    <mergeCell ref="B351:E351"/>
    <mergeCell ref="M363:M364"/>
    <mergeCell ref="N363:N364"/>
    <mergeCell ref="B365:E365"/>
    <mergeCell ref="G365:H365"/>
    <mergeCell ref="I365:J365"/>
    <mergeCell ref="K365:L365"/>
    <mergeCell ref="A363:A364"/>
    <mergeCell ref="B363:E364"/>
    <mergeCell ref="F363:F364"/>
    <mergeCell ref="G363:H364"/>
    <mergeCell ref="I363:J364"/>
    <mergeCell ref="K363:L364"/>
    <mergeCell ref="K357:K359"/>
    <mergeCell ref="L357:L359"/>
    <mergeCell ref="M357:M359"/>
    <mergeCell ref="N357:N359"/>
    <mergeCell ref="A361:A362"/>
    <mergeCell ref="B361:C362"/>
    <mergeCell ref="D361:D362"/>
    <mergeCell ref="E361:F362"/>
    <mergeCell ref="G361:H362"/>
    <mergeCell ref="I361:J362"/>
    <mergeCell ref="A357:A359"/>
    <mergeCell ref="B357:C359"/>
    <mergeCell ref="D357:D359"/>
    <mergeCell ref="E357:F359"/>
    <mergeCell ref="G357:G359"/>
    <mergeCell ref="M347:M348"/>
    <mergeCell ref="N347:N348"/>
    <mergeCell ref="B349:E349"/>
    <mergeCell ref="G349:H349"/>
    <mergeCell ref="I349:J349"/>
    <mergeCell ref="K349:L349"/>
    <mergeCell ref="M341:M343"/>
    <mergeCell ref="N341:N343"/>
    <mergeCell ref="A345:A346"/>
    <mergeCell ref="B345:C346"/>
    <mergeCell ref="D345:D346"/>
    <mergeCell ref="E345:F346"/>
    <mergeCell ref="G345:H346"/>
    <mergeCell ref="I345:J346"/>
    <mergeCell ref="K345:L346"/>
    <mergeCell ref="M345:N346"/>
    <mergeCell ref="B353:E353"/>
    <mergeCell ref="G353:H353"/>
    <mergeCell ref="I353:J353"/>
    <mergeCell ref="K353:L353"/>
    <mergeCell ref="G351:H351"/>
    <mergeCell ref="I351:J351"/>
    <mergeCell ref="K351:L351"/>
    <mergeCell ref="B352:E352"/>
    <mergeCell ref="G352:H352"/>
    <mergeCell ref="I352:J352"/>
    <mergeCell ref="K352:L352"/>
    <mergeCell ref="B347:E348"/>
    <mergeCell ref="A347:A348"/>
    <mergeCell ref="G347:H348"/>
    <mergeCell ref="I347:J348"/>
    <mergeCell ref="K347:L348"/>
    <mergeCell ref="M340:N340"/>
    <mergeCell ref="A341:A343"/>
    <mergeCell ref="B341:C343"/>
    <mergeCell ref="D341:D343"/>
    <mergeCell ref="E341:F343"/>
    <mergeCell ref="G341:G343"/>
    <mergeCell ref="H341:H343"/>
    <mergeCell ref="I341:I343"/>
    <mergeCell ref="J341:J343"/>
    <mergeCell ref="K341:K343"/>
    <mergeCell ref="M331:M332"/>
    <mergeCell ref="N331:N332"/>
    <mergeCell ref="B333:E333"/>
    <mergeCell ref="G333:H333"/>
    <mergeCell ref="I333:J333"/>
    <mergeCell ref="K333:L333"/>
    <mergeCell ref="N325:N327"/>
    <mergeCell ref="A329:A330"/>
    <mergeCell ref="B329:C330"/>
    <mergeCell ref="D329:D330"/>
    <mergeCell ref="E329:F330"/>
    <mergeCell ref="G329:H330"/>
    <mergeCell ref="I329:J330"/>
    <mergeCell ref="K329:L330"/>
    <mergeCell ref="M329:N330"/>
    <mergeCell ref="B337:E337"/>
    <mergeCell ref="G337:H337"/>
    <mergeCell ref="I337:J337"/>
    <mergeCell ref="K337:L337"/>
    <mergeCell ref="B338:E338"/>
    <mergeCell ref="G338:H338"/>
    <mergeCell ref="I338:J338"/>
    <mergeCell ref="N299:N300"/>
    <mergeCell ref="A324:E324"/>
    <mergeCell ref="M324:N324"/>
    <mergeCell ref="A325:A327"/>
    <mergeCell ref="B325:C327"/>
    <mergeCell ref="D325:D327"/>
    <mergeCell ref="E325:F327"/>
    <mergeCell ref="G325:G327"/>
    <mergeCell ref="H325:H327"/>
    <mergeCell ref="N293:N295"/>
    <mergeCell ref="A297:A298"/>
    <mergeCell ref="B297:C298"/>
    <mergeCell ref="D297:D298"/>
    <mergeCell ref="E297:F298"/>
    <mergeCell ref="G297:H298"/>
    <mergeCell ref="I297:J298"/>
    <mergeCell ref="K297:L298"/>
    <mergeCell ref="M297:N298"/>
    <mergeCell ref="B293:C295"/>
    <mergeCell ref="D293:D295"/>
    <mergeCell ref="E293:F295"/>
    <mergeCell ref="G293:G295"/>
    <mergeCell ref="H293:H295"/>
    <mergeCell ref="I293:I295"/>
    <mergeCell ref="B319:E319"/>
    <mergeCell ref="G319:H319"/>
    <mergeCell ref="I319:J319"/>
    <mergeCell ref="K319:L319"/>
    <mergeCell ref="B320:E320"/>
    <mergeCell ref="G320:H320"/>
    <mergeCell ref="I320:J320"/>
    <mergeCell ref="B321:E321"/>
    <mergeCell ref="M283:M284"/>
    <mergeCell ref="N283:N284"/>
    <mergeCell ref="B291:E291"/>
    <mergeCell ref="A292:E292"/>
    <mergeCell ref="G292:H292"/>
    <mergeCell ref="I292:J292"/>
    <mergeCell ref="K292:L292"/>
    <mergeCell ref="M292:N292"/>
    <mergeCell ref="B281:C282"/>
    <mergeCell ref="D281:D282"/>
    <mergeCell ref="E281:F282"/>
    <mergeCell ref="M281:N282"/>
    <mergeCell ref="A283:A284"/>
    <mergeCell ref="B283:E284"/>
    <mergeCell ref="F283:F284"/>
    <mergeCell ref="G283:H284"/>
    <mergeCell ref="I283:J284"/>
    <mergeCell ref="K283:L284"/>
    <mergeCell ref="B285:E285"/>
    <mergeCell ref="G285:H285"/>
    <mergeCell ref="I285:J285"/>
    <mergeCell ref="K285:L285"/>
    <mergeCell ref="B286:E286"/>
    <mergeCell ref="G286:H286"/>
    <mergeCell ref="I286:J286"/>
    <mergeCell ref="K286:L286"/>
    <mergeCell ref="A281:A282"/>
    <mergeCell ref="G281:H282"/>
    <mergeCell ref="I281:J282"/>
    <mergeCell ref="K281:L282"/>
    <mergeCell ref="B287:E287"/>
    <mergeCell ref="G287:H287"/>
    <mergeCell ref="M277:M279"/>
    <mergeCell ref="N277:N279"/>
    <mergeCell ref="A276:E276"/>
    <mergeCell ref="G276:H276"/>
    <mergeCell ref="I276:J276"/>
    <mergeCell ref="K276:L276"/>
    <mergeCell ref="M276:N276"/>
    <mergeCell ref="A277:A279"/>
    <mergeCell ref="B277:C279"/>
    <mergeCell ref="D277:D279"/>
    <mergeCell ref="E277:F279"/>
    <mergeCell ref="G277:G279"/>
    <mergeCell ref="M267:M268"/>
    <mergeCell ref="N267:N268"/>
    <mergeCell ref="B274:E274"/>
    <mergeCell ref="B275:E275"/>
    <mergeCell ref="G275:H275"/>
    <mergeCell ref="I275:J275"/>
    <mergeCell ref="K275:L275"/>
    <mergeCell ref="A267:A268"/>
    <mergeCell ref="B267:E268"/>
    <mergeCell ref="F267:F268"/>
    <mergeCell ref="G267:H268"/>
    <mergeCell ref="I267:J268"/>
    <mergeCell ref="K267:L268"/>
    <mergeCell ref="H277:H279"/>
    <mergeCell ref="B273:E273"/>
    <mergeCell ref="G273:H273"/>
    <mergeCell ref="B269:E269"/>
    <mergeCell ref="G269:H269"/>
    <mergeCell ref="I269:J269"/>
    <mergeCell ref="K269:L269"/>
    <mergeCell ref="N261:N263"/>
    <mergeCell ref="A265:A266"/>
    <mergeCell ref="B265:C266"/>
    <mergeCell ref="D265:D266"/>
    <mergeCell ref="E265:F266"/>
    <mergeCell ref="G265:H266"/>
    <mergeCell ref="I265:J266"/>
    <mergeCell ref="K265:L266"/>
    <mergeCell ref="M265:N266"/>
    <mergeCell ref="H261:H263"/>
    <mergeCell ref="I261:I263"/>
    <mergeCell ref="J261:J263"/>
    <mergeCell ref="K261:K263"/>
    <mergeCell ref="L261:L263"/>
    <mergeCell ref="M261:M263"/>
    <mergeCell ref="A260:E260"/>
    <mergeCell ref="G260:H260"/>
    <mergeCell ref="I260:J260"/>
    <mergeCell ref="K260:L260"/>
    <mergeCell ref="M260:N260"/>
    <mergeCell ref="A261:A263"/>
    <mergeCell ref="B261:C263"/>
    <mergeCell ref="D261:D263"/>
    <mergeCell ref="E261:F263"/>
    <mergeCell ref="G261:G263"/>
    <mergeCell ref="M251:M252"/>
    <mergeCell ref="N251:N252"/>
    <mergeCell ref="B257:E257"/>
    <mergeCell ref="B258:E258"/>
    <mergeCell ref="G258:H258"/>
    <mergeCell ref="I258:J258"/>
    <mergeCell ref="K258:L258"/>
    <mergeCell ref="A251:A252"/>
    <mergeCell ref="B251:E252"/>
    <mergeCell ref="F251:F252"/>
    <mergeCell ref="G251:H252"/>
    <mergeCell ref="I251:J252"/>
    <mergeCell ref="K251:L252"/>
    <mergeCell ref="M245:M247"/>
    <mergeCell ref="N245:N247"/>
    <mergeCell ref="A249:A250"/>
    <mergeCell ref="B249:C250"/>
    <mergeCell ref="D249:D250"/>
    <mergeCell ref="E249:F250"/>
    <mergeCell ref="G249:H250"/>
    <mergeCell ref="I249:J250"/>
    <mergeCell ref="K249:L250"/>
    <mergeCell ref="M249:N250"/>
    <mergeCell ref="B253:E253"/>
    <mergeCell ref="G253:H253"/>
    <mergeCell ref="I253:J253"/>
    <mergeCell ref="K253:L253"/>
    <mergeCell ref="B254:E254"/>
    <mergeCell ref="G254:H254"/>
    <mergeCell ref="I254:J254"/>
    <mergeCell ref="K254:L254"/>
    <mergeCell ref="M244:N244"/>
    <mergeCell ref="A245:A247"/>
    <mergeCell ref="B245:C247"/>
    <mergeCell ref="D245:D247"/>
    <mergeCell ref="E245:F247"/>
    <mergeCell ref="G245:G247"/>
    <mergeCell ref="H245:H247"/>
    <mergeCell ref="I245:I247"/>
    <mergeCell ref="J245:J247"/>
    <mergeCell ref="K245:K247"/>
    <mergeCell ref="B243:E243"/>
    <mergeCell ref="G243:H243"/>
    <mergeCell ref="I243:J243"/>
    <mergeCell ref="K243:L243"/>
    <mergeCell ref="A244:E244"/>
    <mergeCell ref="G244:H244"/>
    <mergeCell ref="I244:J244"/>
    <mergeCell ref="K244:L244"/>
    <mergeCell ref="L245:L247"/>
    <mergeCell ref="B241:E241"/>
    <mergeCell ref="G241:H241"/>
    <mergeCell ref="I241:J241"/>
    <mergeCell ref="K241:L241"/>
    <mergeCell ref="B242:E242"/>
    <mergeCell ref="G242:H242"/>
    <mergeCell ref="I242:J242"/>
    <mergeCell ref="K242:L242"/>
    <mergeCell ref="M233:N234"/>
    <mergeCell ref="A235:A236"/>
    <mergeCell ref="B235:E236"/>
    <mergeCell ref="F235:F236"/>
    <mergeCell ref="G235:H236"/>
    <mergeCell ref="I235:J236"/>
    <mergeCell ref="K235:L236"/>
    <mergeCell ref="M235:M236"/>
    <mergeCell ref="N235:N236"/>
    <mergeCell ref="A233:A234"/>
    <mergeCell ref="B233:C234"/>
    <mergeCell ref="D233:D234"/>
    <mergeCell ref="E233:F234"/>
    <mergeCell ref="G233:H234"/>
    <mergeCell ref="I233:J234"/>
    <mergeCell ref="B239:E239"/>
    <mergeCell ref="G239:H239"/>
    <mergeCell ref="I239:J239"/>
    <mergeCell ref="K239:L239"/>
    <mergeCell ref="G240:H240"/>
    <mergeCell ref="I240:J240"/>
    <mergeCell ref="K240:L240"/>
    <mergeCell ref="B240:E240"/>
    <mergeCell ref="B237:E237"/>
    <mergeCell ref="A229:A231"/>
    <mergeCell ref="B229:C231"/>
    <mergeCell ref="D229:D231"/>
    <mergeCell ref="E229:F231"/>
    <mergeCell ref="G229:G231"/>
    <mergeCell ref="H229:H231"/>
    <mergeCell ref="I229:I231"/>
    <mergeCell ref="J229:J231"/>
    <mergeCell ref="K229:K231"/>
    <mergeCell ref="B227:E227"/>
    <mergeCell ref="G227:H227"/>
    <mergeCell ref="I227:J227"/>
    <mergeCell ref="K227:L227"/>
    <mergeCell ref="A228:E228"/>
    <mergeCell ref="G228:H228"/>
    <mergeCell ref="I228:J228"/>
    <mergeCell ref="K228:L228"/>
    <mergeCell ref="A219:A220"/>
    <mergeCell ref="B219:E220"/>
    <mergeCell ref="F219:F220"/>
    <mergeCell ref="G219:H220"/>
    <mergeCell ref="I219:J220"/>
    <mergeCell ref="K219:L220"/>
    <mergeCell ref="M219:M220"/>
    <mergeCell ref="N219:N220"/>
    <mergeCell ref="B221:E221"/>
    <mergeCell ref="G221:H221"/>
    <mergeCell ref="I221:J221"/>
    <mergeCell ref="K221:L221"/>
    <mergeCell ref="B222:E222"/>
    <mergeCell ref="G222:H222"/>
    <mergeCell ref="I222:J222"/>
    <mergeCell ref="K222:L222"/>
    <mergeCell ref="M228:N228"/>
    <mergeCell ref="K213:K215"/>
    <mergeCell ref="L213:L215"/>
    <mergeCell ref="M213:M215"/>
    <mergeCell ref="N213:N215"/>
    <mergeCell ref="A217:A218"/>
    <mergeCell ref="B217:C218"/>
    <mergeCell ref="D217:D218"/>
    <mergeCell ref="E217:F218"/>
    <mergeCell ref="G217:H218"/>
    <mergeCell ref="I217:J218"/>
    <mergeCell ref="G212:H212"/>
    <mergeCell ref="I212:J212"/>
    <mergeCell ref="K212:L212"/>
    <mergeCell ref="M212:N212"/>
    <mergeCell ref="A213:A215"/>
    <mergeCell ref="B213:C215"/>
    <mergeCell ref="D213:D215"/>
    <mergeCell ref="E213:F215"/>
    <mergeCell ref="G213:G215"/>
    <mergeCell ref="H213:H215"/>
    <mergeCell ref="K217:L218"/>
    <mergeCell ref="I213:I215"/>
    <mergeCell ref="J213:J215"/>
    <mergeCell ref="A212:E212"/>
    <mergeCell ref="M217:N218"/>
    <mergeCell ref="B210:E210"/>
    <mergeCell ref="G210:H210"/>
    <mergeCell ref="I210:J210"/>
    <mergeCell ref="K210:L21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M203:M204"/>
    <mergeCell ref="N203:N204"/>
    <mergeCell ref="B206:E206"/>
    <mergeCell ref="B207:E207"/>
    <mergeCell ref="G207:H207"/>
    <mergeCell ref="I207:J207"/>
    <mergeCell ref="K207:L207"/>
    <mergeCell ref="A203:A204"/>
    <mergeCell ref="B203:E204"/>
    <mergeCell ref="F203:F204"/>
    <mergeCell ref="G203:H204"/>
    <mergeCell ref="I203:J204"/>
    <mergeCell ref="K203:L204"/>
    <mergeCell ref="M197:M199"/>
    <mergeCell ref="N197:N199"/>
    <mergeCell ref="A201:A202"/>
    <mergeCell ref="B201:C202"/>
    <mergeCell ref="D201:D202"/>
    <mergeCell ref="E201:F202"/>
    <mergeCell ref="G201:H202"/>
    <mergeCell ref="I201:J202"/>
    <mergeCell ref="K201:L202"/>
    <mergeCell ref="M201:N202"/>
    <mergeCell ref="B205:E205"/>
    <mergeCell ref="G205:H205"/>
    <mergeCell ref="I205:J205"/>
    <mergeCell ref="K205:L205"/>
    <mergeCell ref="G206:H206"/>
    <mergeCell ref="I206:J206"/>
    <mergeCell ref="K206:L206"/>
    <mergeCell ref="M196:N196"/>
    <mergeCell ref="A197:A199"/>
    <mergeCell ref="B197:C199"/>
    <mergeCell ref="D197:D199"/>
    <mergeCell ref="E197:F199"/>
    <mergeCell ref="G197:G199"/>
    <mergeCell ref="H197:H199"/>
    <mergeCell ref="I197:I199"/>
    <mergeCell ref="J197:J199"/>
    <mergeCell ref="K197:K199"/>
    <mergeCell ref="B194:E194"/>
    <mergeCell ref="G194:H194"/>
    <mergeCell ref="I194:J194"/>
    <mergeCell ref="K194:L194"/>
    <mergeCell ref="B195:E195"/>
    <mergeCell ref="G195:H195"/>
    <mergeCell ref="I195:J195"/>
    <mergeCell ref="K195:L195"/>
    <mergeCell ref="L197:L199"/>
    <mergeCell ref="A196:E196"/>
    <mergeCell ref="G196:H196"/>
    <mergeCell ref="I196:J196"/>
    <mergeCell ref="K196:L196"/>
    <mergeCell ref="B192:E192"/>
    <mergeCell ref="G192:H192"/>
    <mergeCell ref="I192:J192"/>
    <mergeCell ref="K192:L192"/>
    <mergeCell ref="B193:E193"/>
    <mergeCell ref="G193:H193"/>
    <mergeCell ref="I193:J193"/>
    <mergeCell ref="K193:L193"/>
    <mergeCell ref="M187:M188"/>
    <mergeCell ref="N187:N188"/>
    <mergeCell ref="B189:E189"/>
    <mergeCell ref="B190:E190"/>
    <mergeCell ref="G190:H190"/>
    <mergeCell ref="I190:J190"/>
    <mergeCell ref="K190:L190"/>
    <mergeCell ref="A187:A188"/>
    <mergeCell ref="B187:E188"/>
    <mergeCell ref="F187:F188"/>
    <mergeCell ref="G187:H188"/>
    <mergeCell ref="I187:J188"/>
    <mergeCell ref="K187:L188"/>
    <mergeCell ref="B191:E191"/>
    <mergeCell ref="G191:H191"/>
    <mergeCell ref="I191:J191"/>
    <mergeCell ref="K191:L191"/>
    <mergeCell ref="G189:H189"/>
    <mergeCell ref="I189:J189"/>
    <mergeCell ref="K189:L189"/>
    <mergeCell ref="M181:M183"/>
    <mergeCell ref="N181:N183"/>
    <mergeCell ref="A185:A186"/>
    <mergeCell ref="B185:C186"/>
    <mergeCell ref="D185:D186"/>
    <mergeCell ref="E185:F186"/>
    <mergeCell ref="G185:H186"/>
    <mergeCell ref="I185:J186"/>
    <mergeCell ref="K185:L186"/>
    <mergeCell ref="M185:N186"/>
    <mergeCell ref="M180:N180"/>
    <mergeCell ref="A181:A183"/>
    <mergeCell ref="B181:C183"/>
    <mergeCell ref="D181:D183"/>
    <mergeCell ref="E181:F183"/>
    <mergeCell ref="G181:G183"/>
    <mergeCell ref="H181:H183"/>
    <mergeCell ref="I181:I183"/>
    <mergeCell ref="J181:J183"/>
    <mergeCell ref="K181:K183"/>
    <mergeCell ref="L181:L183"/>
    <mergeCell ref="B179:E179"/>
    <mergeCell ref="G179:H179"/>
    <mergeCell ref="I179:J179"/>
    <mergeCell ref="K179:L179"/>
    <mergeCell ref="A180:E180"/>
    <mergeCell ref="G180:H180"/>
    <mergeCell ref="I180:J180"/>
    <mergeCell ref="K180:L180"/>
    <mergeCell ref="G177:H177"/>
    <mergeCell ref="I177:J177"/>
    <mergeCell ref="K177:L177"/>
    <mergeCell ref="B178:E178"/>
    <mergeCell ref="G178:H178"/>
    <mergeCell ref="I178:J178"/>
    <mergeCell ref="K178:L178"/>
    <mergeCell ref="B175:E175"/>
    <mergeCell ref="G175:H175"/>
    <mergeCell ref="I175:J175"/>
    <mergeCell ref="K175:L175"/>
    <mergeCell ref="B176:E176"/>
    <mergeCell ref="G176:H176"/>
    <mergeCell ref="I176:J176"/>
    <mergeCell ref="K176:L176"/>
    <mergeCell ref="B177:E177"/>
    <mergeCell ref="B173:E173"/>
    <mergeCell ref="G173:H173"/>
    <mergeCell ref="I173:J173"/>
    <mergeCell ref="K173:L173"/>
    <mergeCell ref="B174:E174"/>
    <mergeCell ref="G174:H174"/>
    <mergeCell ref="I174:J174"/>
    <mergeCell ref="K174:L174"/>
    <mergeCell ref="F171:F172"/>
    <mergeCell ref="G171:H172"/>
    <mergeCell ref="I171:J172"/>
    <mergeCell ref="K171:L172"/>
    <mergeCell ref="M171:M172"/>
    <mergeCell ref="N171:N172"/>
    <mergeCell ref="M165:M167"/>
    <mergeCell ref="N165:N167"/>
    <mergeCell ref="A169:A170"/>
    <mergeCell ref="B169:C170"/>
    <mergeCell ref="D169:D170"/>
    <mergeCell ref="E169:F170"/>
    <mergeCell ref="G169:H170"/>
    <mergeCell ref="I169:J170"/>
    <mergeCell ref="K169:L170"/>
    <mergeCell ref="M169:N170"/>
    <mergeCell ref="A171:A172"/>
    <mergeCell ref="B171:E172"/>
    <mergeCell ref="A164:E164"/>
    <mergeCell ref="M164:N164"/>
    <mergeCell ref="A165:A167"/>
    <mergeCell ref="B165:C167"/>
    <mergeCell ref="D165:D167"/>
    <mergeCell ref="E165:F167"/>
    <mergeCell ref="G165:G167"/>
    <mergeCell ref="H165:H167"/>
    <mergeCell ref="I165:I167"/>
    <mergeCell ref="J165:J167"/>
    <mergeCell ref="B161:E161"/>
    <mergeCell ref="G161:H161"/>
    <mergeCell ref="I161:J161"/>
    <mergeCell ref="K161:L161"/>
    <mergeCell ref="B162:E162"/>
    <mergeCell ref="G162:H162"/>
    <mergeCell ref="I162:J162"/>
    <mergeCell ref="K162:L162"/>
    <mergeCell ref="K165:K167"/>
    <mergeCell ref="L165:L167"/>
    <mergeCell ref="G164:H164"/>
    <mergeCell ref="I164:J164"/>
    <mergeCell ref="K164:L164"/>
    <mergeCell ref="B163:E163"/>
    <mergeCell ref="G163:H163"/>
    <mergeCell ref="I163:J163"/>
    <mergeCell ref="K163:L163"/>
    <mergeCell ref="B159:E159"/>
    <mergeCell ref="G159:H159"/>
    <mergeCell ref="I159:J159"/>
    <mergeCell ref="K159:L159"/>
    <mergeCell ref="B160:E160"/>
    <mergeCell ref="G160:H160"/>
    <mergeCell ref="I160:J160"/>
    <mergeCell ref="K160:L160"/>
    <mergeCell ref="N155:N156"/>
    <mergeCell ref="B157:E157"/>
    <mergeCell ref="G157:H157"/>
    <mergeCell ref="I157:J157"/>
    <mergeCell ref="K157:L157"/>
    <mergeCell ref="B158:E158"/>
    <mergeCell ref="G158:H158"/>
    <mergeCell ref="I158:J158"/>
    <mergeCell ref="K158:L158"/>
    <mergeCell ref="B155:E156"/>
    <mergeCell ref="F155:F156"/>
    <mergeCell ref="G155:H156"/>
    <mergeCell ref="I155:J156"/>
    <mergeCell ref="K155:L156"/>
    <mergeCell ref="M155:M156"/>
    <mergeCell ref="M149:M151"/>
    <mergeCell ref="N149:N151"/>
    <mergeCell ref="A153:A154"/>
    <mergeCell ref="B153:C154"/>
    <mergeCell ref="D153:D154"/>
    <mergeCell ref="E153:F154"/>
    <mergeCell ref="G153:H154"/>
    <mergeCell ref="I153:J154"/>
    <mergeCell ref="K153:L154"/>
    <mergeCell ref="M153:N154"/>
    <mergeCell ref="A149:A151"/>
    <mergeCell ref="B149:C151"/>
    <mergeCell ref="D149:D151"/>
    <mergeCell ref="E149:F151"/>
    <mergeCell ref="G149:G151"/>
    <mergeCell ref="H149:H151"/>
    <mergeCell ref="B146:E146"/>
    <mergeCell ref="G146:H146"/>
    <mergeCell ref="I146:J146"/>
    <mergeCell ref="K146:L146"/>
    <mergeCell ref="A148:E148"/>
    <mergeCell ref="M148:N148"/>
    <mergeCell ref="I144:J144"/>
    <mergeCell ref="K144:L144"/>
    <mergeCell ref="B145:E145"/>
    <mergeCell ref="G145:H145"/>
    <mergeCell ref="I145:J145"/>
    <mergeCell ref="K145:L145"/>
    <mergeCell ref="B142:E142"/>
    <mergeCell ref="G142:H142"/>
    <mergeCell ref="I142:J142"/>
    <mergeCell ref="K142:L142"/>
    <mergeCell ref="B143:E143"/>
    <mergeCell ref="G143:H143"/>
    <mergeCell ref="I143:J143"/>
    <mergeCell ref="K143:L143"/>
    <mergeCell ref="M139:M140"/>
    <mergeCell ref="N139:N140"/>
    <mergeCell ref="B141:E141"/>
    <mergeCell ref="G141:H141"/>
    <mergeCell ref="I141:J141"/>
    <mergeCell ref="K141:L141"/>
    <mergeCell ref="N123:N124"/>
    <mergeCell ref="B125:E125"/>
    <mergeCell ref="G125:H125"/>
    <mergeCell ref="I125:J125"/>
    <mergeCell ref="K125:L125"/>
    <mergeCell ref="B126:E126"/>
    <mergeCell ref="G126:H126"/>
    <mergeCell ref="I126:J126"/>
    <mergeCell ref="K126:L126"/>
    <mergeCell ref="B123:E124"/>
    <mergeCell ref="F123:F124"/>
    <mergeCell ref="G123:H124"/>
    <mergeCell ref="I123:J124"/>
    <mergeCell ref="K123:L124"/>
    <mergeCell ref="M123:M124"/>
    <mergeCell ref="A139:A140"/>
    <mergeCell ref="B139:E140"/>
    <mergeCell ref="F139:F140"/>
    <mergeCell ref="G139:H140"/>
    <mergeCell ref="I139:J140"/>
    <mergeCell ref="K139:L140"/>
    <mergeCell ref="M133:M135"/>
    <mergeCell ref="N133:N135"/>
    <mergeCell ref="A137:A138"/>
    <mergeCell ref="B137:C138"/>
    <mergeCell ref="D137:D138"/>
    <mergeCell ref="E137:F138"/>
    <mergeCell ref="G137:H138"/>
    <mergeCell ref="I137:J138"/>
    <mergeCell ref="K137:L138"/>
    <mergeCell ref="M137:N138"/>
    <mergeCell ref="M132:N132"/>
    <mergeCell ref="M117:M119"/>
    <mergeCell ref="N117:N119"/>
    <mergeCell ref="A121:A122"/>
    <mergeCell ref="B121:C122"/>
    <mergeCell ref="D121:D122"/>
    <mergeCell ref="E121:F122"/>
    <mergeCell ref="G121:H122"/>
    <mergeCell ref="I121:J122"/>
    <mergeCell ref="K121:L122"/>
    <mergeCell ref="M121:N122"/>
    <mergeCell ref="A117:A119"/>
    <mergeCell ref="B117:C119"/>
    <mergeCell ref="D117:D119"/>
    <mergeCell ref="E117:F119"/>
    <mergeCell ref="G117:G119"/>
    <mergeCell ref="H117:H119"/>
    <mergeCell ref="B112:E112"/>
    <mergeCell ref="G112:H112"/>
    <mergeCell ref="I112:J112"/>
    <mergeCell ref="K112:L112"/>
    <mergeCell ref="A116:E116"/>
    <mergeCell ref="M116:N116"/>
    <mergeCell ref="B113:E113"/>
    <mergeCell ref="G113:H113"/>
    <mergeCell ref="I113:J113"/>
    <mergeCell ref="K113:L113"/>
    <mergeCell ref="B114:E114"/>
    <mergeCell ref="G114:H114"/>
    <mergeCell ref="I114:J114"/>
    <mergeCell ref="K114:L114"/>
    <mergeCell ref="G110:H110"/>
    <mergeCell ref="I110:J110"/>
    <mergeCell ref="K110:L110"/>
    <mergeCell ref="B111:E111"/>
    <mergeCell ref="G111:H111"/>
    <mergeCell ref="I111:J111"/>
    <mergeCell ref="K111:L111"/>
    <mergeCell ref="M107:M108"/>
    <mergeCell ref="N107:N108"/>
    <mergeCell ref="B109:E109"/>
    <mergeCell ref="G109:H109"/>
    <mergeCell ref="I109:J109"/>
    <mergeCell ref="K109:L109"/>
    <mergeCell ref="A107:A108"/>
    <mergeCell ref="B107:E108"/>
    <mergeCell ref="F107:F108"/>
    <mergeCell ref="G107:H108"/>
    <mergeCell ref="I107:J108"/>
    <mergeCell ref="K107:L108"/>
    <mergeCell ref="B110:E110"/>
    <mergeCell ref="M101:M103"/>
    <mergeCell ref="N101:N103"/>
    <mergeCell ref="A105:A106"/>
    <mergeCell ref="B105:C106"/>
    <mergeCell ref="D105:D106"/>
    <mergeCell ref="E105:F106"/>
    <mergeCell ref="G105:H106"/>
    <mergeCell ref="I105:J106"/>
    <mergeCell ref="K105:L106"/>
    <mergeCell ref="M105:N106"/>
    <mergeCell ref="M100:N100"/>
    <mergeCell ref="A101:A103"/>
    <mergeCell ref="B101:C103"/>
    <mergeCell ref="D101:D103"/>
    <mergeCell ref="E101:F103"/>
    <mergeCell ref="G101:G103"/>
    <mergeCell ref="H101:H103"/>
    <mergeCell ref="I101:I103"/>
    <mergeCell ref="J101:J103"/>
    <mergeCell ref="K101:K103"/>
    <mergeCell ref="L101:L103"/>
    <mergeCell ref="M73:N74"/>
    <mergeCell ref="B81:E81"/>
    <mergeCell ref="G81:H81"/>
    <mergeCell ref="I81:J81"/>
    <mergeCell ref="K81:L81"/>
    <mergeCell ref="B82:E82"/>
    <mergeCell ref="G82:H82"/>
    <mergeCell ref="I82:J82"/>
    <mergeCell ref="K82:L82"/>
    <mergeCell ref="B79:E79"/>
    <mergeCell ref="M91:M92"/>
    <mergeCell ref="N91:N92"/>
    <mergeCell ref="B93:E93"/>
    <mergeCell ref="G93:H93"/>
    <mergeCell ref="I93:J93"/>
    <mergeCell ref="K93:L93"/>
    <mergeCell ref="A91:A92"/>
    <mergeCell ref="B91:E92"/>
    <mergeCell ref="F91:F92"/>
    <mergeCell ref="G91:H92"/>
    <mergeCell ref="I91:J92"/>
    <mergeCell ref="K91:L92"/>
    <mergeCell ref="K85:K87"/>
    <mergeCell ref="L85:L87"/>
    <mergeCell ref="M85:M87"/>
    <mergeCell ref="N85:N87"/>
    <mergeCell ref="A89:A90"/>
    <mergeCell ref="B89:C90"/>
    <mergeCell ref="D89:D90"/>
    <mergeCell ref="E89:F90"/>
    <mergeCell ref="G89:H90"/>
    <mergeCell ref="I89:J90"/>
    <mergeCell ref="D57:D58"/>
    <mergeCell ref="E57:F58"/>
    <mergeCell ref="G57:H58"/>
    <mergeCell ref="I57:J58"/>
    <mergeCell ref="K57:L58"/>
    <mergeCell ref="M57:N58"/>
    <mergeCell ref="B65:E65"/>
    <mergeCell ref="G65:H65"/>
    <mergeCell ref="I65:J65"/>
    <mergeCell ref="K65:L65"/>
    <mergeCell ref="B66:E66"/>
    <mergeCell ref="G66:H66"/>
    <mergeCell ref="I66:J66"/>
    <mergeCell ref="B78:E78"/>
    <mergeCell ref="G78:H78"/>
    <mergeCell ref="I78:J78"/>
    <mergeCell ref="K78:L78"/>
    <mergeCell ref="F75:F76"/>
    <mergeCell ref="M75:M76"/>
    <mergeCell ref="N75:N76"/>
    <mergeCell ref="B77:E77"/>
    <mergeCell ref="G77:H77"/>
    <mergeCell ref="I77:J77"/>
    <mergeCell ref="K77:L77"/>
    <mergeCell ref="M69:M71"/>
    <mergeCell ref="N69:N71"/>
    <mergeCell ref="B73:C74"/>
    <mergeCell ref="D73:D74"/>
    <mergeCell ref="E73:F74"/>
    <mergeCell ref="G73:H74"/>
    <mergeCell ref="I73:J74"/>
    <mergeCell ref="K73:L74"/>
    <mergeCell ref="B47:E47"/>
    <mergeCell ref="G47:H47"/>
    <mergeCell ref="I47:J47"/>
    <mergeCell ref="K47:L47"/>
    <mergeCell ref="B48:E48"/>
    <mergeCell ref="G48:H48"/>
    <mergeCell ref="I48:J48"/>
    <mergeCell ref="K48:L48"/>
    <mergeCell ref="B45:E45"/>
    <mergeCell ref="G45:H45"/>
    <mergeCell ref="I45:J45"/>
    <mergeCell ref="K45:L45"/>
    <mergeCell ref="B46:E46"/>
    <mergeCell ref="G46:H46"/>
    <mergeCell ref="I46:J46"/>
    <mergeCell ref="M68:N68"/>
    <mergeCell ref="A69:A71"/>
    <mergeCell ref="B69:C71"/>
    <mergeCell ref="D69:D71"/>
    <mergeCell ref="E69:F71"/>
    <mergeCell ref="G69:G71"/>
    <mergeCell ref="H69:H71"/>
    <mergeCell ref="I69:I71"/>
    <mergeCell ref="J69:J71"/>
    <mergeCell ref="K69:K71"/>
    <mergeCell ref="M59:M60"/>
    <mergeCell ref="N59:N60"/>
    <mergeCell ref="B61:E61"/>
    <mergeCell ref="G61:H61"/>
    <mergeCell ref="I61:J61"/>
    <mergeCell ref="K61:L61"/>
    <mergeCell ref="N53:N55"/>
    <mergeCell ref="A644:E644"/>
    <mergeCell ref="B641:E641"/>
    <mergeCell ref="G641:H641"/>
    <mergeCell ref="I641:J641"/>
    <mergeCell ref="K641:L641"/>
    <mergeCell ref="B642:E642"/>
    <mergeCell ref="G642:H642"/>
    <mergeCell ref="I642:J642"/>
    <mergeCell ref="K642:L642"/>
    <mergeCell ref="B640:E640"/>
    <mergeCell ref="G640:H640"/>
    <mergeCell ref="I640:J640"/>
    <mergeCell ref="K640:L640"/>
    <mergeCell ref="B638:E638"/>
    <mergeCell ref="G638:H638"/>
    <mergeCell ref="I638:J638"/>
    <mergeCell ref="K638:L638"/>
    <mergeCell ref="B639:E639"/>
    <mergeCell ref="G639:H639"/>
    <mergeCell ref="I639:J639"/>
    <mergeCell ref="K639:L639"/>
    <mergeCell ref="K628:L628"/>
    <mergeCell ref="B625:E625"/>
    <mergeCell ref="G625:H625"/>
    <mergeCell ref="I625:J625"/>
    <mergeCell ref="K625:L625"/>
    <mergeCell ref="B626:E626"/>
    <mergeCell ref="G626:H626"/>
    <mergeCell ref="I626:J626"/>
    <mergeCell ref="K626:L626"/>
    <mergeCell ref="B623:E623"/>
    <mergeCell ref="G623:H623"/>
    <mergeCell ref="I623:J623"/>
    <mergeCell ref="K623:L623"/>
    <mergeCell ref="B624:E624"/>
    <mergeCell ref="G624:H624"/>
    <mergeCell ref="I624:J624"/>
    <mergeCell ref="K624:L624"/>
    <mergeCell ref="K612:L612"/>
    <mergeCell ref="A612:E612"/>
    <mergeCell ref="B609:E609"/>
    <mergeCell ref="G609:H609"/>
    <mergeCell ref="I609:J609"/>
    <mergeCell ref="K609:L609"/>
    <mergeCell ref="B610:E610"/>
    <mergeCell ref="G610:H610"/>
    <mergeCell ref="I610:J610"/>
    <mergeCell ref="K610:L610"/>
    <mergeCell ref="B607:E607"/>
    <mergeCell ref="G607:H607"/>
    <mergeCell ref="I607:J607"/>
    <mergeCell ref="K607:L607"/>
    <mergeCell ref="B608:E608"/>
    <mergeCell ref="G608:H608"/>
    <mergeCell ref="I608:J608"/>
    <mergeCell ref="K608:L608"/>
    <mergeCell ref="B606:E606"/>
    <mergeCell ref="G606:H606"/>
    <mergeCell ref="I606:J606"/>
    <mergeCell ref="K606:L606"/>
    <mergeCell ref="B603:E604"/>
    <mergeCell ref="F603:F604"/>
    <mergeCell ref="G603:H604"/>
    <mergeCell ref="I603:J604"/>
    <mergeCell ref="A603:A604"/>
    <mergeCell ref="K603:L604"/>
    <mergeCell ref="I597:I599"/>
    <mergeCell ref="J597:J599"/>
    <mergeCell ref="K597:K599"/>
    <mergeCell ref="L597:L599"/>
    <mergeCell ref="M597:M599"/>
    <mergeCell ref="B595:E595"/>
    <mergeCell ref="G595:H595"/>
    <mergeCell ref="I595:J595"/>
    <mergeCell ref="K595:L595"/>
    <mergeCell ref="G596:H596"/>
    <mergeCell ref="I596:J596"/>
    <mergeCell ref="K596:L596"/>
    <mergeCell ref="B591:E591"/>
    <mergeCell ref="G591:H591"/>
    <mergeCell ref="I591:J591"/>
    <mergeCell ref="K591:L591"/>
    <mergeCell ref="B592:E592"/>
    <mergeCell ref="G592:H592"/>
    <mergeCell ref="I592:J592"/>
    <mergeCell ref="K592:L592"/>
    <mergeCell ref="B589:E589"/>
    <mergeCell ref="G589:H589"/>
    <mergeCell ref="I589:J589"/>
    <mergeCell ref="K589:L589"/>
    <mergeCell ref="B590:E590"/>
    <mergeCell ref="G590:H590"/>
    <mergeCell ref="I590:J590"/>
    <mergeCell ref="K590:L590"/>
    <mergeCell ref="M585:N586"/>
    <mergeCell ref="A587:A588"/>
    <mergeCell ref="B587:E588"/>
    <mergeCell ref="F587:F588"/>
    <mergeCell ref="G587:H588"/>
    <mergeCell ref="I587:J588"/>
    <mergeCell ref="K587:L588"/>
    <mergeCell ref="M587:M588"/>
    <mergeCell ref="N587:N588"/>
    <mergeCell ref="L581:L583"/>
    <mergeCell ref="M581:M583"/>
    <mergeCell ref="N581:N583"/>
    <mergeCell ref="A585:A586"/>
    <mergeCell ref="B585:C586"/>
    <mergeCell ref="D585:D586"/>
    <mergeCell ref="E585:F586"/>
    <mergeCell ref="G585:H586"/>
    <mergeCell ref="I585:J586"/>
    <mergeCell ref="K585:L586"/>
    <mergeCell ref="M580:N580"/>
    <mergeCell ref="A581:A583"/>
    <mergeCell ref="B581:C583"/>
    <mergeCell ref="D581:D583"/>
    <mergeCell ref="E581:F583"/>
    <mergeCell ref="G581:G583"/>
    <mergeCell ref="H581:H583"/>
    <mergeCell ref="I581:I583"/>
    <mergeCell ref="J581:J583"/>
    <mergeCell ref="K581:K583"/>
    <mergeCell ref="B579:E579"/>
    <mergeCell ref="G579:H579"/>
    <mergeCell ref="I579:J579"/>
    <mergeCell ref="K579:L579"/>
    <mergeCell ref="A580:E580"/>
    <mergeCell ref="G580:H580"/>
    <mergeCell ref="I580:J580"/>
    <mergeCell ref="K580:L580"/>
    <mergeCell ref="B577:E577"/>
    <mergeCell ref="G577:H577"/>
    <mergeCell ref="I577:J577"/>
    <mergeCell ref="K577:L577"/>
    <mergeCell ref="B578:E578"/>
    <mergeCell ref="G578:H578"/>
    <mergeCell ref="I578:J578"/>
    <mergeCell ref="K578:L578"/>
    <mergeCell ref="B575:E575"/>
    <mergeCell ref="G575:H575"/>
    <mergeCell ref="I575:J575"/>
    <mergeCell ref="K575:L575"/>
    <mergeCell ref="B576:E576"/>
    <mergeCell ref="G576:H576"/>
    <mergeCell ref="I576:J576"/>
    <mergeCell ref="K576:L576"/>
    <mergeCell ref="B573:E573"/>
    <mergeCell ref="G573:H573"/>
    <mergeCell ref="I573:J573"/>
    <mergeCell ref="K573:L573"/>
    <mergeCell ref="B574:E574"/>
    <mergeCell ref="G574:H574"/>
    <mergeCell ref="I574:J574"/>
    <mergeCell ref="K574:L574"/>
    <mergeCell ref="B571:E572"/>
    <mergeCell ref="F571:F572"/>
    <mergeCell ref="G571:H572"/>
    <mergeCell ref="I571:J572"/>
    <mergeCell ref="A571:A572"/>
    <mergeCell ref="K571:L572"/>
    <mergeCell ref="A565:A567"/>
    <mergeCell ref="J565:J567"/>
    <mergeCell ref="K565:K567"/>
    <mergeCell ref="L565:L567"/>
    <mergeCell ref="M565:M567"/>
    <mergeCell ref="G563:H563"/>
    <mergeCell ref="I563:J563"/>
    <mergeCell ref="K563:L563"/>
    <mergeCell ref="B561:E561"/>
    <mergeCell ref="G561:H561"/>
    <mergeCell ref="I561:J561"/>
    <mergeCell ref="K561:L561"/>
    <mergeCell ref="B562:E562"/>
    <mergeCell ref="G562:H562"/>
    <mergeCell ref="I562:J562"/>
    <mergeCell ref="K562:L562"/>
    <mergeCell ref="M571:M572"/>
    <mergeCell ref="I558:J558"/>
    <mergeCell ref="K558:L558"/>
    <mergeCell ref="A553:A554"/>
    <mergeCell ref="G553:H554"/>
    <mergeCell ref="I553:J554"/>
    <mergeCell ref="K553:L554"/>
    <mergeCell ref="H549:H551"/>
    <mergeCell ref="B545:E545"/>
    <mergeCell ref="G545:H545"/>
    <mergeCell ref="I545:J545"/>
    <mergeCell ref="K545:L545"/>
    <mergeCell ref="G546:H546"/>
    <mergeCell ref="I546:J546"/>
    <mergeCell ref="K546:L546"/>
    <mergeCell ref="B543:E543"/>
    <mergeCell ref="G543:H543"/>
    <mergeCell ref="I543:J543"/>
    <mergeCell ref="K543:L543"/>
    <mergeCell ref="B544:E544"/>
    <mergeCell ref="G544:H544"/>
    <mergeCell ref="I544:J544"/>
    <mergeCell ref="K544:L544"/>
    <mergeCell ref="I549:I551"/>
    <mergeCell ref="J549:J551"/>
    <mergeCell ref="K549:K551"/>
    <mergeCell ref="L549:L551"/>
    <mergeCell ref="K542:L542"/>
    <mergeCell ref="B531:E531"/>
    <mergeCell ref="G531:H531"/>
    <mergeCell ref="I531:J531"/>
    <mergeCell ref="K531:L531"/>
    <mergeCell ref="G529:H529"/>
    <mergeCell ref="I529:J529"/>
    <mergeCell ref="K529:L529"/>
    <mergeCell ref="B527:E527"/>
    <mergeCell ref="G527:H527"/>
    <mergeCell ref="I527:J527"/>
    <mergeCell ref="K527:L527"/>
    <mergeCell ref="B528:E528"/>
    <mergeCell ref="G528:H528"/>
    <mergeCell ref="I528:J528"/>
    <mergeCell ref="K528:L528"/>
    <mergeCell ref="G509:H509"/>
    <mergeCell ref="I509:J509"/>
    <mergeCell ref="K509:L509"/>
    <mergeCell ref="B510:E510"/>
    <mergeCell ref="G510:H510"/>
    <mergeCell ref="I510:J510"/>
    <mergeCell ref="K510:L510"/>
    <mergeCell ref="B513:E513"/>
    <mergeCell ref="G513:H513"/>
    <mergeCell ref="I513:J513"/>
    <mergeCell ref="K513:L513"/>
    <mergeCell ref="B514:E514"/>
    <mergeCell ref="G514:H514"/>
    <mergeCell ref="I514:J514"/>
    <mergeCell ref="K514:L514"/>
    <mergeCell ref="G512:H512"/>
    <mergeCell ref="M501:M503"/>
    <mergeCell ref="N501:N503"/>
    <mergeCell ref="B498:E498"/>
    <mergeCell ref="G498:H498"/>
    <mergeCell ref="I498:J498"/>
    <mergeCell ref="K498:L498"/>
    <mergeCell ref="G495:H495"/>
    <mergeCell ref="I495:J495"/>
    <mergeCell ref="K495:L495"/>
    <mergeCell ref="B495:E495"/>
    <mergeCell ref="B496:E496"/>
    <mergeCell ref="G496:H496"/>
    <mergeCell ref="I496:J496"/>
    <mergeCell ref="K496:L496"/>
    <mergeCell ref="B497:E497"/>
    <mergeCell ref="G497:H497"/>
    <mergeCell ref="I497:J497"/>
    <mergeCell ref="K497:L497"/>
    <mergeCell ref="A427:A428"/>
    <mergeCell ref="I421:I423"/>
    <mergeCell ref="J421:J423"/>
    <mergeCell ref="K421:K423"/>
    <mergeCell ref="L421:L423"/>
    <mergeCell ref="B419:E419"/>
    <mergeCell ref="G419:H419"/>
    <mergeCell ref="I419:J419"/>
    <mergeCell ref="K419:L419"/>
    <mergeCell ref="G420:H420"/>
    <mergeCell ref="I420:J420"/>
    <mergeCell ref="K420:L420"/>
    <mergeCell ref="B416:E416"/>
    <mergeCell ref="L405:L407"/>
    <mergeCell ref="B403:E403"/>
    <mergeCell ref="G403:H403"/>
    <mergeCell ref="I403:J403"/>
    <mergeCell ref="K403:L403"/>
    <mergeCell ref="G404:H404"/>
    <mergeCell ref="I404:J404"/>
    <mergeCell ref="K404:L404"/>
    <mergeCell ref="A404:E404"/>
    <mergeCell ref="A405:A407"/>
    <mergeCell ref="B405:C407"/>
    <mergeCell ref="D405:D407"/>
    <mergeCell ref="E405:F407"/>
    <mergeCell ref="G405:G407"/>
    <mergeCell ref="H405:H407"/>
    <mergeCell ref="I405:I407"/>
    <mergeCell ref="J405:J407"/>
    <mergeCell ref="K405:K407"/>
    <mergeCell ref="G416:H416"/>
    <mergeCell ref="B402:E402"/>
    <mergeCell ref="G402:H402"/>
    <mergeCell ref="I402:J402"/>
    <mergeCell ref="K402:L402"/>
    <mergeCell ref="B401:E401"/>
    <mergeCell ref="G401:H401"/>
    <mergeCell ref="I401:J401"/>
    <mergeCell ref="K401:L401"/>
    <mergeCell ref="A395:A396"/>
    <mergeCell ref="I389:I391"/>
    <mergeCell ref="J389:J391"/>
    <mergeCell ref="K389:K391"/>
    <mergeCell ref="L389:L391"/>
    <mergeCell ref="B387:E387"/>
    <mergeCell ref="G387:H387"/>
    <mergeCell ref="I387:J387"/>
    <mergeCell ref="K387:L387"/>
    <mergeCell ref="G388:H388"/>
    <mergeCell ref="I388:J388"/>
    <mergeCell ref="K388:L388"/>
    <mergeCell ref="B399:E399"/>
    <mergeCell ref="G399:H399"/>
    <mergeCell ref="I399:J399"/>
    <mergeCell ref="K399:L399"/>
    <mergeCell ref="B400:E400"/>
    <mergeCell ref="G400:H400"/>
    <mergeCell ref="I400:J400"/>
    <mergeCell ref="K400:L400"/>
    <mergeCell ref="B371:E371"/>
    <mergeCell ref="G371:H371"/>
    <mergeCell ref="I371:J371"/>
    <mergeCell ref="K371:L371"/>
    <mergeCell ref="G372:H372"/>
    <mergeCell ref="I372:J372"/>
    <mergeCell ref="K372:L372"/>
    <mergeCell ref="A372:E372"/>
    <mergeCell ref="B369:E369"/>
    <mergeCell ref="G369:H369"/>
    <mergeCell ref="I369:J369"/>
    <mergeCell ref="K369:L369"/>
    <mergeCell ref="B370:E370"/>
    <mergeCell ref="G370:H370"/>
    <mergeCell ref="I370:J370"/>
    <mergeCell ref="K370:L370"/>
    <mergeCell ref="B368:E368"/>
    <mergeCell ref="G368:H368"/>
    <mergeCell ref="I368:J368"/>
    <mergeCell ref="K368:L368"/>
    <mergeCell ref="B366:E366"/>
    <mergeCell ref="G366:H366"/>
    <mergeCell ref="I366:J366"/>
    <mergeCell ref="K366:L366"/>
    <mergeCell ref="B367:E367"/>
    <mergeCell ref="G367:H367"/>
    <mergeCell ref="I367:J367"/>
    <mergeCell ref="K367:L367"/>
    <mergeCell ref="K361:L362"/>
    <mergeCell ref="M361:N362"/>
    <mergeCell ref="I357:I359"/>
    <mergeCell ref="J357:J359"/>
    <mergeCell ref="B355:E355"/>
    <mergeCell ref="G355:H355"/>
    <mergeCell ref="I355:J355"/>
    <mergeCell ref="K355:L355"/>
    <mergeCell ref="G356:H356"/>
    <mergeCell ref="I356:J356"/>
    <mergeCell ref="K356:L356"/>
    <mergeCell ref="A356:E356"/>
    <mergeCell ref="M356:N356"/>
    <mergeCell ref="H357:H359"/>
    <mergeCell ref="L341:L343"/>
    <mergeCell ref="B339:E339"/>
    <mergeCell ref="G339:H339"/>
    <mergeCell ref="I339:J339"/>
    <mergeCell ref="K339:L339"/>
    <mergeCell ref="G340:H340"/>
    <mergeCell ref="I340:J340"/>
    <mergeCell ref="K340:L340"/>
    <mergeCell ref="A340:E340"/>
    <mergeCell ref="B350:E350"/>
    <mergeCell ref="G350:H350"/>
    <mergeCell ref="I350:J350"/>
    <mergeCell ref="K350:L350"/>
    <mergeCell ref="F347:F348"/>
    <mergeCell ref="K338:L338"/>
    <mergeCell ref="B335:E335"/>
    <mergeCell ref="G335:H335"/>
    <mergeCell ref="I335:J335"/>
    <mergeCell ref="K335:L335"/>
    <mergeCell ref="B336:E336"/>
    <mergeCell ref="G336:H336"/>
    <mergeCell ref="I336:J336"/>
    <mergeCell ref="K336:L336"/>
    <mergeCell ref="B334:E334"/>
    <mergeCell ref="G334:H334"/>
    <mergeCell ref="I334:J334"/>
    <mergeCell ref="K334:L334"/>
    <mergeCell ref="B331:E332"/>
    <mergeCell ref="F331:F332"/>
    <mergeCell ref="G331:H332"/>
    <mergeCell ref="I331:J332"/>
    <mergeCell ref="A331:A332"/>
    <mergeCell ref="K331:L332"/>
    <mergeCell ref="I325:I327"/>
    <mergeCell ref="J325:J327"/>
    <mergeCell ref="K325:K327"/>
    <mergeCell ref="L325:L327"/>
    <mergeCell ref="M325:M327"/>
    <mergeCell ref="B323:E323"/>
    <mergeCell ref="G323:H323"/>
    <mergeCell ref="I323:J323"/>
    <mergeCell ref="K323:L323"/>
    <mergeCell ref="G324:H324"/>
    <mergeCell ref="I324:J324"/>
    <mergeCell ref="K324:L324"/>
    <mergeCell ref="G321:H321"/>
    <mergeCell ref="I321:J321"/>
    <mergeCell ref="K321:L321"/>
    <mergeCell ref="B322:E322"/>
    <mergeCell ref="G322:H322"/>
    <mergeCell ref="I322:J322"/>
    <mergeCell ref="K322:L322"/>
    <mergeCell ref="K320:L320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M313:N314"/>
    <mergeCell ref="A315:A316"/>
    <mergeCell ref="B315:E316"/>
    <mergeCell ref="F315:F316"/>
    <mergeCell ref="G315:H316"/>
    <mergeCell ref="I315:J316"/>
    <mergeCell ref="K315:L316"/>
    <mergeCell ref="M315:M316"/>
    <mergeCell ref="N315:N316"/>
    <mergeCell ref="L309:L311"/>
    <mergeCell ref="M309:M311"/>
    <mergeCell ref="N309:N311"/>
    <mergeCell ref="A313:A314"/>
    <mergeCell ref="B313:C314"/>
    <mergeCell ref="D313:D314"/>
    <mergeCell ref="E313:F314"/>
    <mergeCell ref="G313:H314"/>
    <mergeCell ref="I313:J314"/>
    <mergeCell ref="K313:L314"/>
    <mergeCell ref="M308:N308"/>
    <mergeCell ref="A309:A311"/>
    <mergeCell ref="B309:C311"/>
    <mergeCell ref="D309:D311"/>
    <mergeCell ref="E309:F311"/>
    <mergeCell ref="G309:G311"/>
    <mergeCell ref="H309:H311"/>
    <mergeCell ref="I309:I311"/>
    <mergeCell ref="J309:J311"/>
    <mergeCell ref="K309:K311"/>
    <mergeCell ref="B307:E307"/>
    <mergeCell ref="G307:H307"/>
    <mergeCell ref="I307:J307"/>
    <mergeCell ref="K307:L307"/>
    <mergeCell ref="A308:E308"/>
    <mergeCell ref="G308:H308"/>
    <mergeCell ref="I308:J308"/>
    <mergeCell ref="K308:L308"/>
    <mergeCell ref="B305:E305"/>
    <mergeCell ref="G305:H305"/>
    <mergeCell ref="I305:J305"/>
    <mergeCell ref="K305:L305"/>
    <mergeCell ref="B306:E306"/>
    <mergeCell ref="G306:H306"/>
    <mergeCell ref="I306:J306"/>
    <mergeCell ref="K306:L306"/>
    <mergeCell ref="B303:E303"/>
    <mergeCell ref="G303:H303"/>
    <mergeCell ref="I303:J303"/>
    <mergeCell ref="K303:L303"/>
    <mergeCell ref="B304:E304"/>
    <mergeCell ref="G304:H304"/>
    <mergeCell ref="I304:J304"/>
    <mergeCell ref="K304:L304"/>
    <mergeCell ref="B301:E301"/>
    <mergeCell ref="G301:H301"/>
    <mergeCell ref="I301:J301"/>
    <mergeCell ref="K301:L301"/>
    <mergeCell ref="B302:E302"/>
    <mergeCell ref="G302:H302"/>
    <mergeCell ref="I302:J302"/>
    <mergeCell ref="K302:L302"/>
    <mergeCell ref="B299:E300"/>
    <mergeCell ref="F299:F300"/>
    <mergeCell ref="G299:H300"/>
    <mergeCell ref="I299:J300"/>
    <mergeCell ref="A299:A300"/>
    <mergeCell ref="K299:L300"/>
    <mergeCell ref="A293:A295"/>
    <mergeCell ref="J293:J295"/>
    <mergeCell ref="K293:K295"/>
    <mergeCell ref="L293:L295"/>
    <mergeCell ref="M293:M295"/>
    <mergeCell ref="G291:H291"/>
    <mergeCell ref="I291:J291"/>
    <mergeCell ref="K291:L291"/>
    <mergeCell ref="B289:E289"/>
    <mergeCell ref="G289:H289"/>
    <mergeCell ref="I289:J289"/>
    <mergeCell ref="K289:L289"/>
    <mergeCell ref="B290:E290"/>
    <mergeCell ref="G290:H290"/>
    <mergeCell ref="I290:J290"/>
    <mergeCell ref="K290:L290"/>
    <mergeCell ref="M299:M300"/>
    <mergeCell ref="I287:J287"/>
    <mergeCell ref="K287:L287"/>
    <mergeCell ref="B288:E288"/>
    <mergeCell ref="G288:H288"/>
    <mergeCell ref="I288:J288"/>
    <mergeCell ref="K288:L288"/>
    <mergeCell ref="I273:J273"/>
    <mergeCell ref="K273:L273"/>
    <mergeCell ref="G274:H274"/>
    <mergeCell ref="I274:J274"/>
    <mergeCell ref="K274:L274"/>
    <mergeCell ref="B271:E271"/>
    <mergeCell ref="G271:H271"/>
    <mergeCell ref="I271:J271"/>
    <mergeCell ref="K271:L271"/>
    <mergeCell ref="B272:E272"/>
    <mergeCell ref="G272:H272"/>
    <mergeCell ref="I272:J272"/>
    <mergeCell ref="K272:L272"/>
    <mergeCell ref="I277:I279"/>
    <mergeCell ref="J277:J279"/>
    <mergeCell ref="K277:K279"/>
    <mergeCell ref="L277:L279"/>
    <mergeCell ref="B270:E270"/>
    <mergeCell ref="G270:H270"/>
    <mergeCell ref="I270:J270"/>
    <mergeCell ref="K270:L270"/>
    <mergeCell ref="B259:E259"/>
    <mergeCell ref="G259:H259"/>
    <mergeCell ref="I259:J259"/>
    <mergeCell ref="K259:L259"/>
    <mergeCell ref="G257:H257"/>
    <mergeCell ref="I257:J257"/>
    <mergeCell ref="K257:L257"/>
    <mergeCell ref="B255:E255"/>
    <mergeCell ref="G255:H255"/>
    <mergeCell ref="I255:J255"/>
    <mergeCell ref="K255:L255"/>
    <mergeCell ref="B256:E256"/>
    <mergeCell ref="G256:H256"/>
    <mergeCell ref="I256:J256"/>
    <mergeCell ref="K256:L256"/>
    <mergeCell ref="G237:H237"/>
    <mergeCell ref="I237:J237"/>
    <mergeCell ref="K237:L237"/>
    <mergeCell ref="B238:E238"/>
    <mergeCell ref="G238:H238"/>
    <mergeCell ref="I238:J238"/>
    <mergeCell ref="K238:L238"/>
    <mergeCell ref="K233:L234"/>
    <mergeCell ref="L229:L231"/>
    <mergeCell ref="M229:M231"/>
    <mergeCell ref="N229:N231"/>
    <mergeCell ref="B226:E226"/>
    <mergeCell ref="G226:H226"/>
    <mergeCell ref="I226:J226"/>
    <mergeCell ref="K226:L226"/>
    <mergeCell ref="G223:H223"/>
    <mergeCell ref="I223:J223"/>
    <mergeCell ref="K223:L223"/>
    <mergeCell ref="B223:E223"/>
    <mergeCell ref="B224:E224"/>
    <mergeCell ref="G224:H224"/>
    <mergeCell ref="I224:J224"/>
    <mergeCell ref="K224:L224"/>
    <mergeCell ref="B225:E225"/>
    <mergeCell ref="G225:H225"/>
    <mergeCell ref="I225:J225"/>
    <mergeCell ref="K225:L225"/>
    <mergeCell ref="A155:A156"/>
    <mergeCell ref="I149:I151"/>
    <mergeCell ref="J149:J151"/>
    <mergeCell ref="K149:K151"/>
    <mergeCell ref="L149:L151"/>
    <mergeCell ref="B147:E147"/>
    <mergeCell ref="G147:H147"/>
    <mergeCell ref="I147:J147"/>
    <mergeCell ref="K147:L147"/>
    <mergeCell ref="G148:H148"/>
    <mergeCell ref="I148:J148"/>
    <mergeCell ref="K148:L148"/>
    <mergeCell ref="B144:E144"/>
    <mergeCell ref="L133:L135"/>
    <mergeCell ref="B131:E131"/>
    <mergeCell ref="G131:H131"/>
    <mergeCell ref="I131:J131"/>
    <mergeCell ref="K131:L131"/>
    <mergeCell ref="G132:H132"/>
    <mergeCell ref="I132:J132"/>
    <mergeCell ref="K132:L132"/>
    <mergeCell ref="A132:E132"/>
    <mergeCell ref="A133:A135"/>
    <mergeCell ref="B133:C135"/>
    <mergeCell ref="D133:D135"/>
    <mergeCell ref="E133:F135"/>
    <mergeCell ref="G133:G135"/>
    <mergeCell ref="H133:H135"/>
    <mergeCell ref="I133:I135"/>
    <mergeCell ref="J133:J135"/>
    <mergeCell ref="K133:K135"/>
    <mergeCell ref="G144:H144"/>
    <mergeCell ref="B130:E130"/>
    <mergeCell ref="G130:H130"/>
    <mergeCell ref="I130:J130"/>
    <mergeCell ref="K130:L130"/>
    <mergeCell ref="B129:E129"/>
    <mergeCell ref="G129:H129"/>
    <mergeCell ref="I129:J129"/>
    <mergeCell ref="K129:L129"/>
    <mergeCell ref="A123:A124"/>
    <mergeCell ref="I117:I119"/>
    <mergeCell ref="J117:J119"/>
    <mergeCell ref="K117:K119"/>
    <mergeCell ref="L117:L119"/>
    <mergeCell ref="B115:E115"/>
    <mergeCell ref="G115:H115"/>
    <mergeCell ref="I115:J115"/>
    <mergeCell ref="K115:L115"/>
    <mergeCell ref="G116:H116"/>
    <mergeCell ref="I116:J116"/>
    <mergeCell ref="K116:L116"/>
    <mergeCell ref="B127:E127"/>
    <mergeCell ref="G127:H127"/>
    <mergeCell ref="I127:J127"/>
    <mergeCell ref="K127:L127"/>
    <mergeCell ref="B128:E128"/>
    <mergeCell ref="G128:H128"/>
    <mergeCell ref="I128:J128"/>
    <mergeCell ref="K128:L128"/>
    <mergeCell ref="B99:E99"/>
    <mergeCell ref="G99:H99"/>
    <mergeCell ref="I99:J99"/>
    <mergeCell ref="K99:L99"/>
    <mergeCell ref="G100:H100"/>
    <mergeCell ref="I100:J100"/>
    <mergeCell ref="K100:L100"/>
    <mergeCell ref="A100:E100"/>
    <mergeCell ref="B97:E97"/>
    <mergeCell ref="G97:H97"/>
    <mergeCell ref="I97:J97"/>
    <mergeCell ref="K97:L97"/>
    <mergeCell ref="B98:E98"/>
    <mergeCell ref="G98:H98"/>
    <mergeCell ref="I98:J98"/>
    <mergeCell ref="K98:L98"/>
    <mergeCell ref="B96:E96"/>
    <mergeCell ref="G96:H96"/>
    <mergeCell ref="I96:J96"/>
    <mergeCell ref="K96:L96"/>
    <mergeCell ref="B94:E94"/>
    <mergeCell ref="G94:H94"/>
    <mergeCell ref="I94:J94"/>
    <mergeCell ref="K94:L94"/>
    <mergeCell ref="B95:E95"/>
    <mergeCell ref="G95:H95"/>
    <mergeCell ref="I95:J95"/>
    <mergeCell ref="K95:L95"/>
    <mergeCell ref="K89:L90"/>
    <mergeCell ref="M89:N90"/>
    <mergeCell ref="I85:I87"/>
    <mergeCell ref="J85:J87"/>
    <mergeCell ref="B83:E83"/>
    <mergeCell ref="G83:H83"/>
    <mergeCell ref="I83:J83"/>
    <mergeCell ref="K83:L83"/>
    <mergeCell ref="G84:H84"/>
    <mergeCell ref="I84:J84"/>
    <mergeCell ref="K84:L84"/>
    <mergeCell ref="A84:E84"/>
    <mergeCell ref="M84:N84"/>
    <mergeCell ref="A85:A87"/>
    <mergeCell ref="B85:C87"/>
    <mergeCell ref="D85:D87"/>
    <mergeCell ref="E85:F87"/>
    <mergeCell ref="G85:G87"/>
    <mergeCell ref="H85:H87"/>
    <mergeCell ref="G79:H79"/>
    <mergeCell ref="I79:J79"/>
    <mergeCell ref="K79:L79"/>
    <mergeCell ref="B80:E80"/>
    <mergeCell ref="G80:H80"/>
    <mergeCell ref="I80:J80"/>
    <mergeCell ref="K80:L80"/>
    <mergeCell ref="B75:E76"/>
    <mergeCell ref="A75:A76"/>
    <mergeCell ref="G75:H76"/>
    <mergeCell ref="I75:J76"/>
    <mergeCell ref="K75:L76"/>
    <mergeCell ref="L69:L71"/>
    <mergeCell ref="B67:E67"/>
    <mergeCell ref="G67:H67"/>
    <mergeCell ref="I67:J67"/>
    <mergeCell ref="K67:L67"/>
    <mergeCell ref="G68:H68"/>
    <mergeCell ref="I68:J68"/>
    <mergeCell ref="K68:L68"/>
    <mergeCell ref="A68:E68"/>
    <mergeCell ref="A73:A74"/>
    <mergeCell ref="K66:L66"/>
    <mergeCell ref="B63:E63"/>
    <mergeCell ref="G63:H63"/>
    <mergeCell ref="I63:J63"/>
    <mergeCell ref="K63:L63"/>
    <mergeCell ref="B64:E64"/>
    <mergeCell ref="G64:H64"/>
    <mergeCell ref="I64:J64"/>
    <mergeCell ref="K64:L64"/>
    <mergeCell ref="B62:E62"/>
    <mergeCell ref="G62:H62"/>
    <mergeCell ref="I62:J62"/>
    <mergeCell ref="K62:L62"/>
    <mergeCell ref="B59:E60"/>
    <mergeCell ref="F59:F60"/>
    <mergeCell ref="G59:H60"/>
    <mergeCell ref="I59:J60"/>
    <mergeCell ref="A59:A60"/>
    <mergeCell ref="K59:L60"/>
    <mergeCell ref="L53:L55"/>
    <mergeCell ref="M53:M55"/>
    <mergeCell ref="B51:E51"/>
    <mergeCell ref="G51:H51"/>
    <mergeCell ref="I51:J51"/>
    <mergeCell ref="K51:L51"/>
    <mergeCell ref="G52:H52"/>
    <mergeCell ref="I52:J52"/>
    <mergeCell ref="K52:L52"/>
    <mergeCell ref="A52:E52"/>
    <mergeCell ref="B49:E49"/>
    <mergeCell ref="G49:H49"/>
    <mergeCell ref="I49:J49"/>
    <mergeCell ref="K49:L49"/>
    <mergeCell ref="B50:E50"/>
    <mergeCell ref="G50:H50"/>
    <mergeCell ref="I50:J50"/>
    <mergeCell ref="K50:L50"/>
    <mergeCell ref="M52:N52"/>
    <mergeCell ref="A53:A55"/>
    <mergeCell ref="B53:C55"/>
    <mergeCell ref="D53:D55"/>
    <mergeCell ref="E53:F55"/>
    <mergeCell ref="G53:G55"/>
    <mergeCell ref="H53:H55"/>
    <mergeCell ref="I53:I55"/>
    <mergeCell ref="J53:J55"/>
    <mergeCell ref="K53:K55"/>
    <mergeCell ref="A57:A58"/>
    <mergeCell ref="B57:C58"/>
    <mergeCell ref="K46:L46"/>
    <mergeCell ref="M41:N42"/>
    <mergeCell ref="A43:A44"/>
    <mergeCell ref="B43:E44"/>
    <mergeCell ref="F43:F44"/>
    <mergeCell ref="G43:H44"/>
    <mergeCell ref="I43:J44"/>
    <mergeCell ref="K43:L44"/>
    <mergeCell ref="M43:M44"/>
    <mergeCell ref="N43:N44"/>
    <mergeCell ref="L37:L39"/>
    <mergeCell ref="M37:M39"/>
    <mergeCell ref="N37:N39"/>
    <mergeCell ref="M36:N36"/>
    <mergeCell ref="A37:A39"/>
    <mergeCell ref="B37:C39"/>
    <mergeCell ref="D37:D39"/>
    <mergeCell ref="E37:F39"/>
    <mergeCell ref="G37:G39"/>
    <mergeCell ref="H37:H39"/>
    <mergeCell ref="I37:I39"/>
    <mergeCell ref="J37:J39"/>
    <mergeCell ref="K37:K39"/>
    <mergeCell ref="A41:A42"/>
    <mergeCell ref="B41:C42"/>
    <mergeCell ref="D41:D42"/>
    <mergeCell ref="E41:F42"/>
    <mergeCell ref="G41:H42"/>
    <mergeCell ref="I41:J42"/>
    <mergeCell ref="K41:L42"/>
    <mergeCell ref="B35:E35"/>
    <mergeCell ref="G35:H35"/>
    <mergeCell ref="I35:J35"/>
    <mergeCell ref="K35:L35"/>
    <mergeCell ref="A36:E36"/>
    <mergeCell ref="G36:H36"/>
    <mergeCell ref="I36:J36"/>
    <mergeCell ref="K36:L36"/>
    <mergeCell ref="B34:E34"/>
    <mergeCell ref="G34:H34"/>
    <mergeCell ref="I34:J34"/>
    <mergeCell ref="K34:L34"/>
    <mergeCell ref="B32:E32"/>
    <mergeCell ref="G32:H32"/>
    <mergeCell ref="I32:J32"/>
    <mergeCell ref="K32:L32"/>
    <mergeCell ref="B33:E33"/>
    <mergeCell ref="G33:H33"/>
    <mergeCell ref="I33:J33"/>
    <mergeCell ref="K33:L33"/>
    <mergeCell ref="B30:E30"/>
    <mergeCell ref="G30:H30"/>
    <mergeCell ref="I30:J30"/>
    <mergeCell ref="K30:L30"/>
    <mergeCell ref="B31:E31"/>
    <mergeCell ref="G31:H31"/>
    <mergeCell ref="I31:J31"/>
    <mergeCell ref="K31:L31"/>
    <mergeCell ref="M27:M28"/>
    <mergeCell ref="N27:N28"/>
    <mergeCell ref="B29:E29"/>
    <mergeCell ref="G29:H29"/>
    <mergeCell ref="I29:J29"/>
    <mergeCell ref="K29:L29"/>
    <mergeCell ref="A27:A28"/>
    <mergeCell ref="B27:E28"/>
    <mergeCell ref="F27:F28"/>
    <mergeCell ref="G27:H28"/>
    <mergeCell ref="I27:J28"/>
    <mergeCell ref="K27:L28"/>
    <mergeCell ref="N21:N23"/>
    <mergeCell ref="A25:A26"/>
    <mergeCell ref="B25:C26"/>
    <mergeCell ref="D25:D26"/>
    <mergeCell ref="E25:F26"/>
    <mergeCell ref="G25:H26"/>
    <mergeCell ref="I25:J26"/>
    <mergeCell ref="K25:L26"/>
    <mergeCell ref="M25:N26"/>
    <mergeCell ref="H21:H23"/>
    <mergeCell ref="I21:I23"/>
    <mergeCell ref="J21:J23"/>
    <mergeCell ref="K21:K23"/>
    <mergeCell ref="L21:L23"/>
    <mergeCell ref="M21:M23"/>
    <mergeCell ref="A20:E20"/>
    <mergeCell ref="G20:H20"/>
    <mergeCell ref="I20:J20"/>
    <mergeCell ref="K20:L20"/>
    <mergeCell ref="M20:N20"/>
    <mergeCell ref="A21:A23"/>
    <mergeCell ref="B21:C23"/>
    <mergeCell ref="D21:D23"/>
    <mergeCell ref="E21:F23"/>
    <mergeCell ref="G21:G23"/>
    <mergeCell ref="B19:E19"/>
    <mergeCell ref="G19:H19"/>
    <mergeCell ref="I19:J19"/>
    <mergeCell ref="K19:L19"/>
    <mergeCell ref="B17:E17"/>
    <mergeCell ref="G17:H17"/>
    <mergeCell ref="I17:J17"/>
    <mergeCell ref="K17:L17"/>
    <mergeCell ref="B18:E18"/>
    <mergeCell ref="G18:H18"/>
    <mergeCell ref="I18:J18"/>
    <mergeCell ref="K18:L18"/>
    <mergeCell ref="B15:E15"/>
    <mergeCell ref="G15:H15"/>
    <mergeCell ref="I15:J15"/>
    <mergeCell ref="K15:L15"/>
    <mergeCell ref="B16:E16"/>
    <mergeCell ref="G16:H16"/>
    <mergeCell ref="I16:J16"/>
    <mergeCell ref="K16:L16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</mergeCells>
  <pageMargins left="0.70866141732283472" right="0.70866141732283472" top="0.35433070866141736" bottom="0.35433070866141736" header="0.11811023622047245" footer="0.31496062992125984"/>
  <pageSetup paperSize="8" orientation="portrait" horizontalDpi="4294967293" verticalDpi="300" r:id="rId1"/>
  <headerFooter>
    <oddFooter xml:space="preserve">&amp;L&amp;"Times New Roman,Bold"&amp;10Prepared by                        Checked by
Date:14.03.2024&amp;C&amp;"Times New Roman,Bold"&amp;10Controller(GBPIET)
&amp;R&amp;"Times New Roman,Bold"&amp;10
Director (GBPIET)                        Contoller(UTU)               
</oddFooter>
  </headerFooter>
  <rowBreaks count="7" manualBreakCount="7">
    <brk id="87" max="16383" man="1"/>
    <brk id="167" max="16383" man="1"/>
    <brk id="247" max="16383" man="1"/>
    <brk id="327" max="16383" man="1"/>
    <brk id="407" max="16383" man="1"/>
    <brk id="487" max="16383" man="1"/>
    <brk id="567" max="16383" man="1"/>
  </rowBreaks>
  <colBreaks count="1" manualBreakCount="1">
    <brk id="14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D74E-F0CC-420B-842F-AD2CA288B55B}">
  <dimension ref="A1:M2767"/>
  <sheetViews>
    <sheetView topLeftCell="A218" workbookViewId="0">
      <selection activeCell="M69" sqref="M69"/>
    </sheetView>
  </sheetViews>
  <sheetFormatPr baseColWidth="10" defaultColWidth="9.33203125" defaultRowHeight="10.5" customHeight="1" x14ac:dyDescent="0.2"/>
  <cols>
    <col min="1" max="16384" width="9.33203125" style="12"/>
  </cols>
  <sheetData>
    <row r="1" spans="1:10" ht="10.5" customHeight="1" x14ac:dyDescent="0.2">
      <c r="A1" s="51" t="s">
        <v>19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10.5" customHeight="1" x14ac:dyDescent="0.2">
      <c r="A2" s="67" t="s">
        <v>20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ht="10.5" customHeight="1" x14ac:dyDescent="0.2">
      <c r="A3" s="67"/>
      <c r="B3" s="67"/>
      <c r="C3" s="67"/>
      <c r="D3" s="67"/>
      <c r="E3" s="67"/>
      <c r="F3" s="67"/>
      <c r="G3" s="67"/>
      <c r="H3" s="67"/>
      <c r="I3" s="67"/>
      <c r="J3" s="67"/>
    </row>
    <row r="4" spans="1:10" ht="10.5" customHeight="1" x14ac:dyDescent="0.2">
      <c r="A4" s="68" t="s">
        <v>21</v>
      </c>
      <c r="B4" s="68"/>
      <c r="C4" s="68"/>
      <c r="D4" s="68"/>
      <c r="E4" s="68"/>
      <c r="F4" s="68"/>
      <c r="G4" s="68"/>
      <c r="H4" s="68"/>
      <c r="I4" s="68"/>
      <c r="J4" s="68"/>
    </row>
    <row r="5" spans="1:10" ht="10.5" customHeight="1" x14ac:dyDescent="0.2">
      <c r="B5" s="69" t="s">
        <v>134</v>
      </c>
      <c r="C5" s="69"/>
      <c r="D5" s="69"/>
      <c r="E5" s="69"/>
      <c r="F5" s="69"/>
      <c r="G5" s="69"/>
      <c r="H5" s="69"/>
      <c r="I5" s="69"/>
    </row>
    <row r="6" spans="1:10" ht="10.5" customHeight="1" x14ac:dyDescent="0.2">
      <c r="A6" s="28"/>
      <c r="B6" s="69"/>
      <c r="C6" s="69"/>
      <c r="D6" s="69"/>
      <c r="E6" s="69"/>
      <c r="F6" s="69"/>
      <c r="G6" s="69"/>
      <c r="H6" s="69"/>
      <c r="I6" s="69"/>
      <c r="J6" s="28"/>
    </row>
    <row r="7" spans="1:10" ht="10.5" customHeight="1" x14ac:dyDescent="0.2">
      <c r="A7" s="28"/>
      <c r="B7" s="70" t="s">
        <v>147</v>
      </c>
      <c r="C7" s="70"/>
      <c r="D7" s="70"/>
      <c r="E7" s="70"/>
      <c r="F7" s="70"/>
      <c r="G7" s="70"/>
      <c r="H7" s="70"/>
      <c r="I7" s="70"/>
      <c r="J7" s="28"/>
    </row>
    <row r="8" spans="1:10" ht="10.5" customHeight="1" x14ac:dyDescent="0.2">
      <c r="B8" s="23"/>
      <c r="C8" s="23"/>
      <c r="D8" s="23"/>
      <c r="E8" s="23"/>
      <c r="F8" s="23"/>
      <c r="G8" s="23"/>
      <c r="H8" s="23"/>
      <c r="I8" s="23"/>
    </row>
    <row r="9" spans="1:10" ht="10.5" customHeight="1" x14ac:dyDescent="0.2">
      <c r="A9" s="56" t="s">
        <v>24</v>
      </c>
      <c r="B9" s="56"/>
      <c r="C9" s="56" t="str">
        <f ca="1">INDIRECT(_xlfn.TEXTJOIN("",TRUE,A11,"!",ADDRESS(9+(A12-1)*J11,2)))</f>
        <v>ABHISHEK RAWAT</v>
      </c>
      <c r="D9" s="56"/>
      <c r="E9" s="56"/>
      <c r="F9" s="56" t="s">
        <v>135</v>
      </c>
      <c r="G9" s="56"/>
      <c r="H9" s="62">
        <f ca="1">INDIRECT(_xlfn.TEXTJOIN("",TRUE,A11,"!",ADDRESS(9+(A12-1)*J11,9)))</f>
        <v>250090600001</v>
      </c>
      <c r="I9" s="56"/>
      <c r="J9" s="56"/>
    </row>
    <row r="10" spans="1:10" ht="10.5" customHeight="1" x14ac:dyDescent="0.2">
      <c r="A10" s="56" t="s">
        <v>25</v>
      </c>
      <c r="B10" s="56"/>
      <c r="C10" s="56" t="str">
        <f ca="1">INDIRECT(_xlfn.TEXTJOIN("",TRUE,A11,"!",ADDRESS(9+(A12-1)*J11,5)))</f>
        <v>RAMESH RAWAT</v>
      </c>
      <c r="D10" s="56"/>
      <c r="E10" s="56"/>
      <c r="F10" s="47" t="s">
        <v>136</v>
      </c>
      <c r="G10" s="47"/>
      <c r="H10" s="62" t="str">
        <f ca="1">INDIRECT(_xlfn.TEXTJOIN("",TRUE,A11,"!",ADDRESS(9+(A12-1)*J11,13)))</f>
        <v>UTU/2506100119</v>
      </c>
      <c r="I10" s="56"/>
      <c r="J10" s="56"/>
    </row>
    <row r="11" spans="1:10" ht="10.5" customHeight="1" x14ac:dyDescent="0.2">
      <c r="A11" s="24" t="s">
        <v>53</v>
      </c>
      <c r="B11" s="43" t="s">
        <v>148</v>
      </c>
      <c r="C11" s="43"/>
      <c r="D11" s="43"/>
      <c r="E11" s="43"/>
      <c r="F11" s="43"/>
      <c r="G11" s="43"/>
      <c r="H11" s="43"/>
      <c r="I11" s="43"/>
      <c r="J11" s="24">
        <f>ROWS(A15:B28)+9</f>
        <v>23</v>
      </c>
    </row>
    <row r="12" spans="1:10" ht="10.5" customHeight="1" x14ac:dyDescent="0.2">
      <c r="A12" s="24">
        <v>1</v>
      </c>
      <c r="B12" s="63"/>
      <c r="C12" s="63"/>
      <c r="D12" s="63"/>
      <c r="E12" s="63"/>
      <c r="F12" s="63"/>
      <c r="G12" s="63"/>
      <c r="H12" s="63"/>
      <c r="I12" s="63"/>
      <c r="J12" s="29"/>
    </row>
    <row r="13" spans="1:10" ht="10.5" customHeight="1" x14ac:dyDescent="0.2">
      <c r="A13" s="64" t="s">
        <v>28</v>
      </c>
      <c r="B13" s="64"/>
      <c r="C13" s="64" t="s">
        <v>29</v>
      </c>
      <c r="D13" s="64"/>
      <c r="E13" s="64"/>
      <c r="F13" s="64"/>
      <c r="G13" s="64"/>
      <c r="H13" s="64" t="s">
        <v>30</v>
      </c>
      <c r="I13" s="64" t="s">
        <v>9</v>
      </c>
      <c r="J13" s="64" t="s">
        <v>34</v>
      </c>
    </row>
    <row r="14" spans="1:10" ht="14.5" customHeight="1" x14ac:dyDescent="0.2">
      <c r="A14" s="64"/>
      <c r="B14" s="64"/>
      <c r="C14" s="64"/>
      <c r="D14" s="64"/>
      <c r="E14" s="64"/>
      <c r="F14" s="64"/>
      <c r="G14" s="64"/>
      <c r="H14" s="64"/>
      <c r="I14" s="64"/>
      <c r="J14" s="64"/>
    </row>
    <row r="15" spans="1:10" ht="10.5" customHeight="1" x14ac:dyDescent="0.2">
      <c r="A15" s="65" t="str">
        <f ca="1">INDIRECT(_xlfn.TEXTJOIN("",TRUE,A11,"!",ADDRESS(13+(A12-1)*J11,1)))</f>
        <v>CAT 004</v>
      </c>
      <c r="B15" s="65"/>
      <c r="C15" s="66" t="str">
        <f ca="1">INDIRECT(_xlfn.TEXTJOIN("",TRUE,A11,"!",ADDRESS(13+(A12-1)*J11,2)))</f>
        <v>Discrete Structure</v>
      </c>
      <c r="D15" s="66"/>
      <c r="E15" s="66"/>
      <c r="F15" s="66"/>
      <c r="G15" s="66"/>
      <c r="H15" s="25">
        <f ca="1">INDIRECT(_xlfn.TEXTJOIN("",TRUE,A11,"!",ADDRESS(13+(A12-1)*J11,6)))</f>
        <v>4</v>
      </c>
      <c r="I15" s="25" t="str">
        <f ca="1">INDIRECT(_xlfn.TEXTJOIN("",TRUE,A11,"!",ADDRESS(13+(A12-1)*J11,13)))</f>
        <v>C+</v>
      </c>
      <c r="J15" s="25">
        <f ca="1">INDIRECT(_xlfn.TEXTJOIN("",TRUE,A11,"!",ADDRESS(13+(A12-1)*J11,14)))</f>
        <v>7.5</v>
      </c>
    </row>
    <row r="16" spans="1:10" ht="10.5" customHeight="1" x14ac:dyDescent="0.2">
      <c r="A16" s="65" t="str">
        <f ca="1">INDIRECT(_xlfn.TEXTJOIN("",TRUE,A11,"!",ADDRESS(14+(A12-1)*J11,1)))</f>
        <v>CAT 005</v>
      </c>
      <c r="B16" s="65"/>
      <c r="C16" s="66" t="str">
        <f ca="1">INDIRECT(_xlfn.TEXTJOIN("",TRUE,A11,"!",ADDRESS(14+(A12-1)*J11,2)))</f>
        <v>Database Management System</v>
      </c>
      <c r="D16" s="66"/>
      <c r="E16" s="66"/>
      <c r="F16" s="66"/>
      <c r="G16" s="66"/>
      <c r="H16" s="25">
        <f ca="1">INDIRECT(_xlfn.TEXTJOIN("",TRUE,A11,"!",ADDRESS(14+(A12-1)*J11,6)))</f>
        <v>4</v>
      </c>
      <c r="I16" s="25" t="str">
        <f ca="1">INDIRECT(_xlfn.TEXTJOIN("",TRUE,A11,"!",ADDRESS(14+(A12-1)*J11,13)))</f>
        <v>D+</v>
      </c>
      <c r="J16" s="25">
        <f ca="1">INDIRECT(_xlfn.TEXTJOIN("",TRUE,A11,"!",ADDRESS(14+(A12-1)*J11,14)))</f>
        <v>6.5</v>
      </c>
    </row>
    <row r="17" spans="1:10" ht="10.5" customHeight="1" x14ac:dyDescent="0.2">
      <c r="A17" s="65" t="str">
        <f ca="1">INDIRECT(_xlfn.TEXTJOIN("",TRUE,A11,"!",ADDRESS(15+(A12-1)*J11,1)))</f>
        <v>CAT 006</v>
      </c>
      <c r="B17" s="65"/>
      <c r="C17" s="66" t="str">
        <f ca="1">INDIRECT(_xlfn.TEXTJOIN("",TRUE,A11,"!",ADDRESS(15+(A12-1)*J11,2)))</f>
        <v>Operating System</v>
      </c>
      <c r="D17" s="66"/>
      <c r="E17" s="66"/>
      <c r="F17" s="66"/>
      <c r="G17" s="66"/>
      <c r="H17" s="25">
        <f ca="1">INDIRECT(_xlfn.TEXTJOIN("",TRUE,A11,"!",ADDRESS(15+(A12-1)*J11,6)))</f>
        <v>4</v>
      </c>
      <c r="I17" s="25" t="str">
        <f ca="1">INDIRECT(_xlfn.TEXTJOIN("",TRUE,A11,"!",ADDRESS(15+(A12-1)*J11,13)))</f>
        <v>C</v>
      </c>
      <c r="J17" s="25">
        <f ca="1">INDIRECT(_xlfn.TEXTJOIN("",TRUE,A11,"!",ADDRESS(15+(A12-1)*J11,14)))</f>
        <v>7</v>
      </c>
    </row>
    <row r="18" spans="1:10" ht="10.5" customHeight="1" x14ac:dyDescent="0.2">
      <c r="A18" s="65" t="str">
        <f ca="1">INDIRECT(_xlfn.TEXTJOIN("",TRUE,A11,"!",ADDRESS(16+(A12-1)*J11,1)))</f>
        <v>CAT 007</v>
      </c>
      <c r="B18" s="65"/>
      <c r="C18" s="66" t="str">
        <f ca="1">INDIRECT(_xlfn.TEXTJOIN("",TRUE,A11,"!",ADDRESS(16+(A12-1)*J11,2)))</f>
        <v>Computer Organization</v>
      </c>
      <c r="D18" s="66"/>
      <c r="E18" s="66"/>
      <c r="F18" s="66"/>
      <c r="G18" s="66"/>
      <c r="H18" s="25">
        <f ca="1">INDIRECT(_xlfn.TEXTJOIN("",TRUE,A11,"!",ADDRESS(16+(A12-1)*J11,6)))</f>
        <v>4</v>
      </c>
      <c r="I18" s="25" t="str">
        <f ca="1">INDIRECT(_xlfn.TEXTJOIN("",TRUE,A11,"!",ADDRESS(16+(A12-1)*J11,13)))</f>
        <v>E+</v>
      </c>
      <c r="J18" s="25">
        <f ca="1">INDIRECT(_xlfn.TEXTJOIN("",TRUE,A11,"!",ADDRESS(16+(A12-1)*J11,14)))</f>
        <v>5.5</v>
      </c>
    </row>
    <row r="19" spans="1:10" ht="10.5" customHeight="1" x14ac:dyDescent="0.2">
      <c r="A19" s="65" t="str">
        <f ca="1">INDIRECT(_xlfn.TEXTJOIN("",TRUE,A11,"!",ADDRESS(17+(A12-1)*J11,1)))</f>
        <v>AHT 303</v>
      </c>
      <c r="B19" s="65"/>
      <c r="C19" s="66" t="str">
        <f ca="1">INDIRECT(_xlfn.TEXTJOIN("",TRUE,A11,"!",ADDRESS(17+(A12-1)*J11,2)))</f>
        <v>Technical Communication Skills</v>
      </c>
      <c r="D19" s="66"/>
      <c r="E19" s="66"/>
      <c r="F19" s="66"/>
      <c r="G19" s="66"/>
      <c r="H19" s="25">
        <f ca="1">INDIRECT(_xlfn.TEXTJOIN("",TRUE,A11,"!",ADDRESS(17+(A12-1)*J11,6)))</f>
        <v>4</v>
      </c>
      <c r="I19" s="25" t="str">
        <f ca="1">INDIRECT(_xlfn.TEXTJOIN("",TRUE,A11,"!",ADDRESS(17+(A12-1)*J11,13)))</f>
        <v>C</v>
      </c>
      <c r="J19" s="25">
        <f ca="1">INDIRECT(_xlfn.TEXTJOIN("",TRUE,A11,"!",ADDRESS(17+(A12-1)*J11,14)))</f>
        <v>7</v>
      </c>
    </row>
    <row r="20" spans="1:10" ht="10.5" customHeight="1" x14ac:dyDescent="0.2">
      <c r="A20" s="65" t="str">
        <f ca="1">INDIRECT(_xlfn.TEXTJOIN("",TRUE,A11,"!",ADDRESS(18+(A12-1)*J11,1)))</f>
        <v>CAT 008</v>
      </c>
      <c r="B20" s="65"/>
      <c r="C20" s="66" t="str">
        <f ca="1">INDIRECT(_xlfn.TEXTJOIN("",TRUE,A11,"!",ADDRESS(18+(A12-1)*J11,2)))</f>
        <v>Python Programming ($)</v>
      </c>
      <c r="D20" s="66"/>
      <c r="E20" s="66"/>
      <c r="F20" s="66"/>
      <c r="G20" s="66"/>
      <c r="H20" s="25">
        <f ca="1">INDIRECT(_xlfn.TEXTJOIN("",TRUE,A11,"!",ADDRESS(18+(A12-1)*J11,6)))</f>
        <v>0</v>
      </c>
      <c r="I20" s="25" t="str">
        <f ca="1">INDIRECT(_xlfn.TEXTJOIN("",TRUE,A11,"!",ADDRESS(18+(A12-1)*J11,13)))</f>
        <v>D+</v>
      </c>
      <c r="J20" s="25">
        <f ca="1">INDIRECT(_xlfn.TEXTJOIN("",TRUE,A11,"!",ADDRESS(18+(A12-1)*J11,14)))</f>
        <v>6.5</v>
      </c>
    </row>
    <row r="21" spans="1:10" ht="10.5" customHeight="1" x14ac:dyDescent="0.2">
      <c r="A21" s="60" t="str">
        <f ca="1">INDIRECT(_xlfn.TEXTJOIN("",TRUE,A11,"!",ADDRESS(19+(A12-1)*J11,1)))</f>
        <v>CAT 001</v>
      </c>
      <c r="B21" s="61"/>
      <c r="C21" s="57" t="str">
        <f ca="1">INDIRECT(_xlfn.TEXTJOIN("",TRUE,A11,"!",ADDRESS(19+(A12-1)*J11,2)))</f>
        <v>Introduction of Information Technology ($)</v>
      </c>
      <c r="D21" s="58"/>
      <c r="E21" s="58"/>
      <c r="F21" s="58"/>
      <c r="G21" s="59"/>
      <c r="H21" s="25">
        <f ca="1">INDIRECT(_xlfn.TEXTJOIN("",TRUE,A11,"!",ADDRESS(19+(A12-1)*J11,6)))</f>
        <v>0</v>
      </c>
      <c r="I21" s="25" t="str">
        <f ca="1">INDIRECT(_xlfn.TEXTJOIN("",TRUE,A11,"!",ADDRESS(19+(A12-1)*J11,13)))</f>
        <v>A+</v>
      </c>
      <c r="J21" s="25">
        <f ca="1">INDIRECT(_xlfn.TEXTJOIN("",TRUE,A11,"!",ADDRESS(19+(A12-1)*J11,14)))</f>
        <v>9.5</v>
      </c>
    </row>
    <row r="22" spans="1:10" ht="10.5" customHeight="1" x14ac:dyDescent="0.2">
      <c r="A22" s="60" t="str">
        <f ca="1">INDIRECT(_xlfn.TEXTJOIN("",TRUE,A11,"!",ADDRESS(20+(A12-1)*J11,1)))</f>
        <v>CAT 002</v>
      </c>
      <c r="B22" s="61"/>
      <c r="C22" s="57" t="str">
        <f ca="1">INDIRECT(_xlfn.TEXTJOIN("",TRUE,A11,"!",ADDRESS(20+(A12-1)*J11,2)))</f>
        <v>Programming Fundamentals with "C" ($)</v>
      </c>
      <c r="D22" s="58"/>
      <c r="E22" s="58"/>
      <c r="F22" s="58"/>
      <c r="G22" s="59"/>
      <c r="H22" s="25">
        <f ca="1">INDIRECT(_xlfn.TEXTJOIN("",TRUE,A11,"!",ADDRESS(20+(A12-1)*J11,6)))</f>
        <v>0</v>
      </c>
      <c r="I22" s="25" t="str">
        <f ca="1">INDIRECT(_xlfn.TEXTJOIN("",TRUE,A11,"!",ADDRESS(20+(A12-1)*J11,13)))</f>
        <v>B+</v>
      </c>
      <c r="J22" s="25">
        <f ca="1">INDIRECT(_xlfn.TEXTJOIN("",TRUE,A11,"!",ADDRESS(20+(A12-1)*J11,14)))</f>
        <v>8.5</v>
      </c>
    </row>
    <row r="23" spans="1:10" ht="10.5" customHeight="1" x14ac:dyDescent="0.2">
      <c r="A23" s="60" t="str">
        <f ca="1">INDIRECT(_xlfn.TEXTJOIN("",TRUE,A11,"!",ADDRESS(21+(A12-1)*J11,1)))</f>
        <v>CAT 003</v>
      </c>
      <c r="B23" s="61"/>
      <c r="C23" s="57" t="str">
        <f ca="1">INDIRECT(_xlfn.TEXTJOIN("",TRUE,A11,"!",ADDRESS(21+(A12-1)*J11,2)))</f>
        <v>Fundamental of Web Technology ($)</v>
      </c>
      <c r="D23" s="58"/>
      <c r="E23" s="58"/>
      <c r="F23" s="58"/>
      <c r="G23" s="59"/>
      <c r="H23" s="25">
        <f ca="1">INDIRECT(_xlfn.TEXTJOIN("",TRUE,A11,"!",ADDRESS(21+(A12-1)*J11,6)))</f>
        <v>0</v>
      </c>
      <c r="I23" s="25" t="str">
        <f ca="1">INDIRECT(_xlfn.TEXTJOIN("",TRUE,A11,"!",ADDRESS(21+(A12-1)*J11,13)))</f>
        <v>A</v>
      </c>
      <c r="J23" s="25">
        <f ca="1">INDIRECT(_xlfn.TEXTJOIN("",TRUE,A11,"!",ADDRESS(21+(A12-1)*J11,14)))</f>
        <v>9</v>
      </c>
    </row>
    <row r="24" spans="1:10" ht="10.5" customHeight="1" x14ac:dyDescent="0.2">
      <c r="A24" s="65" t="str">
        <f ca="1">INDIRECT(_xlfn.TEXTJOIN("",TRUE,A11,"!",ADDRESS(22+(A12-1)*J11,1)))</f>
        <v>CAP 001</v>
      </c>
      <c r="B24" s="65"/>
      <c r="C24" s="66" t="str">
        <f ca="1">INDIRECT(_xlfn.TEXTJOIN("",TRUE,A11,"!",ADDRESS(22+(A12-1)*J11,2)))</f>
        <v>Database Management System Lab</v>
      </c>
      <c r="D24" s="66"/>
      <c r="E24" s="66"/>
      <c r="F24" s="66"/>
      <c r="G24" s="66"/>
      <c r="H24" s="25">
        <f ca="1">INDIRECT(_xlfn.TEXTJOIN("",TRUE,A11,"!",ADDRESS(22+(A12-1)*J11,6)))</f>
        <v>1</v>
      </c>
      <c r="I24" s="25" t="str">
        <f ca="1">INDIRECT(_xlfn.TEXTJOIN("",TRUE,A11,"!",ADDRESS(22+(A12-1)*J11,13)))</f>
        <v>B+</v>
      </c>
      <c r="J24" s="25">
        <f ca="1">INDIRECT(_xlfn.TEXTJOIN("",TRUE,A11,"!",ADDRESS(22+(A12-1)*J11,14)))</f>
        <v>8.5</v>
      </c>
    </row>
    <row r="25" spans="1:10" ht="10.5" customHeight="1" x14ac:dyDescent="0.2">
      <c r="A25" s="65" t="str">
        <f ca="1">INDIRECT(_xlfn.TEXTJOIN("",TRUE,A11,"!",ADDRESS(23+(A12-1)*J11,1)))</f>
        <v>CAP 002</v>
      </c>
      <c r="B25" s="65"/>
      <c r="C25" s="66" t="str">
        <f ca="1">INDIRECT(_xlfn.TEXTJOIN("",TRUE,A11,"!",ADDRESS(23+(A12-1)*J11,2)))</f>
        <v>Operating System Lab</v>
      </c>
      <c r="D25" s="66"/>
      <c r="E25" s="66"/>
      <c r="F25" s="66"/>
      <c r="G25" s="66"/>
      <c r="H25" s="25">
        <f ca="1">INDIRECT(_xlfn.TEXTJOIN("",TRUE,A11,"!",ADDRESS(23+(A12-1)*J11,6)))</f>
        <v>1</v>
      </c>
      <c r="I25" s="25" t="str">
        <f ca="1">INDIRECT(_xlfn.TEXTJOIN("",TRUE,A11,"!",ADDRESS(23+(A12-1)*J11,13)))</f>
        <v>A</v>
      </c>
      <c r="J25" s="25">
        <f ca="1">INDIRECT(_xlfn.TEXTJOIN("",TRUE,A11,"!",ADDRESS(23+(A12-1)*J11,14)))</f>
        <v>9</v>
      </c>
    </row>
    <row r="26" spans="1:10" ht="10.5" customHeight="1" x14ac:dyDescent="0.2">
      <c r="A26" s="65" t="str">
        <f ca="1">INDIRECT(_xlfn.TEXTJOIN("",TRUE,A11,"!",ADDRESS(24+(A12-1)*J11,1)))</f>
        <v>CAP 003</v>
      </c>
      <c r="B26" s="65"/>
      <c r="C26" s="66" t="str">
        <f ca="1">INDIRECT(_xlfn.TEXTJOIN("",TRUE,A11,"!",ADDRESS(24+(A12-1)*J11,2)))</f>
        <v>Computer Organization Lab</v>
      </c>
      <c r="D26" s="66"/>
      <c r="E26" s="66"/>
      <c r="F26" s="66"/>
      <c r="G26" s="66"/>
      <c r="H26" s="25">
        <f ca="1">INDIRECT(_xlfn.TEXTJOIN("",TRUE,A11,"!",ADDRESS(24+(A12-1)*J11,6)))</f>
        <v>1</v>
      </c>
      <c r="I26" s="25" t="str">
        <f ca="1">INDIRECT(_xlfn.TEXTJOIN("",TRUE,A11,"!",ADDRESS(24+(A12-1)*J11,13)))</f>
        <v>A</v>
      </c>
      <c r="J26" s="25">
        <f ca="1">INDIRECT(_xlfn.TEXTJOIN("",TRUE,A11,"!",ADDRESS(24+(A12-1)*J11,14)))</f>
        <v>9</v>
      </c>
    </row>
    <row r="27" spans="1:10" ht="10.5" customHeight="1" x14ac:dyDescent="0.2">
      <c r="A27" s="65" t="str">
        <f ca="1">INDIRECT(_xlfn.TEXTJOIN("",TRUE,A11,"!",ADDRESS(25+(A12-1)*J11,1)))</f>
        <v>AHP 303</v>
      </c>
      <c r="B27" s="65"/>
      <c r="C27" s="66" t="str">
        <f ca="1">INDIRECT(_xlfn.TEXTJOIN("",TRUE,A11,"!",ADDRESS(25+(A12-1)*J11,2)))</f>
        <v>Technical Communication Skills</v>
      </c>
      <c r="D27" s="66"/>
      <c r="E27" s="66"/>
      <c r="F27" s="66"/>
      <c r="G27" s="66"/>
      <c r="H27" s="25">
        <f ca="1">INDIRECT(_xlfn.TEXTJOIN("",TRUE,A11,"!",ADDRESS(25+(A12-1)*J11,6)))</f>
        <v>1</v>
      </c>
      <c r="I27" s="25" t="str">
        <f ca="1">INDIRECT(_xlfn.TEXTJOIN("",TRUE,A11,"!",ADDRESS(25+(A12-1)*J11,13)))</f>
        <v>B</v>
      </c>
      <c r="J27" s="25">
        <f ca="1">INDIRECT(_xlfn.TEXTJOIN("",TRUE,A11,"!",ADDRESS(25+(A12-1)*J11,14)))</f>
        <v>8</v>
      </c>
    </row>
    <row r="28" spans="1:10" s="35" customFormat="1" ht="10.5" customHeight="1" x14ac:dyDescent="0.2">
      <c r="A28" s="77">
        <f ca="1">INDIRECT(_xlfn.TEXTJOIN("",TRUE,A11,"!",ADDRESS(26+(A12-1)*J11,1)))</f>
        <v>0</v>
      </c>
      <c r="B28" s="77"/>
      <c r="C28" s="78">
        <f ca="1">INDIRECT(_xlfn.TEXTJOIN("",TRUE,A11,"!",ADDRESS(26+(A12-1)*J11,2)))</f>
        <v>0</v>
      </c>
      <c r="D28" s="78"/>
      <c r="E28" s="78"/>
      <c r="F28" s="78"/>
      <c r="G28" s="78"/>
      <c r="H28" s="34">
        <f ca="1">INDIRECT(_xlfn.TEXTJOIN("",TRUE,A11,"!",ADDRESS(26+(A12-1)*J11,6)))</f>
        <v>0</v>
      </c>
      <c r="I28" s="34" t="str">
        <f ca="1">INDIRECT(_xlfn.TEXTJOIN("",TRUE,A11,"!",ADDRESS(26+(A12-1)*J11,13)))</f>
        <v>Excellent</v>
      </c>
      <c r="J28" s="34">
        <f ca="1">INDIRECT(_xlfn.TEXTJOIN("",TRUE,A11,"!",ADDRESS(26+(A12-1)*J11,14)))</f>
        <v>0</v>
      </c>
    </row>
    <row r="29" spans="1:10" ht="10.5" customHeight="1" x14ac:dyDescent="0.2">
      <c r="A29" s="71" t="s">
        <v>52</v>
      </c>
      <c r="B29" s="71"/>
      <c r="C29" s="71"/>
      <c r="D29" s="71"/>
      <c r="E29" s="71"/>
      <c r="F29" s="71"/>
      <c r="G29" s="71"/>
      <c r="H29" s="27">
        <f ca="1">SUM(H15:H28)</f>
        <v>24</v>
      </c>
      <c r="I29" s="26" t="s">
        <v>44</v>
      </c>
      <c r="J29" s="27">
        <f ca="1">SUMPRODUCT(J15:J27,H15:H27)</f>
        <v>168.5</v>
      </c>
    </row>
    <row r="30" spans="1:10" ht="10.5" customHeight="1" x14ac:dyDescent="0.2">
      <c r="A30" s="24" t="s">
        <v>57</v>
      </c>
      <c r="B30" s="72" t="str">
        <f ca="1">IF(ISNA(A31),"","Semester II (Spring Semester 2022-23)")</f>
        <v/>
      </c>
      <c r="C30" s="72"/>
      <c r="D30" s="72"/>
      <c r="E30" s="72"/>
      <c r="F30" s="72"/>
      <c r="G30" s="72"/>
      <c r="H30" s="72"/>
      <c r="I30" s="72"/>
      <c r="J30" s="24">
        <f>ROWS(A34:B43)+9</f>
        <v>19</v>
      </c>
    </row>
    <row r="31" spans="1:10" ht="10.5" customHeight="1" x14ac:dyDescent="0.2">
      <c r="A31" s="24" t="e">
        <f ca="1">INDEX(SEM_II!$A$6:$A$45,Marksheets!J31)</f>
        <v>#N/A</v>
      </c>
      <c r="B31" s="63"/>
      <c r="C31" s="63"/>
      <c r="D31" s="63"/>
      <c r="E31" s="63"/>
      <c r="F31" s="63"/>
      <c r="G31" s="63"/>
      <c r="H31" s="63"/>
      <c r="I31" s="63"/>
      <c r="J31" s="24" t="e">
        <f ca="1">MATCH(H9,SEM_II!$B$6:$B$45,0)</f>
        <v>#N/A</v>
      </c>
    </row>
    <row r="32" spans="1:10" ht="10.5" customHeight="1" x14ac:dyDescent="0.2">
      <c r="A32" s="64" t="str">
        <f ca="1">IF(ISNA(A31),"","Subject Code")</f>
        <v/>
      </c>
      <c r="B32" s="64"/>
      <c r="C32" s="64" t="str">
        <f ca="1">IF(ISNA(A31),"","Subject Name")</f>
        <v/>
      </c>
      <c r="D32" s="64"/>
      <c r="E32" s="64"/>
      <c r="F32" s="64"/>
      <c r="G32" s="64"/>
      <c r="H32" s="64" t="str">
        <f ca="1">IF(ISNA(A31),"","Credits")</f>
        <v/>
      </c>
      <c r="I32" s="64" t="str">
        <f ca="1">IF(ISNA(A31),"","Grade")</f>
        <v/>
      </c>
      <c r="J32" s="64" t="str">
        <f ca="1">IF(ISNA(A31),"","Grade Points")</f>
        <v/>
      </c>
    </row>
    <row r="33" spans="1:10" ht="13.5" customHeight="1" x14ac:dyDescent="0.2">
      <c r="A33" s="64"/>
      <c r="B33" s="64"/>
      <c r="C33" s="64"/>
      <c r="D33" s="64"/>
      <c r="E33" s="64"/>
      <c r="F33" s="64"/>
      <c r="G33" s="64"/>
      <c r="H33" s="64"/>
      <c r="I33" s="64"/>
      <c r="J33" s="64"/>
    </row>
    <row r="34" spans="1:10" ht="10.5" customHeight="1" x14ac:dyDescent="0.2">
      <c r="A34" s="65" t="str">
        <f ca="1">_xlfn.IFNA(INDIRECT(_xlfn.TEXTJOIN("",TRUE,A30,"!",ADDRESS(13+(A31-1)*J30,1))),"")</f>
        <v/>
      </c>
      <c r="B34" s="65"/>
      <c r="C34" s="66" t="str">
        <f ca="1">_xlfn.IFNA(INDIRECT(_xlfn.TEXTJOIN("",TRUE,A30,"!",ADDRESS(13+(A31-1)*J30,2))),"")</f>
        <v/>
      </c>
      <c r="D34" s="66"/>
      <c r="E34" s="66"/>
      <c r="F34" s="66"/>
      <c r="G34" s="66"/>
      <c r="H34" s="25" t="str">
        <f ca="1">_xlfn.IFNA(INDIRECT(_xlfn.TEXTJOIN("",TRUE,A30,"!",ADDRESS(13+(A31-1)*J30,6))),"")</f>
        <v/>
      </c>
      <c r="I34" s="25" t="str">
        <f ca="1">_xlfn.IFNA(INDIRECT(_xlfn.TEXTJOIN("",TRUE,A30,"!",ADDRESS(13+(A31-1)*J30,13))),"")</f>
        <v/>
      </c>
      <c r="J34" s="25" t="str">
        <f ca="1">_xlfn.IFNA(INDIRECT(_xlfn.TEXTJOIN("",TRUE,A30,"!",ADDRESS(13+(A31-1)*J30,14))),"")</f>
        <v/>
      </c>
    </row>
    <row r="35" spans="1:10" ht="10.5" customHeight="1" x14ac:dyDescent="0.2">
      <c r="A35" s="65" t="str">
        <f ca="1">_xlfn.IFNA(INDIRECT(_xlfn.TEXTJOIN("",TRUE,A30,"!",ADDRESS(14+(A31-1)*J30,1))),"")</f>
        <v/>
      </c>
      <c r="B35" s="65"/>
      <c r="C35" s="66" t="str">
        <f ca="1">_xlfn.IFNA(INDIRECT(_xlfn.TEXTJOIN("",TRUE,A30,"!",ADDRESS(14+(A31-1)*J30,2))),"")</f>
        <v/>
      </c>
      <c r="D35" s="66"/>
      <c r="E35" s="66"/>
      <c r="F35" s="66"/>
      <c r="G35" s="66"/>
      <c r="H35" s="25" t="str">
        <f ca="1">_xlfn.IFNA(INDIRECT(_xlfn.TEXTJOIN("",TRUE,A30,"!",ADDRESS(14+(A31-1)*J30,6))),"")</f>
        <v/>
      </c>
      <c r="I35" s="25" t="str">
        <f ca="1">_xlfn.IFNA(INDIRECT(_xlfn.TEXTJOIN("",TRUE,A30,"!",ADDRESS(14+(A31-1)*J30,13))),"")</f>
        <v/>
      </c>
      <c r="J35" s="25" t="str">
        <f ca="1">_xlfn.IFNA(INDIRECT(_xlfn.TEXTJOIN("",TRUE,A30,"!",ADDRESS(14+(A31-1)*J30,14))),"")</f>
        <v/>
      </c>
    </row>
    <row r="36" spans="1:10" ht="10.5" customHeight="1" x14ac:dyDescent="0.2">
      <c r="A36" s="65" t="str">
        <f ca="1">_xlfn.IFNA(INDIRECT(_xlfn.TEXTJOIN("",TRUE,A30,"!",ADDRESS(15+(A31-1)*J30,1))),"")</f>
        <v/>
      </c>
      <c r="B36" s="65"/>
      <c r="C36" s="66" t="str">
        <f ca="1">_xlfn.IFNA(INDIRECT(_xlfn.TEXTJOIN("",TRUE,A30,"!",ADDRESS(15+(A31-1)*J30,2))),"")</f>
        <v/>
      </c>
      <c r="D36" s="66"/>
      <c r="E36" s="66"/>
      <c r="F36" s="66"/>
      <c r="G36" s="66"/>
      <c r="H36" s="25" t="str">
        <f ca="1">_xlfn.IFNA(INDIRECT(_xlfn.TEXTJOIN("",TRUE,A30,"!",ADDRESS(15+(A31-1)*J30,6))),"")</f>
        <v/>
      </c>
      <c r="I36" s="25" t="str">
        <f ca="1">_xlfn.IFNA(INDIRECT(_xlfn.TEXTJOIN("",TRUE,A30,"!",ADDRESS(15+(A31-1)*J30,13))),"")</f>
        <v/>
      </c>
      <c r="J36" s="25" t="str">
        <f ca="1">_xlfn.IFNA(INDIRECT(_xlfn.TEXTJOIN("",TRUE,A30,"!",ADDRESS(15+(A31-1)*J30,14))),"")</f>
        <v/>
      </c>
    </row>
    <row r="37" spans="1:10" ht="10.5" customHeight="1" x14ac:dyDescent="0.2">
      <c r="A37" s="65" t="str">
        <f ca="1">_xlfn.IFNA(INDIRECT(_xlfn.TEXTJOIN("",TRUE,A30,"!",ADDRESS(16+(A31-1)*J30,1))),"")</f>
        <v/>
      </c>
      <c r="B37" s="65"/>
      <c r="C37" s="66" t="str">
        <f ca="1">_xlfn.IFNA(INDIRECT(_xlfn.TEXTJOIN("",TRUE,A30,"!",ADDRESS(16+(A31-1)*J30,2))),"")</f>
        <v/>
      </c>
      <c r="D37" s="66"/>
      <c r="E37" s="66"/>
      <c r="F37" s="66"/>
      <c r="G37" s="66"/>
      <c r="H37" s="25" t="str">
        <f ca="1">_xlfn.IFNA(INDIRECT(_xlfn.TEXTJOIN("",TRUE,A30,"!",ADDRESS(16+(A31-1)*J30,6))),"")</f>
        <v/>
      </c>
      <c r="I37" s="25" t="str">
        <f ca="1">_xlfn.IFNA(INDIRECT(_xlfn.TEXTJOIN("",TRUE,A30,"!",ADDRESS(16+(A31-1)*J30,13))),"")</f>
        <v/>
      </c>
      <c r="J37" s="25" t="str">
        <f ca="1">_xlfn.IFNA(INDIRECT(_xlfn.TEXTJOIN("",TRUE,A30,"!",ADDRESS(16+(A31-1)*J30,14))),"")</f>
        <v/>
      </c>
    </row>
    <row r="38" spans="1:10" ht="10.5" customHeight="1" x14ac:dyDescent="0.2">
      <c r="A38" s="65" t="str">
        <f ca="1">_xlfn.IFNA(INDIRECT(_xlfn.TEXTJOIN("",TRUE,A30,"!",ADDRESS(17+(A31-1)*J30,1))),"")</f>
        <v/>
      </c>
      <c r="B38" s="65"/>
      <c r="C38" s="66" t="str">
        <f ca="1">_xlfn.IFNA(INDIRECT(_xlfn.TEXTJOIN("",TRUE,A30,"!",ADDRESS(17+(A31-1)*J30,2))),"")</f>
        <v/>
      </c>
      <c r="D38" s="66"/>
      <c r="E38" s="66"/>
      <c r="F38" s="66"/>
      <c r="G38" s="66"/>
      <c r="H38" s="25" t="str">
        <f ca="1">_xlfn.IFNA(INDIRECT(_xlfn.TEXTJOIN("",TRUE,A30,"!",ADDRESS(17+(A31-1)*J30,6))),"")</f>
        <v/>
      </c>
      <c r="I38" s="25" t="str">
        <f ca="1">_xlfn.IFNA(INDIRECT(_xlfn.TEXTJOIN("",TRUE,A30,"!",ADDRESS(17+(A31-1)*J30,13))),"")</f>
        <v/>
      </c>
      <c r="J38" s="25" t="str">
        <f ca="1">_xlfn.IFNA(INDIRECT(_xlfn.TEXTJOIN("",TRUE,A30,"!",ADDRESS(17+(A31-1)*J30,14))),"")</f>
        <v/>
      </c>
    </row>
    <row r="39" spans="1:10" ht="10.5" customHeight="1" x14ac:dyDescent="0.2">
      <c r="A39" s="65" t="str">
        <f ca="1">_xlfn.IFNA(INDIRECT(_xlfn.TEXTJOIN("",TRUE,A30,"!",ADDRESS(18+(A31-1)*J30,1))),"")</f>
        <v/>
      </c>
      <c r="B39" s="65"/>
      <c r="C39" s="66" t="str">
        <f ca="1">_xlfn.IFNA(INDIRECT(_xlfn.TEXTJOIN("",TRUE,A30,"!",ADDRESS(18+(A31-1)*J30,2))),"")</f>
        <v/>
      </c>
      <c r="D39" s="66"/>
      <c r="E39" s="66"/>
      <c r="F39" s="66"/>
      <c r="G39" s="66"/>
      <c r="H39" s="25" t="str">
        <f ca="1">_xlfn.IFNA(INDIRECT(_xlfn.TEXTJOIN("",TRUE,A30,"!",ADDRESS(18+(A31-1)*J30,6))),"")</f>
        <v/>
      </c>
      <c r="I39" s="25" t="str">
        <f ca="1">_xlfn.IFNA(INDIRECT(_xlfn.TEXTJOIN("",TRUE,A30,"!",ADDRESS(18+(A31-1)*J30,13))),"")</f>
        <v/>
      </c>
      <c r="J39" s="25" t="str">
        <f ca="1">_xlfn.IFNA(INDIRECT(_xlfn.TEXTJOIN("",TRUE,A30,"!",ADDRESS(18+(A31-1)*J30,14))),"")</f>
        <v/>
      </c>
    </row>
    <row r="40" spans="1:10" ht="10.5" customHeight="1" x14ac:dyDescent="0.2">
      <c r="A40" s="60" t="str">
        <f ca="1">_xlfn.IFNA(INDIRECT(_xlfn.TEXTJOIN("",TRUE,A30,"!",ADDRESS(19+(A31-1)*J30,1))),"")</f>
        <v/>
      </c>
      <c r="B40" s="61"/>
      <c r="C40" s="57" t="str">
        <f ca="1">_xlfn.IFNA(INDIRECT(_xlfn.TEXTJOIN("",TRUE,A30,"!",ADDRESS(19+(A31-1)*J30,2))),"")</f>
        <v/>
      </c>
      <c r="D40" s="58"/>
      <c r="E40" s="58"/>
      <c r="F40" s="58"/>
      <c r="G40" s="59"/>
      <c r="H40" s="25" t="str">
        <f ca="1">_xlfn.IFNA(INDIRECT(_xlfn.TEXTJOIN("",TRUE,A30,"!",ADDRESS(19+(A31-1)*J30,6))),"")</f>
        <v/>
      </c>
      <c r="I40" s="25" t="str">
        <f ca="1">_xlfn.IFNA(INDIRECT(_xlfn.TEXTJOIN("",TRUE,A30,"!",ADDRESS(19+(A31-1)*J30,13))),"")</f>
        <v/>
      </c>
      <c r="J40" s="25" t="str">
        <f ca="1">_xlfn.IFNA(INDIRECT(_xlfn.TEXTJOIN("",TRUE,A30,"!",ADDRESS(19+(A31-1)*J30,14))),"")</f>
        <v/>
      </c>
    </row>
    <row r="41" spans="1:10" ht="10.5" customHeight="1" x14ac:dyDescent="0.2">
      <c r="A41" s="65" t="str">
        <f ca="1">_xlfn.IFNA(INDIRECT(_xlfn.TEXTJOIN("",TRUE,A30,"!",ADDRESS(20+(A31-1)*J30,1))),"")</f>
        <v/>
      </c>
      <c r="B41" s="65"/>
      <c r="C41" s="66" t="str">
        <f ca="1">_xlfn.IFNA(INDIRECT(_xlfn.TEXTJOIN("",TRUE,A30,"!",ADDRESS(20+(A31-1)*J30,2))),"")</f>
        <v/>
      </c>
      <c r="D41" s="66"/>
      <c r="E41" s="66"/>
      <c r="F41" s="66"/>
      <c r="G41" s="66"/>
      <c r="H41" s="25" t="str">
        <f ca="1">_xlfn.IFNA(INDIRECT(_xlfn.TEXTJOIN("",TRUE,A30,"!",ADDRESS(20+(A31-1)*J30,6))),"")</f>
        <v/>
      </c>
      <c r="I41" s="25" t="str">
        <f ca="1">_xlfn.IFNA(INDIRECT(_xlfn.TEXTJOIN("",TRUE,A30,"!",ADDRESS(20+(A31-1)*J30,13))),"")</f>
        <v/>
      </c>
      <c r="J41" s="25" t="str">
        <f ca="1">_xlfn.IFNA(INDIRECT(_xlfn.TEXTJOIN("",TRUE,A30,"!",ADDRESS(20+(A31-1)*J30,14))),"")</f>
        <v/>
      </c>
    </row>
    <row r="42" spans="1:10" ht="10.5" customHeight="1" x14ac:dyDescent="0.2">
      <c r="A42" s="65" t="str">
        <f ca="1">_xlfn.IFNA(INDIRECT(_xlfn.TEXTJOIN("",TRUE,A30,"!",ADDRESS(21+(A31-1)*J30,1))),"")</f>
        <v/>
      </c>
      <c r="B42" s="65"/>
      <c r="C42" s="66" t="str">
        <f ca="1">_xlfn.IFNA(INDIRECT(_xlfn.TEXTJOIN("",TRUE,A30,"!",ADDRESS(21+(A31-1)*J30,2))),"")</f>
        <v/>
      </c>
      <c r="D42" s="66"/>
      <c r="E42" s="66"/>
      <c r="F42" s="66"/>
      <c r="G42" s="66"/>
      <c r="H42" s="25" t="str">
        <f ca="1">_xlfn.IFNA(INDIRECT(_xlfn.TEXTJOIN("",TRUE,A30,"!",ADDRESS(21+(A31-1)*J30,6))),"")</f>
        <v/>
      </c>
      <c r="I42" s="25" t="str">
        <f ca="1">_xlfn.IFNA(INDIRECT(_xlfn.TEXTJOIN("",TRUE,A30,"!",ADDRESS(21+(A31-1)*J30,13))),"")</f>
        <v/>
      </c>
      <c r="J42" s="25" t="str">
        <f ca="1">_xlfn.IFNA(INDIRECT(_xlfn.TEXTJOIN("",TRUE,A30,"!",ADDRESS(21+(A31-1)*J30,14))),"")</f>
        <v/>
      </c>
    </row>
    <row r="43" spans="1:10" ht="10.5" customHeight="1" x14ac:dyDescent="0.2">
      <c r="A43" s="65" t="str">
        <f ca="1">_xlfn.IFNA(INDIRECT(_xlfn.TEXTJOIN("",TRUE,A30,"!",ADDRESS(22+(A31-1)*J30,1))),"")</f>
        <v/>
      </c>
      <c r="B43" s="65"/>
      <c r="C43" s="66" t="str">
        <f ca="1">_xlfn.IFNA(INDIRECT(_xlfn.TEXTJOIN("",TRUE,A30,"!",ADDRESS(22+(A31-1)*J30,2))),"")</f>
        <v/>
      </c>
      <c r="D43" s="66"/>
      <c r="E43" s="66"/>
      <c r="F43" s="66"/>
      <c r="G43" s="66"/>
      <c r="H43" s="25" t="str">
        <f ca="1">_xlfn.IFNA(INDIRECT(_xlfn.TEXTJOIN("",TRUE,A30,"!",ADDRESS(22+(A31-1)*J30,6))),"")</f>
        <v/>
      </c>
      <c r="I43" s="25" t="str">
        <f ca="1">_xlfn.IFNA(INDIRECT(_xlfn.TEXTJOIN("",TRUE,A30,"!",ADDRESS(22+(A31-1)*J30,13))),"")</f>
        <v/>
      </c>
      <c r="J43" s="25" t="str">
        <f ca="1">_xlfn.IFNA(INDIRECT(_xlfn.TEXTJOIN("",TRUE,A30,"!",ADDRESS(22+(A31-1)*J30,14))),"")</f>
        <v/>
      </c>
    </row>
    <row r="44" spans="1:10" ht="10.5" customHeight="1" x14ac:dyDescent="0.2">
      <c r="A44" s="71" t="str">
        <f ca="1">IF(ISNA(A31),"","Total Credits/ Total Grade Points")</f>
        <v/>
      </c>
      <c r="B44" s="71"/>
      <c r="C44" s="71"/>
      <c r="D44" s="71"/>
      <c r="E44" s="71"/>
      <c r="F44" s="71"/>
      <c r="G44" s="71"/>
      <c r="H44" s="27" t="str">
        <f ca="1">IF(ISNA(A31),"",SUM(H34:H43))</f>
        <v/>
      </c>
      <c r="I44" s="26" t="str">
        <f ca="1">IF(ISNA(A31),"","-")</f>
        <v/>
      </c>
      <c r="J44" s="27" t="str">
        <f ca="1">IF(ISNA(A31),"",SUMPRODUCT(J34:J43,H34:H43))</f>
        <v/>
      </c>
    </row>
    <row r="45" spans="1:10" ht="10.5" customHeight="1" x14ac:dyDescent="0.2">
      <c r="A45" s="24" t="s">
        <v>60</v>
      </c>
      <c r="B45" s="72" t="str">
        <f ca="1">IF(ISNA(A46),"","Semester III (Autumn Semester 2023-24)")</f>
        <v/>
      </c>
      <c r="C45" s="72"/>
      <c r="D45" s="72"/>
      <c r="E45" s="72"/>
      <c r="F45" s="72"/>
      <c r="G45" s="72"/>
      <c r="H45" s="72"/>
      <c r="I45" s="72"/>
      <c r="J45" s="24">
        <f>ROWS(A49:B56)+9</f>
        <v>17</v>
      </c>
    </row>
    <row r="46" spans="1:10" ht="10.5" customHeight="1" x14ac:dyDescent="0.2">
      <c r="A46" s="24" t="e">
        <f ca="1">INDEX(SEM_III!$A$6:$A$43,Marksheets!J46)</f>
        <v>#N/A</v>
      </c>
      <c r="B46" s="63"/>
      <c r="C46" s="63"/>
      <c r="D46" s="63"/>
      <c r="E46" s="63"/>
      <c r="F46" s="63"/>
      <c r="G46" s="63"/>
      <c r="H46" s="63"/>
      <c r="I46" s="63"/>
      <c r="J46" s="24" t="e">
        <f ca="1">MATCH(H9,SEM_III!$B$6:$B$43,0)</f>
        <v>#N/A</v>
      </c>
    </row>
    <row r="47" spans="1:10" ht="10.5" customHeight="1" x14ac:dyDescent="0.2">
      <c r="A47" s="64" t="str">
        <f ca="1">IF(ISNA(A46),"","Subject Code")</f>
        <v/>
      </c>
      <c r="B47" s="64"/>
      <c r="C47" s="64" t="str">
        <f ca="1">IF(ISNA(A46),"","Subject Name")</f>
        <v/>
      </c>
      <c r="D47" s="64"/>
      <c r="E47" s="64"/>
      <c r="F47" s="64"/>
      <c r="G47" s="64"/>
      <c r="H47" s="64" t="str">
        <f ca="1">IF(ISNA(A46),"","Credits")</f>
        <v/>
      </c>
      <c r="I47" s="64" t="str">
        <f ca="1">IF(ISNA(A46),"","Grade")</f>
        <v/>
      </c>
      <c r="J47" s="64" t="str">
        <f ca="1">IF(ISNA(A46),"","Grade Points")</f>
        <v/>
      </c>
    </row>
    <row r="48" spans="1:10" ht="10.5" customHeight="1" x14ac:dyDescent="0.2">
      <c r="A48" s="64"/>
      <c r="B48" s="64"/>
      <c r="C48" s="64"/>
      <c r="D48" s="64"/>
      <c r="E48" s="64"/>
      <c r="F48" s="64"/>
      <c r="G48" s="64"/>
      <c r="H48" s="64"/>
      <c r="I48" s="64"/>
      <c r="J48" s="64"/>
    </row>
    <row r="49" spans="1:10" ht="10.5" customHeight="1" x14ac:dyDescent="0.2">
      <c r="A49" s="65" t="str">
        <f ca="1">_xlfn.IFNA(INDIRECT(_xlfn.TEXTJOIN("",TRUE,A45,"!",ADDRESS(13+(A46-1)*J45,1))),"")</f>
        <v/>
      </c>
      <c r="B49" s="65"/>
      <c r="C49" s="66" t="str">
        <f ca="1">_xlfn.IFNA(INDIRECT(_xlfn.TEXTJOIN("",TRUE,A45,"!",ADDRESS(13+(A46-1)*J45,2))),"")</f>
        <v/>
      </c>
      <c r="D49" s="66"/>
      <c r="E49" s="66"/>
      <c r="F49" s="66"/>
      <c r="G49" s="66"/>
      <c r="H49" s="25" t="str">
        <f ca="1">_xlfn.IFNA(INDIRECT(_xlfn.TEXTJOIN("",TRUE,A45,"!",ADDRESS(13+(A46-1)*J45,6))),"")</f>
        <v/>
      </c>
      <c r="I49" s="25" t="str">
        <f ca="1">_xlfn.IFNA(INDIRECT(_xlfn.TEXTJOIN("",TRUE,A45,"!",ADDRESS(13+(A46-1)*J45,13))),"")</f>
        <v/>
      </c>
      <c r="J49" s="25" t="str">
        <f ca="1">_xlfn.IFNA(INDIRECT(_xlfn.TEXTJOIN("",TRUE,A45,"!",ADDRESS(13+(A46-1)*J45,14))),"")</f>
        <v/>
      </c>
    </row>
    <row r="50" spans="1:10" ht="10.5" customHeight="1" x14ac:dyDescent="0.2">
      <c r="A50" s="65" t="str">
        <f ca="1">_xlfn.IFNA(INDIRECT(_xlfn.TEXTJOIN("",TRUE,A45,"!",ADDRESS(14+(A46-1)*J45,1))),"")</f>
        <v/>
      </c>
      <c r="B50" s="65"/>
      <c r="C50" s="66" t="str">
        <f ca="1">_xlfn.IFNA(INDIRECT(_xlfn.TEXTJOIN("",TRUE,A45,"!",ADDRESS(14+(A46-1)*J45,2))),"")</f>
        <v/>
      </c>
      <c r="D50" s="66"/>
      <c r="E50" s="66"/>
      <c r="F50" s="66"/>
      <c r="G50" s="66"/>
      <c r="H50" s="25" t="str">
        <f ca="1">_xlfn.IFNA(INDIRECT(_xlfn.TEXTJOIN("",TRUE,A45,"!",ADDRESS(14+(A46-1)*J45,6))),"")</f>
        <v/>
      </c>
      <c r="I50" s="25" t="str">
        <f ca="1">_xlfn.IFNA(INDIRECT(_xlfn.TEXTJOIN("",TRUE,A45,"!",ADDRESS(14+(A46-1)*J45,13))),"")</f>
        <v/>
      </c>
      <c r="J50" s="25" t="str">
        <f ca="1">_xlfn.IFNA(INDIRECT(_xlfn.TEXTJOIN("",TRUE,A45,"!",ADDRESS(14+(A46-1)*J45,14))),"")</f>
        <v/>
      </c>
    </row>
    <row r="51" spans="1:10" ht="10.5" customHeight="1" x14ac:dyDescent="0.2">
      <c r="A51" s="65" t="str">
        <f ca="1">_xlfn.IFNA(INDIRECT(_xlfn.TEXTJOIN("",TRUE,A45,"!",ADDRESS(15+(A46-1)*J45,1))),"")</f>
        <v/>
      </c>
      <c r="B51" s="65"/>
      <c r="C51" s="66" t="str">
        <f ca="1">_xlfn.IFNA(INDIRECT(_xlfn.TEXTJOIN("",TRUE,A45,"!",ADDRESS(15+(A46-1)*J45,2))),"")</f>
        <v/>
      </c>
      <c r="D51" s="66"/>
      <c r="E51" s="66"/>
      <c r="F51" s="66"/>
      <c r="G51" s="66"/>
      <c r="H51" s="25" t="str">
        <f ca="1">_xlfn.IFNA(INDIRECT(_xlfn.TEXTJOIN("",TRUE,A45,"!",ADDRESS(15+(A46-1)*J45,6))),"")</f>
        <v/>
      </c>
      <c r="I51" s="25" t="str">
        <f ca="1">_xlfn.IFNA(INDIRECT(_xlfn.TEXTJOIN("",TRUE,A45,"!",ADDRESS(15+(A46-1)*J45,13))),"")</f>
        <v/>
      </c>
      <c r="J51" s="25" t="str">
        <f ca="1">_xlfn.IFNA(INDIRECT(_xlfn.TEXTJOIN("",TRUE,A45,"!",ADDRESS(15+(A46-1)*J45,14))),"")</f>
        <v/>
      </c>
    </row>
    <row r="52" spans="1:10" ht="10.5" customHeight="1" x14ac:dyDescent="0.2">
      <c r="A52" s="65" t="str">
        <f ca="1">_xlfn.IFNA(INDIRECT(_xlfn.TEXTJOIN("",TRUE,A45,"!",ADDRESS(16+(A46-1)*J45,1))),"")</f>
        <v/>
      </c>
      <c r="B52" s="65"/>
      <c r="C52" s="66" t="str">
        <f ca="1">_xlfn.IFNA(INDIRECT(_xlfn.TEXTJOIN("",TRUE,A45,"!",ADDRESS(16+(A46-1)*J45,2))),"")</f>
        <v/>
      </c>
      <c r="D52" s="66"/>
      <c r="E52" s="66"/>
      <c r="F52" s="66"/>
      <c r="G52" s="66"/>
      <c r="H52" s="25" t="str">
        <f ca="1">_xlfn.IFNA(INDIRECT(_xlfn.TEXTJOIN("",TRUE,A45,"!",ADDRESS(16+(A46-1)*J45,6))),"")</f>
        <v/>
      </c>
      <c r="I52" s="25" t="str">
        <f ca="1">_xlfn.IFNA(INDIRECT(_xlfn.TEXTJOIN("",TRUE,A45,"!",ADDRESS(16+(A46-1)*J45,13))),"")</f>
        <v/>
      </c>
      <c r="J52" s="25" t="str">
        <f ca="1">_xlfn.IFNA(INDIRECT(_xlfn.TEXTJOIN("",TRUE,A45,"!",ADDRESS(16+(A46-1)*J45,14))),"")</f>
        <v/>
      </c>
    </row>
    <row r="53" spans="1:10" ht="10.5" customHeight="1" x14ac:dyDescent="0.2">
      <c r="A53" s="65" t="str">
        <f ca="1">_xlfn.IFNA(INDIRECT(_xlfn.TEXTJOIN("",TRUE,A45,"!",ADDRESS(17+(A46-1)*J45,1))),"")</f>
        <v/>
      </c>
      <c r="B53" s="65"/>
      <c r="C53" s="66" t="str">
        <f ca="1">_xlfn.IFNA(INDIRECT(_xlfn.TEXTJOIN("",TRUE,A45,"!",ADDRESS(17+(A46-1)*J45,2))),"")</f>
        <v/>
      </c>
      <c r="D53" s="66"/>
      <c r="E53" s="66"/>
      <c r="F53" s="66"/>
      <c r="G53" s="66"/>
      <c r="H53" s="25" t="str">
        <f ca="1">_xlfn.IFNA(INDIRECT(_xlfn.TEXTJOIN("",TRUE,A45,"!",ADDRESS(17+(A46-1)*J45,6))),"")</f>
        <v/>
      </c>
      <c r="I53" s="25" t="str">
        <f ca="1">_xlfn.IFNA(INDIRECT(_xlfn.TEXTJOIN("",TRUE,A45,"!",ADDRESS(17+(A46-1)*J45,13))),"")</f>
        <v/>
      </c>
      <c r="J53" s="25" t="str">
        <f ca="1">_xlfn.IFNA(INDIRECT(_xlfn.TEXTJOIN("",TRUE,A45,"!",ADDRESS(17+(A46-1)*J45,14))),"")</f>
        <v/>
      </c>
    </row>
    <row r="54" spans="1:10" ht="10.5" customHeight="1" x14ac:dyDescent="0.2">
      <c r="A54" s="65" t="str">
        <f ca="1">_xlfn.IFNA(INDIRECT(_xlfn.TEXTJOIN("",TRUE,A45,"!",ADDRESS(18+(A46-1)*J45,1))),"")</f>
        <v/>
      </c>
      <c r="B54" s="65"/>
      <c r="C54" s="66" t="str">
        <f ca="1">_xlfn.IFNA(INDIRECT(_xlfn.TEXTJOIN("",TRUE,A45,"!",ADDRESS(18+(A46-1)*J45,2))),"")</f>
        <v/>
      </c>
      <c r="D54" s="66"/>
      <c r="E54" s="66"/>
      <c r="F54" s="66"/>
      <c r="G54" s="66"/>
      <c r="H54" s="25" t="str">
        <f ca="1">_xlfn.IFNA(INDIRECT(_xlfn.TEXTJOIN("",TRUE,A45,"!",ADDRESS(18+(A46-1)*J45,6))),"")</f>
        <v/>
      </c>
      <c r="I54" s="25" t="str">
        <f ca="1">_xlfn.IFNA(INDIRECT(_xlfn.TEXTJOIN("",TRUE,A45,"!",ADDRESS(18+(A46-1)*J45,13))),"")</f>
        <v/>
      </c>
      <c r="J54" s="25" t="str">
        <f ca="1">_xlfn.IFNA(INDIRECT(_xlfn.TEXTJOIN("",TRUE,A45,"!",ADDRESS(18+(A46-1)*J45,14))),"")</f>
        <v/>
      </c>
    </row>
    <row r="55" spans="1:10" ht="10.5" customHeight="1" x14ac:dyDescent="0.2">
      <c r="A55" s="60" t="str">
        <f ca="1">_xlfn.IFNA(INDIRECT(_xlfn.TEXTJOIN("",TRUE,A45,"!",ADDRESS(19+(A46-1)*J45,1))),"")</f>
        <v/>
      </c>
      <c r="B55" s="61"/>
      <c r="C55" s="57" t="str">
        <f ca="1">_xlfn.IFNA(INDIRECT(_xlfn.TEXTJOIN("",TRUE,A45,"!",ADDRESS(19+(A46-1)*J45,2))),"")</f>
        <v/>
      </c>
      <c r="D55" s="58"/>
      <c r="E55" s="58"/>
      <c r="F55" s="58"/>
      <c r="G55" s="59"/>
      <c r="H55" s="25" t="str">
        <f ca="1">_xlfn.IFNA(INDIRECT(_xlfn.TEXTJOIN("",TRUE,A45,"!",ADDRESS(19+(A46-1)*J45,6))),"")</f>
        <v/>
      </c>
      <c r="I55" s="25" t="str">
        <f ca="1">_xlfn.IFNA(INDIRECT(_xlfn.TEXTJOIN("",TRUE,A45,"!",ADDRESS(19+(A46-1)*J45,13))),"")</f>
        <v/>
      </c>
      <c r="J55" s="25" t="str">
        <f ca="1">_xlfn.IFNA(INDIRECT(_xlfn.TEXTJOIN("",TRUE,A45,"!",ADDRESS(19+(A46-1)*J45,14))),"")</f>
        <v/>
      </c>
    </row>
    <row r="56" spans="1:10" ht="10.5" customHeight="1" x14ac:dyDescent="0.2">
      <c r="A56" s="65" t="str">
        <f ca="1">_xlfn.IFNA(INDIRECT(_xlfn.TEXTJOIN("",TRUE,A45,"!",ADDRESS(20+(A46-1)*J45,1))),"")</f>
        <v/>
      </c>
      <c r="B56" s="65"/>
      <c r="C56" s="66" t="str">
        <f ca="1">_xlfn.IFNA(INDIRECT(_xlfn.TEXTJOIN("",TRUE,A45,"!",ADDRESS(20+(A46-1)*J45,2))),"")</f>
        <v/>
      </c>
      <c r="D56" s="66"/>
      <c r="E56" s="66"/>
      <c r="F56" s="66"/>
      <c r="G56" s="66"/>
      <c r="H56" s="25" t="str">
        <f ca="1">_xlfn.IFNA(INDIRECT(_xlfn.TEXTJOIN("",TRUE,A45,"!",ADDRESS(20+(A46-1)*J45,6))),"")</f>
        <v/>
      </c>
      <c r="I56" s="25" t="str">
        <f ca="1">_xlfn.IFNA(INDIRECT(_xlfn.TEXTJOIN("",TRUE,A45,"!",ADDRESS(20+(A46-1)*J45,13))),"")</f>
        <v/>
      </c>
      <c r="J56" s="25" t="str">
        <f ca="1">_xlfn.IFNA(INDIRECT(_xlfn.TEXTJOIN("",TRUE,A45,"!",ADDRESS(20+(A46-1)*J45,14))),"")</f>
        <v/>
      </c>
    </row>
    <row r="57" spans="1:10" ht="10.5" customHeight="1" x14ac:dyDescent="0.2">
      <c r="A57" s="71" t="str">
        <f ca="1">IF(ISNA(A46),"","Total Credits/ Total Grade Points")</f>
        <v/>
      </c>
      <c r="B57" s="71"/>
      <c r="C57" s="71"/>
      <c r="D57" s="71"/>
      <c r="E57" s="71"/>
      <c r="F57" s="71"/>
      <c r="G57" s="71"/>
      <c r="H57" s="27" t="str">
        <f ca="1">IF(ISNA(A46),"",SUM(H49:H56))</f>
        <v/>
      </c>
      <c r="I57" s="26" t="str">
        <f ca="1">IF(ISNA(A46),"","-")</f>
        <v/>
      </c>
      <c r="J57" s="27" t="str">
        <f ca="1">IF(ISNA(A46),"",SUMPRODUCT(J49:J56,H49:H56))</f>
        <v/>
      </c>
    </row>
    <row r="58" spans="1:10" ht="10.5" customHeight="1" x14ac:dyDescent="0.2">
      <c r="A58" s="24" t="s">
        <v>133</v>
      </c>
      <c r="B58" s="72" t="str">
        <f ca="1">IF(ISNA(A59),"","Semester IV (Spring Semester 2023-24)")</f>
        <v/>
      </c>
      <c r="C58" s="72"/>
      <c r="D58" s="72"/>
      <c r="E58" s="72"/>
      <c r="F58" s="72"/>
      <c r="G58" s="72"/>
      <c r="H58" s="72"/>
      <c r="I58" s="72"/>
      <c r="J58" s="24">
        <f>ROWS(A62:B68)+9</f>
        <v>16</v>
      </c>
    </row>
    <row r="59" spans="1:10" ht="10.5" customHeight="1" x14ac:dyDescent="0.2">
      <c r="A59" s="24" t="e">
        <f ca="1">INDEX(SEM_IV!$A$6:$A$43,Marksheets!J59)</f>
        <v>#N/A</v>
      </c>
      <c r="B59" s="63"/>
      <c r="C59" s="63"/>
      <c r="D59" s="63"/>
      <c r="E59" s="63"/>
      <c r="F59" s="63"/>
      <c r="G59" s="63"/>
      <c r="H59" s="63"/>
      <c r="I59" s="63"/>
      <c r="J59" s="24" t="e">
        <f ca="1">MATCH(H9,SEM_IV!$B$6:$B$43,0)</f>
        <v>#N/A</v>
      </c>
    </row>
    <row r="60" spans="1:10" ht="10.5" customHeight="1" x14ac:dyDescent="0.2">
      <c r="A60" s="64" t="str">
        <f ca="1">IF(ISNA(A59),"","Subject Code")</f>
        <v/>
      </c>
      <c r="B60" s="64"/>
      <c r="C60" s="64" t="str">
        <f ca="1">IF(ISNA(A59),"","Subject Name")</f>
        <v/>
      </c>
      <c r="D60" s="64"/>
      <c r="E60" s="64"/>
      <c r="F60" s="64"/>
      <c r="G60" s="64"/>
      <c r="H60" s="64" t="str">
        <f ca="1">IF(ISNA(A59),"","Credits")</f>
        <v/>
      </c>
      <c r="I60" s="64" t="str">
        <f ca="1">IF(ISNA(A59),"","Grade")</f>
        <v/>
      </c>
      <c r="J60" s="64" t="str">
        <f ca="1">IF(ISNA(A59),"","Grade Points")</f>
        <v/>
      </c>
    </row>
    <row r="61" spans="1:10" ht="10.5" customHeight="1" x14ac:dyDescent="0.2">
      <c r="A61" s="64"/>
      <c r="B61" s="64"/>
      <c r="C61" s="64"/>
      <c r="D61" s="64"/>
      <c r="E61" s="64"/>
      <c r="F61" s="64"/>
      <c r="G61" s="64"/>
      <c r="H61" s="64"/>
      <c r="I61" s="64"/>
      <c r="J61" s="64"/>
    </row>
    <row r="62" spans="1:10" ht="10.5" customHeight="1" x14ac:dyDescent="0.2">
      <c r="A62" s="65" t="str">
        <f ca="1">_xlfn.IFNA(INDIRECT(_xlfn.TEXTJOIN("",TRUE,A58,"!",ADDRESS(13+(A59-1)*J58,1))),"")</f>
        <v/>
      </c>
      <c r="B62" s="65"/>
      <c r="C62" s="66" t="str">
        <f ca="1">_xlfn.IFNA(INDIRECT(_xlfn.TEXTJOIN("",TRUE,A58,"!",ADDRESS(13+(A59-1)*J58,2))),"")</f>
        <v/>
      </c>
      <c r="D62" s="66"/>
      <c r="E62" s="66"/>
      <c r="F62" s="66"/>
      <c r="G62" s="66"/>
      <c r="H62" s="25" t="str">
        <f ca="1">_xlfn.IFNA(INDIRECT(_xlfn.TEXTJOIN("",TRUE,A58,"!",ADDRESS(13+(A59-1)*J58,6))),"")</f>
        <v/>
      </c>
      <c r="I62" s="25" t="str">
        <f ca="1">_xlfn.IFNA(INDIRECT(_xlfn.TEXTJOIN("",TRUE,A58,"!",ADDRESS(13+(A59-1)*J58,13))),"")</f>
        <v/>
      </c>
      <c r="J62" s="25" t="str">
        <f ca="1">_xlfn.IFNA(INDIRECT(_xlfn.TEXTJOIN("",TRUE,A58,"!",ADDRESS(13+(A59-1)*J58,14))),"")</f>
        <v/>
      </c>
    </row>
    <row r="63" spans="1:10" ht="10.5" customHeight="1" x14ac:dyDescent="0.2">
      <c r="A63" s="65" t="str">
        <f ca="1">_xlfn.IFNA(INDIRECT(_xlfn.TEXTJOIN("",TRUE,A58,"!",ADDRESS(14+(A59-1)*J58,1))),"")</f>
        <v/>
      </c>
      <c r="B63" s="65"/>
      <c r="C63" s="66" t="str">
        <f ca="1">_xlfn.IFNA(INDIRECT(_xlfn.TEXTJOIN("",TRUE,A58,"!",ADDRESS(14+(A59-1)*J58,2))),"")</f>
        <v/>
      </c>
      <c r="D63" s="66"/>
      <c r="E63" s="66"/>
      <c r="F63" s="66"/>
      <c r="G63" s="66"/>
      <c r="H63" s="25" t="str">
        <f ca="1">_xlfn.IFNA(INDIRECT(_xlfn.TEXTJOIN("",TRUE,A58,"!",ADDRESS(14+(A59-1)*J58,6))),"")</f>
        <v/>
      </c>
      <c r="I63" s="25" t="str">
        <f ca="1">_xlfn.IFNA(INDIRECT(_xlfn.TEXTJOIN("",TRUE,A58,"!",ADDRESS(14+(A59-1)*J58,13))),"")</f>
        <v/>
      </c>
      <c r="J63" s="25" t="str">
        <f ca="1">_xlfn.IFNA(INDIRECT(_xlfn.TEXTJOIN("",TRUE,A58,"!",ADDRESS(14+(A59-1)*J58,14))),"")</f>
        <v/>
      </c>
    </row>
    <row r="64" spans="1:10" ht="10.5" customHeight="1" x14ac:dyDescent="0.2">
      <c r="A64" s="65" t="str">
        <f ca="1">_xlfn.IFNA(INDIRECT(_xlfn.TEXTJOIN("",TRUE,A58,"!",ADDRESS(15+(A59-1)*J58,1))),"")</f>
        <v/>
      </c>
      <c r="B64" s="65"/>
      <c r="C64" s="66" t="str">
        <f ca="1">_xlfn.IFNA(INDIRECT(_xlfn.TEXTJOIN("",TRUE,A58,"!",ADDRESS(15+(A59-1)*J58,2))),"")</f>
        <v/>
      </c>
      <c r="D64" s="66"/>
      <c r="E64" s="66"/>
      <c r="F64" s="66"/>
      <c r="G64" s="66"/>
      <c r="H64" s="25" t="str">
        <f ca="1">_xlfn.IFNA(INDIRECT(_xlfn.TEXTJOIN("",TRUE,A58,"!",ADDRESS(15+(A59-1)*J58,6))),"")</f>
        <v/>
      </c>
      <c r="I64" s="25" t="str">
        <f ca="1">_xlfn.IFNA(INDIRECT(_xlfn.TEXTJOIN("",TRUE,A58,"!",ADDRESS(15+(A59-1)*J58,13))),"")</f>
        <v/>
      </c>
      <c r="J64" s="25" t="str">
        <f ca="1">_xlfn.IFNA(INDIRECT(_xlfn.TEXTJOIN("",TRUE,A58,"!",ADDRESS(15+(A59-1)*J58,14))),"")</f>
        <v/>
      </c>
    </row>
    <row r="65" spans="1:13" ht="10.5" customHeight="1" x14ac:dyDescent="0.2">
      <c r="A65" s="65" t="str">
        <f ca="1">_xlfn.IFNA(INDIRECT(_xlfn.TEXTJOIN("",TRUE,A58,"!",ADDRESS(16+(A59-1)*J58,1))),"")</f>
        <v/>
      </c>
      <c r="B65" s="65"/>
      <c r="C65" s="66" t="str">
        <f ca="1">_xlfn.IFNA(INDIRECT(_xlfn.TEXTJOIN("",TRUE,A58,"!",ADDRESS(16+(A59-1)*J58,2))),"")</f>
        <v/>
      </c>
      <c r="D65" s="66"/>
      <c r="E65" s="66"/>
      <c r="F65" s="66"/>
      <c r="G65" s="66"/>
      <c r="H65" s="25" t="str">
        <f ca="1">_xlfn.IFNA(INDIRECT(_xlfn.TEXTJOIN("",TRUE,A58,"!",ADDRESS(16+(A59-1)*J58,6))),"")</f>
        <v/>
      </c>
      <c r="I65" s="25" t="str">
        <f ca="1">_xlfn.IFNA(INDIRECT(_xlfn.TEXTJOIN("",TRUE,A58,"!",ADDRESS(16+(A59-1)*J58,13))),"")</f>
        <v/>
      </c>
      <c r="J65" s="25" t="str">
        <f ca="1">_xlfn.IFNA(INDIRECT(_xlfn.TEXTJOIN("",TRUE,A58,"!",ADDRESS(16+(A59-1)*J58,14))),"")</f>
        <v/>
      </c>
    </row>
    <row r="66" spans="1:13" ht="10.5" customHeight="1" x14ac:dyDescent="0.2">
      <c r="A66" s="65" t="str">
        <f ca="1">_xlfn.IFNA(INDIRECT(_xlfn.TEXTJOIN("",TRUE,A58,"!",ADDRESS(17+(A59-1)*J58,1))),"")</f>
        <v/>
      </c>
      <c r="B66" s="65"/>
      <c r="C66" s="66" t="str">
        <f ca="1">_xlfn.IFNA(INDIRECT(_xlfn.TEXTJOIN("",TRUE,A58,"!",ADDRESS(17+(A59-1)*J58,2))),"")</f>
        <v/>
      </c>
      <c r="D66" s="66"/>
      <c r="E66" s="66"/>
      <c r="F66" s="66"/>
      <c r="G66" s="66"/>
      <c r="H66" s="25" t="str">
        <f ca="1">_xlfn.IFNA(INDIRECT(_xlfn.TEXTJOIN("",TRUE,A58,"!",ADDRESS(17+(A59-1)*J58,6))),"")</f>
        <v/>
      </c>
      <c r="I66" s="25" t="str">
        <f ca="1">_xlfn.IFNA(INDIRECT(_xlfn.TEXTJOIN("",TRUE,A58,"!",ADDRESS(17+(A59-1)*J58,13))),"")</f>
        <v/>
      </c>
      <c r="J66" s="25" t="str">
        <f ca="1">_xlfn.IFNA(INDIRECT(_xlfn.TEXTJOIN("",TRUE,A58,"!",ADDRESS(17+(A59-1)*J58,14))),"")</f>
        <v/>
      </c>
    </row>
    <row r="67" spans="1:13" ht="10.5" customHeight="1" x14ac:dyDescent="0.2">
      <c r="A67" s="65" t="str">
        <f ca="1">_xlfn.IFNA(INDIRECT(_xlfn.TEXTJOIN("",TRUE,A58,"!",ADDRESS(18+(A59-1)*J58,1))),"")</f>
        <v/>
      </c>
      <c r="B67" s="65"/>
      <c r="C67" s="66" t="str">
        <f ca="1">_xlfn.IFNA(INDIRECT(_xlfn.TEXTJOIN("",TRUE,A58,"!",ADDRESS(18+(A59-1)*J58,2))),"")</f>
        <v/>
      </c>
      <c r="D67" s="66"/>
      <c r="E67" s="66"/>
      <c r="F67" s="66"/>
      <c r="G67" s="66"/>
      <c r="H67" s="25" t="str">
        <f ca="1">_xlfn.IFNA(INDIRECT(_xlfn.TEXTJOIN("",TRUE,A58,"!",ADDRESS(18+(A59-1)*J58,6))),"")</f>
        <v/>
      </c>
      <c r="I67" s="25" t="str">
        <f ca="1">_xlfn.IFNA(INDIRECT(_xlfn.TEXTJOIN("",TRUE,A58,"!",ADDRESS(18+(A59-1)*J58,13))),"")</f>
        <v/>
      </c>
      <c r="J67" s="25" t="str">
        <f ca="1">_xlfn.IFNA(INDIRECT(_xlfn.TEXTJOIN("",TRUE,A58,"!",ADDRESS(18+(A59-1)*J58,14))),"")</f>
        <v/>
      </c>
    </row>
    <row r="68" spans="1:13" ht="10.5" customHeight="1" x14ac:dyDescent="0.2">
      <c r="A68" s="60" t="str">
        <f ca="1">_xlfn.IFNA(INDIRECT(_xlfn.TEXTJOIN("",TRUE,A58,"!",ADDRESS(19+(A59-1)*J58,1))),"")</f>
        <v/>
      </c>
      <c r="B68" s="61"/>
      <c r="C68" s="57" t="str">
        <f ca="1">_xlfn.IFNA(INDIRECT(_xlfn.TEXTJOIN("",TRUE,A58,"!",ADDRESS(19+(A59-1)*J58,2))),"")</f>
        <v/>
      </c>
      <c r="D68" s="58"/>
      <c r="E68" s="58"/>
      <c r="F68" s="58"/>
      <c r="G68" s="59"/>
      <c r="H68" s="25" t="str">
        <f ca="1">_xlfn.IFNA(INDIRECT(_xlfn.TEXTJOIN("",TRUE,A58,"!",ADDRESS(19+(A59-1)*J58,6))),"")</f>
        <v/>
      </c>
      <c r="I68" s="25" t="str">
        <f ca="1">_xlfn.IFNA(INDIRECT(_xlfn.TEXTJOIN("",TRUE,A58,"!",ADDRESS(19+(A59-1)*J58,13))),"")</f>
        <v/>
      </c>
      <c r="J68" s="25" t="str">
        <f ca="1">_xlfn.IFNA(INDIRECT(_xlfn.TEXTJOIN("",TRUE,A58,"!",ADDRESS(19+(A59-1)*J58,14))),"")</f>
        <v/>
      </c>
    </row>
    <row r="69" spans="1:13" ht="10.5" customHeight="1" x14ac:dyDescent="0.2">
      <c r="A69" s="71" t="str">
        <f ca="1">IF(ISNA(A59),"","Total Credits/ Total Grade Points")</f>
        <v/>
      </c>
      <c r="B69" s="71"/>
      <c r="C69" s="71"/>
      <c r="D69" s="71"/>
      <c r="E69" s="71"/>
      <c r="F69" s="71"/>
      <c r="G69" s="71"/>
      <c r="H69" s="27" t="str">
        <f ca="1">IF(ISNA(A59),"",SUM(H61:H68))</f>
        <v/>
      </c>
      <c r="I69" s="26" t="str">
        <f ca="1">IF(ISNA(A59),"","-")</f>
        <v/>
      </c>
      <c r="J69" s="27" t="str">
        <f ca="1">IF(ISNA(A59),"",SUMPRODUCT(J61:J68,H61:H68))</f>
        <v/>
      </c>
      <c r="M69" s="12" t="e" cm="1">
        <f t="array" aca="1" ref="M69" ca="1">IF(TC_IV!N21&lt;96,"Carry Over",TC_IV!Y1IF(G73&gt;=8,"First Division with Distinction",IF(G73&gt;=6.5,"First Division",IF(G73&gt;=5,"Second Division",IF(G73&gt;=4,"Third Division","Fail")))))</f>
        <v>#N/A</v>
      </c>
    </row>
    <row r="70" spans="1:13" ht="10.5" customHeight="1" x14ac:dyDescent="0.2">
      <c r="A70" s="75" t="s">
        <v>137</v>
      </c>
      <c r="B70" s="75"/>
      <c r="C70" s="75"/>
      <c r="D70" s="75"/>
      <c r="E70" s="75"/>
      <c r="F70" s="76" t="s">
        <v>138</v>
      </c>
      <c r="G70" s="76"/>
      <c r="H70" s="76"/>
      <c r="I70" s="76"/>
      <c r="J70" s="76"/>
    </row>
    <row r="71" spans="1:13" ht="10.5" customHeight="1" x14ac:dyDescent="0.2">
      <c r="A71" s="43" t="s">
        <v>139</v>
      </c>
      <c r="B71" s="43"/>
      <c r="C71" s="43"/>
      <c r="D71" s="43"/>
      <c r="E71" s="43"/>
      <c r="F71" s="43"/>
      <c r="G71" s="43"/>
      <c r="H71" s="43"/>
      <c r="I71" s="43"/>
      <c r="J71" s="43"/>
    </row>
    <row r="72" spans="1:13" ht="10.5" customHeight="1" x14ac:dyDescent="0.2">
      <c r="A72" s="10"/>
      <c r="B72" s="26"/>
      <c r="C72" s="26" t="s">
        <v>140</v>
      </c>
      <c r="D72" s="26" t="s">
        <v>141</v>
      </c>
      <c r="E72" s="26" t="s">
        <v>142</v>
      </c>
      <c r="F72" s="26" t="s">
        <v>143</v>
      </c>
      <c r="G72" s="26" t="s">
        <v>144</v>
      </c>
      <c r="H72" s="79" t="s">
        <v>145</v>
      </c>
      <c r="I72" s="79"/>
      <c r="J72" s="30"/>
    </row>
    <row r="73" spans="1:13" ht="10.5" customHeight="1" x14ac:dyDescent="0.2">
      <c r="A73" s="10"/>
      <c r="B73" s="80" t="s">
        <v>146</v>
      </c>
      <c r="C73" s="73">
        <f ca="1">J29/H29</f>
        <v>7.020833333333333</v>
      </c>
      <c r="D73" s="73" t="e">
        <f ca="1">J44/H44</f>
        <v>#VALUE!</v>
      </c>
      <c r="E73" s="73" t="str">
        <f ca="1">IFERROR(J57/H57,"")</f>
        <v/>
      </c>
      <c r="F73" s="73" t="str">
        <f ca="1">IFERROR(J69/H69,"")</f>
        <v/>
      </c>
      <c r="G73" s="82">
        <f ca="1">F75</f>
        <v>7.020833333333333</v>
      </c>
      <c r="H73" s="83" t="e">
        <f ca="1">IF(TC_IV!N21 &lt; 96, _xlfn.TEXTJOIN(" Carry Over Back In",TC_I!V119,TC_II!V23,TC_III!V21,TC_IV!V20), IF(G142&gt;=8,"First Division with Distinction",IF(G142&gt;=6.5,"First Division",IF(G142&gt;=5,"Second Division",IF(G142&gt;=4,"Third Division","Fail")))))</f>
        <v>#N/A</v>
      </c>
      <c r="I73" s="83"/>
      <c r="J73" s="30"/>
    </row>
    <row r="74" spans="1:13" ht="10.5" customHeight="1" x14ac:dyDescent="0.2">
      <c r="B74" s="81"/>
      <c r="C74" s="74"/>
      <c r="D74" s="74"/>
      <c r="E74" s="74"/>
      <c r="F74" s="74"/>
      <c r="G74" s="82"/>
      <c r="H74" s="83"/>
      <c r="I74" s="83"/>
    </row>
    <row r="75" spans="1:13" ht="10.5" customHeight="1" x14ac:dyDescent="0.2">
      <c r="B75" s="80" t="s">
        <v>48</v>
      </c>
      <c r="C75" s="73">
        <f ca="1">J29/H29</f>
        <v>7.020833333333333</v>
      </c>
      <c r="D75" s="73">
        <f ca="1">SUM(J44,J29)/SUM(H44,H29)</f>
        <v>7.020833333333333</v>
      </c>
      <c r="E75" s="73">
        <f ca="1">SUM(J57,J44,J29)/SUM(H57,H44,H29)</f>
        <v>7.020833333333333</v>
      </c>
      <c r="F75" s="73">
        <f ca="1">SUM(J69,J57,J44,J29)/SUM(H29,H44,H57,H69)</f>
        <v>7.020833333333333</v>
      </c>
      <c r="G75" s="82"/>
      <c r="H75" s="83"/>
      <c r="I75" s="83"/>
    </row>
    <row r="76" spans="1:13" ht="10.5" customHeight="1" x14ac:dyDescent="0.2">
      <c r="B76" s="81"/>
      <c r="C76" s="74"/>
      <c r="D76" s="74"/>
      <c r="E76" s="74"/>
      <c r="F76" s="74"/>
      <c r="G76" s="82"/>
      <c r="H76" s="83"/>
      <c r="I76" s="83"/>
    </row>
    <row r="78" spans="1:13" ht="10.5" customHeight="1" x14ac:dyDescent="0.2">
      <c r="A78" s="56" t="s">
        <v>24</v>
      </c>
      <c r="B78" s="56"/>
      <c r="C78" s="56" t="str">
        <f ca="1">INDIRECT(_xlfn.TEXTJOIN("",TRUE,A80,"!",ADDRESS(9+(A81-1)*J80,2)))</f>
        <v>ABHISHEK SINGH NAYAL</v>
      </c>
      <c r="D78" s="56"/>
      <c r="E78" s="56"/>
      <c r="F78" s="56" t="s">
        <v>135</v>
      </c>
      <c r="G78" s="56"/>
      <c r="H78" s="62">
        <f ca="1">INDIRECT(_xlfn.TEXTJOIN("",TRUE,A80,"!",ADDRESS(9+(A81-1)*J80,9)))</f>
        <v>250090600002</v>
      </c>
      <c r="I78" s="56"/>
      <c r="J78" s="56"/>
    </row>
    <row r="79" spans="1:13" ht="10.5" customHeight="1" x14ac:dyDescent="0.2">
      <c r="A79" s="56" t="s">
        <v>25</v>
      </c>
      <c r="B79" s="56"/>
      <c r="C79" s="56" t="str">
        <f ca="1">INDIRECT(_xlfn.TEXTJOIN("",TRUE,A80,"!",ADDRESS(9+(A81-1)*J80,5)))</f>
        <v>RAVENDRA SINGH NAYAL</v>
      </c>
      <c r="D79" s="56"/>
      <c r="E79" s="56"/>
      <c r="F79" s="47" t="s">
        <v>136</v>
      </c>
      <c r="G79" s="47"/>
      <c r="H79" s="62" t="str">
        <f ca="1">INDIRECT(_xlfn.TEXTJOIN("",TRUE,A80,"!",ADDRESS(9+(A81-1)*J80,13)))</f>
        <v>UTU/2506100159</v>
      </c>
      <c r="I79" s="56"/>
      <c r="J79" s="56"/>
    </row>
    <row r="80" spans="1:13" ht="10.5" customHeight="1" x14ac:dyDescent="0.2">
      <c r="A80" s="24" t="s">
        <v>53</v>
      </c>
      <c r="B80" s="43" t="s">
        <v>148</v>
      </c>
      <c r="C80" s="43"/>
      <c r="D80" s="43"/>
      <c r="E80" s="43"/>
      <c r="F80" s="43"/>
      <c r="G80" s="43"/>
      <c r="H80" s="43"/>
      <c r="I80" s="43"/>
      <c r="J80" s="24">
        <f>ROWS(A84:B97)+9</f>
        <v>23</v>
      </c>
    </row>
    <row r="81" spans="1:10" ht="10.5" customHeight="1" x14ac:dyDescent="0.2">
      <c r="A81" s="24">
        <f>A12+1</f>
        <v>2</v>
      </c>
      <c r="B81" s="63"/>
      <c r="C81" s="63"/>
      <c r="D81" s="63"/>
      <c r="E81" s="63"/>
      <c r="F81" s="63"/>
      <c r="G81" s="63"/>
      <c r="H81" s="63"/>
      <c r="I81" s="63"/>
      <c r="J81" s="29"/>
    </row>
    <row r="82" spans="1:10" ht="10.5" customHeight="1" x14ac:dyDescent="0.2">
      <c r="A82" s="64" t="s">
        <v>28</v>
      </c>
      <c r="B82" s="64"/>
      <c r="C82" s="64" t="s">
        <v>29</v>
      </c>
      <c r="D82" s="64"/>
      <c r="E82" s="64"/>
      <c r="F82" s="64"/>
      <c r="G82" s="64"/>
      <c r="H82" s="64" t="s">
        <v>30</v>
      </c>
      <c r="I82" s="64" t="s">
        <v>9</v>
      </c>
      <c r="J82" s="64" t="s">
        <v>34</v>
      </c>
    </row>
    <row r="83" spans="1:10" ht="15" customHeight="1" x14ac:dyDescent="0.2">
      <c r="A83" s="64"/>
      <c r="B83" s="64"/>
      <c r="C83" s="64"/>
      <c r="D83" s="64"/>
      <c r="E83" s="64"/>
      <c r="F83" s="64"/>
      <c r="G83" s="64"/>
      <c r="H83" s="64"/>
      <c r="I83" s="64"/>
      <c r="J83" s="64"/>
    </row>
    <row r="84" spans="1:10" ht="10.5" customHeight="1" x14ac:dyDescent="0.2">
      <c r="A84" s="65" t="str">
        <f ca="1">INDIRECT(_xlfn.TEXTJOIN("",TRUE,A80,"!",ADDRESS(13+(A81-1)*J80,1)))</f>
        <v>CAT 004</v>
      </c>
      <c r="B84" s="65"/>
      <c r="C84" s="66" t="str">
        <f ca="1">INDIRECT(_xlfn.TEXTJOIN("",TRUE,A80,"!",ADDRESS(13+(A81-1)*J80,2)))</f>
        <v>Discrete Structure</v>
      </c>
      <c r="D84" s="66"/>
      <c r="E84" s="66"/>
      <c r="F84" s="66"/>
      <c r="G84" s="66"/>
      <c r="H84" s="25">
        <f ca="1">INDIRECT(_xlfn.TEXTJOIN("",TRUE,A80,"!",ADDRESS(13+(A81-1)*J80,6)))</f>
        <v>4</v>
      </c>
      <c r="I84" s="25" t="str">
        <f ca="1">INDIRECT(_xlfn.TEXTJOIN("",TRUE,A80,"!",ADDRESS(13+(A81-1)*J80,13)))</f>
        <v>D+</v>
      </c>
      <c r="J84" s="25">
        <f ca="1">INDIRECT(_xlfn.TEXTJOIN("",TRUE,A80,"!",ADDRESS(13+(A81-1)*J80,14)))</f>
        <v>6.5</v>
      </c>
    </row>
    <row r="85" spans="1:10" ht="10.5" customHeight="1" x14ac:dyDescent="0.2">
      <c r="A85" s="65" t="str">
        <f ca="1">INDIRECT(_xlfn.TEXTJOIN("",TRUE,A80,"!",ADDRESS(14+(A81-1)*J80,1)))</f>
        <v>CAT 005</v>
      </c>
      <c r="B85" s="65"/>
      <c r="C85" s="66" t="str">
        <f ca="1">INDIRECT(_xlfn.TEXTJOIN("",TRUE,A80,"!",ADDRESS(14+(A81-1)*J80,2)))</f>
        <v>Database Management System</v>
      </c>
      <c r="D85" s="66"/>
      <c r="E85" s="66"/>
      <c r="F85" s="66"/>
      <c r="G85" s="66"/>
      <c r="H85" s="25">
        <f ca="1">INDIRECT(_xlfn.TEXTJOIN("",TRUE,A80,"!",ADDRESS(14+(A81-1)*J80,6)))</f>
        <v>4</v>
      </c>
      <c r="I85" s="25" t="str">
        <f ca="1">INDIRECT(_xlfn.TEXTJOIN("",TRUE,A80,"!",ADDRESS(14+(A81-1)*J80,13)))</f>
        <v>E+</v>
      </c>
      <c r="J85" s="25">
        <f ca="1">INDIRECT(_xlfn.TEXTJOIN("",TRUE,A80,"!",ADDRESS(14+(A81-1)*J80,14)))</f>
        <v>5.5</v>
      </c>
    </row>
    <row r="86" spans="1:10" ht="10.5" customHeight="1" x14ac:dyDescent="0.2">
      <c r="A86" s="65" t="str">
        <f ca="1">INDIRECT(_xlfn.TEXTJOIN("",TRUE,A80,"!",ADDRESS(15+(A81-1)*J80,1)))</f>
        <v>CAT 006</v>
      </c>
      <c r="B86" s="65"/>
      <c r="C86" s="66" t="str">
        <f ca="1">INDIRECT(_xlfn.TEXTJOIN("",TRUE,A80,"!",ADDRESS(15+(A81-1)*J80,2)))</f>
        <v>Operating System</v>
      </c>
      <c r="D86" s="66"/>
      <c r="E86" s="66"/>
      <c r="F86" s="66"/>
      <c r="G86" s="66"/>
      <c r="H86" s="25">
        <f ca="1">INDIRECT(_xlfn.TEXTJOIN("",TRUE,A80,"!",ADDRESS(15+(A81-1)*J80,6)))</f>
        <v>4</v>
      </c>
      <c r="I86" s="25" t="str">
        <f ca="1">INDIRECT(_xlfn.TEXTJOIN("",TRUE,A80,"!",ADDRESS(15+(A81-1)*J80,13)))</f>
        <v>C</v>
      </c>
      <c r="J86" s="25">
        <f ca="1">INDIRECT(_xlfn.TEXTJOIN("",TRUE,A80,"!",ADDRESS(15+(A81-1)*J80,14)))</f>
        <v>7</v>
      </c>
    </row>
    <row r="87" spans="1:10" ht="10.5" customHeight="1" x14ac:dyDescent="0.2">
      <c r="A87" s="65" t="str">
        <f ca="1">INDIRECT(_xlfn.TEXTJOIN("",TRUE,A80,"!",ADDRESS(16+(A81-1)*J80,1)))</f>
        <v>CAT 007</v>
      </c>
      <c r="B87" s="65"/>
      <c r="C87" s="66" t="str">
        <f ca="1">INDIRECT(_xlfn.TEXTJOIN("",TRUE,A80,"!",ADDRESS(16+(A81-1)*J80,2)))</f>
        <v>Computer Organization</v>
      </c>
      <c r="D87" s="66"/>
      <c r="E87" s="66"/>
      <c r="F87" s="66"/>
      <c r="G87" s="66"/>
      <c r="H87" s="25">
        <f ca="1">INDIRECT(_xlfn.TEXTJOIN("",TRUE,A80,"!",ADDRESS(16+(A81-1)*J80,6)))</f>
        <v>4</v>
      </c>
      <c r="I87" s="25" t="str">
        <f ca="1">INDIRECT(_xlfn.TEXTJOIN("",TRUE,A80,"!",ADDRESS(16+(A81-1)*J80,13)))</f>
        <v>D+</v>
      </c>
      <c r="J87" s="25">
        <f ca="1">INDIRECT(_xlfn.TEXTJOIN("",TRUE,A80,"!",ADDRESS(16+(A81-1)*J80,14)))</f>
        <v>6.5</v>
      </c>
    </row>
    <row r="88" spans="1:10" ht="10.5" customHeight="1" x14ac:dyDescent="0.2">
      <c r="A88" s="65" t="str">
        <f ca="1">INDIRECT(_xlfn.TEXTJOIN("",TRUE,A80,"!",ADDRESS(17+(A81-1)*J80,1)))</f>
        <v>AHT 303</v>
      </c>
      <c r="B88" s="65"/>
      <c r="C88" s="66" t="str">
        <f ca="1">INDIRECT(_xlfn.TEXTJOIN("",TRUE,A80,"!",ADDRESS(17+(A81-1)*J80,2)))</f>
        <v>Technical Communication Skills</v>
      </c>
      <c r="D88" s="66"/>
      <c r="E88" s="66"/>
      <c r="F88" s="66"/>
      <c r="G88" s="66"/>
      <c r="H88" s="25">
        <f ca="1">INDIRECT(_xlfn.TEXTJOIN("",TRUE,A80,"!",ADDRESS(17+(A81-1)*J80,6)))</f>
        <v>4</v>
      </c>
      <c r="I88" s="25" t="str">
        <f ca="1">INDIRECT(_xlfn.TEXTJOIN("",TRUE,A80,"!",ADDRESS(17+(A81-1)*J80,13)))</f>
        <v>C+</v>
      </c>
      <c r="J88" s="25">
        <f ca="1">INDIRECT(_xlfn.TEXTJOIN("",TRUE,A80,"!",ADDRESS(17+(A81-1)*J80,14)))</f>
        <v>7.5</v>
      </c>
    </row>
    <row r="89" spans="1:10" ht="10.5" customHeight="1" x14ac:dyDescent="0.2">
      <c r="A89" s="65" t="str">
        <f ca="1">INDIRECT(_xlfn.TEXTJOIN("",TRUE,A80,"!",ADDRESS(18+(A81-1)*J80,1)))</f>
        <v>CAT 008</v>
      </c>
      <c r="B89" s="65"/>
      <c r="C89" s="66" t="str">
        <f ca="1">INDIRECT(_xlfn.TEXTJOIN("",TRUE,A80,"!",ADDRESS(18+(A81-1)*J80,2)))</f>
        <v>Python Programming ($)</v>
      </c>
      <c r="D89" s="66"/>
      <c r="E89" s="66"/>
      <c r="F89" s="66"/>
      <c r="G89" s="66"/>
      <c r="H89" s="25">
        <f ca="1">INDIRECT(_xlfn.TEXTJOIN("",TRUE,A80,"!",ADDRESS(18+(A81-1)*J80,6)))</f>
        <v>0</v>
      </c>
      <c r="I89" s="25" t="str">
        <f ca="1">INDIRECT(_xlfn.TEXTJOIN("",TRUE,A80,"!",ADDRESS(18+(A81-1)*J80,13)))</f>
        <v>E+</v>
      </c>
      <c r="J89" s="25">
        <f ca="1">INDIRECT(_xlfn.TEXTJOIN("",TRUE,A80,"!",ADDRESS(18+(A81-1)*J80,14)))</f>
        <v>5.5</v>
      </c>
    </row>
    <row r="90" spans="1:10" ht="10.5" customHeight="1" x14ac:dyDescent="0.2">
      <c r="A90" s="60" t="str">
        <f ca="1">INDIRECT(_xlfn.TEXTJOIN("",TRUE,A80,"!",ADDRESS(19+(A81-1)*J80,1)))</f>
        <v>CAT 001</v>
      </c>
      <c r="B90" s="61"/>
      <c r="C90" s="57" t="str">
        <f ca="1">INDIRECT(_xlfn.TEXTJOIN("",TRUE,A80,"!",ADDRESS(19+(A81-1)*J80,2)))</f>
        <v>Introduction of Information Technology ($)</v>
      </c>
      <c r="D90" s="58"/>
      <c r="E90" s="58"/>
      <c r="F90" s="58"/>
      <c r="G90" s="59"/>
      <c r="H90" s="25">
        <f ca="1">INDIRECT(_xlfn.TEXTJOIN("",TRUE,A80,"!",ADDRESS(19+(A81-1)*J80,6)))</f>
        <v>0</v>
      </c>
      <c r="I90" s="25" t="str">
        <f ca="1">INDIRECT(_xlfn.TEXTJOIN("",TRUE,A80,"!",ADDRESS(19+(A81-1)*J80,13)))</f>
        <v>-</v>
      </c>
      <c r="J90" s="25" t="str">
        <f ca="1">INDIRECT(_xlfn.TEXTJOIN("",TRUE,A80,"!",ADDRESS(19+(A81-1)*J80,14)))</f>
        <v>-</v>
      </c>
    </row>
    <row r="91" spans="1:10" ht="10.5" customHeight="1" x14ac:dyDescent="0.2">
      <c r="A91" s="60" t="str">
        <f ca="1">INDIRECT(_xlfn.TEXTJOIN("",TRUE,A80,"!",ADDRESS(20+(A81-1)*J80,1)))</f>
        <v>CAT 002</v>
      </c>
      <c r="B91" s="61"/>
      <c r="C91" s="57" t="str">
        <f ca="1">INDIRECT(_xlfn.TEXTJOIN("",TRUE,A80,"!",ADDRESS(20+(A81-1)*J80,2)))</f>
        <v>Programming Fundamentals with "C" ($)</v>
      </c>
      <c r="D91" s="58"/>
      <c r="E91" s="58"/>
      <c r="F91" s="58"/>
      <c r="G91" s="59"/>
      <c r="H91" s="25">
        <f ca="1">INDIRECT(_xlfn.TEXTJOIN("",TRUE,A80,"!",ADDRESS(20+(A81-1)*J80,6)))</f>
        <v>0</v>
      </c>
      <c r="I91" s="25" t="str">
        <f ca="1">INDIRECT(_xlfn.TEXTJOIN("",TRUE,A80,"!",ADDRESS(20+(A81-1)*J80,13)))</f>
        <v>-</v>
      </c>
      <c r="J91" s="25" t="str">
        <f ca="1">INDIRECT(_xlfn.TEXTJOIN("",TRUE,A80,"!",ADDRESS(20+(A81-1)*J80,14)))</f>
        <v>-</v>
      </c>
    </row>
    <row r="92" spans="1:10" ht="10.5" customHeight="1" x14ac:dyDescent="0.2">
      <c r="A92" s="60" t="str">
        <f ca="1">INDIRECT(_xlfn.TEXTJOIN("",TRUE,A80,"!",ADDRESS(21+(A81-1)*J80,1)))</f>
        <v>CAT 003</v>
      </c>
      <c r="B92" s="61"/>
      <c r="C92" s="57" t="str">
        <f ca="1">INDIRECT(_xlfn.TEXTJOIN("",TRUE,A80,"!",ADDRESS(21+(A81-1)*J80,2)))</f>
        <v>Fundamental of Web Technology ($)</v>
      </c>
      <c r="D92" s="58"/>
      <c r="E92" s="58"/>
      <c r="F92" s="58"/>
      <c r="G92" s="59"/>
      <c r="H92" s="25">
        <f ca="1">INDIRECT(_xlfn.TEXTJOIN("",TRUE,A80,"!",ADDRESS(21+(A81-1)*J80,6)))</f>
        <v>0</v>
      </c>
      <c r="I92" s="25" t="str">
        <f ca="1">INDIRECT(_xlfn.TEXTJOIN("",TRUE,A80,"!",ADDRESS(21+(A81-1)*J80,13)))</f>
        <v>-</v>
      </c>
      <c r="J92" s="25" t="str">
        <f ca="1">INDIRECT(_xlfn.TEXTJOIN("",TRUE,A80,"!",ADDRESS(21+(A81-1)*J80,14)))</f>
        <v>-</v>
      </c>
    </row>
    <row r="93" spans="1:10" ht="10.5" customHeight="1" x14ac:dyDescent="0.2">
      <c r="A93" s="65" t="str">
        <f ca="1">INDIRECT(_xlfn.TEXTJOIN("",TRUE,A80,"!",ADDRESS(22+(A81-1)*J80,1)))</f>
        <v>CAP 001</v>
      </c>
      <c r="B93" s="65"/>
      <c r="C93" s="66" t="str">
        <f ca="1">INDIRECT(_xlfn.TEXTJOIN("",TRUE,A80,"!",ADDRESS(22+(A81-1)*J80,2)))</f>
        <v>Database Management System Lab</v>
      </c>
      <c r="D93" s="66"/>
      <c r="E93" s="66"/>
      <c r="F93" s="66"/>
      <c r="G93" s="66"/>
      <c r="H93" s="25">
        <f ca="1">INDIRECT(_xlfn.TEXTJOIN("",TRUE,A80,"!",ADDRESS(22+(A81-1)*J80,6)))</f>
        <v>1</v>
      </c>
      <c r="I93" s="25" t="str">
        <f ca="1">INDIRECT(_xlfn.TEXTJOIN("",TRUE,A80,"!",ADDRESS(22+(A81-1)*J80,13)))</f>
        <v>B</v>
      </c>
      <c r="J93" s="25">
        <f ca="1">INDIRECT(_xlfn.TEXTJOIN("",TRUE,A80,"!",ADDRESS(22+(A81-1)*J80,14)))</f>
        <v>8</v>
      </c>
    </row>
    <row r="94" spans="1:10" ht="10.5" customHeight="1" x14ac:dyDescent="0.2">
      <c r="A94" s="65" t="str">
        <f ca="1">INDIRECT(_xlfn.TEXTJOIN("",TRUE,A80,"!",ADDRESS(23+(A81-1)*J80,1)))</f>
        <v>CAP 002</v>
      </c>
      <c r="B94" s="65"/>
      <c r="C94" s="66" t="str">
        <f ca="1">INDIRECT(_xlfn.TEXTJOIN("",TRUE,A80,"!",ADDRESS(23+(A81-1)*J80,2)))</f>
        <v>Operating System Lab</v>
      </c>
      <c r="D94" s="66"/>
      <c r="E94" s="66"/>
      <c r="F94" s="66"/>
      <c r="G94" s="66"/>
      <c r="H94" s="25">
        <f ca="1">INDIRECT(_xlfn.TEXTJOIN("",TRUE,A80,"!",ADDRESS(23+(A81-1)*J80,6)))</f>
        <v>1</v>
      </c>
      <c r="I94" s="25" t="str">
        <f ca="1">INDIRECT(_xlfn.TEXTJOIN("",TRUE,A80,"!",ADDRESS(23+(A81-1)*J80,13)))</f>
        <v>A+</v>
      </c>
      <c r="J94" s="25">
        <f ca="1">INDIRECT(_xlfn.TEXTJOIN("",TRUE,A80,"!",ADDRESS(23+(A81-1)*J80,14)))</f>
        <v>9.5</v>
      </c>
    </row>
    <row r="95" spans="1:10" ht="10.5" customHeight="1" x14ac:dyDescent="0.2">
      <c r="A95" s="65" t="str">
        <f ca="1">INDIRECT(_xlfn.TEXTJOIN("",TRUE,A80,"!",ADDRESS(24+(A81-1)*J80,1)))</f>
        <v>CAP 003</v>
      </c>
      <c r="B95" s="65"/>
      <c r="C95" s="66" t="str">
        <f ca="1">INDIRECT(_xlfn.TEXTJOIN("",TRUE,A80,"!",ADDRESS(24+(A81-1)*J80,2)))</f>
        <v>Computer Organization Lab</v>
      </c>
      <c r="D95" s="66"/>
      <c r="E95" s="66"/>
      <c r="F95" s="66"/>
      <c r="G95" s="66"/>
      <c r="H95" s="25">
        <f ca="1">INDIRECT(_xlfn.TEXTJOIN("",TRUE,A80,"!",ADDRESS(24+(A81-1)*J80,6)))</f>
        <v>1</v>
      </c>
      <c r="I95" s="25" t="str">
        <f ca="1">INDIRECT(_xlfn.TEXTJOIN("",TRUE,A80,"!",ADDRESS(24+(A81-1)*J80,13)))</f>
        <v>A+</v>
      </c>
      <c r="J95" s="25">
        <f ca="1">INDIRECT(_xlfn.TEXTJOIN("",TRUE,A80,"!",ADDRESS(24+(A81-1)*J80,14)))</f>
        <v>9.5</v>
      </c>
    </row>
    <row r="96" spans="1:10" ht="10.5" customHeight="1" x14ac:dyDescent="0.2">
      <c r="A96" s="65" t="str">
        <f ca="1">INDIRECT(_xlfn.TEXTJOIN("",TRUE,A80,"!",ADDRESS(25+(A81-1)*J80,1)))</f>
        <v>AHP 303</v>
      </c>
      <c r="B96" s="65"/>
      <c r="C96" s="66" t="str">
        <f ca="1">INDIRECT(_xlfn.TEXTJOIN("",TRUE,A80,"!",ADDRESS(25+(A81-1)*J80,2)))</f>
        <v>Technical Communication Skills</v>
      </c>
      <c r="D96" s="66"/>
      <c r="E96" s="66"/>
      <c r="F96" s="66"/>
      <c r="G96" s="66"/>
      <c r="H96" s="25">
        <f ca="1">INDIRECT(_xlfn.TEXTJOIN("",TRUE,A80,"!",ADDRESS(25+(A81-1)*J80,6)))</f>
        <v>1</v>
      </c>
      <c r="I96" s="25" t="str">
        <f ca="1">INDIRECT(_xlfn.TEXTJOIN("",TRUE,A80,"!",ADDRESS(25+(A81-1)*J80,13)))</f>
        <v>B+</v>
      </c>
      <c r="J96" s="25">
        <f ca="1">INDIRECT(_xlfn.TEXTJOIN("",TRUE,A80,"!",ADDRESS(25+(A81-1)*J80,14)))</f>
        <v>8.5</v>
      </c>
    </row>
    <row r="97" spans="1:10" s="35" customFormat="1" ht="10.5" customHeight="1" x14ac:dyDescent="0.2">
      <c r="A97" s="77">
        <f ca="1">INDIRECT(_xlfn.TEXTJOIN("",TRUE,A80,"!",ADDRESS(26+(A81-1)*J80,1)))</f>
        <v>0</v>
      </c>
      <c r="B97" s="77"/>
      <c r="C97" s="78">
        <f ca="1">INDIRECT(_xlfn.TEXTJOIN("",TRUE,A80,"!",ADDRESS(26+(A81-1)*J80,2)))</f>
        <v>0</v>
      </c>
      <c r="D97" s="78"/>
      <c r="E97" s="78"/>
      <c r="F97" s="78"/>
      <c r="G97" s="78"/>
      <c r="H97" s="34">
        <f ca="1">INDIRECT(_xlfn.TEXTJOIN("",TRUE,A80,"!",ADDRESS(26+(A81-1)*J80,6)))</f>
        <v>0</v>
      </c>
      <c r="I97" s="34" t="str">
        <f ca="1">INDIRECT(_xlfn.TEXTJOIN("",TRUE,A80,"!",ADDRESS(26+(A81-1)*J80,13)))</f>
        <v>Excellent</v>
      </c>
      <c r="J97" s="34">
        <f ca="1">INDIRECT(_xlfn.TEXTJOIN("",TRUE,A80,"!",ADDRESS(26+(A81-1)*J80,14)))</f>
        <v>0</v>
      </c>
    </row>
    <row r="98" spans="1:10" ht="10.5" customHeight="1" x14ac:dyDescent="0.2">
      <c r="A98" s="71" t="s">
        <v>52</v>
      </c>
      <c r="B98" s="71"/>
      <c r="C98" s="71"/>
      <c r="D98" s="71"/>
      <c r="E98" s="71"/>
      <c r="F98" s="71"/>
      <c r="G98" s="71"/>
      <c r="H98" s="27">
        <f ca="1">SUM(H84:H97)</f>
        <v>24</v>
      </c>
      <c r="I98" s="26" t="s">
        <v>44</v>
      </c>
      <c r="J98" s="27">
        <f ca="1">SUMPRODUCT(J84:J96,H84:H96)</f>
        <v>167.5</v>
      </c>
    </row>
    <row r="99" spans="1:10" ht="10.5" customHeight="1" x14ac:dyDescent="0.2">
      <c r="A99" s="24" t="s">
        <v>57</v>
      </c>
      <c r="B99" s="72" t="str">
        <f ca="1">IF(ISNA(A100),"","Semester II (Spring Semester 2022-23)")</f>
        <v/>
      </c>
      <c r="C99" s="72"/>
      <c r="D99" s="72"/>
      <c r="E99" s="72"/>
      <c r="F99" s="72"/>
      <c r="G99" s="72"/>
      <c r="H99" s="72"/>
      <c r="I99" s="72"/>
      <c r="J99" s="24">
        <f>ROWS(A103:B112)+9</f>
        <v>19</v>
      </c>
    </row>
    <row r="100" spans="1:10" ht="10.5" customHeight="1" x14ac:dyDescent="0.2">
      <c r="A100" s="24" t="e">
        <f ca="1">INDEX(SEM_II!$A$6:$A$45,Marksheets!J100)</f>
        <v>#N/A</v>
      </c>
      <c r="B100" s="63"/>
      <c r="C100" s="63"/>
      <c r="D100" s="63"/>
      <c r="E100" s="63"/>
      <c r="F100" s="63"/>
      <c r="G100" s="63"/>
      <c r="H100" s="63"/>
      <c r="I100" s="63"/>
      <c r="J100" s="24" t="e">
        <f ca="1">MATCH(H78,SEM_II!$B$6:$B$45,0)</f>
        <v>#N/A</v>
      </c>
    </row>
    <row r="101" spans="1:10" ht="10.5" customHeight="1" x14ac:dyDescent="0.2">
      <c r="A101" s="64" t="str">
        <f ca="1">IF(ISNA(A100),"","Subject Code")</f>
        <v/>
      </c>
      <c r="B101" s="64"/>
      <c r="C101" s="64" t="str">
        <f ca="1">IF(ISNA(A100),"","Subject Name")</f>
        <v/>
      </c>
      <c r="D101" s="64"/>
      <c r="E101" s="64"/>
      <c r="F101" s="64"/>
      <c r="G101" s="64"/>
      <c r="H101" s="64" t="str">
        <f ca="1">IF(ISNA(A100),"","Credits")</f>
        <v/>
      </c>
      <c r="I101" s="64" t="str">
        <f ca="1">IF(ISNA(A100),"","Grade")</f>
        <v/>
      </c>
      <c r="J101" s="64" t="str">
        <f ca="1">IF(ISNA(A100),"","Grade Points")</f>
        <v/>
      </c>
    </row>
    <row r="102" spans="1:10" ht="13" customHeight="1" x14ac:dyDescent="0.2">
      <c r="A102" s="64"/>
      <c r="B102" s="64"/>
      <c r="C102" s="64"/>
      <c r="D102" s="64"/>
      <c r="E102" s="64"/>
      <c r="F102" s="64"/>
      <c r="G102" s="64"/>
      <c r="H102" s="64"/>
      <c r="I102" s="64"/>
      <c r="J102" s="64"/>
    </row>
    <row r="103" spans="1:10" ht="10.5" customHeight="1" x14ac:dyDescent="0.2">
      <c r="A103" s="65" t="str">
        <f ca="1">_xlfn.IFNA(INDIRECT(_xlfn.TEXTJOIN("",TRUE,A99,"!",ADDRESS(13+(A100-1)*J99,1))),"")</f>
        <v/>
      </c>
      <c r="B103" s="65"/>
      <c r="C103" s="66" t="str">
        <f ca="1">_xlfn.IFNA(INDIRECT(_xlfn.TEXTJOIN("",TRUE,A99,"!",ADDRESS(13+(A100-1)*J99,2))),"")</f>
        <v/>
      </c>
      <c r="D103" s="66"/>
      <c r="E103" s="66"/>
      <c r="F103" s="66"/>
      <c r="G103" s="66"/>
      <c r="H103" s="25" t="str">
        <f ca="1">_xlfn.IFNA(INDIRECT(_xlfn.TEXTJOIN("",TRUE,A99,"!",ADDRESS(13+(A100-1)*J99,6))),"")</f>
        <v/>
      </c>
      <c r="I103" s="25" t="str">
        <f ca="1">_xlfn.IFNA(INDIRECT(_xlfn.TEXTJOIN("",TRUE,A99,"!",ADDRESS(13+(A100-1)*J99,13))),"")</f>
        <v/>
      </c>
      <c r="J103" s="25" t="str">
        <f ca="1">_xlfn.IFNA(INDIRECT(_xlfn.TEXTJOIN("",TRUE,A99,"!",ADDRESS(13+(A100-1)*J99,14))),"")</f>
        <v/>
      </c>
    </row>
    <row r="104" spans="1:10" ht="10.5" customHeight="1" x14ac:dyDescent="0.2">
      <c r="A104" s="65" t="str">
        <f ca="1">_xlfn.IFNA(INDIRECT(_xlfn.TEXTJOIN("",TRUE,A99,"!",ADDRESS(14+(A100-1)*J99,1))),"")</f>
        <v/>
      </c>
      <c r="B104" s="65"/>
      <c r="C104" s="66" t="str">
        <f ca="1">_xlfn.IFNA(INDIRECT(_xlfn.TEXTJOIN("",TRUE,A99,"!",ADDRESS(14+(A100-1)*J99,2))),"")</f>
        <v/>
      </c>
      <c r="D104" s="66"/>
      <c r="E104" s="66"/>
      <c r="F104" s="66"/>
      <c r="G104" s="66"/>
      <c r="H104" s="25" t="str">
        <f ca="1">_xlfn.IFNA(INDIRECT(_xlfn.TEXTJOIN("",TRUE,A99,"!",ADDRESS(14+(A100-1)*J99,6))),"")</f>
        <v/>
      </c>
      <c r="I104" s="25" t="str">
        <f ca="1">_xlfn.IFNA(INDIRECT(_xlfn.TEXTJOIN("",TRUE,A99,"!",ADDRESS(14+(A100-1)*J99,13))),"")</f>
        <v/>
      </c>
      <c r="J104" s="25" t="str">
        <f ca="1">_xlfn.IFNA(INDIRECT(_xlfn.TEXTJOIN("",TRUE,A99,"!",ADDRESS(14+(A100-1)*J99,14))),"")</f>
        <v/>
      </c>
    </row>
    <row r="105" spans="1:10" ht="10.5" customHeight="1" x14ac:dyDescent="0.2">
      <c r="A105" s="65" t="str">
        <f ca="1">_xlfn.IFNA(INDIRECT(_xlfn.TEXTJOIN("",TRUE,A99,"!",ADDRESS(15+(A100-1)*J99,1))),"")</f>
        <v/>
      </c>
      <c r="B105" s="65"/>
      <c r="C105" s="66" t="str">
        <f ca="1">_xlfn.IFNA(INDIRECT(_xlfn.TEXTJOIN("",TRUE,A99,"!",ADDRESS(15+(A100-1)*J99,2))),"")</f>
        <v/>
      </c>
      <c r="D105" s="66"/>
      <c r="E105" s="66"/>
      <c r="F105" s="66"/>
      <c r="G105" s="66"/>
      <c r="H105" s="25" t="str">
        <f ca="1">_xlfn.IFNA(INDIRECT(_xlfn.TEXTJOIN("",TRUE,A99,"!",ADDRESS(15+(A100-1)*J99,6))),"")</f>
        <v/>
      </c>
      <c r="I105" s="25" t="str">
        <f ca="1">_xlfn.IFNA(INDIRECT(_xlfn.TEXTJOIN("",TRUE,A99,"!",ADDRESS(15+(A100-1)*J99,13))),"")</f>
        <v/>
      </c>
      <c r="J105" s="25" t="str">
        <f ca="1">_xlfn.IFNA(INDIRECT(_xlfn.TEXTJOIN("",TRUE,A99,"!",ADDRESS(15+(A100-1)*J99,14))),"")</f>
        <v/>
      </c>
    </row>
    <row r="106" spans="1:10" ht="10.5" customHeight="1" x14ac:dyDescent="0.2">
      <c r="A106" s="65" t="str">
        <f ca="1">_xlfn.IFNA(INDIRECT(_xlfn.TEXTJOIN("",TRUE,A99,"!",ADDRESS(16+(A100-1)*J99,1))),"")</f>
        <v/>
      </c>
      <c r="B106" s="65"/>
      <c r="C106" s="66" t="str">
        <f ca="1">_xlfn.IFNA(INDIRECT(_xlfn.TEXTJOIN("",TRUE,A99,"!",ADDRESS(16+(A100-1)*J99,2))),"")</f>
        <v/>
      </c>
      <c r="D106" s="66"/>
      <c r="E106" s="66"/>
      <c r="F106" s="66"/>
      <c r="G106" s="66"/>
      <c r="H106" s="25" t="str">
        <f ca="1">_xlfn.IFNA(INDIRECT(_xlfn.TEXTJOIN("",TRUE,A99,"!",ADDRESS(16+(A100-1)*J99,6))),"")</f>
        <v/>
      </c>
      <c r="I106" s="25" t="str">
        <f ca="1">_xlfn.IFNA(INDIRECT(_xlfn.TEXTJOIN("",TRUE,A99,"!",ADDRESS(16+(A100-1)*J99,13))),"")</f>
        <v/>
      </c>
      <c r="J106" s="25" t="str">
        <f ca="1">_xlfn.IFNA(INDIRECT(_xlfn.TEXTJOIN("",TRUE,A99,"!",ADDRESS(16+(A100-1)*J99,14))),"")</f>
        <v/>
      </c>
    </row>
    <row r="107" spans="1:10" ht="10.5" customHeight="1" x14ac:dyDescent="0.2">
      <c r="A107" s="65" t="str">
        <f ca="1">_xlfn.IFNA(INDIRECT(_xlfn.TEXTJOIN("",TRUE,A99,"!",ADDRESS(17+(A100-1)*J99,1))),"")</f>
        <v/>
      </c>
      <c r="B107" s="65"/>
      <c r="C107" s="66" t="str">
        <f ca="1">_xlfn.IFNA(INDIRECT(_xlfn.TEXTJOIN("",TRUE,A99,"!",ADDRESS(17+(A100-1)*J99,2))),"")</f>
        <v/>
      </c>
      <c r="D107" s="66"/>
      <c r="E107" s="66"/>
      <c r="F107" s="66"/>
      <c r="G107" s="66"/>
      <c r="H107" s="25" t="str">
        <f ca="1">_xlfn.IFNA(INDIRECT(_xlfn.TEXTJOIN("",TRUE,A99,"!",ADDRESS(17+(A100-1)*J99,6))),"")</f>
        <v/>
      </c>
      <c r="I107" s="25" t="str">
        <f ca="1">_xlfn.IFNA(INDIRECT(_xlfn.TEXTJOIN("",TRUE,A99,"!",ADDRESS(17+(A100-1)*J99,13))),"")</f>
        <v/>
      </c>
      <c r="J107" s="25" t="str">
        <f ca="1">_xlfn.IFNA(INDIRECT(_xlfn.TEXTJOIN("",TRUE,A99,"!",ADDRESS(17+(A100-1)*J99,14))),"")</f>
        <v/>
      </c>
    </row>
    <row r="108" spans="1:10" ht="10.5" customHeight="1" x14ac:dyDescent="0.2">
      <c r="A108" s="65" t="str">
        <f ca="1">_xlfn.IFNA(INDIRECT(_xlfn.TEXTJOIN("",TRUE,A99,"!",ADDRESS(18+(A100-1)*J99,1))),"")</f>
        <v/>
      </c>
      <c r="B108" s="65"/>
      <c r="C108" s="66" t="str">
        <f ca="1">_xlfn.IFNA(INDIRECT(_xlfn.TEXTJOIN("",TRUE,A99,"!",ADDRESS(18+(A100-1)*J99,2))),"")</f>
        <v/>
      </c>
      <c r="D108" s="66"/>
      <c r="E108" s="66"/>
      <c r="F108" s="66"/>
      <c r="G108" s="66"/>
      <c r="H108" s="25" t="str">
        <f ca="1">_xlfn.IFNA(INDIRECT(_xlfn.TEXTJOIN("",TRUE,A99,"!",ADDRESS(18+(A100-1)*J99,6))),"")</f>
        <v/>
      </c>
      <c r="I108" s="25" t="str">
        <f ca="1">_xlfn.IFNA(INDIRECT(_xlfn.TEXTJOIN("",TRUE,A99,"!",ADDRESS(18+(A100-1)*J99,13))),"")</f>
        <v/>
      </c>
      <c r="J108" s="25" t="str">
        <f ca="1">_xlfn.IFNA(INDIRECT(_xlfn.TEXTJOIN("",TRUE,A99,"!",ADDRESS(18+(A100-1)*J99,14))),"")</f>
        <v/>
      </c>
    </row>
    <row r="109" spans="1:10" ht="10.5" customHeight="1" x14ac:dyDescent="0.2">
      <c r="A109" s="60" t="str">
        <f ca="1">_xlfn.IFNA(INDIRECT(_xlfn.TEXTJOIN("",TRUE,A99,"!",ADDRESS(19+(A100-1)*J99,1))),"")</f>
        <v/>
      </c>
      <c r="B109" s="61"/>
      <c r="C109" s="57" t="str">
        <f ca="1">_xlfn.IFNA(INDIRECT(_xlfn.TEXTJOIN("",TRUE,A99,"!",ADDRESS(19+(A100-1)*J99,2))),"")</f>
        <v/>
      </c>
      <c r="D109" s="58"/>
      <c r="E109" s="58"/>
      <c r="F109" s="58"/>
      <c r="G109" s="59"/>
      <c r="H109" s="25" t="str">
        <f ca="1">_xlfn.IFNA(INDIRECT(_xlfn.TEXTJOIN("",TRUE,A99,"!",ADDRESS(19+(A100-1)*J99,6))),"")</f>
        <v/>
      </c>
      <c r="I109" s="25" t="str">
        <f ca="1">_xlfn.IFNA(INDIRECT(_xlfn.TEXTJOIN("",TRUE,A99,"!",ADDRESS(19+(A100-1)*J99,13))),"")</f>
        <v/>
      </c>
      <c r="J109" s="25" t="str">
        <f ca="1">_xlfn.IFNA(INDIRECT(_xlfn.TEXTJOIN("",TRUE,A99,"!",ADDRESS(19+(A100-1)*J99,14))),"")</f>
        <v/>
      </c>
    </row>
    <row r="110" spans="1:10" ht="10.5" customHeight="1" x14ac:dyDescent="0.2">
      <c r="A110" s="65" t="str">
        <f ca="1">_xlfn.IFNA(INDIRECT(_xlfn.TEXTJOIN("",TRUE,A99,"!",ADDRESS(20+(A100-1)*J99,1))),"")</f>
        <v/>
      </c>
      <c r="B110" s="65"/>
      <c r="C110" s="66" t="str">
        <f ca="1">_xlfn.IFNA(INDIRECT(_xlfn.TEXTJOIN("",TRUE,A99,"!",ADDRESS(20+(A100-1)*J99,2))),"")</f>
        <v/>
      </c>
      <c r="D110" s="66"/>
      <c r="E110" s="66"/>
      <c r="F110" s="66"/>
      <c r="G110" s="66"/>
      <c r="H110" s="25" t="str">
        <f ca="1">_xlfn.IFNA(INDIRECT(_xlfn.TEXTJOIN("",TRUE,A99,"!",ADDRESS(20+(A100-1)*J99,6))),"")</f>
        <v/>
      </c>
      <c r="I110" s="25" t="str">
        <f ca="1">_xlfn.IFNA(INDIRECT(_xlfn.TEXTJOIN("",TRUE,A99,"!",ADDRESS(20+(A100-1)*J99,13))),"")</f>
        <v/>
      </c>
      <c r="J110" s="25" t="str">
        <f ca="1">_xlfn.IFNA(INDIRECT(_xlfn.TEXTJOIN("",TRUE,A99,"!",ADDRESS(20+(A100-1)*J99,14))),"")</f>
        <v/>
      </c>
    </row>
    <row r="111" spans="1:10" ht="10.5" customHeight="1" x14ac:dyDescent="0.2">
      <c r="A111" s="65" t="str">
        <f ca="1">_xlfn.IFNA(INDIRECT(_xlfn.TEXTJOIN("",TRUE,A99,"!",ADDRESS(21+(A100-1)*J99,1))),"")</f>
        <v/>
      </c>
      <c r="B111" s="65"/>
      <c r="C111" s="66" t="str">
        <f ca="1">_xlfn.IFNA(INDIRECT(_xlfn.TEXTJOIN("",TRUE,A99,"!",ADDRESS(21+(A100-1)*J99,2))),"")</f>
        <v/>
      </c>
      <c r="D111" s="66"/>
      <c r="E111" s="66"/>
      <c r="F111" s="66"/>
      <c r="G111" s="66"/>
      <c r="H111" s="25" t="str">
        <f ca="1">_xlfn.IFNA(INDIRECT(_xlfn.TEXTJOIN("",TRUE,A99,"!",ADDRESS(21+(A100-1)*J99,6))),"")</f>
        <v/>
      </c>
      <c r="I111" s="25" t="str">
        <f ca="1">_xlfn.IFNA(INDIRECT(_xlfn.TEXTJOIN("",TRUE,A99,"!",ADDRESS(21+(A100-1)*J99,13))),"")</f>
        <v/>
      </c>
      <c r="J111" s="25" t="str">
        <f ca="1">_xlfn.IFNA(INDIRECT(_xlfn.TEXTJOIN("",TRUE,A99,"!",ADDRESS(21+(A100-1)*J99,14))),"")</f>
        <v/>
      </c>
    </row>
    <row r="112" spans="1:10" ht="10.5" customHeight="1" x14ac:dyDescent="0.2">
      <c r="A112" s="65" t="str">
        <f ca="1">_xlfn.IFNA(INDIRECT(_xlfn.TEXTJOIN("",TRUE,A99,"!",ADDRESS(22+(A100-1)*J99,1))),"")</f>
        <v/>
      </c>
      <c r="B112" s="65"/>
      <c r="C112" s="66" t="str">
        <f ca="1">_xlfn.IFNA(INDIRECT(_xlfn.TEXTJOIN("",TRUE,A99,"!",ADDRESS(22+(A100-1)*J99,2))),"")</f>
        <v/>
      </c>
      <c r="D112" s="66"/>
      <c r="E112" s="66"/>
      <c r="F112" s="66"/>
      <c r="G112" s="66"/>
      <c r="H112" s="25" t="str">
        <f ca="1">_xlfn.IFNA(INDIRECT(_xlfn.TEXTJOIN("",TRUE,A99,"!",ADDRESS(22+(A100-1)*J99,6))),"")</f>
        <v/>
      </c>
      <c r="I112" s="25" t="str">
        <f ca="1">_xlfn.IFNA(INDIRECT(_xlfn.TEXTJOIN("",TRUE,A99,"!",ADDRESS(22+(A100-1)*J99,13))),"")</f>
        <v/>
      </c>
      <c r="J112" s="25" t="str">
        <f ca="1">_xlfn.IFNA(INDIRECT(_xlfn.TEXTJOIN("",TRUE,A99,"!",ADDRESS(22+(A100-1)*J99,14))),"")</f>
        <v/>
      </c>
    </row>
    <row r="113" spans="1:10" ht="10.5" customHeight="1" x14ac:dyDescent="0.2">
      <c r="A113" s="71" t="str">
        <f ca="1">IF(ISNA(A100),"","Total Credits/ Total Grade Points")</f>
        <v/>
      </c>
      <c r="B113" s="71"/>
      <c r="C113" s="71"/>
      <c r="D113" s="71"/>
      <c r="E113" s="71"/>
      <c r="F113" s="71"/>
      <c r="G113" s="71"/>
      <c r="H113" s="27" t="str">
        <f ca="1">IF(ISNA(A100),"",SUM(H103:H112))</f>
        <v/>
      </c>
      <c r="I113" s="26" t="str">
        <f ca="1">IF(ISNA(A100),"","-")</f>
        <v/>
      </c>
      <c r="J113" s="27" t="str">
        <f ca="1">IF(ISNA(A100),"",SUMPRODUCT(J103:J112,H103:H112))</f>
        <v/>
      </c>
    </row>
    <row r="114" spans="1:10" ht="10.5" customHeight="1" x14ac:dyDescent="0.2">
      <c r="A114" s="24" t="s">
        <v>60</v>
      </c>
      <c r="B114" s="72" t="str">
        <f ca="1">IF(ISNA(A115),"","Semester III (Autumn Semester 2023-24)")</f>
        <v/>
      </c>
      <c r="C114" s="72"/>
      <c r="D114" s="72"/>
      <c r="E114" s="72"/>
      <c r="F114" s="72"/>
      <c r="G114" s="72"/>
      <c r="H114" s="72"/>
      <c r="I114" s="72"/>
      <c r="J114" s="24">
        <f>ROWS(A118:B125)+9</f>
        <v>17</v>
      </c>
    </row>
    <row r="115" spans="1:10" ht="10.5" customHeight="1" x14ac:dyDescent="0.2">
      <c r="A115" s="24" t="e">
        <f ca="1">INDEX(SEM_III!$A$6:$A$43,Marksheets!J115)</f>
        <v>#N/A</v>
      </c>
      <c r="B115" s="63"/>
      <c r="C115" s="63"/>
      <c r="D115" s="63"/>
      <c r="E115" s="63"/>
      <c r="F115" s="63"/>
      <c r="G115" s="63"/>
      <c r="H115" s="63"/>
      <c r="I115" s="63"/>
      <c r="J115" s="24" t="e">
        <f ca="1">MATCH(H78,SEM_III!$B$6:$B$43,0)</f>
        <v>#N/A</v>
      </c>
    </row>
    <row r="116" spans="1:10" ht="10.5" customHeight="1" x14ac:dyDescent="0.2">
      <c r="A116" s="64" t="str">
        <f ca="1">IF(ISNA(A115),"","Subject Code")</f>
        <v/>
      </c>
      <c r="B116" s="64"/>
      <c r="C116" s="64" t="str">
        <f ca="1">IF(ISNA(A115),"","Subject Name")</f>
        <v/>
      </c>
      <c r="D116" s="64"/>
      <c r="E116" s="64"/>
      <c r="F116" s="64"/>
      <c r="G116" s="64"/>
      <c r="H116" s="64" t="str">
        <f ca="1">IF(ISNA(A115),"","Credits")</f>
        <v/>
      </c>
      <c r="I116" s="64" t="str">
        <f ca="1">IF(ISNA(A115),"","Grade")</f>
        <v/>
      </c>
      <c r="J116" s="64" t="str">
        <f ca="1">IF(ISNA(A115),"","Grade Points")</f>
        <v/>
      </c>
    </row>
    <row r="117" spans="1:10" ht="13.5" customHeight="1" x14ac:dyDescent="0.2">
      <c r="A117" s="64"/>
      <c r="B117" s="64"/>
      <c r="C117" s="64"/>
      <c r="D117" s="64"/>
      <c r="E117" s="64"/>
      <c r="F117" s="64"/>
      <c r="G117" s="64"/>
      <c r="H117" s="64"/>
      <c r="I117" s="64"/>
      <c r="J117" s="64"/>
    </row>
    <row r="118" spans="1:10" ht="10.5" customHeight="1" x14ac:dyDescent="0.2">
      <c r="A118" s="65" t="str">
        <f ca="1">_xlfn.IFNA(INDIRECT(_xlfn.TEXTJOIN("",TRUE,A114,"!",ADDRESS(13+(A115-1)*J114,1))),"")</f>
        <v/>
      </c>
      <c r="B118" s="65"/>
      <c r="C118" s="66" t="str">
        <f ca="1">_xlfn.IFNA(INDIRECT(_xlfn.TEXTJOIN("",TRUE,A114,"!",ADDRESS(13+(A115-1)*J114,2))),"")</f>
        <v/>
      </c>
      <c r="D118" s="66"/>
      <c r="E118" s="66"/>
      <c r="F118" s="66"/>
      <c r="G118" s="66"/>
      <c r="H118" s="25" t="str">
        <f ca="1">_xlfn.IFNA(INDIRECT(_xlfn.TEXTJOIN("",TRUE,A114,"!",ADDRESS(13+(A115-1)*J114,6))),"")</f>
        <v/>
      </c>
      <c r="I118" s="25" t="str">
        <f ca="1">_xlfn.IFNA(INDIRECT(_xlfn.TEXTJOIN("",TRUE,A114,"!",ADDRESS(13+(A115-1)*J114,13))),"")</f>
        <v/>
      </c>
      <c r="J118" s="25" t="str">
        <f ca="1">_xlfn.IFNA(INDIRECT(_xlfn.TEXTJOIN("",TRUE,A114,"!",ADDRESS(13+(A115-1)*J114,14))),"")</f>
        <v/>
      </c>
    </row>
    <row r="119" spans="1:10" ht="10.5" customHeight="1" x14ac:dyDescent="0.2">
      <c r="A119" s="65" t="str">
        <f ca="1">_xlfn.IFNA(INDIRECT(_xlfn.TEXTJOIN("",TRUE,A114,"!",ADDRESS(14+(A115-1)*J114,1))),"")</f>
        <v/>
      </c>
      <c r="B119" s="65"/>
      <c r="C119" s="66" t="str">
        <f ca="1">_xlfn.IFNA(INDIRECT(_xlfn.TEXTJOIN("",TRUE,A114,"!",ADDRESS(14+(A115-1)*J114,2))),"")</f>
        <v/>
      </c>
      <c r="D119" s="66"/>
      <c r="E119" s="66"/>
      <c r="F119" s="66"/>
      <c r="G119" s="66"/>
      <c r="H119" s="25" t="str">
        <f ca="1">_xlfn.IFNA(INDIRECT(_xlfn.TEXTJOIN("",TRUE,A114,"!",ADDRESS(14+(A115-1)*J114,6))),"")</f>
        <v/>
      </c>
      <c r="I119" s="25" t="str">
        <f ca="1">_xlfn.IFNA(INDIRECT(_xlfn.TEXTJOIN("",TRUE,A114,"!",ADDRESS(14+(A115-1)*J114,13))),"")</f>
        <v/>
      </c>
      <c r="J119" s="25" t="str">
        <f ca="1">_xlfn.IFNA(INDIRECT(_xlfn.TEXTJOIN("",TRUE,A114,"!",ADDRESS(14+(A115-1)*J114,14))),"")</f>
        <v/>
      </c>
    </row>
    <row r="120" spans="1:10" ht="10.5" customHeight="1" x14ac:dyDescent="0.2">
      <c r="A120" s="65" t="str">
        <f ca="1">_xlfn.IFNA(INDIRECT(_xlfn.TEXTJOIN("",TRUE,A114,"!",ADDRESS(15+(A115-1)*J114,1))),"")</f>
        <v/>
      </c>
      <c r="B120" s="65"/>
      <c r="C120" s="66" t="str">
        <f ca="1">_xlfn.IFNA(INDIRECT(_xlfn.TEXTJOIN("",TRUE,A114,"!",ADDRESS(15+(A115-1)*J114,2))),"")</f>
        <v/>
      </c>
      <c r="D120" s="66"/>
      <c r="E120" s="66"/>
      <c r="F120" s="66"/>
      <c r="G120" s="66"/>
      <c r="H120" s="25" t="str">
        <f ca="1">_xlfn.IFNA(INDIRECT(_xlfn.TEXTJOIN("",TRUE,A114,"!",ADDRESS(15+(A115-1)*J114,6))),"")</f>
        <v/>
      </c>
      <c r="I120" s="25" t="str">
        <f ca="1">_xlfn.IFNA(INDIRECT(_xlfn.TEXTJOIN("",TRUE,A114,"!",ADDRESS(15+(A115-1)*J114,13))),"")</f>
        <v/>
      </c>
      <c r="J120" s="25" t="str">
        <f ca="1">_xlfn.IFNA(INDIRECT(_xlfn.TEXTJOIN("",TRUE,A114,"!",ADDRESS(15+(A115-1)*J114,14))),"")</f>
        <v/>
      </c>
    </row>
    <row r="121" spans="1:10" ht="10.5" customHeight="1" x14ac:dyDescent="0.2">
      <c r="A121" s="65" t="str">
        <f ca="1">_xlfn.IFNA(INDIRECT(_xlfn.TEXTJOIN("",TRUE,A114,"!",ADDRESS(16+(A115-1)*J114,1))),"")</f>
        <v/>
      </c>
      <c r="B121" s="65"/>
      <c r="C121" s="66" t="str">
        <f ca="1">_xlfn.IFNA(INDIRECT(_xlfn.TEXTJOIN("",TRUE,A114,"!",ADDRESS(16+(A115-1)*J114,2))),"")</f>
        <v/>
      </c>
      <c r="D121" s="66"/>
      <c r="E121" s="66"/>
      <c r="F121" s="66"/>
      <c r="G121" s="66"/>
      <c r="H121" s="25" t="str">
        <f ca="1">_xlfn.IFNA(INDIRECT(_xlfn.TEXTJOIN("",TRUE,A114,"!",ADDRESS(16+(A115-1)*J114,6))),"")</f>
        <v/>
      </c>
      <c r="I121" s="25" t="str">
        <f ca="1">_xlfn.IFNA(INDIRECT(_xlfn.TEXTJOIN("",TRUE,A114,"!",ADDRESS(16+(A115-1)*J114,13))),"")</f>
        <v/>
      </c>
      <c r="J121" s="25" t="str">
        <f ca="1">_xlfn.IFNA(INDIRECT(_xlfn.TEXTJOIN("",TRUE,A114,"!",ADDRESS(16+(A115-1)*J114,14))),"")</f>
        <v/>
      </c>
    </row>
    <row r="122" spans="1:10" ht="10.5" customHeight="1" x14ac:dyDescent="0.2">
      <c r="A122" s="65" t="str">
        <f ca="1">_xlfn.IFNA(INDIRECT(_xlfn.TEXTJOIN("",TRUE,A114,"!",ADDRESS(17+(A115-1)*J114,1))),"")</f>
        <v/>
      </c>
      <c r="B122" s="65"/>
      <c r="C122" s="66" t="str">
        <f ca="1">_xlfn.IFNA(INDIRECT(_xlfn.TEXTJOIN("",TRUE,A114,"!",ADDRESS(17+(A115-1)*J114,2))),"")</f>
        <v/>
      </c>
      <c r="D122" s="66"/>
      <c r="E122" s="66"/>
      <c r="F122" s="66"/>
      <c r="G122" s="66"/>
      <c r="H122" s="25" t="str">
        <f ca="1">_xlfn.IFNA(INDIRECT(_xlfn.TEXTJOIN("",TRUE,A114,"!",ADDRESS(17+(A115-1)*J114,6))),"")</f>
        <v/>
      </c>
      <c r="I122" s="25" t="str">
        <f ca="1">_xlfn.IFNA(INDIRECT(_xlfn.TEXTJOIN("",TRUE,A114,"!",ADDRESS(17+(A115-1)*J114,13))),"")</f>
        <v/>
      </c>
      <c r="J122" s="25" t="str">
        <f ca="1">_xlfn.IFNA(INDIRECT(_xlfn.TEXTJOIN("",TRUE,A114,"!",ADDRESS(17+(A115-1)*J114,14))),"")</f>
        <v/>
      </c>
    </row>
    <row r="123" spans="1:10" ht="10.5" customHeight="1" x14ac:dyDescent="0.2">
      <c r="A123" s="65" t="str">
        <f ca="1">_xlfn.IFNA(INDIRECT(_xlfn.TEXTJOIN("",TRUE,A114,"!",ADDRESS(18+(A115-1)*J114,1))),"")</f>
        <v/>
      </c>
      <c r="B123" s="65"/>
      <c r="C123" s="66" t="str">
        <f ca="1">_xlfn.IFNA(INDIRECT(_xlfn.TEXTJOIN("",TRUE,A114,"!",ADDRESS(18+(A115-1)*J114,2))),"")</f>
        <v/>
      </c>
      <c r="D123" s="66"/>
      <c r="E123" s="66"/>
      <c r="F123" s="66"/>
      <c r="G123" s="66"/>
      <c r="H123" s="25" t="str">
        <f ca="1">_xlfn.IFNA(INDIRECT(_xlfn.TEXTJOIN("",TRUE,A114,"!",ADDRESS(18+(A115-1)*J114,6))),"")</f>
        <v/>
      </c>
      <c r="I123" s="25" t="str">
        <f ca="1">_xlfn.IFNA(INDIRECT(_xlfn.TEXTJOIN("",TRUE,A114,"!",ADDRESS(18+(A115-1)*J114,13))),"")</f>
        <v/>
      </c>
      <c r="J123" s="25" t="str">
        <f ca="1">_xlfn.IFNA(INDIRECT(_xlfn.TEXTJOIN("",TRUE,A114,"!",ADDRESS(18+(A115-1)*J114,14))),"")</f>
        <v/>
      </c>
    </row>
    <row r="124" spans="1:10" ht="10.5" customHeight="1" x14ac:dyDescent="0.2">
      <c r="A124" s="60" t="str">
        <f ca="1">_xlfn.IFNA(INDIRECT(_xlfn.TEXTJOIN("",TRUE,A114,"!",ADDRESS(19+(A115-1)*J114,1))),"")</f>
        <v/>
      </c>
      <c r="B124" s="61"/>
      <c r="C124" s="57" t="str">
        <f ca="1">_xlfn.IFNA(INDIRECT(_xlfn.TEXTJOIN("",TRUE,A114,"!",ADDRESS(19+(A115-1)*J114,2))),"")</f>
        <v/>
      </c>
      <c r="D124" s="58"/>
      <c r="E124" s="58"/>
      <c r="F124" s="58"/>
      <c r="G124" s="59"/>
      <c r="H124" s="25" t="str">
        <f ca="1">_xlfn.IFNA(INDIRECT(_xlfn.TEXTJOIN("",TRUE,A114,"!",ADDRESS(19+(A115-1)*J114,6))),"")</f>
        <v/>
      </c>
      <c r="I124" s="25" t="str">
        <f ca="1">_xlfn.IFNA(INDIRECT(_xlfn.TEXTJOIN("",TRUE,A114,"!",ADDRESS(19+(A115-1)*J114,13))),"")</f>
        <v/>
      </c>
      <c r="J124" s="25" t="str">
        <f ca="1">_xlfn.IFNA(INDIRECT(_xlfn.TEXTJOIN("",TRUE,A114,"!",ADDRESS(19+(A115-1)*J114,14))),"")</f>
        <v/>
      </c>
    </row>
    <row r="125" spans="1:10" ht="10.5" customHeight="1" x14ac:dyDescent="0.2">
      <c r="A125" s="65" t="str">
        <f ca="1">_xlfn.IFNA(INDIRECT(_xlfn.TEXTJOIN("",TRUE,A114,"!",ADDRESS(20+(A115-1)*J114,1))),"")</f>
        <v/>
      </c>
      <c r="B125" s="65"/>
      <c r="C125" s="66" t="str">
        <f ca="1">_xlfn.IFNA(INDIRECT(_xlfn.TEXTJOIN("",TRUE,A114,"!",ADDRESS(20+(A115-1)*J114,2))),"")</f>
        <v/>
      </c>
      <c r="D125" s="66"/>
      <c r="E125" s="66"/>
      <c r="F125" s="66"/>
      <c r="G125" s="66"/>
      <c r="H125" s="25" t="str">
        <f ca="1">_xlfn.IFNA(INDIRECT(_xlfn.TEXTJOIN("",TRUE,A114,"!",ADDRESS(20+(A115-1)*J114,6))),"")</f>
        <v/>
      </c>
      <c r="I125" s="25" t="str">
        <f ca="1">_xlfn.IFNA(INDIRECT(_xlfn.TEXTJOIN("",TRUE,A114,"!",ADDRESS(20+(A115-1)*J114,13))),"")</f>
        <v/>
      </c>
      <c r="J125" s="25" t="str">
        <f ca="1">_xlfn.IFNA(INDIRECT(_xlfn.TEXTJOIN("",TRUE,A114,"!",ADDRESS(20+(A115-1)*J114,14))),"")</f>
        <v/>
      </c>
    </row>
    <row r="126" spans="1:10" ht="10.5" customHeight="1" x14ac:dyDescent="0.2">
      <c r="A126" s="71" t="str">
        <f ca="1">IF(ISNA(A115),"","Total Credits/ Total Grade Points")</f>
        <v/>
      </c>
      <c r="B126" s="71"/>
      <c r="C126" s="71"/>
      <c r="D126" s="71"/>
      <c r="E126" s="71"/>
      <c r="F126" s="71"/>
      <c r="G126" s="71"/>
      <c r="H126" s="27" t="str">
        <f ca="1">IF(ISNA(A115),"",SUM(H118:H125))</f>
        <v/>
      </c>
      <c r="I126" s="26" t="str">
        <f ca="1">IF(ISNA(A115),"","-")</f>
        <v/>
      </c>
      <c r="J126" s="27" t="str">
        <f ca="1">IF(ISNA(A115),"",SUMPRODUCT(J118:J125,H118:H125))</f>
        <v/>
      </c>
    </row>
    <row r="127" spans="1:10" ht="10.5" customHeight="1" x14ac:dyDescent="0.2">
      <c r="A127" s="24" t="s">
        <v>133</v>
      </c>
      <c r="B127" s="72" t="str">
        <f ca="1">IF(ISNA(A128),"","Semester IV (Spring Semester 2023-24)")</f>
        <v/>
      </c>
      <c r="C127" s="72"/>
      <c r="D127" s="72"/>
      <c r="E127" s="72"/>
      <c r="F127" s="72"/>
      <c r="G127" s="72"/>
      <c r="H127" s="72"/>
      <c r="I127" s="72"/>
      <c r="J127" s="24">
        <f>ROWS(A131:B137)+9</f>
        <v>16</v>
      </c>
    </row>
    <row r="128" spans="1:10" ht="10.5" customHeight="1" x14ac:dyDescent="0.2">
      <c r="A128" s="24" t="e">
        <f ca="1">INDEX(SEM_IV!$A$6:$A$43,Marksheets!J128)</f>
        <v>#N/A</v>
      </c>
      <c r="B128" s="63"/>
      <c r="C128" s="63"/>
      <c r="D128" s="63"/>
      <c r="E128" s="63"/>
      <c r="F128" s="63"/>
      <c r="G128" s="63"/>
      <c r="H128" s="63"/>
      <c r="I128" s="63"/>
      <c r="J128" s="24" t="e">
        <f ca="1">MATCH(H78,SEM_IV!$B$6:$B$43,0)</f>
        <v>#N/A</v>
      </c>
    </row>
    <row r="129" spans="1:10" ht="10.5" customHeight="1" x14ac:dyDescent="0.2">
      <c r="A129" s="64" t="str">
        <f ca="1">IF(ISNA(A128),"","Subject Code")</f>
        <v/>
      </c>
      <c r="B129" s="64"/>
      <c r="C129" s="64" t="str">
        <f ca="1">IF(ISNA(A128),"","Subject Name")</f>
        <v/>
      </c>
      <c r="D129" s="64"/>
      <c r="E129" s="64"/>
      <c r="F129" s="64"/>
      <c r="G129" s="64"/>
      <c r="H129" s="64" t="str">
        <f ca="1">IF(ISNA(A128),"","Credits")</f>
        <v/>
      </c>
      <c r="I129" s="64" t="str">
        <f ca="1">IF(ISNA(A128),"","Grade")</f>
        <v/>
      </c>
      <c r="J129" s="64" t="str">
        <f ca="1">IF(ISNA(A128),"","Grade Points")</f>
        <v/>
      </c>
    </row>
    <row r="130" spans="1:10" ht="11.5" customHeight="1" x14ac:dyDescent="0.2">
      <c r="A130" s="64"/>
      <c r="B130" s="64"/>
      <c r="C130" s="64"/>
      <c r="D130" s="64"/>
      <c r="E130" s="64"/>
      <c r="F130" s="64"/>
      <c r="G130" s="64"/>
      <c r="H130" s="64"/>
      <c r="I130" s="64"/>
      <c r="J130" s="64"/>
    </row>
    <row r="131" spans="1:10" ht="10.5" customHeight="1" x14ac:dyDescent="0.2">
      <c r="A131" s="65" t="str">
        <f ca="1">_xlfn.IFNA(INDIRECT(_xlfn.TEXTJOIN("",TRUE,A127,"!",ADDRESS(13+(A128-1)*J127,1))),"")</f>
        <v/>
      </c>
      <c r="B131" s="65"/>
      <c r="C131" s="66" t="str">
        <f ca="1">_xlfn.IFNA(INDIRECT(_xlfn.TEXTJOIN("",TRUE,A127,"!",ADDRESS(13+(A128-1)*J127,2))),"")</f>
        <v/>
      </c>
      <c r="D131" s="66"/>
      <c r="E131" s="66"/>
      <c r="F131" s="66"/>
      <c r="G131" s="66"/>
      <c r="H131" s="25" t="str">
        <f ca="1">_xlfn.IFNA(INDIRECT(_xlfn.TEXTJOIN("",TRUE,A127,"!",ADDRESS(13+(A128-1)*J127,6))),"")</f>
        <v/>
      </c>
      <c r="I131" s="25" t="str">
        <f ca="1">_xlfn.IFNA(INDIRECT(_xlfn.TEXTJOIN("",TRUE,A127,"!",ADDRESS(13+(A128-1)*J127,13))),"")</f>
        <v/>
      </c>
      <c r="J131" s="25" t="str">
        <f ca="1">_xlfn.IFNA(INDIRECT(_xlfn.TEXTJOIN("",TRUE,A127,"!",ADDRESS(13+(A128-1)*J127,14))),"")</f>
        <v/>
      </c>
    </row>
    <row r="132" spans="1:10" ht="10.5" customHeight="1" x14ac:dyDescent="0.2">
      <c r="A132" s="65" t="str">
        <f ca="1">_xlfn.IFNA(INDIRECT(_xlfn.TEXTJOIN("",TRUE,A127,"!",ADDRESS(14+(A128-1)*J127,1))),"")</f>
        <v/>
      </c>
      <c r="B132" s="65"/>
      <c r="C132" s="66" t="str">
        <f ca="1">_xlfn.IFNA(INDIRECT(_xlfn.TEXTJOIN("",TRUE,A127,"!",ADDRESS(14+(A128-1)*J127,2))),"")</f>
        <v/>
      </c>
      <c r="D132" s="66"/>
      <c r="E132" s="66"/>
      <c r="F132" s="66"/>
      <c r="G132" s="66"/>
      <c r="H132" s="25" t="str">
        <f ca="1">_xlfn.IFNA(INDIRECT(_xlfn.TEXTJOIN("",TRUE,A127,"!",ADDRESS(14+(A128-1)*J127,6))),"")</f>
        <v/>
      </c>
      <c r="I132" s="25" t="str">
        <f ca="1">_xlfn.IFNA(INDIRECT(_xlfn.TEXTJOIN("",TRUE,A127,"!",ADDRESS(14+(A128-1)*J127,13))),"")</f>
        <v/>
      </c>
      <c r="J132" s="25" t="str">
        <f ca="1">_xlfn.IFNA(INDIRECT(_xlfn.TEXTJOIN("",TRUE,A127,"!",ADDRESS(14+(A128-1)*J127,14))),"")</f>
        <v/>
      </c>
    </row>
    <row r="133" spans="1:10" ht="10.5" customHeight="1" x14ac:dyDescent="0.2">
      <c r="A133" s="65" t="str">
        <f ca="1">_xlfn.IFNA(INDIRECT(_xlfn.TEXTJOIN("",TRUE,A127,"!",ADDRESS(15+(A128-1)*J127,1))),"")</f>
        <v/>
      </c>
      <c r="B133" s="65"/>
      <c r="C133" s="66" t="str">
        <f ca="1">_xlfn.IFNA(INDIRECT(_xlfn.TEXTJOIN("",TRUE,A127,"!",ADDRESS(15+(A128-1)*J127,2))),"")</f>
        <v/>
      </c>
      <c r="D133" s="66"/>
      <c r="E133" s="66"/>
      <c r="F133" s="66"/>
      <c r="G133" s="66"/>
      <c r="H133" s="25" t="str">
        <f ca="1">_xlfn.IFNA(INDIRECT(_xlfn.TEXTJOIN("",TRUE,A127,"!",ADDRESS(15+(A128-1)*J127,6))),"")</f>
        <v/>
      </c>
      <c r="I133" s="25" t="str">
        <f ca="1">_xlfn.IFNA(INDIRECT(_xlfn.TEXTJOIN("",TRUE,A127,"!",ADDRESS(15+(A128-1)*J127,13))),"")</f>
        <v/>
      </c>
      <c r="J133" s="25" t="str">
        <f ca="1">_xlfn.IFNA(INDIRECT(_xlfn.TEXTJOIN("",TRUE,A127,"!",ADDRESS(15+(A128-1)*J127,14))),"")</f>
        <v/>
      </c>
    </row>
    <row r="134" spans="1:10" ht="10.5" customHeight="1" x14ac:dyDescent="0.2">
      <c r="A134" s="65" t="str">
        <f ca="1">_xlfn.IFNA(INDIRECT(_xlfn.TEXTJOIN("",TRUE,A127,"!",ADDRESS(16+(A128-1)*J127,1))),"")</f>
        <v/>
      </c>
      <c r="B134" s="65"/>
      <c r="C134" s="66" t="str">
        <f ca="1">_xlfn.IFNA(INDIRECT(_xlfn.TEXTJOIN("",TRUE,A127,"!",ADDRESS(16+(A128-1)*J127,2))),"")</f>
        <v/>
      </c>
      <c r="D134" s="66"/>
      <c r="E134" s="66"/>
      <c r="F134" s="66"/>
      <c r="G134" s="66"/>
      <c r="H134" s="25" t="str">
        <f ca="1">_xlfn.IFNA(INDIRECT(_xlfn.TEXTJOIN("",TRUE,A127,"!",ADDRESS(16+(A128-1)*J127,6))),"")</f>
        <v/>
      </c>
      <c r="I134" s="25" t="str">
        <f ca="1">_xlfn.IFNA(INDIRECT(_xlfn.TEXTJOIN("",TRUE,A127,"!",ADDRESS(16+(A128-1)*J127,13))),"")</f>
        <v/>
      </c>
      <c r="J134" s="25" t="str">
        <f ca="1">_xlfn.IFNA(INDIRECT(_xlfn.TEXTJOIN("",TRUE,A127,"!",ADDRESS(16+(A128-1)*J127,14))),"")</f>
        <v/>
      </c>
    </row>
    <row r="135" spans="1:10" ht="10.5" customHeight="1" x14ac:dyDescent="0.2">
      <c r="A135" s="65" t="str">
        <f ca="1">_xlfn.IFNA(INDIRECT(_xlfn.TEXTJOIN("",TRUE,A127,"!",ADDRESS(17+(A128-1)*J127,1))),"")</f>
        <v/>
      </c>
      <c r="B135" s="65"/>
      <c r="C135" s="66" t="str">
        <f ca="1">_xlfn.IFNA(INDIRECT(_xlfn.TEXTJOIN("",TRUE,A127,"!",ADDRESS(17+(A128-1)*J127,2))),"")</f>
        <v/>
      </c>
      <c r="D135" s="66"/>
      <c r="E135" s="66"/>
      <c r="F135" s="66"/>
      <c r="G135" s="66"/>
      <c r="H135" s="25" t="str">
        <f ca="1">_xlfn.IFNA(INDIRECT(_xlfn.TEXTJOIN("",TRUE,A127,"!",ADDRESS(17+(A128-1)*J127,6))),"")</f>
        <v/>
      </c>
      <c r="I135" s="25" t="str">
        <f ca="1">_xlfn.IFNA(INDIRECT(_xlfn.TEXTJOIN("",TRUE,A127,"!",ADDRESS(17+(A128-1)*J127,13))),"")</f>
        <v/>
      </c>
      <c r="J135" s="25" t="str">
        <f ca="1">_xlfn.IFNA(INDIRECT(_xlfn.TEXTJOIN("",TRUE,A127,"!",ADDRESS(17+(A128-1)*J127,14))),"")</f>
        <v/>
      </c>
    </row>
    <row r="136" spans="1:10" ht="10.5" customHeight="1" x14ac:dyDescent="0.2">
      <c r="A136" s="65" t="str">
        <f ca="1">_xlfn.IFNA(INDIRECT(_xlfn.TEXTJOIN("",TRUE,A127,"!",ADDRESS(18+(A128-1)*J127,1))),"")</f>
        <v/>
      </c>
      <c r="B136" s="65"/>
      <c r="C136" s="66" t="str">
        <f ca="1">_xlfn.IFNA(INDIRECT(_xlfn.TEXTJOIN("",TRUE,A127,"!",ADDRESS(18+(A128-1)*J127,2))),"")</f>
        <v/>
      </c>
      <c r="D136" s="66"/>
      <c r="E136" s="66"/>
      <c r="F136" s="66"/>
      <c r="G136" s="66"/>
      <c r="H136" s="25" t="str">
        <f ca="1">_xlfn.IFNA(INDIRECT(_xlfn.TEXTJOIN("",TRUE,A127,"!",ADDRESS(18+(A128-1)*J127,6))),"")</f>
        <v/>
      </c>
      <c r="I136" s="25" t="str">
        <f ca="1">_xlfn.IFNA(INDIRECT(_xlfn.TEXTJOIN("",TRUE,A127,"!",ADDRESS(18+(A128-1)*J127,13))),"")</f>
        <v/>
      </c>
      <c r="J136" s="25" t="str">
        <f ca="1">_xlfn.IFNA(INDIRECT(_xlfn.TEXTJOIN("",TRUE,A127,"!",ADDRESS(18+(A128-1)*J127,14))),"")</f>
        <v/>
      </c>
    </row>
    <row r="137" spans="1:10" ht="10.5" customHeight="1" x14ac:dyDescent="0.2">
      <c r="A137" s="60" t="str">
        <f ca="1">_xlfn.IFNA(INDIRECT(_xlfn.TEXTJOIN("",TRUE,A127,"!",ADDRESS(19+(A128-1)*J127,1))),"")</f>
        <v/>
      </c>
      <c r="B137" s="61"/>
      <c r="C137" s="57" t="str">
        <f ca="1">_xlfn.IFNA(INDIRECT(_xlfn.TEXTJOIN("",TRUE,A127,"!",ADDRESS(19+(A128-1)*J127,2))),"")</f>
        <v/>
      </c>
      <c r="D137" s="58"/>
      <c r="E137" s="58"/>
      <c r="F137" s="58"/>
      <c r="G137" s="59"/>
      <c r="H137" s="25" t="str">
        <f ca="1">_xlfn.IFNA(INDIRECT(_xlfn.TEXTJOIN("",TRUE,A127,"!",ADDRESS(19+(A128-1)*J127,6))),"")</f>
        <v/>
      </c>
      <c r="I137" s="25" t="str">
        <f ca="1">_xlfn.IFNA(INDIRECT(_xlfn.TEXTJOIN("",TRUE,A127,"!",ADDRESS(19+(A128-1)*J127,13))),"")</f>
        <v/>
      </c>
      <c r="J137" s="25" t="str">
        <f ca="1">_xlfn.IFNA(INDIRECT(_xlfn.TEXTJOIN("",TRUE,A127,"!",ADDRESS(19+(A128-1)*J127,14))),"")</f>
        <v/>
      </c>
    </row>
    <row r="138" spans="1:10" ht="10.5" customHeight="1" x14ac:dyDescent="0.2">
      <c r="A138" s="71" t="str">
        <f ca="1">IF(ISNA(A128),"","Total Credits/ Total Grade Points")</f>
        <v/>
      </c>
      <c r="B138" s="71"/>
      <c r="C138" s="71"/>
      <c r="D138" s="71"/>
      <c r="E138" s="71"/>
      <c r="F138" s="71"/>
      <c r="G138" s="71"/>
      <c r="H138" s="27" t="str">
        <f ca="1">IF(ISNA(A128),"",SUM(H130:H137))</f>
        <v/>
      </c>
      <c r="I138" s="26" t="str">
        <f ca="1">IF(ISNA(A128),"","-")</f>
        <v/>
      </c>
      <c r="J138" s="27" t="str">
        <f ca="1">IF(ISNA(A128),"",SUMPRODUCT(J130:J137,H130:H137))</f>
        <v/>
      </c>
    </row>
    <row r="139" spans="1:10" ht="10.5" customHeight="1" x14ac:dyDescent="0.2">
      <c r="A139" s="75" t="s">
        <v>137</v>
      </c>
      <c r="B139" s="75"/>
      <c r="C139" s="75"/>
      <c r="D139" s="75"/>
      <c r="E139" s="75"/>
      <c r="F139" s="76" t="s">
        <v>138</v>
      </c>
      <c r="G139" s="76"/>
      <c r="H139" s="76"/>
      <c r="I139" s="76"/>
      <c r="J139" s="76"/>
    </row>
    <row r="140" spans="1:10" ht="10.5" customHeight="1" x14ac:dyDescent="0.2">
      <c r="A140" s="43" t="s">
        <v>139</v>
      </c>
      <c r="B140" s="43"/>
      <c r="C140" s="43"/>
      <c r="D140" s="43"/>
      <c r="E140" s="43"/>
      <c r="F140" s="43"/>
      <c r="G140" s="43"/>
      <c r="H140" s="43"/>
      <c r="I140" s="43"/>
      <c r="J140" s="43"/>
    </row>
    <row r="141" spans="1:10" ht="10.5" customHeight="1" x14ac:dyDescent="0.2">
      <c r="A141" s="10"/>
      <c r="B141" s="26"/>
      <c r="C141" s="26" t="s">
        <v>140</v>
      </c>
      <c r="D141" s="26" t="s">
        <v>141</v>
      </c>
      <c r="E141" s="26" t="s">
        <v>142</v>
      </c>
      <c r="F141" s="26" t="s">
        <v>143</v>
      </c>
      <c r="G141" s="26" t="s">
        <v>144</v>
      </c>
      <c r="H141" s="79" t="s">
        <v>145</v>
      </c>
      <c r="I141" s="79"/>
      <c r="J141" s="30"/>
    </row>
    <row r="142" spans="1:10" ht="10.5" customHeight="1" x14ac:dyDescent="0.2">
      <c r="A142" s="10"/>
      <c r="B142" s="80" t="s">
        <v>146</v>
      </c>
      <c r="C142" s="73">
        <f ca="1">J98/H98</f>
        <v>6.979166666666667</v>
      </c>
      <c r="D142" s="73" t="e">
        <f ca="1">J113/H113</f>
        <v>#VALUE!</v>
      </c>
      <c r="E142" s="73" t="str">
        <f ca="1">IFERROR(J126/H126,"")</f>
        <v/>
      </c>
      <c r="F142" s="73" t="str">
        <f ca="1">IFERROR(J138/H138,"")</f>
        <v/>
      </c>
      <c r="G142" s="82">
        <f ca="1">F144</f>
        <v>6.979166666666667</v>
      </c>
      <c r="H142" s="84" t="e">
        <f ca="1">IF(TC_IV!N21&lt;96,_xlfn.TEXTJOIN(" Carry Over Back In",TC_I!V50,TC_II!V42,TC_III!V21,TC_IV!V20),IF(TC_IV!N21&lt;96,_xlfn.TEXTJOIN(" Carry Over Back In",TC_I!V119,TC_II!V23,TC_III!V21,TC_IV!V20),IF(G142&gt;=8,"First Division with Distinction",IF(G142&gt;=6.5,"First Division",IF(G142&gt;=5,"Second Division",IF(G142&gt;=4,"Third Division","Fail"))))))</f>
        <v>#N/A</v>
      </c>
      <c r="I142" s="85"/>
      <c r="J142" s="30"/>
    </row>
    <row r="143" spans="1:10" ht="10.5" customHeight="1" x14ac:dyDescent="0.2">
      <c r="B143" s="81"/>
      <c r="C143" s="74"/>
      <c r="D143" s="74"/>
      <c r="E143" s="74"/>
      <c r="F143" s="74"/>
      <c r="G143" s="82"/>
      <c r="H143" s="86"/>
      <c r="I143" s="87"/>
    </row>
    <row r="144" spans="1:10" ht="10.5" customHeight="1" x14ac:dyDescent="0.2">
      <c r="B144" s="80" t="s">
        <v>48</v>
      </c>
      <c r="C144" s="73">
        <f ca="1">J98/H98</f>
        <v>6.979166666666667</v>
      </c>
      <c r="D144" s="73">
        <f ca="1">SUM(J113,J98)/SUM(H113,H98)</f>
        <v>6.979166666666667</v>
      </c>
      <c r="E144" s="73">
        <f ca="1">SUM(J126,J113,J98)/SUM(H126,H113,H98)</f>
        <v>6.979166666666667</v>
      </c>
      <c r="F144" s="73">
        <f ca="1">SUM(J138,J126,J113,J98)/SUM(H98,H113,H126,H138)</f>
        <v>6.979166666666667</v>
      </c>
      <c r="G144" s="82"/>
      <c r="H144" s="86"/>
      <c r="I144" s="87"/>
    </row>
    <row r="145" spans="1:10" ht="10.5" customHeight="1" x14ac:dyDescent="0.2">
      <c r="B145" s="81"/>
      <c r="C145" s="74"/>
      <c r="D145" s="74"/>
      <c r="E145" s="74"/>
      <c r="F145" s="74"/>
      <c r="G145" s="82"/>
      <c r="H145" s="88"/>
      <c r="I145" s="89"/>
    </row>
    <row r="147" spans="1:10" ht="10.5" customHeight="1" x14ac:dyDescent="0.2">
      <c r="A147" s="56" t="s">
        <v>24</v>
      </c>
      <c r="B147" s="56"/>
      <c r="C147" s="56" t="str">
        <f ca="1">INDIRECT(_xlfn.TEXTJOIN("",TRUE,A149,"!",ADDRESS(9+(A150-1)*J149,2)))</f>
        <v>ASHOK CHANDRA UPRETI</v>
      </c>
      <c r="D147" s="56"/>
      <c r="E147" s="56"/>
      <c r="F147" s="56" t="s">
        <v>135</v>
      </c>
      <c r="G147" s="56"/>
      <c r="H147" s="62">
        <f ca="1">INDIRECT(_xlfn.TEXTJOIN("",TRUE,A149,"!",ADDRESS(9+(A150-1)*J149,9)))</f>
        <v>250090600003</v>
      </c>
      <c r="I147" s="56"/>
      <c r="J147" s="56"/>
    </row>
    <row r="148" spans="1:10" ht="10.5" customHeight="1" x14ac:dyDescent="0.2">
      <c r="A148" s="56" t="s">
        <v>25</v>
      </c>
      <c r="B148" s="56"/>
      <c r="C148" s="56" t="str">
        <f ca="1">INDIRECT(_xlfn.TEXTJOIN("",TRUE,A149,"!",ADDRESS(9+(A150-1)*J149,5)))</f>
        <v>LALITA PRASAD UPRETI</v>
      </c>
      <c r="D148" s="56"/>
      <c r="E148" s="56"/>
      <c r="F148" s="47" t="s">
        <v>136</v>
      </c>
      <c r="G148" s="47"/>
      <c r="H148" s="62" t="str">
        <f ca="1">INDIRECT(_xlfn.TEXTJOIN("",TRUE,A149,"!",ADDRESS(9+(A150-1)*J149,13)))</f>
        <v>UTU/2506100120</v>
      </c>
      <c r="I148" s="56"/>
      <c r="J148" s="56"/>
    </row>
    <row r="149" spans="1:10" ht="10.5" customHeight="1" x14ac:dyDescent="0.2">
      <c r="A149" s="24" t="s">
        <v>53</v>
      </c>
      <c r="B149" s="43" t="s">
        <v>148</v>
      </c>
      <c r="C149" s="43"/>
      <c r="D149" s="43"/>
      <c r="E149" s="43"/>
      <c r="F149" s="43"/>
      <c r="G149" s="43"/>
      <c r="H149" s="43"/>
      <c r="I149" s="43"/>
      <c r="J149" s="24">
        <f>ROWS(A153:B166)+9</f>
        <v>23</v>
      </c>
    </row>
    <row r="150" spans="1:10" ht="10.5" customHeight="1" x14ac:dyDescent="0.2">
      <c r="A150" s="24">
        <f>A81+1</f>
        <v>3</v>
      </c>
      <c r="B150" s="63"/>
      <c r="C150" s="63"/>
      <c r="D150" s="63"/>
      <c r="E150" s="63"/>
      <c r="F150" s="63"/>
      <c r="G150" s="63"/>
      <c r="H150" s="63"/>
      <c r="I150" s="63"/>
      <c r="J150" s="29"/>
    </row>
    <row r="151" spans="1:10" ht="10.5" customHeight="1" x14ac:dyDescent="0.2">
      <c r="A151" s="64" t="s">
        <v>28</v>
      </c>
      <c r="B151" s="64"/>
      <c r="C151" s="64" t="s">
        <v>29</v>
      </c>
      <c r="D151" s="64"/>
      <c r="E151" s="64"/>
      <c r="F151" s="64"/>
      <c r="G151" s="64"/>
      <c r="H151" s="64" t="s">
        <v>30</v>
      </c>
      <c r="I151" s="64" t="s">
        <v>9</v>
      </c>
      <c r="J151" s="64" t="s">
        <v>34</v>
      </c>
    </row>
    <row r="152" spans="1:10" ht="12.5" customHeight="1" x14ac:dyDescent="0.2">
      <c r="A152" s="64"/>
      <c r="B152" s="64"/>
      <c r="C152" s="64"/>
      <c r="D152" s="64"/>
      <c r="E152" s="64"/>
      <c r="F152" s="64"/>
      <c r="G152" s="64"/>
      <c r="H152" s="64"/>
      <c r="I152" s="64"/>
      <c r="J152" s="64"/>
    </row>
    <row r="153" spans="1:10" ht="10.5" customHeight="1" x14ac:dyDescent="0.2">
      <c r="A153" s="65" t="str">
        <f ca="1">INDIRECT(_xlfn.TEXTJOIN("",TRUE,A149,"!",ADDRESS(13+(A150-1)*J149,1)))</f>
        <v>CAT 004</v>
      </c>
      <c r="B153" s="65"/>
      <c r="C153" s="66" t="str">
        <f ca="1">INDIRECT(_xlfn.TEXTJOIN("",TRUE,A149,"!",ADDRESS(13+(A150-1)*J149,2)))</f>
        <v>Discrete Structure</v>
      </c>
      <c r="D153" s="66"/>
      <c r="E153" s="66"/>
      <c r="F153" s="66"/>
      <c r="G153" s="66"/>
      <c r="H153" s="25">
        <f ca="1">INDIRECT(_xlfn.TEXTJOIN("",TRUE,A149,"!",ADDRESS(13+(A150-1)*J149,6)))</f>
        <v>4</v>
      </c>
      <c r="I153" s="25" t="str">
        <f ca="1">INDIRECT(_xlfn.TEXTJOIN("",TRUE,A149,"!",ADDRESS(13+(A150-1)*J149,13)))</f>
        <v>B</v>
      </c>
      <c r="J153" s="25">
        <f ca="1">INDIRECT(_xlfn.TEXTJOIN("",TRUE,A149,"!",ADDRESS(13+(A150-1)*J149,14)))</f>
        <v>8</v>
      </c>
    </row>
    <row r="154" spans="1:10" ht="10.5" customHeight="1" x14ac:dyDescent="0.2">
      <c r="A154" s="65" t="str">
        <f ca="1">INDIRECT(_xlfn.TEXTJOIN("",TRUE,A149,"!",ADDRESS(14+(A150-1)*J149,1)))</f>
        <v>CAT 005</v>
      </c>
      <c r="B154" s="65"/>
      <c r="C154" s="66" t="str">
        <f ca="1">INDIRECT(_xlfn.TEXTJOIN("",TRUE,A149,"!",ADDRESS(14+(A150-1)*J149,2)))</f>
        <v>Database Management System</v>
      </c>
      <c r="D154" s="66"/>
      <c r="E154" s="66"/>
      <c r="F154" s="66"/>
      <c r="G154" s="66"/>
      <c r="H154" s="25">
        <f ca="1">INDIRECT(_xlfn.TEXTJOIN("",TRUE,A149,"!",ADDRESS(14+(A150-1)*J149,6)))</f>
        <v>4</v>
      </c>
      <c r="I154" s="25" t="str">
        <f ca="1">INDIRECT(_xlfn.TEXTJOIN("",TRUE,A149,"!",ADDRESS(14+(A150-1)*J149,13)))</f>
        <v>A</v>
      </c>
      <c r="J154" s="25">
        <f ca="1">INDIRECT(_xlfn.TEXTJOIN("",TRUE,A149,"!",ADDRESS(14+(A150-1)*J149,14)))</f>
        <v>9</v>
      </c>
    </row>
    <row r="155" spans="1:10" ht="10.5" customHeight="1" x14ac:dyDescent="0.2">
      <c r="A155" s="65" t="str">
        <f ca="1">INDIRECT(_xlfn.TEXTJOIN("",TRUE,A149,"!",ADDRESS(15+(A150-1)*J149,1)))</f>
        <v>CAT 006</v>
      </c>
      <c r="B155" s="65"/>
      <c r="C155" s="66" t="str">
        <f ca="1">INDIRECT(_xlfn.TEXTJOIN("",TRUE,A149,"!",ADDRESS(15+(A150-1)*J149,2)))</f>
        <v>Operating System</v>
      </c>
      <c r="D155" s="66"/>
      <c r="E155" s="66"/>
      <c r="F155" s="66"/>
      <c r="G155" s="66"/>
      <c r="H155" s="25">
        <f ca="1">INDIRECT(_xlfn.TEXTJOIN("",TRUE,A149,"!",ADDRESS(15+(A150-1)*J149,6)))</f>
        <v>4</v>
      </c>
      <c r="I155" s="25" t="str">
        <f ca="1">INDIRECT(_xlfn.TEXTJOIN("",TRUE,A149,"!",ADDRESS(15+(A150-1)*J149,13)))</f>
        <v>A+</v>
      </c>
      <c r="J155" s="25">
        <f ca="1">INDIRECT(_xlfn.TEXTJOIN("",TRUE,A149,"!",ADDRESS(15+(A150-1)*J149,14)))</f>
        <v>9.5</v>
      </c>
    </row>
    <row r="156" spans="1:10" ht="10.5" customHeight="1" x14ac:dyDescent="0.2">
      <c r="A156" s="65" t="str">
        <f ca="1">INDIRECT(_xlfn.TEXTJOIN("",TRUE,A149,"!",ADDRESS(16+(A150-1)*J149,1)))</f>
        <v>CAT 007</v>
      </c>
      <c r="B156" s="65"/>
      <c r="C156" s="66" t="str">
        <f ca="1">INDIRECT(_xlfn.TEXTJOIN("",TRUE,A149,"!",ADDRESS(16+(A150-1)*J149,2)))</f>
        <v>Computer Organization</v>
      </c>
      <c r="D156" s="66"/>
      <c r="E156" s="66"/>
      <c r="F156" s="66"/>
      <c r="G156" s="66"/>
      <c r="H156" s="25">
        <f ca="1">INDIRECT(_xlfn.TEXTJOIN("",TRUE,A149,"!",ADDRESS(16+(A150-1)*J149,6)))</f>
        <v>4</v>
      </c>
      <c r="I156" s="25" t="str">
        <f ca="1">INDIRECT(_xlfn.TEXTJOIN("",TRUE,A149,"!",ADDRESS(16+(A150-1)*J149,13)))</f>
        <v>A</v>
      </c>
      <c r="J156" s="25">
        <f ca="1">INDIRECT(_xlfn.TEXTJOIN("",TRUE,A149,"!",ADDRESS(16+(A150-1)*J149,14)))</f>
        <v>9</v>
      </c>
    </row>
    <row r="157" spans="1:10" ht="10.5" customHeight="1" x14ac:dyDescent="0.2">
      <c r="A157" s="65" t="str">
        <f ca="1">INDIRECT(_xlfn.TEXTJOIN("",TRUE,A149,"!",ADDRESS(17+(A150-1)*J149,1)))</f>
        <v>AHT 303</v>
      </c>
      <c r="B157" s="65"/>
      <c r="C157" s="66" t="str">
        <f ca="1">INDIRECT(_xlfn.TEXTJOIN("",TRUE,A149,"!",ADDRESS(17+(A150-1)*J149,2)))</f>
        <v>Technical Communication Skills</v>
      </c>
      <c r="D157" s="66"/>
      <c r="E157" s="66"/>
      <c r="F157" s="66"/>
      <c r="G157" s="66"/>
      <c r="H157" s="25">
        <f ca="1">INDIRECT(_xlfn.TEXTJOIN("",TRUE,A149,"!",ADDRESS(17+(A150-1)*J149,6)))</f>
        <v>4</v>
      </c>
      <c r="I157" s="25" t="str">
        <f ca="1">INDIRECT(_xlfn.TEXTJOIN("",TRUE,A149,"!",ADDRESS(17+(A150-1)*J149,13)))</f>
        <v>A+</v>
      </c>
      <c r="J157" s="25">
        <f ca="1">INDIRECT(_xlfn.TEXTJOIN("",TRUE,A149,"!",ADDRESS(17+(A150-1)*J149,14)))</f>
        <v>9.5</v>
      </c>
    </row>
    <row r="158" spans="1:10" ht="10.5" customHeight="1" x14ac:dyDescent="0.2">
      <c r="A158" s="65" t="str">
        <f ca="1">INDIRECT(_xlfn.TEXTJOIN("",TRUE,A149,"!",ADDRESS(18+(A150-1)*J149,1)))</f>
        <v>CAT 008</v>
      </c>
      <c r="B158" s="65"/>
      <c r="C158" s="66" t="str">
        <f ca="1">INDIRECT(_xlfn.TEXTJOIN("",TRUE,A149,"!",ADDRESS(18+(A150-1)*J149,2)))</f>
        <v>Python Programming ($)</v>
      </c>
      <c r="D158" s="66"/>
      <c r="E158" s="66"/>
      <c r="F158" s="66"/>
      <c r="G158" s="66"/>
      <c r="H158" s="25">
        <f ca="1">INDIRECT(_xlfn.TEXTJOIN("",TRUE,A149,"!",ADDRESS(18+(A150-1)*J149,6)))</f>
        <v>0</v>
      </c>
      <c r="I158" s="25" t="str">
        <f ca="1">INDIRECT(_xlfn.TEXTJOIN("",TRUE,A149,"!",ADDRESS(18+(A150-1)*J149,13)))</f>
        <v>D+</v>
      </c>
      <c r="J158" s="25">
        <f ca="1">INDIRECT(_xlfn.TEXTJOIN("",TRUE,A149,"!",ADDRESS(18+(A150-1)*J149,14)))</f>
        <v>6.5</v>
      </c>
    </row>
    <row r="159" spans="1:10" ht="10.5" customHeight="1" x14ac:dyDescent="0.2">
      <c r="A159" s="60" t="str">
        <f ca="1">INDIRECT(_xlfn.TEXTJOIN("",TRUE,A149,"!",ADDRESS(19+(A150-1)*J149,1)))</f>
        <v>CAT 001</v>
      </c>
      <c r="B159" s="61"/>
      <c r="C159" s="57" t="str">
        <f ca="1">INDIRECT(_xlfn.TEXTJOIN("",TRUE,A149,"!",ADDRESS(19+(A150-1)*J149,2)))</f>
        <v>Introduction of Information Technology ($)</v>
      </c>
      <c r="D159" s="58"/>
      <c r="E159" s="58"/>
      <c r="F159" s="58"/>
      <c r="G159" s="59"/>
      <c r="H159" s="25">
        <f ca="1">INDIRECT(_xlfn.TEXTJOIN("",TRUE,A149,"!",ADDRESS(19+(A150-1)*J149,6)))</f>
        <v>0</v>
      </c>
      <c r="I159" s="25" t="str">
        <f ca="1">INDIRECT(_xlfn.TEXTJOIN("",TRUE,A149,"!",ADDRESS(19+(A150-1)*J149,13)))</f>
        <v>A+</v>
      </c>
      <c r="J159" s="25">
        <f ca="1">INDIRECT(_xlfn.TEXTJOIN("",TRUE,A149,"!",ADDRESS(19+(A150-1)*J149,14)))</f>
        <v>9.5</v>
      </c>
    </row>
    <row r="160" spans="1:10" ht="10.5" customHeight="1" x14ac:dyDescent="0.2">
      <c r="A160" s="65" t="str">
        <f ca="1">INDIRECT(_xlfn.TEXTJOIN("",TRUE,A149,"!",ADDRESS(20+(A150-1)*J149,1)))</f>
        <v>CAT 002</v>
      </c>
      <c r="B160" s="65"/>
      <c r="C160" s="66" t="str">
        <f ca="1">INDIRECT(_xlfn.TEXTJOIN("",TRUE,A149,"!",ADDRESS(20+(A150-1)*J149,2)))</f>
        <v>Programming Fundamentals with "C" ($)</v>
      </c>
      <c r="D160" s="66"/>
      <c r="E160" s="66"/>
      <c r="F160" s="66"/>
      <c r="G160" s="66"/>
      <c r="H160" s="25">
        <f ca="1">INDIRECT(_xlfn.TEXTJOIN("",TRUE,A149,"!",ADDRESS(20+(A150-1)*J149,6)))</f>
        <v>0</v>
      </c>
      <c r="I160" s="25" t="str">
        <f ca="1">INDIRECT(_xlfn.TEXTJOIN("",TRUE,A149,"!",ADDRESS(20+(A150-1)*J149,13)))</f>
        <v>B</v>
      </c>
      <c r="J160" s="25">
        <f ca="1">INDIRECT(_xlfn.TEXTJOIN("",TRUE,A149,"!",ADDRESS(20+(A150-1)*J149,14)))</f>
        <v>8</v>
      </c>
    </row>
    <row r="161" spans="1:10" ht="10.5" customHeight="1" x14ac:dyDescent="0.2">
      <c r="A161" s="65" t="str">
        <f ca="1">INDIRECT(_xlfn.TEXTJOIN("",TRUE,A149,"!",ADDRESS(21+(A150-1)*J149,1)))</f>
        <v>CAT 003</v>
      </c>
      <c r="B161" s="65"/>
      <c r="C161" s="66" t="str">
        <f ca="1">INDIRECT(_xlfn.TEXTJOIN("",TRUE,A149,"!",ADDRESS(21+(A150-1)*J149,2)))</f>
        <v>Fundamental of Web Technology ($)</v>
      </c>
      <c r="D161" s="66"/>
      <c r="E161" s="66"/>
      <c r="F161" s="66"/>
      <c r="G161" s="66"/>
      <c r="H161" s="25">
        <f ca="1">INDIRECT(_xlfn.TEXTJOIN("",TRUE,A149,"!",ADDRESS(21+(A150-1)*J149,6)))</f>
        <v>0</v>
      </c>
      <c r="I161" s="25" t="str">
        <f ca="1">INDIRECT(_xlfn.TEXTJOIN("",TRUE,A149,"!",ADDRESS(21+(A150-1)*J149,13)))</f>
        <v>B+</v>
      </c>
      <c r="J161" s="25">
        <f ca="1">INDIRECT(_xlfn.TEXTJOIN("",TRUE,A149,"!",ADDRESS(21+(A150-1)*J149,14)))</f>
        <v>8.5</v>
      </c>
    </row>
    <row r="162" spans="1:10" ht="10.5" customHeight="1" x14ac:dyDescent="0.2">
      <c r="A162" s="65" t="str">
        <f ca="1">INDIRECT(_xlfn.TEXTJOIN("",TRUE,A149,"!",ADDRESS(22+(A150-1)*J149,1)))</f>
        <v>CAP 001</v>
      </c>
      <c r="B162" s="65"/>
      <c r="C162" s="66" t="str">
        <f ca="1">INDIRECT(_xlfn.TEXTJOIN("",TRUE,A149,"!",ADDRESS(22+(A150-1)*J149,2)))</f>
        <v>Database Management System Lab</v>
      </c>
      <c r="D162" s="66"/>
      <c r="E162" s="66"/>
      <c r="F162" s="66"/>
      <c r="G162" s="66"/>
      <c r="H162" s="25">
        <f ca="1">INDIRECT(_xlfn.TEXTJOIN("",TRUE,A149,"!",ADDRESS(22+(A150-1)*J149,6)))</f>
        <v>1</v>
      </c>
      <c r="I162" s="25" t="str">
        <f ca="1">INDIRECT(_xlfn.TEXTJOIN("",TRUE,A149,"!",ADDRESS(22+(A150-1)*J149,13)))</f>
        <v>A+</v>
      </c>
      <c r="J162" s="25">
        <f ca="1">INDIRECT(_xlfn.TEXTJOIN("",TRUE,A149,"!",ADDRESS(22+(A150-1)*J149,14)))</f>
        <v>9.5</v>
      </c>
    </row>
    <row r="163" spans="1:10" ht="10.5" customHeight="1" x14ac:dyDescent="0.2">
      <c r="A163" s="65" t="str">
        <f ca="1">INDIRECT(_xlfn.TEXTJOIN("",TRUE,A149,"!",ADDRESS(23+(A150-1)*J149,1)))</f>
        <v>CAP 002</v>
      </c>
      <c r="B163" s="65"/>
      <c r="C163" s="66" t="str">
        <f ca="1">INDIRECT(_xlfn.TEXTJOIN("",TRUE,A149,"!",ADDRESS(23+(A150-1)*J149,2)))</f>
        <v>Operating System Lab</v>
      </c>
      <c r="D163" s="66"/>
      <c r="E163" s="66"/>
      <c r="F163" s="66"/>
      <c r="G163" s="66"/>
      <c r="H163" s="25">
        <f ca="1">INDIRECT(_xlfn.TEXTJOIN("",TRUE,A149,"!",ADDRESS(23+(A150-1)*J149,6)))</f>
        <v>1</v>
      </c>
      <c r="I163" s="25" t="str">
        <f ca="1">INDIRECT(_xlfn.TEXTJOIN("",TRUE,A149,"!",ADDRESS(23+(A150-1)*J149,13)))</f>
        <v>O</v>
      </c>
      <c r="J163" s="25">
        <f ca="1">INDIRECT(_xlfn.TEXTJOIN("",TRUE,A149,"!",ADDRESS(23+(A150-1)*J149,14)))</f>
        <v>10</v>
      </c>
    </row>
    <row r="164" spans="1:10" ht="10.5" customHeight="1" x14ac:dyDescent="0.2">
      <c r="A164" s="65" t="str">
        <f ca="1">INDIRECT(_xlfn.TEXTJOIN("",TRUE,A149,"!",ADDRESS(24+(A150-1)*J149,1)))</f>
        <v>CAP 003</v>
      </c>
      <c r="B164" s="65"/>
      <c r="C164" s="66" t="str">
        <f ca="1">INDIRECT(_xlfn.TEXTJOIN("",TRUE,A149,"!",ADDRESS(24+(A150-1)*J149,2)))</f>
        <v>Computer Organization Lab</v>
      </c>
      <c r="D164" s="66"/>
      <c r="E164" s="66"/>
      <c r="F164" s="66"/>
      <c r="G164" s="66"/>
      <c r="H164" s="25">
        <f ca="1">INDIRECT(_xlfn.TEXTJOIN("",TRUE,A149,"!",ADDRESS(24+(A150-1)*J149,6)))</f>
        <v>1</v>
      </c>
      <c r="I164" s="25" t="str">
        <f ca="1">INDIRECT(_xlfn.TEXTJOIN("",TRUE,A149,"!",ADDRESS(24+(A150-1)*J149,13)))</f>
        <v>A+</v>
      </c>
      <c r="J164" s="25">
        <f ca="1">INDIRECT(_xlfn.TEXTJOIN("",TRUE,A149,"!",ADDRESS(24+(A150-1)*J149,14)))</f>
        <v>9.5</v>
      </c>
    </row>
    <row r="165" spans="1:10" ht="10.5" customHeight="1" x14ac:dyDescent="0.2">
      <c r="A165" s="65" t="str">
        <f ca="1">INDIRECT(_xlfn.TEXTJOIN("",TRUE,A149,"!",ADDRESS(25+(A150-1)*J149,1)))</f>
        <v>AHP 303</v>
      </c>
      <c r="B165" s="65"/>
      <c r="C165" s="66" t="str">
        <f ca="1">INDIRECT(_xlfn.TEXTJOIN("",TRUE,A149,"!",ADDRESS(25+(A150-1)*J149,2)))</f>
        <v>Technical Communication Skills</v>
      </c>
      <c r="D165" s="66"/>
      <c r="E165" s="66"/>
      <c r="F165" s="66"/>
      <c r="G165" s="66"/>
      <c r="H165" s="25">
        <f ca="1">INDIRECT(_xlfn.TEXTJOIN("",TRUE,A149,"!",ADDRESS(25+(A150-1)*J149,6)))</f>
        <v>1</v>
      </c>
      <c r="I165" s="25" t="str">
        <f ca="1">INDIRECT(_xlfn.TEXTJOIN("",TRUE,A149,"!",ADDRESS(25+(A150-1)*J149,13)))</f>
        <v>A+</v>
      </c>
      <c r="J165" s="25">
        <f ca="1">INDIRECT(_xlfn.TEXTJOIN("",TRUE,A149,"!",ADDRESS(25+(A150-1)*J149,14)))</f>
        <v>9.5</v>
      </c>
    </row>
    <row r="166" spans="1:10" s="35" customFormat="1" ht="10.5" customHeight="1" x14ac:dyDescent="0.2">
      <c r="A166" s="77">
        <f ca="1">INDIRECT(_xlfn.TEXTJOIN("",TRUE,A149,"!",ADDRESS(26+(A150-1)*J149,1)))</f>
        <v>0</v>
      </c>
      <c r="B166" s="77"/>
      <c r="C166" s="78">
        <f ca="1">INDIRECT(_xlfn.TEXTJOIN("",TRUE,A149,"!",ADDRESS(26+(A150-1)*J149,2)))</f>
        <v>0</v>
      </c>
      <c r="D166" s="78"/>
      <c r="E166" s="78"/>
      <c r="F166" s="78"/>
      <c r="G166" s="78"/>
      <c r="H166" s="34">
        <f ca="1">INDIRECT(_xlfn.TEXTJOIN("",TRUE,A149,"!",ADDRESS(26+(A150-1)*J149,6)))</f>
        <v>0</v>
      </c>
      <c r="I166" s="34" t="str">
        <f ca="1">INDIRECT(_xlfn.TEXTJOIN("",TRUE,A149,"!",ADDRESS(26+(A150-1)*J149,13)))</f>
        <v>Excellent</v>
      </c>
      <c r="J166" s="34">
        <f ca="1">INDIRECT(_xlfn.TEXTJOIN("",TRUE,A149,"!",ADDRESS(26+(A150-1)*J149,14)))</f>
        <v>0</v>
      </c>
    </row>
    <row r="167" spans="1:10" ht="10.5" customHeight="1" x14ac:dyDescent="0.2">
      <c r="A167" s="71" t="s">
        <v>52</v>
      </c>
      <c r="B167" s="71"/>
      <c r="C167" s="71"/>
      <c r="D167" s="71"/>
      <c r="E167" s="71"/>
      <c r="F167" s="71"/>
      <c r="G167" s="71"/>
      <c r="H167" s="27">
        <f ca="1">SUM(H153:H166)</f>
        <v>24</v>
      </c>
      <c r="I167" s="26" t="s">
        <v>44</v>
      </c>
      <c r="J167" s="27">
        <f ca="1">SUMPRODUCT(J153:J165,H153:H165)</f>
        <v>218.5</v>
      </c>
    </row>
    <row r="168" spans="1:10" ht="10.5" customHeight="1" x14ac:dyDescent="0.2">
      <c r="A168" s="24" t="s">
        <v>57</v>
      </c>
      <c r="B168" s="72" t="str">
        <f ca="1">IF(ISNA(A169),"","Semester II (Spring Semester 2022-23)")</f>
        <v/>
      </c>
      <c r="C168" s="72"/>
      <c r="D168" s="72"/>
      <c r="E168" s="72"/>
      <c r="F168" s="72"/>
      <c r="G168" s="72"/>
      <c r="H168" s="72"/>
      <c r="I168" s="72"/>
      <c r="J168" s="24">
        <f>ROWS(A172:B181)+9</f>
        <v>19</v>
      </c>
    </row>
    <row r="169" spans="1:10" ht="10.5" customHeight="1" x14ac:dyDescent="0.2">
      <c r="A169" s="24" t="e">
        <f ca="1">INDEX(SEM_II!$A$6:$A$45,Marksheets!J169)</f>
        <v>#N/A</v>
      </c>
      <c r="B169" s="63"/>
      <c r="C169" s="63"/>
      <c r="D169" s="63"/>
      <c r="E169" s="63"/>
      <c r="F169" s="63"/>
      <c r="G169" s="63"/>
      <c r="H169" s="63"/>
      <c r="I169" s="63"/>
      <c r="J169" s="24" t="e">
        <f ca="1">MATCH(H147,SEM_II!$B$6:$B$45,0)</f>
        <v>#N/A</v>
      </c>
    </row>
    <row r="170" spans="1:10" ht="10.5" customHeight="1" x14ac:dyDescent="0.2">
      <c r="A170" s="64" t="str">
        <f ca="1">IF(ISNA(A169),"","Subject Code")</f>
        <v/>
      </c>
      <c r="B170" s="64"/>
      <c r="C170" s="64" t="str">
        <f ca="1">IF(ISNA(A169),"","Subject Name")</f>
        <v/>
      </c>
      <c r="D170" s="64"/>
      <c r="E170" s="64"/>
      <c r="F170" s="64"/>
      <c r="G170" s="64"/>
      <c r="H170" s="64" t="str">
        <f ca="1">IF(ISNA(A169),"","Credits")</f>
        <v/>
      </c>
      <c r="I170" s="64" t="str">
        <f ca="1">IF(ISNA(A169),"","Grade")</f>
        <v/>
      </c>
      <c r="J170" s="64" t="str">
        <f ca="1">IF(ISNA(A169),"","Grade Points")</f>
        <v/>
      </c>
    </row>
    <row r="171" spans="1:10" ht="13" customHeight="1" x14ac:dyDescent="0.2">
      <c r="A171" s="64"/>
      <c r="B171" s="64"/>
      <c r="C171" s="64"/>
      <c r="D171" s="64"/>
      <c r="E171" s="64"/>
      <c r="F171" s="64"/>
      <c r="G171" s="64"/>
      <c r="H171" s="64"/>
      <c r="I171" s="64"/>
      <c r="J171" s="64"/>
    </row>
    <row r="172" spans="1:10" ht="10.5" customHeight="1" x14ac:dyDescent="0.2">
      <c r="A172" s="65" t="str">
        <f ca="1">_xlfn.IFNA(INDIRECT(_xlfn.TEXTJOIN("",TRUE,A168,"!",ADDRESS(13+(A169-1)*J168,1))),"")</f>
        <v/>
      </c>
      <c r="B172" s="65"/>
      <c r="C172" s="66" t="str">
        <f ca="1">_xlfn.IFNA(INDIRECT(_xlfn.TEXTJOIN("",TRUE,A168,"!",ADDRESS(13+(A169-1)*J168,2))),"")</f>
        <v/>
      </c>
      <c r="D172" s="66"/>
      <c r="E172" s="66"/>
      <c r="F172" s="66"/>
      <c r="G172" s="66"/>
      <c r="H172" s="25" t="str">
        <f ca="1">_xlfn.IFNA(INDIRECT(_xlfn.TEXTJOIN("",TRUE,A168,"!",ADDRESS(13+(A169-1)*J168,6))),"")</f>
        <v/>
      </c>
      <c r="I172" s="25" t="str">
        <f ca="1">_xlfn.IFNA(INDIRECT(_xlfn.TEXTJOIN("",TRUE,A168,"!",ADDRESS(13+(A169-1)*J168,13))),"")</f>
        <v/>
      </c>
      <c r="J172" s="25" t="str">
        <f ca="1">_xlfn.IFNA(INDIRECT(_xlfn.TEXTJOIN("",TRUE,A168,"!",ADDRESS(13+(A169-1)*J168,14))),"")</f>
        <v/>
      </c>
    </row>
    <row r="173" spans="1:10" ht="10.5" customHeight="1" x14ac:dyDescent="0.2">
      <c r="A173" s="65" t="str">
        <f ca="1">_xlfn.IFNA(INDIRECT(_xlfn.TEXTJOIN("",TRUE,A168,"!",ADDRESS(14+(A169-1)*J168,1))),"")</f>
        <v/>
      </c>
      <c r="B173" s="65"/>
      <c r="C173" s="66" t="str">
        <f ca="1">_xlfn.IFNA(INDIRECT(_xlfn.TEXTJOIN("",TRUE,A168,"!",ADDRESS(14+(A169-1)*J168,2))),"")</f>
        <v/>
      </c>
      <c r="D173" s="66"/>
      <c r="E173" s="66"/>
      <c r="F173" s="66"/>
      <c r="G173" s="66"/>
      <c r="H173" s="25" t="str">
        <f ca="1">_xlfn.IFNA(INDIRECT(_xlfn.TEXTJOIN("",TRUE,A168,"!",ADDRESS(14+(A169-1)*J168,6))),"")</f>
        <v/>
      </c>
      <c r="I173" s="25" t="str">
        <f ca="1">_xlfn.IFNA(INDIRECT(_xlfn.TEXTJOIN("",TRUE,A168,"!",ADDRESS(14+(A169-1)*J168,13))),"")</f>
        <v/>
      </c>
      <c r="J173" s="25" t="str">
        <f ca="1">_xlfn.IFNA(INDIRECT(_xlfn.TEXTJOIN("",TRUE,A168,"!",ADDRESS(14+(A169-1)*J168,14))),"")</f>
        <v/>
      </c>
    </row>
    <row r="174" spans="1:10" ht="10.5" customHeight="1" x14ac:dyDescent="0.2">
      <c r="A174" s="65" t="str">
        <f ca="1">_xlfn.IFNA(INDIRECT(_xlfn.TEXTJOIN("",TRUE,A168,"!",ADDRESS(15+(A169-1)*J168,1))),"")</f>
        <v/>
      </c>
      <c r="B174" s="65"/>
      <c r="C174" s="66" t="str">
        <f ca="1">_xlfn.IFNA(INDIRECT(_xlfn.TEXTJOIN("",TRUE,A168,"!",ADDRESS(15+(A169-1)*J168,2))),"")</f>
        <v/>
      </c>
      <c r="D174" s="66"/>
      <c r="E174" s="66"/>
      <c r="F174" s="66"/>
      <c r="G174" s="66"/>
      <c r="H174" s="25" t="str">
        <f ca="1">_xlfn.IFNA(INDIRECT(_xlfn.TEXTJOIN("",TRUE,A168,"!",ADDRESS(15+(A169-1)*J168,6))),"")</f>
        <v/>
      </c>
      <c r="I174" s="25" t="str">
        <f ca="1">_xlfn.IFNA(INDIRECT(_xlfn.TEXTJOIN("",TRUE,A168,"!",ADDRESS(15+(A169-1)*J168,13))),"")</f>
        <v/>
      </c>
      <c r="J174" s="25" t="str">
        <f ca="1">_xlfn.IFNA(INDIRECT(_xlfn.TEXTJOIN("",TRUE,A168,"!",ADDRESS(15+(A169-1)*J168,14))),"")</f>
        <v/>
      </c>
    </row>
    <row r="175" spans="1:10" ht="10.5" customHeight="1" x14ac:dyDescent="0.2">
      <c r="A175" s="65" t="str">
        <f ca="1">_xlfn.IFNA(INDIRECT(_xlfn.TEXTJOIN("",TRUE,A168,"!",ADDRESS(16+(A169-1)*J168,1))),"")</f>
        <v/>
      </c>
      <c r="B175" s="65"/>
      <c r="C175" s="66" t="str">
        <f ca="1">_xlfn.IFNA(INDIRECT(_xlfn.TEXTJOIN("",TRUE,A168,"!",ADDRESS(16+(A169-1)*J168,2))),"")</f>
        <v/>
      </c>
      <c r="D175" s="66"/>
      <c r="E175" s="66"/>
      <c r="F175" s="66"/>
      <c r="G175" s="66"/>
      <c r="H175" s="25" t="str">
        <f ca="1">_xlfn.IFNA(INDIRECT(_xlfn.TEXTJOIN("",TRUE,A168,"!",ADDRESS(16+(A169-1)*J168,6))),"")</f>
        <v/>
      </c>
      <c r="I175" s="25" t="str">
        <f ca="1">_xlfn.IFNA(INDIRECT(_xlfn.TEXTJOIN("",TRUE,A168,"!",ADDRESS(16+(A169-1)*J168,13))),"")</f>
        <v/>
      </c>
      <c r="J175" s="25" t="str">
        <f ca="1">_xlfn.IFNA(INDIRECT(_xlfn.TEXTJOIN("",TRUE,A168,"!",ADDRESS(16+(A169-1)*J168,14))),"")</f>
        <v/>
      </c>
    </row>
    <row r="176" spans="1:10" ht="10.5" customHeight="1" x14ac:dyDescent="0.2">
      <c r="A176" s="65" t="str">
        <f ca="1">_xlfn.IFNA(INDIRECT(_xlfn.TEXTJOIN("",TRUE,A168,"!",ADDRESS(17+(A169-1)*J168,1))),"")</f>
        <v/>
      </c>
      <c r="B176" s="65"/>
      <c r="C176" s="66" t="str">
        <f ca="1">_xlfn.IFNA(INDIRECT(_xlfn.TEXTJOIN("",TRUE,A168,"!",ADDRESS(17+(A169-1)*J168,2))),"")</f>
        <v/>
      </c>
      <c r="D176" s="66"/>
      <c r="E176" s="66"/>
      <c r="F176" s="66"/>
      <c r="G176" s="66"/>
      <c r="H176" s="25" t="str">
        <f ca="1">_xlfn.IFNA(INDIRECT(_xlfn.TEXTJOIN("",TRUE,A168,"!",ADDRESS(17+(A169-1)*J168,6))),"")</f>
        <v/>
      </c>
      <c r="I176" s="25" t="str">
        <f ca="1">_xlfn.IFNA(INDIRECT(_xlfn.TEXTJOIN("",TRUE,A168,"!",ADDRESS(17+(A169-1)*J168,13))),"")</f>
        <v/>
      </c>
      <c r="J176" s="25" t="str">
        <f ca="1">_xlfn.IFNA(INDIRECT(_xlfn.TEXTJOIN("",TRUE,A168,"!",ADDRESS(17+(A169-1)*J168,14))),"")</f>
        <v/>
      </c>
    </row>
    <row r="177" spans="1:10" ht="10.5" customHeight="1" x14ac:dyDescent="0.2">
      <c r="A177" s="65" t="str">
        <f ca="1">_xlfn.IFNA(INDIRECT(_xlfn.TEXTJOIN("",TRUE,A168,"!",ADDRESS(18+(A169-1)*J168,1))),"")</f>
        <v/>
      </c>
      <c r="B177" s="65"/>
      <c r="C177" s="66" t="str">
        <f ca="1">_xlfn.IFNA(INDIRECT(_xlfn.TEXTJOIN("",TRUE,A168,"!",ADDRESS(18+(A169-1)*J168,2))),"")</f>
        <v/>
      </c>
      <c r="D177" s="66"/>
      <c r="E177" s="66"/>
      <c r="F177" s="66"/>
      <c r="G177" s="66"/>
      <c r="H177" s="25" t="str">
        <f ca="1">_xlfn.IFNA(INDIRECT(_xlfn.TEXTJOIN("",TRUE,A168,"!",ADDRESS(18+(A169-1)*J168,6))),"")</f>
        <v/>
      </c>
      <c r="I177" s="25" t="str">
        <f ca="1">_xlfn.IFNA(INDIRECT(_xlfn.TEXTJOIN("",TRUE,A168,"!",ADDRESS(18+(A169-1)*J168,13))),"")</f>
        <v/>
      </c>
      <c r="J177" s="25" t="str">
        <f ca="1">_xlfn.IFNA(INDIRECT(_xlfn.TEXTJOIN("",TRUE,A168,"!",ADDRESS(18+(A169-1)*J168,14))),"")</f>
        <v/>
      </c>
    </row>
    <row r="178" spans="1:10" ht="10.5" customHeight="1" x14ac:dyDescent="0.2">
      <c r="A178" s="60" t="str">
        <f ca="1">_xlfn.IFNA(INDIRECT(_xlfn.TEXTJOIN("",TRUE,A168,"!",ADDRESS(19+(A169-1)*J168,1))),"")</f>
        <v/>
      </c>
      <c r="B178" s="61"/>
      <c r="C178" s="57" t="str">
        <f ca="1">_xlfn.IFNA(INDIRECT(_xlfn.TEXTJOIN("",TRUE,A168,"!",ADDRESS(19+(A169-1)*J168,2))),"")</f>
        <v/>
      </c>
      <c r="D178" s="58"/>
      <c r="E178" s="58"/>
      <c r="F178" s="58"/>
      <c r="G178" s="59"/>
      <c r="H178" s="25" t="str">
        <f ca="1">_xlfn.IFNA(INDIRECT(_xlfn.TEXTJOIN("",TRUE,A168,"!",ADDRESS(19+(A169-1)*J168,6))),"")</f>
        <v/>
      </c>
      <c r="I178" s="25" t="str">
        <f ca="1">_xlfn.IFNA(INDIRECT(_xlfn.TEXTJOIN("",TRUE,A168,"!",ADDRESS(19+(A169-1)*J168,13))),"")</f>
        <v/>
      </c>
      <c r="J178" s="25" t="str">
        <f ca="1">_xlfn.IFNA(INDIRECT(_xlfn.TEXTJOIN("",TRUE,A168,"!",ADDRESS(19+(A169-1)*J168,14))),"")</f>
        <v/>
      </c>
    </row>
    <row r="179" spans="1:10" ht="10.5" customHeight="1" x14ac:dyDescent="0.2">
      <c r="A179" s="65" t="str">
        <f ca="1">_xlfn.IFNA(INDIRECT(_xlfn.TEXTJOIN("",TRUE,A168,"!",ADDRESS(20+(A169-1)*J168,1))),"")</f>
        <v/>
      </c>
      <c r="B179" s="65"/>
      <c r="C179" s="66" t="str">
        <f ca="1">_xlfn.IFNA(INDIRECT(_xlfn.TEXTJOIN("",TRUE,A168,"!",ADDRESS(20+(A169-1)*J168,2))),"")</f>
        <v/>
      </c>
      <c r="D179" s="66"/>
      <c r="E179" s="66"/>
      <c r="F179" s="66"/>
      <c r="G179" s="66"/>
      <c r="H179" s="25" t="str">
        <f ca="1">_xlfn.IFNA(INDIRECT(_xlfn.TEXTJOIN("",TRUE,A168,"!",ADDRESS(20+(A169-1)*J168,6))),"")</f>
        <v/>
      </c>
      <c r="I179" s="25" t="str">
        <f ca="1">_xlfn.IFNA(INDIRECT(_xlfn.TEXTJOIN("",TRUE,A168,"!",ADDRESS(20+(A169-1)*J168,13))),"")</f>
        <v/>
      </c>
      <c r="J179" s="25" t="str">
        <f ca="1">_xlfn.IFNA(INDIRECT(_xlfn.TEXTJOIN("",TRUE,A168,"!",ADDRESS(20+(A169-1)*J168,14))),"")</f>
        <v/>
      </c>
    </row>
    <row r="180" spans="1:10" ht="10.5" customHeight="1" x14ac:dyDescent="0.2">
      <c r="A180" s="65" t="str">
        <f ca="1">_xlfn.IFNA(INDIRECT(_xlfn.TEXTJOIN("",TRUE,A168,"!",ADDRESS(21+(A169-1)*J168,1))),"")</f>
        <v/>
      </c>
      <c r="B180" s="65"/>
      <c r="C180" s="66" t="str">
        <f ca="1">_xlfn.IFNA(INDIRECT(_xlfn.TEXTJOIN("",TRUE,A168,"!",ADDRESS(21+(A169-1)*J168,2))),"")</f>
        <v/>
      </c>
      <c r="D180" s="66"/>
      <c r="E180" s="66"/>
      <c r="F180" s="66"/>
      <c r="G180" s="66"/>
      <c r="H180" s="25" t="str">
        <f ca="1">_xlfn.IFNA(INDIRECT(_xlfn.TEXTJOIN("",TRUE,A168,"!",ADDRESS(21+(A169-1)*J168,6))),"")</f>
        <v/>
      </c>
      <c r="I180" s="25" t="str">
        <f ca="1">_xlfn.IFNA(INDIRECT(_xlfn.TEXTJOIN("",TRUE,A168,"!",ADDRESS(21+(A169-1)*J168,13))),"")</f>
        <v/>
      </c>
      <c r="J180" s="25" t="str">
        <f ca="1">_xlfn.IFNA(INDIRECT(_xlfn.TEXTJOIN("",TRUE,A168,"!",ADDRESS(21+(A169-1)*J168,14))),"")</f>
        <v/>
      </c>
    </row>
    <row r="181" spans="1:10" ht="10.5" customHeight="1" x14ac:dyDescent="0.2">
      <c r="A181" s="65" t="str">
        <f ca="1">_xlfn.IFNA(INDIRECT(_xlfn.TEXTJOIN("",TRUE,A168,"!",ADDRESS(22+(A169-1)*J168,1))),"")</f>
        <v/>
      </c>
      <c r="B181" s="65"/>
      <c r="C181" s="66" t="str">
        <f ca="1">_xlfn.IFNA(INDIRECT(_xlfn.TEXTJOIN("",TRUE,A168,"!",ADDRESS(22+(A169-1)*J168,2))),"")</f>
        <v/>
      </c>
      <c r="D181" s="66"/>
      <c r="E181" s="66"/>
      <c r="F181" s="66"/>
      <c r="G181" s="66"/>
      <c r="H181" s="25" t="str">
        <f ca="1">_xlfn.IFNA(INDIRECT(_xlfn.TEXTJOIN("",TRUE,A168,"!",ADDRESS(22+(A169-1)*J168,6))),"")</f>
        <v/>
      </c>
      <c r="I181" s="25" t="str">
        <f ca="1">_xlfn.IFNA(INDIRECT(_xlfn.TEXTJOIN("",TRUE,A168,"!",ADDRESS(22+(A169-1)*J168,13))),"")</f>
        <v/>
      </c>
      <c r="J181" s="25" t="str">
        <f ca="1">_xlfn.IFNA(INDIRECT(_xlfn.TEXTJOIN("",TRUE,A168,"!",ADDRESS(22+(A169-1)*J168,14))),"")</f>
        <v/>
      </c>
    </row>
    <row r="182" spans="1:10" ht="10.5" customHeight="1" x14ac:dyDescent="0.2">
      <c r="A182" s="71" t="str">
        <f ca="1">IF(ISNA(A169),"","Total Credits/ Total Grade Points")</f>
        <v/>
      </c>
      <c r="B182" s="71"/>
      <c r="C182" s="71"/>
      <c r="D182" s="71"/>
      <c r="E182" s="71"/>
      <c r="F182" s="71"/>
      <c r="G182" s="71"/>
      <c r="H182" s="27" t="str">
        <f ca="1">IF(ISNA(A169),"",SUM(H172:H181))</f>
        <v/>
      </c>
      <c r="I182" s="26" t="str">
        <f ca="1">IF(ISNA(A169),"","-")</f>
        <v/>
      </c>
      <c r="J182" s="27" t="str">
        <f ca="1">IF(ISNA(A169),"",SUMPRODUCT(J172:J181,H172:H181))</f>
        <v/>
      </c>
    </row>
    <row r="183" spans="1:10" ht="10.5" customHeight="1" x14ac:dyDescent="0.2">
      <c r="A183" s="24" t="s">
        <v>60</v>
      </c>
      <c r="B183" s="72" t="str">
        <f ca="1">IF(ISNA(A184),"","Semester III (Autumn Semester 2023-24)")</f>
        <v/>
      </c>
      <c r="C183" s="72"/>
      <c r="D183" s="72"/>
      <c r="E183" s="72"/>
      <c r="F183" s="72"/>
      <c r="G183" s="72"/>
      <c r="H183" s="72"/>
      <c r="I183" s="72"/>
      <c r="J183" s="24">
        <f>ROWS(A187:B194)+9</f>
        <v>17</v>
      </c>
    </row>
    <row r="184" spans="1:10" ht="10.5" customHeight="1" x14ac:dyDescent="0.2">
      <c r="A184" s="24" t="e">
        <f ca="1">INDEX(SEM_III!$A$6:$A$43,Marksheets!J184)</f>
        <v>#N/A</v>
      </c>
      <c r="B184" s="63"/>
      <c r="C184" s="63"/>
      <c r="D184" s="63"/>
      <c r="E184" s="63"/>
      <c r="F184" s="63"/>
      <c r="G184" s="63"/>
      <c r="H184" s="63"/>
      <c r="I184" s="63"/>
      <c r="J184" s="24" t="e">
        <f ca="1">MATCH(H147,SEM_III!$B$6:$B$43,0)</f>
        <v>#N/A</v>
      </c>
    </row>
    <row r="185" spans="1:10" ht="10.5" customHeight="1" x14ac:dyDescent="0.2">
      <c r="A185" s="64" t="str">
        <f ca="1">IF(ISNA(A184),"","Subject Code")</f>
        <v/>
      </c>
      <c r="B185" s="64"/>
      <c r="C185" s="64" t="str">
        <f ca="1">IF(ISNA(A184),"","Subject Name")</f>
        <v/>
      </c>
      <c r="D185" s="64"/>
      <c r="E185" s="64"/>
      <c r="F185" s="64"/>
      <c r="G185" s="64"/>
      <c r="H185" s="64" t="str">
        <f ca="1">IF(ISNA(A184),"","Credits")</f>
        <v/>
      </c>
      <c r="I185" s="64" t="str">
        <f ca="1">IF(ISNA(A184),"","Grade")</f>
        <v/>
      </c>
      <c r="J185" s="64" t="str">
        <f ca="1">IF(ISNA(A184),"","Grade Points")</f>
        <v/>
      </c>
    </row>
    <row r="186" spans="1:10" ht="11.5" customHeight="1" x14ac:dyDescent="0.2">
      <c r="A186" s="64"/>
      <c r="B186" s="64"/>
      <c r="C186" s="64"/>
      <c r="D186" s="64"/>
      <c r="E186" s="64"/>
      <c r="F186" s="64"/>
      <c r="G186" s="64"/>
      <c r="H186" s="64"/>
      <c r="I186" s="64"/>
      <c r="J186" s="64"/>
    </row>
    <row r="187" spans="1:10" ht="10.5" customHeight="1" x14ac:dyDescent="0.2">
      <c r="A187" s="65" t="str">
        <f ca="1">_xlfn.IFNA(INDIRECT(_xlfn.TEXTJOIN("",TRUE,A183,"!",ADDRESS(13+(A184-1)*J183,1))),"")</f>
        <v/>
      </c>
      <c r="B187" s="65"/>
      <c r="C187" s="66" t="str">
        <f ca="1">_xlfn.IFNA(INDIRECT(_xlfn.TEXTJOIN("",TRUE,A183,"!",ADDRESS(13+(A184-1)*J183,2))),"")</f>
        <v/>
      </c>
      <c r="D187" s="66"/>
      <c r="E187" s="66"/>
      <c r="F187" s="66"/>
      <c r="G187" s="66"/>
      <c r="H187" s="25" t="str">
        <f ca="1">_xlfn.IFNA(INDIRECT(_xlfn.TEXTJOIN("",TRUE,A183,"!",ADDRESS(13+(A184-1)*J183,6))),"")</f>
        <v/>
      </c>
      <c r="I187" s="25" t="str">
        <f ca="1">_xlfn.IFNA(INDIRECT(_xlfn.TEXTJOIN("",TRUE,A183,"!",ADDRESS(13+(A184-1)*J183,13))),"")</f>
        <v/>
      </c>
      <c r="J187" s="25" t="str">
        <f ca="1">_xlfn.IFNA(INDIRECT(_xlfn.TEXTJOIN("",TRUE,A183,"!",ADDRESS(13+(A184-1)*J183,14))),"")</f>
        <v/>
      </c>
    </row>
    <row r="188" spans="1:10" ht="10.5" customHeight="1" x14ac:dyDescent="0.2">
      <c r="A188" s="65" t="str">
        <f ca="1">_xlfn.IFNA(INDIRECT(_xlfn.TEXTJOIN("",TRUE,A183,"!",ADDRESS(14+(A184-1)*J183,1))),"")</f>
        <v/>
      </c>
      <c r="B188" s="65"/>
      <c r="C188" s="66" t="str">
        <f ca="1">_xlfn.IFNA(INDIRECT(_xlfn.TEXTJOIN("",TRUE,A183,"!",ADDRESS(14+(A184-1)*J183,2))),"")</f>
        <v/>
      </c>
      <c r="D188" s="66"/>
      <c r="E188" s="66"/>
      <c r="F188" s="66"/>
      <c r="G188" s="66"/>
      <c r="H188" s="25" t="str">
        <f ca="1">_xlfn.IFNA(INDIRECT(_xlfn.TEXTJOIN("",TRUE,A183,"!",ADDRESS(14+(A184-1)*J183,6))),"")</f>
        <v/>
      </c>
      <c r="I188" s="25" t="str">
        <f ca="1">_xlfn.IFNA(INDIRECT(_xlfn.TEXTJOIN("",TRUE,A183,"!",ADDRESS(14+(A184-1)*J183,13))),"")</f>
        <v/>
      </c>
      <c r="J188" s="25" t="str">
        <f ca="1">_xlfn.IFNA(INDIRECT(_xlfn.TEXTJOIN("",TRUE,A183,"!",ADDRESS(14+(A184-1)*J183,14))),"")</f>
        <v/>
      </c>
    </row>
    <row r="189" spans="1:10" ht="10.5" customHeight="1" x14ac:dyDescent="0.2">
      <c r="A189" s="65" t="str">
        <f ca="1">_xlfn.IFNA(INDIRECT(_xlfn.TEXTJOIN("",TRUE,A183,"!",ADDRESS(15+(A184-1)*J183,1))),"")</f>
        <v/>
      </c>
      <c r="B189" s="65"/>
      <c r="C189" s="66" t="str">
        <f ca="1">_xlfn.IFNA(INDIRECT(_xlfn.TEXTJOIN("",TRUE,A183,"!",ADDRESS(15+(A184-1)*J183,2))),"")</f>
        <v/>
      </c>
      <c r="D189" s="66"/>
      <c r="E189" s="66"/>
      <c r="F189" s="66"/>
      <c r="G189" s="66"/>
      <c r="H189" s="25" t="str">
        <f ca="1">_xlfn.IFNA(INDIRECT(_xlfn.TEXTJOIN("",TRUE,A183,"!",ADDRESS(15+(A184-1)*J183,6))),"")</f>
        <v/>
      </c>
      <c r="I189" s="25" t="str">
        <f ca="1">_xlfn.IFNA(INDIRECT(_xlfn.TEXTJOIN("",TRUE,A183,"!",ADDRESS(15+(A184-1)*J183,13))),"")</f>
        <v/>
      </c>
      <c r="J189" s="25" t="str">
        <f ca="1">_xlfn.IFNA(INDIRECT(_xlfn.TEXTJOIN("",TRUE,A183,"!",ADDRESS(15+(A184-1)*J183,14))),"")</f>
        <v/>
      </c>
    </row>
    <row r="190" spans="1:10" ht="10.5" customHeight="1" x14ac:dyDescent="0.2">
      <c r="A190" s="65" t="str">
        <f ca="1">_xlfn.IFNA(INDIRECT(_xlfn.TEXTJOIN("",TRUE,A183,"!",ADDRESS(16+(A184-1)*J183,1))),"")</f>
        <v/>
      </c>
      <c r="B190" s="65"/>
      <c r="C190" s="66" t="str">
        <f ca="1">_xlfn.IFNA(INDIRECT(_xlfn.TEXTJOIN("",TRUE,A183,"!",ADDRESS(16+(A184-1)*J183,2))),"")</f>
        <v/>
      </c>
      <c r="D190" s="66"/>
      <c r="E190" s="66"/>
      <c r="F190" s="66"/>
      <c r="G190" s="66"/>
      <c r="H190" s="25" t="str">
        <f ca="1">_xlfn.IFNA(INDIRECT(_xlfn.TEXTJOIN("",TRUE,A183,"!",ADDRESS(16+(A184-1)*J183,6))),"")</f>
        <v/>
      </c>
      <c r="I190" s="25" t="str">
        <f ca="1">_xlfn.IFNA(INDIRECT(_xlfn.TEXTJOIN("",TRUE,A183,"!",ADDRESS(16+(A184-1)*J183,13))),"")</f>
        <v/>
      </c>
      <c r="J190" s="25" t="str">
        <f ca="1">_xlfn.IFNA(INDIRECT(_xlfn.TEXTJOIN("",TRUE,A183,"!",ADDRESS(16+(A184-1)*J183,14))),"")</f>
        <v/>
      </c>
    </row>
    <row r="191" spans="1:10" ht="10.5" customHeight="1" x14ac:dyDescent="0.2">
      <c r="A191" s="65" t="str">
        <f ca="1">_xlfn.IFNA(INDIRECT(_xlfn.TEXTJOIN("",TRUE,A183,"!",ADDRESS(17+(A184-1)*J183,1))),"")</f>
        <v/>
      </c>
      <c r="B191" s="65"/>
      <c r="C191" s="66" t="str">
        <f ca="1">_xlfn.IFNA(INDIRECT(_xlfn.TEXTJOIN("",TRUE,A183,"!",ADDRESS(17+(A184-1)*J183,2))),"")</f>
        <v/>
      </c>
      <c r="D191" s="66"/>
      <c r="E191" s="66"/>
      <c r="F191" s="66"/>
      <c r="G191" s="66"/>
      <c r="H191" s="25" t="str">
        <f ca="1">_xlfn.IFNA(INDIRECT(_xlfn.TEXTJOIN("",TRUE,A183,"!",ADDRESS(17+(A184-1)*J183,6))),"")</f>
        <v/>
      </c>
      <c r="I191" s="25" t="str">
        <f ca="1">_xlfn.IFNA(INDIRECT(_xlfn.TEXTJOIN("",TRUE,A183,"!",ADDRESS(17+(A184-1)*J183,13))),"")</f>
        <v/>
      </c>
      <c r="J191" s="25" t="str">
        <f ca="1">_xlfn.IFNA(INDIRECT(_xlfn.TEXTJOIN("",TRUE,A183,"!",ADDRESS(17+(A184-1)*J183,14))),"")</f>
        <v/>
      </c>
    </row>
    <row r="192" spans="1:10" ht="10.5" customHeight="1" x14ac:dyDescent="0.2">
      <c r="A192" s="65" t="str">
        <f ca="1">_xlfn.IFNA(INDIRECT(_xlfn.TEXTJOIN("",TRUE,A183,"!",ADDRESS(18+(A184-1)*J183,1))),"")</f>
        <v/>
      </c>
      <c r="B192" s="65"/>
      <c r="C192" s="66" t="str">
        <f ca="1">_xlfn.IFNA(INDIRECT(_xlfn.TEXTJOIN("",TRUE,A183,"!",ADDRESS(18+(A184-1)*J183,2))),"")</f>
        <v/>
      </c>
      <c r="D192" s="66"/>
      <c r="E192" s="66"/>
      <c r="F192" s="66"/>
      <c r="G192" s="66"/>
      <c r="H192" s="25" t="str">
        <f ca="1">_xlfn.IFNA(INDIRECT(_xlfn.TEXTJOIN("",TRUE,A183,"!",ADDRESS(18+(A184-1)*J183,6))),"")</f>
        <v/>
      </c>
      <c r="I192" s="25" t="str">
        <f ca="1">_xlfn.IFNA(INDIRECT(_xlfn.TEXTJOIN("",TRUE,A183,"!",ADDRESS(18+(A184-1)*J183,13))),"")</f>
        <v/>
      </c>
      <c r="J192" s="25" t="str">
        <f ca="1">_xlfn.IFNA(INDIRECT(_xlfn.TEXTJOIN("",TRUE,A183,"!",ADDRESS(18+(A184-1)*J183,14))),"")</f>
        <v/>
      </c>
    </row>
    <row r="193" spans="1:10" ht="10.5" customHeight="1" x14ac:dyDescent="0.2">
      <c r="A193" s="60" t="str">
        <f ca="1">_xlfn.IFNA(INDIRECT(_xlfn.TEXTJOIN("",TRUE,A183,"!",ADDRESS(19+(A184-1)*J183,1))),"")</f>
        <v/>
      </c>
      <c r="B193" s="61"/>
      <c r="C193" s="57" t="str">
        <f ca="1">_xlfn.IFNA(INDIRECT(_xlfn.TEXTJOIN("",TRUE,A183,"!",ADDRESS(19+(A184-1)*J183,2))),"")</f>
        <v/>
      </c>
      <c r="D193" s="58"/>
      <c r="E193" s="58"/>
      <c r="F193" s="58"/>
      <c r="G193" s="59"/>
      <c r="H193" s="25" t="str">
        <f ca="1">_xlfn.IFNA(INDIRECT(_xlfn.TEXTJOIN("",TRUE,A183,"!",ADDRESS(19+(A184-1)*J183,6))),"")</f>
        <v/>
      </c>
      <c r="I193" s="25" t="str">
        <f ca="1">_xlfn.IFNA(INDIRECT(_xlfn.TEXTJOIN("",TRUE,A183,"!",ADDRESS(19+(A184-1)*J183,13))),"")</f>
        <v/>
      </c>
      <c r="J193" s="25" t="str">
        <f ca="1">_xlfn.IFNA(INDIRECT(_xlfn.TEXTJOIN("",TRUE,A183,"!",ADDRESS(19+(A184-1)*J183,14))),"")</f>
        <v/>
      </c>
    </row>
    <row r="194" spans="1:10" ht="10.5" customHeight="1" x14ac:dyDescent="0.2">
      <c r="A194" s="65" t="str">
        <f ca="1">_xlfn.IFNA(INDIRECT(_xlfn.TEXTJOIN("",TRUE,A183,"!",ADDRESS(20+(A184-1)*J183,1))),"")</f>
        <v/>
      </c>
      <c r="B194" s="65"/>
      <c r="C194" s="66" t="str">
        <f ca="1">_xlfn.IFNA(INDIRECT(_xlfn.TEXTJOIN("",TRUE,A183,"!",ADDRESS(20+(A184-1)*J183,2))),"")</f>
        <v/>
      </c>
      <c r="D194" s="66"/>
      <c r="E194" s="66"/>
      <c r="F194" s="66"/>
      <c r="G194" s="66"/>
      <c r="H194" s="25" t="str">
        <f ca="1">_xlfn.IFNA(INDIRECT(_xlfn.TEXTJOIN("",TRUE,A183,"!",ADDRESS(20+(A184-1)*J183,6))),"")</f>
        <v/>
      </c>
      <c r="I194" s="25" t="str">
        <f ca="1">_xlfn.IFNA(INDIRECT(_xlfn.TEXTJOIN("",TRUE,A183,"!",ADDRESS(20+(A184-1)*J183,13))),"")</f>
        <v/>
      </c>
      <c r="J194" s="25" t="str">
        <f ca="1">_xlfn.IFNA(INDIRECT(_xlfn.TEXTJOIN("",TRUE,A183,"!",ADDRESS(20+(A184-1)*J183,14))),"")</f>
        <v/>
      </c>
    </row>
    <row r="195" spans="1:10" ht="10.5" customHeight="1" x14ac:dyDescent="0.2">
      <c r="A195" s="71" t="str">
        <f ca="1">IF(ISNA(A184),"","Total Credits/ Total Grade Points")</f>
        <v/>
      </c>
      <c r="B195" s="71"/>
      <c r="C195" s="71"/>
      <c r="D195" s="71"/>
      <c r="E195" s="71"/>
      <c r="F195" s="71"/>
      <c r="G195" s="71"/>
      <c r="H195" s="27" t="str">
        <f ca="1">IF(ISNA(A184),"",SUM(H187:H194))</f>
        <v/>
      </c>
      <c r="I195" s="26" t="str">
        <f ca="1">IF(ISNA(A184),"","-")</f>
        <v/>
      </c>
      <c r="J195" s="27" t="str">
        <f ca="1">IF(ISNA(A184),"",SUMPRODUCT(J187:J194,H187:H194))</f>
        <v/>
      </c>
    </row>
    <row r="196" spans="1:10" ht="10.5" customHeight="1" x14ac:dyDescent="0.2">
      <c r="A196" s="24" t="s">
        <v>133</v>
      </c>
      <c r="B196" s="72" t="str">
        <f ca="1">IF(ISNA(A197),"","Semester IV (Spring Semester 2023-24)")</f>
        <v/>
      </c>
      <c r="C196" s="72"/>
      <c r="D196" s="72"/>
      <c r="E196" s="72"/>
      <c r="F196" s="72"/>
      <c r="G196" s="72"/>
      <c r="H196" s="72"/>
      <c r="I196" s="72"/>
      <c r="J196" s="24">
        <f>ROWS(A200:B206)+9</f>
        <v>16</v>
      </c>
    </row>
    <row r="197" spans="1:10" ht="10.5" customHeight="1" x14ac:dyDescent="0.2">
      <c r="A197" s="24" t="e">
        <f ca="1">INDEX(SEM_IV!$A$6:$A$43,Marksheets!J197)</f>
        <v>#N/A</v>
      </c>
      <c r="B197" s="63"/>
      <c r="C197" s="63"/>
      <c r="D197" s="63"/>
      <c r="E197" s="63"/>
      <c r="F197" s="63"/>
      <c r="G197" s="63"/>
      <c r="H197" s="63"/>
      <c r="I197" s="63"/>
      <c r="J197" s="24" t="e">
        <f ca="1">MATCH(H147,SEM_IV!$B$6:$B$43,0)</f>
        <v>#N/A</v>
      </c>
    </row>
    <row r="198" spans="1:10" ht="10.5" customHeight="1" x14ac:dyDescent="0.2">
      <c r="A198" s="64" t="str">
        <f ca="1">IF(ISNA(A197),"","Subject Code")</f>
        <v/>
      </c>
      <c r="B198" s="64"/>
      <c r="C198" s="64" t="str">
        <f ca="1">IF(ISNA(A197),"","Subject Name")</f>
        <v/>
      </c>
      <c r="D198" s="64"/>
      <c r="E198" s="64"/>
      <c r="F198" s="64"/>
      <c r="G198" s="64"/>
      <c r="H198" s="64" t="str">
        <f ca="1">IF(ISNA(A197),"","Credits")</f>
        <v/>
      </c>
      <c r="I198" s="64" t="str">
        <f ca="1">IF(ISNA(A197),"","Grade")</f>
        <v/>
      </c>
      <c r="J198" s="64" t="str">
        <f ca="1">IF(ISNA(A197),"","Grade Points")</f>
        <v/>
      </c>
    </row>
    <row r="199" spans="1:10" ht="12" customHeight="1" x14ac:dyDescent="0.2">
      <c r="A199" s="64"/>
      <c r="B199" s="64"/>
      <c r="C199" s="64"/>
      <c r="D199" s="64"/>
      <c r="E199" s="64"/>
      <c r="F199" s="64"/>
      <c r="G199" s="64"/>
      <c r="H199" s="64"/>
      <c r="I199" s="64"/>
      <c r="J199" s="64"/>
    </row>
    <row r="200" spans="1:10" ht="10.5" customHeight="1" x14ac:dyDescent="0.2">
      <c r="A200" s="65" t="str">
        <f ca="1">_xlfn.IFNA(INDIRECT(_xlfn.TEXTJOIN("",TRUE,A196,"!",ADDRESS(13+(A197-1)*J196,1))),"")</f>
        <v/>
      </c>
      <c r="B200" s="65"/>
      <c r="C200" s="66" t="str">
        <f ca="1">_xlfn.IFNA(INDIRECT(_xlfn.TEXTJOIN("",TRUE,A196,"!",ADDRESS(13+(A197-1)*J196,2))),"")</f>
        <v/>
      </c>
      <c r="D200" s="66"/>
      <c r="E200" s="66"/>
      <c r="F200" s="66"/>
      <c r="G200" s="66"/>
      <c r="H200" s="25" t="str">
        <f ca="1">_xlfn.IFNA(INDIRECT(_xlfn.TEXTJOIN("",TRUE,A196,"!",ADDRESS(13+(A197-1)*J196,6))),"")</f>
        <v/>
      </c>
      <c r="I200" s="25" t="str">
        <f ca="1">_xlfn.IFNA(INDIRECT(_xlfn.TEXTJOIN("",TRUE,A196,"!",ADDRESS(13+(A197-1)*J196,13))),"")</f>
        <v/>
      </c>
      <c r="J200" s="25" t="str">
        <f ca="1">_xlfn.IFNA(INDIRECT(_xlfn.TEXTJOIN("",TRUE,A196,"!",ADDRESS(13+(A197-1)*J196,14))),"")</f>
        <v/>
      </c>
    </row>
    <row r="201" spans="1:10" ht="10.5" customHeight="1" x14ac:dyDescent="0.2">
      <c r="A201" s="65" t="str">
        <f ca="1">_xlfn.IFNA(INDIRECT(_xlfn.TEXTJOIN("",TRUE,A196,"!",ADDRESS(14+(A197-1)*J196,1))),"")</f>
        <v/>
      </c>
      <c r="B201" s="65"/>
      <c r="C201" s="66" t="str">
        <f ca="1">_xlfn.IFNA(INDIRECT(_xlfn.TEXTJOIN("",TRUE,A196,"!",ADDRESS(14+(A197-1)*J196,2))),"")</f>
        <v/>
      </c>
      <c r="D201" s="66"/>
      <c r="E201" s="66"/>
      <c r="F201" s="66"/>
      <c r="G201" s="66"/>
      <c r="H201" s="25" t="str">
        <f ca="1">_xlfn.IFNA(INDIRECT(_xlfn.TEXTJOIN("",TRUE,A196,"!",ADDRESS(14+(A197-1)*J196,6))),"")</f>
        <v/>
      </c>
      <c r="I201" s="25" t="str">
        <f ca="1">_xlfn.IFNA(INDIRECT(_xlfn.TEXTJOIN("",TRUE,A196,"!",ADDRESS(14+(A197-1)*J196,13))),"")</f>
        <v/>
      </c>
      <c r="J201" s="25" t="str">
        <f ca="1">_xlfn.IFNA(INDIRECT(_xlfn.TEXTJOIN("",TRUE,A196,"!",ADDRESS(14+(A197-1)*J196,14))),"")</f>
        <v/>
      </c>
    </row>
    <row r="202" spans="1:10" ht="10.5" customHeight="1" x14ac:dyDescent="0.2">
      <c r="A202" s="65" t="str">
        <f ca="1">_xlfn.IFNA(INDIRECT(_xlfn.TEXTJOIN("",TRUE,A196,"!",ADDRESS(15+(A197-1)*J196,1))),"")</f>
        <v/>
      </c>
      <c r="B202" s="65"/>
      <c r="C202" s="66" t="str">
        <f ca="1">_xlfn.IFNA(INDIRECT(_xlfn.TEXTJOIN("",TRUE,A196,"!",ADDRESS(15+(A197-1)*J196,2))),"")</f>
        <v/>
      </c>
      <c r="D202" s="66"/>
      <c r="E202" s="66"/>
      <c r="F202" s="66"/>
      <c r="G202" s="66"/>
      <c r="H202" s="25" t="str">
        <f ca="1">_xlfn.IFNA(INDIRECT(_xlfn.TEXTJOIN("",TRUE,A196,"!",ADDRESS(15+(A197-1)*J196,6))),"")</f>
        <v/>
      </c>
      <c r="I202" s="25" t="str">
        <f ca="1">_xlfn.IFNA(INDIRECT(_xlfn.TEXTJOIN("",TRUE,A196,"!",ADDRESS(15+(A197-1)*J196,13))),"")</f>
        <v/>
      </c>
      <c r="J202" s="25" t="str">
        <f ca="1">_xlfn.IFNA(INDIRECT(_xlfn.TEXTJOIN("",TRUE,A196,"!",ADDRESS(15+(A197-1)*J196,14))),"")</f>
        <v/>
      </c>
    </row>
    <row r="203" spans="1:10" ht="10.5" customHeight="1" x14ac:dyDescent="0.2">
      <c r="A203" s="65" t="str">
        <f ca="1">_xlfn.IFNA(INDIRECT(_xlfn.TEXTJOIN("",TRUE,A196,"!",ADDRESS(16+(A197-1)*J196,1))),"")</f>
        <v/>
      </c>
      <c r="B203" s="65"/>
      <c r="C203" s="66" t="str">
        <f ca="1">_xlfn.IFNA(INDIRECT(_xlfn.TEXTJOIN("",TRUE,A196,"!",ADDRESS(16+(A197-1)*J196,2))),"")</f>
        <v/>
      </c>
      <c r="D203" s="66"/>
      <c r="E203" s="66"/>
      <c r="F203" s="66"/>
      <c r="G203" s="66"/>
      <c r="H203" s="25" t="str">
        <f ca="1">_xlfn.IFNA(INDIRECT(_xlfn.TEXTJOIN("",TRUE,A196,"!",ADDRESS(16+(A197-1)*J196,6))),"")</f>
        <v/>
      </c>
      <c r="I203" s="25" t="str">
        <f ca="1">_xlfn.IFNA(INDIRECT(_xlfn.TEXTJOIN("",TRUE,A196,"!",ADDRESS(16+(A197-1)*J196,13))),"")</f>
        <v/>
      </c>
      <c r="J203" s="25" t="str">
        <f ca="1">_xlfn.IFNA(INDIRECT(_xlfn.TEXTJOIN("",TRUE,A196,"!",ADDRESS(16+(A197-1)*J196,14))),"")</f>
        <v/>
      </c>
    </row>
    <row r="204" spans="1:10" ht="10.5" customHeight="1" x14ac:dyDescent="0.2">
      <c r="A204" s="65" t="str">
        <f ca="1">_xlfn.IFNA(INDIRECT(_xlfn.TEXTJOIN("",TRUE,A196,"!",ADDRESS(17+(A197-1)*J196,1))),"")</f>
        <v/>
      </c>
      <c r="B204" s="65"/>
      <c r="C204" s="66" t="str">
        <f ca="1">_xlfn.IFNA(INDIRECT(_xlfn.TEXTJOIN("",TRUE,A196,"!",ADDRESS(17+(A197-1)*J196,2))),"")</f>
        <v/>
      </c>
      <c r="D204" s="66"/>
      <c r="E204" s="66"/>
      <c r="F204" s="66"/>
      <c r="G204" s="66"/>
      <c r="H204" s="25" t="str">
        <f ca="1">_xlfn.IFNA(INDIRECT(_xlfn.TEXTJOIN("",TRUE,A196,"!",ADDRESS(17+(A197-1)*J196,6))),"")</f>
        <v/>
      </c>
      <c r="I204" s="25" t="str">
        <f ca="1">_xlfn.IFNA(INDIRECT(_xlfn.TEXTJOIN("",TRUE,A196,"!",ADDRESS(17+(A197-1)*J196,13))),"")</f>
        <v/>
      </c>
      <c r="J204" s="25" t="str">
        <f ca="1">_xlfn.IFNA(INDIRECT(_xlfn.TEXTJOIN("",TRUE,A196,"!",ADDRESS(17+(A197-1)*J196,14))),"")</f>
        <v/>
      </c>
    </row>
    <row r="205" spans="1:10" ht="10.5" customHeight="1" x14ac:dyDescent="0.2">
      <c r="A205" s="65" t="str">
        <f ca="1">_xlfn.IFNA(INDIRECT(_xlfn.TEXTJOIN("",TRUE,A196,"!",ADDRESS(18+(A197-1)*J196,1))),"")</f>
        <v/>
      </c>
      <c r="B205" s="65"/>
      <c r="C205" s="66" t="str">
        <f ca="1">_xlfn.IFNA(INDIRECT(_xlfn.TEXTJOIN("",TRUE,A196,"!",ADDRESS(18+(A197-1)*J196,2))),"")</f>
        <v/>
      </c>
      <c r="D205" s="66"/>
      <c r="E205" s="66"/>
      <c r="F205" s="66"/>
      <c r="G205" s="66"/>
      <c r="H205" s="25" t="str">
        <f ca="1">_xlfn.IFNA(INDIRECT(_xlfn.TEXTJOIN("",TRUE,A196,"!",ADDRESS(18+(A197-1)*J196,6))),"")</f>
        <v/>
      </c>
      <c r="I205" s="25" t="str">
        <f ca="1">_xlfn.IFNA(INDIRECT(_xlfn.TEXTJOIN("",TRUE,A196,"!",ADDRESS(18+(A197-1)*J196,13))),"")</f>
        <v/>
      </c>
      <c r="J205" s="25" t="str">
        <f ca="1">_xlfn.IFNA(INDIRECT(_xlfn.TEXTJOIN("",TRUE,A196,"!",ADDRESS(18+(A197-1)*J196,14))),"")</f>
        <v/>
      </c>
    </row>
    <row r="206" spans="1:10" ht="10.5" customHeight="1" x14ac:dyDescent="0.2">
      <c r="A206" s="60" t="str">
        <f ca="1">_xlfn.IFNA(INDIRECT(_xlfn.TEXTJOIN("",TRUE,A196,"!",ADDRESS(19+(A197-1)*J196,1))),"")</f>
        <v/>
      </c>
      <c r="B206" s="61"/>
      <c r="C206" s="57" t="str">
        <f ca="1">_xlfn.IFNA(INDIRECT(_xlfn.TEXTJOIN("",TRUE,A196,"!",ADDRESS(19+(A197-1)*J196,2))),"")</f>
        <v/>
      </c>
      <c r="D206" s="58"/>
      <c r="E206" s="58"/>
      <c r="F206" s="58"/>
      <c r="G206" s="59"/>
      <c r="H206" s="25" t="str">
        <f ca="1">_xlfn.IFNA(INDIRECT(_xlfn.TEXTJOIN("",TRUE,A196,"!",ADDRESS(19+(A197-1)*J196,6))),"")</f>
        <v/>
      </c>
      <c r="I206" s="25" t="str">
        <f ca="1">_xlfn.IFNA(INDIRECT(_xlfn.TEXTJOIN("",TRUE,A196,"!",ADDRESS(19+(A197-1)*J196,13))),"")</f>
        <v/>
      </c>
      <c r="J206" s="25" t="str">
        <f ca="1">_xlfn.IFNA(INDIRECT(_xlfn.TEXTJOIN("",TRUE,A196,"!",ADDRESS(19+(A197-1)*J196,14))),"")</f>
        <v/>
      </c>
    </row>
    <row r="207" spans="1:10" ht="10.5" customHeight="1" x14ac:dyDescent="0.2">
      <c r="A207" s="71" t="str">
        <f ca="1">IF(ISNA(A197),"","Total Credits/ Total Grade Points")</f>
        <v/>
      </c>
      <c r="B207" s="71"/>
      <c r="C207" s="71"/>
      <c r="D207" s="71"/>
      <c r="E207" s="71"/>
      <c r="F207" s="71"/>
      <c r="G207" s="71"/>
      <c r="H207" s="27" t="str">
        <f ca="1">IF(ISNA(A197),"",SUM(H199:H206))</f>
        <v/>
      </c>
      <c r="I207" s="26" t="str">
        <f ca="1">IF(ISNA(A197),"","-")</f>
        <v/>
      </c>
      <c r="J207" s="27" t="str">
        <f ca="1">IF(ISNA(A197),"",SUMPRODUCT(J199:J206,H199:H206))</f>
        <v/>
      </c>
    </row>
    <row r="208" spans="1:10" ht="10.5" customHeight="1" x14ac:dyDescent="0.2">
      <c r="A208" s="75" t="s">
        <v>137</v>
      </c>
      <c r="B208" s="75"/>
      <c r="C208" s="75"/>
      <c r="D208" s="75"/>
      <c r="E208" s="75"/>
      <c r="F208" s="76" t="s">
        <v>138</v>
      </c>
      <c r="G208" s="76"/>
      <c r="H208" s="76"/>
      <c r="I208" s="76"/>
      <c r="J208" s="76"/>
    </row>
    <row r="209" spans="1:10" ht="10.5" customHeight="1" x14ac:dyDescent="0.2">
      <c r="A209" s="43" t="s">
        <v>139</v>
      </c>
      <c r="B209" s="43"/>
      <c r="C209" s="43"/>
      <c r="D209" s="43"/>
      <c r="E209" s="43"/>
      <c r="F209" s="43"/>
      <c r="G209" s="43"/>
      <c r="H209" s="43"/>
      <c r="I209" s="43"/>
      <c r="J209" s="43"/>
    </row>
    <row r="210" spans="1:10" ht="10.5" customHeight="1" x14ac:dyDescent="0.2">
      <c r="A210" s="10"/>
      <c r="B210" s="26"/>
      <c r="C210" s="26" t="s">
        <v>140</v>
      </c>
      <c r="D210" s="26" t="s">
        <v>141</v>
      </c>
      <c r="E210" s="26" t="s">
        <v>142</v>
      </c>
      <c r="F210" s="26" t="s">
        <v>143</v>
      </c>
      <c r="G210" s="26" t="s">
        <v>144</v>
      </c>
      <c r="H210" s="79" t="s">
        <v>145</v>
      </c>
      <c r="I210" s="79"/>
      <c r="J210" s="30"/>
    </row>
    <row r="211" spans="1:10" ht="10.5" customHeight="1" x14ac:dyDescent="0.2">
      <c r="A211" s="10"/>
      <c r="B211" s="80" t="s">
        <v>146</v>
      </c>
      <c r="C211" s="73">
        <f ca="1">J167/H167</f>
        <v>9.1041666666666661</v>
      </c>
      <c r="D211" s="73" t="e">
        <f ca="1">J182/H182</f>
        <v>#VALUE!</v>
      </c>
      <c r="E211" s="73" t="str">
        <f ca="1">IFERROR(J195/H195,"")</f>
        <v/>
      </c>
      <c r="F211" s="73" t="str">
        <f ca="1">IFERROR(J207/H207,"")</f>
        <v/>
      </c>
      <c r="G211" s="82">
        <f ca="1">F213</f>
        <v>9.1041666666666661</v>
      </c>
      <c r="H211" s="83" t="e">
        <f ca="1">IF(TC_IV!N37&lt;96,_xlfn.TEXTJOIN(" Carry Over Back In",TC_I!V73,TC_II!V61,TC_III!V38,TC_IV!V36),IF(G211&gt;=8,"First Division with Distinction",IF(G211&gt;=6.5,"First Division",IF(G211&gt;=5,"Second Division",IF(G211&gt;=4,"Third Division","Fail")))))</f>
        <v>#N/A</v>
      </c>
      <c r="I211" s="83"/>
      <c r="J211" s="30"/>
    </row>
    <row r="212" spans="1:10" ht="10.5" customHeight="1" x14ac:dyDescent="0.2">
      <c r="B212" s="81"/>
      <c r="C212" s="74"/>
      <c r="D212" s="74"/>
      <c r="E212" s="74"/>
      <c r="F212" s="74"/>
      <c r="G212" s="82"/>
      <c r="H212" s="83"/>
      <c r="I212" s="83"/>
    </row>
    <row r="213" spans="1:10" ht="10.5" customHeight="1" x14ac:dyDescent="0.2">
      <c r="B213" s="80" t="s">
        <v>48</v>
      </c>
      <c r="C213" s="73">
        <f ca="1">J167/H167</f>
        <v>9.1041666666666661</v>
      </c>
      <c r="D213" s="73">
        <f ca="1">SUM(J182,J167)/SUM(H182,H167)</f>
        <v>9.1041666666666661</v>
      </c>
      <c r="E213" s="73">
        <f ca="1">SUM(J195,J182,J167)/SUM(H195,H182,H167)</f>
        <v>9.1041666666666661</v>
      </c>
      <c r="F213" s="73">
        <f ca="1">SUM(J207,J195,J182,J167)/SUM(H167,H182,H195,H207)</f>
        <v>9.1041666666666661</v>
      </c>
      <c r="G213" s="82"/>
      <c r="H213" s="83"/>
      <c r="I213" s="83"/>
    </row>
    <row r="214" spans="1:10" ht="10.5" customHeight="1" x14ac:dyDescent="0.2">
      <c r="B214" s="81"/>
      <c r="C214" s="74"/>
      <c r="D214" s="74"/>
      <c r="E214" s="74"/>
      <c r="F214" s="74"/>
      <c r="G214" s="82"/>
      <c r="H214" s="83"/>
      <c r="I214" s="83"/>
    </row>
    <row r="216" spans="1:10" ht="10.5" customHeight="1" x14ac:dyDescent="0.2">
      <c r="A216" s="56" t="s">
        <v>24</v>
      </c>
      <c r="B216" s="56"/>
      <c r="C216" s="56" t="str">
        <f ca="1">INDIRECT(_xlfn.TEXTJOIN("",TRUE,A218,"!",ADDRESS(9+(A219-1)*J218,2)))</f>
        <v>AYUSH SINGH RAWAT</v>
      </c>
      <c r="D216" s="56"/>
      <c r="E216" s="56"/>
      <c r="F216" s="56" t="s">
        <v>135</v>
      </c>
      <c r="G216" s="56"/>
      <c r="H216" s="62">
        <f ca="1">INDIRECT(_xlfn.TEXTJOIN("",TRUE,A218,"!",ADDRESS(9+(A219-1)*J218,9)))</f>
        <v>250090600004</v>
      </c>
      <c r="I216" s="56"/>
      <c r="J216" s="56"/>
    </row>
    <row r="217" spans="1:10" ht="10.5" customHeight="1" x14ac:dyDescent="0.2">
      <c r="A217" s="56" t="s">
        <v>25</v>
      </c>
      <c r="B217" s="56"/>
      <c r="C217" s="56" t="str">
        <f ca="1">INDIRECT(_xlfn.TEXTJOIN("",TRUE,A218,"!",ADDRESS(9+(A219-1)*J218,5)))</f>
        <v>RAJENDRA SINGH RAWAT</v>
      </c>
      <c r="D217" s="56"/>
      <c r="E217" s="56"/>
      <c r="F217" s="47" t="s">
        <v>136</v>
      </c>
      <c r="G217" s="47"/>
      <c r="H217" s="62" t="str">
        <f ca="1">INDIRECT(_xlfn.TEXTJOIN("",TRUE,A218,"!",ADDRESS(9+(A219-1)*J218,13)))</f>
        <v>UTU/2506100116</v>
      </c>
      <c r="I217" s="56"/>
      <c r="J217" s="56"/>
    </row>
    <row r="218" spans="1:10" ht="10.5" customHeight="1" x14ac:dyDescent="0.2">
      <c r="A218" s="24" t="s">
        <v>53</v>
      </c>
      <c r="B218" s="43" t="s">
        <v>148</v>
      </c>
      <c r="C218" s="43"/>
      <c r="D218" s="43"/>
      <c r="E218" s="43"/>
      <c r="F218" s="43"/>
      <c r="G218" s="43"/>
      <c r="H218" s="43"/>
      <c r="I218" s="43"/>
      <c r="J218" s="24">
        <f>ROWS(A222:B235)+9</f>
        <v>23</v>
      </c>
    </row>
    <row r="219" spans="1:10" ht="10.5" customHeight="1" x14ac:dyDescent="0.2">
      <c r="A219" s="24">
        <f>A150+1</f>
        <v>4</v>
      </c>
      <c r="B219" s="63"/>
      <c r="C219" s="63"/>
      <c r="D219" s="63"/>
      <c r="E219" s="63"/>
      <c r="F219" s="63"/>
      <c r="G219" s="63"/>
      <c r="H219" s="63"/>
      <c r="I219" s="63"/>
      <c r="J219" s="29"/>
    </row>
    <row r="220" spans="1:10" ht="10.5" customHeight="1" x14ac:dyDescent="0.2">
      <c r="A220" s="64" t="s">
        <v>28</v>
      </c>
      <c r="B220" s="64"/>
      <c r="C220" s="64" t="s">
        <v>29</v>
      </c>
      <c r="D220" s="64"/>
      <c r="E220" s="64"/>
      <c r="F220" s="64"/>
      <c r="G220" s="64"/>
      <c r="H220" s="64" t="s">
        <v>30</v>
      </c>
      <c r="I220" s="64" t="s">
        <v>9</v>
      </c>
      <c r="J220" s="64" t="s">
        <v>34</v>
      </c>
    </row>
    <row r="221" spans="1:10" ht="13" customHeight="1" x14ac:dyDescent="0.2">
      <c r="A221" s="64"/>
      <c r="B221" s="64"/>
      <c r="C221" s="64"/>
      <c r="D221" s="64"/>
      <c r="E221" s="64"/>
      <c r="F221" s="64"/>
      <c r="G221" s="64"/>
      <c r="H221" s="64"/>
      <c r="I221" s="64"/>
      <c r="J221" s="64"/>
    </row>
    <row r="222" spans="1:10" ht="10.5" customHeight="1" x14ac:dyDescent="0.2">
      <c r="A222" s="65" t="str">
        <f ca="1">INDIRECT(_xlfn.TEXTJOIN("",TRUE,A218,"!",ADDRESS(13+(A219-1)*J218,1)))</f>
        <v>CAT 004</v>
      </c>
      <c r="B222" s="65"/>
      <c r="C222" s="66" t="str">
        <f ca="1">INDIRECT(_xlfn.TEXTJOIN("",TRUE,A218,"!",ADDRESS(13+(A219-1)*J218,2)))</f>
        <v>Discrete Structure</v>
      </c>
      <c r="D222" s="66"/>
      <c r="E222" s="66"/>
      <c r="F222" s="66"/>
      <c r="G222" s="66"/>
      <c r="H222" s="25">
        <f ca="1">INDIRECT(_xlfn.TEXTJOIN("",TRUE,A218,"!",ADDRESS(13+(A219-1)*J218,6)))</f>
        <v>4</v>
      </c>
      <c r="I222" s="25" t="str">
        <f ca="1">INDIRECT(_xlfn.TEXTJOIN("",TRUE,A218,"!",ADDRESS(13+(A219-1)*J218,13)))</f>
        <v>D+</v>
      </c>
      <c r="J222" s="25">
        <f ca="1">INDIRECT(_xlfn.TEXTJOIN("",TRUE,A218,"!",ADDRESS(13+(A219-1)*J218,14)))</f>
        <v>6.5</v>
      </c>
    </row>
    <row r="223" spans="1:10" ht="10.5" customHeight="1" x14ac:dyDescent="0.2">
      <c r="A223" s="65" t="str">
        <f ca="1">INDIRECT(_xlfn.TEXTJOIN("",TRUE,A218,"!",ADDRESS(14+(A219-1)*J218,1)))</f>
        <v>CAT 005</v>
      </c>
      <c r="B223" s="65"/>
      <c r="C223" s="66" t="str">
        <f ca="1">INDIRECT(_xlfn.TEXTJOIN("",TRUE,A218,"!",ADDRESS(14+(A219-1)*J218,2)))</f>
        <v>Database Management System</v>
      </c>
      <c r="D223" s="66"/>
      <c r="E223" s="66"/>
      <c r="F223" s="66"/>
      <c r="G223" s="66"/>
      <c r="H223" s="25">
        <f ca="1">INDIRECT(_xlfn.TEXTJOIN("",TRUE,A218,"!",ADDRESS(14+(A219-1)*J218,6)))</f>
        <v>4</v>
      </c>
      <c r="I223" s="25" t="str">
        <f ca="1">INDIRECT(_xlfn.TEXTJOIN("",TRUE,A218,"!",ADDRESS(14+(A219-1)*J218,13)))</f>
        <v>E+</v>
      </c>
      <c r="J223" s="25">
        <f ca="1">INDIRECT(_xlfn.TEXTJOIN("",TRUE,A218,"!",ADDRESS(14+(A219-1)*J218,14)))</f>
        <v>5.5</v>
      </c>
    </row>
    <row r="224" spans="1:10" ht="10.5" customHeight="1" x14ac:dyDescent="0.2">
      <c r="A224" s="65" t="str">
        <f ca="1">INDIRECT(_xlfn.TEXTJOIN("",TRUE,A218,"!",ADDRESS(15+(A219-1)*J218,1)))</f>
        <v>CAT 006</v>
      </c>
      <c r="B224" s="65"/>
      <c r="C224" s="66" t="str">
        <f ca="1">INDIRECT(_xlfn.TEXTJOIN("",TRUE,A218,"!",ADDRESS(15+(A219-1)*J218,2)))</f>
        <v>Operating System</v>
      </c>
      <c r="D224" s="66"/>
      <c r="E224" s="66"/>
      <c r="F224" s="66"/>
      <c r="G224" s="66"/>
      <c r="H224" s="25">
        <f ca="1">INDIRECT(_xlfn.TEXTJOIN("",TRUE,A218,"!",ADDRESS(15+(A219-1)*J218,6)))</f>
        <v>4</v>
      </c>
      <c r="I224" s="25" t="str">
        <f ca="1">INDIRECT(_xlfn.TEXTJOIN("",TRUE,A218,"!",ADDRESS(15+(A219-1)*J218,13)))</f>
        <v>C</v>
      </c>
      <c r="J224" s="25">
        <f ca="1">INDIRECT(_xlfn.TEXTJOIN("",TRUE,A218,"!",ADDRESS(15+(A219-1)*J218,14)))</f>
        <v>7</v>
      </c>
    </row>
    <row r="225" spans="1:10" ht="10.5" customHeight="1" x14ac:dyDescent="0.2">
      <c r="A225" s="65" t="str">
        <f ca="1">INDIRECT(_xlfn.TEXTJOIN("",TRUE,A218,"!",ADDRESS(16+(A219-1)*J218,1)))</f>
        <v>CAT 007</v>
      </c>
      <c r="B225" s="65"/>
      <c r="C225" s="66" t="str">
        <f ca="1">INDIRECT(_xlfn.TEXTJOIN("",TRUE,A218,"!",ADDRESS(16+(A219-1)*J218,2)))</f>
        <v>Computer Organization</v>
      </c>
      <c r="D225" s="66"/>
      <c r="E225" s="66"/>
      <c r="F225" s="66"/>
      <c r="G225" s="66"/>
      <c r="H225" s="25">
        <f ca="1">INDIRECT(_xlfn.TEXTJOIN("",TRUE,A218,"!",ADDRESS(16+(A219-1)*J218,6)))</f>
        <v>4</v>
      </c>
      <c r="I225" s="25" t="str">
        <f ca="1">INDIRECT(_xlfn.TEXTJOIN("",TRUE,A218,"!",ADDRESS(16+(A219-1)*J218,13)))</f>
        <v>E+</v>
      </c>
      <c r="J225" s="25">
        <f ca="1">INDIRECT(_xlfn.TEXTJOIN("",TRUE,A218,"!",ADDRESS(16+(A219-1)*J218,14)))</f>
        <v>5.5</v>
      </c>
    </row>
    <row r="226" spans="1:10" ht="10.5" customHeight="1" x14ac:dyDescent="0.2">
      <c r="A226" s="65" t="str">
        <f ca="1">INDIRECT(_xlfn.TEXTJOIN("",TRUE,A218,"!",ADDRESS(17+(A219-1)*J218,1)))</f>
        <v>AHT 303</v>
      </c>
      <c r="B226" s="65"/>
      <c r="C226" s="66" t="str">
        <f ca="1">INDIRECT(_xlfn.TEXTJOIN("",TRUE,A218,"!",ADDRESS(17+(A219-1)*J218,2)))</f>
        <v>Technical Communication Skills</v>
      </c>
      <c r="D226" s="66"/>
      <c r="E226" s="66"/>
      <c r="F226" s="66"/>
      <c r="G226" s="66"/>
      <c r="H226" s="25">
        <f ca="1">INDIRECT(_xlfn.TEXTJOIN("",TRUE,A218,"!",ADDRESS(17+(A219-1)*J218,6)))</f>
        <v>4</v>
      </c>
      <c r="I226" s="25" t="str">
        <f ca="1">INDIRECT(_xlfn.TEXTJOIN("",TRUE,A218,"!",ADDRESS(17+(A219-1)*J218,13)))</f>
        <v>Ab</v>
      </c>
      <c r="J226" s="25">
        <f ca="1">INDIRECT(_xlfn.TEXTJOIN("",TRUE,A218,"!",ADDRESS(17+(A219-1)*J218,14)))</f>
        <v>0</v>
      </c>
    </row>
    <row r="227" spans="1:10" ht="10.5" customHeight="1" x14ac:dyDescent="0.2">
      <c r="A227" s="65" t="str">
        <f ca="1">INDIRECT(_xlfn.TEXTJOIN("",TRUE,A218,"!",ADDRESS(18+(A219-1)*J218,1)))</f>
        <v>CAT 008</v>
      </c>
      <c r="B227" s="65"/>
      <c r="C227" s="66" t="str">
        <f ca="1">INDIRECT(_xlfn.TEXTJOIN("",TRUE,A218,"!",ADDRESS(18+(A219-1)*J218,2)))</f>
        <v>Python Programming ($)</v>
      </c>
      <c r="D227" s="66"/>
      <c r="E227" s="66"/>
      <c r="F227" s="66"/>
      <c r="G227" s="66"/>
      <c r="H227" s="25">
        <f ca="1">INDIRECT(_xlfn.TEXTJOIN("",TRUE,A218,"!",ADDRESS(18+(A219-1)*J218,6)))</f>
        <v>0</v>
      </c>
      <c r="I227" s="25" t="str">
        <f ca="1">INDIRECT(_xlfn.TEXTJOIN("",TRUE,A218,"!",ADDRESS(18+(A219-1)*J218,13)))</f>
        <v>E+</v>
      </c>
      <c r="J227" s="25">
        <f ca="1">INDIRECT(_xlfn.TEXTJOIN("",TRUE,A218,"!",ADDRESS(18+(A219-1)*J218,14)))</f>
        <v>5.5</v>
      </c>
    </row>
    <row r="228" spans="1:10" ht="10.5" customHeight="1" x14ac:dyDescent="0.2">
      <c r="A228" s="60" t="str">
        <f ca="1">INDIRECT(_xlfn.TEXTJOIN("",TRUE,A218,"!",ADDRESS(19+(A219-1)*J218,1)))</f>
        <v>CAT 001</v>
      </c>
      <c r="B228" s="61"/>
      <c r="C228" s="57" t="str">
        <f ca="1">INDIRECT(_xlfn.TEXTJOIN("",TRUE,A218,"!",ADDRESS(19+(A219-1)*J218,2)))</f>
        <v>Introduction of Information Technology ($)</v>
      </c>
      <c r="D228" s="58"/>
      <c r="E228" s="58"/>
      <c r="F228" s="58"/>
      <c r="G228" s="59"/>
      <c r="H228" s="25">
        <f ca="1">INDIRECT(_xlfn.TEXTJOIN("",TRUE,A218,"!",ADDRESS(19+(A219-1)*J218,6)))</f>
        <v>0</v>
      </c>
      <c r="I228" s="25" t="str">
        <f ca="1">INDIRECT(_xlfn.TEXTJOIN("",TRUE,A218,"!",ADDRESS(19+(A219-1)*J218,13)))</f>
        <v>-</v>
      </c>
      <c r="J228" s="25" t="str">
        <f ca="1">INDIRECT(_xlfn.TEXTJOIN("",TRUE,A218,"!",ADDRESS(19+(A219-1)*J218,14)))</f>
        <v>-</v>
      </c>
    </row>
    <row r="229" spans="1:10" ht="10.5" customHeight="1" x14ac:dyDescent="0.2">
      <c r="A229" s="65" t="str">
        <f ca="1">INDIRECT(_xlfn.TEXTJOIN("",TRUE,A218,"!",ADDRESS(20+(A219-1)*J218,1)))</f>
        <v>CAT 002</v>
      </c>
      <c r="B229" s="65"/>
      <c r="C229" s="66" t="str">
        <f ca="1">INDIRECT(_xlfn.TEXTJOIN("",TRUE,A218,"!",ADDRESS(20+(A219-1)*J218,2)))</f>
        <v>Programming Fundamentals with "C" ($)</v>
      </c>
      <c r="D229" s="66"/>
      <c r="E229" s="66"/>
      <c r="F229" s="66"/>
      <c r="G229" s="66"/>
      <c r="H229" s="25">
        <f ca="1">INDIRECT(_xlfn.TEXTJOIN("",TRUE,A218,"!",ADDRESS(20+(A219-1)*J218,6)))</f>
        <v>0</v>
      </c>
      <c r="I229" s="25" t="str">
        <f ca="1">INDIRECT(_xlfn.TEXTJOIN("",TRUE,A218,"!",ADDRESS(20+(A219-1)*J218,13)))</f>
        <v>-</v>
      </c>
      <c r="J229" s="25" t="str">
        <f ca="1">INDIRECT(_xlfn.TEXTJOIN("",TRUE,A218,"!",ADDRESS(20+(A219-1)*J218,14)))</f>
        <v>-</v>
      </c>
    </row>
    <row r="230" spans="1:10" ht="10.5" customHeight="1" x14ac:dyDescent="0.2">
      <c r="A230" s="65" t="str">
        <f ca="1">INDIRECT(_xlfn.TEXTJOIN("",TRUE,A218,"!",ADDRESS(21+(A219-1)*J218,1)))</f>
        <v>CAT 003</v>
      </c>
      <c r="B230" s="65"/>
      <c r="C230" s="66" t="str">
        <f ca="1">INDIRECT(_xlfn.TEXTJOIN("",TRUE,A218,"!",ADDRESS(21+(A219-1)*J218,2)))</f>
        <v>Fundamental of Web Technology ($)</v>
      </c>
      <c r="D230" s="66"/>
      <c r="E230" s="66"/>
      <c r="F230" s="66"/>
      <c r="G230" s="66"/>
      <c r="H230" s="25">
        <f ca="1">INDIRECT(_xlfn.TEXTJOIN("",TRUE,A218,"!",ADDRESS(21+(A219-1)*J218,6)))</f>
        <v>0</v>
      </c>
      <c r="I230" s="25" t="str">
        <f ca="1">INDIRECT(_xlfn.TEXTJOIN("",TRUE,A218,"!",ADDRESS(21+(A219-1)*J218,13)))</f>
        <v>-</v>
      </c>
      <c r="J230" s="25" t="str">
        <f ca="1">INDIRECT(_xlfn.TEXTJOIN("",TRUE,A218,"!",ADDRESS(21+(A219-1)*J218,14)))</f>
        <v>-</v>
      </c>
    </row>
    <row r="231" spans="1:10" ht="10.5" customHeight="1" x14ac:dyDescent="0.2">
      <c r="A231" s="65" t="str">
        <f ca="1">INDIRECT(_xlfn.TEXTJOIN("",TRUE,A218,"!",ADDRESS(22+(A219-1)*J218,1)))</f>
        <v>CAP 001</v>
      </c>
      <c r="B231" s="65"/>
      <c r="C231" s="66" t="str">
        <f ca="1">INDIRECT(_xlfn.TEXTJOIN("",TRUE,A218,"!",ADDRESS(22+(A219-1)*J218,2)))</f>
        <v>Database Management System Lab</v>
      </c>
      <c r="D231" s="66"/>
      <c r="E231" s="66"/>
      <c r="F231" s="66"/>
      <c r="G231" s="66"/>
      <c r="H231" s="25">
        <f ca="1">INDIRECT(_xlfn.TEXTJOIN("",TRUE,A218,"!",ADDRESS(22+(A219-1)*J218,6)))</f>
        <v>1</v>
      </c>
      <c r="I231" s="25" t="str">
        <f ca="1">INDIRECT(_xlfn.TEXTJOIN("",TRUE,A218,"!",ADDRESS(22+(A219-1)*J218,13)))</f>
        <v>C+</v>
      </c>
      <c r="J231" s="25">
        <f ca="1">INDIRECT(_xlfn.TEXTJOIN("",TRUE,A218,"!",ADDRESS(22+(A219-1)*J218,14)))</f>
        <v>7.5</v>
      </c>
    </row>
    <row r="232" spans="1:10" ht="10.5" customHeight="1" x14ac:dyDescent="0.2">
      <c r="A232" s="65" t="str">
        <f ca="1">INDIRECT(_xlfn.TEXTJOIN("",TRUE,A218,"!",ADDRESS(23+(A219-1)*J218,1)))</f>
        <v>CAP 002</v>
      </c>
      <c r="B232" s="65"/>
      <c r="C232" s="66" t="str">
        <f ca="1">INDIRECT(_xlfn.TEXTJOIN("",TRUE,A218,"!",ADDRESS(23+(A219-1)*J218,2)))</f>
        <v>Operating System Lab</v>
      </c>
      <c r="D232" s="66"/>
      <c r="E232" s="66"/>
      <c r="F232" s="66"/>
      <c r="G232" s="66"/>
      <c r="H232" s="25">
        <f ca="1">INDIRECT(_xlfn.TEXTJOIN("",TRUE,A218,"!",ADDRESS(23+(A219-1)*J218,6)))</f>
        <v>1</v>
      </c>
      <c r="I232" s="25" t="str">
        <f ca="1">INDIRECT(_xlfn.TEXTJOIN("",TRUE,A218,"!",ADDRESS(23+(A219-1)*J218,13)))</f>
        <v>B+</v>
      </c>
      <c r="J232" s="25">
        <f ca="1">INDIRECT(_xlfn.TEXTJOIN("",TRUE,A218,"!",ADDRESS(23+(A219-1)*J218,14)))</f>
        <v>8.5</v>
      </c>
    </row>
    <row r="233" spans="1:10" ht="10.5" customHeight="1" x14ac:dyDescent="0.2">
      <c r="A233" s="65" t="str">
        <f ca="1">INDIRECT(_xlfn.TEXTJOIN("",TRUE,A218,"!",ADDRESS(24+(A219-1)*J218,1)))</f>
        <v>CAP 003</v>
      </c>
      <c r="B233" s="65"/>
      <c r="C233" s="66" t="str">
        <f ca="1">INDIRECT(_xlfn.TEXTJOIN("",TRUE,A218,"!",ADDRESS(24+(A219-1)*J218,2)))</f>
        <v>Computer Organization Lab</v>
      </c>
      <c r="D233" s="66"/>
      <c r="E233" s="66"/>
      <c r="F233" s="66"/>
      <c r="G233" s="66"/>
      <c r="H233" s="25">
        <f ca="1">INDIRECT(_xlfn.TEXTJOIN("",TRUE,A218,"!",ADDRESS(24+(A219-1)*J218,6)))</f>
        <v>1</v>
      </c>
      <c r="I233" s="25" t="str">
        <f ca="1">INDIRECT(_xlfn.TEXTJOIN("",TRUE,A218,"!",ADDRESS(24+(A219-1)*J218,13)))</f>
        <v>A</v>
      </c>
      <c r="J233" s="25">
        <f ca="1">INDIRECT(_xlfn.TEXTJOIN("",TRUE,A218,"!",ADDRESS(24+(A219-1)*J218,14)))</f>
        <v>9</v>
      </c>
    </row>
    <row r="234" spans="1:10" ht="10.5" customHeight="1" x14ac:dyDescent="0.2">
      <c r="A234" s="65" t="str">
        <f ca="1">INDIRECT(_xlfn.TEXTJOIN("",TRUE,A218,"!",ADDRESS(25+(A219-1)*J218,1)))</f>
        <v>AHP 303</v>
      </c>
      <c r="B234" s="65"/>
      <c r="C234" s="66" t="str">
        <f ca="1">INDIRECT(_xlfn.TEXTJOIN("",TRUE,A218,"!",ADDRESS(25+(A219-1)*J218,2)))</f>
        <v>Technical Communication Skills</v>
      </c>
      <c r="D234" s="66"/>
      <c r="E234" s="66"/>
      <c r="F234" s="66"/>
      <c r="G234" s="66"/>
      <c r="H234" s="25">
        <f ca="1">INDIRECT(_xlfn.TEXTJOIN("",TRUE,A218,"!",ADDRESS(25+(A219-1)*J218,6)))</f>
        <v>1</v>
      </c>
      <c r="I234" s="25" t="str">
        <f ca="1">INDIRECT(_xlfn.TEXTJOIN("",TRUE,A218,"!",ADDRESS(25+(A219-1)*J218,13)))</f>
        <v>B+</v>
      </c>
      <c r="J234" s="25">
        <f ca="1">INDIRECT(_xlfn.TEXTJOIN("",TRUE,A218,"!",ADDRESS(25+(A219-1)*J218,14)))</f>
        <v>8.5</v>
      </c>
    </row>
    <row r="235" spans="1:10" s="35" customFormat="1" ht="10.5" customHeight="1" x14ac:dyDescent="0.2">
      <c r="A235" s="77">
        <f ca="1">INDIRECT(_xlfn.TEXTJOIN("",TRUE,A218,"!",ADDRESS(26+(A219-1)*J218,1)))</f>
        <v>0</v>
      </c>
      <c r="B235" s="77"/>
      <c r="C235" s="78">
        <f ca="1">INDIRECT(_xlfn.TEXTJOIN("",TRUE,A218,"!",ADDRESS(26+(A219-1)*J218,2)))</f>
        <v>0</v>
      </c>
      <c r="D235" s="78"/>
      <c r="E235" s="78"/>
      <c r="F235" s="78"/>
      <c r="G235" s="78"/>
      <c r="H235" s="34">
        <f ca="1">INDIRECT(_xlfn.TEXTJOIN("",TRUE,A218,"!",ADDRESS(26+(A219-1)*J218,6)))</f>
        <v>0</v>
      </c>
      <c r="I235" s="34" t="str">
        <f ca="1">INDIRECT(_xlfn.TEXTJOIN("",TRUE,A218,"!",ADDRESS(26+(A219-1)*J218,13)))</f>
        <v>Excellent</v>
      </c>
      <c r="J235" s="34">
        <f ca="1">INDIRECT(_xlfn.TEXTJOIN("",TRUE,A218,"!",ADDRESS(26+(A219-1)*J218,14)))</f>
        <v>0</v>
      </c>
    </row>
    <row r="236" spans="1:10" ht="10.5" customHeight="1" x14ac:dyDescent="0.2">
      <c r="A236" s="71" t="s">
        <v>52</v>
      </c>
      <c r="B236" s="71"/>
      <c r="C236" s="71"/>
      <c r="D236" s="71"/>
      <c r="E236" s="71"/>
      <c r="F236" s="71"/>
      <c r="G236" s="71"/>
      <c r="H236" s="27">
        <f ca="1">SUM(H222:H235)</f>
        <v>24</v>
      </c>
      <c r="I236" s="26" t="s">
        <v>44</v>
      </c>
      <c r="J236" s="27">
        <f ca="1">SUMPRODUCT(J222:J234,H222:H234)</f>
        <v>131.5</v>
      </c>
    </row>
    <row r="237" spans="1:10" ht="10.5" customHeight="1" x14ac:dyDescent="0.2">
      <c r="A237" s="24" t="s">
        <v>57</v>
      </c>
      <c r="B237" s="72" t="str">
        <f ca="1">IF(ISNA(A238),"","Semester II (Spring Semester 2022-23)")</f>
        <v/>
      </c>
      <c r="C237" s="72"/>
      <c r="D237" s="72"/>
      <c r="E237" s="72"/>
      <c r="F237" s="72"/>
      <c r="G237" s="72"/>
      <c r="H237" s="72"/>
      <c r="I237" s="72"/>
      <c r="J237" s="24">
        <f>ROWS(A241:B250)+9</f>
        <v>19</v>
      </c>
    </row>
    <row r="238" spans="1:10" ht="10.5" customHeight="1" x14ac:dyDescent="0.2">
      <c r="A238" s="24" t="e">
        <f ca="1">INDEX(SEM_II!$A$6:$A$45,Marksheets!J238)</f>
        <v>#N/A</v>
      </c>
      <c r="B238" s="63"/>
      <c r="C238" s="63"/>
      <c r="D238" s="63"/>
      <c r="E238" s="63"/>
      <c r="F238" s="63"/>
      <c r="G238" s="63"/>
      <c r="H238" s="63"/>
      <c r="I238" s="63"/>
      <c r="J238" s="24" t="e">
        <f ca="1">MATCH(H216,SEM_II!$B$6:$B$45,0)</f>
        <v>#N/A</v>
      </c>
    </row>
    <row r="239" spans="1:10" ht="10.5" customHeight="1" x14ac:dyDescent="0.2">
      <c r="A239" s="64" t="str">
        <f ca="1">IF(ISNA(A238),"","Subject Code")</f>
        <v/>
      </c>
      <c r="B239" s="64"/>
      <c r="C239" s="64" t="str">
        <f ca="1">IF(ISNA(A238),"","Subject Name")</f>
        <v/>
      </c>
      <c r="D239" s="64"/>
      <c r="E239" s="64"/>
      <c r="F239" s="64"/>
      <c r="G239" s="64"/>
      <c r="H239" s="64" t="str">
        <f ca="1">IF(ISNA(A238),"","Credits")</f>
        <v/>
      </c>
      <c r="I239" s="64" t="str">
        <f ca="1">IF(ISNA(A238),"","Grade")</f>
        <v/>
      </c>
      <c r="J239" s="64" t="str">
        <f ca="1">IF(ISNA(A238),"","Grade Points")</f>
        <v/>
      </c>
    </row>
    <row r="240" spans="1:10" ht="11.5" customHeight="1" x14ac:dyDescent="0.2">
      <c r="A240" s="64"/>
      <c r="B240" s="64"/>
      <c r="C240" s="64"/>
      <c r="D240" s="64"/>
      <c r="E240" s="64"/>
      <c r="F240" s="64"/>
      <c r="G240" s="64"/>
      <c r="H240" s="64"/>
      <c r="I240" s="64"/>
      <c r="J240" s="64"/>
    </row>
    <row r="241" spans="1:10" ht="10.5" customHeight="1" x14ac:dyDescent="0.2">
      <c r="A241" s="65" t="str">
        <f ca="1">_xlfn.IFNA(INDIRECT(_xlfn.TEXTJOIN("",TRUE,A237,"!",ADDRESS(13+(A238-1)*J237,1))),"")</f>
        <v/>
      </c>
      <c r="B241" s="65"/>
      <c r="C241" s="66" t="str">
        <f ca="1">_xlfn.IFNA(INDIRECT(_xlfn.TEXTJOIN("",TRUE,A237,"!",ADDRESS(13+(A238-1)*J237,2))),"")</f>
        <v/>
      </c>
      <c r="D241" s="66"/>
      <c r="E241" s="66"/>
      <c r="F241" s="66"/>
      <c r="G241" s="66"/>
      <c r="H241" s="25" t="str">
        <f ca="1">_xlfn.IFNA(INDIRECT(_xlfn.TEXTJOIN("",TRUE,A237,"!",ADDRESS(13+(A238-1)*J237,6))),"")</f>
        <v/>
      </c>
      <c r="I241" s="25" t="str">
        <f ca="1">_xlfn.IFNA(INDIRECT(_xlfn.TEXTJOIN("",TRUE,A237,"!",ADDRESS(13+(A238-1)*J237,13))),"")</f>
        <v/>
      </c>
      <c r="J241" s="25" t="str">
        <f ca="1">_xlfn.IFNA(INDIRECT(_xlfn.TEXTJOIN("",TRUE,A237,"!",ADDRESS(13+(A238-1)*J237,14))),"")</f>
        <v/>
      </c>
    </row>
    <row r="242" spans="1:10" ht="10.5" customHeight="1" x14ac:dyDescent="0.2">
      <c r="A242" s="65" t="str">
        <f ca="1">_xlfn.IFNA(INDIRECT(_xlfn.TEXTJOIN("",TRUE,A237,"!",ADDRESS(14+(A238-1)*J237,1))),"")</f>
        <v/>
      </c>
      <c r="B242" s="65"/>
      <c r="C242" s="66" t="str">
        <f ca="1">_xlfn.IFNA(INDIRECT(_xlfn.TEXTJOIN("",TRUE,A237,"!",ADDRESS(14+(A238-1)*J237,2))),"")</f>
        <v/>
      </c>
      <c r="D242" s="66"/>
      <c r="E242" s="66"/>
      <c r="F242" s="66"/>
      <c r="G242" s="66"/>
      <c r="H242" s="25" t="str">
        <f ca="1">_xlfn.IFNA(INDIRECT(_xlfn.TEXTJOIN("",TRUE,A237,"!",ADDRESS(14+(A238-1)*J237,6))),"")</f>
        <v/>
      </c>
      <c r="I242" s="25" t="str">
        <f ca="1">_xlfn.IFNA(INDIRECT(_xlfn.TEXTJOIN("",TRUE,A237,"!",ADDRESS(14+(A238-1)*J237,13))),"")</f>
        <v/>
      </c>
      <c r="J242" s="25" t="str">
        <f ca="1">_xlfn.IFNA(INDIRECT(_xlfn.TEXTJOIN("",TRUE,A237,"!",ADDRESS(14+(A238-1)*J237,14))),"")</f>
        <v/>
      </c>
    </row>
    <row r="243" spans="1:10" ht="10.5" customHeight="1" x14ac:dyDescent="0.2">
      <c r="A243" s="65" t="str">
        <f ca="1">_xlfn.IFNA(INDIRECT(_xlfn.TEXTJOIN("",TRUE,A237,"!",ADDRESS(15+(A238-1)*J237,1))),"")</f>
        <v/>
      </c>
      <c r="B243" s="65"/>
      <c r="C243" s="66" t="str">
        <f ca="1">_xlfn.IFNA(INDIRECT(_xlfn.TEXTJOIN("",TRUE,A237,"!",ADDRESS(15+(A238-1)*J237,2))),"")</f>
        <v/>
      </c>
      <c r="D243" s="66"/>
      <c r="E243" s="66"/>
      <c r="F243" s="66"/>
      <c r="G243" s="66"/>
      <c r="H243" s="25" t="str">
        <f ca="1">_xlfn.IFNA(INDIRECT(_xlfn.TEXTJOIN("",TRUE,A237,"!",ADDRESS(15+(A238-1)*J237,6))),"")</f>
        <v/>
      </c>
      <c r="I243" s="25" t="str">
        <f ca="1">_xlfn.IFNA(INDIRECT(_xlfn.TEXTJOIN("",TRUE,A237,"!",ADDRESS(15+(A238-1)*J237,13))),"")</f>
        <v/>
      </c>
      <c r="J243" s="25" t="str">
        <f ca="1">_xlfn.IFNA(INDIRECT(_xlfn.TEXTJOIN("",TRUE,A237,"!",ADDRESS(15+(A238-1)*J237,14))),"")</f>
        <v/>
      </c>
    </row>
    <row r="244" spans="1:10" ht="10.5" customHeight="1" x14ac:dyDescent="0.2">
      <c r="A244" s="65" t="str">
        <f ca="1">_xlfn.IFNA(INDIRECT(_xlfn.TEXTJOIN("",TRUE,A237,"!",ADDRESS(16+(A238-1)*J237,1))),"")</f>
        <v/>
      </c>
      <c r="B244" s="65"/>
      <c r="C244" s="66" t="str">
        <f ca="1">_xlfn.IFNA(INDIRECT(_xlfn.TEXTJOIN("",TRUE,A237,"!",ADDRESS(16+(A238-1)*J237,2))),"")</f>
        <v/>
      </c>
      <c r="D244" s="66"/>
      <c r="E244" s="66"/>
      <c r="F244" s="66"/>
      <c r="G244" s="66"/>
      <c r="H244" s="25" t="str">
        <f ca="1">_xlfn.IFNA(INDIRECT(_xlfn.TEXTJOIN("",TRUE,A237,"!",ADDRESS(16+(A238-1)*J237,6))),"")</f>
        <v/>
      </c>
      <c r="I244" s="25" t="str">
        <f ca="1">_xlfn.IFNA(INDIRECT(_xlfn.TEXTJOIN("",TRUE,A237,"!",ADDRESS(16+(A238-1)*J237,13))),"")</f>
        <v/>
      </c>
      <c r="J244" s="25" t="str">
        <f ca="1">_xlfn.IFNA(INDIRECT(_xlfn.TEXTJOIN("",TRUE,A237,"!",ADDRESS(16+(A238-1)*J237,14))),"")</f>
        <v/>
      </c>
    </row>
    <row r="245" spans="1:10" ht="10.5" customHeight="1" x14ac:dyDescent="0.2">
      <c r="A245" s="65" t="str">
        <f ca="1">_xlfn.IFNA(INDIRECT(_xlfn.TEXTJOIN("",TRUE,A237,"!",ADDRESS(17+(A238-1)*J237,1))),"")</f>
        <v/>
      </c>
      <c r="B245" s="65"/>
      <c r="C245" s="66" t="str">
        <f ca="1">_xlfn.IFNA(INDIRECT(_xlfn.TEXTJOIN("",TRUE,A237,"!",ADDRESS(17+(A238-1)*J237,2))),"")</f>
        <v/>
      </c>
      <c r="D245" s="66"/>
      <c r="E245" s="66"/>
      <c r="F245" s="66"/>
      <c r="G245" s="66"/>
      <c r="H245" s="25" t="str">
        <f ca="1">_xlfn.IFNA(INDIRECT(_xlfn.TEXTJOIN("",TRUE,A237,"!",ADDRESS(17+(A238-1)*J237,6))),"")</f>
        <v/>
      </c>
      <c r="I245" s="25" t="str">
        <f ca="1">_xlfn.IFNA(INDIRECT(_xlfn.TEXTJOIN("",TRUE,A237,"!",ADDRESS(17+(A238-1)*J237,13))),"")</f>
        <v/>
      </c>
      <c r="J245" s="25" t="str">
        <f ca="1">_xlfn.IFNA(INDIRECT(_xlfn.TEXTJOIN("",TRUE,A237,"!",ADDRESS(17+(A238-1)*J237,14))),"")</f>
        <v/>
      </c>
    </row>
    <row r="246" spans="1:10" ht="10.5" customHeight="1" x14ac:dyDescent="0.2">
      <c r="A246" s="65" t="str">
        <f ca="1">_xlfn.IFNA(INDIRECT(_xlfn.TEXTJOIN("",TRUE,A237,"!",ADDRESS(18+(A238-1)*J237,1))),"")</f>
        <v/>
      </c>
      <c r="B246" s="65"/>
      <c r="C246" s="66" t="str">
        <f ca="1">_xlfn.IFNA(INDIRECT(_xlfn.TEXTJOIN("",TRUE,A237,"!",ADDRESS(18+(A238-1)*J237,2))),"")</f>
        <v/>
      </c>
      <c r="D246" s="66"/>
      <c r="E246" s="66"/>
      <c r="F246" s="66"/>
      <c r="G246" s="66"/>
      <c r="H246" s="25" t="str">
        <f ca="1">_xlfn.IFNA(INDIRECT(_xlfn.TEXTJOIN("",TRUE,A237,"!",ADDRESS(18+(A238-1)*J237,6))),"")</f>
        <v/>
      </c>
      <c r="I246" s="25" t="str">
        <f ca="1">_xlfn.IFNA(INDIRECT(_xlfn.TEXTJOIN("",TRUE,A237,"!",ADDRESS(18+(A238-1)*J237,13))),"")</f>
        <v/>
      </c>
      <c r="J246" s="25" t="str">
        <f ca="1">_xlfn.IFNA(INDIRECT(_xlfn.TEXTJOIN("",TRUE,A237,"!",ADDRESS(18+(A238-1)*J237,14))),"")</f>
        <v/>
      </c>
    </row>
    <row r="247" spans="1:10" ht="10.5" customHeight="1" x14ac:dyDescent="0.2">
      <c r="A247" s="60" t="str">
        <f ca="1">_xlfn.IFNA(INDIRECT(_xlfn.TEXTJOIN("",TRUE,A237,"!",ADDRESS(19+(A238-1)*J237,1))),"")</f>
        <v/>
      </c>
      <c r="B247" s="61"/>
      <c r="C247" s="57" t="str">
        <f ca="1">_xlfn.IFNA(INDIRECT(_xlfn.TEXTJOIN("",TRUE,A237,"!",ADDRESS(19+(A238-1)*J237,2))),"")</f>
        <v/>
      </c>
      <c r="D247" s="58"/>
      <c r="E247" s="58"/>
      <c r="F247" s="58"/>
      <c r="G247" s="59"/>
      <c r="H247" s="25" t="str">
        <f ca="1">_xlfn.IFNA(INDIRECT(_xlfn.TEXTJOIN("",TRUE,A237,"!",ADDRESS(19+(A238-1)*J237,6))),"")</f>
        <v/>
      </c>
      <c r="I247" s="25" t="str">
        <f ca="1">_xlfn.IFNA(INDIRECT(_xlfn.TEXTJOIN("",TRUE,A237,"!",ADDRESS(19+(A238-1)*J237,13))),"")</f>
        <v/>
      </c>
      <c r="J247" s="25" t="str">
        <f ca="1">_xlfn.IFNA(INDIRECT(_xlfn.TEXTJOIN("",TRUE,A237,"!",ADDRESS(19+(A238-1)*J237,14))),"")</f>
        <v/>
      </c>
    </row>
    <row r="248" spans="1:10" ht="10.5" customHeight="1" x14ac:dyDescent="0.2">
      <c r="A248" s="65" t="str">
        <f ca="1">_xlfn.IFNA(INDIRECT(_xlfn.TEXTJOIN("",TRUE,A237,"!",ADDRESS(20+(A238-1)*J237,1))),"")</f>
        <v/>
      </c>
      <c r="B248" s="65"/>
      <c r="C248" s="66" t="str">
        <f ca="1">_xlfn.IFNA(INDIRECT(_xlfn.TEXTJOIN("",TRUE,A237,"!",ADDRESS(20+(A238-1)*J237,2))),"")</f>
        <v/>
      </c>
      <c r="D248" s="66"/>
      <c r="E248" s="66"/>
      <c r="F248" s="66"/>
      <c r="G248" s="66"/>
      <c r="H248" s="25" t="str">
        <f ca="1">_xlfn.IFNA(INDIRECT(_xlfn.TEXTJOIN("",TRUE,A237,"!",ADDRESS(20+(A238-1)*J237,6))),"")</f>
        <v/>
      </c>
      <c r="I248" s="25" t="str">
        <f ca="1">_xlfn.IFNA(INDIRECT(_xlfn.TEXTJOIN("",TRUE,A237,"!",ADDRESS(20+(A238-1)*J237,13))),"")</f>
        <v/>
      </c>
      <c r="J248" s="25" t="str">
        <f ca="1">_xlfn.IFNA(INDIRECT(_xlfn.TEXTJOIN("",TRUE,A237,"!",ADDRESS(20+(A238-1)*J237,14))),"")</f>
        <v/>
      </c>
    </row>
    <row r="249" spans="1:10" ht="10.5" customHeight="1" x14ac:dyDescent="0.2">
      <c r="A249" s="65" t="str">
        <f ca="1">_xlfn.IFNA(INDIRECT(_xlfn.TEXTJOIN("",TRUE,A237,"!",ADDRESS(21+(A238-1)*J237,1))),"")</f>
        <v/>
      </c>
      <c r="B249" s="65"/>
      <c r="C249" s="66" t="str">
        <f ca="1">_xlfn.IFNA(INDIRECT(_xlfn.TEXTJOIN("",TRUE,A237,"!",ADDRESS(21+(A238-1)*J237,2))),"")</f>
        <v/>
      </c>
      <c r="D249" s="66"/>
      <c r="E249" s="66"/>
      <c r="F249" s="66"/>
      <c r="G249" s="66"/>
      <c r="H249" s="25" t="str">
        <f ca="1">_xlfn.IFNA(INDIRECT(_xlfn.TEXTJOIN("",TRUE,A237,"!",ADDRESS(21+(A238-1)*J237,6))),"")</f>
        <v/>
      </c>
      <c r="I249" s="25" t="str">
        <f ca="1">_xlfn.IFNA(INDIRECT(_xlfn.TEXTJOIN("",TRUE,A237,"!",ADDRESS(21+(A238-1)*J237,13))),"")</f>
        <v/>
      </c>
      <c r="J249" s="25" t="str">
        <f ca="1">_xlfn.IFNA(INDIRECT(_xlfn.TEXTJOIN("",TRUE,A237,"!",ADDRESS(21+(A238-1)*J237,14))),"")</f>
        <v/>
      </c>
    </row>
    <row r="250" spans="1:10" ht="10.5" customHeight="1" x14ac:dyDescent="0.2">
      <c r="A250" s="65" t="str">
        <f ca="1">_xlfn.IFNA(INDIRECT(_xlfn.TEXTJOIN("",TRUE,A237,"!",ADDRESS(22+(A238-1)*J237,1))),"")</f>
        <v/>
      </c>
      <c r="B250" s="65"/>
      <c r="C250" s="66" t="str">
        <f ca="1">_xlfn.IFNA(INDIRECT(_xlfn.TEXTJOIN("",TRUE,A237,"!",ADDRESS(22+(A238-1)*J237,2))),"")</f>
        <v/>
      </c>
      <c r="D250" s="66"/>
      <c r="E250" s="66"/>
      <c r="F250" s="66"/>
      <c r="G250" s="66"/>
      <c r="H250" s="25" t="str">
        <f ca="1">_xlfn.IFNA(INDIRECT(_xlfn.TEXTJOIN("",TRUE,A237,"!",ADDRESS(22+(A238-1)*J237,6))),"")</f>
        <v/>
      </c>
      <c r="I250" s="25" t="str">
        <f ca="1">_xlfn.IFNA(INDIRECT(_xlfn.TEXTJOIN("",TRUE,A237,"!",ADDRESS(22+(A238-1)*J237,13))),"")</f>
        <v/>
      </c>
      <c r="J250" s="25" t="str">
        <f ca="1">_xlfn.IFNA(INDIRECT(_xlfn.TEXTJOIN("",TRUE,A237,"!",ADDRESS(22+(A238-1)*J237,14))),"")</f>
        <v/>
      </c>
    </row>
    <row r="251" spans="1:10" ht="10.5" customHeight="1" x14ac:dyDescent="0.2">
      <c r="A251" s="71" t="str">
        <f ca="1">IF(ISNA(A238),"","Total Credits/ Total Grade Points")</f>
        <v/>
      </c>
      <c r="B251" s="71"/>
      <c r="C251" s="71"/>
      <c r="D251" s="71"/>
      <c r="E251" s="71"/>
      <c r="F251" s="71"/>
      <c r="G251" s="71"/>
      <c r="H251" s="27" t="str">
        <f ca="1">IF(ISNA(A238),"",SUM(H241:H250))</f>
        <v/>
      </c>
      <c r="I251" s="26" t="str">
        <f ca="1">IF(ISNA(A238),"","-")</f>
        <v/>
      </c>
      <c r="J251" s="27" t="str">
        <f ca="1">IF(ISNA(A238),"",SUMPRODUCT(J241:J250,H241:H250))</f>
        <v/>
      </c>
    </row>
    <row r="252" spans="1:10" ht="10.5" customHeight="1" x14ac:dyDescent="0.2">
      <c r="A252" s="24" t="s">
        <v>60</v>
      </c>
      <c r="B252" s="72" t="str">
        <f ca="1">IF(ISNA(A253),"","Semester III (Autumn Semester 2023-24)")</f>
        <v/>
      </c>
      <c r="C252" s="72"/>
      <c r="D252" s="72"/>
      <c r="E252" s="72"/>
      <c r="F252" s="72"/>
      <c r="G252" s="72"/>
      <c r="H252" s="72"/>
      <c r="I252" s="72"/>
      <c r="J252" s="24">
        <f>ROWS(A256:B263)+9</f>
        <v>17</v>
      </c>
    </row>
    <row r="253" spans="1:10" ht="10.5" customHeight="1" x14ac:dyDescent="0.2">
      <c r="A253" s="24" t="e">
        <f ca="1">INDEX(SEM_III!$A$6:$A$43,Marksheets!J253)</f>
        <v>#N/A</v>
      </c>
      <c r="B253" s="63"/>
      <c r="C253" s="63"/>
      <c r="D253" s="63"/>
      <c r="E253" s="63"/>
      <c r="F253" s="63"/>
      <c r="G253" s="63"/>
      <c r="H253" s="63"/>
      <c r="I253" s="63"/>
      <c r="J253" s="24" t="e">
        <f ca="1">MATCH(H216,SEM_III!$B$6:$B$43,0)</f>
        <v>#N/A</v>
      </c>
    </row>
    <row r="254" spans="1:10" ht="10.5" customHeight="1" x14ac:dyDescent="0.2">
      <c r="A254" s="64" t="str">
        <f ca="1">IF(ISNA(A253),"","Subject Code")</f>
        <v/>
      </c>
      <c r="B254" s="64"/>
      <c r="C254" s="64" t="str">
        <f ca="1">IF(ISNA(A253),"","Subject Name")</f>
        <v/>
      </c>
      <c r="D254" s="64"/>
      <c r="E254" s="64"/>
      <c r="F254" s="64"/>
      <c r="G254" s="64"/>
      <c r="H254" s="64" t="str">
        <f ca="1">IF(ISNA(A253),"","Credits")</f>
        <v/>
      </c>
      <c r="I254" s="64" t="str">
        <f ca="1">IF(ISNA(A253),"","Grade")</f>
        <v/>
      </c>
      <c r="J254" s="64" t="str">
        <f ca="1">IF(ISNA(A253),"","Grade Points")</f>
        <v/>
      </c>
    </row>
    <row r="255" spans="1:10" ht="12.5" customHeight="1" x14ac:dyDescent="0.2">
      <c r="A255" s="64"/>
      <c r="B255" s="64"/>
      <c r="C255" s="64"/>
      <c r="D255" s="64"/>
      <c r="E255" s="64"/>
      <c r="F255" s="64"/>
      <c r="G255" s="64"/>
      <c r="H255" s="64"/>
      <c r="I255" s="64"/>
      <c r="J255" s="64"/>
    </row>
    <row r="256" spans="1:10" ht="10.5" customHeight="1" x14ac:dyDescent="0.2">
      <c r="A256" s="65" t="str">
        <f ca="1">_xlfn.IFNA(INDIRECT(_xlfn.TEXTJOIN("",TRUE,A252,"!",ADDRESS(13+(A253-1)*J252,1))),"")</f>
        <v/>
      </c>
      <c r="B256" s="65"/>
      <c r="C256" s="66" t="str">
        <f ca="1">_xlfn.IFNA(INDIRECT(_xlfn.TEXTJOIN("",TRUE,A252,"!",ADDRESS(13+(A253-1)*J252,2))),"")</f>
        <v/>
      </c>
      <c r="D256" s="66"/>
      <c r="E256" s="66"/>
      <c r="F256" s="66"/>
      <c r="G256" s="66"/>
      <c r="H256" s="25" t="str">
        <f ca="1">_xlfn.IFNA(INDIRECT(_xlfn.TEXTJOIN("",TRUE,A252,"!",ADDRESS(13+(A253-1)*J252,6))),"")</f>
        <v/>
      </c>
      <c r="I256" s="25" t="str">
        <f ca="1">_xlfn.IFNA(INDIRECT(_xlfn.TEXTJOIN("",TRUE,A252,"!",ADDRESS(13+(A253-1)*J252,13))),"")</f>
        <v/>
      </c>
      <c r="J256" s="25" t="str">
        <f ca="1">_xlfn.IFNA(INDIRECT(_xlfn.TEXTJOIN("",TRUE,A252,"!",ADDRESS(13+(A253-1)*J252,14))),"")</f>
        <v/>
      </c>
    </row>
    <row r="257" spans="1:10" ht="10.5" customHeight="1" x14ac:dyDescent="0.2">
      <c r="A257" s="65" t="str">
        <f ca="1">_xlfn.IFNA(INDIRECT(_xlfn.TEXTJOIN("",TRUE,A252,"!",ADDRESS(14+(A253-1)*J252,1))),"")</f>
        <v/>
      </c>
      <c r="B257" s="65"/>
      <c r="C257" s="66" t="str">
        <f ca="1">_xlfn.IFNA(INDIRECT(_xlfn.TEXTJOIN("",TRUE,A252,"!",ADDRESS(14+(A253-1)*J252,2))),"")</f>
        <v/>
      </c>
      <c r="D257" s="66"/>
      <c r="E257" s="66"/>
      <c r="F257" s="66"/>
      <c r="G257" s="66"/>
      <c r="H257" s="25" t="str">
        <f ca="1">_xlfn.IFNA(INDIRECT(_xlfn.TEXTJOIN("",TRUE,A252,"!",ADDRESS(14+(A253-1)*J252,6))),"")</f>
        <v/>
      </c>
      <c r="I257" s="25" t="str">
        <f ca="1">_xlfn.IFNA(INDIRECT(_xlfn.TEXTJOIN("",TRUE,A252,"!",ADDRESS(14+(A253-1)*J252,13))),"")</f>
        <v/>
      </c>
      <c r="J257" s="25" t="str">
        <f ca="1">_xlfn.IFNA(INDIRECT(_xlfn.TEXTJOIN("",TRUE,A252,"!",ADDRESS(14+(A253-1)*J252,14))),"")</f>
        <v/>
      </c>
    </row>
    <row r="258" spans="1:10" ht="10.5" customHeight="1" x14ac:dyDescent="0.2">
      <c r="A258" s="65" t="str">
        <f ca="1">_xlfn.IFNA(INDIRECT(_xlfn.TEXTJOIN("",TRUE,A252,"!",ADDRESS(15+(A253-1)*J252,1))),"")</f>
        <v/>
      </c>
      <c r="B258" s="65"/>
      <c r="C258" s="66" t="str">
        <f ca="1">_xlfn.IFNA(INDIRECT(_xlfn.TEXTJOIN("",TRUE,A252,"!",ADDRESS(15+(A253-1)*J252,2))),"")</f>
        <v/>
      </c>
      <c r="D258" s="66"/>
      <c r="E258" s="66"/>
      <c r="F258" s="66"/>
      <c r="G258" s="66"/>
      <c r="H258" s="25" t="str">
        <f ca="1">_xlfn.IFNA(INDIRECT(_xlfn.TEXTJOIN("",TRUE,A252,"!",ADDRESS(15+(A253-1)*J252,6))),"")</f>
        <v/>
      </c>
      <c r="I258" s="25" t="str">
        <f ca="1">_xlfn.IFNA(INDIRECT(_xlfn.TEXTJOIN("",TRUE,A252,"!",ADDRESS(15+(A253-1)*J252,13))),"")</f>
        <v/>
      </c>
      <c r="J258" s="25" t="str">
        <f ca="1">_xlfn.IFNA(INDIRECT(_xlfn.TEXTJOIN("",TRUE,A252,"!",ADDRESS(15+(A253-1)*J252,14))),"")</f>
        <v/>
      </c>
    </row>
    <row r="259" spans="1:10" ht="10.5" customHeight="1" x14ac:dyDescent="0.2">
      <c r="A259" s="65" t="str">
        <f ca="1">_xlfn.IFNA(INDIRECT(_xlfn.TEXTJOIN("",TRUE,A252,"!",ADDRESS(16+(A253-1)*J252,1))),"")</f>
        <v/>
      </c>
      <c r="B259" s="65"/>
      <c r="C259" s="66" t="str">
        <f ca="1">_xlfn.IFNA(INDIRECT(_xlfn.TEXTJOIN("",TRUE,A252,"!",ADDRESS(16+(A253-1)*J252,2))),"")</f>
        <v/>
      </c>
      <c r="D259" s="66"/>
      <c r="E259" s="66"/>
      <c r="F259" s="66"/>
      <c r="G259" s="66"/>
      <c r="H259" s="25" t="str">
        <f ca="1">_xlfn.IFNA(INDIRECT(_xlfn.TEXTJOIN("",TRUE,A252,"!",ADDRESS(16+(A253-1)*J252,6))),"")</f>
        <v/>
      </c>
      <c r="I259" s="25" t="str">
        <f ca="1">_xlfn.IFNA(INDIRECT(_xlfn.TEXTJOIN("",TRUE,A252,"!",ADDRESS(16+(A253-1)*J252,13))),"")</f>
        <v/>
      </c>
      <c r="J259" s="25" t="str">
        <f ca="1">_xlfn.IFNA(INDIRECT(_xlfn.TEXTJOIN("",TRUE,A252,"!",ADDRESS(16+(A253-1)*J252,14))),"")</f>
        <v/>
      </c>
    </row>
    <row r="260" spans="1:10" ht="10.5" customHeight="1" x14ac:dyDescent="0.2">
      <c r="A260" s="65" t="str">
        <f ca="1">_xlfn.IFNA(INDIRECT(_xlfn.TEXTJOIN("",TRUE,A252,"!",ADDRESS(17+(A253-1)*J252,1))),"")</f>
        <v/>
      </c>
      <c r="B260" s="65"/>
      <c r="C260" s="66" t="str">
        <f ca="1">_xlfn.IFNA(INDIRECT(_xlfn.TEXTJOIN("",TRUE,A252,"!",ADDRESS(17+(A253-1)*J252,2))),"")</f>
        <v/>
      </c>
      <c r="D260" s="66"/>
      <c r="E260" s="66"/>
      <c r="F260" s="66"/>
      <c r="G260" s="66"/>
      <c r="H260" s="25" t="str">
        <f ca="1">_xlfn.IFNA(INDIRECT(_xlfn.TEXTJOIN("",TRUE,A252,"!",ADDRESS(17+(A253-1)*J252,6))),"")</f>
        <v/>
      </c>
      <c r="I260" s="25" t="str">
        <f ca="1">_xlfn.IFNA(INDIRECT(_xlfn.TEXTJOIN("",TRUE,A252,"!",ADDRESS(17+(A253-1)*J252,13))),"")</f>
        <v/>
      </c>
      <c r="J260" s="25" t="str">
        <f ca="1">_xlfn.IFNA(INDIRECT(_xlfn.TEXTJOIN("",TRUE,A252,"!",ADDRESS(17+(A253-1)*J252,14))),"")</f>
        <v/>
      </c>
    </row>
    <row r="261" spans="1:10" ht="10.5" customHeight="1" x14ac:dyDescent="0.2">
      <c r="A261" s="65" t="str">
        <f ca="1">_xlfn.IFNA(INDIRECT(_xlfn.TEXTJOIN("",TRUE,A252,"!",ADDRESS(18+(A253-1)*J252,1))),"")</f>
        <v/>
      </c>
      <c r="B261" s="65"/>
      <c r="C261" s="66" t="str">
        <f ca="1">_xlfn.IFNA(INDIRECT(_xlfn.TEXTJOIN("",TRUE,A252,"!",ADDRESS(18+(A253-1)*J252,2))),"")</f>
        <v/>
      </c>
      <c r="D261" s="66"/>
      <c r="E261" s="66"/>
      <c r="F261" s="66"/>
      <c r="G261" s="66"/>
      <c r="H261" s="25" t="str">
        <f ca="1">_xlfn.IFNA(INDIRECT(_xlfn.TEXTJOIN("",TRUE,A252,"!",ADDRESS(18+(A253-1)*J252,6))),"")</f>
        <v/>
      </c>
      <c r="I261" s="25" t="str">
        <f ca="1">_xlfn.IFNA(INDIRECT(_xlfn.TEXTJOIN("",TRUE,A252,"!",ADDRESS(18+(A253-1)*J252,13))),"")</f>
        <v/>
      </c>
      <c r="J261" s="25" t="str">
        <f ca="1">_xlfn.IFNA(INDIRECT(_xlfn.TEXTJOIN("",TRUE,A252,"!",ADDRESS(18+(A253-1)*J252,14))),"")</f>
        <v/>
      </c>
    </row>
    <row r="262" spans="1:10" ht="10.5" customHeight="1" x14ac:dyDescent="0.2">
      <c r="A262" s="60" t="str">
        <f ca="1">_xlfn.IFNA(INDIRECT(_xlfn.TEXTJOIN("",TRUE,A252,"!",ADDRESS(19+(A253-1)*J252,1))),"")</f>
        <v/>
      </c>
      <c r="B262" s="61"/>
      <c r="C262" s="57" t="str">
        <f ca="1">_xlfn.IFNA(INDIRECT(_xlfn.TEXTJOIN("",TRUE,A252,"!",ADDRESS(19+(A253-1)*J252,2))),"")</f>
        <v/>
      </c>
      <c r="D262" s="58"/>
      <c r="E262" s="58"/>
      <c r="F262" s="58"/>
      <c r="G262" s="59"/>
      <c r="H262" s="25" t="str">
        <f ca="1">_xlfn.IFNA(INDIRECT(_xlfn.TEXTJOIN("",TRUE,A252,"!",ADDRESS(19+(A253-1)*J252,6))),"")</f>
        <v/>
      </c>
      <c r="I262" s="25" t="str">
        <f ca="1">_xlfn.IFNA(INDIRECT(_xlfn.TEXTJOIN("",TRUE,A252,"!",ADDRESS(19+(A253-1)*J252,13))),"")</f>
        <v/>
      </c>
      <c r="J262" s="25" t="str">
        <f ca="1">_xlfn.IFNA(INDIRECT(_xlfn.TEXTJOIN("",TRUE,A252,"!",ADDRESS(19+(A253-1)*J252,14))),"")</f>
        <v/>
      </c>
    </row>
    <row r="263" spans="1:10" ht="10.5" customHeight="1" x14ac:dyDescent="0.2">
      <c r="A263" s="65" t="str">
        <f ca="1">_xlfn.IFNA(INDIRECT(_xlfn.TEXTJOIN("",TRUE,A252,"!",ADDRESS(20+(A253-1)*J252,1))),"")</f>
        <v/>
      </c>
      <c r="B263" s="65"/>
      <c r="C263" s="66" t="str">
        <f ca="1">_xlfn.IFNA(INDIRECT(_xlfn.TEXTJOIN("",TRUE,A252,"!",ADDRESS(20+(A253-1)*J252,2))),"")</f>
        <v/>
      </c>
      <c r="D263" s="66"/>
      <c r="E263" s="66"/>
      <c r="F263" s="66"/>
      <c r="G263" s="66"/>
      <c r="H263" s="25" t="str">
        <f ca="1">_xlfn.IFNA(INDIRECT(_xlfn.TEXTJOIN("",TRUE,A252,"!",ADDRESS(20+(A253-1)*J252,6))),"")</f>
        <v/>
      </c>
      <c r="I263" s="25" t="str">
        <f ca="1">_xlfn.IFNA(INDIRECT(_xlfn.TEXTJOIN("",TRUE,A252,"!",ADDRESS(20+(A253-1)*J252,13))),"")</f>
        <v/>
      </c>
      <c r="J263" s="25" t="str">
        <f ca="1">_xlfn.IFNA(INDIRECT(_xlfn.TEXTJOIN("",TRUE,A252,"!",ADDRESS(20+(A253-1)*J252,14))),"")</f>
        <v/>
      </c>
    </row>
    <row r="264" spans="1:10" ht="10.5" customHeight="1" x14ac:dyDescent="0.2">
      <c r="A264" s="71" t="str">
        <f ca="1">IF(ISNA(A253),"","Total Credits/ Total Grade Points")</f>
        <v/>
      </c>
      <c r="B264" s="71"/>
      <c r="C264" s="71"/>
      <c r="D264" s="71"/>
      <c r="E264" s="71"/>
      <c r="F264" s="71"/>
      <c r="G264" s="71"/>
      <c r="H264" s="27" t="str">
        <f ca="1">IF(ISNA(A253),"",SUM(H256:H263))</f>
        <v/>
      </c>
      <c r="I264" s="26" t="str">
        <f ca="1">IF(ISNA(A253),"","-")</f>
        <v/>
      </c>
      <c r="J264" s="27" t="str">
        <f ca="1">IF(ISNA(A253),"",SUMPRODUCT(J256:J263,H256:H263))</f>
        <v/>
      </c>
    </row>
    <row r="265" spans="1:10" ht="10.5" customHeight="1" x14ac:dyDescent="0.2">
      <c r="A265" s="24" t="s">
        <v>133</v>
      </c>
      <c r="B265" s="72" t="str">
        <f ca="1">IF(ISNA(A266),"","Semester IV (Spring Semester 2023-24)")</f>
        <v/>
      </c>
      <c r="C265" s="72"/>
      <c r="D265" s="72"/>
      <c r="E265" s="72"/>
      <c r="F265" s="72"/>
      <c r="G265" s="72"/>
      <c r="H265" s="72"/>
      <c r="I265" s="72"/>
      <c r="J265" s="24">
        <f>ROWS(A269:B275)+9</f>
        <v>16</v>
      </c>
    </row>
    <row r="266" spans="1:10" ht="10.5" customHeight="1" x14ac:dyDescent="0.2">
      <c r="A266" s="24" t="e">
        <f ca="1">INDEX(SEM_IV!$A$6:$A$43,Marksheets!J266)</f>
        <v>#N/A</v>
      </c>
      <c r="B266" s="63"/>
      <c r="C266" s="63"/>
      <c r="D266" s="63"/>
      <c r="E266" s="63"/>
      <c r="F266" s="63"/>
      <c r="G266" s="63"/>
      <c r="H266" s="63"/>
      <c r="I266" s="63"/>
      <c r="J266" s="24" t="e">
        <f ca="1">MATCH(H216,SEM_IV!$B$6:$B$43,0)</f>
        <v>#N/A</v>
      </c>
    </row>
    <row r="267" spans="1:10" ht="10.5" customHeight="1" x14ac:dyDescent="0.2">
      <c r="A267" s="64" t="str">
        <f ca="1">IF(ISNA(A266),"","Subject Code")</f>
        <v/>
      </c>
      <c r="B267" s="64"/>
      <c r="C267" s="64" t="str">
        <f ca="1">IF(ISNA(A266),"","Subject Name")</f>
        <v/>
      </c>
      <c r="D267" s="64"/>
      <c r="E267" s="64"/>
      <c r="F267" s="64"/>
      <c r="G267" s="64"/>
      <c r="H267" s="64" t="str">
        <f ca="1">IF(ISNA(A266),"","Credits")</f>
        <v/>
      </c>
      <c r="I267" s="64" t="str">
        <f ca="1">IF(ISNA(A266),"","Grade")</f>
        <v/>
      </c>
      <c r="J267" s="64" t="str">
        <f ca="1">IF(ISNA(A266),"","Grade Points")</f>
        <v/>
      </c>
    </row>
    <row r="268" spans="1:10" ht="13.5" customHeight="1" x14ac:dyDescent="0.2">
      <c r="A268" s="64"/>
      <c r="B268" s="64"/>
      <c r="C268" s="64"/>
      <c r="D268" s="64"/>
      <c r="E268" s="64"/>
      <c r="F268" s="64"/>
      <c r="G268" s="64"/>
      <c r="H268" s="64"/>
      <c r="I268" s="64"/>
      <c r="J268" s="64"/>
    </row>
    <row r="269" spans="1:10" ht="10.5" customHeight="1" x14ac:dyDescent="0.2">
      <c r="A269" s="65" t="str">
        <f ca="1">_xlfn.IFNA(INDIRECT(_xlfn.TEXTJOIN("",TRUE,A265,"!",ADDRESS(13+(A266-1)*J265,1))),"")</f>
        <v/>
      </c>
      <c r="B269" s="65"/>
      <c r="C269" s="66" t="str">
        <f ca="1">_xlfn.IFNA(INDIRECT(_xlfn.TEXTJOIN("",TRUE,A265,"!",ADDRESS(13+(A266-1)*J265,2))),"")</f>
        <v/>
      </c>
      <c r="D269" s="66"/>
      <c r="E269" s="66"/>
      <c r="F269" s="66"/>
      <c r="G269" s="66"/>
      <c r="H269" s="25" t="str">
        <f ca="1">_xlfn.IFNA(INDIRECT(_xlfn.TEXTJOIN("",TRUE,A265,"!",ADDRESS(13+(A266-1)*J265,6))),"")</f>
        <v/>
      </c>
      <c r="I269" s="25" t="str">
        <f ca="1">_xlfn.IFNA(INDIRECT(_xlfn.TEXTJOIN("",TRUE,A265,"!",ADDRESS(13+(A266-1)*J265,13))),"")</f>
        <v/>
      </c>
      <c r="J269" s="25" t="str">
        <f ca="1">_xlfn.IFNA(INDIRECT(_xlfn.TEXTJOIN("",TRUE,A265,"!",ADDRESS(13+(A266-1)*J265,14))),"")</f>
        <v/>
      </c>
    </row>
    <row r="270" spans="1:10" ht="10.5" customHeight="1" x14ac:dyDescent="0.2">
      <c r="A270" s="65" t="str">
        <f ca="1">_xlfn.IFNA(INDIRECT(_xlfn.TEXTJOIN("",TRUE,A265,"!",ADDRESS(14+(A266-1)*J265,1))),"")</f>
        <v/>
      </c>
      <c r="B270" s="65"/>
      <c r="C270" s="66" t="str">
        <f ca="1">_xlfn.IFNA(INDIRECT(_xlfn.TEXTJOIN("",TRUE,A265,"!",ADDRESS(14+(A266-1)*J265,2))),"")</f>
        <v/>
      </c>
      <c r="D270" s="66"/>
      <c r="E270" s="66"/>
      <c r="F270" s="66"/>
      <c r="G270" s="66"/>
      <c r="H270" s="25" t="str">
        <f ca="1">_xlfn.IFNA(INDIRECT(_xlfn.TEXTJOIN("",TRUE,A265,"!",ADDRESS(14+(A266-1)*J265,6))),"")</f>
        <v/>
      </c>
      <c r="I270" s="25" t="str">
        <f ca="1">_xlfn.IFNA(INDIRECT(_xlfn.TEXTJOIN("",TRUE,A265,"!",ADDRESS(14+(A266-1)*J265,13))),"")</f>
        <v/>
      </c>
      <c r="J270" s="25" t="str">
        <f ca="1">_xlfn.IFNA(INDIRECT(_xlfn.TEXTJOIN("",TRUE,A265,"!",ADDRESS(14+(A266-1)*J265,14))),"")</f>
        <v/>
      </c>
    </row>
    <row r="271" spans="1:10" ht="10.5" customHeight="1" x14ac:dyDescent="0.2">
      <c r="A271" s="65" t="str">
        <f ca="1">_xlfn.IFNA(INDIRECT(_xlfn.TEXTJOIN("",TRUE,A265,"!",ADDRESS(15+(A266-1)*J265,1))),"")</f>
        <v/>
      </c>
      <c r="B271" s="65"/>
      <c r="C271" s="66" t="str">
        <f ca="1">_xlfn.IFNA(INDIRECT(_xlfn.TEXTJOIN("",TRUE,A265,"!",ADDRESS(15+(A266-1)*J265,2))),"")</f>
        <v/>
      </c>
      <c r="D271" s="66"/>
      <c r="E271" s="66"/>
      <c r="F271" s="66"/>
      <c r="G271" s="66"/>
      <c r="H271" s="25" t="str">
        <f ca="1">_xlfn.IFNA(INDIRECT(_xlfn.TEXTJOIN("",TRUE,A265,"!",ADDRESS(15+(A266-1)*J265,6))),"")</f>
        <v/>
      </c>
      <c r="I271" s="25" t="str">
        <f ca="1">_xlfn.IFNA(INDIRECT(_xlfn.TEXTJOIN("",TRUE,A265,"!",ADDRESS(15+(A266-1)*J265,13))),"")</f>
        <v/>
      </c>
      <c r="J271" s="25" t="str">
        <f ca="1">_xlfn.IFNA(INDIRECT(_xlfn.TEXTJOIN("",TRUE,A265,"!",ADDRESS(15+(A266-1)*J265,14))),"")</f>
        <v/>
      </c>
    </row>
    <row r="272" spans="1:10" ht="10.5" customHeight="1" x14ac:dyDescent="0.2">
      <c r="A272" s="65" t="str">
        <f ca="1">_xlfn.IFNA(INDIRECT(_xlfn.TEXTJOIN("",TRUE,A265,"!",ADDRESS(16+(A266-1)*J265,1))),"")</f>
        <v/>
      </c>
      <c r="B272" s="65"/>
      <c r="C272" s="66" t="str">
        <f ca="1">_xlfn.IFNA(INDIRECT(_xlfn.TEXTJOIN("",TRUE,A265,"!",ADDRESS(16+(A266-1)*J265,2))),"")</f>
        <v/>
      </c>
      <c r="D272" s="66"/>
      <c r="E272" s="66"/>
      <c r="F272" s="66"/>
      <c r="G272" s="66"/>
      <c r="H272" s="25" t="str">
        <f ca="1">_xlfn.IFNA(INDIRECT(_xlfn.TEXTJOIN("",TRUE,A265,"!",ADDRESS(16+(A266-1)*J265,6))),"")</f>
        <v/>
      </c>
      <c r="I272" s="25" t="str">
        <f ca="1">_xlfn.IFNA(INDIRECT(_xlfn.TEXTJOIN("",TRUE,A265,"!",ADDRESS(16+(A266-1)*J265,13))),"")</f>
        <v/>
      </c>
      <c r="J272" s="25" t="str">
        <f ca="1">_xlfn.IFNA(INDIRECT(_xlfn.TEXTJOIN("",TRUE,A265,"!",ADDRESS(16+(A266-1)*J265,14))),"")</f>
        <v/>
      </c>
    </row>
    <row r="273" spans="1:10" ht="10.5" customHeight="1" x14ac:dyDescent="0.2">
      <c r="A273" s="65" t="str">
        <f ca="1">_xlfn.IFNA(INDIRECT(_xlfn.TEXTJOIN("",TRUE,A265,"!",ADDRESS(17+(A266-1)*J265,1))),"")</f>
        <v/>
      </c>
      <c r="B273" s="65"/>
      <c r="C273" s="66" t="str">
        <f ca="1">_xlfn.IFNA(INDIRECT(_xlfn.TEXTJOIN("",TRUE,A265,"!",ADDRESS(17+(A266-1)*J265,2))),"")</f>
        <v/>
      </c>
      <c r="D273" s="66"/>
      <c r="E273" s="66"/>
      <c r="F273" s="66"/>
      <c r="G273" s="66"/>
      <c r="H273" s="25" t="str">
        <f ca="1">_xlfn.IFNA(INDIRECT(_xlfn.TEXTJOIN("",TRUE,A265,"!",ADDRESS(17+(A266-1)*J265,6))),"")</f>
        <v/>
      </c>
      <c r="I273" s="25" t="str">
        <f ca="1">_xlfn.IFNA(INDIRECT(_xlfn.TEXTJOIN("",TRUE,A265,"!",ADDRESS(17+(A266-1)*J265,13))),"")</f>
        <v/>
      </c>
      <c r="J273" s="25" t="str">
        <f ca="1">_xlfn.IFNA(INDIRECT(_xlfn.TEXTJOIN("",TRUE,A265,"!",ADDRESS(17+(A266-1)*J265,14))),"")</f>
        <v/>
      </c>
    </row>
    <row r="274" spans="1:10" ht="10.5" customHeight="1" x14ac:dyDescent="0.2">
      <c r="A274" s="65" t="str">
        <f ca="1">_xlfn.IFNA(INDIRECT(_xlfn.TEXTJOIN("",TRUE,A265,"!",ADDRESS(18+(A266-1)*J265,1))),"")</f>
        <v/>
      </c>
      <c r="B274" s="65"/>
      <c r="C274" s="66" t="str">
        <f ca="1">_xlfn.IFNA(INDIRECT(_xlfn.TEXTJOIN("",TRUE,A265,"!",ADDRESS(18+(A266-1)*J265,2))),"")</f>
        <v/>
      </c>
      <c r="D274" s="66"/>
      <c r="E274" s="66"/>
      <c r="F274" s="66"/>
      <c r="G274" s="66"/>
      <c r="H274" s="25" t="str">
        <f ca="1">_xlfn.IFNA(INDIRECT(_xlfn.TEXTJOIN("",TRUE,A265,"!",ADDRESS(18+(A266-1)*J265,6))),"")</f>
        <v/>
      </c>
      <c r="I274" s="25" t="str">
        <f ca="1">_xlfn.IFNA(INDIRECT(_xlfn.TEXTJOIN("",TRUE,A265,"!",ADDRESS(18+(A266-1)*J265,13))),"")</f>
        <v/>
      </c>
      <c r="J274" s="25" t="str">
        <f ca="1">_xlfn.IFNA(INDIRECT(_xlfn.TEXTJOIN("",TRUE,A265,"!",ADDRESS(18+(A266-1)*J265,14))),"")</f>
        <v/>
      </c>
    </row>
    <row r="275" spans="1:10" ht="10.5" customHeight="1" x14ac:dyDescent="0.2">
      <c r="A275" s="60" t="str">
        <f ca="1">_xlfn.IFNA(INDIRECT(_xlfn.TEXTJOIN("",TRUE,A265,"!",ADDRESS(19+(A266-1)*J265,1))),"")</f>
        <v/>
      </c>
      <c r="B275" s="61"/>
      <c r="C275" s="57" t="str">
        <f ca="1">_xlfn.IFNA(INDIRECT(_xlfn.TEXTJOIN("",TRUE,A265,"!",ADDRESS(19+(A266-1)*J265,2))),"")</f>
        <v/>
      </c>
      <c r="D275" s="58"/>
      <c r="E275" s="58"/>
      <c r="F275" s="58"/>
      <c r="G275" s="59"/>
      <c r="H275" s="25" t="str">
        <f ca="1">_xlfn.IFNA(INDIRECT(_xlfn.TEXTJOIN("",TRUE,A265,"!",ADDRESS(19+(A266-1)*J265,6))),"")</f>
        <v/>
      </c>
      <c r="I275" s="25" t="str">
        <f ca="1">_xlfn.IFNA(INDIRECT(_xlfn.TEXTJOIN("",TRUE,A265,"!",ADDRESS(19+(A266-1)*J265,13))),"")</f>
        <v/>
      </c>
      <c r="J275" s="25" t="str">
        <f ca="1">_xlfn.IFNA(INDIRECT(_xlfn.TEXTJOIN("",TRUE,A265,"!",ADDRESS(19+(A266-1)*J265,14))),"")</f>
        <v/>
      </c>
    </row>
    <row r="276" spans="1:10" ht="10.5" customHeight="1" x14ac:dyDescent="0.2">
      <c r="A276" s="71" t="str">
        <f ca="1">IF(ISNA(A266),"","Total Credits/ Total Grade Points")</f>
        <v/>
      </c>
      <c r="B276" s="71"/>
      <c r="C276" s="71"/>
      <c r="D276" s="71"/>
      <c r="E276" s="71"/>
      <c r="F276" s="71"/>
      <c r="G276" s="71"/>
      <c r="H276" s="27" t="str">
        <f ca="1">IF(ISNA(A266),"",SUM(H268:H275))</f>
        <v/>
      </c>
      <c r="I276" s="26" t="str">
        <f ca="1">IF(ISNA(A266),"","-")</f>
        <v/>
      </c>
      <c r="J276" s="27" t="str">
        <f ca="1">IF(ISNA(A266),"",SUMPRODUCT(J268:J275,H268:H275))</f>
        <v/>
      </c>
    </row>
    <row r="277" spans="1:10" ht="10.5" customHeight="1" x14ac:dyDescent="0.2">
      <c r="A277" s="75" t="s">
        <v>137</v>
      </c>
      <c r="B277" s="75"/>
      <c r="C277" s="75"/>
      <c r="D277" s="75"/>
      <c r="E277" s="75"/>
      <c r="F277" s="76" t="s">
        <v>138</v>
      </c>
      <c r="G277" s="76"/>
      <c r="H277" s="76"/>
      <c r="I277" s="76"/>
      <c r="J277" s="76"/>
    </row>
    <row r="278" spans="1:10" ht="10.5" customHeight="1" x14ac:dyDescent="0.2">
      <c r="A278" s="43" t="s">
        <v>139</v>
      </c>
      <c r="B278" s="43"/>
      <c r="C278" s="43"/>
      <c r="D278" s="43"/>
      <c r="E278" s="43"/>
      <c r="F278" s="43"/>
      <c r="G278" s="43"/>
      <c r="H278" s="43"/>
      <c r="I278" s="43"/>
      <c r="J278" s="43"/>
    </row>
    <row r="279" spans="1:10" ht="10.5" customHeight="1" x14ac:dyDescent="0.2">
      <c r="A279" s="10"/>
      <c r="B279" s="26"/>
      <c r="C279" s="26" t="s">
        <v>140</v>
      </c>
      <c r="D279" s="26" t="s">
        <v>141</v>
      </c>
      <c r="E279" s="26" t="s">
        <v>142</v>
      </c>
      <c r="F279" s="26" t="s">
        <v>143</v>
      </c>
      <c r="G279" s="26" t="s">
        <v>144</v>
      </c>
      <c r="H279" s="79" t="s">
        <v>145</v>
      </c>
      <c r="I279" s="79"/>
      <c r="J279" s="30"/>
    </row>
    <row r="280" spans="1:10" ht="10.5" customHeight="1" x14ac:dyDescent="0.2">
      <c r="A280" s="10"/>
      <c r="B280" s="80" t="s">
        <v>146</v>
      </c>
      <c r="C280" s="73">
        <f ca="1">J236/H236</f>
        <v>5.479166666666667</v>
      </c>
      <c r="D280" s="73" t="e">
        <f ca="1">J251/H251</f>
        <v>#VALUE!</v>
      </c>
      <c r="E280" s="73" t="str">
        <f ca="1">IFERROR(J264/H264,"")</f>
        <v/>
      </c>
      <c r="F280" s="73" t="str">
        <f ca="1">IFERROR(J276/H276,"")</f>
        <v/>
      </c>
      <c r="G280" s="82">
        <f ca="1">F282</f>
        <v>5.479166666666667</v>
      </c>
      <c r="H280" s="83" t="e">
        <f ca="1">IF(TC_IV!N53&lt;96,_xlfn.TEXTJOIN(" Carry Over Back In",TC_I!V96,TC_II!V80,TC_III!V55,TC_IV!V52),IF(G280&gt;=8,"First Division with Distinction",IF(G280&gt;=6.5,"First Division",IF(G280&gt;=5,"Second Division",IF(G280&gt;=4,"Third Division","Fail")))))</f>
        <v>#N/A</v>
      </c>
      <c r="I280" s="83"/>
      <c r="J280" s="30"/>
    </row>
    <row r="281" spans="1:10" ht="10.5" customHeight="1" x14ac:dyDescent="0.2">
      <c r="B281" s="81"/>
      <c r="C281" s="74"/>
      <c r="D281" s="74"/>
      <c r="E281" s="74"/>
      <c r="F281" s="74"/>
      <c r="G281" s="82"/>
      <c r="H281" s="83"/>
      <c r="I281" s="83"/>
    </row>
    <row r="282" spans="1:10" ht="10.5" customHeight="1" x14ac:dyDescent="0.2">
      <c r="B282" s="80" t="s">
        <v>48</v>
      </c>
      <c r="C282" s="73">
        <f ca="1">J236/H236</f>
        <v>5.479166666666667</v>
      </c>
      <c r="D282" s="73">
        <f ca="1">SUM(J251,J236)/SUM(H251,H236)</f>
        <v>5.479166666666667</v>
      </c>
      <c r="E282" s="73">
        <f ca="1">SUM(J264,J251,J236)/SUM(H264,H251,H236)</f>
        <v>5.479166666666667</v>
      </c>
      <c r="F282" s="73">
        <f ca="1">SUM(J276,J264,J251,J236)/SUM(H236,H251,H264,H276)</f>
        <v>5.479166666666667</v>
      </c>
      <c r="G282" s="82"/>
      <c r="H282" s="83"/>
      <c r="I282" s="83"/>
    </row>
    <row r="283" spans="1:10" ht="10.5" customHeight="1" x14ac:dyDescent="0.2">
      <c r="B283" s="81"/>
      <c r="C283" s="74"/>
      <c r="D283" s="74"/>
      <c r="E283" s="74"/>
      <c r="F283" s="74"/>
      <c r="G283" s="82"/>
      <c r="H283" s="83"/>
      <c r="I283" s="83"/>
    </row>
    <row r="285" spans="1:10" ht="10.5" customHeight="1" x14ac:dyDescent="0.2">
      <c r="A285" s="56" t="s">
        <v>24</v>
      </c>
      <c r="B285" s="56"/>
      <c r="C285" s="56" t="str">
        <f ca="1">INDIRECT(_xlfn.TEXTJOIN("",TRUE,A287,"!",ADDRESS(9+(A288-1)*J287,2)))</f>
        <v>DEEPAK BISHT</v>
      </c>
      <c r="D285" s="56"/>
      <c r="E285" s="56"/>
      <c r="F285" s="56" t="s">
        <v>135</v>
      </c>
      <c r="G285" s="56"/>
      <c r="H285" s="62">
        <f ca="1">INDIRECT(_xlfn.TEXTJOIN("",TRUE,A287,"!",ADDRESS(9+(A288-1)*J287,9)))</f>
        <v>250090600005</v>
      </c>
      <c r="I285" s="56"/>
      <c r="J285" s="56"/>
    </row>
    <row r="286" spans="1:10" ht="10.5" customHeight="1" x14ac:dyDescent="0.2">
      <c r="A286" s="56" t="s">
        <v>25</v>
      </c>
      <c r="B286" s="56"/>
      <c r="C286" s="56" t="str">
        <f ca="1">INDIRECT(_xlfn.TEXTJOIN("",TRUE,A287,"!",ADDRESS(9+(A288-1)*J287,5)))</f>
        <v>DIWAN SINGH BISHT</v>
      </c>
      <c r="D286" s="56"/>
      <c r="E286" s="56"/>
      <c r="F286" s="47" t="s">
        <v>136</v>
      </c>
      <c r="G286" s="47"/>
      <c r="H286" s="62" t="str">
        <f ca="1">INDIRECT(_xlfn.TEXTJOIN("",TRUE,A287,"!",ADDRESS(9+(A288-1)*J287,13)))</f>
        <v>UTU/2506100147</v>
      </c>
      <c r="I286" s="56"/>
      <c r="J286" s="56"/>
    </row>
    <row r="287" spans="1:10" ht="10.5" customHeight="1" x14ac:dyDescent="0.2">
      <c r="A287" s="24" t="s">
        <v>53</v>
      </c>
      <c r="B287" s="43" t="s">
        <v>148</v>
      </c>
      <c r="C287" s="43"/>
      <c r="D287" s="43"/>
      <c r="E287" s="43"/>
      <c r="F287" s="43"/>
      <c r="G287" s="43"/>
      <c r="H287" s="43"/>
      <c r="I287" s="43"/>
      <c r="J287" s="24">
        <f>ROWS(A291:B304)+9</f>
        <v>23</v>
      </c>
    </row>
    <row r="288" spans="1:10" ht="10.5" customHeight="1" x14ac:dyDescent="0.2">
      <c r="A288" s="24">
        <f>A219+1</f>
        <v>5</v>
      </c>
      <c r="B288" s="63"/>
      <c r="C288" s="63"/>
      <c r="D288" s="63"/>
      <c r="E288" s="63"/>
      <c r="F288" s="63"/>
      <c r="G288" s="63"/>
      <c r="H288" s="63"/>
      <c r="I288" s="63"/>
      <c r="J288" s="29"/>
    </row>
    <row r="289" spans="1:10" ht="10.5" customHeight="1" x14ac:dyDescent="0.2">
      <c r="A289" s="64" t="s">
        <v>28</v>
      </c>
      <c r="B289" s="64"/>
      <c r="C289" s="64" t="s">
        <v>29</v>
      </c>
      <c r="D289" s="64"/>
      <c r="E289" s="64"/>
      <c r="F289" s="64"/>
      <c r="G289" s="64"/>
      <c r="H289" s="64" t="s">
        <v>30</v>
      </c>
      <c r="I289" s="64" t="s">
        <v>9</v>
      </c>
      <c r="J289" s="64" t="s">
        <v>34</v>
      </c>
    </row>
    <row r="290" spans="1:10" ht="16" customHeight="1" x14ac:dyDescent="0.2">
      <c r="A290" s="64"/>
      <c r="B290" s="64"/>
      <c r="C290" s="64"/>
      <c r="D290" s="64"/>
      <c r="E290" s="64"/>
      <c r="F290" s="64"/>
      <c r="G290" s="64"/>
      <c r="H290" s="64"/>
      <c r="I290" s="64"/>
      <c r="J290" s="64"/>
    </row>
    <row r="291" spans="1:10" ht="10.5" customHeight="1" x14ac:dyDescent="0.2">
      <c r="A291" s="65" t="str">
        <f ca="1">INDIRECT(_xlfn.TEXTJOIN("",TRUE,A287,"!",ADDRESS(13+(A288-1)*J287,1)))</f>
        <v>CAT 004</v>
      </c>
      <c r="B291" s="65"/>
      <c r="C291" s="66" t="str">
        <f ca="1">INDIRECT(_xlfn.TEXTJOIN("",TRUE,A287,"!",ADDRESS(13+(A288-1)*J287,2)))</f>
        <v>Discrete Structure</v>
      </c>
      <c r="D291" s="66"/>
      <c r="E291" s="66"/>
      <c r="F291" s="66"/>
      <c r="G291" s="66"/>
      <c r="H291" s="25">
        <f ca="1">INDIRECT(_xlfn.TEXTJOIN("",TRUE,A287,"!",ADDRESS(13+(A288-1)*J287,6)))</f>
        <v>4</v>
      </c>
      <c r="I291" s="25" t="str">
        <f ca="1">INDIRECT(_xlfn.TEXTJOIN("",TRUE,A287,"!",ADDRESS(13+(A288-1)*J287,13)))</f>
        <v>D+</v>
      </c>
      <c r="J291" s="25">
        <f ca="1">INDIRECT(_xlfn.TEXTJOIN("",TRUE,A287,"!",ADDRESS(13+(A288-1)*J287,14)))</f>
        <v>6.5</v>
      </c>
    </row>
    <row r="292" spans="1:10" ht="10.5" customHeight="1" x14ac:dyDescent="0.2">
      <c r="A292" s="65" t="str">
        <f ca="1">INDIRECT(_xlfn.TEXTJOIN("",TRUE,A287,"!",ADDRESS(14+(A288-1)*J287,1)))</f>
        <v>CAT 005</v>
      </c>
      <c r="B292" s="65"/>
      <c r="C292" s="66" t="str">
        <f ca="1">INDIRECT(_xlfn.TEXTJOIN("",TRUE,A287,"!",ADDRESS(14+(A288-1)*J287,2)))</f>
        <v>Database Management System</v>
      </c>
      <c r="D292" s="66"/>
      <c r="E292" s="66"/>
      <c r="F292" s="66"/>
      <c r="G292" s="66"/>
      <c r="H292" s="25">
        <f ca="1">INDIRECT(_xlfn.TEXTJOIN("",TRUE,A287,"!",ADDRESS(14+(A288-1)*J287,6)))</f>
        <v>4</v>
      </c>
      <c r="I292" s="25" t="str">
        <f ca="1">INDIRECT(_xlfn.TEXTJOIN("",TRUE,A287,"!",ADDRESS(14+(A288-1)*J287,13)))</f>
        <v>D</v>
      </c>
      <c r="J292" s="25">
        <f ca="1">INDIRECT(_xlfn.TEXTJOIN("",TRUE,A287,"!",ADDRESS(14+(A288-1)*J287,14)))</f>
        <v>6</v>
      </c>
    </row>
    <row r="293" spans="1:10" ht="10.5" customHeight="1" x14ac:dyDescent="0.2">
      <c r="A293" s="65" t="str">
        <f ca="1">INDIRECT(_xlfn.TEXTJOIN("",TRUE,A287,"!",ADDRESS(15+(A288-1)*J287,1)))</f>
        <v>CAT 006</v>
      </c>
      <c r="B293" s="65"/>
      <c r="C293" s="66" t="str">
        <f ca="1">INDIRECT(_xlfn.TEXTJOIN("",TRUE,A287,"!",ADDRESS(15+(A288-1)*J287,2)))</f>
        <v>Operating System</v>
      </c>
      <c r="D293" s="66"/>
      <c r="E293" s="66"/>
      <c r="F293" s="66"/>
      <c r="G293" s="66"/>
      <c r="H293" s="25">
        <f ca="1">INDIRECT(_xlfn.TEXTJOIN("",TRUE,A287,"!",ADDRESS(15+(A288-1)*J287,6)))</f>
        <v>4</v>
      </c>
      <c r="I293" s="25" t="str">
        <f ca="1">INDIRECT(_xlfn.TEXTJOIN("",TRUE,A287,"!",ADDRESS(15+(A288-1)*J287,13)))</f>
        <v>B+</v>
      </c>
      <c r="J293" s="25">
        <f ca="1">INDIRECT(_xlfn.TEXTJOIN("",TRUE,A287,"!",ADDRESS(15+(A288-1)*J287,14)))</f>
        <v>8.5</v>
      </c>
    </row>
    <row r="294" spans="1:10" ht="10.5" customHeight="1" x14ac:dyDescent="0.2">
      <c r="A294" s="65" t="str">
        <f ca="1">INDIRECT(_xlfn.TEXTJOIN("",TRUE,A287,"!",ADDRESS(16+(A288-1)*J287,1)))</f>
        <v>CAT 007</v>
      </c>
      <c r="B294" s="65"/>
      <c r="C294" s="66" t="str">
        <f ca="1">INDIRECT(_xlfn.TEXTJOIN("",TRUE,A287,"!",ADDRESS(16+(A288-1)*J287,2)))</f>
        <v>Computer Organization</v>
      </c>
      <c r="D294" s="66"/>
      <c r="E294" s="66"/>
      <c r="F294" s="66"/>
      <c r="G294" s="66"/>
      <c r="H294" s="25">
        <f ca="1">INDIRECT(_xlfn.TEXTJOIN("",TRUE,A287,"!",ADDRESS(16+(A288-1)*J287,6)))</f>
        <v>4</v>
      </c>
      <c r="I294" s="25" t="str">
        <f ca="1">INDIRECT(_xlfn.TEXTJOIN("",TRUE,A287,"!",ADDRESS(16+(A288-1)*J287,13)))</f>
        <v>E</v>
      </c>
      <c r="J294" s="25">
        <f ca="1">INDIRECT(_xlfn.TEXTJOIN("",TRUE,A287,"!",ADDRESS(16+(A288-1)*J287,14)))</f>
        <v>5</v>
      </c>
    </row>
    <row r="295" spans="1:10" ht="10.5" customHeight="1" x14ac:dyDescent="0.2">
      <c r="A295" s="65" t="str">
        <f ca="1">INDIRECT(_xlfn.TEXTJOIN("",TRUE,A287,"!",ADDRESS(17+(A288-1)*J287,1)))</f>
        <v>AHT 303</v>
      </c>
      <c r="B295" s="65"/>
      <c r="C295" s="66" t="str">
        <f ca="1">INDIRECT(_xlfn.TEXTJOIN("",TRUE,A287,"!",ADDRESS(17+(A288-1)*J287,2)))</f>
        <v>Technical Communication Skills</v>
      </c>
      <c r="D295" s="66"/>
      <c r="E295" s="66"/>
      <c r="F295" s="66"/>
      <c r="G295" s="66"/>
      <c r="H295" s="25">
        <f ca="1">INDIRECT(_xlfn.TEXTJOIN("",TRUE,A287,"!",ADDRESS(17+(A288-1)*J287,6)))</f>
        <v>4</v>
      </c>
      <c r="I295" s="25" t="str">
        <f ca="1">INDIRECT(_xlfn.TEXTJOIN("",TRUE,A287,"!",ADDRESS(17+(A288-1)*J287,13)))</f>
        <v>D+</v>
      </c>
      <c r="J295" s="25">
        <f ca="1">INDIRECT(_xlfn.TEXTJOIN("",TRUE,A287,"!",ADDRESS(17+(A288-1)*J287,14)))</f>
        <v>6.5</v>
      </c>
    </row>
    <row r="296" spans="1:10" ht="10.5" customHeight="1" x14ac:dyDescent="0.2">
      <c r="A296" s="65" t="str">
        <f ca="1">INDIRECT(_xlfn.TEXTJOIN("",TRUE,A287,"!",ADDRESS(18+(A288-1)*J287,1)))</f>
        <v>CAT 008</v>
      </c>
      <c r="B296" s="65"/>
      <c r="C296" s="66" t="str">
        <f ca="1">INDIRECT(_xlfn.TEXTJOIN("",TRUE,A287,"!",ADDRESS(18+(A288-1)*J287,2)))</f>
        <v>Python Programming ($)</v>
      </c>
      <c r="D296" s="66"/>
      <c r="E296" s="66"/>
      <c r="F296" s="66"/>
      <c r="G296" s="66"/>
      <c r="H296" s="25">
        <f ca="1">INDIRECT(_xlfn.TEXTJOIN("",TRUE,A287,"!",ADDRESS(18+(A288-1)*J287,6)))</f>
        <v>0</v>
      </c>
      <c r="I296" s="25" t="str">
        <f ca="1">INDIRECT(_xlfn.TEXTJOIN("",TRUE,A287,"!",ADDRESS(18+(A288-1)*J287,13)))</f>
        <v>C</v>
      </c>
      <c r="J296" s="25">
        <f ca="1">INDIRECT(_xlfn.TEXTJOIN("",TRUE,A287,"!",ADDRESS(18+(A288-1)*J287,14)))</f>
        <v>7</v>
      </c>
    </row>
    <row r="297" spans="1:10" ht="10.5" customHeight="1" x14ac:dyDescent="0.2">
      <c r="A297" s="60" t="str">
        <f ca="1">INDIRECT(_xlfn.TEXTJOIN("",TRUE,A287,"!",ADDRESS(19+(A288-1)*J287,1)))</f>
        <v>CAT 001</v>
      </c>
      <c r="B297" s="61"/>
      <c r="C297" s="57" t="str">
        <f ca="1">INDIRECT(_xlfn.TEXTJOIN("",TRUE,A287,"!",ADDRESS(19+(A288-1)*J287,2)))</f>
        <v>Introduction of Information Technology ($)</v>
      </c>
      <c r="D297" s="58"/>
      <c r="E297" s="58"/>
      <c r="F297" s="58"/>
      <c r="G297" s="59"/>
      <c r="H297" s="25">
        <f ca="1">INDIRECT(_xlfn.TEXTJOIN("",TRUE,A287,"!",ADDRESS(19+(A288-1)*J287,6)))</f>
        <v>0</v>
      </c>
      <c r="I297" s="25" t="str">
        <f ca="1">INDIRECT(_xlfn.TEXTJOIN("",TRUE,A287,"!",ADDRESS(19+(A288-1)*J287,13)))</f>
        <v>-</v>
      </c>
      <c r="J297" s="25" t="str">
        <f ca="1">INDIRECT(_xlfn.TEXTJOIN("",TRUE,A287,"!",ADDRESS(19+(A288-1)*J287,14)))</f>
        <v>-</v>
      </c>
    </row>
    <row r="298" spans="1:10" ht="10.5" customHeight="1" x14ac:dyDescent="0.2">
      <c r="A298" s="65" t="str">
        <f ca="1">INDIRECT(_xlfn.TEXTJOIN("",TRUE,A287,"!",ADDRESS(20+(A288-1)*J287,1)))</f>
        <v>CAT 002</v>
      </c>
      <c r="B298" s="65"/>
      <c r="C298" s="66" t="str">
        <f ca="1">INDIRECT(_xlfn.TEXTJOIN("",TRUE,A287,"!",ADDRESS(20+(A288-1)*J287,2)))</f>
        <v>Programming Fundamentals with "C" ($)</v>
      </c>
      <c r="D298" s="66"/>
      <c r="E298" s="66"/>
      <c r="F298" s="66"/>
      <c r="G298" s="66"/>
      <c r="H298" s="25">
        <f ca="1">INDIRECT(_xlfn.TEXTJOIN("",TRUE,A287,"!",ADDRESS(20+(A288-1)*J287,6)))</f>
        <v>0</v>
      </c>
      <c r="I298" s="25" t="str">
        <f ca="1">INDIRECT(_xlfn.TEXTJOIN("",TRUE,A287,"!",ADDRESS(20+(A288-1)*J287,13)))</f>
        <v>-</v>
      </c>
      <c r="J298" s="25" t="str">
        <f ca="1">INDIRECT(_xlfn.TEXTJOIN("",TRUE,A287,"!",ADDRESS(20+(A288-1)*J287,14)))</f>
        <v>-</v>
      </c>
    </row>
    <row r="299" spans="1:10" ht="10.5" customHeight="1" x14ac:dyDescent="0.2">
      <c r="A299" s="65" t="str">
        <f ca="1">INDIRECT(_xlfn.TEXTJOIN("",TRUE,A287,"!",ADDRESS(21+(A288-1)*J287,1)))</f>
        <v>CAT 003</v>
      </c>
      <c r="B299" s="65"/>
      <c r="C299" s="66" t="str">
        <f ca="1">INDIRECT(_xlfn.TEXTJOIN("",TRUE,A287,"!",ADDRESS(21+(A288-1)*J287,2)))</f>
        <v>Fundamental of Web Technology ($)</v>
      </c>
      <c r="D299" s="66"/>
      <c r="E299" s="66"/>
      <c r="F299" s="66"/>
      <c r="G299" s="66"/>
      <c r="H299" s="25">
        <f ca="1">INDIRECT(_xlfn.TEXTJOIN("",TRUE,A287,"!",ADDRESS(21+(A288-1)*J287,6)))</f>
        <v>0</v>
      </c>
      <c r="I299" s="25" t="str">
        <f ca="1">INDIRECT(_xlfn.TEXTJOIN("",TRUE,A287,"!",ADDRESS(21+(A288-1)*J287,13)))</f>
        <v>-</v>
      </c>
      <c r="J299" s="25" t="str">
        <f ca="1">INDIRECT(_xlfn.TEXTJOIN("",TRUE,A287,"!",ADDRESS(21+(A288-1)*J287,14)))</f>
        <v>-</v>
      </c>
    </row>
    <row r="300" spans="1:10" ht="10.5" customHeight="1" x14ac:dyDescent="0.2">
      <c r="A300" s="65" t="str">
        <f ca="1">INDIRECT(_xlfn.TEXTJOIN("",TRUE,A287,"!",ADDRESS(22+(A288-1)*J287,1)))</f>
        <v>CAP 001</v>
      </c>
      <c r="B300" s="65"/>
      <c r="C300" s="66" t="str">
        <f ca="1">INDIRECT(_xlfn.TEXTJOIN("",TRUE,A287,"!",ADDRESS(22+(A288-1)*J287,2)))</f>
        <v>Database Management System Lab</v>
      </c>
      <c r="D300" s="66"/>
      <c r="E300" s="66"/>
      <c r="F300" s="66"/>
      <c r="G300" s="66"/>
      <c r="H300" s="25">
        <f ca="1">INDIRECT(_xlfn.TEXTJOIN("",TRUE,A287,"!",ADDRESS(22+(A288-1)*J287,6)))</f>
        <v>1</v>
      </c>
      <c r="I300" s="25" t="str">
        <f ca="1">INDIRECT(_xlfn.TEXTJOIN("",TRUE,A287,"!",ADDRESS(22+(A288-1)*J287,13)))</f>
        <v>B+</v>
      </c>
      <c r="J300" s="25">
        <f ca="1">INDIRECT(_xlfn.TEXTJOIN("",TRUE,A287,"!",ADDRESS(22+(A288-1)*J287,14)))</f>
        <v>8.5</v>
      </c>
    </row>
    <row r="301" spans="1:10" ht="10.5" customHeight="1" x14ac:dyDescent="0.2">
      <c r="A301" s="65" t="str">
        <f ca="1">INDIRECT(_xlfn.TEXTJOIN("",TRUE,A287,"!",ADDRESS(23+(A288-1)*J287,1)))</f>
        <v>CAP 002</v>
      </c>
      <c r="B301" s="65"/>
      <c r="C301" s="66" t="str">
        <f ca="1">INDIRECT(_xlfn.TEXTJOIN("",TRUE,A287,"!",ADDRESS(23+(A288-1)*J287,2)))</f>
        <v>Operating System Lab</v>
      </c>
      <c r="D301" s="66"/>
      <c r="E301" s="66"/>
      <c r="F301" s="66"/>
      <c r="G301" s="66"/>
      <c r="H301" s="25">
        <f ca="1">INDIRECT(_xlfn.TEXTJOIN("",TRUE,A287,"!",ADDRESS(23+(A288-1)*J287,6)))</f>
        <v>1</v>
      </c>
      <c r="I301" s="25" t="str">
        <f ca="1">INDIRECT(_xlfn.TEXTJOIN("",TRUE,A287,"!",ADDRESS(23+(A288-1)*J287,13)))</f>
        <v>A+</v>
      </c>
      <c r="J301" s="25">
        <f ca="1">INDIRECT(_xlfn.TEXTJOIN("",TRUE,A287,"!",ADDRESS(23+(A288-1)*J287,14)))</f>
        <v>9.5</v>
      </c>
    </row>
    <row r="302" spans="1:10" ht="10.5" customHeight="1" x14ac:dyDescent="0.2">
      <c r="A302" s="65" t="str">
        <f ca="1">INDIRECT(_xlfn.TEXTJOIN("",TRUE,A287,"!",ADDRESS(24+(A288-1)*J287,1)))</f>
        <v>CAP 003</v>
      </c>
      <c r="B302" s="65"/>
      <c r="C302" s="66" t="str">
        <f ca="1">INDIRECT(_xlfn.TEXTJOIN("",TRUE,A287,"!",ADDRESS(24+(A288-1)*J287,2)))</f>
        <v>Computer Organization Lab</v>
      </c>
      <c r="D302" s="66"/>
      <c r="E302" s="66"/>
      <c r="F302" s="66"/>
      <c r="G302" s="66"/>
      <c r="H302" s="25">
        <f ca="1">INDIRECT(_xlfn.TEXTJOIN("",TRUE,A287,"!",ADDRESS(24+(A288-1)*J287,6)))</f>
        <v>1</v>
      </c>
      <c r="I302" s="25" t="str">
        <f ca="1">INDIRECT(_xlfn.TEXTJOIN("",TRUE,A287,"!",ADDRESS(24+(A288-1)*J287,13)))</f>
        <v>B+</v>
      </c>
      <c r="J302" s="25">
        <f ca="1">INDIRECT(_xlfn.TEXTJOIN("",TRUE,A287,"!",ADDRESS(24+(A288-1)*J287,14)))</f>
        <v>8.5</v>
      </c>
    </row>
    <row r="303" spans="1:10" ht="10.5" customHeight="1" x14ac:dyDescent="0.2">
      <c r="A303" s="65" t="str">
        <f ca="1">INDIRECT(_xlfn.TEXTJOIN("",TRUE,A287,"!",ADDRESS(25+(A288-1)*J287,1)))</f>
        <v>AHP 303</v>
      </c>
      <c r="B303" s="65"/>
      <c r="C303" s="66" t="str">
        <f ca="1">INDIRECT(_xlfn.TEXTJOIN("",TRUE,A287,"!",ADDRESS(25+(A288-1)*J287,2)))</f>
        <v>Technical Communication Skills</v>
      </c>
      <c r="D303" s="66"/>
      <c r="E303" s="66"/>
      <c r="F303" s="66"/>
      <c r="G303" s="66"/>
      <c r="H303" s="25">
        <f ca="1">INDIRECT(_xlfn.TEXTJOIN("",TRUE,A287,"!",ADDRESS(25+(A288-1)*J287,6)))</f>
        <v>1</v>
      </c>
      <c r="I303" s="25" t="str">
        <f ca="1">INDIRECT(_xlfn.TEXTJOIN("",TRUE,A287,"!",ADDRESS(25+(A288-1)*J287,13)))</f>
        <v>B+</v>
      </c>
      <c r="J303" s="25">
        <f ca="1">INDIRECT(_xlfn.TEXTJOIN("",TRUE,A287,"!",ADDRESS(25+(A288-1)*J287,14)))</f>
        <v>8.5</v>
      </c>
    </row>
    <row r="304" spans="1:10" s="35" customFormat="1" ht="10.5" customHeight="1" x14ac:dyDescent="0.2">
      <c r="A304" s="77">
        <f ca="1">INDIRECT(_xlfn.TEXTJOIN("",TRUE,A287,"!",ADDRESS(26+(A288-1)*J287,1)))</f>
        <v>0</v>
      </c>
      <c r="B304" s="77"/>
      <c r="C304" s="78">
        <f ca="1">INDIRECT(_xlfn.TEXTJOIN("",TRUE,A287,"!",ADDRESS(26+(A288-1)*J287,2)))</f>
        <v>0</v>
      </c>
      <c r="D304" s="78"/>
      <c r="E304" s="78"/>
      <c r="F304" s="78"/>
      <c r="G304" s="78"/>
      <c r="H304" s="34">
        <f ca="1">INDIRECT(_xlfn.TEXTJOIN("",TRUE,A287,"!",ADDRESS(26+(A288-1)*J287,6)))</f>
        <v>0</v>
      </c>
      <c r="I304" s="34" t="str">
        <f ca="1">INDIRECT(_xlfn.TEXTJOIN("",TRUE,A287,"!",ADDRESS(26+(A288-1)*J287,13)))</f>
        <v>Excellent</v>
      </c>
      <c r="J304" s="34">
        <f ca="1">INDIRECT(_xlfn.TEXTJOIN("",TRUE,A287,"!",ADDRESS(26+(A288-1)*J287,14)))</f>
        <v>0</v>
      </c>
    </row>
    <row r="305" spans="1:10" ht="10.5" customHeight="1" x14ac:dyDescent="0.2">
      <c r="A305" s="71" t="s">
        <v>52</v>
      </c>
      <c r="B305" s="71"/>
      <c r="C305" s="71"/>
      <c r="D305" s="71"/>
      <c r="E305" s="71"/>
      <c r="F305" s="71"/>
      <c r="G305" s="71"/>
      <c r="H305" s="27">
        <f ca="1">SUM(H291:H304)</f>
        <v>24</v>
      </c>
      <c r="I305" s="26" t="s">
        <v>44</v>
      </c>
      <c r="J305" s="27">
        <f ca="1">SUMPRODUCT(J291:J303,H291:H303)</f>
        <v>165</v>
      </c>
    </row>
    <row r="306" spans="1:10" ht="10.5" customHeight="1" x14ac:dyDescent="0.2">
      <c r="A306" s="24" t="s">
        <v>57</v>
      </c>
      <c r="B306" s="72" t="str">
        <f ca="1">IF(ISNA(A307),"","Semester II (Spring Semester 2022-23)")</f>
        <v/>
      </c>
      <c r="C306" s="72"/>
      <c r="D306" s="72"/>
      <c r="E306" s="72"/>
      <c r="F306" s="72"/>
      <c r="G306" s="72"/>
      <c r="H306" s="72"/>
      <c r="I306" s="72"/>
      <c r="J306" s="24">
        <f>ROWS(A310:B319)+9</f>
        <v>19</v>
      </c>
    </row>
    <row r="307" spans="1:10" ht="10.5" customHeight="1" x14ac:dyDescent="0.2">
      <c r="A307" s="24" t="e">
        <f ca="1">INDEX(SEM_II!$A$6:$A$45,Marksheets!J307)</f>
        <v>#N/A</v>
      </c>
      <c r="B307" s="63"/>
      <c r="C307" s="63"/>
      <c r="D307" s="63"/>
      <c r="E307" s="63"/>
      <c r="F307" s="63"/>
      <c r="G307" s="63"/>
      <c r="H307" s="63"/>
      <c r="I307" s="63"/>
      <c r="J307" s="24" t="e">
        <f ca="1">MATCH(H285,SEM_II!$B$6:$B$45,0)</f>
        <v>#N/A</v>
      </c>
    </row>
    <row r="308" spans="1:10" ht="10.5" customHeight="1" x14ac:dyDescent="0.2">
      <c r="A308" s="64" t="str">
        <f ca="1">IF(ISNA(A307),"","Subject Code")</f>
        <v/>
      </c>
      <c r="B308" s="64"/>
      <c r="C308" s="64" t="str">
        <f ca="1">IF(ISNA(A307),"","Subject Name")</f>
        <v/>
      </c>
      <c r="D308" s="64"/>
      <c r="E308" s="64"/>
      <c r="F308" s="64"/>
      <c r="G308" s="64"/>
      <c r="H308" s="64" t="str">
        <f ca="1">IF(ISNA(A307),"","Credits")</f>
        <v/>
      </c>
      <c r="I308" s="64" t="str">
        <f ca="1">IF(ISNA(A307),"","Grade")</f>
        <v/>
      </c>
      <c r="J308" s="64" t="str">
        <f ca="1">IF(ISNA(A307),"","Grade Points")</f>
        <v/>
      </c>
    </row>
    <row r="309" spans="1:10" ht="12" customHeight="1" x14ac:dyDescent="0.2">
      <c r="A309" s="64"/>
      <c r="B309" s="64"/>
      <c r="C309" s="64"/>
      <c r="D309" s="64"/>
      <c r="E309" s="64"/>
      <c r="F309" s="64"/>
      <c r="G309" s="64"/>
      <c r="H309" s="64"/>
      <c r="I309" s="64"/>
      <c r="J309" s="64"/>
    </row>
    <row r="310" spans="1:10" ht="10.5" customHeight="1" x14ac:dyDescent="0.2">
      <c r="A310" s="65" t="str">
        <f ca="1">_xlfn.IFNA(INDIRECT(_xlfn.TEXTJOIN("",TRUE,A306,"!",ADDRESS(13+(A307-1)*J306,1))),"")</f>
        <v/>
      </c>
      <c r="B310" s="65"/>
      <c r="C310" s="66" t="str">
        <f ca="1">_xlfn.IFNA(INDIRECT(_xlfn.TEXTJOIN("",TRUE,A306,"!",ADDRESS(13+(A307-1)*J306,2))),"")</f>
        <v/>
      </c>
      <c r="D310" s="66"/>
      <c r="E310" s="66"/>
      <c r="F310" s="66"/>
      <c r="G310" s="66"/>
      <c r="H310" s="25" t="str">
        <f ca="1">_xlfn.IFNA(INDIRECT(_xlfn.TEXTJOIN("",TRUE,A306,"!",ADDRESS(13+(A307-1)*J306,6))),"")</f>
        <v/>
      </c>
      <c r="I310" s="25" t="str">
        <f ca="1">_xlfn.IFNA(INDIRECT(_xlfn.TEXTJOIN("",TRUE,A306,"!",ADDRESS(13+(A307-1)*J306,13))),"")</f>
        <v/>
      </c>
      <c r="J310" s="25" t="str">
        <f ca="1">_xlfn.IFNA(INDIRECT(_xlfn.TEXTJOIN("",TRUE,A306,"!",ADDRESS(13+(A307-1)*J306,14))),"")</f>
        <v/>
      </c>
    </row>
    <row r="311" spans="1:10" ht="10.5" customHeight="1" x14ac:dyDescent="0.2">
      <c r="A311" s="65" t="str">
        <f ca="1">_xlfn.IFNA(INDIRECT(_xlfn.TEXTJOIN("",TRUE,A306,"!",ADDRESS(14+(A307-1)*J306,1))),"")</f>
        <v/>
      </c>
      <c r="B311" s="65"/>
      <c r="C311" s="66" t="str">
        <f ca="1">_xlfn.IFNA(INDIRECT(_xlfn.TEXTJOIN("",TRUE,A306,"!",ADDRESS(14+(A307-1)*J306,2))),"")</f>
        <v/>
      </c>
      <c r="D311" s="66"/>
      <c r="E311" s="66"/>
      <c r="F311" s="66"/>
      <c r="G311" s="66"/>
      <c r="H311" s="25" t="str">
        <f ca="1">_xlfn.IFNA(INDIRECT(_xlfn.TEXTJOIN("",TRUE,A306,"!",ADDRESS(14+(A307-1)*J306,6))),"")</f>
        <v/>
      </c>
      <c r="I311" s="25" t="str">
        <f ca="1">_xlfn.IFNA(INDIRECT(_xlfn.TEXTJOIN("",TRUE,A306,"!",ADDRESS(14+(A307-1)*J306,13))),"")</f>
        <v/>
      </c>
      <c r="J311" s="25" t="str">
        <f ca="1">_xlfn.IFNA(INDIRECT(_xlfn.TEXTJOIN("",TRUE,A306,"!",ADDRESS(14+(A307-1)*J306,14))),"")</f>
        <v/>
      </c>
    </row>
    <row r="312" spans="1:10" ht="10.5" customHeight="1" x14ac:dyDescent="0.2">
      <c r="A312" s="65" t="str">
        <f ca="1">_xlfn.IFNA(INDIRECT(_xlfn.TEXTJOIN("",TRUE,A306,"!",ADDRESS(15+(A307-1)*J306,1))),"")</f>
        <v/>
      </c>
      <c r="B312" s="65"/>
      <c r="C312" s="66" t="str">
        <f ca="1">_xlfn.IFNA(INDIRECT(_xlfn.TEXTJOIN("",TRUE,A306,"!",ADDRESS(15+(A307-1)*J306,2))),"")</f>
        <v/>
      </c>
      <c r="D312" s="66"/>
      <c r="E312" s="66"/>
      <c r="F312" s="66"/>
      <c r="G312" s="66"/>
      <c r="H312" s="25" t="str">
        <f ca="1">_xlfn.IFNA(INDIRECT(_xlfn.TEXTJOIN("",TRUE,A306,"!",ADDRESS(15+(A307-1)*J306,6))),"")</f>
        <v/>
      </c>
      <c r="I312" s="25" t="str">
        <f ca="1">_xlfn.IFNA(INDIRECT(_xlfn.TEXTJOIN("",TRUE,A306,"!",ADDRESS(15+(A307-1)*J306,13))),"")</f>
        <v/>
      </c>
      <c r="J312" s="25" t="str">
        <f ca="1">_xlfn.IFNA(INDIRECT(_xlfn.TEXTJOIN("",TRUE,A306,"!",ADDRESS(15+(A307-1)*J306,14))),"")</f>
        <v/>
      </c>
    </row>
    <row r="313" spans="1:10" ht="10.5" customHeight="1" x14ac:dyDescent="0.2">
      <c r="A313" s="65" t="str">
        <f ca="1">_xlfn.IFNA(INDIRECT(_xlfn.TEXTJOIN("",TRUE,A306,"!",ADDRESS(16+(A307-1)*J306,1))),"")</f>
        <v/>
      </c>
      <c r="B313" s="65"/>
      <c r="C313" s="66" t="str">
        <f ca="1">_xlfn.IFNA(INDIRECT(_xlfn.TEXTJOIN("",TRUE,A306,"!",ADDRESS(16+(A307-1)*J306,2))),"")</f>
        <v/>
      </c>
      <c r="D313" s="66"/>
      <c r="E313" s="66"/>
      <c r="F313" s="66"/>
      <c r="G313" s="66"/>
      <c r="H313" s="25" t="str">
        <f ca="1">_xlfn.IFNA(INDIRECT(_xlfn.TEXTJOIN("",TRUE,A306,"!",ADDRESS(16+(A307-1)*J306,6))),"")</f>
        <v/>
      </c>
      <c r="I313" s="25" t="str">
        <f ca="1">_xlfn.IFNA(INDIRECT(_xlfn.TEXTJOIN("",TRUE,A306,"!",ADDRESS(16+(A307-1)*J306,13))),"")</f>
        <v/>
      </c>
      <c r="J313" s="25" t="str">
        <f ca="1">_xlfn.IFNA(INDIRECT(_xlfn.TEXTJOIN("",TRUE,A306,"!",ADDRESS(16+(A307-1)*J306,14))),"")</f>
        <v/>
      </c>
    </row>
    <row r="314" spans="1:10" ht="10.5" customHeight="1" x14ac:dyDescent="0.2">
      <c r="A314" s="65" t="str">
        <f ca="1">_xlfn.IFNA(INDIRECT(_xlfn.TEXTJOIN("",TRUE,A306,"!",ADDRESS(17+(A307-1)*J306,1))),"")</f>
        <v/>
      </c>
      <c r="B314" s="65"/>
      <c r="C314" s="66" t="str">
        <f ca="1">_xlfn.IFNA(INDIRECT(_xlfn.TEXTJOIN("",TRUE,A306,"!",ADDRESS(17+(A307-1)*J306,2))),"")</f>
        <v/>
      </c>
      <c r="D314" s="66"/>
      <c r="E314" s="66"/>
      <c r="F314" s="66"/>
      <c r="G314" s="66"/>
      <c r="H314" s="25" t="str">
        <f ca="1">_xlfn.IFNA(INDIRECT(_xlfn.TEXTJOIN("",TRUE,A306,"!",ADDRESS(17+(A307-1)*J306,6))),"")</f>
        <v/>
      </c>
      <c r="I314" s="25" t="str">
        <f ca="1">_xlfn.IFNA(INDIRECT(_xlfn.TEXTJOIN("",TRUE,A306,"!",ADDRESS(17+(A307-1)*J306,13))),"")</f>
        <v/>
      </c>
      <c r="J314" s="25" t="str">
        <f ca="1">_xlfn.IFNA(INDIRECT(_xlfn.TEXTJOIN("",TRUE,A306,"!",ADDRESS(17+(A307-1)*J306,14))),"")</f>
        <v/>
      </c>
    </row>
    <row r="315" spans="1:10" ht="10.5" customHeight="1" x14ac:dyDescent="0.2">
      <c r="A315" s="65" t="str">
        <f ca="1">_xlfn.IFNA(INDIRECT(_xlfn.TEXTJOIN("",TRUE,A306,"!",ADDRESS(18+(A307-1)*J306,1))),"")</f>
        <v/>
      </c>
      <c r="B315" s="65"/>
      <c r="C315" s="66" t="str">
        <f ca="1">_xlfn.IFNA(INDIRECT(_xlfn.TEXTJOIN("",TRUE,A306,"!",ADDRESS(18+(A307-1)*J306,2))),"")</f>
        <v/>
      </c>
      <c r="D315" s="66"/>
      <c r="E315" s="66"/>
      <c r="F315" s="66"/>
      <c r="G315" s="66"/>
      <c r="H315" s="25" t="str">
        <f ca="1">_xlfn.IFNA(INDIRECT(_xlfn.TEXTJOIN("",TRUE,A306,"!",ADDRESS(18+(A307-1)*J306,6))),"")</f>
        <v/>
      </c>
      <c r="I315" s="25" t="str">
        <f ca="1">_xlfn.IFNA(INDIRECT(_xlfn.TEXTJOIN("",TRUE,A306,"!",ADDRESS(18+(A307-1)*J306,13))),"")</f>
        <v/>
      </c>
      <c r="J315" s="25" t="str">
        <f ca="1">_xlfn.IFNA(INDIRECT(_xlfn.TEXTJOIN("",TRUE,A306,"!",ADDRESS(18+(A307-1)*J306,14))),"")</f>
        <v/>
      </c>
    </row>
    <row r="316" spans="1:10" ht="10.5" customHeight="1" x14ac:dyDescent="0.2">
      <c r="A316" s="60" t="str">
        <f ca="1">_xlfn.IFNA(INDIRECT(_xlfn.TEXTJOIN("",TRUE,A306,"!",ADDRESS(19+(A307-1)*J306,1))),"")</f>
        <v/>
      </c>
      <c r="B316" s="61"/>
      <c r="C316" s="57" t="str">
        <f ca="1">_xlfn.IFNA(INDIRECT(_xlfn.TEXTJOIN("",TRUE,A306,"!",ADDRESS(19+(A307-1)*J306,2))),"")</f>
        <v/>
      </c>
      <c r="D316" s="58"/>
      <c r="E316" s="58"/>
      <c r="F316" s="58"/>
      <c r="G316" s="59"/>
      <c r="H316" s="25" t="str">
        <f ca="1">_xlfn.IFNA(INDIRECT(_xlfn.TEXTJOIN("",TRUE,A306,"!",ADDRESS(19+(A307-1)*J306,6))),"")</f>
        <v/>
      </c>
      <c r="I316" s="25" t="str">
        <f ca="1">_xlfn.IFNA(INDIRECT(_xlfn.TEXTJOIN("",TRUE,A306,"!",ADDRESS(19+(A307-1)*J306,13))),"")</f>
        <v/>
      </c>
      <c r="J316" s="25" t="str">
        <f ca="1">_xlfn.IFNA(INDIRECT(_xlfn.TEXTJOIN("",TRUE,A306,"!",ADDRESS(19+(A307-1)*J306,14))),"")</f>
        <v/>
      </c>
    </row>
    <row r="317" spans="1:10" ht="10.5" customHeight="1" x14ac:dyDescent="0.2">
      <c r="A317" s="65" t="str">
        <f ca="1">_xlfn.IFNA(INDIRECT(_xlfn.TEXTJOIN("",TRUE,A306,"!",ADDRESS(20+(A307-1)*J306,1))),"")</f>
        <v/>
      </c>
      <c r="B317" s="65"/>
      <c r="C317" s="66" t="str">
        <f ca="1">_xlfn.IFNA(INDIRECT(_xlfn.TEXTJOIN("",TRUE,A306,"!",ADDRESS(20+(A307-1)*J306,2))),"")</f>
        <v/>
      </c>
      <c r="D317" s="66"/>
      <c r="E317" s="66"/>
      <c r="F317" s="66"/>
      <c r="G317" s="66"/>
      <c r="H317" s="25" t="str">
        <f ca="1">_xlfn.IFNA(INDIRECT(_xlfn.TEXTJOIN("",TRUE,A306,"!",ADDRESS(20+(A307-1)*J306,6))),"")</f>
        <v/>
      </c>
      <c r="I317" s="25" t="str">
        <f ca="1">_xlfn.IFNA(INDIRECT(_xlfn.TEXTJOIN("",TRUE,A306,"!",ADDRESS(20+(A307-1)*J306,13))),"")</f>
        <v/>
      </c>
      <c r="J317" s="25" t="str">
        <f ca="1">_xlfn.IFNA(INDIRECT(_xlfn.TEXTJOIN("",TRUE,A306,"!",ADDRESS(20+(A307-1)*J306,14))),"")</f>
        <v/>
      </c>
    </row>
    <row r="318" spans="1:10" ht="10.5" customHeight="1" x14ac:dyDescent="0.2">
      <c r="A318" s="65" t="str">
        <f ca="1">_xlfn.IFNA(INDIRECT(_xlfn.TEXTJOIN("",TRUE,A306,"!",ADDRESS(21+(A307-1)*J306,1))),"")</f>
        <v/>
      </c>
      <c r="B318" s="65"/>
      <c r="C318" s="66" t="str">
        <f ca="1">_xlfn.IFNA(INDIRECT(_xlfn.TEXTJOIN("",TRUE,A306,"!",ADDRESS(21+(A307-1)*J306,2))),"")</f>
        <v/>
      </c>
      <c r="D318" s="66"/>
      <c r="E318" s="66"/>
      <c r="F318" s="66"/>
      <c r="G318" s="66"/>
      <c r="H318" s="25" t="str">
        <f ca="1">_xlfn.IFNA(INDIRECT(_xlfn.TEXTJOIN("",TRUE,A306,"!",ADDRESS(21+(A307-1)*J306,6))),"")</f>
        <v/>
      </c>
      <c r="I318" s="25" t="str">
        <f ca="1">_xlfn.IFNA(INDIRECT(_xlfn.TEXTJOIN("",TRUE,A306,"!",ADDRESS(21+(A307-1)*J306,13))),"")</f>
        <v/>
      </c>
      <c r="J318" s="25" t="str">
        <f ca="1">_xlfn.IFNA(INDIRECT(_xlfn.TEXTJOIN("",TRUE,A306,"!",ADDRESS(21+(A307-1)*J306,14))),"")</f>
        <v/>
      </c>
    </row>
    <row r="319" spans="1:10" ht="10.5" customHeight="1" x14ac:dyDescent="0.2">
      <c r="A319" s="65" t="str">
        <f ca="1">_xlfn.IFNA(INDIRECT(_xlfn.TEXTJOIN("",TRUE,A306,"!",ADDRESS(22+(A307-1)*J306,1))),"")</f>
        <v/>
      </c>
      <c r="B319" s="65"/>
      <c r="C319" s="66" t="str">
        <f ca="1">_xlfn.IFNA(INDIRECT(_xlfn.TEXTJOIN("",TRUE,A306,"!",ADDRESS(22+(A307-1)*J306,2))),"")</f>
        <v/>
      </c>
      <c r="D319" s="66"/>
      <c r="E319" s="66"/>
      <c r="F319" s="66"/>
      <c r="G319" s="66"/>
      <c r="H319" s="25" t="str">
        <f ca="1">_xlfn.IFNA(INDIRECT(_xlfn.TEXTJOIN("",TRUE,A306,"!",ADDRESS(22+(A307-1)*J306,6))),"")</f>
        <v/>
      </c>
      <c r="I319" s="25" t="str">
        <f ca="1">_xlfn.IFNA(INDIRECT(_xlfn.TEXTJOIN("",TRUE,A306,"!",ADDRESS(22+(A307-1)*J306,13))),"")</f>
        <v/>
      </c>
      <c r="J319" s="25" t="str">
        <f ca="1">_xlfn.IFNA(INDIRECT(_xlfn.TEXTJOIN("",TRUE,A306,"!",ADDRESS(22+(A307-1)*J306,14))),"")</f>
        <v/>
      </c>
    </row>
    <row r="320" spans="1:10" ht="10.5" customHeight="1" x14ac:dyDescent="0.2">
      <c r="A320" s="71" t="str">
        <f ca="1">IF(ISNA(A307),"","Total Credits/ Total Grade Points")</f>
        <v/>
      </c>
      <c r="B320" s="71"/>
      <c r="C320" s="71"/>
      <c r="D320" s="71"/>
      <c r="E320" s="71"/>
      <c r="F320" s="71"/>
      <c r="G320" s="71"/>
      <c r="H320" s="27" t="str">
        <f ca="1">IF(ISNA(A307),"",SUM(H310:H319))</f>
        <v/>
      </c>
      <c r="I320" s="26" t="str">
        <f ca="1">IF(ISNA(A307),"","-")</f>
        <v/>
      </c>
      <c r="J320" s="27" t="str">
        <f ca="1">IF(ISNA(A307),"",SUMPRODUCT(J310:J319,H310:H319))</f>
        <v/>
      </c>
    </row>
    <row r="321" spans="1:10" ht="10.5" customHeight="1" x14ac:dyDescent="0.2">
      <c r="A321" s="24" t="s">
        <v>60</v>
      </c>
      <c r="B321" s="72" t="str">
        <f ca="1">IF(ISNA(A322),"","Semester III (Autumn Semester 2023-24)")</f>
        <v/>
      </c>
      <c r="C321" s="72"/>
      <c r="D321" s="72"/>
      <c r="E321" s="72"/>
      <c r="F321" s="72"/>
      <c r="G321" s="72"/>
      <c r="H321" s="72"/>
      <c r="I321" s="72"/>
      <c r="J321" s="24">
        <f>ROWS(A325:B332)+9</f>
        <v>17</v>
      </c>
    </row>
    <row r="322" spans="1:10" ht="10.5" customHeight="1" x14ac:dyDescent="0.2">
      <c r="A322" s="24" t="e">
        <f ca="1">INDEX(SEM_III!$A$6:$A$43,Marksheets!J322)</f>
        <v>#N/A</v>
      </c>
      <c r="B322" s="63"/>
      <c r="C322" s="63"/>
      <c r="D322" s="63"/>
      <c r="E322" s="63"/>
      <c r="F322" s="63"/>
      <c r="G322" s="63"/>
      <c r="H322" s="63"/>
      <c r="I322" s="63"/>
      <c r="J322" s="24" t="e">
        <f ca="1">MATCH(H285,SEM_III!$B$6:$B$43,0)</f>
        <v>#N/A</v>
      </c>
    </row>
    <row r="323" spans="1:10" ht="10.5" customHeight="1" x14ac:dyDescent="0.2">
      <c r="A323" s="64" t="str">
        <f ca="1">IF(ISNA(A322),"","Subject Code")</f>
        <v/>
      </c>
      <c r="B323" s="64"/>
      <c r="C323" s="64" t="str">
        <f ca="1">IF(ISNA(A322),"","Subject Name")</f>
        <v/>
      </c>
      <c r="D323" s="64"/>
      <c r="E323" s="64"/>
      <c r="F323" s="64"/>
      <c r="G323" s="64"/>
      <c r="H323" s="64" t="str">
        <f ca="1">IF(ISNA(A322),"","Credits")</f>
        <v/>
      </c>
      <c r="I323" s="64" t="str">
        <f ca="1">IF(ISNA(A322),"","Grade")</f>
        <v/>
      </c>
      <c r="J323" s="64" t="str">
        <f ca="1">IF(ISNA(A322),"","Grade Points")</f>
        <v/>
      </c>
    </row>
    <row r="324" spans="1:10" ht="15.5" customHeight="1" x14ac:dyDescent="0.2">
      <c r="A324" s="64"/>
      <c r="B324" s="64"/>
      <c r="C324" s="64"/>
      <c r="D324" s="64"/>
      <c r="E324" s="64"/>
      <c r="F324" s="64"/>
      <c r="G324" s="64"/>
      <c r="H324" s="64"/>
      <c r="I324" s="64"/>
      <c r="J324" s="64"/>
    </row>
    <row r="325" spans="1:10" ht="10.5" customHeight="1" x14ac:dyDescent="0.2">
      <c r="A325" s="65" t="str">
        <f ca="1">_xlfn.IFNA(INDIRECT(_xlfn.TEXTJOIN("",TRUE,A321,"!",ADDRESS(13+(A322-1)*J321,1))),"")</f>
        <v/>
      </c>
      <c r="B325" s="65"/>
      <c r="C325" s="66" t="str">
        <f ca="1">_xlfn.IFNA(INDIRECT(_xlfn.TEXTJOIN("",TRUE,A321,"!",ADDRESS(13+(A322-1)*J321,2))),"")</f>
        <v/>
      </c>
      <c r="D325" s="66"/>
      <c r="E325" s="66"/>
      <c r="F325" s="66"/>
      <c r="G325" s="66"/>
      <c r="H325" s="25" t="str">
        <f ca="1">_xlfn.IFNA(INDIRECT(_xlfn.TEXTJOIN("",TRUE,A321,"!",ADDRESS(13+(A322-1)*J321,6))),"")</f>
        <v/>
      </c>
      <c r="I325" s="25" t="str">
        <f ca="1">_xlfn.IFNA(INDIRECT(_xlfn.TEXTJOIN("",TRUE,A321,"!",ADDRESS(13+(A322-1)*J321,13))),"")</f>
        <v/>
      </c>
      <c r="J325" s="25" t="str">
        <f ca="1">_xlfn.IFNA(INDIRECT(_xlfn.TEXTJOIN("",TRUE,A321,"!",ADDRESS(13+(A322-1)*J321,14))),"")</f>
        <v/>
      </c>
    </row>
    <row r="326" spans="1:10" ht="10.5" customHeight="1" x14ac:dyDescent="0.2">
      <c r="A326" s="65" t="str">
        <f ca="1">_xlfn.IFNA(INDIRECT(_xlfn.TEXTJOIN("",TRUE,A321,"!",ADDRESS(14+(A322-1)*J321,1))),"")</f>
        <v/>
      </c>
      <c r="B326" s="65"/>
      <c r="C326" s="66" t="str">
        <f ca="1">_xlfn.IFNA(INDIRECT(_xlfn.TEXTJOIN("",TRUE,A321,"!",ADDRESS(14+(A322-1)*J321,2))),"")</f>
        <v/>
      </c>
      <c r="D326" s="66"/>
      <c r="E326" s="66"/>
      <c r="F326" s="66"/>
      <c r="G326" s="66"/>
      <c r="H326" s="25" t="str">
        <f ca="1">_xlfn.IFNA(INDIRECT(_xlfn.TEXTJOIN("",TRUE,A321,"!",ADDRESS(14+(A322-1)*J321,6))),"")</f>
        <v/>
      </c>
      <c r="I326" s="25" t="str">
        <f ca="1">_xlfn.IFNA(INDIRECT(_xlfn.TEXTJOIN("",TRUE,A321,"!",ADDRESS(14+(A322-1)*J321,13))),"")</f>
        <v/>
      </c>
      <c r="J326" s="25" t="str">
        <f ca="1">_xlfn.IFNA(INDIRECT(_xlfn.TEXTJOIN("",TRUE,A321,"!",ADDRESS(14+(A322-1)*J321,14))),"")</f>
        <v/>
      </c>
    </row>
    <row r="327" spans="1:10" ht="10.5" customHeight="1" x14ac:dyDescent="0.2">
      <c r="A327" s="65" t="str">
        <f ca="1">_xlfn.IFNA(INDIRECT(_xlfn.TEXTJOIN("",TRUE,A321,"!",ADDRESS(15+(A322-1)*J321,1))),"")</f>
        <v/>
      </c>
      <c r="B327" s="65"/>
      <c r="C327" s="66" t="str">
        <f ca="1">_xlfn.IFNA(INDIRECT(_xlfn.TEXTJOIN("",TRUE,A321,"!",ADDRESS(15+(A322-1)*J321,2))),"")</f>
        <v/>
      </c>
      <c r="D327" s="66"/>
      <c r="E327" s="66"/>
      <c r="F327" s="66"/>
      <c r="G327" s="66"/>
      <c r="H327" s="25" t="str">
        <f ca="1">_xlfn.IFNA(INDIRECT(_xlfn.TEXTJOIN("",TRUE,A321,"!",ADDRESS(15+(A322-1)*J321,6))),"")</f>
        <v/>
      </c>
      <c r="I327" s="25" t="str">
        <f ca="1">_xlfn.IFNA(INDIRECT(_xlfn.TEXTJOIN("",TRUE,A321,"!",ADDRESS(15+(A322-1)*J321,13))),"")</f>
        <v/>
      </c>
      <c r="J327" s="25" t="str">
        <f ca="1">_xlfn.IFNA(INDIRECT(_xlfn.TEXTJOIN("",TRUE,A321,"!",ADDRESS(15+(A322-1)*J321,14))),"")</f>
        <v/>
      </c>
    </row>
    <row r="328" spans="1:10" ht="10.5" customHeight="1" x14ac:dyDescent="0.2">
      <c r="A328" s="65" t="str">
        <f ca="1">_xlfn.IFNA(INDIRECT(_xlfn.TEXTJOIN("",TRUE,A321,"!",ADDRESS(16+(A322-1)*J321,1))),"")</f>
        <v/>
      </c>
      <c r="B328" s="65"/>
      <c r="C328" s="66" t="str">
        <f ca="1">_xlfn.IFNA(INDIRECT(_xlfn.TEXTJOIN("",TRUE,A321,"!",ADDRESS(16+(A322-1)*J321,2))),"")</f>
        <v/>
      </c>
      <c r="D328" s="66"/>
      <c r="E328" s="66"/>
      <c r="F328" s="66"/>
      <c r="G328" s="66"/>
      <c r="H328" s="25" t="str">
        <f ca="1">_xlfn.IFNA(INDIRECT(_xlfn.TEXTJOIN("",TRUE,A321,"!",ADDRESS(16+(A322-1)*J321,6))),"")</f>
        <v/>
      </c>
      <c r="I328" s="25" t="str">
        <f ca="1">_xlfn.IFNA(INDIRECT(_xlfn.TEXTJOIN("",TRUE,A321,"!",ADDRESS(16+(A322-1)*J321,13))),"")</f>
        <v/>
      </c>
      <c r="J328" s="25" t="str">
        <f ca="1">_xlfn.IFNA(INDIRECT(_xlfn.TEXTJOIN("",TRUE,A321,"!",ADDRESS(16+(A322-1)*J321,14))),"")</f>
        <v/>
      </c>
    </row>
    <row r="329" spans="1:10" ht="10.5" customHeight="1" x14ac:dyDescent="0.2">
      <c r="A329" s="65" t="str">
        <f ca="1">_xlfn.IFNA(INDIRECT(_xlfn.TEXTJOIN("",TRUE,A321,"!",ADDRESS(17+(A322-1)*J321,1))),"")</f>
        <v/>
      </c>
      <c r="B329" s="65"/>
      <c r="C329" s="66" t="str">
        <f ca="1">_xlfn.IFNA(INDIRECT(_xlfn.TEXTJOIN("",TRUE,A321,"!",ADDRESS(17+(A322-1)*J321,2))),"")</f>
        <v/>
      </c>
      <c r="D329" s="66"/>
      <c r="E329" s="66"/>
      <c r="F329" s="66"/>
      <c r="G329" s="66"/>
      <c r="H329" s="25" t="str">
        <f ca="1">_xlfn.IFNA(INDIRECT(_xlfn.TEXTJOIN("",TRUE,A321,"!",ADDRESS(17+(A322-1)*J321,6))),"")</f>
        <v/>
      </c>
      <c r="I329" s="25" t="str">
        <f ca="1">_xlfn.IFNA(INDIRECT(_xlfn.TEXTJOIN("",TRUE,A321,"!",ADDRESS(17+(A322-1)*J321,13))),"")</f>
        <v/>
      </c>
      <c r="J329" s="25" t="str">
        <f ca="1">_xlfn.IFNA(INDIRECT(_xlfn.TEXTJOIN("",TRUE,A321,"!",ADDRESS(17+(A322-1)*J321,14))),"")</f>
        <v/>
      </c>
    </row>
    <row r="330" spans="1:10" ht="10.5" customHeight="1" x14ac:dyDescent="0.2">
      <c r="A330" s="65" t="str">
        <f ca="1">_xlfn.IFNA(INDIRECT(_xlfn.TEXTJOIN("",TRUE,A321,"!",ADDRESS(18+(A322-1)*J321,1))),"")</f>
        <v/>
      </c>
      <c r="B330" s="65"/>
      <c r="C330" s="66" t="str">
        <f ca="1">_xlfn.IFNA(INDIRECT(_xlfn.TEXTJOIN("",TRUE,A321,"!",ADDRESS(18+(A322-1)*J321,2))),"")</f>
        <v/>
      </c>
      <c r="D330" s="66"/>
      <c r="E330" s="66"/>
      <c r="F330" s="66"/>
      <c r="G330" s="66"/>
      <c r="H330" s="25" t="str">
        <f ca="1">_xlfn.IFNA(INDIRECT(_xlfn.TEXTJOIN("",TRUE,A321,"!",ADDRESS(18+(A322-1)*J321,6))),"")</f>
        <v/>
      </c>
      <c r="I330" s="25" t="str">
        <f ca="1">_xlfn.IFNA(INDIRECT(_xlfn.TEXTJOIN("",TRUE,A321,"!",ADDRESS(18+(A322-1)*J321,13))),"")</f>
        <v/>
      </c>
      <c r="J330" s="25" t="str">
        <f ca="1">_xlfn.IFNA(INDIRECT(_xlfn.TEXTJOIN("",TRUE,A321,"!",ADDRESS(18+(A322-1)*J321,14))),"")</f>
        <v/>
      </c>
    </row>
    <row r="331" spans="1:10" ht="10.5" customHeight="1" x14ac:dyDescent="0.2">
      <c r="A331" s="60" t="str">
        <f ca="1">_xlfn.IFNA(INDIRECT(_xlfn.TEXTJOIN("",TRUE,A321,"!",ADDRESS(19+(A322-1)*J321,1))),"")</f>
        <v/>
      </c>
      <c r="B331" s="61"/>
      <c r="C331" s="57" t="str">
        <f ca="1">_xlfn.IFNA(INDIRECT(_xlfn.TEXTJOIN("",TRUE,A321,"!",ADDRESS(19+(A322-1)*J321,2))),"")</f>
        <v/>
      </c>
      <c r="D331" s="58"/>
      <c r="E331" s="58"/>
      <c r="F331" s="58"/>
      <c r="G331" s="59"/>
      <c r="H331" s="25" t="str">
        <f ca="1">_xlfn.IFNA(INDIRECT(_xlfn.TEXTJOIN("",TRUE,A321,"!",ADDRESS(19+(A322-1)*J321,6))),"")</f>
        <v/>
      </c>
      <c r="I331" s="25" t="str">
        <f ca="1">_xlfn.IFNA(INDIRECT(_xlfn.TEXTJOIN("",TRUE,A321,"!",ADDRESS(19+(A322-1)*J321,13))),"")</f>
        <v/>
      </c>
      <c r="J331" s="25" t="str">
        <f ca="1">_xlfn.IFNA(INDIRECT(_xlfn.TEXTJOIN("",TRUE,A321,"!",ADDRESS(19+(A322-1)*J321,14))),"")</f>
        <v/>
      </c>
    </row>
    <row r="332" spans="1:10" ht="10.5" customHeight="1" x14ac:dyDescent="0.2">
      <c r="A332" s="65" t="str">
        <f ca="1">_xlfn.IFNA(INDIRECT(_xlfn.TEXTJOIN("",TRUE,A321,"!",ADDRESS(20+(A322-1)*J321,1))),"")</f>
        <v/>
      </c>
      <c r="B332" s="65"/>
      <c r="C332" s="66" t="str">
        <f ca="1">_xlfn.IFNA(INDIRECT(_xlfn.TEXTJOIN("",TRUE,A321,"!",ADDRESS(20+(A322-1)*J321,2))),"")</f>
        <v/>
      </c>
      <c r="D332" s="66"/>
      <c r="E332" s="66"/>
      <c r="F332" s="66"/>
      <c r="G332" s="66"/>
      <c r="H332" s="25" t="str">
        <f ca="1">_xlfn.IFNA(INDIRECT(_xlfn.TEXTJOIN("",TRUE,A321,"!",ADDRESS(20+(A322-1)*J321,6))),"")</f>
        <v/>
      </c>
      <c r="I332" s="25" t="str">
        <f ca="1">_xlfn.IFNA(INDIRECT(_xlfn.TEXTJOIN("",TRUE,A321,"!",ADDRESS(20+(A322-1)*J321,13))),"")</f>
        <v/>
      </c>
      <c r="J332" s="25" t="str">
        <f ca="1">_xlfn.IFNA(INDIRECT(_xlfn.TEXTJOIN("",TRUE,A321,"!",ADDRESS(20+(A322-1)*J321,14))),"")</f>
        <v/>
      </c>
    </row>
    <row r="333" spans="1:10" ht="10.5" customHeight="1" x14ac:dyDescent="0.2">
      <c r="A333" s="71" t="str">
        <f ca="1">IF(ISNA(A322),"","Total Credits/ Total Grade Points")</f>
        <v/>
      </c>
      <c r="B333" s="71"/>
      <c r="C333" s="71"/>
      <c r="D333" s="71"/>
      <c r="E333" s="71"/>
      <c r="F333" s="71"/>
      <c r="G333" s="71"/>
      <c r="H333" s="27" t="str">
        <f ca="1">IF(ISNA(A322),"",SUM(H325:H332))</f>
        <v/>
      </c>
      <c r="I333" s="26" t="str">
        <f ca="1">IF(ISNA(A322),"","-")</f>
        <v/>
      </c>
      <c r="J333" s="27" t="str">
        <f ca="1">IF(ISNA(A322),"",SUMPRODUCT(J325:J332,H325:H332))</f>
        <v/>
      </c>
    </row>
    <row r="334" spans="1:10" ht="10.5" customHeight="1" x14ac:dyDescent="0.2">
      <c r="A334" s="24" t="s">
        <v>133</v>
      </c>
      <c r="B334" s="72" t="str">
        <f ca="1">IF(ISNA(A335),"","Semester IV (Spring Semester 2023-24)")</f>
        <v/>
      </c>
      <c r="C334" s="72"/>
      <c r="D334" s="72"/>
      <c r="E334" s="72"/>
      <c r="F334" s="72"/>
      <c r="G334" s="72"/>
      <c r="H334" s="72"/>
      <c r="I334" s="72"/>
      <c r="J334" s="24">
        <f>ROWS(A338:B344)+9</f>
        <v>16</v>
      </c>
    </row>
    <row r="335" spans="1:10" ht="10.5" customHeight="1" x14ac:dyDescent="0.2">
      <c r="A335" s="24" t="e">
        <f ca="1">INDEX(SEM_IV!$A$6:$A$43,Marksheets!J335)</f>
        <v>#N/A</v>
      </c>
      <c r="B335" s="63"/>
      <c r="C335" s="63"/>
      <c r="D335" s="63"/>
      <c r="E335" s="63"/>
      <c r="F335" s="63"/>
      <c r="G335" s="63"/>
      <c r="H335" s="63"/>
      <c r="I335" s="63"/>
      <c r="J335" s="24" t="e">
        <f ca="1">MATCH(H285,SEM_IV!$B$6:$B$43,0)</f>
        <v>#N/A</v>
      </c>
    </row>
    <row r="336" spans="1:10" ht="10.5" customHeight="1" x14ac:dyDescent="0.2">
      <c r="A336" s="64" t="str">
        <f ca="1">IF(ISNA(A335),"","Subject Code")</f>
        <v/>
      </c>
      <c r="B336" s="64"/>
      <c r="C336" s="64" t="str">
        <f ca="1">IF(ISNA(A335),"","Subject Name")</f>
        <v/>
      </c>
      <c r="D336" s="64"/>
      <c r="E336" s="64"/>
      <c r="F336" s="64"/>
      <c r="G336" s="64"/>
      <c r="H336" s="64" t="str">
        <f ca="1">IF(ISNA(A335),"","Credits")</f>
        <v/>
      </c>
      <c r="I336" s="64" t="str">
        <f ca="1">IF(ISNA(A335),"","Grade")</f>
        <v/>
      </c>
      <c r="J336" s="64" t="str">
        <f ca="1">IF(ISNA(A335),"","Grade Points")</f>
        <v/>
      </c>
    </row>
    <row r="337" spans="1:10" ht="13.5" customHeight="1" x14ac:dyDescent="0.2">
      <c r="A337" s="64"/>
      <c r="B337" s="64"/>
      <c r="C337" s="64"/>
      <c r="D337" s="64"/>
      <c r="E337" s="64"/>
      <c r="F337" s="64"/>
      <c r="G337" s="64"/>
      <c r="H337" s="64"/>
      <c r="I337" s="64"/>
      <c r="J337" s="64"/>
    </row>
    <row r="338" spans="1:10" ht="10.5" customHeight="1" x14ac:dyDescent="0.2">
      <c r="A338" s="65" t="str">
        <f ca="1">_xlfn.IFNA(INDIRECT(_xlfn.TEXTJOIN("",TRUE,A334,"!",ADDRESS(13+(A335-1)*J334,1))),"")</f>
        <v/>
      </c>
      <c r="B338" s="65"/>
      <c r="C338" s="66" t="str">
        <f ca="1">_xlfn.IFNA(INDIRECT(_xlfn.TEXTJOIN("",TRUE,A334,"!",ADDRESS(13+(A335-1)*J334,2))),"")</f>
        <v/>
      </c>
      <c r="D338" s="66"/>
      <c r="E338" s="66"/>
      <c r="F338" s="66"/>
      <c r="G338" s="66"/>
      <c r="H338" s="25" t="str">
        <f ca="1">_xlfn.IFNA(INDIRECT(_xlfn.TEXTJOIN("",TRUE,A334,"!",ADDRESS(13+(A335-1)*J334,6))),"")</f>
        <v/>
      </c>
      <c r="I338" s="25" t="str">
        <f ca="1">_xlfn.IFNA(INDIRECT(_xlfn.TEXTJOIN("",TRUE,A334,"!",ADDRESS(13+(A335-1)*J334,13))),"")</f>
        <v/>
      </c>
      <c r="J338" s="25" t="str">
        <f ca="1">_xlfn.IFNA(INDIRECT(_xlfn.TEXTJOIN("",TRUE,A334,"!",ADDRESS(13+(A335-1)*J334,14))),"")</f>
        <v/>
      </c>
    </row>
    <row r="339" spans="1:10" ht="10.5" customHeight="1" x14ac:dyDescent="0.2">
      <c r="A339" s="65" t="str">
        <f ca="1">_xlfn.IFNA(INDIRECT(_xlfn.TEXTJOIN("",TRUE,A334,"!",ADDRESS(14+(A335-1)*J334,1))),"")</f>
        <v/>
      </c>
      <c r="B339" s="65"/>
      <c r="C339" s="66" t="str">
        <f ca="1">_xlfn.IFNA(INDIRECT(_xlfn.TEXTJOIN("",TRUE,A334,"!",ADDRESS(14+(A335-1)*J334,2))),"")</f>
        <v/>
      </c>
      <c r="D339" s="66"/>
      <c r="E339" s="66"/>
      <c r="F339" s="66"/>
      <c r="G339" s="66"/>
      <c r="H339" s="25" t="str">
        <f ca="1">_xlfn.IFNA(INDIRECT(_xlfn.TEXTJOIN("",TRUE,A334,"!",ADDRESS(14+(A335-1)*J334,6))),"")</f>
        <v/>
      </c>
      <c r="I339" s="25" t="str">
        <f ca="1">_xlfn.IFNA(INDIRECT(_xlfn.TEXTJOIN("",TRUE,A334,"!",ADDRESS(14+(A335-1)*J334,13))),"")</f>
        <v/>
      </c>
      <c r="J339" s="25" t="str">
        <f ca="1">_xlfn.IFNA(INDIRECT(_xlfn.TEXTJOIN("",TRUE,A334,"!",ADDRESS(14+(A335-1)*J334,14))),"")</f>
        <v/>
      </c>
    </row>
    <row r="340" spans="1:10" ht="10.5" customHeight="1" x14ac:dyDescent="0.2">
      <c r="A340" s="65" t="str">
        <f ca="1">_xlfn.IFNA(INDIRECT(_xlfn.TEXTJOIN("",TRUE,A334,"!",ADDRESS(15+(A335-1)*J334,1))),"")</f>
        <v/>
      </c>
      <c r="B340" s="65"/>
      <c r="C340" s="66" t="str">
        <f ca="1">_xlfn.IFNA(INDIRECT(_xlfn.TEXTJOIN("",TRUE,A334,"!",ADDRESS(15+(A335-1)*J334,2))),"")</f>
        <v/>
      </c>
      <c r="D340" s="66"/>
      <c r="E340" s="66"/>
      <c r="F340" s="66"/>
      <c r="G340" s="66"/>
      <c r="H340" s="25" t="str">
        <f ca="1">_xlfn.IFNA(INDIRECT(_xlfn.TEXTJOIN("",TRUE,A334,"!",ADDRESS(15+(A335-1)*J334,6))),"")</f>
        <v/>
      </c>
      <c r="I340" s="25" t="str">
        <f ca="1">_xlfn.IFNA(INDIRECT(_xlfn.TEXTJOIN("",TRUE,A334,"!",ADDRESS(15+(A335-1)*J334,13))),"")</f>
        <v/>
      </c>
      <c r="J340" s="25" t="str">
        <f ca="1">_xlfn.IFNA(INDIRECT(_xlfn.TEXTJOIN("",TRUE,A334,"!",ADDRESS(15+(A335-1)*J334,14))),"")</f>
        <v/>
      </c>
    </row>
    <row r="341" spans="1:10" ht="10.5" customHeight="1" x14ac:dyDescent="0.2">
      <c r="A341" s="65" t="str">
        <f ca="1">_xlfn.IFNA(INDIRECT(_xlfn.TEXTJOIN("",TRUE,A334,"!",ADDRESS(16+(A335-1)*J334,1))),"")</f>
        <v/>
      </c>
      <c r="B341" s="65"/>
      <c r="C341" s="66" t="str">
        <f ca="1">_xlfn.IFNA(INDIRECT(_xlfn.TEXTJOIN("",TRUE,A334,"!",ADDRESS(16+(A335-1)*J334,2))),"")</f>
        <v/>
      </c>
      <c r="D341" s="66"/>
      <c r="E341" s="66"/>
      <c r="F341" s="66"/>
      <c r="G341" s="66"/>
      <c r="H341" s="25" t="str">
        <f ca="1">_xlfn.IFNA(INDIRECT(_xlfn.TEXTJOIN("",TRUE,A334,"!",ADDRESS(16+(A335-1)*J334,6))),"")</f>
        <v/>
      </c>
      <c r="I341" s="25" t="str">
        <f ca="1">_xlfn.IFNA(INDIRECT(_xlfn.TEXTJOIN("",TRUE,A334,"!",ADDRESS(16+(A335-1)*J334,13))),"")</f>
        <v/>
      </c>
      <c r="J341" s="25" t="str">
        <f ca="1">_xlfn.IFNA(INDIRECT(_xlfn.TEXTJOIN("",TRUE,A334,"!",ADDRESS(16+(A335-1)*J334,14))),"")</f>
        <v/>
      </c>
    </row>
    <row r="342" spans="1:10" ht="10.5" customHeight="1" x14ac:dyDescent="0.2">
      <c r="A342" s="65" t="str">
        <f ca="1">_xlfn.IFNA(INDIRECT(_xlfn.TEXTJOIN("",TRUE,A334,"!",ADDRESS(17+(A335-1)*J334,1))),"")</f>
        <v/>
      </c>
      <c r="B342" s="65"/>
      <c r="C342" s="66" t="str">
        <f ca="1">_xlfn.IFNA(INDIRECT(_xlfn.TEXTJOIN("",TRUE,A334,"!",ADDRESS(17+(A335-1)*J334,2))),"")</f>
        <v/>
      </c>
      <c r="D342" s="66"/>
      <c r="E342" s="66"/>
      <c r="F342" s="66"/>
      <c r="G342" s="66"/>
      <c r="H342" s="25" t="str">
        <f ca="1">_xlfn.IFNA(INDIRECT(_xlfn.TEXTJOIN("",TRUE,A334,"!",ADDRESS(17+(A335-1)*J334,6))),"")</f>
        <v/>
      </c>
      <c r="I342" s="25" t="str">
        <f ca="1">_xlfn.IFNA(INDIRECT(_xlfn.TEXTJOIN("",TRUE,A334,"!",ADDRESS(17+(A335-1)*J334,13))),"")</f>
        <v/>
      </c>
      <c r="J342" s="25" t="str">
        <f ca="1">_xlfn.IFNA(INDIRECT(_xlfn.TEXTJOIN("",TRUE,A334,"!",ADDRESS(17+(A335-1)*J334,14))),"")</f>
        <v/>
      </c>
    </row>
    <row r="343" spans="1:10" ht="10.5" customHeight="1" x14ac:dyDescent="0.2">
      <c r="A343" s="65" t="str">
        <f ca="1">_xlfn.IFNA(INDIRECT(_xlfn.TEXTJOIN("",TRUE,A334,"!",ADDRESS(18+(A335-1)*J334,1))),"")</f>
        <v/>
      </c>
      <c r="B343" s="65"/>
      <c r="C343" s="66" t="str">
        <f ca="1">_xlfn.IFNA(INDIRECT(_xlfn.TEXTJOIN("",TRUE,A334,"!",ADDRESS(18+(A335-1)*J334,2))),"")</f>
        <v/>
      </c>
      <c r="D343" s="66"/>
      <c r="E343" s="66"/>
      <c r="F343" s="66"/>
      <c r="G343" s="66"/>
      <c r="H343" s="25" t="str">
        <f ca="1">_xlfn.IFNA(INDIRECT(_xlfn.TEXTJOIN("",TRUE,A334,"!",ADDRESS(18+(A335-1)*J334,6))),"")</f>
        <v/>
      </c>
      <c r="I343" s="25" t="str">
        <f ca="1">_xlfn.IFNA(INDIRECT(_xlfn.TEXTJOIN("",TRUE,A334,"!",ADDRESS(18+(A335-1)*J334,13))),"")</f>
        <v/>
      </c>
      <c r="J343" s="25" t="str">
        <f ca="1">_xlfn.IFNA(INDIRECT(_xlfn.TEXTJOIN("",TRUE,A334,"!",ADDRESS(18+(A335-1)*J334,14))),"")</f>
        <v/>
      </c>
    </row>
    <row r="344" spans="1:10" ht="10.5" customHeight="1" x14ac:dyDescent="0.2">
      <c r="A344" s="60" t="str">
        <f ca="1">_xlfn.IFNA(INDIRECT(_xlfn.TEXTJOIN("",TRUE,A334,"!",ADDRESS(19+(A335-1)*J334,1))),"")</f>
        <v/>
      </c>
      <c r="B344" s="61"/>
      <c r="C344" s="57" t="str">
        <f ca="1">_xlfn.IFNA(INDIRECT(_xlfn.TEXTJOIN("",TRUE,A334,"!",ADDRESS(19+(A335-1)*J334,2))),"")</f>
        <v/>
      </c>
      <c r="D344" s="58"/>
      <c r="E344" s="58"/>
      <c r="F344" s="58"/>
      <c r="G344" s="59"/>
      <c r="H344" s="25" t="str">
        <f ca="1">_xlfn.IFNA(INDIRECT(_xlfn.TEXTJOIN("",TRUE,A334,"!",ADDRESS(19+(A335-1)*J334,6))),"")</f>
        <v/>
      </c>
      <c r="I344" s="25" t="str">
        <f ca="1">_xlfn.IFNA(INDIRECT(_xlfn.TEXTJOIN("",TRUE,A334,"!",ADDRESS(19+(A335-1)*J334,13))),"")</f>
        <v/>
      </c>
      <c r="J344" s="25" t="str">
        <f ca="1">_xlfn.IFNA(INDIRECT(_xlfn.TEXTJOIN("",TRUE,A334,"!",ADDRESS(19+(A335-1)*J334,14))),"")</f>
        <v/>
      </c>
    </row>
    <row r="345" spans="1:10" ht="10.5" customHeight="1" x14ac:dyDescent="0.2">
      <c r="A345" s="71" t="str">
        <f ca="1">IF(ISNA(A335),"","Total Credits/ Total Grade Points")</f>
        <v/>
      </c>
      <c r="B345" s="71"/>
      <c r="C345" s="71"/>
      <c r="D345" s="71"/>
      <c r="E345" s="71"/>
      <c r="F345" s="71"/>
      <c r="G345" s="71"/>
      <c r="H345" s="27" t="str">
        <f ca="1">IF(ISNA(A335),"",SUM(H337:H344))</f>
        <v/>
      </c>
      <c r="I345" s="26" t="str">
        <f ca="1">IF(ISNA(A335),"","-")</f>
        <v/>
      </c>
      <c r="J345" s="27" t="str">
        <f ca="1">IF(ISNA(A335),"",SUMPRODUCT(J337:J344,H337:H344))</f>
        <v/>
      </c>
    </row>
    <row r="346" spans="1:10" ht="10.5" customHeight="1" x14ac:dyDescent="0.2">
      <c r="A346" s="75" t="s">
        <v>137</v>
      </c>
      <c r="B346" s="75"/>
      <c r="C346" s="75"/>
      <c r="D346" s="75"/>
      <c r="E346" s="75"/>
      <c r="F346" s="76" t="s">
        <v>138</v>
      </c>
      <c r="G346" s="76"/>
      <c r="H346" s="76"/>
      <c r="I346" s="76"/>
      <c r="J346" s="76"/>
    </row>
    <row r="347" spans="1:10" ht="10.5" customHeight="1" x14ac:dyDescent="0.2">
      <c r="A347" s="43" t="s">
        <v>139</v>
      </c>
      <c r="B347" s="43"/>
      <c r="C347" s="43"/>
      <c r="D347" s="43"/>
      <c r="E347" s="43"/>
      <c r="F347" s="43"/>
      <c r="G347" s="43"/>
      <c r="H347" s="43"/>
      <c r="I347" s="43"/>
      <c r="J347" s="43"/>
    </row>
    <row r="348" spans="1:10" ht="10.5" customHeight="1" x14ac:dyDescent="0.2">
      <c r="A348" s="10"/>
      <c r="B348" s="26"/>
      <c r="C348" s="26" t="s">
        <v>140</v>
      </c>
      <c r="D348" s="26" t="s">
        <v>141</v>
      </c>
      <c r="E348" s="26" t="s">
        <v>142</v>
      </c>
      <c r="F348" s="26" t="s">
        <v>143</v>
      </c>
      <c r="G348" s="26" t="s">
        <v>144</v>
      </c>
      <c r="H348" s="79" t="s">
        <v>145</v>
      </c>
      <c r="I348" s="79"/>
      <c r="J348" s="30"/>
    </row>
    <row r="349" spans="1:10" ht="10.5" customHeight="1" x14ac:dyDescent="0.2">
      <c r="A349" s="10"/>
      <c r="B349" s="80" t="s">
        <v>146</v>
      </c>
      <c r="C349" s="73">
        <f ca="1">J305/H305</f>
        <v>6.875</v>
      </c>
      <c r="D349" s="73" t="e">
        <f ca="1">J320/H320</f>
        <v>#VALUE!</v>
      </c>
      <c r="E349" s="73" t="str">
        <f ca="1">IFERROR(J333/H333,"")</f>
        <v/>
      </c>
      <c r="F349" s="73" t="str">
        <f ca="1">IFERROR(J345/H345,"")</f>
        <v/>
      </c>
      <c r="G349" s="82">
        <f ca="1">F351</f>
        <v>6.875</v>
      </c>
      <c r="H349" s="83" t="e">
        <f ca="1">IF(TC_IV!N69&lt;96,_xlfn.TEXTJOIN(" Carry Over Back In",TC_I!V119,TC_II!V99,TC_III!V72,TC_IV!V68),IF(G349&gt;=8,"First Division with Distinction",IF(G349&gt;=6.5,"First Division",IF(G349&gt;=5,"Second Division",IF(G349&gt;=4,"Third Division","Fail")))))</f>
        <v>#N/A</v>
      </c>
      <c r="I349" s="83"/>
      <c r="J349" s="30"/>
    </row>
    <row r="350" spans="1:10" ht="10.5" customHeight="1" x14ac:dyDescent="0.2">
      <c r="B350" s="81"/>
      <c r="C350" s="74"/>
      <c r="D350" s="74"/>
      <c r="E350" s="74"/>
      <c r="F350" s="74"/>
      <c r="G350" s="82"/>
      <c r="H350" s="83"/>
      <c r="I350" s="83"/>
    </row>
    <row r="351" spans="1:10" ht="10.5" customHeight="1" x14ac:dyDescent="0.2">
      <c r="B351" s="80" t="s">
        <v>48</v>
      </c>
      <c r="C351" s="73">
        <f ca="1">J305/H305</f>
        <v>6.875</v>
      </c>
      <c r="D351" s="73">
        <f ca="1">SUM(J320,J305)/SUM(H320,H305)</f>
        <v>6.875</v>
      </c>
      <c r="E351" s="73">
        <f ca="1">SUM(J333,J320,J305)/SUM(H333,H320,H305)</f>
        <v>6.875</v>
      </c>
      <c r="F351" s="73">
        <f ca="1">SUM(J345,J333,J320,J305)/SUM(H305,H320,H333,H345)</f>
        <v>6.875</v>
      </c>
      <c r="G351" s="82"/>
      <c r="H351" s="83"/>
      <c r="I351" s="83"/>
    </row>
    <row r="352" spans="1:10" ht="10.5" customHeight="1" x14ac:dyDescent="0.2">
      <c r="B352" s="81"/>
      <c r="C352" s="74"/>
      <c r="D352" s="74"/>
      <c r="E352" s="74"/>
      <c r="F352" s="74"/>
      <c r="G352" s="82"/>
      <c r="H352" s="83"/>
      <c r="I352" s="83"/>
    </row>
    <row r="354" spans="1:10" ht="10.5" customHeight="1" x14ac:dyDescent="0.2">
      <c r="A354" s="56" t="s">
        <v>24</v>
      </c>
      <c r="B354" s="56"/>
      <c r="C354" s="56" t="str">
        <f ca="1">INDIRECT(_xlfn.TEXTJOIN("",TRUE,A356,"!",ADDRESS(9+(A357-1)*J356,2)))</f>
        <v>DEVASHISH TIWARI</v>
      </c>
      <c r="D354" s="56"/>
      <c r="E354" s="56"/>
      <c r="F354" s="56" t="s">
        <v>135</v>
      </c>
      <c r="G354" s="56"/>
      <c r="H354" s="62">
        <f ca="1">INDIRECT(_xlfn.TEXTJOIN("",TRUE,A356,"!",ADDRESS(9+(A357-1)*J356,9)))</f>
        <v>250090600006</v>
      </c>
      <c r="I354" s="56"/>
      <c r="J354" s="56"/>
    </row>
    <row r="355" spans="1:10" ht="10.5" customHeight="1" x14ac:dyDescent="0.2">
      <c r="A355" s="56" t="s">
        <v>25</v>
      </c>
      <c r="B355" s="56"/>
      <c r="C355" s="56" t="str">
        <f ca="1">INDIRECT(_xlfn.TEXTJOIN("",TRUE,A356,"!",ADDRESS(9+(A357-1)*J356,5)))</f>
        <v>MAHESHWAR PRASAD TIWARI</v>
      </c>
      <c r="D355" s="56"/>
      <c r="E355" s="56"/>
      <c r="F355" s="47" t="s">
        <v>136</v>
      </c>
      <c r="G355" s="47"/>
      <c r="H355" s="62" t="str">
        <f ca="1">INDIRECT(_xlfn.TEXTJOIN("",TRUE,A356,"!",ADDRESS(9+(A357-1)*J356,13)))</f>
        <v>UTU/2506100117</v>
      </c>
      <c r="I355" s="56"/>
      <c r="J355" s="56"/>
    </row>
    <row r="356" spans="1:10" ht="10.5" customHeight="1" x14ac:dyDescent="0.2">
      <c r="A356" s="24" t="s">
        <v>53</v>
      </c>
      <c r="B356" s="43" t="s">
        <v>148</v>
      </c>
      <c r="C356" s="43"/>
      <c r="D356" s="43"/>
      <c r="E356" s="43"/>
      <c r="F356" s="43"/>
      <c r="G356" s="43"/>
      <c r="H356" s="43"/>
      <c r="I356" s="43"/>
      <c r="J356" s="24">
        <f>ROWS(A360:B373)+9</f>
        <v>23</v>
      </c>
    </row>
    <row r="357" spans="1:10" ht="10.5" customHeight="1" x14ac:dyDescent="0.2">
      <c r="A357" s="24">
        <f>A288+1</f>
        <v>6</v>
      </c>
      <c r="B357" s="63"/>
      <c r="C357" s="63"/>
      <c r="D357" s="63"/>
      <c r="E357" s="63"/>
      <c r="F357" s="63"/>
      <c r="G357" s="63"/>
      <c r="H357" s="63"/>
      <c r="I357" s="63"/>
      <c r="J357" s="29"/>
    </row>
    <row r="358" spans="1:10" ht="10.5" customHeight="1" x14ac:dyDescent="0.2">
      <c r="A358" s="64" t="s">
        <v>28</v>
      </c>
      <c r="B358" s="64"/>
      <c r="C358" s="64" t="s">
        <v>29</v>
      </c>
      <c r="D358" s="64"/>
      <c r="E358" s="64"/>
      <c r="F358" s="64"/>
      <c r="G358" s="64"/>
      <c r="H358" s="64" t="s">
        <v>30</v>
      </c>
      <c r="I358" s="64" t="s">
        <v>9</v>
      </c>
      <c r="J358" s="64" t="s">
        <v>34</v>
      </c>
    </row>
    <row r="359" spans="1:10" ht="15" customHeight="1" x14ac:dyDescent="0.2">
      <c r="A359" s="64"/>
      <c r="B359" s="64"/>
      <c r="C359" s="64"/>
      <c r="D359" s="64"/>
      <c r="E359" s="64"/>
      <c r="F359" s="64"/>
      <c r="G359" s="64"/>
      <c r="H359" s="64"/>
      <c r="I359" s="64"/>
      <c r="J359" s="64"/>
    </row>
    <row r="360" spans="1:10" ht="10.5" customHeight="1" x14ac:dyDescent="0.2">
      <c r="A360" s="65" t="str">
        <f ca="1">INDIRECT(_xlfn.TEXTJOIN("",TRUE,A356,"!",ADDRESS(13+(A357-1)*J356,1)))</f>
        <v>CAT 004</v>
      </c>
      <c r="B360" s="65"/>
      <c r="C360" s="66" t="str">
        <f ca="1">INDIRECT(_xlfn.TEXTJOIN("",TRUE,A356,"!",ADDRESS(13+(A357-1)*J356,2)))</f>
        <v>Discrete Structure</v>
      </c>
      <c r="D360" s="66"/>
      <c r="E360" s="66"/>
      <c r="F360" s="66"/>
      <c r="G360" s="66"/>
      <c r="H360" s="25">
        <f ca="1">INDIRECT(_xlfn.TEXTJOIN("",TRUE,A356,"!",ADDRESS(13+(A357-1)*J356,6)))</f>
        <v>4</v>
      </c>
      <c r="I360" s="25" t="str">
        <f ca="1">INDIRECT(_xlfn.TEXTJOIN("",TRUE,A356,"!",ADDRESS(13+(A357-1)*J356,13)))</f>
        <v>E+</v>
      </c>
      <c r="J360" s="25">
        <f ca="1">INDIRECT(_xlfn.TEXTJOIN("",TRUE,A356,"!",ADDRESS(13+(A357-1)*J356,14)))</f>
        <v>5.5</v>
      </c>
    </row>
    <row r="361" spans="1:10" ht="10.5" customHeight="1" x14ac:dyDescent="0.2">
      <c r="A361" s="65" t="str">
        <f ca="1">INDIRECT(_xlfn.TEXTJOIN("",TRUE,A356,"!",ADDRESS(14+(A357-1)*J356,1)))</f>
        <v>CAT 005</v>
      </c>
      <c r="B361" s="65"/>
      <c r="C361" s="66" t="str">
        <f ca="1">INDIRECT(_xlfn.TEXTJOIN("",TRUE,A356,"!",ADDRESS(14+(A357-1)*J356,2)))</f>
        <v>Database Management System</v>
      </c>
      <c r="D361" s="66"/>
      <c r="E361" s="66"/>
      <c r="F361" s="66"/>
      <c r="G361" s="66"/>
      <c r="H361" s="25">
        <f ca="1">INDIRECT(_xlfn.TEXTJOIN("",TRUE,A356,"!",ADDRESS(14+(A357-1)*J356,6)))</f>
        <v>4</v>
      </c>
      <c r="I361" s="25" t="str">
        <f ca="1">INDIRECT(_xlfn.TEXTJOIN("",TRUE,A356,"!",ADDRESS(14+(A357-1)*J356,13)))</f>
        <v>C+</v>
      </c>
      <c r="J361" s="25">
        <f ca="1">INDIRECT(_xlfn.TEXTJOIN("",TRUE,A356,"!",ADDRESS(14+(A357-1)*J356,14)))</f>
        <v>7.5</v>
      </c>
    </row>
    <row r="362" spans="1:10" ht="10.5" customHeight="1" x14ac:dyDescent="0.2">
      <c r="A362" s="65" t="str">
        <f ca="1">INDIRECT(_xlfn.TEXTJOIN("",TRUE,A356,"!",ADDRESS(15+(A357-1)*J356,1)))</f>
        <v>CAT 006</v>
      </c>
      <c r="B362" s="65"/>
      <c r="C362" s="66" t="str">
        <f ca="1">INDIRECT(_xlfn.TEXTJOIN("",TRUE,A356,"!",ADDRESS(15+(A357-1)*J356,2)))</f>
        <v>Operating System</v>
      </c>
      <c r="D362" s="66"/>
      <c r="E362" s="66"/>
      <c r="F362" s="66"/>
      <c r="G362" s="66"/>
      <c r="H362" s="25">
        <f ca="1">INDIRECT(_xlfn.TEXTJOIN("",TRUE,A356,"!",ADDRESS(15+(A357-1)*J356,6)))</f>
        <v>4</v>
      </c>
      <c r="I362" s="25" t="str">
        <f ca="1">INDIRECT(_xlfn.TEXTJOIN("",TRUE,A356,"!",ADDRESS(15+(A357-1)*J356,13)))</f>
        <v>C+</v>
      </c>
      <c r="J362" s="25">
        <f ca="1">INDIRECT(_xlfn.TEXTJOIN("",TRUE,A356,"!",ADDRESS(15+(A357-1)*J356,14)))</f>
        <v>7.5</v>
      </c>
    </row>
    <row r="363" spans="1:10" ht="10.5" customHeight="1" x14ac:dyDescent="0.2">
      <c r="A363" s="65" t="str">
        <f ca="1">INDIRECT(_xlfn.TEXTJOIN("",TRUE,A356,"!",ADDRESS(16+(A357-1)*J356,1)))</f>
        <v>CAT 007</v>
      </c>
      <c r="B363" s="65"/>
      <c r="C363" s="66" t="str">
        <f ca="1">INDIRECT(_xlfn.TEXTJOIN("",TRUE,A356,"!",ADDRESS(16+(A357-1)*J356,2)))</f>
        <v>Computer Organization</v>
      </c>
      <c r="D363" s="66"/>
      <c r="E363" s="66"/>
      <c r="F363" s="66"/>
      <c r="G363" s="66"/>
      <c r="H363" s="25">
        <f ca="1">INDIRECT(_xlfn.TEXTJOIN("",TRUE,A356,"!",ADDRESS(16+(A357-1)*J356,6)))</f>
        <v>4</v>
      </c>
      <c r="I363" s="25" t="str">
        <f ca="1">INDIRECT(_xlfn.TEXTJOIN("",TRUE,A356,"!",ADDRESS(16+(A357-1)*J356,13)))</f>
        <v>D</v>
      </c>
      <c r="J363" s="25">
        <f ca="1">INDIRECT(_xlfn.TEXTJOIN("",TRUE,A356,"!",ADDRESS(16+(A357-1)*J356,14)))</f>
        <v>6</v>
      </c>
    </row>
    <row r="364" spans="1:10" ht="10.5" customHeight="1" x14ac:dyDescent="0.2">
      <c r="A364" s="65" t="str">
        <f ca="1">INDIRECT(_xlfn.TEXTJOIN("",TRUE,A356,"!",ADDRESS(17+(A357-1)*J356,1)))</f>
        <v>AHT 303</v>
      </c>
      <c r="B364" s="65"/>
      <c r="C364" s="66" t="str">
        <f ca="1">INDIRECT(_xlfn.TEXTJOIN("",TRUE,A356,"!",ADDRESS(17+(A357-1)*J356,2)))</f>
        <v>Technical Communication Skills</v>
      </c>
      <c r="D364" s="66"/>
      <c r="E364" s="66"/>
      <c r="F364" s="66"/>
      <c r="G364" s="66"/>
      <c r="H364" s="25">
        <f ca="1">INDIRECT(_xlfn.TEXTJOIN("",TRUE,A356,"!",ADDRESS(17+(A357-1)*J356,6)))</f>
        <v>4</v>
      </c>
      <c r="I364" s="25" t="str">
        <f ca="1">INDIRECT(_xlfn.TEXTJOIN("",TRUE,A356,"!",ADDRESS(17+(A357-1)*J356,13)))</f>
        <v>B+</v>
      </c>
      <c r="J364" s="25">
        <f ca="1">INDIRECT(_xlfn.TEXTJOIN("",TRUE,A356,"!",ADDRESS(17+(A357-1)*J356,14)))</f>
        <v>8.5</v>
      </c>
    </row>
    <row r="365" spans="1:10" ht="10.5" customHeight="1" x14ac:dyDescent="0.2">
      <c r="A365" s="65" t="str">
        <f ca="1">INDIRECT(_xlfn.TEXTJOIN("",TRUE,A356,"!",ADDRESS(18+(A357-1)*J356,1)))</f>
        <v>CAT 008</v>
      </c>
      <c r="B365" s="65"/>
      <c r="C365" s="66" t="str">
        <f ca="1">INDIRECT(_xlfn.TEXTJOIN("",TRUE,A356,"!",ADDRESS(18+(A357-1)*J356,2)))</f>
        <v>Python Programming ($)</v>
      </c>
      <c r="D365" s="66"/>
      <c r="E365" s="66"/>
      <c r="F365" s="66"/>
      <c r="G365" s="66"/>
      <c r="H365" s="25">
        <f ca="1">INDIRECT(_xlfn.TEXTJOIN("",TRUE,A356,"!",ADDRESS(18+(A357-1)*J356,6)))</f>
        <v>0</v>
      </c>
      <c r="I365" s="25" t="str">
        <f ca="1">INDIRECT(_xlfn.TEXTJOIN("",TRUE,A356,"!",ADDRESS(18+(A357-1)*J356,13)))</f>
        <v>C</v>
      </c>
      <c r="J365" s="25">
        <f ca="1">INDIRECT(_xlfn.TEXTJOIN("",TRUE,A356,"!",ADDRESS(18+(A357-1)*J356,14)))</f>
        <v>7</v>
      </c>
    </row>
    <row r="366" spans="1:10" ht="10.5" customHeight="1" x14ac:dyDescent="0.2">
      <c r="A366" s="60" t="str">
        <f ca="1">INDIRECT(_xlfn.TEXTJOIN("",TRUE,A356,"!",ADDRESS(19+(A357-1)*J356,1)))</f>
        <v>CAT 001</v>
      </c>
      <c r="B366" s="61"/>
      <c r="C366" s="57" t="str">
        <f ca="1">INDIRECT(_xlfn.TEXTJOIN("",TRUE,A356,"!",ADDRESS(19+(A357-1)*J356,2)))</f>
        <v>Introduction of Information Technology ($)</v>
      </c>
      <c r="D366" s="58"/>
      <c r="E366" s="58"/>
      <c r="F366" s="58"/>
      <c r="G366" s="59"/>
      <c r="H366" s="25">
        <f ca="1">INDIRECT(_xlfn.TEXTJOIN("",TRUE,A356,"!",ADDRESS(19+(A357-1)*J356,6)))</f>
        <v>0</v>
      </c>
      <c r="I366" s="25" t="str">
        <f ca="1">INDIRECT(_xlfn.TEXTJOIN("",TRUE,A356,"!",ADDRESS(19+(A357-1)*J356,13)))</f>
        <v>-</v>
      </c>
      <c r="J366" s="25" t="str">
        <f ca="1">INDIRECT(_xlfn.TEXTJOIN("",TRUE,A356,"!",ADDRESS(19+(A357-1)*J356,14)))</f>
        <v>-</v>
      </c>
    </row>
    <row r="367" spans="1:10" ht="10.5" customHeight="1" x14ac:dyDescent="0.2">
      <c r="A367" s="65" t="str">
        <f ca="1">INDIRECT(_xlfn.TEXTJOIN("",TRUE,A356,"!",ADDRESS(20+(A357-1)*J356,1)))</f>
        <v>CAT 002</v>
      </c>
      <c r="B367" s="65"/>
      <c r="C367" s="66" t="str">
        <f ca="1">INDIRECT(_xlfn.TEXTJOIN("",TRUE,A356,"!",ADDRESS(20+(A357-1)*J356,2)))</f>
        <v>Programming Fundamentals with "C" ($)</v>
      </c>
      <c r="D367" s="66"/>
      <c r="E367" s="66"/>
      <c r="F367" s="66"/>
      <c r="G367" s="66"/>
      <c r="H367" s="25">
        <f ca="1">INDIRECT(_xlfn.TEXTJOIN("",TRUE,A356,"!",ADDRESS(20+(A357-1)*J356,6)))</f>
        <v>0</v>
      </c>
      <c r="I367" s="25" t="str">
        <f ca="1">INDIRECT(_xlfn.TEXTJOIN("",TRUE,A356,"!",ADDRESS(20+(A357-1)*J356,13)))</f>
        <v>-</v>
      </c>
      <c r="J367" s="25" t="str">
        <f ca="1">INDIRECT(_xlfn.TEXTJOIN("",TRUE,A356,"!",ADDRESS(20+(A357-1)*J356,14)))</f>
        <v>-</v>
      </c>
    </row>
    <row r="368" spans="1:10" ht="10.5" customHeight="1" x14ac:dyDescent="0.2">
      <c r="A368" s="65" t="str">
        <f ca="1">INDIRECT(_xlfn.TEXTJOIN("",TRUE,A356,"!",ADDRESS(21+(A357-1)*J356,1)))</f>
        <v>CAT 003</v>
      </c>
      <c r="B368" s="65"/>
      <c r="C368" s="66" t="str">
        <f ca="1">INDIRECT(_xlfn.TEXTJOIN("",TRUE,A356,"!",ADDRESS(21+(A357-1)*J356,2)))</f>
        <v>Fundamental of Web Technology ($)</v>
      </c>
      <c r="D368" s="66"/>
      <c r="E368" s="66"/>
      <c r="F368" s="66"/>
      <c r="G368" s="66"/>
      <c r="H368" s="25">
        <f ca="1">INDIRECT(_xlfn.TEXTJOIN("",TRUE,A356,"!",ADDRESS(21+(A357-1)*J356,6)))</f>
        <v>0</v>
      </c>
      <c r="I368" s="25" t="str">
        <f ca="1">INDIRECT(_xlfn.TEXTJOIN("",TRUE,A356,"!",ADDRESS(21+(A357-1)*J356,13)))</f>
        <v>-</v>
      </c>
      <c r="J368" s="25" t="str">
        <f ca="1">INDIRECT(_xlfn.TEXTJOIN("",TRUE,A356,"!",ADDRESS(21+(A357-1)*J356,14)))</f>
        <v>-</v>
      </c>
    </row>
    <row r="369" spans="1:10" ht="10.5" customHeight="1" x14ac:dyDescent="0.2">
      <c r="A369" s="65" t="str">
        <f ca="1">INDIRECT(_xlfn.TEXTJOIN("",TRUE,A356,"!",ADDRESS(22+(A357-1)*J356,1)))</f>
        <v>CAP 001</v>
      </c>
      <c r="B369" s="65"/>
      <c r="C369" s="66" t="str">
        <f ca="1">INDIRECT(_xlfn.TEXTJOIN("",TRUE,A356,"!",ADDRESS(22+(A357-1)*J356,2)))</f>
        <v>Database Management System Lab</v>
      </c>
      <c r="D369" s="66"/>
      <c r="E369" s="66"/>
      <c r="F369" s="66"/>
      <c r="G369" s="66"/>
      <c r="H369" s="25">
        <f ca="1">INDIRECT(_xlfn.TEXTJOIN("",TRUE,A356,"!",ADDRESS(22+(A357-1)*J356,6)))</f>
        <v>1</v>
      </c>
      <c r="I369" s="25" t="str">
        <f ca="1">INDIRECT(_xlfn.TEXTJOIN("",TRUE,A356,"!",ADDRESS(22+(A357-1)*J356,13)))</f>
        <v>A</v>
      </c>
      <c r="J369" s="25">
        <f ca="1">INDIRECT(_xlfn.TEXTJOIN("",TRUE,A356,"!",ADDRESS(22+(A357-1)*J356,14)))</f>
        <v>9</v>
      </c>
    </row>
    <row r="370" spans="1:10" ht="10.5" customHeight="1" x14ac:dyDescent="0.2">
      <c r="A370" s="65" t="str">
        <f ca="1">INDIRECT(_xlfn.TEXTJOIN("",TRUE,A356,"!",ADDRESS(23+(A357-1)*J356,1)))</f>
        <v>CAP 002</v>
      </c>
      <c r="B370" s="65"/>
      <c r="C370" s="66" t="str">
        <f ca="1">INDIRECT(_xlfn.TEXTJOIN("",TRUE,A356,"!",ADDRESS(23+(A357-1)*J356,2)))</f>
        <v>Operating System Lab</v>
      </c>
      <c r="D370" s="66"/>
      <c r="E370" s="66"/>
      <c r="F370" s="66"/>
      <c r="G370" s="66"/>
      <c r="H370" s="25">
        <f ca="1">INDIRECT(_xlfn.TEXTJOIN("",TRUE,A356,"!",ADDRESS(23+(A357-1)*J356,6)))</f>
        <v>1</v>
      </c>
      <c r="I370" s="25" t="str">
        <f ca="1">INDIRECT(_xlfn.TEXTJOIN("",TRUE,A356,"!",ADDRESS(23+(A357-1)*J356,13)))</f>
        <v>A+</v>
      </c>
      <c r="J370" s="25">
        <f ca="1">INDIRECT(_xlfn.TEXTJOIN("",TRUE,A356,"!",ADDRESS(23+(A357-1)*J356,14)))</f>
        <v>9.5</v>
      </c>
    </row>
    <row r="371" spans="1:10" ht="10.5" customHeight="1" x14ac:dyDescent="0.2">
      <c r="A371" s="65" t="str">
        <f ca="1">INDIRECT(_xlfn.TEXTJOIN("",TRUE,A356,"!",ADDRESS(24+(A357-1)*J356,1)))</f>
        <v>CAP 003</v>
      </c>
      <c r="B371" s="65"/>
      <c r="C371" s="66" t="str">
        <f ca="1">INDIRECT(_xlfn.TEXTJOIN("",TRUE,A356,"!",ADDRESS(24+(A357-1)*J356,2)))</f>
        <v>Computer Organization Lab</v>
      </c>
      <c r="D371" s="66"/>
      <c r="E371" s="66"/>
      <c r="F371" s="66"/>
      <c r="G371" s="66"/>
      <c r="H371" s="25">
        <f ca="1">INDIRECT(_xlfn.TEXTJOIN("",TRUE,A356,"!",ADDRESS(24+(A357-1)*J356,6)))</f>
        <v>1</v>
      </c>
      <c r="I371" s="25" t="str">
        <f ca="1">INDIRECT(_xlfn.TEXTJOIN("",TRUE,A356,"!",ADDRESS(24+(A357-1)*J356,13)))</f>
        <v>A</v>
      </c>
      <c r="J371" s="25">
        <f ca="1">INDIRECT(_xlfn.TEXTJOIN("",TRUE,A356,"!",ADDRESS(24+(A357-1)*J356,14)))</f>
        <v>9</v>
      </c>
    </row>
    <row r="372" spans="1:10" ht="10.5" customHeight="1" x14ac:dyDescent="0.2">
      <c r="A372" s="65" t="str">
        <f ca="1">INDIRECT(_xlfn.TEXTJOIN("",TRUE,A356,"!",ADDRESS(25+(A357-1)*J356,1)))</f>
        <v>AHP 303</v>
      </c>
      <c r="B372" s="65"/>
      <c r="C372" s="66" t="str">
        <f ca="1">INDIRECT(_xlfn.TEXTJOIN("",TRUE,A356,"!",ADDRESS(25+(A357-1)*J356,2)))</f>
        <v>Technical Communication Skills</v>
      </c>
      <c r="D372" s="66"/>
      <c r="E372" s="66"/>
      <c r="F372" s="66"/>
      <c r="G372" s="66"/>
      <c r="H372" s="25">
        <f ca="1">INDIRECT(_xlfn.TEXTJOIN("",TRUE,A356,"!",ADDRESS(25+(A357-1)*J356,6)))</f>
        <v>1</v>
      </c>
      <c r="I372" s="25" t="str">
        <f ca="1">INDIRECT(_xlfn.TEXTJOIN("",TRUE,A356,"!",ADDRESS(25+(A357-1)*J356,13)))</f>
        <v>A</v>
      </c>
      <c r="J372" s="25">
        <f ca="1">INDIRECT(_xlfn.TEXTJOIN("",TRUE,A356,"!",ADDRESS(25+(A357-1)*J356,14)))</f>
        <v>9</v>
      </c>
    </row>
    <row r="373" spans="1:10" s="35" customFormat="1" ht="10.5" customHeight="1" x14ac:dyDescent="0.2">
      <c r="A373" s="77">
        <f ca="1">INDIRECT(_xlfn.TEXTJOIN("",TRUE,A356,"!",ADDRESS(26+(A357-1)*J356,1)))</f>
        <v>0</v>
      </c>
      <c r="B373" s="77"/>
      <c r="C373" s="78">
        <f ca="1">INDIRECT(_xlfn.TEXTJOIN("",TRUE,A356,"!",ADDRESS(26+(A357-1)*J356,2)))</f>
        <v>0</v>
      </c>
      <c r="D373" s="78"/>
      <c r="E373" s="78"/>
      <c r="F373" s="78"/>
      <c r="G373" s="78"/>
      <c r="H373" s="34">
        <f ca="1">INDIRECT(_xlfn.TEXTJOIN("",TRUE,A356,"!",ADDRESS(26+(A357-1)*J356,6)))</f>
        <v>0</v>
      </c>
      <c r="I373" s="34" t="str">
        <f ca="1">INDIRECT(_xlfn.TEXTJOIN("",TRUE,A356,"!",ADDRESS(26+(A357-1)*J356,13)))</f>
        <v>Excellent</v>
      </c>
      <c r="J373" s="34">
        <f ca="1">INDIRECT(_xlfn.TEXTJOIN("",TRUE,A356,"!",ADDRESS(26+(A357-1)*J356,14)))</f>
        <v>0</v>
      </c>
    </row>
    <row r="374" spans="1:10" ht="10.5" customHeight="1" x14ac:dyDescent="0.2">
      <c r="A374" s="71" t="s">
        <v>52</v>
      </c>
      <c r="B374" s="71"/>
      <c r="C374" s="71"/>
      <c r="D374" s="71"/>
      <c r="E374" s="71"/>
      <c r="F374" s="71"/>
      <c r="G374" s="71"/>
      <c r="H374" s="27">
        <f ca="1">SUM(H360:H373)</f>
        <v>24</v>
      </c>
      <c r="I374" s="26" t="s">
        <v>44</v>
      </c>
      <c r="J374" s="27">
        <f ca="1">SUMPRODUCT(J360:J372,H360:H372)</f>
        <v>176.5</v>
      </c>
    </row>
    <row r="375" spans="1:10" ht="10.5" customHeight="1" x14ac:dyDescent="0.2">
      <c r="A375" s="24" t="s">
        <v>57</v>
      </c>
      <c r="B375" s="72" t="str">
        <f ca="1">IF(ISNA(A376),"","Semester II (Spring Semester 2022-23)")</f>
        <v/>
      </c>
      <c r="C375" s="72"/>
      <c r="D375" s="72"/>
      <c r="E375" s="72"/>
      <c r="F375" s="72"/>
      <c r="G375" s="72"/>
      <c r="H375" s="72"/>
      <c r="I375" s="72"/>
      <c r="J375" s="24">
        <f>ROWS(A379:B388)+9</f>
        <v>19</v>
      </c>
    </row>
    <row r="376" spans="1:10" ht="10.5" customHeight="1" x14ac:dyDescent="0.2">
      <c r="A376" s="24" t="e">
        <f ca="1">INDEX(SEM_II!$A$6:$A$45,Marksheets!J376)</f>
        <v>#N/A</v>
      </c>
      <c r="B376" s="63"/>
      <c r="C376" s="63"/>
      <c r="D376" s="63"/>
      <c r="E376" s="63"/>
      <c r="F376" s="63"/>
      <c r="G376" s="63"/>
      <c r="H376" s="63"/>
      <c r="I376" s="63"/>
      <c r="J376" s="24" t="e">
        <f ca="1">MATCH(H354,SEM_II!$B$6:$B$45,0)</f>
        <v>#N/A</v>
      </c>
    </row>
    <row r="377" spans="1:10" ht="10.5" customHeight="1" x14ac:dyDescent="0.2">
      <c r="A377" s="64" t="str">
        <f ca="1">IF(ISNA(A376),"","Subject Code")</f>
        <v/>
      </c>
      <c r="B377" s="64"/>
      <c r="C377" s="64" t="str">
        <f ca="1">IF(ISNA(A376),"","Subject Name")</f>
        <v/>
      </c>
      <c r="D377" s="64"/>
      <c r="E377" s="64"/>
      <c r="F377" s="64"/>
      <c r="G377" s="64"/>
      <c r="H377" s="64" t="str">
        <f ca="1">IF(ISNA(A376),"","Credits")</f>
        <v/>
      </c>
      <c r="I377" s="64" t="str">
        <f ca="1">IF(ISNA(A376),"","Grade")</f>
        <v/>
      </c>
      <c r="J377" s="64" t="str">
        <f ca="1">IF(ISNA(A376),"","Grade Points")</f>
        <v/>
      </c>
    </row>
    <row r="378" spans="1:10" ht="12" customHeight="1" x14ac:dyDescent="0.2">
      <c r="A378" s="64"/>
      <c r="B378" s="64"/>
      <c r="C378" s="64"/>
      <c r="D378" s="64"/>
      <c r="E378" s="64"/>
      <c r="F378" s="64"/>
      <c r="G378" s="64"/>
      <c r="H378" s="64"/>
      <c r="I378" s="64"/>
      <c r="J378" s="64"/>
    </row>
    <row r="379" spans="1:10" ht="10.5" customHeight="1" x14ac:dyDescent="0.2">
      <c r="A379" s="65" t="str">
        <f ca="1">_xlfn.IFNA(INDIRECT(_xlfn.TEXTJOIN("",TRUE,A375,"!",ADDRESS(13+(A376-1)*J375,1))),"")</f>
        <v/>
      </c>
      <c r="B379" s="65"/>
      <c r="C379" s="66" t="str">
        <f ca="1">_xlfn.IFNA(INDIRECT(_xlfn.TEXTJOIN("",TRUE,A375,"!",ADDRESS(13+(A376-1)*J375,2))),"")</f>
        <v/>
      </c>
      <c r="D379" s="66"/>
      <c r="E379" s="66"/>
      <c r="F379" s="66"/>
      <c r="G379" s="66"/>
      <c r="H379" s="25" t="str">
        <f ca="1">_xlfn.IFNA(INDIRECT(_xlfn.TEXTJOIN("",TRUE,A375,"!",ADDRESS(13+(A376-1)*J375,6))),"")</f>
        <v/>
      </c>
      <c r="I379" s="25" t="str">
        <f ca="1">_xlfn.IFNA(INDIRECT(_xlfn.TEXTJOIN("",TRUE,A375,"!",ADDRESS(13+(A376-1)*J375,13))),"")</f>
        <v/>
      </c>
      <c r="J379" s="25" t="str">
        <f ca="1">_xlfn.IFNA(INDIRECT(_xlfn.TEXTJOIN("",TRUE,A375,"!",ADDRESS(13+(A376-1)*J375,14))),"")</f>
        <v/>
      </c>
    </row>
    <row r="380" spans="1:10" ht="10.5" customHeight="1" x14ac:dyDescent="0.2">
      <c r="A380" s="65" t="str">
        <f ca="1">_xlfn.IFNA(INDIRECT(_xlfn.TEXTJOIN("",TRUE,A375,"!",ADDRESS(14+(A376-1)*J375,1))),"")</f>
        <v/>
      </c>
      <c r="B380" s="65"/>
      <c r="C380" s="66" t="str">
        <f ca="1">_xlfn.IFNA(INDIRECT(_xlfn.TEXTJOIN("",TRUE,A375,"!",ADDRESS(14+(A376-1)*J375,2))),"")</f>
        <v/>
      </c>
      <c r="D380" s="66"/>
      <c r="E380" s="66"/>
      <c r="F380" s="66"/>
      <c r="G380" s="66"/>
      <c r="H380" s="25" t="str">
        <f ca="1">_xlfn.IFNA(INDIRECT(_xlfn.TEXTJOIN("",TRUE,A375,"!",ADDRESS(14+(A376-1)*J375,6))),"")</f>
        <v/>
      </c>
      <c r="I380" s="25" t="str">
        <f ca="1">_xlfn.IFNA(INDIRECT(_xlfn.TEXTJOIN("",TRUE,A375,"!",ADDRESS(14+(A376-1)*J375,13))),"")</f>
        <v/>
      </c>
      <c r="J380" s="25" t="str">
        <f ca="1">_xlfn.IFNA(INDIRECT(_xlfn.TEXTJOIN("",TRUE,A375,"!",ADDRESS(14+(A376-1)*J375,14))),"")</f>
        <v/>
      </c>
    </row>
    <row r="381" spans="1:10" ht="10.5" customHeight="1" x14ac:dyDescent="0.2">
      <c r="A381" s="65" t="str">
        <f ca="1">_xlfn.IFNA(INDIRECT(_xlfn.TEXTJOIN("",TRUE,A375,"!",ADDRESS(15+(A376-1)*J375,1))),"")</f>
        <v/>
      </c>
      <c r="B381" s="65"/>
      <c r="C381" s="66" t="str">
        <f ca="1">_xlfn.IFNA(INDIRECT(_xlfn.TEXTJOIN("",TRUE,A375,"!",ADDRESS(15+(A376-1)*J375,2))),"")</f>
        <v/>
      </c>
      <c r="D381" s="66"/>
      <c r="E381" s="66"/>
      <c r="F381" s="66"/>
      <c r="G381" s="66"/>
      <c r="H381" s="25" t="str">
        <f ca="1">_xlfn.IFNA(INDIRECT(_xlfn.TEXTJOIN("",TRUE,A375,"!",ADDRESS(15+(A376-1)*J375,6))),"")</f>
        <v/>
      </c>
      <c r="I381" s="25" t="str">
        <f ca="1">_xlfn.IFNA(INDIRECT(_xlfn.TEXTJOIN("",TRUE,A375,"!",ADDRESS(15+(A376-1)*J375,13))),"")</f>
        <v/>
      </c>
      <c r="J381" s="25" t="str">
        <f ca="1">_xlfn.IFNA(INDIRECT(_xlfn.TEXTJOIN("",TRUE,A375,"!",ADDRESS(15+(A376-1)*J375,14))),"")</f>
        <v/>
      </c>
    </row>
    <row r="382" spans="1:10" ht="10.5" customHeight="1" x14ac:dyDescent="0.2">
      <c r="A382" s="65" t="str">
        <f ca="1">_xlfn.IFNA(INDIRECT(_xlfn.TEXTJOIN("",TRUE,A375,"!",ADDRESS(16+(A376-1)*J375,1))),"")</f>
        <v/>
      </c>
      <c r="B382" s="65"/>
      <c r="C382" s="66" t="str">
        <f ca="1">_xlfn.IFNA(INDIRECT(_xlfn.TEXTJOIN("",TRUE,A375,"!",ADDRESS(16+(A376-1)*J375,2))),"")</f>
        <v/>
      </c>
      <c r="D382" s="66"/>
      <c r="E382" s="66"/>
      <c r="F382" s="66"/>
      <c r="G382" s="66"/>
      <c r="H382" s="25" t="str">
        <f ca="1">_xlfn.IFNA(INDIRECT(_xlfn.TEXTJOIN("",TRUE,A375,"!",ADDRESS(16+(A376-1)*J375,6))),"")</f>
        <v/>
      </c>
      <c r="I382" s="25" t="str">
        <f ca="1">_xlfn.IFNA(INDIRECT(_xlfn.TEXTJOIN("",TRUE,A375,"!",ADDRESS(16+(A376-1)*J375,13))),"")</f>
        <v/>
      </c>
      <c r="J382" s="25" t="str">
        <f ca="1">_xlfn.IFNA(INDIRECT(_xlfn.TEXTJOIN("",TRUE,A375,"!",ADDRESS(16+(A376-1)*J375,14))),"")</f>
        <v/>
      </c>
    </row>
    <row r="383" spans="1:10" ht="10.5" customHeight="1" x14ac:dyDescent="0.2">
      <c r="A383" s="65" t="str">
        <f ca="1">_xlfn.IFNA(INDIRECT(_xlfn.TEXTJOIN("",TRUE,A375,"!",ADDRESS(17+(A376-1)*J375,1))),"")</f>
        <v/>
      </c>
      <c r="B383" s="65"/>
      <c r="C383" s="66" t="str">
        <f ca="1">_xlfn.IFNA(INDIRECT(_xlfn.TEXTJOIN("",TRUE,A375,"!",ADDRESS(17+(A376-1)*J375,2))),"")</f>
        <v/>
      </c>
      <c r="D383" s="66"/>
      <c r="E383" s="66"/>
      <c r="F383" s="66"/>
      <c r="G383" s="66"/>
      <c r="H383" s="25" t="str">
        <f ca="1">_xlfn.IFNA(INDIRECT(_xlfn.TEXTJOIN("",TRUE,A375,"!",ADDRESS(17+(A376-1)*J375,6))),"")</f>
        <v/>
      </c>
      <c r="I383" s="25" t="str">
        <f ca="1">_xlfn.IFNA(INDIRECT(_xlfn.TEXTJOIN("",TRUE,A375,"!",ADDRESS(17+(A376-1)*J375,13))),"")</f>
        <v/>
      </c>
      <c r="J383" s="25" t="str">
        <f ca="1">_xlfn.IFNA(INDIRECT(_xlfn.TEXTJOIN("",TRUE,A375,"!",ADDRESS(17+(A376-1)*J375,14))),"")</f>
        <v/>
      </c>
    </row>
    <row r="384" spans="1:10" ht="10.5" customHeight="1" x14ac:dyDescent="0.2">
      <c r="A384" s="65" t="str">
        <f ca="1">_xlfn.IFNA(INDIRECT(_xlfn.TEXTJOIN("",TRUE,A375,"!",ADDRESS(18+(A376-1)*J375,1))),"")</f>
        <v/>
      </c>
      <c r="B384" s="65"/>
      <c r="C384" s="66" t="str">
        <f ca="1">_xlfn.IFNA(INDIRECT(_xlfn.TEXTJOIN("",TRUE,A375,"!",ADDRESS(18+(A376-1)*J375,2))),"")</f>
        <v/>
      </c>
      <c r="D384" s="66"/>
      <c r="E384" s="66"/>
      <c r="F384" s="66"/>
      <c r="G384" s="66"/>
      <c r="H384" s="25" t="str">
        <f ca="1">_xlfn.IFNA(INDIRECT(_xlfn.TEXTJOIN("",TRUE,A375,"!",ADDRESS(18+(A376-1)*J375,6))),"")</f>
        <v/>
      </c>
      <c r="I384" s="25" t="str">
        <f ca="1">_xlfn.IFNA(INDIRECT(_xlfn.TEXTJOIN("",TRUE,A375,"!",ADDRESS(18+(A376-1)*J375,13))),"")</f>
        <v/>
      </c>
      <c r="J384" s="25" t="str">
        <f ca="1">_xlfn.IFNA(INDIRECT(_xlfn.TEXTJOIN("",TRUE,A375,"!",ADDRESS(18+(A376-1)*J375,14))),"")</f>
        <v/>
      </c>
    </row>
    <row r="385" spans="1:10" ht="10.5" customHeight="1" x14ac:dyDescent="0.2">
      <c r="A385" s="60" t="str">
        <f ca="1">_xlfn.IFNA(INDIRECT(_xlfn.TEXTJOIN("",TRUE,A375,"!",ADDRESS(19+(A376-1)*J375,1))),"")</f>
        <v/>
      </c>
      <c r="B385" s="61"/>
      <c r="C385" s="57" t="str">
        <f ca="1">_xlfn.IFNA(INDIRECT(_xlfn.TEXTJOIN("",TRUE,A375,"!",ADDRESS(19+(A376-1)*J375,2))),"")</f>
        <v/>
      </c>
      <c r="D385" s="58"/>
      <c r="E385" s="58"/>
      <c r="F385" s="58"/>
      <c r="G385" s="59"/>
      <c r="H385" s="25" t="str">
        <f ca="1">_xlfn.IFNA(INDIRECT(_xlfn.TEXTJOIN("",TRUE,A375,"!",ADDRESS(19+(A376-1)*J375,6))),"")</f>
        <v/>
      </c>
      <c r="I385" s="25" t="str">
        <f ca="1">_xlfn.IFNA(INDIRECT(_xlfn.TEXTJOIN("",TRUE,A375,"!",ADDRESS(19+(A376-1)*J375,13))),"")</f>
        <v/>
      </c>
      <c r="J385" s="25" t="str">
        <f ca="1">_xlfn.IFNA(INDIRECT(_xlfn.TEXTJOIN("",TRUE,A375,"!",ADDRESS(19+(A376-1)*J375,14))),"")</f>
        <v/>
      </c>
    </row>
    <row r="386" spans="1:10" ht="10.5" customHeight="1" x14ac:dyDescent="0.2">
      <c r="A386" s="65" t="str">
        <f ca="1">_xlfn.IFNA(INDIRECT(_xlfn.TEXTJOIN("",TRUE,A375,"!",ADDRESS(20+(A376-1)*J375,1))),"")</f>
        <v/>
      </c>
      <c r="B386" s="65"/>
      <c r="C386" s="66" t="str">
        <f ca="1">_xlfn.IFNA(INDIRECT(_xlfn.TEXTJOIN("",TRUE,A375,"!",ADDRESS(20+(A376-1)*J375,2))),"")</f>
        <v/>
      </c>
      <c r="D386" s="66"/>
      <c r="E386" s="66"/>
      <c r="F386" s="66"/>
      <c r="G386" s="66"/>
      <c r="H386" s="25" t="str">
        <f ca="1">_xlfn.IFNA(INDIRECT(_xlfn.TEXTJOIN("",TRUE,A375,"!",ADDRESS(20+(A376-1)*J375,6))),"")</f>
        <v/>
      </c>
      <c r="I386" s="25" t="str">
        <f ca="1">_xlfn.IFNA(INDIRECT(_xlfn.TEXTJOIN("",TRUE,A375,"!",ADDRESS(20+(A376-1)*J375,13))),"")</f>
        <v/>
      </c>
      <c r="J386" s="25" t="str">
        <f ca="1">_xlfn.IFNA(INDIRECT(_xlfn.TEXTJOIN("",TRUE,A375,"!",ADDRESS(20+(A376-1)*J375,14))),"")</f>
        <v/>
      </c>
    </row>
    <row r="387" spans="1:10" ht="10.5" customHeight="1" x14ac:dyDescent="0.2">
      <c r="A387" s="65" t="str">
        <f ca="1">_xlfn.IFNA(INDIRECT(_xlfn.TEXTJOIN("",TRUE,A375,"!",ADDRESS(21+(A376-1)*J375,1))),"")</f>
        <v/>
      </c>
      <c r="B387" s="65"/>
      <c r="C387" s="66" t="str">
        <f ca="1">_xlfn.IFNA(INDIRECT(_xlfn.TEXTJOIN("",TRUE,A375,"!",ADDRESS(21+(A376-1)*J375,2))),"")</f>
        <v/>
      </c>
      <c r="D387" s="66"/>
      <c r="E387" s="66"/>
      <c r="F387" s="66"/>
      <c r="G387" s="66"/>
      <c r="H387" s="25" t="str">
        <f ca="1">_xlfn.IFNA(INDIRECT(_xlfn.TEXTJOIN("",TRUE,A375,"!",ADDRESS(21+(A376-1)*J375,6))),"")</f>
        <v/>
      </c>
      <c r="I387" s="25" t="str">
        <f ca="1">_xlfn.IFNA(INDIRECT(_xlfn.TEXTJOIN("",TRUE,A375,"!",ADDRESS(21+(A376-1)*J375,13))),"")</f>
        <v/>
      </c>
      <c r="J387" s="25" t="str">
        <f ca="1">_xlfn.IFNA(INDIRECT(_xlfn.TEXTJOIN("",TRUE,A375,"!",ADDRESS(21+(A376-1)*J375,14))),"")</f>
        <v/>
      </c>
    </row>
    <row r="388" spans="1:10" ht="10.5" customHeight="1" x14ac:dyDescent="0.2">
      <c r="A388" s="65" t="str">
        <f ca="1">_xlfn.IFNA(INDIRECT(_xlfn.TEXTJOIN("",TRUE,A375,"!",ADDRESS(22+(A376-1)*J375,1))),"")</f>
        <v/>
      </c>
      <c r="B388" s="65"/>
      <c r="C388" s="66" t="str">
        <f ca="1">_xlfn.IFNA(INDIRECT(_xlfn.TEXTJOIN("",TRUE,A375,"!",ADDRESS(22+(A376-1)*J375,2))),"")</f>
        <v/>
      </c>
      <c r="D388" s="66"/>
      <c r="E388" s="66"/>
      <c r="F388" s="66"/>
      <c r="G388" s="66"/>
      <c r="H388" s="25" t="str">
        <f ca="1">_xlfn.IFNA(INDIRECT(_xlfn.TEXTJOIN("",TRUE,A375,"!",ADDRESS(22+(A376-1)*J375,6))),"")</f>
        <v/>
      </c>
      <c r="I388" s="25" t="str">
        <f ca="1">_xlfn.IFNA(INDIRECT(_xlfn.TEXTJOIN("",TRUE,A375,"!",ADDRESS(22+(A376-1)*J375,13))),"")</f>
        <v/>
      </c>
      <c r="J388" s="25" t="str">
        <f ca="1">_xlfn.IFNA(INDIRECT(_xlfn.TEXTJOIN("",TRUE,A375,"!",ADDRESS(22+(A376-1)*J375,14))),"")</f>
        <v/>
      </c>
    </row>
    <row r="389" spans="1:10" ht="10.5" customHeight="1" x14ac:dyDescent="0.2">
      <c r="A389" s="71" t="str">
        <f ca="1">IF(ISNA(A376),"","Total Credits/ Total Grade Points")</f>
        <v/>
      </c>
      <c r="B389" s="71"/>
      <c r="C389" s="71"/>
      <c r="D389" s="71"/>
      <c r="E389" s="71"/>
      <c r="F389" s="71"/>
      <c r="G389" s="71"/>
      <c r="H389" s="27" t="str">
        <f ca="1">IF(ISNA(A376),"",SUM(H379:H388))</f>
        <v/>
      </c>
      <c r="I389" s="26" t="str">
        <f ca="1">IF(ISNA(A376),"","-")</f>
        <v/>
      </c>
      <c r="J389" s="27" t="str">
        <f ca="1">IF(ISNA(A376),"",SUMPRODUCT(J379:J388,H379:H388))</f>
        <v/>
      </c>
    </row>
    <row r="390" spans="1:10" ht="10.5" customHeight="1" x14ac:dyDescent="0.2">
      <c r="A390" s="24" t="s">
        <v>60</v>
      </c>
      <c r="B390" s="72" t="str">
        <f ca="1">IF(ISNA(A391),"","Semester III (Autumn Semester 2023-24)")</f>
        <v/>
      </c>
      <c r="C390" s="72"/>
      <c r="D390" s="72"/>
      <c r="E390" s="72"/>
      <c r="F390" s="72"/>
      <c r="G390" s="72"/>
      <c r="H390" s="72"/>
      <c r="I390" s="72"/>
      <c r="J390" s="24">
        <f>ROWS(A394:B401)+9</f>
        <v>17</v>
      </c>
    </row>
    <row r="391" spans="1:10" ht="10.5" customHeight="1" x14ac:dyDescent="0.2">
      <c r="A391" s="24" t="e">
        <f ca="1">INDEX(SEM_III!$A$6:$A$43,Marksheets!J391)</f>
        <v>#N/A</v>
      </c>
      <c r="B391" s="63"/>
      <c r="C391" s="63"/>
      <c r="D391" s="63"/>
      <c r="E391" s="63"/>
      <c r="F391" s="63"/>
      <c r="G391" s="63"/>
      <c r="H391" s="63"/>
      <c r="I391" s="63"/>
      <c r="J391" s="24" t="e">
        <f ca="1">MATCH(H354,SEM_III!$B$6:$B$43,0)</f>
        <v>#N/A</v>
      </c>
    </row>
    <row r="392" spans="1:10" ht="10.5" customHeight="1" x14ac:dyDescent="0.2">
      <c r="A392" s="64" t="str">
        <f ca="1">IF(ISNA(A391),"","Subject Code")</f>
        <v/>
      </c>
      <c r="B392" s="64"/>
      <c r="C392" s="64" t="str">
        <f ca="1">IF(ISNA(A391),"","Subject Name")</f>
        <v/>
      </c>
      <c r="D392" s="64"/>
      <c r="E392" s="64"/>
      <c r="F392" s="64"/>
      <c r="G392" s="64"/>
      <c r="H392" s="64" t="str">
        <f ca="1">IF(ISNA(A391),"","Credits")</f>
        <v/>
      </c>
      <c r="I392" s="64" t="str">
        <f ca="1">IF(ISNA(A391),"","Grade")</f>
        <v/>
      </c>
      <c r="J392" s="64" t="str">
        <f ca="1">IF(ISNA(A391),"","Grade Points")</f>
        <v/>
      </c>
    </row>
    <row r="393" spans="1:10" ht="13.5" customHeight="1" x14ac:dyDescent="0.2">
      <c r="A393" s="64"/>
      <c r="B393" s="64"/>
      <c r="C393" s="64"/>
      <c r="D393" s="64"/>
      <c r="E393" s="64"/>
      <c r="F393" s="64"/>
      <c r="G393" s="64"/>
      <c r="H393" s="64"/>
      <c r="I393" s="64"/>
      <c r="J393" s="64"/>
    </row>
    <row r="394" spans="1:10" ht="10.5" customHeight="1" x14ac:dyDescent="0.2">
      <c r="A394" s="65" t="str">
        <f ca="1">_xlfn.IFNA(INDIRECT(_xlfn.TEXTJOIN("",TRUE,A390,"!",ADDRESS(13+(A391-1)*J390,1))),"")</f>
        <v/>
      </c>
      <c r="B394" s="65"/>
      <c r="C394" s="66" t="str">
        <f ca="1">_xlfn.IFNA(INDIRECT(_xlfn.TEXTJOIN("",TRUE,A390,"!",ADDRESS(13+(A391-1)*J390,2))),"")</f>
        <v/>
      </c>
      <c r="D394" s="66"/>
      <c r="E394" s="66"/>
      <c r="F394" s="66"/>
      <c r="G394" s="66"/>
      <c r="H394" s="25" t="str">
        <f ca="1">_xlfn.IFNA(INDIRECT(_xlfn.TEXTJOIN("",TRUE,A390,"!",ADDRESS(13+(A391-1)*J390,6))),"")</f>
        <v/>
      </c>
      <c r="I394" s="25" t="str">
        <f ca="1">_xlfn.IFNA(INDIRECT(_xlfn.TEXTJOIN("",TRUE,A390,"!",ADDRESS(13+(A391-1)*J390,13))),"")</f>
        <v/>
      </c>
      <c r="J394" s="25" t="str">
        <f ca="1">_xlfn.IFNA(INDIRECT(_xlfn.TEXTJOIN("",TRUE,A390,"!",ADDRESS(13+(A391-1)*J390,14))),"")</f>
        <v/>
      </c>
    </row>
    <row r="395" spans="1:10" ht="10.5" customHeight="1" x14ac:dyDescent="0.2">
      <c r="A395" s="65" t="str">
        <f ca="1">_xlfn.IFNA(INDIRECT(_xlfn.TEXTJOIN("",TRUE,A390,"!",ADDRESS(14+(A391-1)*J390,1))),"")</f>
        <v/>
      </c>
      <c r="B395" s="65"/>
      <c r="C395" s="66" t="str">
        <f ca="1">_xlfn.IFNA(INDIRECT(_xlfn.TEXTJOIN("",TRUE,A390,"!",ADDRESS(14+(A391-1)*J390,2))),"")</f>
        <v/>
      </c>
      <c r="D395" s="66"/>
      <c r="E395" s="66"/>
      <c r="F395" s="66"/>
      <c r="G395" s="66"/>
      <c r="H395" s="25" t="str">
        <f ca="1">_xlfn.IFNA(INDIRECT(_xlfn.TEXTJOIN("",TRUE,A390,"!",ADDRESS(14+(A391-1)*J390,6))),"")</f>
        <v/>
      </c>
      <c r="I395" s="25" t="str">
        <f ca="1">_xlfn.IFNA(INDIRECT(_xlfn.TEXTJOIN("",TRUE,A390,"!",ADDRESS(14+(A391-1)*J390,13))),"")</f>
        <v/>
      </c>
      <c r="J395" s="25" t="str">
        <f ca="1">_xlfn.IFNA(INDIRECT(_xlfn.TEXTJOIN("",TRUE,A390,"!",ADDRESS(14+(A391-1)*J390,14))),"")</f>
        <v/>
      </c>
    </row>
    <row r="396" spans="1:10" ht="10.5" customHeight="1" x14ac:dyDescent="0.2">
      <c r="A396" s="65" t="str">
        <f ca="1">_xlfn.IFNA(INDIRECT(_xlfn.TEXTJOIN("",TRUE,A390,"!",ADDRESS(15+(A391-1)*J390,1))),"")</f>
        <v/>
      </c>
      <c r="B396" s="65"/>
      <c r="C396" s="66" t="str">
        <f ca="1">_xlfn.IFNA(INDIRECT(_xlfn.TEXTJOIN("",TRUE,A390,"!",ADDRESS(15+(A391-1)*J390,2))),"")</f>
        <v/>
      </c>
      <c r="D396" s="66"/>
      <c r="E396" s="66"/>
      <c r="F396" s="66"/>
      <c r="G396" s="66"/>
      <c r="H396" s="25" t="str">
        <f ca="1">_xlfn.IFNA(INDIRECT(_xlfn.TEXTJOIN("",TRUE,A390,"!",ADDRESS(15+(A391-1)*J390,6))),"")</f>
        <v/>
      </c>
      <c r="I396" s="25" t="str">
        <f ca="1">_xlfn.IFNA(INDIRECT(_xlfn.TEXTJOIN("",TRUE,A390,"!",ADDRESS(15+(A391-1)*J390,13))),"")</f>
        <v/>
      </c>
      <c r="J396" s="25" t="str">
        <f ca="1">_xlfn.IFNA(INDIRECT(_xlfn.TEXTJOIN("",TRUE,A390,"!",ADDRESS(15+(A391-1)*J390,14))),"")</f>
        <v/>
      </c>
    </row>
    <row r="397" spans="1:10" ht="10.5" customHeight="1" x14ac:dyDescent="0.2">
      <c r="A397" s="65" t="str">
        <f ca="1">_xlfn.IFNA(INDIRECT(_xlfn.TEXTJOIN("",TRUE,A390,"!",ADDRESS(16+(A391-1)*J390,1))),"")</f>
        <v/>
      </c>
      <c r="B397" s="65"/>
      <c r="C397" s="66" t="str">
        <f ca="1">_xlfn.IFNA(INDIRECT(_xlfn.TEXTJOIN("",TRUE,A390,"!",ADDRESS(16+(A391-1)*J390,2))),"")</f>
        <v/>
      </c>
      <c r="D397" s="66"/>
      <c r="E397" s="66"/>
      <c r="F397" s="66"/>
      <c r="G397" s="66"/>
      <c r="H397" s="25" t="str">
        <f ca="1">_xlfn.IFNA(INDIRECT(_xlfn.TEXTJOIN("",TRUE,A390,"!",ADDRESS(16+(A391-1)*J390,6))),"")</f>
        <v/>
      </c>
      <c r="I397" s="25" t="str">
        <f ca="1">_xlfn.IFNA(INDIRECT(_xlfn.TEXTJOIN("",TRUE,A390,"!",ADDRESS(16+(A391-1)*J390,13))),"")</f>
        <v/>
      </c>
      <c r="J397" s="25" t="str">
        <f ca="1">_xlfn.IFNA(INDIRECT(_xlfn.TEXTJOIN("",TRUE,A390,"!",ADDRESS(16+(A391-1)*J390,14))),"")</f>
        <v/>
      </c>
    </row>
    <row r="398" spans="1:10" ht="10.5" customHeight="1" x14ac:dyDescent="0.2">
      <c r="A398" s="65" t="str">
        <f ca="1">_xlfn.IFNA(INDIRECT(_xlfn.TEXTJOIN("",TRUE,A390,"!",ADDRESS(17+(A391-1)*J390,1))),"")</f>
        <v/>
      </c>
      <c r="B398" s="65"/>
      <c r="C398" s="66" t="str">
        <f ca="1">_xlfn.IFNA(INDIRECT(_xlfn.TEXTJOIN("",TRUE,A390,"!",ADDRESS(17+(A391-1)*J390,2))),"")</f>
        <v/>
      </c>
      <c r="D398" s="66"/>
      <c r="E398" s="66"/>
      <c r="F398" s="66"/>
      <c r="G398" s="66"/>
      <c r="H398" s="25" t="str">
        <f ca="1">_xlfn.IFNA(INDIRECT(_xlfn.TEXTJOIN("",TRUE,A390,"!",ADDRESS(17+(A391-1)*J390,6))),"")</f>
        <v/>
      </c>
      <c r="I398" s="25" t="str">
        <f ca="1">_xlfn.IFNA(INDIRECT(_xlfn.TEXTJOIN("",TRUE,A390,"!",ADDRESS(17+(A391-1)*J390,13))),"")</f>
        <v/>
      </c>
      <c r="J398" s="25" t="str">
        <f ca="1">_xlfn.IFNA(INDIRECT(_xlfn.TEXTJOIN("",TRUE,A390,"!",ADDRESS(17+(A391-1)*J390,14))),"")</f>
        <v/>
      </c>
    </row>
    <row r="399" spans="1:10" ht="10.5" customHeight="1" x14ac:dyDescent="0.2">
      <c r="A399" s="65" t="str">
        <f ca="1">_xlfn.IFNA(INDIRECT(_xlfn.TEXTJOIN("",TRUE,A390,"!",ADDRESS(18+(A391-1)*J390,1))),"")</f>
        <v/>
      </c>
      <c r="B399" s="65"/>
      <c r="C399" s="66" t="str">
        <f ca="1">_xlfn.IFNA(INDIRECT(_xlfn.TEXTJOIN("",TRUE,A390,"!",ADDRESS(18+(A391-1)*J390,2))),"")</f>
        <v/>
      </c>
      <c r="D399" s="66"/>
      <c r="E399" s="66"/>
      <c r="F399" s="66"/>
      <c r="G399" s="66"/>
      <c r="H399" s="25" t="str">
        <f ca="1">_xlfn.IFNA(INDIRECT(_xlfn.TEXTJOIN("",TRUE,A390,"!",ADDRESS(18+(A391-1)*J390,6))),"")</f>
        <v/>
      </c>
      <c r="I399" s="25" t="str">
        <f ca="1">_xlfn.IFNA(INDIRECT(_xlfn.TEXTJOIN("",TRUE,A390,"!",ADDRESS(18+(A391-1)*J390,13))),"")</f>
        <v/>
      </c>
      <c r="J399" s="25" t="str">
        <f ca="1">_xlfn.IFNA(INDIRECT(_xlfn.TEXTJOIN("",TRUE,A390,"!",ADDRESS(18+(A391-1)*J390,14))),"")</f>
        <v/>
      </c>
    </row>
    <row r="400" spans="1:10" ht="10.5" customHeight="1" x14ac:dyDescent="0.2">
      <c r="A400" s="60" t="str">
        <f ca="1">_xlfn.IFNA(INDIRECT(_xlfn.TEXTJOIN("",TRUE,A390,"!",ADDRESS(19+(A391-1)*J390,1))),"")</f>
        <v/>
      </c>
      <c r="B400" s="61"/>
      <c r="C400" s="57" t="str">
        <f ca="1">_xlfn.IFNA(INDIRECT(_xlfn.TEXTJOIN("",TRUE,A390,"!",ADDRESS(19+(A391-1)*J390,2))),"")</f>
        <v/>
      </c>
      <c r="D400" s="58"/>
      <c r="E400" s="58"/>
      <c r="F400" s="58"/>
      <c r="G400" s="59"/>
      <c r="H400" s="25" t="str">
        <f ca="1">_xlfn.IFNA(INDIRECT(_xlfn.TEXTJOIN("",TRUE,A390,"!",ADDRESS(19+(A391-1)*J390,6))),"")</f>
        <v/>
      </c>
      <c r="I400" s="25" t="str">
        <f ca="1">_xlfn.IFNA(INDIRECT(_xlfn.TEXTJOIN("",TRUE,A390,"!",ADDRESS(19+(A391-1)*J390,13))),"")</f>
        <v/>
      </c>
      <c r="J400" s="25" t="str">
        <f ca="1">_xlfn.IFNA(INDIRECT(_xlfn.TEXTJOIN("",TRUE,A390,"!",ADDRESS(19+(A391-1)*J390,14))),"")</f>
        <v/>
      </c>
    </row>
    <row r="401" spans="1:10" ht="10.5" customHeight="1" x14ac:dyDescent="0.2">
      <c r="A401" s="65" t="str">
        <f ca="1">_xlfn.IFNA(INDIRECT(_xlfn.TEXTJOIN("",TRUE,A390,"!",ADDRESS(20+(A391-1)*J390,1))),"")</f>
        <v/>
      </c>
      <c r="B401" s="65"/>
      <c r="C401" s="66" t="str">
        <f ca="1">_xlfn.IFNA(INDIRECT(_xlfn.TEXTJOIN("",TRUE,A390,"!",ADDRESS(20+(A391-1)*J390,2))),"")</f>
        <v/>
      </c>
      <c r="D401" s="66"/>
      <c r="E401" s="66"/>
      <c r="F401" s="66"/>
      <c r="G401" s="66"/>
      <c r="H401" s="25" t="str">
        <f ca="1">_xlfn.IFNA(INDIRECT(_xlfn.TEXTJOIN("",TRUE,A390,"!",ADDRESS(20+(A391-1)*J390,6))),"")</f>
        <v/>
      </c>
      <c r="I401" s="25" t="str">
        <f ca="1">_xlfn.IFNA(INDIRECT(_xlfn.TEXTJOIN("",TRUE,A390,"!",ADDRESS(20+(A391-1)*J390,13))),"")</f>
        <v/>
      </c>
      <c r="J401" s="25" t="str">
        <f ca="1">_xlfn.IFNA(INDIRECT(_xlfn.TEXTJOIN("",TRUE,A390,"!",ADDRESS(20+(A391-1)*J390,14))),"")</f>
        <v/>
      </c>
    </row>
    <row r="402" spans="1:10" ht="10.5" customHeight="1" x14ac:dyDescent="0.2">
      <c r="A402" s="71" t="str">
        <f ca="1">IF(ISNA(A391),"","Total Credits/ Total Grade Points")</f>
        <v/>
      </c>
      <c r="B402" s="71"/>
      <c r="C402" s="71"/>
      <c r="D402" s="71"/>
      <c r="E402" s="71"/>
      <c r="F402" s="71"/>
      <c r="G402" s="71"/>
      <c r="H402" s="27" t="str">
        <f ca="1">IF(ISNA(A391),"",SUM(H394:H401))</f>
        <v/>
      </c>
      <c r="I402" s="26" t="str">
        <f ca="1">IF(ISNA(A391),"","-")</f>
        <v/>
      </c>
      <c r="J402" s="27" t="str">
        <f ca="1">IF(ISNA(A391),"",SUMPRODUCT(J394:J401,H394:H401))</f>
        <v/>
      </c>
    </row>
    <row r="403" spans="1:10" ht="10.5" customHeight="1" x14ac:dyDescent="0.2">
      <c r="A403" s="24" t="s">
        <v>133</v>
      </c>
      <c r="B403" s="72" t="str">
        <f ca="1">IF(ISNA(A404),"","Semester IV (Spring Semester 2023-24)")</f>
        <v/>
      </c>
      <c r="C403" s="72"/>
      <c r="D403" s="72"/>
      <c r="E403" s="72"/>
      <c r="F403" s="72"/>
      <c r="G403" s="72"/>
      <c r="H403" s="72"/>
      <c r="I403" s="72"/>
      <c r="J403" s="24">
        <f>ROWS(A407:B413)+9</f>
        <v>16</v>
      </c>
    </row>
    <row r="404" spans="1:10" ht="10.5" customHeight="1" x14ac:dyDescent="0.2">
      <c r="A404" s="24" t="e">
        <f ca="1">INDEX(SEM_IV!$A$6:$A$43,Marksheets!J404)</f>
        <v>#N/A</v>
      </c>
      <c r="B404" s="63"/>
      <c r="C404" s="63"/>
      <c r="D404" s="63"/>
      <c r="E404" s="63"/>
      <c r="F404" s="63"/>
      <c r="G404" s="63"/>
      <c r="H404" s="63"/>
      <c r="I404" s="63"/>
      <c r="J404" s="24" t="e">
        <f ca="1">MATCH(H354,SEM_IV!$B$6:$B$43,0)</f>
        <v>#N/A</v>
      </c>
    </row>
    <row r="405" spans="1:10" ht="10.5" customHeight="1" x14ac:dyDescent="0.2">
      <c r="A405" s="64" t="str">
        <f ca="1">IF(ISNA(A404),"","Subject Code")</f>
        <v/>
      </c>
      <c r="B405" s="64"/>
      <c r="C405" s="64" t="str">
        <f ca="1">IF(ISNA(A404),"","Subject Name")</f>
        <v/>
      </c>
      <c r="D405" s="64"/>
      <c r="E405" s="64"/>
      <c r="F405" s="64"/>
      <c r="G405" s="64"/>
      <c r="H405" s="64" t="str">
        <f ca="1">IF(ISNA(A404),"","Credits")</f>
        <v/>
      </c>
      <c r="I405" s="64" t="str">
        <f ca="1">IF(ISNA(A404),"","Grade")</f>
        <v/>
      </c>
      <c r="J405" s="64" t="str">
        <f ca="1">IF(ISNA(A404),"","Grade Points")</f>
        <v/>
      </c>
    </row>
    <row r="406" spans="1:10" ht="14" customHeight="1" x14ac:dyDescent="0.2">
      <c r="A406" s="64"/>
      <c r="B406" s="64"/>
      <c r="C406" s="64"/>
      <c r="D406" s="64"/>
      <c r="E406" s="64"/>
      <c r="F406" s="64"/>
      <c r="G406" s="64"/>
      <c r="H406" s="64"/>
      <c r="I406" s="64"/>
      <c r="J406" s="64"/>
    </row>
    <row r="407" spans="1:10" ht="10.5" customHeight="1" x14ac:dyDescent="0.2">
      <c r="A407" s="65" t="str">
        <f ca="1">_xlfn.IFNA(INDIRECT(_xlfn.TEXTJOIN("",TRUE,A403,"!",ADDRESS(13+(A404-1)*J403,1))),"")</f>
        <v/>
      </c>
      <c r="B407" s="65"/>
      <c r="C407" s="66" t="str">
        <f ca="1">_xlfn.IFNA(INDIRECT(_xlfn.TEXTJOIN("",TRUE,A403,"!",ADDRESS(13+(A404-1)*J403,2))),"")</f>
        <v/>
      </c>
      <c r="D407" s="66"/>
      <c r="E407" s="66"/>
      <c r="F407" s="66"/>
      <c r="G407" s="66"/>
      <c r="H407" s="25" t="str">
        <f ca="1">_xlfn.IFNA(INDIRECT(_xlfn.TEXTJOIN("",TRUE,A403,"!",ADDRESS(13+(A404-1)*J403,6))),"")</f>
        <v/>
      </c>
      <c r="I407" s="25" t="str">
        <f ca="1">_xlfn.IFNA(INDIRECT(_xlfn.TEXTJOIN("",TRUE,A403,"!",ADDRESS(13+(A404-1)*J403,13))),"")</f>
        <v/>
      </c>
      <c r="J407" s="25" t="str">
        <f ca="1">_xlfn.IFNA(INDIRECT(_xlfn.TEXTJOIN("",TRUE,A403,"!",ADDRESS(13+(A404-1)*J403,14))),"")</f>
        <v/>
      </c>
    </row>
    <row r="408" spans="1:10" ht="10.5" customHeight="1" x14ac:dyDescent="0.2">
      <c r="A408" s="65" t="str">
        <f ca="1">_xlfn.IFNA(INDIRECT(_xlfn.TEXTJOIN("",TRUE,A403,"!",ADDRESS(14+(A404-1)*J403,1))),"")</f>
        <v/>
      </c>
      <c r="B408" s="65"/>
      <c r="C408" s="66" t="str">
        <f ca="1">_xlfn.IFNA(INDIRECT(_xlfn.TEXTJOIN("",TRUE,A403,"!",ADDRESS(14+(A404-1)*J403,2))),"")</f>
        <v/>
      </c>
      <c r="D408" s="66"/>
      <c r="E408" s="66"/>
      <c r="F408" s="66"/>
      <c r="G408" s="66"/>
      <c r="H408" s="25" t="str">
        <f ca="1">_xlfn.IFNA(INDIRECT(_xlfn.TEXTJOIN("",TRUE,A403,"!",ADDRESS(14+(A404-1)*J403,6))),"")</f>
        <v/>
      </c>
      <c r="I408" s="25" t="str">
        <f ca="1">_xlfn.IFNA(INDIRECT(_xlfn.TEXTJOIN("",TRUE,A403,"!",ADDRESS(14+(A404-1)*J403,13))),"")</f>
        <v/>
      </c>
      <c r="J408" s="25" t="str">
        <f ca="1">_xlfn.IFNA(INDIRECT(_xlfn.TEXTJOIN("",TRUE,A403,"!",ADDRESS(14+(A404-1)*J403,14))),"")</f>
        <v/>
      </c>
    </row>
    <row r="409" spans="1:10" ht="10.5" customHeight="1" x14ac:dyDescent="0.2">
      <c r="A409" s="65" t="str">
        <f ca="1">_xlfn.IFNA(INDIRECT(_xlfn.TEXTJOIN("",TRUE,A403,"!",ADDRESS(15+(A404-1)*J403,1))),"")</f>
        <v/>
      </c>
      <c r="B409" s="65"/>
      <c r="C409" s="66" t="str">
        <f ca="1">_xlfn.IFNA(INDIRECT(_xlfn.TEXTJOIN("",TRUE,A403,"!",ADDRESS(15+(A404-1)*J403,2))),"")</f>
        <v/>
      </c>
      <c r="D409" s="66"/>
      <c r="E409" s="66"/>
      <c r="F409" s="66"/>
      <c r="G409" s="66"/>
      <c r="H409" s="25" t="str">
        <f ca="1">_xlfn.IFNA(INDIRECT(_xlfn.TEXTJOIN("",TRUE,A403,"!",ADDRESS(15+(A404-1)*J403,6))),"")</f>
        <v/>
      </c>
      <c r="I409" s="25" t="str">
        <f ca="1">_xlfn.IFNA(INDIRECT(_xlfn.TEXTJOIN("",TRUE,A403,"!",ADDRESS(15+(A404-1)*J403,13))),"")</f>
        <v/>
      </c>
      <c r="J409" s="25" t="str">
        <f ca="1">_xlfn.IFNA(INDIRECT(_xlfn.TEXTJOIN("",TRUE,A403,"!",ADDRESS(15+(A404-1)*J403,14))),"")</f>
        <v/>
      </c>
    </row>
    <row r="410" spans="1:10" ht="10.5" customHeight="1" x14ac:dyDescent="0.2">
      <c r="A410" s="65" t="str">
        <f ca="1">_xlfn.IFNA(INDIRECT(_xlfn.TEXTJOIN("",TRUE,A403,"!",ADDRESS(16+(A404-1)*J403,1))),"")</f>
        <v/>
      </c>
      <c r="B410" s="65"/>
      <c r="C410" s="66" t="str">
        <f ca="1">_xlfn.IFNA(INDIRECT(_xlfn.TEXTJOIN("",TRUE,A403,"!",ADDRESS(16+(A404-1)*J403,2))),"")</f>
        <v/>
      </c>
      <c r="D410" s="66"/>
      <c r="E410" s="66"/>
      <c r="F410" s="66"/>
      <c r="G410" s="66"/>
      <c r="H410" s="25" t="str">
        <f ca="1">_xlfn.IFNA(INDIRECT(_xlfn.TEXTJOIN("",TRUE,A403,"!",ADDRESS(16+(A404-1)*J403,6))),"")</f>
        <v/>
      </c>
      <c r="I410" s="25" t="str">
        <f ca="1">_xlfn.IFNA(INDIRECT(_xlfn.TEXTJOIN("",TRUE,A403,"!",ADDRESS(16+(A404-1)*J403,13))),"")</f>
        <v/>
      </c>
      <c r="J410" s="25" t="str">
        <f ca="1">_xlfn.IFNA(INDIRECT(_xlfn.TEXTJOIN("",TRUE,A403,"!",ADDRESS(16+(A404-1)*J403,14))),"")</f>
        <v/>
      </c>
    </row>
    <row r="411" spans="1:10" ht="10.5" customHeight="1" x14ac:dyDescent="0.2">
      <c r="A411" s="65" t="str">
        <f ca="1">_xlfn.IFNA(INDIRECT(_xlfn.TEXTJOIN("",TRUE,A403,"!",ADDRESS(17+(A404-1)*J403,1))),"")</f>
        <v/>
      </c>
      <c r="B411" s="65"/>
      <c r="C411" s="66" t="str">
        <f ca="1">_xlfn.IFNA(INDIRECT(_xlfn.TEXTJOIN("",TRUE,A403,"!",ADDRESS(17+(A404-1)*J403,2))),"")</f>
        <v/>
      </c>
      <c r="D411" s="66"/>
      <c r="E411" s="66"/>
      <c r="F411" s="66"/>
      <c r="G411" s="66"/>
      <c r="H411" s="25" t="str">
        <f ca="1">_xlfn.IFNA(INDIRECT(_xlfn.TEXTJOIN("",TRUE,A403,"!",ADDRESS(17+(A404-1)*J403,6))),"")</f>
        <v/>
      </c>
      <c r="I411" s="25" t="str">
        <f ca="1">_xlfn.IFNA(INDIRECT(_xlfn.TEXTJOIN("",TRUE,A403,"!",ADDRESS(17+(A404-1)*J403,13))),"")</f>
        <v/>
      </c>
      <c r="J411" s="25" t="str">
        <f ca="1">_xlfn.IFNA(INDIRECT(_xlfn.TEXTJOIN("",TRUE,A403,"!",ADDRESS(17+(A404-1)*J403,14))),"")</f>
        <v/>
      </c>
    </row>
    <row r="412" spans="1:10" ht="10.5" customHeight="1" x14ac:dyDescent="0.2">
      <c r="A412" s="65" t="str">
        <f ca="1">_xlfn.IFNA(INDIRECT(_xlfn.TEXTJOIN("",TRUE,A403,"!",ADDRESS(18+(A404-1)*J403,1))),"")</f>
        <v/>
      </c>
      <c r="B412" s="65"/>
      <c r="C412" s="66" t="str">
        <f ca="1">_xlfn.IFNA(INDIRECT(_xlfn.TEXTJOIN("",TRUE,A403,"!",ADDRESS(18+(A404-1)*J403,2))),"")</f>
        <v/>
      </c>
      <c r="D412" s="66"/>
      <c r="E412" s="66"/>
      <c r="F412" s="66"/>
      <c r="G412" s="66"/>
      <c r="H412" s="25" t="str">
        <f ca="1">_xlfn.IFNA(INDIRECT(_xlfn.TEXTJOIN("",TRUE,A403,"!",ADDRESS(18+(A404-1)*J403,6))),"")</f>
        <v/>
      </c>
      <c r="I412" s="25" t="str">
        <f ca="1">_xlfn.IFNA(INDIRECT(_xlfn.TEXTJOIN("",TRUE,A403,"!",ADDRESS(18+(A404-1)*J403,13))),"")</f>
        <v/>
      </c>
      <c r="J412" s="25" t="str">
        <f ca="1">_xlfn.IFNA(INDIRECT(_xlfn.TEXTJOIN("",TRUE,A403,"!",ADDRESS(18+(A404-1)*J403,14))),"")</f>
        <v/>
      </c>
    </row>
    <row r="413" spans="1:10" ht="10.5" customHeight="1" x14ac:dyDescent="0.2">
      <c r="A413" s="60" t="str">
        <f ca="1">_xlfn.IFNA(INDIRECT(_xlfn.TEXTJOIN("",TRUE,A403,"!",ADDRESS(19+(A404-1)*J403,1))),"")</f>
        <v/>
      </c>
      <c r="B413" s="61"/>
      <c r="C413" s="57" t="str">
        <f ca="1">_xlfn.IFNA(INDIRECT(_xlfn.TEXTJOIN("",TRUE,A403,"!",ADDRESS(19+(A404-1)*J403,2))),"")</f>
        <v/>
      </c>
      <c r="D413" s="58"/>
      <c r="E413" s="58"/>
      <c r="F413" s="58"/>
      <c r="G413" s="59"/>
      <c r="H413" s="25" t="str">
        <f ca="1">_xlfn.IFNA(INDIRECT(_xlfn.TEXTJOIN("",TRUE,A403,"!",ADDRESS(19+(A404-1)*J403,6))),"")</f>
        <v/>
      </c>
      <c r="I413" s="25" t="str">
        <f ca="1">_xlfn.IFNA(INDIRECT(_xlfn.TEXTJOIN("",TRUE,A403,"!",ADDRESS(19+(A404-1)*J403,13))),"")</f>
        <v/>
      </c>
      <c r="J413" s="25" t="str">
        <f ca="1">_xlfn.IFNA(INDIRECT(_xlfn.TEXTJOIN("",TRUE,A403,"!",ADDRESS(19+(A404-1)*J403,14))),"")</f>
        <v/>
      </c>
    </row>
    <row r="414" spans="1:10" ht="10.5" customHeight="1" x14ac:dyDescent="0.2">
      <c r="A414" s="71" t="str">
        <f ca="1">IF(ISNA(A404),"","Total Credits/ Total Grade Points")</f>
        <v/>
      </c>
      <c r="B414" s="71"/>
      <c r="C414" s="71"/>
      <c r="D414" s="71"/>
      <c r="E414" s="71"/>
      <c r="F414" s="71"/>
      <c r="G414" s="71"/>
      <c r="H414" s="27" t="str">
        <f ca="1">IF(ISNA(A404),"",SUM(H406:H413))</f>
        <v/>
      </c>
      <c r="I414" s="26" t="str">
        <f ca="1">IF(ISNA(A404),"","-")</f>
        <v/>
      </c>
      <c r="J414" s="27" t="str">
        <f ca="1">IF(ISNA(A404),"",SUMPRODUCT(J406:J413,H406:H413))</f>
        <v/>
      </c>
    </row>
    <row r="415" spans="1:10" ht="10.5" customHeight="1" x14ac:dyDescent="0.2">
      <c r="A415" s="75" t="s">
        <v>137</v>
      </c>
      <c r="B415" s="75"/>
      <c r="C415" s="75"/>
      <c r="D415" s="75"/>
      <c r="E415" s="75"/>
      <c r="F415" s="76" t="s">
        <v>138</v>
      </c>
      <c r="G415" s="76"/>
      <c r="H415" s="76"/>
      <c r="I415" s="76"/>
      <c r="J415" s="76"/>
    </row>
    <row r="416" spans="1:10" ht="10.5" customHeight="1" x14ac:dyDescent="0.2">
      <c r="A416" s="43" t="s">
        <v>139</v>
      </c>
      <c r="B416" s="43"/>
      <c r="C416" s="43"/>
      <c r="D416" s="43"/>
      <c r="E416" s="43"/>
      <c r="F416" s="43"/>
      <c r="G416" s="43"/>
      <c r="H416" s="43"/>
      <c r="I416" s="43"/>
      <c r="J416" s="43"/>
    </row>
    <row r="417" spans="1:10" ht="10.5" customHeight="1" x14ac:dyDescent="0.2">
      <c r="A417" s="10"/>
      <c r="B417" s="26"/>
      <c r="C417" s="26" t="s">
        <v>140</v>
      </c>
      <c r="D417" s="26" t="s">
        <v>141</v>
      </c>
      <c r="E417" s="26" t="s">
        <v>142</v>
      </c>
      <c r="F417" s="26" t="s">
        <v>143</v>
      </c>
      <c r="G417" s="26" t="s">
        <v>144</v>
      </c>
      <c r="H417" s="79" t="s">
        <v>145</v>
      </c>
      <c r="I417" s="79"/>
      <c r="J417" s="30"/>
    </row>
    <row r="418" spans="1:10" ht="10.5" customHeight="1" x14ac:dyDescent="0.2">
      <c r="A418" s="10"/>
      <c r="B418" s="80" t="s">
        <v>146</v>
      </c>
      <c r="C418" s="73">
        <f ca="1">J374/H374</f>
        <v>7.354166666666667</v>
      </c>
      <c r="D418" s="73" t="e">
        <f ca="1">J389/H389</f>
        <v>#VALUE!</v>
      </c>
      <c r="E418" s="73" t="str">
        <f ca="1">IFERROR(J402/H402,"")</f>
        <v/>
      </c>
      <c r="F418" s="73" t="str">
        <f ca="1">IFERROR(J414/H414,"")</f>
        <v/>
      </c>
      <c r="G418" s="82">
        <f ca="1">F420</f>
        <v>7.354166666666667</v>
      </c>
      <c r="H418" s="83" t="e">
        <f ca="1">IF(TC_IV!N85&lt;96,_xlfn.TEXTJOIN(" Carry Over Back In",TC_I!V142,TC_II!V118,TC_III!V89,TC_IV!V84),IF(G418&gt;=8,"First Division with Distinction",IF(G418&gt;=6.5,"First Division",IF(G418&gt;=5,"Second Division",IF(G418&gt;=4,"Third Division","Fail")))))</f>
        <v>#N/A</v>
      </c>
      <c r="I418" s="83"/>
      <c r="J418" s="30"/>
    </row>
    <row r="419" spans="1:10" ht="10.5" customHeight="1" x14ac:dyDescent="0.2">
      <c r="B419" s="81"/>
      <c r="C419" s="74"/>
      <c r="D419" s="74"/>
      <c r="E419" s="74"/>
      <c r="F419" s="74"/>
      <c r="G419" s="82"/>
      <c r="H419" s="83"/>
      <c r="I419" s="83"/>
    </row>
    <row r="420" spans="1:10" ht="10.5" customHeight="1" x14ac:dyDescent="0.2">
      <c r="B420" s="80" t="s">
        <v>48</v>
      </c>
      <c r="C420" s="73">
        <f ca="1">J374/H374</f>
        <v>7.354166666666667</v>
      </c>
      <c r="D420" s="73">
        <f ca="1">SUM(J389,J374)/SUM(H389,H374)</f>
        <v>7.354166666666667</v>
      </c>
      <c r="E420" s="73">
        <f ca="1">SUM(J402,J389,J374)/SUM(H402,H389,H374)</f>
        <v>7.354166666666667</v>
      </c>
      <c r="F420" s="73">
        <f ca="1">SUM(J414,J402,J389,J374)/SUM(H374,H389,H402,H414)</f>
        <v>7.354166666666667</v>
      </c>
      <c r="G420" s="82"/>
      <c r="H420" s="83"/>
      <c r="I420" s="83"/>
    </row>
    <row r="421" spans="1:10" ht="10.5" customHeight="1" x14ac:dyDescent="0.2">
      <c r="B421" s="81"/>
      <c r="C421" s="74"/>
      <c r="D421" s="74"/>
      <c r="E421" s="74"/>
      <c r="F421" s="74"/>
      <c r="G421" s="82"/>
      <c r="H421" s="83"/>
      <c r="I421" s="83"/>
    </row>
    <row r="423" spans="1:10" ht="10.5" customHeight="1" x14ac:dyDescent="0.2">
      <c r="A423" s="56" t="s">
        <v>24</v>
      </c>
      <c r="B423" s="56"/>
      <c r="C423" s="56" t="str">
        <f ca="1">INDIRECT(_xlfn.TEXTJOIN("",TRUE,A425,"!",ADDRESS(9+(A426-1)*J425,2)))</f>
        <v>DIVESH PANT</v>
      </c>
      <c r="D423" s="56"/>
      <c r="E423" s="56"/>
      <c r="F423" s="56" t="s">
        <v>135</v>
      </c>
      <c r="G423" s="56"/>
      <c r="H423" s="62">
        <f ca="1">INDIRECT(_xlfn.TEXTJOIN("",TRUE,A425,"!",ADDRESS(9+(A426-1)*J425,9)))</f>
        <v>250090600007</v>
      </c>
      <c r="I423" s="56"/>
      <c r="J423" s="56"/>
    </row>
    <row r="424" spans="1:10" ht="10.5" customHeight="1" x14ac:dyDescent="0.2">
      <c r="A424" s="56" t="s">
        <v>25</v>
      </c>
      <c r="B424" s="56"/>
      <c r="C424" s="56" t="str">
        <f ca="1">INDIRECT(_xlfn.TEXTJOIN("",TRUE,A425,"!",ADDRESS(9+(A426-1)*J425,5)))</f>
        <v>DINESH CHANDRA PANT</v>
      </c>
      <c r="D424" s="56"/>
      <c r="E424" s="56"/>
      <c r="F424" s="47" t="s">
        <v>136</v>
      </c>
      <c r="G424" s="47"/>
      <c r="H424" s="62" t="str">
        <f ca="1">INDIRECT(_xlfn.TEXTJOIN("",TRUE,A425,"!",ADDRESS(9+(A426-1)*J425,13)))</f>
        <v>UTU/2506100121</v>
      </c>
      <c r="I424" s="56"/>
      <c r="J424" s="56"/>
    </row>
    <row r="425" spans="1:10" ht="10.5" customHeight="1" x14ac:dyDescent="0.2">
      <c r="A425" s="24" t="s">
        <v>53</v>
      </c>
      <c r="B425" s="43" t="s">
        <v>148</v>
      </c>
      <c r="C425" s="43"/>
      <c r="D425" s="43"/>
      <c r="E425" s="43"/>
      <c r="F425" s="43"/>
      <c r="G425" s="43"/>
      <c r="H425" s="43"/>
      <c r="I425" s="43"/>
      <c r="J425" s="24">
        <f>ROWS(A429:B442)+9</f>
        <v>23</v>
      </c>
    </row>
    <row r="426" spans="1:10" ht="10.5" customHeight="1" x14ac:dyDescent="0.2">
      <c r="A426" s="24">
        <f>A357+1</f>
        <v>7</v>
      </c>
      <c r="B426" s="63"/>
      <c r="C426" s="63"/>
      <c r="D426" s="63"/>
      <c r="E426" s="63"/>
      <c r="F426" s="63"/>
      <c r="G426" s="63"/>
      <c r="H426" s="63"/>
      <c r="I426" s="63"/>
      <c r="J426" s="29"/>
    </row>
    <row r="427" spans="1:10" ht="10.5" customHeight="1" x14ac:dyDescent="0.2">
      <c r="A427" s="64" t="s">
        <v>28</v>
      </c>
      <c r="B427" s="64"/>
      <c r="C427" s="64" t="s">
        <v>29</v>
      </c>
      <c r="D427" s="64"/>
      <c r="E427" s="64"/>
      <c r="F427" s="64"/>
      <c r="G427" s="64"/>
      <c r="H427" s="64" t="s">
        <v>30</v>
      </c>
      <c r="I427" s="64" t="s">
        <v>9</v>
      </c>
      <c r="J427" s="64" t="s">
        <v>34</v>
      </c>
    </row>
    <row r="428" spans="1:10" ht="15.5" customHeight="1" x14ac:dyDescent="0.2">
      <c r="A428" s="64"/>
      <c r="B428" s="64"/>
      <c r="C428" s="64"/>
      <c r="D428" s="64"/>
      <c r="E428" s="64"/>
      <c r="F428" s="64"/>
      <c r="G428" s="64"/>
      <c r="H428" s="64"/>
      <c r="I428" s="64"/>
      <c r="J428" s="64"/>
    </row>
    <row r="429" spans="1:10" ht="10.5" customHeight="1" x14ac:dyDescent="0.2">
      <c r="A429" s="65" t="str">
        <f ca="1">INDIRECT(_xlfn.TEXTJOIN("",TRUE,A425,"!",ADDRESS(13+(A426-1)*J425,1)))</f>
        <v>CAT 004</v>
      </c>
      <c r="B429" s="65"/>
      <c r="C429" s="66" t="str">
        <f ca="1">INDIRECT(_xlfn.TEXTJOIN("",TRUE,A425,"!",ADDRESS(13+(A426-1)*J425,2)))</f>
        <v>Discrete Structure</v>
      </c>
      <c r="D429" s="66"/>
      <c r="E429" s="66"/>
      <c r="F429" s="66"/>
      <c r="G429" s="66"/>
      <c r="H429" s="25">
        <f ca="1">INDIRECT(_xlfn.TEXTJOIN("",TRUE,A425,"!",ADDRESS(13+(A426-1)*J425,6)))</f>
        <v>4</v>
      </c>
      <c r="I429" s="25" t="str">
        <f ca="1">INDIRECT(_xlfn.TEXTJOIN("",TRUE,A425,"!",ADDRESS(13+(A426-1)*J425,13)))</f>
        <v>D</v>
      </c>
      <c r="J429" s="25">
        <f ca="1">INDIRECT(_xlfn.TEXTJOIN("",TRUE,A425,"!",ADDRESS(13+(A426-1)*J425,14)))</f>
        <v>6</v>
      </c>
    </row>
    <row r="430" spans="1:10" ht="10.5" customHeight="1" x14ac:dyDescent="0.2">
      <c r="A430" s="65" t="str">
        <f ca="1">INDIRECT(_xlfn.TEXTJOIN("",TRUE,A425,"!",ADDRESS(14+(A426-1)*J425,1)))</f>
        <v>CAT 005</v>
      </c>
      <c r="B430" s="65"/>
      <c r="C430" s="66" t="str">
        <f ca="1">INDIRECT(_xlfn.TEXTJOIN("",TRUE,A425,"!",ADDRESS(14+(A426-1)*J425,2)))</f>
        <v>Database Management System</v>
      </c>
      <c r="D430" s="66"/>
      <c r="E430" s="66"/>
      <c r="F430" s="66"/>
      <c r="G430" s="66"/>
      <c r="H430" s="25">
        <f ca="1">INDIRECT(_xlfn.TEXTJOIN("",TRUE,A425,"!",ADDRESS(14+(A426-1)*J425,6)))</f>
        <v>4</v>
      </c>
      <c r="I430" s="25" t="str">
        <f ca="1">INDIRECT(_xlfn.TEXTJOIN("",TRUE,A425,"!",ADDRESS(14+(A426-1)*J425,13)))</f>
        <v>E</v>
      </c>
      <c r="J430" s="25">
        <f ca="1">INDIRECT(_xlfn.TEXTJOIN("",TRUE,A425,"!",ADDRESS(14+(A426-1)*J425,14)))</f>
        <v>5</v>
      </c>
    </row>
    <row r="431" spans="1:10" ht="10.5" customHeight="1" x14ac:dyDescent="0.2">
      <c r="A431" s="65" t="str">
        <f ca="1">INDIRECT(_xlfn.TEXTJOIN("",TRUE,A425,"!",ADDRESS(15+(A426-1)*J425,1)))</f>
        <v>CAT 006</v>
      </c>
      <c r="B431" s="65"/>
      <c r="C431" s="66" t="str">
        <f ca="1">INDIRECT(_xlfn.TEXTJOIN("",TRUE,A425,"!",ADDRESS(15+(A426-1)*J425,2)))</f>
        <v>Operating System</v>
      </c>
      <c r="D431" s="66"/>
      <c r="E431" s="66"/>
      <c r="F431" s="66"/>
      <c r="G431" s="66"/>
      <c r="H431" s="25">
        <f ca="1">INDIRECT(_xlfn.TEXTJOIN("",TRUE,A425,"!",ADDRESS(15+(A426-1)*J425,6)))</f>
        <v>4</v>
      </c>
      <c r="I431" s="25" t="str">
        <f ca="1">INDIRECT(_xlfn.TEXTJOIN("",TRUE,A425,"!",ADDRESS(15+(A426-1)*J425,13)))</f>
        <v>D</v>
      </c>
      <c r="J431" s="25">
        <f ca="1">INDIRECT(_xlfn.TEXTJOIN("",TRUE,A425,"!",ADDRESS(15+(A426-1)*J425,14)))</f>
        <v>6</v>
      </c>
    </row>
    <row r="432" spans="1:10" ht="10.5" customHeight="1" x14ac:dyDescent="0.2">
      <c r="A432" s="65" t="str">
        <f ca="1">INDIRECT(_xlfn.TEXTJOIN("",TRUE,A425,"!",ADDRESS(16+(A426-1)*J425,1)))</f>
        <v>CAT 007</v>
      </c>
      <c r="B432" s="65"/>
      <c r="C432" s="66" t="str">
        <f ca="1">INDIRECT(_xlfn.TEXTJOIN("",TRUE,A425,"!",ADDRESS(16+(A426-1)*J425,2)))</f>
        <v>Computer Organization</v>
      </c>
      <c r="D432" s="66"/>
      <c r="E432" s="66"/>
      <c r="F432" s="66"/>
      <c r="G432" s="66"/>
      <c r="H432" s="25">
        <f ca="1">INDIRECT(_xlfn.TEXTJOIN("",TRUE,A425,"!",ADDRESS(16+(A426-1)*J425,6)))</f>
        <v>4</v>
      </c>
      <c r="I432" s="25" t="str">
        <f ca="1">INDIRECT(_xlfn.TEXTJOIN("",TRUE,A425,"!",ADDRESS(16+(A426-1)*J425,13)))</f>
        <v>D</v>
      </c>
      <c r="J432" s="25">
        <f ca="1">INDIRECT(_xlfn.TEXTJOIN("",TRUE,A425,"!",ADDRESS(16+(A426-1)*J425,14)))</f>
        <v>6</v>
      </c>
    </row>
    <row r="433" spans="1:10" ht="10.5" customHeight="1" x14ac:dyDescent="0.2">
      <c r="A433" s="65" t="str">
        <f ca="1">INDIRECT(_xlfn.TEXTJOIN("",TRUE,A425,"!",ADDRESS(17+(A426-1)*J425,1)))</f>
        <v>AHT 303</v>
      </c>
      <c r="B433" s="65"/>
      <c r="C433" s="66" t="str">
        <f ca="1">INDIRECT(_xlfn.TEXTJOIN("",TRUE,A425,"!",ADDRESS(17+(A426-1)*J425,2)))</f>
        <v>Technical Communication Skills</v>
      </c>
      <c r="D433" s="66"/>
      <c r="E433" s="66"/>
      <c r="F433" s="66"/>
      <c r="G433" s="66"/>
      <c r="H433" s="25">
        <f ca="1">INDIRECT(_xlfn.TEXTJOIN("",TRUE,A425,"!",ADDRESS(17+(A426-1)*J425,6)))</f>
        <v>4</v>
      </c>
      <c r="I433" s="25" t="str">
        <f ca="1">INDIRECT(_xlfn.TEXTJOIN("",TRUE,A425,"!",ADDRESS(17+(A426-1)*J425,13)))</f>
        <v>C</v>
      </c>
      <c r="J433" s="25">
        <f ca="1">INDIRECT(_xlfn.TEXTJOIN("",TRUE,A425,"!",ADDRESS(17+(A426-1)*J425,14)))</f>
        <v>7</v>
      </c>
    </row>
    <row r="434" spans="1:10" ht="10.5" customHeight="1" x14ac:dyDescent="0.2">
      <c r="A434" s="65" t="str">
        <f ca="1">INDIRECT(_xlfn.TEXTJOIN("",TRUE,A425,"!",ADDRESS(18+(A426-1)*J425,1)))</f>
        <v>CAT 008</v>
      </c>
      <c r="B434" s="65"/>
      <c r="C434" s="66" t="str">
        <f ca="1">INDIRECT(_xlfn.TEXTJOIN("",TRUE,A425,"!",ADDRESS(18+(A426-1)*J425,2)))</f>
        <v>Python Programming ($)</v>
      </c>
      <c r="D434" s="66"/>
      <c r="E434" s="66"/>
      <c r="F434" s="66"/>
      <c r="G434" s="66"/>
      <c r="H434" s="25">
        <f ca="1">INDIRECT(_xlfn.TEXTJOIN("",TRUE,A425,"!",ADDRESS(18+(A426-1)*J425,6)))</f>
        <v>0</v>
      </c>
      <c r="I434" s="25" t="str">
        <f ca="1">INDIRECT(_xlfn.TEXTJOIN("",TRUE,A425,"!",ADDRESS(18+(A426-1)*J425,13)))</f>
        <v>E+</v>
      </c>
      <c r="J434" s="25">
        <f ca="1">INDIRECT(_xlfn.TEXTJOIN("",TRUE,A425,"!",ADDRESS(18+(A426-1)*J425,14)))</f>
        <v>5.5</v>
      </c>
    </row>
    <row r="435" spans="1:10" ht="10.5" customHeight="1" x14ac:dyDescent="0.2">
      <c r="A435" s="60" t="str">
        <f ca="1">INDIRECT(_xlfn.TEXTJOIN("",TRUE,A425,"!",ADDRESS(19+(A426-1)*J425,1)))</f>
        <v>CAT 001</v>
      </c>
      <c r="B435" s="61"/>
      <c r="C435" s="57" t="str">
        <f ca="1">INDIRECT(_xlfn.TEXTJOIN("",TRUE,A425,"!",ADDRESS(19+(A426-1)*J425,2)))</f>
        <v>Introduction of Information Technology ($)</v>
      </c>
      <c r="D435" s="58"/>
      <c r="E435" s="58"/>
      <c r="F435" s="58"/>
      <c r="G435" s="59"/>
      <c r="H435" s="25">
        <f ca="1">INDIRECT(_xlfn.TEXTJOIN("",TRUE,A425,"!",ADDRESS(19+(A426-1)*J425,6)))</f>
        <v>0</v>
      </c>
      <c r="I435" s="25" t="str">
        <f ca="1">INDIRECT(_xlfn.TEXTJOIN("",TRUE,A425,"!",ADDRESS(19+(A426-1)*J425,13)))</f>
        <v>-</v>
      </c>
      <c r="J435" s="25" t="str">
        <f ca="1">INDIRECT(_xlfn.TEXTJOIN("",TRUE,A425,"!",ADDRESS(19+(A426-1)*J425,14)))</f>
        <v>-</v>
      </c>
    </row>
    <row r="436" spans="1:10" ht="10.5" customHeight="1" x14ac:dyDescent="0.2">
      <c r="A436" s="65" t="str">
        <f ca="1">INDIRECT(_xlfn.TEXTJOIN("",TRUE,A425,"!",ADDRESS(20+(A426-1)*J425,1)))</f>
        <v>CAT 002</v>
      </c>
      <c r="B436" s="65"/>
      <c r="C436" s="66" t="str">
        <f ca="1">INDIRECT(_xlfn.TEXTJOIN("",TRUE,A425,"!",ADDRESS(20+(A426-1)*J425,2)))</f>
        <v>Programming Fundamentals with "C" ($)</v>
      </c>
      <c r="D436" s="66"/>
      <c r="E436" s="66"/>
      <c r="F436" s="66"/>
      <c r="G436" s="66"/>
      <c r="H436" s="25">
        <f ca="1">INDIRECT(_xlfn.TEXTJOIN("",TRUE,A425,"!",ADDRESS(20+(A426-1)*J425,6)))</f>
        <v>0</v>
      </c>
      <c r="I436" s="25" t="str">
        <f ca="1">INDIRECT(_xlfn.TEXTJOIN("",TRUE,A425,"!",ADDRESS(20+(A426-1)*J425,13)))</f>
        <v>-</v>
      </c>
      <c r="J436" s="25" t="str">
        <f ca="1">INDIRECT(_xlfn.TEXTJOIN("",TRUE,A425,"!",ADDRESS(20+(A426-1)*J425,14)))</f>
        <v>-</v>
      </c>
    </row>
    <row r="437" spans="1:10" ht="10.5" customHeight="1" x14ac:dyDescent="0.2">
      <c r="A437" s="65" t="str">
        <f ca="1">INDIRECT(_xlfn.TEXTJOIN("",TRUE,A425,"!",ADDRESS(21+(A426-1)*J425,1)))</f>
        <v>CAT 003</v>
      </c>
      <c r="B437" s="65"/>
      <c r="C437" s="66" t="str">
        <f ca="1">INDIRECT(_xlfn.TEXTJOIN("",TRUE,A425,"!",ADDRESS(21+(A426-1)*J425,2)))</f>
        <v>Fundamental of Web Technology ($)</v>
      </c>
      <c r="D437" s="66"/>
      <c r="E437" s="66"/>
      <c r="F437" s="66"/>
      <c r="G437" s="66"/>
      <c r="H437" s="25">
        <f ca="1">INDIRECT(_xlfn.TEXTJOIN("",TRUE,A425,"!",ADDRESS(21+(A426-1)*J425,6)))</f>
        <v>0</v>
      </c>
      <c r="I437" s="25" t="str">
        <f ca="1">INDIRECT(_xlfn.TEXTJOIN("",TRUE,A425,"!",ADDRESS(21+(A426-1)*J425,13)))</f>
        <v>-</v>
      </c>
      <c r="J437" s="25" t="str">
        <f ca="1">INDIRECT(_xlfn.TEXTJOIN("",TRUE,A425,"!",ADDRESS(21+(A426-1)*J425,14)))</f>
        <v>-</v>
      </c>
    </row>
    <row r="438" spans="1:10" ht="10.5" customHeight="1" x14ac:dyDescent="0.2">
      <c r="A438" s="65" t="str">
        <f ca="1">INDIRECT(_xlfn.TEXTJOIN("",TRUE,A425,"!",ADDRESS(22+(A426-1)*J425,1)))</f>
        <v>CAP 001</v>
      </c>
      <c r="B438" s="65"/>
      <c r="C438" s="66" t="str">
        <f ca="1">INDIRECT(_xlfn.TEXTJOIN("",TRUE,A425,"!",ADDRESS(22+(A426-1)*J425,2)))</f>
        <v>Database Management System Lab</v>
      </c>
      <c r="D438" s="66"/>
      <c r="E438" s="66"/>
      <c r="F438" s="66"/>
      <c r="G438" s="66"/>
      <c r="H438" s="25">
        <f ca="1">INDIRECT(_xlfn.TEXTJOIN("",TRUE,A425,"!",ADDRESS(22+(A426-1)*J425,6)))</f>
        <v>1</v>
      </c>
      <c r="I438" s="25" t="str">
        <f ca="1">INDIRECT(_xlfn.TEXTJOIN("",TRUE,A425,"!",ADDRESS(22+(A426-1)*J425,13)))</f>
        <v>B+</v>
      </c>
      <c r="J438" s="25">
        <f ca="1">INDIRECT(_xlfn.TEXTJOIN("",TRUE,A425,"!",ADDRESS(22+(A426-1)*J425,14)))</f>
        <v>8.5</v>
      </c>
    </row>
    <row r="439" spans="1:10" ht="10.5" customHeight="1" x14ac:dyDescent="0.2">
      <c r="A439" s="65" t="str">
        <f ca="1">INDIRECT(_xlfn.TEXTJOIN("",TRUE,A425,"!",ADDRESS(23+(A426-1)*J425,1)))</f>
        <v>CAP 002</v>
      </c>
      <c r="B439" s="65"/>
      <c r="C439" s="66" t="str">
        <f ca="1">INDIRECT(_xlfn.TEXTJOIN("",TRUE,A425,"!",ADDRESS(23+(A426-1)*J425,2)))</f>
        <v>Operating System Lab</v>
      </c>
      <c r="D439" s="66"/>
      <c r="E439" s="66"/>
      <c r="F439" s="66"/>
      <c r="G439" s="66"/>
      <c r="H439" s="25">
        <f ca="1">INDIRECT(_xlfn.TEXTJOIN("",TRUE,A425,"!",ADDRESS(23+(A426-1)*J425,6)))</f>
        <v>1</v>
      </c>
      <c r="I439" s="25" t="str">
        <f ca="1">INDIRECT(_xlfn.TEXTJOIN("",TRUE,A425,"!",ADDRESS(23+(A426-1)*J425,13)))</f>
        <v>B+</v>
      </c>
      <c r="J439" s="25">
        <f ca="1">INDIRECT(_xlfn.TEXTJOIN("",TRUE,A425,"!",ADDRESS(23+(A426-1)*J425,14)))</f>
        <v>8.5</v>
      </c>
    </row>
    <row r="440" spans="1:10" ht="10.5" customHeight="1" x14ac:dyDescent="0.2">
      <c r="A440" s="65" t="str">
        <f ca="1">INDIRECT(_xlfn.TEXTJOIN("",TRUE,A425,"!",ADDRESS(24+(A426-1)*J425,1)))</f>
        <v>CAP 003</v>
      </c>
      <c r="B440" s="65"/>
      <c r="C440" s="66" t="str">
        <f ca="1">INDIRECT(_xlfn.TEXTJOIN("",TRUE,A425,"!",ADDRESS(24+(A426-1)*J425,2)))</f>
        <v>Computer Organization Lab</v>
      </c>
      <c r="D440" s="66"/>
      <c r="E440" s="66"/>
      <c r="F440" s="66"/>
      <c r="G440" s="66"/>
      <c r="H440" s="25">
        <f ca="1">INDIRECT(_xlfn.TEXTJOIN("",TRUE,A425,"!",ADDRESS(24+(A426-1)*J425,6)))</f>
        <v>1</v>
      </c>
      <c r="I440" s="25" t="str">
        <f ca="1">INDIRECT(_xlfn.TEXTJOIN("",TRUE,A425,"!",ADDRESS(24+(A426-1)*J425,13)))</f>
        <v>A+</v>
      </c>
      <c r="J440" s="25">
        <f ca="1">INDIRECT(_xlfn.TEXTJOIN("",TRUE,A425,"!",ADDRESS(24+(A426-1)*J425,14)))</f>
        <v>9.5</v>
      </c>
    </row>
    <row r="441" spans="1:10" ht="10.5" customHeight="1" x14ac:dyDescent="0.2">
      <c r="A441" s="65" t="str">
        <f ca="1">INDIRECT(_xlfn.TEXTJOIN("",TRUE,A425,"!",ADDRESS(25+(A426-1)*J425,1)))</f>
        <v>AHP 303</v>
      </c>
      <c r="B441" s="65"/>
      <c r="C441" s="66" t="str">
        <f ca="1">INDIRECT(_xlfn.TEXTJOIN("",TRUE,A425,"!",ADDRESS(25+(A426-1)*J425,2)))</f>
        <v>Technical Communication Skills</v>
      </c>
      <c r="D441" s="66"/>
      <c r="E441" s="66"/>
      <c r="F441" s="66"/>
      <c r="G441" s="66"/>
      <c r="H441" s="25">
        <f ca="1">INDIRECT(_xlfn.TEXTJOIN("",TRUE,A425,"!",ADDRESS(25+(A426-1)*J425,6)))</f>
        <v>1</v>
      </c>
      <c r="I441" s="25" t="str">
        <f ca="1">INDIRECT(_xlfn.TEXTJOIN("",TRUE,A425,"!",ADDRESS(25+(A426-1)*J425,13)))</f>
        <v>B+</v>
      </c>
      <c r="J441" s="25">
        <f ca="1">INDIRECT(_xlfn.TEXTJOIN("",TRUE,A425,"!",ADDRESS(25+(A426-1)*J425,14)))</f>
        <v>8.5</v>
      </c>
    </row>
    <row r="442" spans="1:10" s="35" customFormat="1" ht="10.5" customHeight="1" x14ac:dyDescent="0.2">
      <c r="A442" s="77">
        <f ca="1">INDIRECT(_xlfn.TEXTJOIN("",TRUE,A425,"!",ADDRESS(26+(A426-1)*J425,1)))</f>
        <v>0</v>
      </c>
      <c r="B442" s="77"/>
      <c r="C442" s="78">
        <f ca="1">INDIRECT(_xlfn.TEXTJOIN("",TRUE,A425,"!",ADDRESS(26+(A426-1)*J425,2)))</f>
        <v>0</v>
      </c>
      <c r="D442" s="78"/>
      <c r="E442" s="78"/>
      <c r="F442" s="78"/>
      <c r="G442" s="78"/>
      <c r="H442" s="34">
        <f ca="1">INDIRECT(_xlfn.TEXTJOIN("",TRUE,A425,"!",ADDRESS(26+(A426-1)*J425,6)))</f>
        <v>0</v>
      </c>
      <c r="I442" s="34" t="str">
        <f ca="1">INDIRECT(_xlfn.TEXTJOIN("",TRUE,A425,"!",ADDRESS(26+(A426-1)*J425,13)))</f>
        <v>Excellent</v>
      </c>
      <c r="J442" s="34">
        <f ca="1">INDIRECT(_xlfn.TEXTJOIN("",TRUE,A425,"!",ADDRESS(26+(A426-1)*J425,14)))</f>
        <v>0</v>
      </c>
    </row>
    <row r="443" spans="1:10" ht="10.5" customHeight="1" x14ac:dyDescent="0.2">
      <c r="A443" s="71" t="s">
        <v>52</v>
      </c>
      <c r="B443" s="71"/>
      <c r="C443" s="71"/>
      <c r="D443" s="71"/>
      <c r="E443" s="71"/>
      <c r="F443" s="71"/>
      <c r="G443" s="71"/>
      <c r="H443" s="27">
        <f ca="1">SUM(H429:H442)</f>
        <v>24</v>
      </c>
      <c r="I443" s="26" t="s">
        <v>44</v>
      </c>
      <c r="J443" s="27">
        <f ca="1">SUMPRODUCT(J429:J441,H429:H441)</f>
        <v>155</v>
      </c>
    </row>
    <row r="444" spans="1:10" ht="10.5" customHeight="1" x14ac:dyDescent="0.2">
      <c r="A444" s="24" t="s">
        <v>57</v>
      </c>
      <c r="B444" s="72" t="str">
        <f ca="1">IF(ISNA(A445),"","Semester II (Spring Semester 2022-23)")</f>
        <v/>
      </c>
      <c r="C444" s="72"/>
      <c r="D444" s="72"/>
      <c r="E444" s="72"/>
      <c r="F444" s="72"/>
      <c r="G444" s="72"/>
      <c r="H444" s="72"/>
      <c r="I444" s="72"/>
      <c r="J444" s="24">
        <f>ROWS(A448:B457)+9</f>
        <v>19</v>
      </c>
    </row>
    <row r="445" spans="1:10" ht="10.5" customHeight="1" x14ac:dyDescent="0.2">
      <c r="A445" s="24" t="e">
        <f ca="1">INDEX(SEM_II!$A$6:$A$45,Marksheets!J445)</f>
        <v>#N/A</v>
      </c>
      <c r="B445" s="63"/>
      <c r="C445" s="63"/>
      <c r="D445" s="63"/>
      <c r="E445" s="63"/>
      <c r="F445" s="63"/>
      <c r="G445" s="63"/>
      <c r="H445" s="63"/>
      <c r="I445" s="63"/>
      <c r="J445" s="24" t="e">
        <f ca="1">MATCH(H423,SEM_II!$B$6:$B$45,0)</f>
        <v>#N/A</v>
      </c>
    </row>
    <row r="446" spans="1:10" ht="10.5" customHeight="1" x14ac:dyDescent="0.2">
      <c r="A446" s="64" t="str">
        <f ca="1">IF(ISNA(A445),"","Subject Code")</f>
        <v/>
      </c>
      <c r="B446" s="64"/>
      <c r="C446" s="64" t="str">
        <f ca="1">IF(ISNA(A445),"","Subject Name")</f>
        <v/>
      </c>
      <c r="D446" s="64"/>
      <c r="E446" s="64"/>
      <c r="F446" s="64"/>
      <c r="G446" s="64"/>
      <c r="H446" s="64" t="str">
        <f ca="1">IF(ISNA(A445),"","Credits")</f>
        <v/>
      </c>
      <c r="I446" s="64" t="str">
        <f ca="1">IF(ISNA(A445),"","Grade")</f>
        <v/>
      </c>
      <c r="J446" s="64" t="str">
        <f ca="1">IF(ISNA(A445),"","Grade Points")</f>
        <v/>
      </c>
    </row>
    <row r="447" spans="1:10" ht="12.5" customHeight="1" x14ac:dyDescent="0.2">
      <c r="A447" s="64"/>
      <c r="B447" s="64"/>
      <c r="C447" s="64"/>
      <c r="D447" s="64"/>
      <c r="E447" s="64"/>
      <c r="F447" s="64"/>
      <c r="G447" s="64"/>
      <c r="H447" s="64"/>
      <c r="I447" s="64"/>
      <c r="J447" s="64"/>
    </row>
    <row r="448" spans="1:10" ht="10.5" customHeight="1" x14ac:dyDescent="0.2">
      <c r="A448" s="65" t="str">
        <f ca="1">_xlfn.IFNA(INDIRECT(_xlfn.TEXTJOIN("",TRUE,A444,"!",ADDRESS(13+(A445-1)*J444,1))),"")</f>
        <v/>
      </c>
      <c r="B448" s="65"/>
      <c r="C448" s="66" t="str">
        <f ca="1">_xlfn.IFNA(INDIRECT(_xlfn.TEXTJOIN("",TRUE,A444,"!",ADDRESS(13+(A445-1)*J444,2))),"")</f>
        <v/>
      </c>
      <c r="D448" s="66"/>
      <c r="E448" s="66"/>
      <c r="F448" s="66"/>
      <c r="G448" s="66"/>
      <c r="H448" s="25" t="str">
        <f ca="1">_xlfn.IFNA(INDIRECT(_xlfn.TEXTJOIN("",TRUE,A444,"!",ADDRESS(13+(A445-1)*J444,6))),"")</f>
        <v/>
      </c>
      <c r="I448" s="25" t="str">
        <f ca="1">_xlfn.IFNA(INDIRECT(_xlfn.TEXTJOIN("",TRUE,A444,"!",ADDRESS(13+(A445-1)*J444,13))),"")</f>
        <v/>
      </c>
      <c r="J448" s="25" t="str">
        <f ca="1">_xlfn.IFNA(INDIRECT(_xlfn.TEXTJOIN("",TRUE,A444,"!",ADDRESS(13+(A445-1)*J444,14))),"")</f>
        <v/>
      </c>
    </row>
    <row r="449" spans="1:10" ht="10.5" customHeight="1" x14ac:dyDescent="0.2">
      <c r="A449" s="65" t="str">
        <f ca="1">_xlfn.IFNA(INDIRECT(_xlfn.TEXTJOIN("",TRUE,A444,"!",ADDRESS(14+(A445-1)*J444,1))),"")</f>
        <v/>
      </c>
      <c r="B449" s="65"/>
      <c r="C449" s="66" t="str">
        <f ca="1">_xlfn.IFNA(INDIRECT(_xlfn.TEXTJOIN("",TRUE,A444,"!",ADDRESS(14+(A445-1)*J444,2))),"")</f>
        <v/>
      </c>
      <c r="D449" s="66"/>
      <c r="E449" s="66"/>
      <c r="F449" s="66"/>
      <c r="G449" s="66"/>
      <c r="H449" s="25" t="str">
        <f ca="1">_xlfn.IFNA(INDIRECT(_xlfn.TEXTJOIN("",TRUE,A444,"!",ADDRESS(14+(A445-1)*J444,6))),"")</f>
        <v/>
      </c>
      <c r="I449" s="25" t="str">
        <f ca="1">_xlfn.IFNA(INDIRECT(_xlfn.TEXTJOIN("",TRUE,A444,"!",ADDRESS(14+(A445-1)*J444,13))),"")</f>
        <v/>
      </c>
      <c r="J449" s="25" t="str">
        <f ca="1">_xlfn.IFNA(INDIRECT(_xlfn.TEXTJOIN("",TRUE,A444,"!",ADDRESS(14+(A445-1)*J444,14))),"")</f>
        <v/>
      </c>
    </row>
    <row r="450" spans="1:10" ht="10.5" customHeight="1" x14ac:dyDescent="0.2">
      <c r="A450" s="65" t="str">
        <f ca="1">_xlfn.IFNA(INDIRECT(_xlfn.TEXTJOIN("",TRUE,A444,"!",ADDRESS(15+(A445-1)*J444,1))),"")</f>
        <v/>
      </c>
      <c r="B450" s="65"/>
      <c r="C450" s="66" t="str">
        <f ca="1">_xlfn.IFNA(INDIRECT(_xlfn.TEXTJOIN("",TRUE,A444,"!",ADDRESS(15+(A445-1)*J444,2))),"")</f>
        <v/>
      </c>
      <c r="D450" s="66"/>
      <c r="E450" s="66"/>
      <c r="F450" s="66"/>
      <c r="G450" s="66"/>
      <c r="H450" s="25" t="str">
        <f ca="1">_xlfn.IFNA(INDIRECT(_xlfn.TEXTJOIN("",TRUE,A444,"!",ADDRESS(15+(A445-1)*J444,6))),"")</f>
        <v/>
      </c>
      <c r="I450" s="25" t="str">
        <f ca="1">_xlfn.IFNA(INDIRECT(_xlfn.TEXTJOIN("",TRUE,A444,"!",ADDRESS(15+(A445-1)*J444,13))),"")</f>
        <v/>
      </c>
      <c r="J450" s="25" t="str">
        <f ca="1">_xlfn.IFNA(INDIRECT(_xlfn.TEXTJOIN("",TRUE,A444,"!",ADDRESS(15+(A445-1)*J444,14))),"")</f>
        <v/>
      </c>
    </row>
    <row r="451" spans="1:10" ht="10.5" customHeight="1" x14ac:dyDescent="0.2">
      <c r="A451" s="65" t="str">
        <f ca="1">_xlfn.IFNA(INDIRECT(_xlfn.TEXTJOIN("",TRUE,A444,"!",ADDRESS(16+(A445-1)*J444,1))),"")</f>
        <v/>
      </c>
      <c r="B451" s="65"/>
      <c r="C451" s="66" t="str">
        <f ca="1">_xlfn.IFNA(INDIRECT(_xlfn.TEXTJOIN("",TRUE,A444,"!",ADDRESS(16+(A445-1)*J444,2))),"")</f>
        <v/>
      </c>
      <c r="D451" s="66"/>
      <c r="E451" s="66"/>
      <c r="F451" s="66"/>
      <c r="G451" s="66"/>
      <c r="H451" s="25" t="str">
        <f ca="1">_xlfn.IFNA(INDIRECT(_xlfn.TEXTJOIN("",TRUE,A444,"!",ADDRESS(16+(A445-1)*J444,6))),"")</f>
        <v/>
      </c>
      <c r="I451" s="25" t="str">
        <f ca="1">_xlfn.IFNA(INDIRECT(_xlfn.TEXTJOIN("",TRUE,A444,"!",ADDRESS(16+(A445-1)*J444,13))),"")</f>
        <v/>
      </c>
      <c r="J451" s="25" t="str">
        <f ca="1">_xlfn.IFNA(INDIRECT(_xlfn.TEXTJOIN("",TRUE,A444,"!",ADDRESS(16+(A445-1)*J444,14))),"")</f>
        <v/>
      </c>
    </row>
    <row r="452" spans="1:10" ht="10.5" customHeight="1" x14ac:dyDescent="0.2">
      <c r="A452" s="65" t="str">
        <f ca="1">_xlfn.IFNA(INDIRECT(_xlfn.TEXTJOIN("",TRUE,A444,"!",ADDRESS(17+(A445-1)*J444,1))),"")</f>
        <v/>
      </c>
      <c r="B452" s="65"/>
      <c r="C452" s="66" t="str">
        <f ca="1">_xlfn.IFNA(INDIRECT(_xlfn.TEXTJOIN("",TRUE,A444,"!",ADDRESS(17+(A445-1)*J444,2))),"")</f>
        <v/>
      </c>
      <c r="D452" s="66"/>
      <c r="E452" s="66"/>
      <c r="F452" s="66"/>
      <c r="G452" s="66"/>
      <c r="H452" s="25" t="str">
        <f ca="1">_xlfn.IFNA(INDIRECT(_xlfn.TEXTJOIN("",TRUE,A444,"!",ADDRESS(17+(A445-1)*J444,6))),"")</f>
        <v/>
      </c>
      <c r="I452" s="25" t="str">
        <f ca="1">_xlfn.IFNA(INDIRECT(_xlfn.TEXTJOIN("",TRUE,A444,"!",ADDRESS(17+(A445-1)*J444,13))),"")</f>
        <v/>
      </c>
      <c r="J452" s="25" t="str">
        <f ca="1">_xlfn.IFNA(INDIRECT(_xlfn.TEXTJOIN("",TRUE,A444,"!",ADDRESS(17+(A445-1)*J444,14))),"")</f>
        <v/>
      </c>
    </row>
    <row r="453" spans="1:10" ht="10.5" customHeight="1" x14ac:dyDescent="0.2">
      <c r="A453" s="65" t="str">
        <f ca="1">_xlfn.IFNA(INDIRECT(_xlfn.TEXTJOIN("",TRUE,A444,"!",ADDRESS(18+(A445-1)*J444,1))),"")</f>
        <v/>
      </c>
      <c r="B453" s="65"/>
      <c r="C453" s="66" t="str">
        <f ca="1">_xlfn.IFNA(INDIRECT(_xlfn.TEXTJOIN("",TRUE,A444,"!",ADDRESS(18+(A445-1)*J444,2))),"")</f>
        <v/>
      </c>
      <c r="D453" s="66"/>
      <c r="E453" s="66"/>
      <c r="F453" s="66"/>
      <c r="G453" s="66"/>
      <c r="H453" s="25" t="str">
        <f ca="1">_xlfn.IFNA(INDIRECT(_xlfn.TEXTJOIN("",TRUE,A444,"!",ADDRESS(18+(A445-1)*J444,6))),"")</f>
        <v/>
      </c>
      <c r="I453" s="25" t="str">
        <f ca="1">_xlfn.IFNA(INDIRECT(_xlfn.TEXTJOIN("",TRUE,A444,"!",ADDRESS(18+(A445-1)*J444,13))),"")</f>
        <v/>
      </c>
      <c r="J453" s="25" t="str">
        <f ca="1">_xlfn.IFNA(INDIRECT(_xlfn.TEXTJOIN("",TRUE,A444,"!",ADDRESS(18+(A445-1)*J444,14))),"")</f>
        <v/>
      </c>
    </row>
    <row r="454" spans="1:10" ht="10.5" customHeight="1" x14ac:dyDescent="0.2">
      <c r="A454" s="60" t="str">
        <f ca="1">_xlfn.IFNA(INDIRECT(_xlfn.TEXTJOIN("",TRUE,A444,"!",ADDRESS(19+(A445-1)*J444,1))),"")</f>
        <v/>
      </c>
      <c r="B454" s="61"/>
      <c r="C454" s="57" t="str">
        <f ca="1">_xlfn.IFNA(INDIRECT(_xlfn.TEXTJOIN("",TRUE,A444,"!",ADDRESS(19+(A445-1)*J444,2))),"")</f>
        <v/>
      </c>
      <c r="D454" s="58"/>
      <c r="E454" s="58"/>
      <c r="F454" s="58"/>
      <c r="G454" s="59"/>
      <c r="H454" s="25" t="str">
        <f ca="1">_xlfn.IFNA(INDIRECT(_xlfn.TEXTJOIN("",TRUE,A444,"!",ADDRESS(19+(A445-1)*J444,6))),"")</f>
        <v/>
      </c>
      <c r="I454" s="25" t="str">
        <f ca="1">_xlfn.IFNA(INDIRECT(_xlfn.TEXTJOIN("",TRUE,A444,"!",ADDRESS(19+(A445-1)*J444,13))),"")</f>
        <v/>
      </c>
      <c r="J454" s="25" t="str">
        <f ca="1">_xlfn.IFNA(INDIRECT(_xlfn.TEXTJOIN("",TRUE,A444,"!",ADDRESS(19+(A445-1)*J444,14))),"")</f>
        <v/>
      </c>
    </row>
    <row r="455" spans="1:10" ht="10.5" customHeight="1" x14ac:dyDescent="0.2">
      <c r="A455" s="65" t="str">
        <f ca="1">_xlfn.IFNA(INDIRECT(_xlfn.TEXTJOIN("",TRUE,A444,"!",ADDRESS(20+(A445-1)*J444,1))),"")</f>
        <v/>
      </c>
      <c r="B455" s="65"/>
      <c r="C455" s="66" t="str">
        <f ca="1">_xlfn.IFNA(INDIRECT(_xlfn.TEXTJOIN("",TRUE,A444,"!",ADDRESS(20+(A445-1)*J444,2))),"")</f>
        <v/>
      </c>
      <c r="D455" s="66"/>
      <c r="E455" s="66"/>
      <c r="F455" s="66"/>
      <c r="G455" s="66"/>
      <c r="H455" s="25" t="str">
        <f ca="1">_xlfn.IFNA(INDIRECT(_xlfn.TEXTJOIN("",TRUE,A444,"!",ADDRESS(20+(A445-1)*J444,6))),"")</f>
        <v/>
      </c>
      <c r="I455" s="25" t="str">
        <f ca="1">_xlfn.IFNA(INDIRECT(_xlfn.TEXTJOIN("",TRUE,A444,"!",ADDRESS(20+(A445-1)*J444,13))),"")</f>
        <v/>
      </c>
      <c r="J455" s="25" t="str">
        <f ca="1">_xlfn.IFNA(INDIRECT(_xlfn.TEXTJOIN("",TRUE,A444,"!",ADDRESS(20+(A445-1)*J444,14))),"")</f>
        <v/>
      </c>
    </row>
    <row r="456" spans="1:10" ht="10.5" customHeight="1" x14ac:dyDescent="0.2">
      <c r="A456" s="65" t="str">
        <f ca="1">_xlfn.IFNA(INDIRECT(_xlfn.TEXTJOIN("",TRUE,A444,"!",ADDRESS(21+(A445-1)*J444,1))),"")</f>
        <v/>
      </c>
      <c r="B456" s="65"/>
      <c r="C456" s="66" t="str">
        <f ca="1">_xlfn.IFNA(INDIRECT(_xlfn.TEXTJOIN("",TRUE,A444,"!",ADDRESS(21+(A445-1)*J444,2))),"")</f>
        <v/>
      </c>
      <c r="D456" s="66"/>
      <c r="E456" s="66"/>
      <c r="F456" s="66"/>
      <c r="G456" s="66"/>
      <c r="H456" s="25" t="str">
        <f ca="1">_xlfn.IFNA(INDIRECT(_xlfn.TEXTJOIN("",TRUE,A444,"!",ADDRESS(21+(A445-1)*J444,6))),"")</f>
        <v/>
      </c>
      <c r="I456" s="25" t="str">
        <f ca="1">_xlfn.IFNA(INDIRECT(_xlfn.TEXTJOIN("",TRUE,A444,"!",ADDRESS(21+(A445-1)*J444,13))),"")</f>
        <v/>
      </c>
      <c r="J456" s="25" t="str">
        <f ca="1">_xlfn.IFNA(INDIRECT(_xlfn.TEXTJOIN("",TRUE,A444,"!",ADDRESS(21+(A445-1)*J444,14))),"")</f>
        <v/>
      </c>
    </row>
    <row r="457" spans="1:10" ht="10.5" customHeight="1" x14ac:dyDescent="0.2">
      <c r="A457" s="65" t="str">
        <f ca="1">_xlfn.IFNA(INDIRECT(_xlfn.TEXTJOIN("",TRUE,A444,"!",ADDRESS(22+(A445-1)*J444,1))),"")</f>
        <v/>
      </c>
      <c r="B457" s="65"/>
      <c r="C457" s="66" t="str">
        <f ca="1">_xlfn.IFNA(INDIRECT(_xlfn.TEXTJOIN("",TRUE,A444,"!",ADDRESS(22+(A445-1)*J444,2))),"")</f>
        <v/>
      </c>
      <c r="D457" s="66"/>
      <c r="E457" s="66"/>
      <c r="F457" s="66"/>
      <c r="G457" s="66"/>
      <c r="H457" s="25" t="str">
        <f ca="1">_xlfn.IFNA(INDIRECT(_xlfn.TEXTJOIN("",TRUE,A444,"!",ADDRESS(22+(A445-1)*J444,6))),"")</f>
        <v/>
      </c>
      <c r="I457" s="25" t="str">
        <f ca="1">_xlfn.IFNA(INDIRECT(_xlfn.TEXTJOIN("",TRUE,A444,"!",ADDRESS(22+(A445-1)*J444,13))),"")</f>
        <v/>
      </c>
      <c r="J457" s="25" t="str">
        <f ca="1">_xlfn.IFNA(INDIRECT(_xlfn.TEXTJOIN("",TRUE,A444,"!",ADDRESS(22+(A445-1)*J444,14))),"")</f>
        <v/>
      </c>
    </row>
    <row r="458" spans="1:10" ht="10.5" customHeight="1" x14ac:dyDescent="0.2">
      <c r="A458" s="71" t="str">
        <f ca="1">IF(ISNA(A445),"","Total Credits/ Total Grade Points")</f>
        <v/>
      </c>
      <c r="B458" s="71"/>
      <c r="C458" s="71"/>
      <c r="D458" s="71"/>
      <c r="E458" s="71"/>
      <c r="F458" s="71"/>
      <c r="G458" s="71"/>
      <c r="H458" s="27" t="str">
        <f ca="1">IF(ISNA(A445),"",SUM(H448:H457))</f>
        <v/>
      </c>
      <c r="I458" s="26" t="str">
        <f ca="1">IF(ISNA(A445),"","-")</f>
        <v/>
      </c>
      <c r="J458" s="27" t="str">
        <f ca="1">IF(ISNA(A445),"",SUMPRODUCT(J448:J457,H448:H457))</f>
        <v/>
      </c>
    </row>
    <row r="459" spans="1:10" ht="10.5" customHeight="1" x14ac:dyDescent="0.2">
      <c r="A459" s="24" t="s">
        <v>60</v>
      </c>
      <c r="B459" s="72" t="str">
        <f ca="1">IF(ISNA(A460),"","Semester III (Autumn Semester 2023-24)")</f>
        <v/>
      </c>
      <c r="C459" s="72"/>
      <c r="D459" s="72"/>
      <c r="E459" s="72"/>
      <c r="F459" s="72"/>
      <c r="G459" s="72"/>
      <c r="H459" s="72"/>
      <c r="I459" s="72"/>
      <c r="J459" s="24">
        <f>ROWS(A463:B470)+9</f>
        <v>17</v>
      </c>
    </row>
    <row r="460" spans="1:10" ht="10.5" customHeight="1" x14ac:dyDescent="0.2">
      <c r="A460" s="24" t="e">
        <f ca="1">INDEX(SEM_III!$A$6:$A$43,Marksheets!J460)</f>
        <v>#N/A</v>
      </c>
      <c r="B460" s="63"/>
      <c r="C460" s="63"/>
      <c r="D460" s="63"/>
      <c r="E460" s="63"/>
      <c r="F460" s="63"/>
      <c r="G460" s="63"/>
      <c r="H460" s="63"/>
      <c r="I460" s="63"/>
      <c r="J460" s="24" t="e">
        <f ca="1">MATCH(H423,SEM_III!$B$6:$B$43,0)</f>
        <v>#N/A</v>
      </c>
    </row>
    <row r="461" spans="1:10" ht="10.5" customHeight="1" x14ac:dyDescent="0.2">
      <c r="A461" s="64" t="str">
        <f ca="1">IF(ISNA(A460),"","Subject Code")</f>
        <v/>
      </c>
      <c r="B461" s="64"/>
      <c r="C461" s="64" t="str">
        <f ca="1">IF(ISNA(A460),"","Subject Name")</f>
        <v/>
      </c>
      <c r="D461" s="64"/>
      <c r="E461" s="64"/>
      <c r="F461" s="64"/>
      <c r="G461" s="64"/>
      <c r="H461" s="64" t="str">
        <f ca="1">IF(ISNA(A460),"","Credits")</f>
        <v/>
      </c>
      <c r="I461" s="64" t="str">
        <f ca="1">IF(ISNA(A460),"","Grade")</f>
        <v/>
      </c>
      <c r="J461" s="64" t="str">
        <f ca="1">IF(ISNA(A460),"","Grade Points")</f>
        <v/>
      </c>
    </row>
    <row r="462" spans="1:10" ht="13.5" customHeight="1" x14ac:dyDescent="0.2">
      <c r="A462" s="64"/>
      <c r="B462" s="64"/>
      <c r="C462" s="64"/>
      <c r="D462" s="64"/>
      <c r="E462" s="64"/>
      <c r="F462" s="64"/>
      <c r="G462" s="64"/>
      <c r="H462" s="64"/>
      <c r="I462" s="64"/>
      <c r="J462" s="64"/>
    </row>
    <row r="463" spans="1:10" ht="10.5" customHeight="1" x14ac:dyDescent="0.2">
      <c r="A463" s="65" t="str">
        <f ca="1">_xlfn.IFNA(INDIRECT(_xlfn.TEXTJOIN("",TRUE,A459,"!",ADDRESS(13+(A460-1)*J459,1))),"")</f>
        <v/>
      </c>
      <c r="B463" s="65"/>
      <c r="C463" s="66" t="str">
        <f ca="1">_xlfn.IFNA(INDIRECT(_xlfn.TEXTJOIN("",TRUE,A459,"!",ADDRESS(13+(A460-1)*J459,2))),"")</f>
        <v/>
      </c>
      <c r="D463" s="66"/>
      <c r="E463" s="66"/>
      <c r="F463" s="66"/>
      <c r="G463" s="66"/>
      <c r="H463" s="25" t="str">
        <f ca="1">_xlfn.IFNA(INDIRECT(_xlfn.TEXTJOIN("",TRUE,A459,"!",ADDRESS(13+(A460-1)*J459,6))),"")</f>
        <v/>
      </c>
      <c r="I463" s="25" t="str">
        <f ca="1">_xlfn.IFNA(INDIRECT(_xlfn.TEXTJOIN("",TRUE,A459,"!",ADDRESS(13+(A460-1)*J459,13))),"")</f>
        <v/>
      </c>
      <c r="J463" s="25" t="str">
        <f ca="1">_xlfn.IFNA(INDIRECT(_xlfn.TEXTJOIN("",TRUE,A459,"!",ADDRESS(13+(A460-1)*J459,14))),"")</f>
        <v/>
      </c>
    </row>
    <row r="464" spans="1:10" ht="10.5" customHeight="1" x14ac:dyDescent="0.2">
      <c r="A464" s="65" t="str">
        <f ca="1">_xlfn.IFNA(INDIRECT(_xlfn.TEXTJOIN("",TRUE,A459,"!",ADDRESS(14+(A460-1)*J459,1))),"")</f>
        <v/>
      </c>
      <c r="B464" s="65"/>
      <c r="C464" s="66" t="str">
        <f ca="1">_xlfn.IFNA(INDIRECT(_xlfn.TEXTJOIN("",TRUE,A459,"!",ADDRESS(14+(A460-1)*J459,2))),"")</f>
        <v/>
      </c>
      <c r="D464" s="66"/>
      <c r="E464" s="66"/>
      <c r="F464" s="66"/>
      <c r="G464" s="66"/>
      <c r="H464" s="25" t="str">
        <f ca="1">_xlfn.IFNA(INDIRECT(_xlfn.TEXTJOIN("",TRUE,A459,"!",ADDRESS(14+(A460-1)*J459,6))),"")</f>
        <v/>
      </c>
      <c r="I464" s="25" t="str">
        <f ca="1">_xlfn.IFNA(INDIRECT(_xlfn.TEXTJOIN("",TRUE,A459,"!",ADDRESS(14+(A460-1)*J459,13))),"")</f>
        <v/>
      </c>
      <c r="J464" s="25" t="str">
        <f ca="1">_xlfn.IFNA(INDIRECT(_xlfn.TEXTJOIN("",TRUE,A459,"!",ADDRESS(14+(A460-1)*J459,14))),"")</f>
        <v/>
      </c>
    </row>
    <row r="465" spans="1:10" ht="10.5" customHeight="1" x14ac:dyDescent="0.2">
      <c r="A465" s="65" t="str">
        <f ca="1">_xlfn.IFNA(INDIRECT(_xlfn.TEXTJOIN("",TRUE,A459,"!",ADDRESS(15+(A460-1)*J459,1))),"")</f>
        <v/>
      </c>
      <c r="B465" s="65"/>
      <c r="C465" s="66" t="str">
        <f ca="1">_xlfn.IFNA(INDIRECT(_xlfn.TEXTJOIN("",TRUE,A459,"!",ADDRESS(15+(A460-1)*J459,2))),"")</f>
        <v/>
      </c>
      <c r="D465" s="66"/>
      <c r="E465" s="66"/>
      <c r="F465" s="66"/>
      <c r="G465" s="66"/>
      <c r="H465" s="25" t="str">
        <f ca="1">_xlfn.IFNA(INDIRECT(_xlfn.TEXTJOIN("",TRUE,A459,"!",ADDRESS(15+(A460-1)*J459,6))),"")</f>
        <v/>
      </c>
      <c r="I465" s="25" t="str">
        <f ca="1">_xlfn.IFNA(INDIRECT(_xlfn.TEXTJOIN("",TRUE,A459,"!",ADDRESS(15+(A460-1)*J459,13))),"")</f>
        <v/>
      </c>
      <c r="J465" s="25" t="str">
        <f ca="1">_xlfn.IFNA(INDIRECT(_xlfn.TEXTJOIN("",TRUE,A459,"!",ADDRESS(15+(A460-1)*J459,14))),"")</f>
        <v/>
      </c>
    </row>
    <row r="466" spans="1:10" ht="10.5" customHeight="1" x14ac:dyDescent="0.2">
      <c r="A466" s="65" t="str">
        <f ca="1">_xlfn.IFNA(INDIRECT(_xlfn.TEXTJOIN("",TRUE,A459,"!",ADDRESS(16+(A460-1)*J459,1))),"")</f>
        <v/>
      </c>
      <c r="B466" s="65"/>
      <c r="C466" s="66" t="str">
        <f ca="1">_xlfn.IFNA(INDIRECT(_xlfn.TEXTJOIN("",TRUE,A459,"!",ADDRESS(16+(A460-1)*J459,2))),"")</f>
        <v/>
      </c>
      <c r="D466" s="66"/>
      <c r="E466" s="66"/>
      <c r="F466" s="66"/>
      <c r="G466" s="66"/>
      <c r="H466" s="25" t="str">
        <f ca="1">_xlfn.IFNA(INDIRECT(_xlfn.TEXTJOIN("",TRUE,A459,"!",ADDRESS(16+(A460-1)*J459,6))),"")</f>
        <v/>
      </c>
      <c r="I466" s="25" t="str">
        <f ca="1">_xlfn.IFNA(INDIRECT(_xlfn.TEXTJOIN("",TRUE,A459,"!",ADDRESS(16+(A460-1)*J459,13))),"")</f>
        <v/>
      </c>
      <c r="J466" s="25" t="str">
        <f ca="1">_xlfn.IFNA(INDIRECT(_xlfn.TEXTJOIN("",TRUE,A459,"!",ADDRESS(16+(A460-1)*J459,14))),"")</f>
        <v/>
      </c>
    </row>
    <row r="467" spans="1:10" ht="10.5" customHeight="1" x14ac:dyDescent="0.2">
      <c r="A467" s="65" t="str">
        <f ca="1">_xlfn.IFNA(INDIRECT(_xlfn.TEXTJOIN("",TRUE,A459,"!",ADDRESS(17+(A460-1)*J459,1))),"")</f>
        <v/>
      </c>
      <c r="B467" s="65"/>
      <c r="C467" s="66" t="str">
        <f ca="1">_xlfn.IFNA(INDIRECT(_xlfn.TEXTJOIN("",TRUE,A459,"!",ADDRESS(17+(A460-1)*J459,2))),"")</f>
        <v/>
      </c>
      <c r="D467" s="66"/>
      <c r="E467" s="66"/>
      <c r="F467" s="66"/>
      <c r="G467" s="66"/>
      <c r="H467" s="25" t="str">
        <f ca="1">_xlfn.IFNA(INDIRECT(_xlfn.TEXTJOIN("",TRUE,A459,"!",ADDRESS(17+(A460-1)*J459,6))),"")</f>
        <v/>
      </c>
      <c r="I467" s="25" t="str">
        <f ca="1">_xlfn.IFNA(INDIRECT(_xlfn.TEXTJOIN("",TRUE,A459,"!",ADDRESS(17+(A460-1)*J459,13))),"")</f>
        <v/>
      </c>
      <c r="J467" s="25" t="str">
        <f ca="1">_xlfn.IFNA(INDIRECT(_xlfn.TEXTJOIN("",TRUE,A459,"!",ADDRESS(17+(A460-1)*J459,14))),"")</f>
        <v/>
      </c>
    </row>
    <row r="468" spans="1:10" ht="10.5" customHeight="1" x14ac:dyDescent="0.2">
      <c r="A468" s="65" t="str">
        <f ca="1">_xlfn.IFNA(INDIRECT(_xlfn.TEXTJOIN("",TRUE,A459,"!",ADDRESS(18+(A460-1)*J459,1))),"")</f>
        <v/>
      </c>
      <c r="B468" s="65"/>
      <c r="C468" s="66" t="str">
        <f ca="1">_xlfn.IFNA(INDIRECT(_xlfn.TEXTJOIN("",TRUE,A459,"!",ADDRESS(18+(A460-1)*J459,2))),"")</f>
        <v/>
      </c>
      <c r="D468" s="66"/>
      <c r="E468" s="66"/>
      <c r="F468" s="66"/>
      <c r="G468" s="66"/>
      <c r="H468" s="25" t="str">
        <f ca="1">_xlfn.IFNA(INDIRECT(_xlfn.TEXTJOIN("",TRUE,A459,"!",ADDRESS(18+(A460-1)*J459,6))),"")</f>
        <v/>
      </c>
      <c r="I468" s="25" t="str">
        <f ca="1">_xlfn.IFNA(INDIRECT(_xlfn.TEXTJOIN("",TRUE,A459,"!",ADDRESS(18+(A460-1)*J459,13))),"")</f>
        <v/>
      </c>
      <c r="J468" s="25" t="str">
        <f ca="1">_xlfn.IFNA(INDIRECT(_xlfn.TEXTJOIN("",TRUE,A459,"!",ADDRESS(18+(A460-1)*J459,14))),"")</f>
        <v/>
      </c>
    </row>
    <row r="469" spans="1:10" ht="10.5" customHeight="1" x14ac:dyDescent="0.2">
      <c r="A469" s="60" t="str">
        <f ca="1">_xlfn.IFNA(INDIRECT(_xlfn.TEXTJOIN("",TRUE,A459,"!",ADDRESS(19+(A460-1)*J459,1))),"")</f>
        <v/>
      </c>
      <c r="B469" s="61"/>
      <c r="C469" s="57" t="str">
        <f ca="1">_xlfn.IFNA(INDIRECT(_xlfn.TEXTJOIN("",TRUE,A459,"!",ADDRESS(19+(A460-1)*J459,2))),"")</f>
        <v/>
      </c>
      <c r="D469" s="58"/>
      <c r="E469" s="58"/>
      <c r="F469" s="58"/>
      <c r="G469" s="59"/>
      <c r="H469" s="25" t="str">
        <f ca="1">_xlfn.IFNA(INDIRECT(_xlfn.TEXTJOIN("",TRUE,A459,"!",ADDRESS(19+(A460-1)*J459,6))),"")</f>
        <v/>
      </c>
      <c r="I469" s="25" t="str">
        <f ca="1">_xlfn.IFNA(INDIRECT(_xlfn.TEXTJOIN("",TRUE,A459,"!",ADDRESS(19+(A460-1)*J459,13))),"")</f>
        <v/>
      </c>
      <c r="J469" s="25" t="str">
        <f ca="1">_xlfn.IFNA(INDIRECT(_xlfn.TEXTJOIN("",TRUE,A459,"!",ADDRESS(19+(A460-1)*J459,14))),"")</f>
        <v/>
      </c>
    </row>
    <row r="470" spans="1:10" ht="10.5" customHeight="1" x14ac:dyDescent="0.2">
      <c r="A470" s="65" t="str">
        <f ca="1">_xlfn.IFNA(INDIRECT(_xlfn.TEXTJOIN("",TRUE,A459,"!",ADDRESS(20+(A460-1)*J459,1))),"")</f>
        <v/>
      </c>
      <c r="B470" s="65"/>
      <c r="C470" s="66" t="str">
        <f ca="1">_xlfn.IFNA(INDIRECT(_xlfn.TEXTJOIN("",TRUE,A459,"!",ADDRESS(20+(A460-1)*J459,2))),"")</f>
        <v/>
      </c>
      <c r="D470" s="66"/>
      <c r="E470" s="66"/>
      <c r="F470" s="66"/>
      <c r="G470" s="66"/>
      <c r="H470" s="25" t="str">
        <f ca="1">_xlfn.IFNA(INDIRECT(_xlfn.TEXTJOIN("",TRUE,A459,"!",ADDRESS(20+(A460-1)*J459,6))),"")</f>
        <v/>
      </c>
      <c r="I470" s="25" t="str">
        <f ca="1">_xlfn.IFNA(INDIRECT(_xlfn.TEXTJOIN("",TRUE,A459,"!",ADDRESS(20+(A460-1)*J459,13))),"")</f>
        <v/>
      </c>
      <c r="J470" s="25" t="str">
        <f ca="1">_xlfn.IFNA(INDIRECT(_xlfn.TEXTJOIN("",TRUE,A459,"!",ADDRESS(20+(A460-1)*J459,14))),"")</f>
        <v/>
      </c>
    </row>
    <row r="471" spans="1:10" ht="10.5" customHeight="1" x14ac:dyDescent="0.2">
      <c r="A471" s="71" t="str">
        <f ca="1">IF(ISNA(A460),"","Total Credits/ Total Grade Points")</f>
        <v/>
      </c>
      <c r="B471" s="71"/>
      <c r="C471" s="71"/>
      <c r="D471" s="71"/>
      <c r="E471" s="71"/>
      <c r="F471" s="71"/>
      <c r="G471" s="71"/>
      <c r="H471" s="27" t="str">
        <f ca="1">IF(ISNA(A460),"",SUM(H463:H470))</f>
        <v/>
      </c>
      <c r="I471" s="26" t="str">
        <f ca="1">IF(ISNA(A460),"","-")</f>
        <v/>
      </c>
      <c r="J471" s="27" t="str">
        <f ca="1">IF(ISNA(A460),"",SUMPRODUCT(J463:J470,H463:H470))</f>
        <v/>
      </c>
    </row>
    <row r="472" spans="1:10" ht="10.5" customHeight="1" x14ac:dyDescent="0.2">
      <c r="A472" s="24" t="s">
        <v>133</v>
      </c>
      <c r="B472" s="72" t="str">
        <f ca="1">IF(ISNA(A473),"","Semester IV (Spring Semester 2023-24)")</f>
        <v/>
      </c>
      <c r="C472" s="72"/>
      <c r="D472" s="72"/>
      <c r="E472" s="72"/>
      <c r="F472" s="72"/>
      <c r="G472" s="72"/>
      <c r="H472" s="72"/>
      <c r="I472" s="72"/>
      <c r="J472" s="24">
        <f>ROWS(A476:B482)+9</f>
        <v>16</v>
      </c>
    </row>
    <row r="473" spans="1:10" ht="10.5" customHeight="1" x14ac:dyDescent="0.2">
      <c r="A473" s="24" t="e">
        <f ca="1">INDEX(SEM_IV!$A$6:$A$43,Marksheets!J473)</f>
        <v>#N/A</v>
      </c>
      <c r="B473" s="63"/>
      <c r="C473" s="63"/>
      <c r="D473" s="63"/>
      <c r="E473" s="63"/>
      <c r="F473" s="63"/>
      <c r="G473" s="63"/>
      <c r="H473" s="63"/>
      <c r="I473" s="63"/>
      <c r="J473" s="24" t="e">
        <f ca="1">MATCH(H423,SEM_IV!$B$6:$B$43,0)</f>
        <v>#N/A</v>
      </c>
    </row>
    <row r="474" spans="1:10" ht="10.5" customHeight="1" x14ac:dyDescent="0.2">
      <c r="A474" s="64" t="str">
        <f ca="1">IF(ISNA(A473),"","Subject Code")</f>
        <v/>
      </c>
      <c r="B474" s="64"/>
      <c r="C474" s="64" t="str">
        <f ca="1">IF(ISNA(A473),"","Subject Name")</f>
        <v/>
      </c>
      <c r="D474" s="64"/>
      <c r="E474" s="64"/>
      <c r="F474" s="64"/>
      <c r="G474" s="64"/>
      <c r="H474" s="64" t="str">
        <f ca="1">IF(ISNA(A473),"","Credits")</f>
        <v/>
      </c>
      <c r="I474" s="64" t="str">
        <f ca="1">IF(ISNA(A473),"","Grade")</f>
        <v/>
      </c>
      <c r="J474" s="64" t="str">
        <f ca="1">IF(ISNA(A473),"","Grade Points")</f>
        <v/>
      </c>
    </row>
    <row r="475" spans="1:10" ht="12.5" customHeight="1" x14ac:dyDescent="0.2">
      <c r="A475" s="64"/>
      <c r="B475" s="64"/>
      <c r="C475" s="64"/>
      <c r="D475" s="64"/>
      <c r="E475" s="64"/>
      <c r="F475" s="64"/>
      <c r="G475" s="64"/>
      <c r="H475" s="64"/>
      <c r="I475" s="64"/>
      <c r="J475" s="64"/>
    </row>
    <row r="476" spans="1:10" ht="10.5" customHeight="1" x14ac:dyDescent="0.2">
      <c r="A476" s="65" t="str">
        <f ca="1">_xlfn.IFNA(INDIRECT(_xlfn.TEXTJOIN("",TRUE,A472,"!",ADDRESS(13+(A473-1)*J472,1))),"")</f>
        <v/>
      </c>
      <c r="B476" s="65"/>
      <c r="C476" s="66" t="str">
        <f ca="1">_xlfn.IFNA(INDIRECT(_xlfn.TEXTJOIN("",TRUE,A472,"!",ADDRESS(13+(A473-1)*J472,2))),"")</f>
        <v/>
      </c>
      <c r="D476" s="66"/>
      <c r="E476" s="66"/>
      <c r="F476" s="66"/>
      <c r="G476" s="66"/>
      <c r="H476" s="25" t="str">
        <f ca="1">_xlfn.IFNA(INDIRECT(_xlfn.TEXTJOIN("",TRUE,A472,"!",ADDRESS(13+(A473-1)*J472,6))),"")</f>
        <v/>
      </c>
      <c r="I476" s="25" t="str">
        <f ca="1">_xlfn.IFNA(INDIRECT(_xlfn.TEXTJOIN("",TRUE,A472,"!",ADDRESS(13+(A473-1)*J472,13))),"")</f>
        <v/>
      </c>
      <c r="J476" s="25" t="str">
        <f ca="1">_xlfn.IFNA(INDIRECT(_xlfn.TEXTJOIN("",TRUE,A472,"!",ADDRESS(13+(A473-1)*J472,14))),"")</f>
        <v/>
      </c>
    </row>
    <row r="477" spans="1:10" ht="10.5" customHeight="1" x14ac:dyDescent="0.2">
      <c r="A477" s="65" t="str">
        <f ca="1">_xlfn.IFNA(INDIRECT(_xlfn.TEXTJOIN("",TRUE,A472,"!",ADDRESS(14+(A473-1)*J472,1))),"")</f>
        <v/>
      </c>
      <c r="B477" s="65"/>
      <c r="C477" s="66" t="str">
        <f ca="1">_xlfn.IFNA(INDIRECT(_xlfn.TEXTJOIN("",TRUE,A472,"!",ADDRESS(14+(A473-1)*J472,2))),"")</f>
        <v/>
      </c>
      <c r="D477" s="66"/>
      <c r="E477" s="66"/>
      <c r="F477" s="66"/>
      <c r="G477" s="66"/>
      <c r="H477" s="25" t="str">
        <f ca="1">_xlfn.IFNA(INDIRECT(_xlfn.TEXTJOIN("",TRUE,A472,"!",ADDRESS(14+(A473-1)*J472,6))),"")</f>
        <v/>
      </c>
      <c r="I477" s="25" t="str">
        <f ca="1">_xlfn.IFNA(INDIRECT(_xlfn.TEXTJOIN("",TRUE,A472,"!",ADDRESS(14+(A473-1)*J472,13))),"")</f>
        <v/>
      </c>
      <c r="J477" s="25" t="str">
        <f ca="1">_xlfn.IFNA(INDIRECT(_xlfn.TEXTJOIN("",TRUE,A472,"!",ADDRESS(14+(A473-1)*J472,14))),"")</f>
        <v/>
      </c>
    </row>
    <row r="478" spans="1:10" ht="10.5" customHeight="1" x14ac:dyDescent="0.2">
      <c r="A478" s="65" t="str">
        <f ca="1">_xlfn.IFNA(INDIRECT(_xlfn.TEXTJOIN("",TRUE,A472,"!",ADDRESS(15+(A473-1)*J472,1))),"")</f>
        <v/>
      </c>
      <c r="B478" s="65"/>
      <c r="C478" s="66" t="str">
        <f ca="1">_xlfn.IFNA(INDIRECT(_xlfn.TEXTJOIN("",TRUE,A472,"!",ADDRESS(15+(A473-1)*J472,2))),"")</f>
        <v/>
      </c>
      <c r="D478" s="66"/>
      <c r="E478" s="66"/>
      <c r="F478" s="66"/>
      <c r="G478" s="66"/>
      <c r="H478" s="25" t="str">
        <f ca="1">_xlfn.IFNA(INDIRECT(_xlfn.TEXTJOIN("",TRUE,A472,"!",ADDRESS(15+(A473-1)*J472,6))),"")</f>
        <v/>
      </c>
      <c r="I478" s="25" t="str">
        <f ca="1">_xlfn.IFNA(INDIRECT(_xlfn.TEXTJOIN("",TRUE,A472,"!",ADDRESS(15+(A473-1)*J472,13))),"")</f>
        <v/>
      </c>
      <c r="J478" s="25" t="str">
        <f ca="1">_xlfn.IFNA(INDIRECT(_xlfn.TEXTJOIN("",TRUE,A472,"!",ADDRESS(15+(A473-1)*J472,14))),"")</f>
        <v/>
      </c>
    </row>
    <row r="479" spans="1:10" ht="10.5" customHeight="1" x14ac:dyDescent="0.2">
      <c r="A479" s="65" t="str">
        <f ca="1">_xlfn.IFNA(INDIRECT(_xlfn.TEXTJOIN("",TRUE,A472,"!",ADDRESS(16+(A473-1)*J472,1))),"")</f>
        <v/>
      </c>
      <c r="B479" s="65"/>
      <c r="C479" s="66" t="str">
        <f ca="1">_xlfn.IFNA(INDIRECT(_xlfn.TEXTJOIN("",TRUE,A472,"!",ADDRESS(16+(A473-1)*J472,2))),"")</f>
        <v/>
      </c>
      <c r="D479" s="66"/>
      <c r="E479" s="66"/>
      <c r="F479" s="66"/>
      <c r="G479" s="66"/>
      <c r="H479" s="25" t="str">
        <f ca="1">_xlfn.IFNA(INDIRECT(_xlfn.TEXTJOIN("",TRUE,A472,"!",ADDRESS(16+(A473-1)*J472,6))),"")</f>
        <v/>
      </c>
      <c r="I479" s="25" t="str">
        <f ca="1">_xlfn.IFNA(INDIRECT(_xlfn.TEXTJOIN("",TRUE,A472,"!",ADDRESS(16+(A473-1)*J472,13))),"")</f>
        <v/>
      </c>
      <c r="J479" s="25" t="str">
        <f ca="1">_xlfn.IFNA(INDIRECT(_xlfn.TEXTJOIN("",TRUE,A472,"!",ADDRESS(16+(A473-1)*J472,14))),"")</f>
        <v/>
      </c>
    </row>
    <row r="480" spans="1:10" ht="10.5" customHeight="1" x14ac:dyDescent="0.2">
      <c r="A480" s="65" t="str">
        <f ca="1">_xlfn.IFNA(INDIRECT(_xlfn.TEXTJOIN("",TRUE,A472,"!",ADDRESS(17+(A473-1)*J472,1))),"")</f>
        <v/>
      </c>
      <c r="B480" s="65"/>
      <c r="C480" s="66" t="str">
        <f ca="1">_xlfn.IFNA(INDIRECT(_xlfn.TEXTJOIN("",TRUE,A472,"!",ADDRESS(17+(A473-1)*J472,2))),"")</f>
        <v/>
      </c>
      <c r="D480" s="66"/>
      <c r="E480" s="66"/>
      <c r="F480" s="66"/>
      <c r="G480" s="66"/>
      <c r="H480" s="25" t="str">
        <f ca="1">_xlfn.IFNA(INDIRECT(_xlfn.TEXTJOIN("",TRUE,A472,"!",ADDRESS(17+(A473-1)*J472,6))),"")</f>
        <v/>
      </c>
      <c r="I480" s="25" t="str">
        <f ca="1">_xlfn.IFNA(INDIRECT(_xlfn.TEXTJOIN("",TRUE,A472,"!",ADDRESS(17+(A473-1)*J472,13))),"")</f>
        <v/>
      </c>
      <c r="J480" s="25" t="str">
        <f ca="1">_xlfn.IFNA(INDIRECT(_xlfn.TEXTJOIN("",TRUE,A472,"!",ADDRESS(17+(A473-1)*J472,14))),"")</f>
        <v/>
      </c>
    </row>
    <row r="481" spans="1:10" ht="10.5" customHeight="1" x14ac:dyDescent="0.2">
      <c r="A481" s="65" t="str">
        <f ca="1">_xlfn.IFNA(INDIRECT(_xlfn.TEXTJOIN("",TRUE,A472,"!",ADDRESS(18+(A473-1)*J472,1))),"")</f>
        <v/>
      </c>
      <c r="B481" s="65"/>
      <c r="C481" s="66" t="str">
        <f ca="1">_xlfn.IFNA(INDIRECT(_xlfn.TEXTJOIN("",TRUE,A472,"!",ADDRESS(18+(A473-1)*J472,2))),"")</f>
        <v/>
      </c>
      <c r="D481" s="66"/>
      <c r="E481" s="66"/>
      <c r="F481" s="66"/>
      <c r="G481" s="66"/>
      <c r="H481" s="25" t="str">
        <f ca="1">_xlfn.IFNA(INDIRECT(_xlfn.TEXTJOIN("",TRUE,A472,"!",ADDRESS(18+(A473-1)*J472,6))),"")</f>
        <v/>
      </c>
      <c r="I481" s="25" t="str">
        <f ca="1">_xlfn.IFNA(INDIRECT(_xlfn.TEXTJOIN("",TRUE,A472,"!",ADDRESS(18+(A473-1)*J472,13))),"")</f>
        <v/>
      </c>
      <c r="J481" s="25" t="str">
        <f ca="1">_xlfn.IFNA(INDIRECT(_xlfn.TEXTJOIN("",TRUE,A472,"!",ADDRESS(18+(A473-1)*J472,14))),"")</f>
        <v/>
      </c>
    </row>
    <row r="482" spans="1:10" ht="10.5" customHeight="1" x14ac:dyDescent="0.2">
      <c r="A482" s="60" t="str">
        <f ca="1">_xlfn.IFNA(INDIRECT(_xlfn.TEXTJOIN("",TRUE,A472,"!",ADDRESS(19+(A473-1)*J472,1))),"")</f>
        <v/>
      </c>
      <c r="B482" s="61"/>
      <c r="C482" s="57" t="str">
        <f ca="1">_xlfn.IFNA(INDIRECT(_xlfn.TEXTJOIN("",TRUE,A472,"!",ADDRESS(19+(A473-1)*J472,2))),"")</f>
        <v/>
      </c>
      <c r="D482" s="58"/>
      <c r="E482" s="58"/>
      <c r="F482" s="58"/>
      <c r="G482" s="59"/>
      <c r="H482" s="25" t="str">
        <f ca="1">_xlfn.IFNA(INDIRECT(_xlfn.TEXTJOIN("",TRUE,A472,"!",ADDRESS(19+(A473-1)*J472,6))),"")</f>
        <v/>
      </c>
      <c r="I482" s="25" t="str">
        <f ca="1">_xlfn.IFNA(INDIRECT(_xlfn.TEXTJOIN("",TRUE,A472,"!",ADDRESS(19+(A473-1)*J472,13))),"")</f>
        <v/>
      </c>
      <c r="J482" s="25" t="str">
        <f ca="1">_xlfn.IFNA(INDIRECT(_xlfn.TEXTJOIN("",TRUE,A472,"!",ADDRESS(19+(A473-1)*J472,14))),"")</f>
        <v/>
      </c>
    </row>
    <row r="483" spans="1:10" ht="10.5" customHeight="1" x14ac:dyDescent="0.2">
      <c r="A483" s="71" t="str">
        <f ca="1">IF(ISNA(A473),"","Total Credits/ Total Grade Points")</f>
        <v/>
      </c>
      <c r="B483" s="71"/>
      <c r="C483" s="71"/>
      <c r="D483" s="71"/>
      <c r="E483" s="71"/>
      <c r="F483" s="71"/>
      <c r="G483" s="71"/>
      <c r="H483" s="27" t="str">
        <f ca="1">IF(ISNA(A473),"",SUM(H475:H482))</f>
        <v/>
      </c>
      <c r="I483" s="26" t="str">
        <f ca="1">IF(ISNA(A473),"","-")</f>
        <v/>
      </c>
      <c r="J483" s="27" t="str">
        <f ca="1">IF(ISNA(A473),"",SUMPRODUCT(J475:J482,H475:H482))</f>
        <v/>
      </c>
    </row>
    <row r="484" spans="1:10" ht="10.5" customHeight="1" x14ac:dyDescent="0.2">
      <c r="A484" s="75" t="s">
        <v>137</v>
      </c>
      <c r="B484" s="75"/>
      <c r="C484" s="75"/>
      <c r="D484" s="75"/>
      <c r="E484" s="75"/>
      <c r="F484" s="76" t="s">
        <v>138</v>
      </c>
      <c r="G484" s="76"/>
      <c r="H484" s="76"/>
      <c r="I484" s="76"/>
      <c r="J484" s="76"/>
    </row>
    <row r="485" spans="1:10" ht="10.5" customHeight="1" x14ac:dyDescent="0.2">
      <c r="A485" s="43" t="s">
        <v>139</v>
      </c>
      <c r="B485" s="43"/>
      <c r="C485" s="43"/>
      <c r="D485" s="43"/>
      <c r="E485" s="43"/>
      <c r="F485" s="43"/>
      <c r="G485" s="43"/>
      <c r="H485" s="43"/>
      <c r="I485" s="43"/>
      <c r="J485" s="43"/>
    </row>
    <row r="486" spans="1:10" ht="10.5" customHeight="1" x14ac:dyDescent="0.2">
      <c r="A486" s="10"/>
      <c r="B486" s="26"/>
      <c r="C486" s="26" t="s">
        <v>140</v>
      </c>
      <c r="D486" s="26" t="s">
        <v>141</v>
      </c>
      <c r="E486" s="26" t="s">
        <v>142</v>
      </c>
      <c r="F486" s="26" t="s">
        <v>143</v>
      </c>
      <c r="G486" s="26" t="s">
        <v>144</v>
      </c>
      <c r="H486" s="79" t="s">
        <v>145</v>
      </c>
      <c r="I486" s="79"/>
      <c r="J486" s="30"/>
    </row>
    <row r="487" spans="1:10" ht="10.5" customHeight="1" x14ac:dyDescent="0.2">
      <c r="A487" s="10"/>
      <c r="B487" s="80" t="s">
        <v>146</v>
      </c>
      <c r="C487" s="73">
        <f ca="1">J443/H443</f>
        <v>6.458333333333333</v>
      </c>
      <c r="D487" s="73" t="e">
        <f ca="1">J458/H458</f>
        <v>#VALUE!</v>
      </c>
      <c r="E487" s="73" t="str">
        <f ca="1">IFERROR(J471/H471,"")</f>
        <v/>
      </c>
      <c r="F487" s="73" t="str">
        <f ca="1">IFERROR(J483/H483,"")</f>
        <v/>
      </c>
      <c r="G487" s="82">
        <f ca="1">F489</f>
        <v>6.458333333333333</v>
      </c>
      <c r="H487" s="83" t="e">
        <f ca="1">IF(TC_IV!N101&lt;96,_xlfn.TEXTJOIN(" Carry Over Back In",TC_I!V165,TC_II!V137,TC_III!V106,TC_IV!V100),IF(G487&gt;=8,"First Division with Distinction",IF(G487&gt;=6.5,"First Division",IF(G487&gt;=5,"Second Division",IF(G487&gt;=4,"Third Division","Fail")))))</f>
        <v>#N/A</v>
      </c>
      <c r="I487" s="83"/>
      <c r="J487" s="30"/>
    </row>
    <row r="488" spans="1:10" ht="10.5" customHeight="1" x14ac:dyDescent="0.2">
      <c r="B488" s="81"/>
      <c r="C488" s="74"/>
      <c r="D488" s="74"/>
      <c r="E488" s="74"/>
      <c r="F488" s="74"/>
      <c r="G488" s="82"/>
      <c r="H488" s="83"/>
      <c r="I488" s="83"/>
    </row>
    <row r="489" spans="1:10" ht="10.5" customHeight="1" x14ac:dyDescent="0.2">
      <c r="B489" s="80" t="s">
        <v>48</v>
      </c>
      <c r="C489" s="73">
        <f ca="1">J443/H443</f>
        <v>6.458333333333333</v>
      </c>
      <c r="D489" s="73">
        <f ca="1">SUM(J458,J443)/SUM(H458,H443)</f>
        <v>6.458333333333333</v>
      </c>
      <c r="E489" s="73">
        <f ca="1">SUM(J471,J458,J443)/SUM(H471,H458,H443)</f>
        <v>6.458333333333333</v>
      </c>
      <c r="F489" s="73">
        <f ca="1">SUM(J483,J471,J458,J443)/SUM(H443,H458,H471,H483)</f>
        <v>6.458333333333333</v>
      </c>
      <c r="G489" s="82"/>
      <c r="H489" s="83"/>
      <c r="I489" s="83"/>
    </row>
    <row r="490" spans="1:10" ht="10.5" customHeight="1" x14ac:dyDescent="0.2">
      <c r="B490" s="81"/>
      <c r="C490" s="74"/>
      <c r="D490" s="74"/>
      <c r="E490" s="74"/>
      <c r="F490" s="74"/>
      <c r="G490" s="82"/>
      <c r="H490" s="83"/>
      <c r="I490" s="83"/>
    </row>
    <row r="492" spans="1:10" ht="10.5" customHeight="1" x14ac:dyDescent="0.2">
      <c r="A492" s="56" t="s">
        <v>24</v>
      </c>
      <c r="B492" s="56"/>
      <c r="C492" s="56" t="str">
        <f ca="1">INDIRECT(_xlfn.TEXTJOIN("",TRUE,A494,"!",ADDRESS(9+(A495-1)*J494,2)))</f>
        <v>KHUSHI DWIVEDI</v>
      </c>
      <c r="D492" s="56"/>
      <c r="E492" s="56"/>
      <c r="F492" s="56" t="s">
        <v>135</v>
      </c>
      <c r="G492" s="56"/>
      <c r="H492" s="62">
        <f ca="1">INDIRECT(_xlfn.TEXTJOIN("",TRUE,A494,"!",ADDRESS(9+(A495-1)*J494,9)))</f>
        <v>250090600008</v>
      </c>
      <c r="I492" s="56"/>
      <c r="J492" s="56"/>
    </row>
    <row r="493" spans="1:10" ht="10.5" customHeight="1" x14ac:dyDescent="0.2">
      <c r="A493" s="56" t="s">
        <v>25</v>
      </c>
      <c r="B493" s="56"/>
      <c r="C493" s="56" t="str">
        <f ca="1">INDIRECT(_xlfn.TEXTJOIN("",TRUE,A494,"!",ADDRESS(9+(A495-1)*J494,5)))</f>
        <v>CHANDI PRASAD DWIVEDI</v>
      </c>
      <c r="D493" s="56"/>
      <c r="E493" s="56"/>
      <c r="F493" s="47" t="s">
        <v>136</v>
      </c>
      <c r="G493" s="47"/>
      <c r="H493" s="62" t="str">
        <f ca="1">INDIRECT(_xlfn.TEXTJOIN("",TRUE,A494,"!",ADDRESS(9+(A495-1)*J494,13)))</f>
        <v>PUTU/2506100145</v>
      </c>
      <c r="I493" s="56"/>
      <c r="J493" s="56"/>
    </row>
    <row r="494" spans="1:10" ht="10.5" customHeight="1" x14ac:dyDescent="0.2">
      <c r="A494" s="24" t="s">
        <v>53</v>
      </c>
      <c r="B494" s="43" t="s">
        <v>148</v>
      </c>
      <c r="C494" s="43"/>
      <c r="D494" s="43"/>
      <c r="E494" s="43"/>
      <c r="F494" s="43"/>
      <c r="G494" s="43"/>
      <c r="H494" s="43"/>
      <c r="I494" s="43"/>
      <c r="J494" s="24">
        <f>ROWS(A498:B511)+9</f>
        <v>23</v>
      </c>
    </row>
    <row r="495" spans="1:10" ht="10.5" customHeight="1" x14ac:dyDescent="0.2">
      <c r="A495" s="24">
        <f>A426+1</f>
        <v>8</v>
      </c>
      <c r="B495" s="63"/>
      <c r="C495" s="63"/>
      <c r="D495" s="63"/>
      <c r="E495" s="63"/>
      <c r="F495" s="63"/>
      <c r="G495" s="63"/>
      <c r="H495" s="63"/>
      <c r="I495" s="63"/>
      <c r="J495" s="29"/>
    </row>
    <row r="496" spans="1:10" ht="10.5" customHeight="1" x14ac:dyDescent="0.2">
      <c r="A496" s="64" t="s">
        <v>28</v>
      </c>
      <c r="B496" s="64"/>
      <c r="C496" s="64" t="s">
        <v>29</v>
      </c>
      <c r="D496" s="64"/>
      <c r="E496" s="64"/>
      <c r="F496" s="64"/>
      <c r="G496" s="64"/>
      <c r="H496" s="64" t="s">
        <v>30</v>
      </c>
      <c r="I496" s="64" t="s">
        <v>9</v>
      </c>
      <c r="J496" s="64" t="s">
        <v>34</v>
      </c>
    </row>
    <row r="497" spans="1:10" ht="14.5" customHeight="1" x14ac:dyDescent="0.2">
      <c r="A497" s="64"/>
      <c r="B497" s="64"/>
      <c r="C497" s="64"/>
      <c r="D497" s="64"/>
      <c r="E497" s="64"/>
      <c r="F497" s="64"/>
      <c r="G497" s="64"/>
      <c r="H497" s="64"/>
      <c r="I497" s="64"/>
      <c r="J497" s="64"/>
    </row>
    <row r="498" spans="1:10" ht="10.5" customHeight="1" x14ac:dyDescent="0.2">
      <c r="A498" s="65" t="str">
        <f ca="1">INDIRECT(_xlfn.TEXTJOIN("",TRUE,A494,"!",ADDRESS(13+(A495-1)*J494,1)))</f>
        <v>CAT 004</v>
      </c>
      <c r="B498" s="65"/>
      <c r="C498" s="66" t="str">
        <f ca="1">INDIRECT(_xlfn.TEXTJOIN("",TRUE,A494,"!",ADDRESS(13+(A495-1)*J494,2)))</f>
        <v>Discrete Structure</v>
      </c>
      <c r="D498" s="66"/>
      <c r="E498" s="66"/>
      <c r="F498" s="66"/>
      <c r="G498" s="66"/>
      <c r="H498" s="25">
        <f ca="1">INDIRECT(_xlfn.TEXTJOIN("",TRUE,A494,"!",ADDRESS(13+(A495-1)*J494,6)))</f>
        <v>4</v>
      </c>
      <c r="I498" s="25" t="str">
        <f ca="1">INDIRECT(_xlfn.TEXTJOIN("",TRUE,A494,"!",ADDRESS(13+(A495-1)*J494,13)))</f>
        <v>A</v>
      </c>
      <c r="J498" s="25">
        <f ca="1">INDIRECT(_xlfn.TEXTJOIN("",TRUE,A494,"!",ADDRESS(13+(A495-1)*J494,14)))</f>
        <v>9</v>
      </c>
    </row>
    <row r="499" spans="1:10" ht="10.5" customHeight="1" x14ac:dyDescent="0.2">
      <c r="A499" s="65" t="str">
        <f ca="1">INDIRECT(_xlfn.TEXTJOIN("",TRUE,A494,"!",ADDRESS(14+(A495-1)*J494,1)))</f>
        <v>CAT 005</v>
      </c>
      <c r="B499" s="65"/>
      <c r="C499" s="66" t="str">
        <f ca="1">INDIRECT(_xlfn.TEXTJOIN("",TRUE,A494,"!",ADDRESS(14+(A495-1)*J494,2)))</f>
        <v>Database Management System</v>
      </c>
      <c r="D499" s="66"/>
      <c r="E499" s="66"/>
      <c r="F499" s="66"/>
      <c r="G499" s="66"/>
      <c r="H499" s="25">
        <f ca="1">INDIRECT(_xlfn.TEXTJOIN("",TRUE,A494,"!",ADDRESS(14+(A495-1)*J494,6)))</f>
        <v>4</v>
      </c>
      <c r="I499" s="25" t="str">
        <f ca="1">INDIRECT(_xlfn.TEXTJOIN("",TRUE,A494,"!",ADDRESS(14+(A495-1)*J494,13)))</f>
        <v>A+</v>
      </c>
      <c r="J499" s="25">
        <f ca="1">INDIRECT(_xlfn.TEXTJOIN("",TRUE,A494,"!",ADDRESS(14+(A495-1)*J494,14)))</f>
        <v>9.5</v>
      </c>
    </row>
    <row r="500" spans="1:10" ht="10.5" customHeight="1" x14ac:dyDescent="0.2">
      <c r="A500" s="65" t="str">
        <f ca="1">INDIRECT(_xlfn.TEXTJOIN("",TRUE,A494,"!",ADDRESS(15+(A495-1)*J494,1)))</f>
        <v>CAT 006</v>
      </c>
      <c r="B500" s="65"/>
      <c r="C500" s="66" t="str">
        <f ca="1">INDIRECT(_xlfn.TEXTJOIN("",TRUE,A494,"!",ADDRESS(15+(A495-1)*J494,2)))</f>
        <v>Operating System</v>
      </c>
      <c r="D500" s="66"/>
      <c r="E500" s="66"/>
      <c r="F500" s="66"/>
      <c r="G500" s="66"/>
      <c r="H500" s="25">
        <f ca="1">INDIRECT(_xlfn.TEXTJOIN("",TRUE,A494,"!",ADDRESS(15+(A495-1)*J494,6)))</f>
        <v>4</v>
      </c>
      <c r="I500" s="25" t="str">
        <f ca="1">INDIRECT(_xlfn.TEXTJOIN("",TRUE,A494,"!",ADDRESS(15+(A495-1)*J494,13)))</f>
        <v>O</v>
      </c>
      <c r="J500" s="25">
        <f ca="1">INDIRECT(_xlfn.TEXTJOIN("",TRUE,A494,"!",ADDRESS(15+(A495-1)*J494,14)))</f>
        <v>10</v>
      </c>
    </row>
    <row r="501" spans="1:10" ht="10.5" customHeight="1" x14ac:dyDescent="0.2">
      <c r="A501" s="65" t="str">
        <f ca="1">INDIRECT(_xlfn.TEXTJOIN("",TRUE,A494,"!",ADDRESS(16+(A495-1)*J494,1)))</f>
        <v>CAT 007</v>
      </c>
      <c r="B501" s="65"/>
      <c r="C501" s="66" t="str">
        <f ca="1">INDIRECT(_xlfn.TEXTJOIN("",TRUE,A494,"!",ADDRESS(16+(A495-1)*J494,2)))</f>
        <v>Computer Organization</v>
      </c>
      <c r="D501" s="66"/>
      <c r="E501" s="66"/>
      <c r="F501" s="66"/>
      <c r="G501" s="66"/>
      <c r="H501" s="25">
        <f ca="1">INDIRECT(_xlfn.TEXTJOIN("",TRUE,A494,"!",ADDRESS(16+(A495-1)*J494,6)))</f>
        <v>4</v>
      </c>
      <c r="I501" s="25" t="str">
        <f ca="1">INDIRECT(_xlfn.TEXTJOIN("",TRUE,A494,"!",ADDRESS(16+(A495-1)*J494,13)))</f>
        <v>A+</v>
      </c>
      <c r="J501" s="25">
        <f ca="1">INDIRECT(_xlfn.TEXTJOIN("",TRUE,A494,"!",ADDRESS(16+(A495-1)*J494,14)))</f>
        <v>9.5</v>
      </c>
    </row>
    <row r="502" spans="1:10" ht="10.5" customHeight="1" x14ac:dyDescent="0.2">
      <c r="A502" s="65" t="str">
        <f ca="1">INDIRECT(_xlfn.TEXTJOIN("",TRUE,A494,"!",ADDRESS(17+(A495-1)*J494,1)))</f>
        <v>AHT 303</v>
      </c>
      <c r="B502" s="65"/>
      <c r="C502" s="66" t="str">
        <f ca="1">INDIRECT(_xlfn.TEXTJOIN("",TRUE,A494,"!",ADDRESS(17+(A495-1)*J494,2)))</f>
        <v>Technical Communication Skills</v>
      </c>
      <c r="D502" s="66"/>
      <c r="E502" s="66"/>
      <c r="F502" s="66"/>
      <c r="G502" s="66"/>
      <c r="H502" s="25">
        <f ca="1">INDIRECT(_xlfn.TEXTJOIN("",TRUE,A494,"!",ADDRESS(17+(A495-1)*J494,6)))</f>
        <v>4</v>
      </c>
      <c r="I502" s="25" t="str">
        <f ca="1">INDIRECT(_xlfn.TEXTJOIN("",TRUE,A494,"!",ADDRESS(17+(A495-1)*J494,13)))</f>
        <v>A</v>
      </c>
      <c r="J502" s="25">
        <f ca="1">INDIRECT(_xlfn.TEXTJOIN("",TRUE,A494,"!",ADDRESS(17+(A495-1)*J494,14)))</f>
        <v>9</v>
      </c>
    </row>
    <row r="503" spans="1:10" ht="10.5" customHeight="1" x14ac:dyDescent="0.2">
      <c r="A503" s="65" t="str">
        <f ca="1">INDIRECT(_xlfn.TEXTJOIN("",TRUE,A494,"!",ADDRESS(18+(A495-1)*J494,1)))</f>
        <v>CAT 008</v>
      </c>
      <c r="B503" s="65"/>
      <c r="C503" s="66" t="str">
        <f ca="1">INDIRECT(_xlfn.TEXTJOIN("",TRUE,A494,"!",ADDRESS(18+(A495-1)*J494,2)))</f>
        <v>Python Programming ($)</v>
      </c>
      <c r="D503" s="66"/>
      <c r="E503" s="66"/>
      <c r="F503" s="66"/>
      <c r="G503" s="66"/>
      <c r="H503" s="25">
        <f ca="1">INDIRECT(_xlfn.TEXTJOIN("",TRUE,A494,"!",ADDRESS(18+(A495-1)*J494,6)))</f>
        <v>0</v>
      </c>
      <c r="I503" s="25" t="str">
        <f ca="1">INDIRECT(_xlfn.TEXTJOIN("",TRUE,A494,"!",ADDRESS(18+(A495-1)*J494,13)))</f>
        <v>A</v>
      </c>
      <c r="J503" s="25">
        <f ca="1">INDIRECT(_xlfn.TEXTJOIN("",TRUE,A494,"!",ADDRESS(18+(A495-1)*J494,14)))</f>
        <v>9</v>
      </c>
    </row>
    <row r="504" spans="1:10" ht="10.5" customHeight="1" x14ac:dyDescent="0.2">
      <c r="A504" s="60" t="str">
        <f ca="1">INDIRECT(_xlfn.TEXTJOIN("",TRUE,A494,"!",ADDRESS(19+(A495-1)*J494,1)))</f>
        <v>CAT 001</v>
      </c>
      <c r="B504" s="61"/>
      <c r="C504" s="57" t="str">
        <f ca="1">INDIRECT(_xlfn.TEXTJOIN("",TRUE,A494,"!",ADDRESS(19+(A495-1)*J494,2)))</f>
        <v>Introduction of Information Technology ($)</v>
      </c>
      <c r="D504" s="58"/>
      <c r="E504" s="58"/>
      <c r="F504" s="58"/>
      <c r="G504" s="59"/>
      <c r="H504" s="25">
        <f ca="1">INDIRECT(_xlfn.TEXTJOIN("",TRUE,A494,"!",ADDRESS(19+(A495-1)*J494,6)))</f>
        <v>0</v>
      </c>
      <c r="I504" s="25" t="str">
        <f ca="1">INDIRECT(_xlfn.TEXTJOIN("",TRUE,A494,"!",ADDRESS(19+(A495-1)*J494,13)))</f>
        <v>-</v>
      </c>
      <c r="J504" s="25" t="str">
        <f ca="1">INDIRECT(_xlfn.TEXTJOIN("",TRUE,A494,"!",ADDRESS(19+(A495-1)*J494,14)))</f>
        <v>-</v>
      </c>
    </row>
    <row r="505" spans="1:10" ht="10.5" customHeight="1" x14ac:dyDescent="0.2">
      <c r="A505" s="65" t="str">
        <f ca="1">INDIRECT(_xlfn.TEXTJOIN("",TRUE,A494,"!",ADDRESS(20+(A495-1)*J494,1)))</f>
        <v>CAT 002</v>
      </c>
      <c r="B505" s="65"/>
      <c r="C505" s="66" t="str">
        <f ca="1">INDIRECT(_xlfn.TEXTJOIN("",TRUE,A494,"!",ADDRESS(20+(A495-1)*J494,2)))</f>
        <v>Programming Fundamentals with "C" ($)</v>
      </c>
      <c r="D505" s="66"/>
      <c r="E505" s="66"/>
      <c r="F505" s="66"/>
      <c r="G505" s="66"/>
      <c r="H505" s="25">
        <f ca="1">INDIRECT(_xlfn.TEXTJOIN("",TRUE,A494,"!",ADDRESS(20+(A495-1)*J494,6)))</f>
        <v>0</v>
      </c>
      <c r="I505" s="25" t="str">
        <f ca="1">INDIRECT(_xlfn.TEXTJOIN("",TRUE,A494,"!",ADDRESS(20+(A495-1)*J494,13)))</f>
        <v>-</v>
      </c>
      <c r="J505" s="25" t="str">
        <f ca="1">INDIRECT(_xlfn.TEXTJOIN("",TRUE,A494,"!",ADDRESS(20+(A495-1)*J494,14)))</f>
        <v>-</v>
      </c>
    </row>
    <row r="506" spans="1:10" ht="10.5" customHeight="1" x14ac:dyDescent="0.2">
      <c r="A506" s="65" t="str">
        <f ca="1">INDIRECT(_xlfn.TEXTJOIN("",TRUE,A494,"!",ADDRESS(21+(A495-1)*J494,1)))</f>
        <v>CAT 003</v>
      </c>
      <c r="B506" s="65"/>
      <c r="C506" s="66" t="str">
        <f ca="1">INDIRECT(_xlfn.TEXTJOIN("",TRUE,A494,"!",ADDRESS(21+(A495-1)*J494,2)))</f>
        <v>Fundamental of Web Technology ($)</v>
      </c>
      <c r="D506" s="66"/>
      <c r="E506" s="66"/>
      <c r="F506" s="66"/>
      <c r="G506" s="66"/>
      <c r="H506" s="25">
        <f ca="1">INDIRECT(_xlfn.TEXTJOIN("",TRUE,A494,"!",ADDRESS(21+(A495-1)*J494,6)))</f>
        <v>0</v>
      </c>
      <c r="I506" s="25" t="str">
        <f ca="1">INDIRECT(_xlfn.TEXTJOIN("",TRUE,A494,"!",ADDRESS(21+(A495-1)*J494,13)))</f>
        <v>-</v>
      </c>
      <c r="J506" s="25" t="str">
        <f ca="1">INDIRECT(_xlfn.TEXTJOIN("",TRUE,A494,"!",ADDRESS(21+(A495-1)*J494,14)))</f>
        <v>-</v>
      </c>
    </row>
    <row r="507" spans="1:10" ht="10.5" customHeight="1" x14ac:dyDescent="0.2">
      <c r="A507" s="65" t="str">
        <f ca="1">INDIRECT(_xlfn.TEXTJOIN("",TRUE,A494,"!",ADDRESS(22+(A495-1)*J494,1)))</f>
        <v>CAP 001</v>
      </c>
      <c r="B507" s="65"/>
      <c r="C507" s="66" t="str">
        <f ca="1">INDIRECT(_xlfn.TEXTJOIN("",TRUE,A494,"!",ADDRESS(22+(A495-1)*J494,2)))</f>
        <v>Database Management System Lab</v>
      </c>
      <c r="D507" s="66"/>
      <c r="E507" s="66"/>
      <c r="F507" s="66"/>
      <c r="G507" s="66"/>
      <c r="H507" s="25">
        <f ca="1">INDIRECT(_xlfn.TEXTJOIN("",TRUE,A494,"!",ADDRESS(22+(A495-1)*J494,6)))</f>
        <v>1</v>
      </c>
      <c r="I507" s="25" t="str">
        <f ca="1">INDIRECT(_xlfn.TEXTJOIN("",TRUE,A494,"!",ADDRESS(22+(A495-1)*J494,13)))</f>
        <v>O</v>
      </c>
      <c r="J507" s="25">
        <f ca="1">INDIRECT(_xlfn.TEXTJOIN("",TRUE,A494,"!",ADDRESS(22+(A495-1)*J494,14)))</f>
        <v>10</v>
      </c>
    </row>
    <row r="508" spans="1:10" ht="10.5" customHeight="1" x14ac:dyDescent="0.2">
      <c r="A508" s="65" t="str">
        <f ca="1">INDIRECT(_xlfn.TEXTJOIN("",TRUE,A494,"!",ADDRESS(23+(A495-1)*J494,1)))</f>
        <v>CAP 002</v>
      </c>
      <c r="B508" s="65"/>
      <c r="C508" s="66" t="str">
        <f ca="1">INDIRECT(_xlfn.TEXTJOIN("",TRUE,A494,"!",ADDRESS(23+(A495-1)*J494,2)))</f>
        <v>Operating System Lab</v>
      </c>
      <c r="D508" s="66"/>
      <c r="E508" s="66"/>
      <c r="F508" s="66"/>
      <c r="G508" s="66"/>
      <c r="H508" s="25">
        <f ca="1">INDIRECT(_xlfn.TEXTJOIN("",TRUE,A494,"!",ADDRESS(23+(A495-1)*J494,6)))</f>
        <v>1</v>
      </c>
      <c r="I508" s="25" t="str">
        <f ca="1">INDIRECT(_xlfn.TEXTJOIN("",TRUE,A494,"!",ADDRESS(23+(A495-1)*J494,13)))</f>
        <v>O</v>
      </c>
      <c r="J508" s="25">
        <f ca="1">INDIRECT(_xlfn.TEXTJOIN("",TRUE,A494,"!",ADDRESS(23+(A495-1)*J494,14)))</f>
        <v>10</v>
      </c>
    </row>
    <row r="509" spans="1:10" ht="10.5" customHeight="1" x14ac:dyDescent="0.2">
      <c r="A509" s="65" t="str">
        <f ca="1">INDIRECT(_xlfn.TEXTJOIN("",TRUE,A494,"!",ADDRESS(24+(A495-1)*J494,1)))</f>
        <v>CAP 003</v>
      </c>
      <c r="B509" s="65"/>
      <c r="C509" s="66" t="str">
        <f ca="1">INDIRECT(_xlfn.TEXTJOIN("",TRUE,A494,"!",ADDRESS(24+(A495-1)*J494,2)))</f>
        <v>Computer Organization Lab</v>
      </c>
      <c r="D509" s="66"/>
      <c r="E509" s="66"/>
      <c r="F509" s="66"/>
      <c r="G509" s="66"/>
      <c r="H509" s="25">
        <f ca="1">INDIRECT(_xlfn.TEXTJOIN("",TRUE,A494,"!",ADDRESS(24+(A495-1)*J494,6)))</f>
        <v>1</v>
      </c>
      <c r="I509" s="25" t="str">
        <f ca="1">INDIRECT(_xlfn.TEXTJOIN("",TRUE,A494,"!",ADDRESS(24+(A495-1)*J494,13)))</f>
        <v>O</v>
      </c>
      <c r="J509" s="25">
        <f ca="1">INDIRECT(_xlfn.TEXTJOIN("",TRUE,A494,"!",ADDRESS(24+(A495-1)*J494,14)))</f>
        <v>10</v>
      </c>
    </row>
    <row r="510" spans="1:10" ht="10.5" customHeight="1" x14ac:dyDescent="0.2">
      <c r="A510" s="65" t="str">
        <f ca="1">INDIRECT(_xlfn.TEXTJOIN("",TRUE,A494,"!",ADDRESS(25+(A495-1)*J494,1)))</f>
        <v>AHP 303</v>
      </c>
      <c r="B510" s="65"/>
      <c r="C510" s="66" t="str">
        <f ca="1">INDIRECT(_xlfn.TEXTJOIN("",TRUE,A494,"!",ADDRESS(25+(A495-1)*J494,2)))</f>
        <v>Technical Communication Skills</v>
      </c>
      <c r="D510" s="66"/>
      <c r="E510" s="66"/>
      <c r="F510" s="66"/>
      <c r="G510" s="66"/>
      <c r="H510" s="25">
        <f ca="1">INDIRECT(_xlfn.TEXTJOIN("",TRUE,A494,"!",ADDRESS(25+(A495-1)*J494,6)))</f>
        <v>1</v>
      </c>
      <c r="I510" s="25" t="str">
        <f ca="1">INDIRECT(_xlfn.TEXTJOIN("",TRUE,A494,"!",ADDRESS(25+(A495-1)*J494,13)))</f>
        <v>B+</v>
      </c>
      <c r="J510" s="25">
        <f ca="1">INDIRECT(_xlfn.TEXTJOIN("",TRUE,A494,"!",ADDRESS(25+(A495-1)*J494,14)))</f>
        <v>8.5</v>
      </c>
    </row>
    <row r="511" spans="1:10" s="35" customFormat="1" ht="10.5" customHeight="1" x14ac:dyDescent="0.2">
      <c r="A511" s="77">
        <f ca="1">INDIRECT(_xlfn.TEXTJOIN("",TRUE,A494,"!",ADDRESS(26+(A495-1)*J494,1)))</f>
        <v>0</v>
      </c>
      <c r="B511" s="77"/>
      <c r="C511" s="78">
        <f ca="1">INDIRECT(_xlfn.TEXTJOIN("",TRUE,A494,"!",ADDRESS(26+(A495-1)*J494,2)))</f>
        <v>0</v>
      </c>
      <c r="D511" s="78"/>
      <c r="E511" s="78"/>
      <c r="F511" s="78"/>
      <c r="G511" s="78"/>
      <c r="H511" s="34">
        <f ca="1">INDIRECT(_xlfn.TEXTJOIN("",TRUE,A494,"!",ADDRESS(26+(A495-1)*J494,6)))</f>
        <v>0</v>
      </c>
      <c r="I511" s="34" t="str">
        <f ca="1">INDIRECT(_xlfn.TEXTJOIN("",TRUE,A494,"!",ADDRESS(26+(A495-1)*J494,13)))</f>
        <v>Excellent</v>
      </c>
      <c r="J511" s="34">
        <f ca="1">INDIRECT(_xlfn.TEXTJOIN("",TRUE,A494,"!",ADDRESS(26+(A495-1)*J494,14)))</f>
        <v>0</v>
      </c>
    </row>
    <row r="512" spans="1:10" ht="10.5" customHeight="1" x14ac:dyDescent="0.2">
      <c r="A512" s="71" t="s">
        <v>52</v>
      </c>
      <c r="B512" s="71"/>
      <c r="C512" s="71"/>
      <c r="D512" s="71"/>
      <c r="E512" s="71"/>
      <c r="F512" s="71"/>
      <c r="G512" s="71"/>
      <c r="H512" s="27">
        <f ca="1">SUM(H498:H511)</f>
        <v>24</v>
      </c>
      <c r="I512" s="26" t="s">
        <v>44</v>
      </c>
      <c r="J512" s="27">
        <f ca="1">SUMPRODUCT(J498:J510,H498:H510)</f>
        <v>226.5</v>
      </c>
    </row>
    <row r="513" spans="1:10" ht="10.5" customHeight="1" x14ac:dyDescent="0.2">
      <c r="A513" s="24" t="s">
        <v>57</v>
      </c>
      <c r="B513" s="72" t="str">
        <f ca="1">IF(ISNA(A514),"","Semester II (Spring Semester 2022-23)")</f>
        <v/>
      </c>
      <c r="C513" s="72"/>
      <c r="D513" s="72"/>
      <c r="E513" s="72"/>
      <c r="F513" s="72"/>
      <c r="G513" s="72"/>
      <c r="H513" s="72"/>
      <c r="I513" s="72"/>
      <c r="J513" s="24">
        <f>ROWS(A517:B526)+9</f>
        <v>19</v>
      </c>
    </row>
    <row r="514" spans="1:10" ht="10.5" customHeight="1" x14ac:dyDescent="0.2">
      <c r="A514" s="24" t="e">
        <f ca="1">INDEX(SEM_II!$A$6:$A$45,Marksheets!J514)</f>
        <v>#N/A</v>
      </c>
      <c r="B514" s="63"/>
      <c r="C514" s="63"/>
      <c r="D514" s="63"/>
      <c r="E514" s="63"/>
      <c r="F514" s="63"/>
      <c r="G514" s="63"/>
      <c r="H514" s="63"/>
      <c r="I514" s="63"/>
      <c r="J514" s="24" t="e">
        <f ca="1">MATCH(H492,SEM_II!$B$6:$B$45,0)</f>
        <v>#N/A</v>
      </c>
    </row>
    <row r="515" spans="1:10" ht="10.5" customHeight="1" x14ac:dyDescent="0.2">
      <c r="A515" s="64" t="str">
        <f ca="1">IF(ISNA(A514),"","Subject Code")</f>
        <v/>
      </c>
      <c r="B515" s="64"/>
      <c r="C515" s="64" t="str">
        <f ca="1">IF(ISNA(A514),"","Subject Name")</f>
        <v/>
      </c>
      <c r="D515" s="64"/>
      <c r="E515" s="64"/>
      <c r="F515" s="64"/>
      <c r="G515" s="64"/>
      <c r="H515" s="64" t="str">
        <f ca="1">IF(ISNA(A514),"","Credits")</f>
        <v/>
      </c>
      <c r="I515" s="64" t="str">
        <f ca="1">IF(ISNA(A514),"","Grade")</f>
        <v/>
      </c>
      <c r="J515" s="64" t="str">
        <f ca="1">IF(ISNA(A514),"","Grade Points")</f>
        <v/>
      </c>
    </row>
    <row r="516" spans="1:10" ht="13.5" customHeight="1" x14ac:dyDescent="0.2">
      <c r="A516" s="64"/>
      <c r="B516" s="64"/>
      <c r="C516" s="64"/>
      <c r="D516" s="64"/>
      <c r="E516" s="64"/>
      <c r="F516" s="64"/>
      <c r="G516" s="64"/>
      <c r="H516" s="64"/>
      <c r="I516" s="64"/>
      <c r="J516" s="64"/>
    </row>
    <row r="517" spans="1:10" ht="10.5" customHeight="1" x14ac:dyDescent="0.2">
      <c r="A517" s="65" t="str">
        <f ca="1">_xlfn.IFNA(INDIRECT(_xlfn.TEXTJOIN("",TRUE,A513,"!",ADDRESS(13+(A514-1)*J513,1))),"")</f>
        <v/>
      </c>
      <c r="B517" s="65"/>
      <c r="C517" s="66" t="str">
        <f ca="1">_xlfn.IFNA(INDIRECT(_xlfn.TEXTJOIN("",TRUE,A513,"!",ADDRESS(13+(A514-1)*J513,2))),"")</f>
        <v/>
      </c>
      <c r="D517" s="66"/>
      <c r="E517" s="66"/>
      <c r="F517" s="66"/>
      <c r="G517" s="66"/>
      <c r="H517" s="25" t="str">
        <f ca="1">_xlfn.IFNA(INDIRECT(_xlfn.TEXTJOIN("",TRUE,A513,"!",ADDRESS(13+(A514-1)*J513,6))),"")</f>
        <v/>
      </c>
      <c r="I517" s="25" t="str">
        <f ca="1">_xlfn.IFNA(INDIRECT(_xlfn.TEXTJOIN("",TRUE,A513,"!",ADDRESS(13+(A514-1)*J513,13))),"")</f>
        <v/>
      </c>
      <c r="J517" s="25" t="str">
        <f ca="1">_xlfn.IFNA(INDIRECT(_xlfn.TEXTJOIN("",TRUE,A513,"!",ADDRESS(13+(A514-1)*J513,14))),"")</f>
        <v/>
      </c>
    </row>
    <row r="518" spans="1:10" ht="10.5" customHeight="1" x14ac:dyDescent="0.2">
      <c r="A518" s="65" t="str">
        <f ca="1">_xlfn.IFNA(INDIRECT(_xlfn.TEXTJOIN("",TRUE,A513,"!",ADDRESS(14+(A514-1)*J513,1))),"")</f>
        <v/>
      </c>
      <c r="B518" s="65"/>
      <c r="C518" s="66" t="str">
        <f ca="1">_xlfn.IFNA(INDIRECT(_xlfn.TEXTJOIN("",TRUE,A513,"!",ADDRESS(14+(A514-1)*J513,2))),"")</f>
        <v/>
      </c>
      <c r="D518" s="66"/>
      <c r="E518" s="66"/>
      <c r="F518" s="66"/>
      <c r="G518" s="66"/>
      <c r="H518" s="25" t="str">
        <f ca="1">_xlfn.IFNA(INDIRECT(_xlfn.TEXTJOIN("",TRUE,A513,"!",ADDRESS(14+(A514-1)*J513,6))),"")</f>
        <v/>
      </c>
      <c r="I518" s="25" t="str">
        <f ca="1">_xlfn.IFNA(INDIRECT(_xlfn.TEXTJOIN("",TRUE,A513,"!",ADDRESS(14+(A514-1)*J513,13))),"")</f>
        <v/>
      </c>
      <c r="J518" s="25" t="str">
        <f ca="1">_xlfn.IFNA(INDIRECT(_xlfn.TEXTJOIN("",TRUE,A513,"!",ADDRESS(14+(A514-1)*J513,14))),"")</f>
        <v/>
      </c>
    </row>
    <row r="519" spans="1:10" ht="10.5" customHeight="1" x14ac:dyDescent="0.2">
      <c r="A519" s="65" t="str">
        <f ca="1">_xlfn.IFNA(INDIRECT(_xlfn.TEXTJOIN("",TRUE,A513,"!",ADDRESS(15+(A514-1)*J513,1))),"")</f>
        <v/>
      </c>
      <c r="B519" s="65"/>
      <c r="C519" s="66" t="str">
        <f ca="1">_xlfn.IFNA(INDIRECT(_xlfn.TEXTJOIN("",TRUE,A513,"!",ADDRESS(15+(A514-1)*J513,2))),"")</f>
        <v/>
      </c>
      <c r="D519" s="66"/>
      <c r="E519" s="66"/>
      <c r="F519" s="66"/>
      <c r="G519" s="66"/>
      <c r="H519" s="25" t="str">
        <f ca="1">_xlfn.IFNA(INDIRECT(_xlfn.TEXTJOIN("",TRUE,A513,"!",ADDRESS(15+(A514-1)*J513,6))),"")</f>
        <v/>
      </c>
      <c r="I519" s="25" t="str">
        <f ca="1">_xlfn.IFNA(INDIRECT(_xlfn.TEXTJOIN("",TRUE,A513,"!",ADDRESS(15+(A514-1)*J513,13))),"")</f>
        <v/>
      </c>
      <c r="J519" s="25" t="str">
        <f ca="1">_xlfn.IFNA(INDIRECT(_xlfn.TEXTJOIN("",TRUE,A513,"!",ADDRESS(15+(A514-1)*J513,14))),"")</f>
        <v/>
      </c>
    </row>
    <row r="520" spans="1:10" ht="10.5" customHeight="1" x14ac:dyDescent="0.2">
      <c r="A520" s="65" t="str">
        <f ca="1">_xlfn.IFNA(INDIRECT(_xlfn.TEXTJOIN("",TRUE,A513,"!",ADDRESS(16+(A514-1)*J513,1))),"")</f>
        <v/>
      </c>
      <c r="B520" s="65"/>
      <c r="C520" s="66" t="str">
        <f ca="1">_xlfn.IFNA(INDIRECT(_xlfn.TEXTJOIN("",TRUE,A513,"!",ADDRESS(16+(A514-1)*J513,2))),"")</f>
        <v/>
      </c>
      <c r="D520" s="66"/>
      <c r="E520" s="66"/>
      <c r="F520" s="66"/>
      <c r="G520" s="66"/>
      <c r="H520" s="25" t="str">
        <f ca="1">_xlfn.IFNA(INDIRECT(_xlfn.TEXTJOIN("",TRUE,A513,"!",ADDRESS(16+(A514-1)*J513,6))),"")</f>
        <v/>
      </c>
      <c r="I520" s="25" t="str">
        <f ca="1">_xlfn.IFNA(INDIRECT(_xlfn.TEXTJOIN("",TRUE,A513,"!",ADDRESS(16+(A514-1)*J513,13))),"")</f>
        <v/>
      </c>
      <c r="J520" s="25" t="str">
        <f ca="1">_xlfn.IFNA(INDIRECT(_xlfn.TEXTJOIN("",TRUE,A513,"!",ADDRESS(16+(A514-1)*J513,14))),"")</f>
        <v/>
      </c>
    </row>
    <row r="521" spans="1:10" ht="10.5" customHeight="1" x14ac:dyDescent="0.2">
      <c r="A521" s="65" t="str">
        <f ca="1">_xlfn.IFNA(INDIRECT(_xlfn.TEXTJOIN("",TRUE,A513,"!",ADDRESS(17+(A514-1)*J513,1))),"")</f>
        <v/>
      </c>
      <c r="B521" s="65"/>
      <c r="C521" s="66" t="str">
        <f ca="1">_xlfn.IFNA(INDIRECT(_xlfn.TEXTJOIN("",TRUE,A513,"!",ADDRESS(17+(A514-1)*J513,2))),"")</f>
        <v/>
      </c>
      <c r="D521" s="66"/>
      <c r="E521" s="66"/>
      <c r="F521" s="66"/>
      <c r="G521" s="66"/>
      <c r="H521" s="25" t="str">
        <f ca="1">_xlfn.IFNA(INDIRECT(_xlfn.TEXTJOIN("",TRUE,A513,"!",ADDRESS(17+(A514-1)*J513,6))),"")</f>
        <v/>
      </c>
      <c r="I521" s="25" t="str">
        <f ca="1">_xlfn.IFNA(INDIRECT(_xlfn.TEXTJOIN("",TRUE,A513,"!",ADDRESS(17+(A514-1)*J513,13))),"")</f>
        <v/>
      </c>
      <c r="J521" s="25" t="str">
        <f ca="1">_xlfn.IFNA(INDIRECT(_xlfn.TEXTJOIN("",TRUE,A513,"!",ADDRESS(17+(A514-1)*J513,14))),"")</f>
        <v/>
      </c>
    </row>
    <row r="522" spans="1:10" ht="10.5" customHeight="1" x14ac:dyDescent="0.2">
      <c r="A522" s="65" t="str">
        <f ca="1">_xlfn.IFNA(INDIRECT(_xlfn.TEXTJOIN("",TRUE,A513,"!",ADDRESS(18+(A514-1)*J513,1))),"")</f>
        <v/>
      </c>
      <c r="B522" s="65"/>
      <c r="C522" s="66" t="str">
        <f ca="1">_xlfn.IFNA(INDIRECT(_xlfn.TEXTJOIN("",TRUE,A513,"!",ADDRESS(18+(A514-1)*J513,2))),"")</f>
        <v/>
      </c>
      <c r="D522" s="66"/>
      <c r="E522" s="66"/>
      <c r="F522" s="66"/>
      <c r="G522" s="66"/>
      <c r="H522" s="25" t="str">
        <f ca="1">_xlfn.IFNA(INDIRECT(_xlfn.TEXTJOIN("",TRUE,A513,"!",ADDRESS(18+(A514-1)*J513,6))),"")</f>
        <v/>
      </c>
      <c r="I522" s="25" t="str">
        <f ca="1">_xlfn.IFNA(INDIRECT(_xlfn.TEXTJOIN("",TRUE,A513,"!",ADDRESS(18+(A514-1)*J513,13))),"")</f>
        <v/>
      </c>
      <c r="J522" s="25" t="str">
        <f ca="1">_xlfn.IFNA(INDIRECT(_xlfn.TEXTJOIN("",TRUE,A513,"!",ADDRESS(18+(A514-1)*J513,14))),"")</f>
        <v/>
      </c>
    </row>
    <row r="523" spans="1:10" ht="10.5" customHeight="1" x14ac:dyDescent="0.2">
      <c r="A523" s="60" t="str">
        <f ca="1">_xlfn.IFNA(INDIRECT(_xlfn.TEXTJOIN("",TRUE,A513,"!",ADDRESS(19+(A514-1)*J513,1))),"")</f>
        <v/>
      </c>
      <c r="B523" s="61"/>
      <c r="C523" s="57" t="str">
        <f ca="1">_xlfn.IFNA(INDIRECT(_xlfn.TEXTJOIN("",TRUE,A513,"!",ADDRESS(19+(A514-1)*J513,2))),"")</f>
        <v/>
      </c>
      <c r="D523" s="58"/>
      <c r="E523" s="58"/>
      <c r="F523" s="58"/>
      <c r="G523" s="59"/>
      <c r="H523" s="25" t="str">
        <f ca="1">_xlfn.IFNA(INDIRECT(_xlfn.TEXTJOIN("",TRUE,A513,"!",ADDRESS(19+(A514-1)*J513,6))),"")</f>
        <v/>
      </c>
      <c r="I523" s="25" t="str">
        <f ca="1">_xlfn.IFNA(INDIRECT(_xlfn.TEXTJOIN("",TRUE,A513,"!",ADDRESS(19+(A514-1)*J513,13))),"")</f>
        <v/>
      </c>
      <c r="J523" s="25" t="str">
        <f ca="1">_xlfn.IFNA(INDIRECT(_xlfn.TEXTJOIN("",TRUE,A513,"!",ADDRESS(19+(A514-1)*J513,14))),"")</f>
        <v/>
      </c>
    </row>
    <row r="524" spans="1:10" ht="10.5" customHeight="1" x14ac:dyDescent="0.2">
      <c r="A524" s="65" t="str">
        <f ca="1">_xlfn.IFNA(INDIRECT(_xlfn.TEXTJOIN("",TRUE,A513,"!",ADDRESS(20+(A514-1)*J513,1))),"")</f>
        <v/>
      </c>
      <c r="B524" s="65"/>
      <c r="C524" s="66" t="str">
        <f ca="1">_xlfn.IFNA(INDIRECT(_xlfn.TEXTJOIN("",TRUE,A513,"!",ADDRESS(20+(A514-1)*J513,2))),"")</f>
        <v/>
      </c>
      <c r="D524" s="66"/>
      <c r="E524" s="66"/>
      <c r="F524" s="66"/>
      <c r="G524" s="66"/>
      <c r="H524" s="25" t="str">
        <f ca="1">_xlfn.IFNA(INDIRECT(_xlfn.TEXTJOIN("",TRUE,A513,"!",ADDRESS(20+(A514-1)*J513,6))),"")</f>
        <v/>
      </c>
      <c r="I524" s="25" t="str">
        <f ca="1">_xlfn.IFNA(INDIRECT(_xlfn.TEXTJOIN("",TRUE,A513,"!",ADDRESS(20+(A514-1)*J513,13))),"")</f>
        <v/>
      </c>
      <c r="J524" s="25" t="str">
        <f ca="1">_xlfn.IFNA(INDIRECT(_xlfn.TEXTJOIN("",TRUE,A513,"!",ADDRESS(20+(A514-1)*J513,14))),"")</f>
        <v/>
      </c>
    </row>
    <row r="525" spans="1:10" ht="10.5" customHeight="1" x14ac:dyDescent="0.2">
      <c r="A525" s="65" t="str">
        <f ca="1">_xlfn.IFNA(INDIRECT(_xlfn.TEXTJOIN("",TRUE,A513,"!",ADDRESS(21+(A514-1)*J513,1))),"")</f>
        <v/>
      </c>
      <c r="B525" s="65"/>
      <c r="C525" s="66" t="str">
        <f ca="1">_xlfn.IFNA(INDIRECT(_xlfn.TEXTJOIN("",TRUE,A513,"!",ADDRESS(21+(A514-1)*J513,2))),"")</f>
        <v/>
      </c>
      <c r="D525" s="66"/>
      <c r="E525" s="66"/>
      <c r="F525" s="66"/>
      <c r="G525" s="66"/>
      <c r="H525" s="25" t="str">
        <f ca="1">_xlfn.IFNA(INDIRECT(_xlfn.TEXTJOIN("",TRUE,A513,"!",ADDRESS(21+(A514-1)*J513,6))),"")</f>
        <v/>
      </c>
      <c r="I525" s="25" t="str">
        <f ca="1">_xlfn.IFNA(INDIRECT(_xlfn.TEXTJOIN("",TRUE,A513,"!",ADDRESS(21+(A514-1)*J513,13))),"")</f>
        <v/>
      </c>
      <c r="J525" s="25" t="str">
        <f ca="1">_xlfn.IFNA(INDIRECT(_xlfn.TEXTJOIN("",TRUE,A513,"!",ADDRESS(21+(A514-1)*J513,14))),"")</f>
        <v/>
      </c>
    </row>
    <row r="526" spans="1:10" ht="10.5" customHeight="1" x14ac:dyDescent="0.2">
      <c r="A526" s="65" t="str">
        <f ca="1">_xlfn.IFNA(INDIRECT(_xlfn.TEXTJOIN("",TRUE,A513,"!",ADDRESS(22+(A514-1)*J513,1))),"")</f>
        <v/>
      </c>
      <c r="B526" s="65"/>
      <c r="C526" s="66" t="str">
        <f ca="1">_xlfn.IFNA(INDIRECT(_xlfn.TEXTJOIN("",TRUE,A513,"!",ADDRESS(22+(A514-1)*J513,2))),"")</f>
        <v/>
      </c>
      <c r="D526" s="66"/>
      <c r="E526" s="66"/>
      <c r="F526" s="66"/>
      <c r="G526" s="66"/>
      <c r="H526" s="25" t="str">
        <f ca="1">_xlfn.IFNA(INDIRECT(_xlfn.TEXTJOIN("",TRUE,A513,"!",ADDRESS(22+(A514-1)*J513,6))),"")</f>
        <v/>
      </c>
      <c r="I526" s="25" t="str">
        <f ca="1">_xlfn.IFNA(INDIRECT(_xlfn.TEXTJOIN("",TRUE,A513,"!",ADDRESS(22+(A514-1)*J513,13))),"")</f>
        <v/>
      </c>
      <c r="J526" s="25" t="str">
        <f ca="1">_xlfn.IFNA(INDIRECT(_xlfn.TEXTJOIN("",TRUE,A513,"!",ADDRESS(22+(A514-1)*J513,14))),"")</f>
        <v/>
      </c>
    </row>
    <row r="527" spans="1:10" ht="10.5" customHeight="1" x14ac:dyDescent="0.2">
      <c r="A527" s="71" t="str">
        <f ca="1">IF(ISNA(A514),"","Total Credits/ Total Grade Points")</f>
        <v/>
      </c>
      <c r="B527" s="71"/>
      <c r="C527" s="71"/>
      <c r="D527" s="71"/>
      <c r="E527" s="71"/>
      <c r="F527" s="71"/>
      <c r="G527" s="71"/>
      <c r="H527" s="27" t="str">
        <f ca="1">IF(ISNA(A514),"",SUM(H517:H526))</f>
        <v/>
      </c>
      <c r="I527" s="26" t="str">
        <f ca="1">IF(ISNA(A514),"","-")</f>
        <v/>
      </c>
      <c r="J527" s="27" t="str">
        <f ca="1">IF(ISNA(A514),"",SUMPRODUCT(J517:J526,H517:H526))</f>
        <v/>
      </c>
    </row>
    <row r="528" spans="1:10" ht="10.5" customHeight="1" x14ac:dyDescent="0.2">
      <c r="A528" s="24" t="s">
        <v>60</v>
      </c>
      <c r="B528" s="72" t="str">
        <f ca="1">IF(ISNA(A529),"","Semester III (Autumn Semester 2023-24)")</f>
        <v/>
      </c>
      <c r="C528" s="72"/>
      <c r="D528" s="72"/>
      <c r="E528" s="72"/>
      <c r="F528" s="72"/>
      <c r="G528" s="72"/>
      <c r="H528" s="72"/>
      <c r="I528" s="72"/>
      <c r="J528" s="24">
        <f>ROWS(A532:B539)+9</f>
        <v>17</v>
      </c>
    </row>
    <row r="529" spans="1:10" ht="10.5" customHeight="1" x14ac:dyDescent="0.2">
      <c r="A529" s="24" t="e">
        <f ca="1">INDEX(SEM_III!$A$6:$A$43,Marksheets!J529)</f>
        <v>#N/A</v>
      </c>
      <c r="B529" s="63"/>
      <c r="C529" s="63"/>
      <c r="D529" s="63"/>
      <c r="E529" s="63"/>
      <c r="F529" s="63"/>
      <c r="G529" s="63"/>
      <c r="H529" s="63"/>
      <c r="I529" s="63"/>
      <c r="J529" s="24" t="e">
        <f ca="1">MATCH(H492,SEM_III!$B$6:$B$43,0)</f>
        <v>#N/A</v>
      </c>
    </row>
    <row r="530" spans="1:10" ht="10.5" customHeight="1" x14ac:dyDescent="0.2">
      <c r="A530" s="64" t="str">
        <f ca="1">IF(ISNA(A529),"","Subject Code")</f>
        <v/>
      </c>
      <c r="B530" s="64"/>
      <c r="C530" s="64" t="str">
        <f ca="1">IF(ISNA(A529),"","Subject Name")</f>
        <v/>
      </c>
      <c r="D530" s="64"/>
      <c r="E530" s="64"/>
      <c r="F530" s="64"/>
      <c r="G530" s="64"/>
      <c r="H530" s="64" t="str">
        <f ca="1">IF(ISNA(A529),"","Credits")</f>
        <v/>
      </c>
      <c r="I530" s="64" t="str">
        <f ca="1">IF(ISNA(A529),"","Grade")</f>
        <v/>
      </c>
      <c r="J530" s="64" t="str">
        <f ca="1">IF(ISNA(A529),"","Grade Points")</f>
        <v/>
      </c>
    </row>
    <row r="531" spans="1:10" ht="14" customHeight="1" x14ac:dyDescent="0.2">
      <c r="A531" s="64"/>
      <c r="B531" s="64"/>
      <c r="C531" s="64"/>
      <c r="D531" s="64"/>
      <c r="E531" s="64"/>
      <c r="F531" s="64"/>
      <c r="G531" s="64"/>
      <c r="H531" s="64"/>
      <c r="I531" s="64"/>
      <c r="J531" s="64"/>
    </row>
    <row r="532" spans="1:10" ht="10.5" customHeight="1" x14ac:dyDescent="0.2">
      <c r="A532" s="65" t="str">
        <f ca="1">_xlfn.IFNA(INDIRECT(_xlfn.TEXTJOIN("",TRUE,A528,"!",ADDRESS(13+(A529-1)*J528,1))),"")</f>
        <v/>
      </c>
      <c r="B532" s="65"/>
      <c r="C532" s="66" t="str">
        <f ca="1">_xlfn.IFNA(INDIRECT(_xlfn.TEXTJOIN("",TRUE,A528,"!",ADDRESS(13+(A529-1)*J528,2))),"")</f>
        <v/>
      </c>
      <c r="D532" s="66"/>
      <c r="E532" s="66"/>
      <c r="F532" s="66"/>
      <c r="G532" s="66"/>
      <c r="H532" s="25" t="str">
        <f ca="1">_xlfn.IFNA(INDIRECT(_xlfn.TEXTJOIN("",TRUE,A528,"!",ADDRESS(13+(A529-1)*J528,6))),"")</f>
        <v/>
      </c>
      <c r="I532" s="25" t="str">
        <f ca="1">_xlfn.IFNA(INDIRECT(_xlfn.TEXTJOIN("",TRUE,A528,"!",ADDRESS(13+(A529-1)*J528,13))),"")</f>
        <v/>
      </c>
      <c r="J532" s="25" t="str">
        <f ca="1">_xlfn.IFNA(INDIRECT(_xlfn.TEXTJOIN("",TRUE,A528,"!",ADDRESS(13+(A529-1)*J528,14))),"")</f>
        <v/>
      </c>
    </row>
    <row r="533" spans="1:10" ht="10.5" customHeight="1" x14ac:dyDescent="0.2">
      <c r="A533" s="65" t="str">
        <f ca="1">_xlfn.IFNA(INDIRECT(_xlfn.TEXTJOIN("",TRUE,A528,"!",ADDRESS(14+(A529-1)*J528,1))),"")</f>
        <v/>
      </c>
      <c r="B533" s="65"/>
      <c r="C533" s="66" t="str">
        <f ca="1">_xlfn.IFNA(INDIRECT(_xlfn.TEXTJOIN("",TRUE,A528,"!",ADDRESS(14+(A529-1)*J528,2))),"")</f>
        <v/>
      </c>
      <c r="D533" s="66"/>
      <c r="E533" s="66"/>
      <c r="F533" s="66"/>
      <c r="G533" s="66"/>
      <c r="H533" s="25" t="str">
        <f ca="1">_xlfn.IFNA(INDIRECT(_xlfn.TEXTJOIN("",TRUE,A528,"!",ADDRESS(14+(A529-1)*J528,6))),"")</f>
        <v/>
      </c>
      <c r="I533" s="25" t="str">
        <f ca="1">_xlfn.IFNA(INDIRECT(_xlfn.TEXTJOIN("",TRUE,A528,"!",ADDRESS(14+(A529-1)*J528,13))),"")</f>
        <v/>
      </c>
      <c r="J533" s="25" t="str">
        <f ca="1">_xlfn.IFNA(INDIRECT(_xlfn.TEXTJOIN("",TRUE,A528,"!",ADDRESS(14+(A529-1)*J528,14))),"")</f>
        <v/>
      </c>
    </row>
    <row r="534" spans="1:10" ht="10.5" customHeight="1" x14ac:dyDescent="0.2">
      <c r="A534" s="65" t="str">
        <f ca="1">_xlfn.IFNA(INDIRECT(_xlfn.TEXTJOIN("",TRUE,A528,"!",ADDRESS(15+(A529-1)*J528,1))),"")</f>
        <v/>
      </c>
      <c r="B534" s="65"/>
      <c r="C534" s="66" t="str">
        <f ca="1">_xlfn.IFNA(INDIRECT(_xlfn.TEXTJOIN("",TRUE,A528,"!",ADDRESS(15+(A529-1)*J528,2))),"")</f>
        <v/>
      </c>
      <c r="D534" s="66"/>
      <c r="E534" s="66"/>
      <c r="F534" s="66"/>
      <c r="G534" s="66"/>
      <c r="H534" s="25" t="str">
        <f ca="1">_xlfn.IFNA(INDIRECT(_xlfn.TEXTJOIN("",TRUE,A528,"!",ADDRESS(15+(A529-1)*J528,6))),"")</f>
        <v/>
      </c>
      <c r="I534" s="25" t="str">
        <f ca="1">_xlfn.IFNA(INDIRECT(_xlfn.TEXTJOIN("",TRUE,A528,"!",ADDRESS(15+(A529-1)*J528,13))),"")</f>
        <v/>
      </c>
      <c r="J534" s="25" t="str">
        <f ca="1">_xlfn.IFNA(INDIRECT(_xlfn.TEXTJOIN("",TRUE,A528,"!",ADDRESS(15+(A529-1)*J528,14))),"")</f>
        <v/>
      </c>
    </row>
    <row r="535" spans="1:10" ht="10.5" customHeight="1" x14ac:dyDescent="0.2">
      <c r="A535" s="65" t="str">
        <f ca="1">_xlfn.IFNA(INDIRECT(_xlfn.TEXTJOIN("",TRUE,A528,"!",ADDRESS(16+(A529-1)*J528,1))),"")</f>
        <v/>
      </c>
      <c r="B535" s="65"/>
      <c r="C535" s="66" t="str">
        <f ca="1">_xlfn.IFNA(INDIRECT(_xlfn.TEXTJOIN("",TRUE,A528,"!",ADDRESS(16+(A529-1)*J528,2))),"")</f>
        <v/>
      </c>
      <c r="D535" s="66"/>
      <c r="E535" s="66"/>
      <c r="F535" s="66"/>
      <c r="G535" s="66"/>
      <c r="H535" s="25" t="str">
        <f ca="1">_xlfn.IFNA(INDIRECT(_xlfn.TEXTJOIN("",TRUE,A528,"!",ADDRESS(16+(A529-1)*J528,6))),"")</f>
        <v/>
      </c>
      <c r="I535" s="25" t="str">
        <f ca="1">_xlfn.IFNA(INDIRECT(_xlfn.TEXTJOIN("",TRUE,A528,"!",ADDRESS(16+(A529-1)*J528,13))),"")</f>
        <v/>
      </c>
      <c r="J535" s="25" t="str">
        <f ca="1">_xlfn.IFNA(INDIRECT(_xlfn.TEXTJOIN("",TRUE,A528,"!",ADDRESS(16+(A529-1)*J528,14))),"")</f>
        <v/>
      </c>
    </row>
    <row r="536" spans="1:10" ht="10.5" customHeight="1" x14ac:dyDescent="0.2">
      <c r="A536" s="65" t="str">
        <f ca="1">_xlfn.IFNA(INDIRECT(_xlfn.TEXTJOIN("",TRUE,A528,"!",ADDRESS(17+(A529-1)*J528,1))),"")</f>
        <v/>
      </c>
      <c r="B536" s="65"/>
      <c r="C536" s="66" t="str">
        <f ca="1">_xlfn.IFNA(INDIRECT(_xlfn.TEXTJOIN("",TRUE,A528,"!",ADDRESS(17+(A529-1)*J528,2))),"")</f>
        <v/>
      </c>
      <c r="D536" s="66"/>
      <c r="E536" s="66"/>
      <c r="F536" s="66"/>
      <c r="G536" s="66"/>
      <c r="H536" s="25" t="str">
        <f ca="1">_xlfn.IFNA(INDIRECT(_xlfn.TEXTJOIN("",TRUE,A528,"!",ADDRESS(17+(A529-1)*J528,6))),"")</f>
        <v/>
      </c>
      <c r="I536" s="25" t="str">
        <f ca="1">_xlfn.IFNA(INDIRECT(_xlfn.TEXTJOIN("",TRUE,A528,"!",ADDRESS(17+(A529-1)*J528,13))),"")</f>
        <v/>
      </c>
      <c r="J536" s="25" t="str">
        <f ca="1">_xlfn.IFNA(INDIRECT(_xlfn.TEXTJOIN("",TRUE,A528,"!",ADDRESS(17+(A529-1)*J528,14))),"")</f>
        <v/>
      </c>
    </row>
    <row r="537" spans="1:10" ht="10.5" customHeight="1" x14ac:dyDescent="0.2">
      <c r="A537" s="65" t="str">
        <f ca="1">_xlfn.IFNA(INDIRECT(_xlfn.TEXTJOIN("",TRUE,A528,"!",ADDRESS(18+(A529-1)*J528,1))),"")</f>
        <v/>
      </c>
      <c r="B537" s="65"/>
      <c r="C537" s="66" t="str">
        <f ca="1">_xlfn.IFNA(INDIRECT(_xlfn.TEXTJOIN("",TRUE,A528,"!",ADDRESS(18+(A529-1)*J528,2))),"")</f>
        <v/>
      </c>
      <c r="D537" s="66"/>
      <c r="E537" s="66"/>
      <c r="F537" s="66"/>
      <c r="G537" s="66"/>
      <c r="H537" s="25" t="str">
        <f ca="1">_xlfn.IFNA(INDIRECT(_xlfn.TEXTJOIN("",TRUE,A528,"!",ADDRESS(18+(A529-1)*J528,6))),"")</f>
        <v/>
      </c>
      <c r="I537" s="25" t="str">
        <f ca="1">_xlfn.IFNA(INDIRECT(_xlfn.TEXTJOIN("",TRUE,A528,"!",ADDRESS(18+(A529-1)*J528,13))),"")</f>
        <v/>
      </c>
      <c r="J537" s="25" t="str">
        <f ca="1">_xlfn.IFNA(INDIRECT(_xlfn.TEXTJOIN("",TRUE,A528,"!",ADDRESS(18+(A529-1)*J528,14))),"")</f>
        <v/>
      </c>
    </row>
    <row r="538" spans="1:10" ht="10.5" customHeight="1" x14ac:dyDescent="0.2">
      <c r="A538" s="60" t="str">
        <f ca="1">_xlfn.IFNA(INDIRECT(_xlfn.TEXTJOIN("",TRUE,A528,"!",ADDRESS(19+(A529-1)*J528,1))),"")</f>
        <v/>
      </c>
      <c r="B538" s="61"/>
      <c r="C538" s="57" t="str">
        <f ca="1">_xlfn.IFNA(INDIRECT(_xlfn.TEXTJOIN("",TRUE,A528,"!",ADDRESS(19+(A529-1)*J528,2))),"")</f>
        <v/>
      </c>
      <c r="D538" s="58"/>
      <c r="E538" s="58"/>
      <c r="F538" s="58"/>
      <c r="G538" s="59"/>
      <c r="H538" s="25" t="str">
        <f ca="1">_xlfn.IFNA(INDIRECT(_xlfn.TEXTJOIN("",TRUE,A528,"!",ADDRESS(19+(A529-1)*J528,6))),"")</f>
        <v/>
      </c>
      <c r="I538" s="25" t="str">
        <f ca="1">_xlfn.IFNA(INDIRECT(_xlfn.TEXTJOIN("",TRUE,A528,"!",ADDRESS(19+(A529-1)*J528,13))),"")</f>
        <v/>
      </c>
      <c r="J538" s="25" t="str">
        <f ca="1">_xlfn.IFNA(INDIRECT(_xlfn.TEXTJOIN("",TRUE,A528,"!",ADDRESS(19+(A529-1)*J528,14))),"")</f>
        <v/>
      </c>
    </row>
    <row r="539" spans="1:10" ht="10.5" customHeight="1" x14ac:dyDescent="0.2">
      <c r="A539" s="65" t="str">
        <f ca="1">_xlfn.IFNA(INDIRECT(_xlfn.TEXTJOIN("",TRUE,A528,"!",ADDRESS(20+(A529-1)*J528,1))),"")</f>
        <v/>
      </c>
      <c r="B539" s="65"/>
      <c r="C539" s="66" t="str">
        <f ca="1">_xlfn.IFNA(INDIRECT(_xlfn.TEXTJOIN("",TRUE,A528,"!",ADDRESS(20+(A529-1)*J528,2))),"")</f>
        <v/>
      </c>
      <c r="D539" s="66"/>
      <c r="E539" s="66"/>
      <c r="F539" s="66"/>
      <c r="G539" s="66"/>
      <c r="H539" s="25" t="str">
        <f ca="1">_xlfn.IFNA(INDIRECT(_xlfn.TEXTJOIN("",TRUE,A528,"!",ADDRESS(20+(A529-1)*J528,6))),"")</f>
        <v/>
      </c>
      <c r="I539" s="25" t="str">
        <f ca="1">_xlfn.IFNA(INDIRECT(_xlfn.TEXTJOIN("",TRUE,A528,"!",ADDRESS(20+(A529-1)*J528,13))),"")</f>
        <v/>
      </c>
      <c r="J539" s="25" t="str">
        <f ca="1">_xlfn.IFNA(INDIRECT(_xlfn.TEXTJOIN("",TRUE,A528,"!",ADDRESS(20+(A529-1)*J528,14))),"")</f>
        <v/>
      </c>
    </row>
    <row r="540" spans="1:10" ht="10.5" customHeight="1" x14ac:dyDescent="0.2">
      <c r="A540" s="71" t="str">
        <f ca="1">IF(ISNA(A529),"","Total Credits/ Total Grade Points")</f>
        <v/>
      </c>
      <c r="B540" s="71"/>
      <c r="C540" s="71"/>
      <c r="D540" s="71"/>
      <c r="E540" s="71"/>
      <c r="F540" s="71"/>
      <c r="G540" s="71"/>
      <c r="H540" s="27" t="str">
        <f ca="1">IF(ISNA(A529),"",SUM(H532:H539))</f>
        <v/>
      </c>
      <c r="I540" s="26" t="str">
        <f ca="1">IF(ISNA(A529),"","-")</f>
        <v/>
      </c>
      <c r="J540" s="27" t="str">
        <f ca="1">IF(ISNA(A529),"",SUMPRODUCT(J532:J539,H532:H539))</f>
        <v/>
      </c>
    </row>
    <row r="541" spans="1:10" ht="10.5" customHeight="1" x14ac:dyDescent="0.2">
      <c r="A541" s="24" t="s">
        <v>133</v>
      </c>
      <c r="B541" s="72" t="str">
        <f ca="1">IF(ISNA(A542),"","Semester IV (Spring Semester 2023-24)")</f>
        <v/>
      </c>
      <c r="C541" s="72"/>
      <c r="D541" s="72"/>
      <c r="E541" s="72"/>
      <c r="F541" s="72"/>
      <c r="G541" s="72"/>
      <c r="H541" s="72"/>
      <c r="I541" s="72"/>
      <c r="J541" s="24">
        <f>ROWS(A545:B551)+9</f>
        <v>16</v>
      </c>
    </row>
    <row r="542" spans="1:10" ht="10.5" customHeight="1" x14ac:dyDescent="0.2">
      <c r="A542" s="24" t="e">
        <f ca="1">INDEX(SEM_IV!$A$6:$A$43,Marksheets!J542)</f>
        <v>#N/A</v>
      </c>
      <c r="B542" s="63"/>
      <c r="C542" s="63"/>
      <c r="D542" s="63"/>
      <c r="E542" s="63"/>
      <c r="F542" s="63"/>
      <c r="G542" s="63"/>
      <c r="H542" s="63"/>
      <c r="I542" s="63"/>
      <c r="J542" s="24" t="e">
        <f ca="1">MATCH(H492,SEM_IV!$B$6:$B$43,0)</f>
        <v>#N/A</v>
      </c>
    </row>
    <row r="543" spans="1:10" ht="10.5" customHeight="1" x14ac:dyDescent="0.2">
      <c r="A543" s="64" t="str">
        <f ca="1">IF(ISNA(A542),"","Subject Code")</f>
        <v/>
      </c>
      <c r="B543" s="64"/>
      <c r="C543" s="64" t="str">
        <f ca="1">IF(ISNA(A542),"","Subject Name")</f>
        <v/>
      </c>
      <c r="D543" s="64"/>
      <c r="E543" s="64"/>
      <c r="F543" s="64"/>
      <c r="G543" s="64"/>
      <c r="H543" s="64" t="str">
        <f ca="1">IF(ISNA(A542),"","Credits")</f>
        <v/>
      </c>
      <c r="I543" s="64" t="str">
        <f ca="1">IF(ISNA(A542),"","Grade")</f>
        <v/>
      </c>
      <c r="J543" s="64" t="str">
        <f ca="1">IF(ISNA(A542),"","Grade Points")</f>
        <v/>
      </c>
    </row>
    <row r="544" spans="1:10" ht="14.5" customHeight="1" x14ac:dyDescent="0.2">
      <c r="A544" s="64"/>
      <c r="B544" s="64"/>
      <c r="C544" s="64"/>
      <c r="D544" s="64"/>
      <c r="E544" s="64"/>
      <c r="F544" s="64"/>
      <c r="G544" s="64"/>
      <c r="H544" s="64"/>
      <c r="I544" s="64"/>
      <c r="J544" s="64"/>
    </row>
    <row r="545" spans="1:10" ht="10.5" customHeight="1" x14ac:dyDescent="0.2">
      <c r="A545" s="65" t="str">
        <f ca="1">_xlfn.IFNA(INDIRECT(_xlfn.TEXTJOIN("",TRUE,A541,"!",ADDRESS(13+(A542-1)*J541,1))),"")</f>
        <v/>
      </c>
      <c r="B545" s="65"/>
      <c r="C545" s="66" t="str">
        <f ca="1">_xlfn.IFNA(INDIRECT(_xlfn.TEXTJOIN("",TRUE,A541,"!",ADDRESS(13+(A542-1)*J541,2))),"")</f>
        <v/>
      </c>
      <c r="D545" s="66"/>
      <c r="E545" s="66"/>
      <c r="F545" s="66"/>
      <c r="G545" s="66"/>
      <c r="H545" s="25" t="str">
        <f ca="1">_xlfn.IFNA(INDIRECT(_xlfn.TEXTJOIN("",TRUE,A541,"!",ADDRESS(13+(A542-1)*J541,6))),"")</f>
        <v/>
      </c>
      <c r="I545" s="25" t="str">
        <f ca="1">_xlfn.IFNA(INDIRECT(_xlfn.TEXTJOIN("",TRUE,A541,"!",ADDRESS(13+(A542-1)*J541,13))),"")</f>
        <v/>
      </c>
      <c r="J545" s="25" t="str">
        <f ca="1">_xlfn.IFNA(INDIRECT(_xlfn.TEXTJOIN("",TRUE,A541,"!",ADDRESS(13+(A542-1)*J541,14))),"")</f>
        <v/>
      </c>
    </row>
    <row r="546" spans="1:10" ht="10.5" customHeight="1" x14ac:dyDescent="0.2">
      <c r="A546" s="65" t="str">
        <f ca="1">_xlfn.IFNA(INDIRECT(_xlfn.TEXTJOIN("",TRUE,A541,"!",ADDRESS(14+(A542-1)*J541,1))),"")</f>
        <v/>
      </c>
      <c r="B546" s="65"/>
      <c r="C546" s="66" t="str">
        <f ca="1">_xlfn.IFNA(INDIRECT(_xlfn.TEXTJOIN("",TRUE,A541,"!",ADDRESS(14+(A542-1)*J541,2))),"")</f>
        <v/>
      </c>
      <c r="D546" s="66"/>
      <c r="E546" s="66"/>
      <c r="F546" s="66"/>
      <c r="G546" s="66"/>
      <c r="H546" s="25" t="str">
        <f ca="1">_xlfn.IFNA(INDIRECT(_xlfn.TEXTJOIN("",TRUE,A541,"!",ADDRESS(14+(A542-1)*J541,6))),"")</f>
        <v/>
      </c>
      <c r="I546" s="25" t="str">
        <f ca="1">_xlfn.IFNA(INDIRECT(_xlfn.TEXTJOIN("",TRUE,A541,"!",ADDRESS(14+(A542-1)*J541,13))),"")</f>
        <v/>
      </c>
      <c r="J546" s="25" t="str">
        <f ca="1">_xlfn.IFNA(INDIRECT(_xlfn.TEXTJOIN("",TRUE,A541,"!",ADDRESS(14+(A542-1)*J541,14))),"")</f>
        <v/>
      </c>
    </row>
    <row r="547" spans="1:10" ht="10.5" customHeight="1" x14ac:dyDescent="0.2">
      <c r="A547" s="65" t="str">
        <f ca="1">_xlfn.IFNA(INDIRECT(_xlfn.TEXTJOIN("",TRUE,A541,"!",ADDRESS(15+(A542-1)*J541,1))),"")</f>
        <v/>
      </c>
      <c r="B547" s="65"/>
      <c r="C547" s="66" t="str">
        <f ca="1">_xlfn.IFNA(INDIRECT(_xlfn.TEXTJOIN("",TRUE,A541,"!",ADDRESS(15+(A542-1)*J541,2))),"")</f>
        <v/>
      </c>
      <c r="D547" s="66"/>
      <c r="E547" s="66"/>
      <c r="F547" s="66"/>
      <c r="G547" s="66"/>
      <c r="H547" s="25" t="str">
        <f ca="1">_xlfn.IFNA(INDIRECT(_xlfn.TEXTJOIN("",TRUE,A541,"!",ADDRESS(15+(A542-1)*J541,6))),"")</f>
        <v/>
      </c>
      <c r="I547" s="25" t="str">
        <f ca="1">_xlfn.IFNA(INDIRECT(_xlfn.TEXTJOIN("",TRUE,A541,"!",ADDRESS(15+(A542-1)*J541,13))),"")</f>
        <v/>
      </c>
      <c r="J547" s="25" t="str">
        <f ca="1">_xlfn.IFNA(INDIRECT(_xlfn.TEXTJOIN("",TRUE,A541,"!",ADDRESS(15+(A542-1)*J541,14))),"")</f>
        <v/>
      </c>
    </row>
    <row r="548" spans="1:10" ht="10.5" customHeight="1" x14ac:dyDescent="0.2">
      <c r="A548" s="65" t="str">
        <f ca="1">_xlfn.IFNA(INDIRECT(_xlfn.TEXTJOIN("",TRUE,A541,"!",ADDRESS(16+(A542-1)*J541,1))),"")</f>
        <v/>
      </c>
      <c r="B548" s="65"/>
      <c r="C548" s="66" t="str">
        <f ca="1">_xlfn.IFNA(INDIRECT(_xlfn.TEXTJOIN("",TRUE,A541,"!",ADDRESS(16+(A542-1)*J541,2))),"")</f>
        <v/>
      </c>
      <c r="D548" s="66"/>
      <c r="E548" s="66"/>
      <c r="F548" s="66"/>
      <c r="G548" s="66"/>
      <c r="H548" s="25" t="str">
        <f ca="1">_xlfn.IFNA(INDIRECT(_xlfn.TEXTJOIN("",TRUE,A541,"!",ADDRESS(16+(A542-1)*J541,6))),"")</f>
        <v/>
      </c>
      <c r="I548" s="25" t="str">
        <f ca="1">_xlfn.IFNA(INDIRECT(_xlfn.TEXTJOIN("",TRUE,A541,"!",ADDRESS(16+(A542-1)*J541,13))),"")</f>
        <v/>
      </c>
      <c r="J548" s="25" t="str">
        <f ca="1">_xlfn.IFNA(INDIRECT(_xlfn.TEXTJOIN("",TRUE,A541,"!",ADDRESS(16+(A542-1)*J541,14))),"")</f>
        <v/>
      </c>
    </row>
    <row r="549" spans="1:10" ht="10.5" customHeight="1" x14ac:dyDescent="0.2">
      <c r="A549" s="65" t="str">
        <f ca="1">_xlfn.IFNA(INDIRECT(_xlfn.TEXTJOIN("",TRUE,A541,"!",ADDRESS(17+(A542-1)*J541,1))),"")</f>
        <v/>
      </c>
      <c r="B549" s="65"/>
      <c r="C549" s="66" t="str">
        <f ca="1">_xlfn.IFNA(INDIRECT(_xlfn.TEXTJOIN("",TRUE,A541,"!",ADDRESS(17+(A542-1)*J541,2))),"")</f>
        <v/>
      </c>
      <c r="D549" s="66"/>
      <c r="E549" s="66"/>
      <c r="F549" s="66"/>
      <c r="G549" s="66"/>
      <c r="H549" s="25" t="str">
        <f ca="1">_xlfn.IFNA(INDIRECT(_xlfn.TEXTJOIN("",TRUE,A541,"!",ADDRESS(17+(A542-1)*J541,6))),"")</f>
        <v/>
      </c>
      <c r="I549" s="25" t="str">
        <f ca="1">_xlfn.IFNA(INDIRECT(_xlfn.TEXTJOIN("",TRUE,A541,"!",ADDRESS(17+(A542-1)*J541,13))),"")</f>
        <v/>
      </c>
      <c r="J549" s="25" t="str">
        <f ca="1">_xlfn.IFNA(INDIRECT(_xlfn.TEXTJOIN("",TRUE,A541,"!",ADDRESS(17+(A542-1)*J541,14))),"")</f>
        <v/>
      </c>
    </row>
    <row r="550" spans="1:10" ht="10.5" customHeight="1" x14ac:dyDescent="0.2">
      <c r="A550" s="65" t="str">
        <f ca="1">_xlfn.IFNA(INDIRECT(_xlfn.TEXTJOIN("",TRUE,A541,"!",ADDRESS(18+(A542-1)*J541,1))),"")</f>
        <v/>
      </c>
      <c r="B550" s="65"/>
      <c r="C550" s="66" t="str">
        <f ca="1">_xlfn.IFNA(INDIRECT(_xlfn.TEXTJOIN("",TRUE,A541,"!",ADDRESS(18+(A542-1)*J541,2))),"")</f>
        <v/>
      </c>
      <c r="D550" s="66"/>
      <c r="E550" s="66"/>
      <c r="F550" s="66"/>
      <c r="G550" s="66"/>
      <c r="H550" s="25" t="str">
        <f ca="1">_xlfn.IFNA(INDIRECT(_xlfn.TEXTJOIN("",TRUE,A541,"!",ADDRESS(18+(A542-1)*J541,6))),"")</f>
        <v/>
      </c>
      <c r="I550" s="25" t="str">
        <f ca="1">_xlfn.IFNA(INDIRECT(_xlfn.TEXTJOIN("",TRUE,A541,"!",ADDRESS(18+(A542-1)*J541,13))),"")</f>
        <v/>
      </c>
      <c r="J550" s="25" t="str">
        <f ca="1">_xlfn.IFNA(INDIRECT(_xlfn.TEXTJOIN("",TRUE,A541,"!",ADDRESS(18+(A542-1)*J541,14))),"")</f>
        <v/>
      </c>
    </row>
    <row r="551" spans="1:10" ht="10.5" customHeight="1" x14ac:dyDescent="0.2">
      <c r="A551" s="60" t="str">
        <f ca="1">_xlfn.IFNA(INDIRECT(_xlfn.TEXTJOIN("",TRUE,A541,"!",ADDRESS(19+(A542-1)*J541,1))),"")</f>
        <v/>
      </c>
      <c r="B551" s="61"/>
      <c r="C551" s="57" t="str">
        <f ca="1">_xlfn.IFNA(INDIRECT(_xlfn.TEXTJOIN("",TRUE,A541,"!",ADDRESS(19+(A542-1)*J541,2))),"")</f>
        <v/>
      </c>
      <c r="D551" s="58"/>
      <c r="E551" s="58"/>
      <c r="F551" s="58"/>
      <c r="G551" s="59"/>
      <c r="H551" s="25" t="str">
        <f ca="1">_xlfn.IFNA(INDIRECT(_xlfn.TEXTJOIN("",TRUE,A541,"!",ADDRESS(19+(A542-1)*J541,6))),"")</f>
        <v/>
      </c>
      <c r="I551" s="25" t="str">
        <f ca="1">_xlfn.IFNA(INDIRECT(_xlfn.TEXTJOIN("",TRUE,A541,"!",ADDRESS(19+(A542-1)*J541,13))),"")</f>
        <v/>
      </c>
      <c r="J551" s="25" t="str">
        <f ca="1">_xlfn.IFNA(INDIRECT(_xlfn.TEXTJOIN("",TRUE,A541,"!",ADDRESS(19+(A542-1)*J541,14))),"")</f>
        <v/>
      </c>
    </row>
    <row r="552" spans="1:10" ht="10.5" customHeight="1" x14ac:dyDescent="0.2">
      <c r="A552" s="71" t="str">
        <f ca="1">IF(ISNA(A542),"","Total Credits/ Total Grade Points")</f>
        <v/>
      </c>
      <c r="B552" s="71"/>
      <c r="C552" s="71"/>
      <c r="D552" s="71"/>
      <c r="E552" s="71"/>
      <c r="F552" s="71"/>
      <c r="G552" s="71"/>
      <c r="H552" s="27" t="str">
        <f ca="1">IF(ISNA(A542),"",SUM(H544:H551))</f>
        <v/>
      </c>
      <c r="I552" s="26" t="str">
        <f ca="1">IF(ISNA(A542),"","-")</f>
        <v/>
      </c>
      <c r="J552" s="27" t="str">
        <f ca="1">IF(ISNA(A542),"",SUMPRODUCT(J544:J551,H544:H551))</f>
        <v/>
      </c>
    </row>
    <row r="553" spans="1:10" ht="10.5" customHeight="1" x14ac:dyDescent="0.2">
      <c r="A553" s="75" t="s">
        <v>137</v>
      </c>
      <c r="B553" s="75"/>
      <c r="C553" s="75"/>
      <c r="D553" s="75"/>
      <c r="E553" s="75"/>
      <c r="F553" s="76" t="s">
        <v>138</v>
      </c>
      <c r="G553" s="76"/>
      <c r="H553" s="76"/>
      <c r="I553" s="76"/>
      <c r="J553" s="76"/>
    </row>
    <row r="554" spans="1:10" ht="10.5" customHeight="1" x14ac:dyDescent="0.2">
      <c r="A554" s="43" t="s">
        <v>139</v>
      </c>
      <c r="B554" s="43"/>
      <c r="C554" s="43"/>
      <c r="D554" s="43"/>
      <c r="E554" s="43"/>
      <c r="F554" s="43"/>
      <c r="G554" s="43"/>
      <c r="H554" s="43"/>
      <c r="I554" s="43"/>
      <c r="J554" s="43"/>
    </row>
    <row r="555" spans="1:10" ht="10.5" customHeight="1" x14ac:dyDescent="0.2">
      <c r="A555" s="10"/>
      <c r="B555" s="26"/>
      <c r="C555" s="26" t="s">
        <v>140</v>
      </c>
      <c r="D555" s="26" t="s">
        <v>141</v>
      </c>
      <c r="E555" s="26" t="s">
        <v>142</v>
      </c>
      <c r="F555" s="26" t="s">
        <v>143</v>
      </c>
      <c r="G555" s="26" t="s">
        <v>144</v>
      </c>
      <c r="H555" s="79" t="s">
        <v>145</v>
      </c>
      <c r="I555" s="79"/>
      <c r="J555" s="30"/>
    </row>
    <row r="556" spans="1:10" ht="10.5" customHeight="1" x14ac:dyDescent="0.2">
      <c r="A556" s="10"/>
      <c r="B556" s="80" t="s">
        <v>146</v>
      </c>
      <c r="C556" s="73">
        <f ca="1">J512/H512</f>
        <v>9.4375</v>
      </c>
      <c r="D556" s="73" t="e">
        <f ca="1">J527/H527</f>
        <v>#VALUE!</v>
      </c>
      <c r="E556" s="73" t="str">
        <f ca="1">IFERROR(J540/H540,"")</f>
        <v/>
      </c>
      <c r="F556" s="73" t="str">
        <f ca="1">IFERROR(J552/H552,"")</f>
        <v/>
      </c>
      <c r="G556" s="82">
        <f ca="1">F558</f>
        <v>9.4375</v>
      </c>
      <c r="H556" s="83" t="e">
        <f ca="1">IF(TC_IV!N117&lt;96,_xlfn.TEXTJOIN(" Carry Over Back In",TC_I!V188,TC_II!V156,TC_III!V123,TC_IV!V116),IF(G556&gt;=8,"First Division with Distinction",IF(G556&gt;=6.5,"First Division",IF(G556&gt;=5,"Second Division",IF(G556&gt;=4,"Third Division","Fail")))))</f>
        <v>#N/A</v>
      </c>
      <c r="I556" s="83"/>
      <c r="J556" s="30"/>
    </row>
    <row r="557" spans="1:10" ht="10.5" customHeight="1" x14ac:dyDescent="0.2">
      <c r="B557" s="81"/>
      <c r="C557" s="74"/>
      <c r="D557" s="74"/>
      <c r="E557" s="74"/>
      <c r="F557" s="74"/>
      <c r="G557" s="82"/>
      <c r="H557" s="83"/>
      <c r="I557" s="83"/>
    </row>
    <row r="558" spans="1:10" ht="10.5" customHeight="1" x14ac:dyDescent="0.2">
      <c r="B558" s="80" t="s">
        <v>48</v>
      </c>
      <c r="C558" s="73">
        <f ca="1">J512/H512</f>
        <v>9.4375</v>
      </c>
      <c r="D558" s="73">
        <f ca="1">SUM(J527,J512)/SUM(H527,H512)</f>
        <v>9.4375</v>
      </c>
      <c r="E558" s="73">
        <f ca="1">SUM(J540,J527,J512)/SUM(H540,H527,H512)</f>
        <v>9.4375</v>
      </c>
      <c r="F558" s="73">
        <f ca="1">SUM(J552,J540,J527,J512)/SUM(H512,H527,H540,H552)</f>
        <v>9.4375</v>
      </c>
      <c r="G558" s="82"/>
      <c r="H558" s="83"/>
      <c r="I558" s="83"/>
    </row>
    <row r="559" spans="1:10" ht="10.5" customHeight="1" x14ac:dyDescent="0.2">
      <c r="B559" s="81"/>
      <c r="C559" s="74"/>
      <c r="D559" s="74"/>
      <c r="E559" s="74"/>
      <c r="F559" s="74"/>
      <c r="G559" s="82"/>
      <c r="H559" s="83"/>
      <c r="I559" s="83"/>
    </row>
    <row r="561" spans="1:10" ht="10.5" customHeight="1" x14ac:dyDescent="0.2">
      <c r="A561" s="56" t="s">
        <v>24</v>
      </c>
      <c r="B561" s="56"/>
      <c r="C561" s="56" t="str">
        <f ca="1">INDIRECT(_xlfn.TEXTJOIN("",TRUE,A563,"!",ADDRESS(9+(A564-1)*J563,2)))</f>
        <v>KIRAN SAHANI</v>
      </c>
      <c r="D561" s="56"/>
      <c r="E561" s="56"/>
      <c r="F561" s="56" t="s">
        <v>135</v>
      </c>
      <c r="G561" s="56"/>
      <c r="H561" s="62">
        <f ca="1">INDIRECT(_xlfn.TEXTJOIN("",TRUE,A563,"!",ADDRESS(9+(A564-1)*J563,9)))</f>
        <v>250090600009</v>
      </c>
      <c r="I561" s="56"/>
      <c r="J561" s="56"/>
    </row>
    <row r="562" spans="1:10" ht="10.5" customHeight="1" x14ac:dyDescent="0.2">
      <c r="A562" s="56" t="s">
        <v>25</v>
      </c>
      <c r="B562" s="56"/>
      <c r="C562" s="56" t="str">
        <f ca="1">INDIRECT(_xlfn.TEXTJOIN("",TRUE,A563,"!",ADDRESS(9+(A564-1)*J563,5)))</f>
        <v>VINOD SAHANI</v>
      </c>
      <c r="D562" s="56"/>
      <c r="E562" s="56"/>
      <c r="F562" s="47" t="s">
        <v>136</v>
      </c>
      <c r="G562" s="47"/>
      <c r="H562" s="62" t="str">
        <f ca="1">INDIRECT(_xlfn.TEXTJOIN("",TRUE,A563,"!",ADDRESS(9+(A564-1)*J563,13)))</f>
        <v>UTU/2506100160</v>
      </c>
      <c r="I562" s="56"/>
      <c r="J562" s="56"/>
    </row>
    <row r="563" spans="1:10" ht="10.5" customHeight="1" x14ac:dyDescent="0.2">
      <c r="A563" s="24" t="s">
        <v>53</v>
      </c>
      <c r="B563" s="43" t="s">
        <v>148</v>
      </c>
      <c r="C563" s="43"/>
      <c r="D563" s="43"/>
      <c r="E563" s="43"/>
      <c r="F563" s="43"/>
      <c r="G563" s="43"/>
      <c r="H563" s="43"/>
      <c r="I563" s="43"/>
      <c r="J563" s="24">
        <f>ROWS(A567:B580)+9</f>
        <v>23</v>
      </c>
    </row>
    <row r="564" spans="1:10" ht="10.5" customHeight="1" x14ac:dyDescent="0.2">
      <c r="A564" s="24">
        <f>A495+1</f>
        <v>9</v>
      </c>
      <c r="B564" s="63"/>
      <c r="C564" s="63"/>
      <c r="D564" s="63"/>
      <c r="E564" s="63"/>
      <c r="F564" s="63"/>
      <c r="G564" s="63"/>
      <c r="H564" s="63"/>
      <c r="I564" s="63"/>
      <c r="J564" s="29"/>
    </row>
    <row r="565" spans="1:10" ht="10.5" customHeight="1" x14ac:dyDescent="0.2">
      <c r="A565" s="64" t="s">
        <v>28</v>
      </c>
      <c r="B565" s="64"/>
      <c r="C565" s="64" t="s">
        <v>29</v>
      </c>
      <c r="D565" s="64"/>
      <c r="E565" s="64"/>
      <c r="F565" s="64"/>
      <c r="G565" s="64"/>
      <c r="H565" s="64" t="s">
        <v>30</v>
      </c>
      <c r="I565" s="64" t="s">
        <v>9</v>
      </c>
      <c r="J565" s="64" t="s">
        <v>34</v>
      </c>
    </row>
    <row r="566" spans="1:10" ht="14.5" customHeight="1" x14ac:dyDescent="0.2">
      <c r="A566" s="64"/>
      <c r="B566" s="64"/>
      <c r="C566" s="64"/>
      <c r="D566" s="64"/>
      <c r="E566" s="64"/>
      <c r="F566" s="64"/>
      <c r="G566" s="64"/>
      <c r="H566" s="64"/>
      <c r="I566" s="64"/>
      <c r="J566" s="64"/>
    </row>
    <row r="567" spans="1:10" ht="10.5" customHeight="1" x14ac:dyDescent="0.2">
      <c r="A567" s="65" t="str">
        <f ca="1">INDIRECT(_xlfn.TEXTJOIN("",TRUE,A563,"!",ADDRESS(13+(A564-1)*J563,1)))</f>
        <v>CAT 004</v>
      </c>
      <c r="B567" s="65"/>
      <c r="C567" s="66" t="str">
        <f ca="1">INDIRECT(_xlfn.TEXTJOIN("",TRUE,A563,"!",ADDRESS(13+(A564-1)*J563,2)))</f>
        <v>Discrete Structure</v>
      </c>
      <c r="D567" s="66"/>
      <c r="E567" s="66"/>
      <c r="F567" s="66"/>
      <c r="G567" s="66"/>
      <c r="H567" s="25">
        <f ca="1">INDIRECT(_xlfn.TEXTJOIN("",TRUE,A563,"!",ADDRESS(13+(A564-1)*J563,6)))</f>
        <v>4</v>
      </c>
      <c r="I567" s="25" t="str">
        <f ca="1">INDIRECT(_xlfn.TEXTJOIN("",TRUE,A563,"!",ADDRESS(13+(A564-1)*J563,13)))</f>
        <v>C+</v>
      </c>
      <c r="J567" s="25">
        <f ca="1">INDIRECT(_xlfn.TEXTJOIN("",TRUE,A563,"!",ADDRESS(13+(A564-1)*J563,14)))</f>
        <v>7.5</v>
      </c>
    </row>
    <row r="568" spans="1:10" ht="10.5" customHeight="1" x14ac:dyDescent="0.2">
      <c r="A568" s="65" t="str">
        <f ca="1">INDIRECT(_xlfn.TEXTJOIN("",TRUE,A563,"!",ADDRESS(14+(A564-1)*J563,1)))</f>
        <v>CAT 005</v>
      </c>
      <c r="B568" s="65"/>
      <c r="C568" s="66" t="str">
        <f ca="1">INDIRECT(_xlfn.TEXTJOIN("",TRUE,A563,"!",ADDRESS(14+(A564-1)*J563,2)))</f>
        <v>Database Management System</v>
      </c>
      <c r="D568" s="66"/>
      <c r="E568" s="66"/>
      <c r="F568" s="66"/>
      <c r="G568" s="66"/>
      <c r="H568" s="25">
        <f ca="1">INDIRECT(_xlfn.TEXTJOIN("",TRUE,A563,"!",ADDRESS(14+(A564-1)*J563,6)))</f>
        <v>4</v>
      </c>
      <c r="I568" s="25" t="str">
        <f ca="1">INDIRECT(_xlfn.TEXTJOIN("",TRUE,A563,"!",ADDRESS(14+(A564-1)*J563,13)))</f>
        <v>D+</v>
      </c>
      <c r="J568" s="25">
        <f ca="1">INDIRECT(_xlfn.TEXTJOIN("",TRUE,A563,"!",ADDRESS(14+(A564-1)*J563,14)))</f>
        <v>6.5</v>
      </c>
    </row>
    <row r="569" spans="1:10" ht="10.5" customHeight="1" x14ac:dyDescent="0.2">
      <c r="A569" s="65" t="str">
        <f ca="1">INDIRECT(_xlfn.TEXTJOIN("",TRUE,A563,"!",ADDRESS(15+(A564-1)*J563,1)))</f>
        <v>CAT 006</v>
      </c>
      <c r="B569" s="65"/>
      <c r="C569" s="66" t="str">
        <f ca="1">INDIRECT(_xlfn.TEXTJOIN("",TRUE,A563,"!",ADDRESS(15+(A564-1)*J563,2)))</f>
        <v>Operating System</v>
      </c>
      <c r="D569" s="66"/>
      <c r="E569" s="66"/>
      <c r="F569" s="66"/>
      <c r="G569" s="66"/>
      <c r="H569" s="25">
        <f ca="1">INDIRECT(_xlfn.TEXTJOIN("",TRUE,A563,"!",ADDRESS(15+(A564-1)*J563,6)))</f>
        <v>4</v>
      </c>
      <c r="I569" s="25" t="str">
        <f ca="1">INDIRECT(_xlfn.TEXTJOIN("",TRUE,A563,"!",ADDRESS(15+(A564-1)*J563,13)))</f>
        <v>C+</v>
      </c>
      <c r="J569" s="25">
        <f ca="1">INDIRECT(_xlfn.TEXTJOIN("",TRUE,A563,"!",ADDRESS(15+(A564-1)*J563,14)))</f>
        <v>7.5</v>
      </c>
    </row>
    <row r="570" spans="1:10" ht="10.5" customHeight="1" x14ac:dyDescent="0.2">
      <c r="A570" s="65" t="str">
        <f ca="1">INDIRECT(_xlfn.TEXTJOIN("",TRUE,A563,"!",ADDRESS(16+(A564-1)*J563,1)))</f>
        <v>CAT 007</v>
      </c>
      <c r="B570" s="65"/>
      <c r="C570" s="66" t="str">
        <f ca="1">INDIRECT(_xlfn.TEXTJOIN("",TRUE,A563,"!",ADDRESS(16+(A564-1)*J563,2)))</f>
        <v>Computer Organization</v>
      </c>
      <c r="D570" s="66"/>
      <c r="E570" s="66"/>
      <c r="F570" s="66"/>
      <c r="G570" s="66"/>
      <c r="H570" s="25">
        <f ca="1">INDIRECT(_xlfn.TEXTJOIN("",TRUE,A563,"!",ADDRESS(16+(A564-1)*J563,6)))</f>
        <v>4</v>
      </c>
      <c r="I570" s="25" t="str">
        <f ca="1">INDIRECT(_xlfn.TEXTJOIN("",TRUE,A563,"!",ADDRESS(16+(A564-1)*J563,13)))</f>
        <v>D+</v>
      </c>
      <c r="J570" s="25">
        <f ca="1">INDIRECT(_xlfn.TEXTJOIN("",TRUE,A563,"!",ADDRESS(16+(A564-1)*J563,14)))</f>
        <v>6.5</v>
      </c>
    </row>
    <row r="571" spans="1:10" ht="10.5" customHeight="1" x14ac:dyDescent="0.2">
      <c r="A571" s="65" t="str">
        <f ca="1">INDIRECT(_xlfn.TEXTJOIN("",TRUE,A563,"!",ADDRESS(17+(A564-1)*J563,1)))</f>
        <v>AHT 303</v>
      </c>
      <c r="B571" s="65"/>
      <c r="C571" s="66" t="str">
        <f ca="1">INDIRECT(_xlfn.TEXTJOIN("",TRUE,A563,"!",ADDRESS(17+(A564-1)*J563,2)))</f>
        <v>Technical Communication Skills</v>
      </c>
      <c r="D571" s="66"/>
      <c r="E571" s="66"/>
      <c r="F571" s="66"/>
      <c r="G571" s="66"/>
      <c r="H571" s="25">
        <f ca="1">INDIRECT(_xlfn.TEXTJOIN("",TRUE,A563,"!",ADDRESS(17+(A564-1)*J563,6)))</f>
        <v>4</v>
      </c>
      <c r="I571" s="25" t="str">
        <f ca="1">INDIRECT(_xlfn.TEXTJOIN("",TRUE,A563,"!",ADDRESS(17+(A564-1)*J563,13)))</f>
        <v>D+</v>
      </c>
      <c r="J571" s="25">
        <f ca="1">INDIRECT(_xlfn.TEXTJOIN("",TRUE,A563,"!",ADDRESS(17+(A564-1)*J563,14)))</f>
        <v>6.5</v>
      </c>
    </row>
    <row r="572" spans="1:10" ht="10.5" customHeight="1" x14ac:dyDescent="0.2">
      <c r="A572" s="65" t="str">
        <f ca="1">INDIRECT(_xlfn.TEXTJOIN("",TRUE,A563,"!",ADDRESS(18+(A564-1)*J563,1)))</f>
        <v>CAT 008</v>
      </c>
      <c r="B572" s="65"/>
      <c r="C572" s="66" t="str">
        <f ca="1">INDIRECT(_xlfn.TEXTJOIN("",TRUE,A563,"!",ADDRESS(18+(A564-1)*J563,2)))</f>
        <v>Python Programming ($)</v>
      </c>
      <c r="D572" s="66"/>
      <c r="E572" s="66"/>
      <c r="F572" s="66"/>
      <c r="G572" s="66"/>
      <c r="H572" s="25">
        <f ca="1">INDIRECT(_xlfn.TEXTJOIN("",TRUE,A563,"!",ADDRESS(18+(A564-1)*J563,6)))</f>
        <v>0</v>
      </c>
      <c r="I572" s="25" t="str">
        <f ca="1">INDIRECT(_xlfn.TEXTJOIN("",TRUE,A563,"!",ADDRESS(18+(A564-1)*J563,13)))</f>
        <v>E+</v>
      </c>
      <c r="J572" s="25">
        <f ca="1">INDIRECT(_xlfn.TEXTJOIN("",TRUE,A563,"!",ADDRESS(18+(A564-1)*J563,14)))</f>
        <v>5.5</v>
      </c>
    </row>
    <row r="573" spans="1:10" ht="10.5" customHeight="1" x14ac:dyDescent="0.2">
      <c r="A573" s="60" t="str">
        <f ca="1">INDIRECT(_xlfn.TEXTJOIN("",TRUE,A563,"!",ADDRESS(19+(A564-1)*J563,1)))</f>
        <v>CAT 001</v>
      </c>
      <c r="B573" s="61"/>
      <c r="C573" s="57" t="str">
        <f ca="1">INDIRECT(_xlfn.TEXTJOIN("",TRUE,A563,"!",ADDRESS(19+(A564-1)*J563,2)))</f>
        <v>Introduction of Information Technology ($)</v>
      </c>
      <c r="D573" s="58"/>
      <c r="E573" s="58"/>
      <c r="F573" s="58"/>
      <c r="G573" s="59"/>
      <c r="H573" s="25">
        <f ca="1">INDIRECT(_xlfn.TEXTJOIN("",TRUE,A563,"!",ADDRESS(19+(A564-1)*J563,6)))</f>
        <v>0</v>
      </c>
      <c r="I573" s="25" t="str">
        <f ca="1">INDIRECT(_xlfn.TEXTJOIN("",TRUE,A563,"!",ADDRESS(19+(A564-1)*J563,13)))</f>
        <v>B</v>
      </c>
      <c r="J573" s="25">
        <f ca="1">INDIRECT(_xlfn.TEXTJOIN("",TRUE,A563,"!",ADDRESS(19+(A564-1)*J563,14)))</f>
        <v>8</v>
      </c>
    </row>
    <row r="574" spans="1:10" ht="10.5" customHeight="1" x14ac:dyDescent="0.2">
      <c r="A574" s="65" t="str">
        <f ca="1">INDIRECT(_xlfn.TEXTJOIN("",TRUE,A563,"!",ADDRESS(20+(A564-1)*J563,1)))</f>
        <v>CAT 002</v>
      </c>
      <c r="B574" s="65"/>
      <c r="C574" s="66" t="str">
        <f ca="1">INDIRECT(_xlfn.TEXTJOIN("",TRUE,A563,"!",ADDRESS(20+(A564-1)*J563,2)))</f>
        <v>Programming Fundamentals with "C" ($)</v>
      </c>
      <c r="D574" s="66"/>
      <c r="E574" s="66"/>
      <c r="F574" s="66"/>
      <c r="G574" s="66"/>
      <c r="H574" s="25">
        <f ca="1">INDIRECT(_xlfn.TEXTJOIN("",TRUE,A563,"!",ADDRESS(20+(A564-1)*J563,6)))</f>
        <v>0</v>
      </c>
      <c r="I574" s="25" t="str">
        <f ca="1">INDIRECT(_xlfn.TEXTJOIN("",TRUE,A563,"!",ADDRESS(20+(A564-1)*J563,13)))</f>
        <v>C+</v>
      </c>
      <c r="J574" s="25">
        <f ca="1">INDIRECT(_xlfn.TEXTJOIN("",TRUE,A563,"!",ADDRESS(20+(A564-1)*J563,14)))</f>
        <v>7.5</v>
      </c>
    </row>
    <row r="575" spans="1:10" ht="10.5" customHeight="1" x14ac:dyDescent="0.2">
      <c r="A575" s="65" t="str">
        <f ca="1">INDIRECT(_xlfn.TEXTJOIN("",TRUE,A563,"!",ADDRESS(21+(A564-1)*J563,1)))</f>
        <v>CAT 003</v>
      </c>
      <c r="B575" s="65"/>
      <c r="C575" s="66" t="str">
        <f ca="1">INDIRECT(_xlfn.TEXTJOIN("",TRUE,A563,"!",ADDRESS(21+(A564-1)*J563,2)))</f>
        <v>Fundamental of Web Technology ($)</v>
      </c>
      <c r="D575" s="66"/>
      <c r="E575" s="66"/>
      <c r="F575" s="66"/>
      <c r="G575" s="66"/>
      <c r="H575" s="25">
        <f ca="1">INDIRECT(_xlfn.TEXTJOIN("",TRUE,A563,"!",ADDRESS(21+(A564-1)*J563,6)))</f>
        <v>0</v>
      </c>
      <c r="I575" s="25" t="str">
        <f ca="1">INDIRECT(_xlfn.TEXTJOIN("",TRUE,A563,"!",ADDRESS(21+(A564-1)*J563,13)))</f>
        <v>B+</v>
      </c>
      <c r="J575" s="25">
        <f ca="1">INDIRECT(_xlfn.TEXTJOIN("",TRUE,A563,"!",ADDRESS(21+(A564-1)*J563,14)))</f>
        <v>8.5</v>
      </c>
    </row>
    <row r="576" spans="1:10" ht="10.5" customHeight="1" x14ac:dyDescent="0.2">
      <c r="A576" s="65" t="str">
        <f ca="1">INDIRECT(_xlfn.TEXTJOIN("",TRUE,A563,"!",ADDRESS(22+(A564-1)*J563,1)))</f>
        <v>CAP 001</v>
      </c>
      <c r="B576" s="65"/>
      <c r="C576" s="66" t="str">
        <f ca="1">INDIRECT(_xlfn.TEXTJOIN("",TRUE,A563,"!",ADDRESS(22+(A564-1)*J563,2)))</f>
        <v>Database Management System Lab</v>
      </c>
      <c r="D576" s="66"/>
      <c r="E576" s="66"/>
      <c r="F576" s="66"/>
      <c r="G576" s="66"/>
      <c r="H576" s="25">
        <f ca="1">INDIRECT(_xlfn.TEXTJOIN("",TRUE,A563,"!",ADDRESS(22+(A564-1)*J563,6)))</f>
        <v>1</v>
      </c>
      <c r="I576" s="25" t="str">
        <f ca="1">INDIRECT(_xlfn.TEXTJOIN("",TRUE,A563,"!",ADDRESS(22+(A564-1)*J563,13)))</f>
        <v>B+</v>
      </c>
      <c r="J576" s="25">
        <f ca="1">INDIRECT(_xlfn.TEXTJOIN("",TRUE,A563,"!",ADDRESS(22+(A564-1)*J563,14)))</f>
        <v>8.5</v>
      </c>
    </row>
    <row r="577" spans="1:10" ht="10.5" customHeight="1" x14ac:dyDescent="0.2">
      <c r="A577" s="65" t="str">
        <f ca="1">INDIRECT(_xlfn.TEXTJOIN("",TRUE,A563,"!",ADDRESS(23+(A564-1)*J563,1)))</f>
        <v>CAP 002</v>
      </c>
      <c r="B577" s="65"/>
      <c r="C577" s="66" t="str">
        <f ca="1">INDIRECT(_xlfn.TEXTJOIN("",TRUE,A563,"!",ADDRESS(23+(A564-1)*J563,2)))</f>
        <v>Operating System Lab</v>
      </c>
      <c r="D577" s="66"/>
      <c r="E577" s="66"/>
      <c r="F577" s="66"/>
      <c r="G577" s="66"/>
      <c r="H577" s="25">
        <f ca="1">INDIRECT(_xlfn.TEXTJOIN("",TRUE,A563,"!",ADDRESS(23+(A564-1)*J563,6)))</f>
        <v>1</v>
      </c>
      <c r="I577" s="25" t="str">
        <f ca="1">INDIRECT(_xlfn.TEXTJOIN("",TRUE,A563,"!",ADDRESS(23+(A564-1)*J563,13)))</f>
        <v>B+</v>
      </c>
      <c r="J577" s="25">
        <f ca="1">INDIRECT(_xlfn.TEXTJOIN("",TRUE,A563,"!",ADDRESS(23+(A564-1)*J563,14)))</f>
        <v>8.5</v>
      </c>
    </row>
    <row r="578" spans="1:10" ht="10.5" customHeight="1" x14ac:dyDescent="0.2">
      <c r="A578" s="65" t="str">
        <f ca="1">INDIRECT(_xlfn.TEXTJOIN("",TRUE,A563,"!",ADDRESS(24+(A564-1)*J563,1)))</f>
        <v>CAP 003</v>
      </c>
      <c r="B578" s="65"/>
      <c r="C578" s="66" t="str">
        <f ca="1">INDIRECT(_xlfn.TEXTJOIN("",TRUE,A563,"!",ADDRESS(24+(A564-1)*J563,2)))</f>
        <v>Computer Organization Lab</v>
      </c>
      <c r="D578" s="66"/>
      <c r="E578" s="66"/>
      <c r="F578" s="66"/>
      <c r="G578" s="66"/>
      <c r="H578" s="25">
        <f ca="1">INDIRECT(_xlfn.TEXTJOIN("",TRUE,A563,"!",ADDRESS(24+(A564-1)*J563,6)))</f>
        <v>1</v>
      </c>
      <c r="I578" s="25" t="str">
        <f ca="1">INDIRECT(_xlfn.TEXTJOIN("",TRUE,A563,"!",ADDRESS(24+(A564-1)*J563,13)))</f>
        <v>A+</v>
      </c>
      <c r="J578" s="25">
        <f ca="1">INDIRECT(_xlfn.TEXTJOIN("",TRUE,A563,"!",ADDRESS(24+(A564-1)*J563,14)))</f>
        <v>9.5</v>
      </c>
    </row>
    <row r="579" spans="1:10" ht="10.5" customHeight="1" x14ac:dyDescent="0.2">
      <c r="A579" s="65" t="str">
        <f ca="1">INDIRECT(_xlfn.TEXTJOIN("",TRUE,A563,"!",ADDRESS(25+(A564-1)*J563,1)))</f>
        <v>AHP 303</v>
      </c>
      <c r="B579" s="65"/>
      <c r="C579" s="66" t="str">
        <f ca="1">INDIRECT(_xlfn.TEXTJOIN("",TRUE,A563,"!",ADDRESS(25+(A564-1)*J563,2)))</f>
        <v>Technical Communication Skills</v>
      </c>
      <c r="D579" s="66"/>
      <c r="E579" s="66"/>
      <c r="F579" s="66"/>
      <c r="G579" s="66"/>
      <c r="H579" s="25">
        <f ca="1">INDIRECT(_xlfn.TEXTJOIN("",TRUE,A563,"!",ADDRESS(25+(A564-1)*J563,6)))</f>
        <v>1</v>
      </c>
      <c r="I579" s="25" t="str">
        <f ca="1">INDIRECT(_xlfn.TEXTJOIN("",TRUE,A563,"!",ADDRESS(25+(A564-1)*J563,13)))</f>
        <v>B</v>
      </c>
      <c r="J579" s="25">
        <f ca="1">INDIRECT(_xlfn.TEXTJOIN("",TRUE,A563,"!",ADDRESS(25+(A564-1)*J563,14)))</f>
        <v>8</v>
      </c>
    </row>
    <row r="580" spans="1:10" s="35" customFormat="1" ht="10.5" customHeight="1" x14ac:dyDescent="0.2">
      <c r="A580" s="77">
        <f ca="1">INDIRECT(_xlfn.TEXTJOIN("",TRUE,A563,"!",ADDRESS(26+(A564-1)*J563,1)))</f>
        <v>0</v>
      </c>
      <c r="B580" s="77"/>
      <c r="C580" s="78">
        <f ca="1">INDIRECT(_xlfn.TEXTJOIN("",TRUE,A563,"!",ADDRESS(26+(A564-1)*J563,2)))</f>
        <v>0</v>
      </c>
      <c r="D580" s="78"/>
      <c r="E580" s="78"/>
      <c r="F580" s="78"/>
      <c r="G580" s="78"/>
      <c r="H580" s="34">
        <f ca="1">INDIRECT(_xlfn.TEXTJOIN("",TRUE,A563,"!",ADDRESS(26+(A564-1)*J563,6)))</f>
        <v>0</v>
      </c>
      <c r="I580" s="34" t="str">
        <f ca="1">INDIRECT(_xlfn.TEXTJOIN("",TRUE,A563,"!",ADDRESS(26+(A564-1)*J563,13)))</f>
        <v>Excellent</v>
      </c>
      <c r="J580" s="34">
        <f ca="1">INDIRECT(_xlfn.TEXTJOIN("",TRUE,A563,"!",ADDRESS(26+(A564-1)*J563,14)))</f>
        <v>0</v>
      </c>
    </row>
    <row r="581" spans="1:10" ht="10.5" customHeight="1" x14ac:dyDescent="0.2">
      <c r="A581" s="71" t="s">
        <v>52</v>
      </c>
      <c r="B581" s="71"/>
      <c r="C581" s="71"/>
      <c r="D581" s="71"/>
      <c r="E581" s="71"/>
      <c r="F581" s="71"/>
      <c r="G581" s="71"/>
      <c r="H581" s="27">
        <f ca="1">SUM(H567:H580)</f>
        <v>24</v>
      </c>
      <c r="I581" s="26" t="s">
        <v>44</v>
      </c>
      <c r="J581" s="27">
        <f ca="1">SUMPRODUCT(J567:J579,H567:H579)</f>
        <v>172.5</v>
      </c>
    </row>
    <row r="582" spans="1:10" ht="10.5" customHeight="1" x14ac:dyDescent="0.2">
      <c r="A582" s="24" t="s">
        <v>57</v>
      </c>
      <c r="B582" s="72" t="str">
        <f ca="1">IF(ISNA(A583),"","Semester II (Spring Semester 2022-23)")</f>
        <v/>
      </c>
      <c r="C582" s="72"/>
      <c r="D582" s="72"/>
      <c r="E582" s="72"/>
      <c r="F582" s="72"/>
      <c r="G582" s="72"/>
      <c r="H582" s="72"/>
      <c r="I582" s="72"/>
      <c r="J582" s="24">
        <f>ROWS(A586:B595)+9</f>
        <v>19</v>
      </c>
    </row>
    <row r="583" spans="1:10" ht="10.5" customHeight="1" x14ac:dyDescent="0.2">
      <c r="A583" s="24" t="e">
        <f ca="1">INDEX(SEM_II!$A$6:$A$45,Marksheets!J583)</f>
        <v>#N/A</v>
      </c>
      <c r="B583" s="63"/>
      <c r="C583" s="63"/>
      <c r="D583" s="63"/>
      <c r="E583" s="63"/>
      <c r="F583" s="63"/>
      <c r="G583" s="63"/>
      <c r="H583" s="63"/>
      <c r="I583" s="63"/>
      <c r="J583" s="24" t="e">
        <f ca="1">MATCH(H561,SEM_II!$B$6:$B$45,0)</f>
        <v>#N/A</v>
      </c>
    </row>
    <row r="584" spans="1:10" ht="10.5" customHeight="1" x14ac:dyDescent="0.2">
      <c r="A584" s="64" t="str">
        <f ca="1">IF(ISNA(A583),"","Subject Code")</f>
        <v/>
      </c>
      <c r="B584" s="64"/>
      <c r="C584" s="64" t="str">
        <f ca="1">IF(ISNA(A583),"","Subject Name")</f>
        <v/>
      </c>
      <c r="D584" s="64"/>
      <c r="E584" s="64"/>
      <c r="F584" s="64"/>
      <c r="G584" s="64"/>
      <c r="H584" s="64" t="str">
        <f ca="1">IF(ISNA(A583),"","Credits")</f>
        <v/>
      </c>
      <c r="I584" s="64" t="str">
        <f ca="1">IF(ISNA(A583),"","Grade")</f>
        <v/>
      </c>
      <c r="J584" s="64" t="str">
        <f ca="1">IF(ISNA(A583),"","Grade Points")</f>
        <v/>
      </c>
    </row>
    <row r="585" spans="1:10" ht="12.5" customHeight="1" x14ac:dyDescent="0.2">
      <c r="A585" s="64"/>
      <c r="B585" s="64"/>
      <c r="C585" s="64"/>
      <c r="D585" s="64"/>
      <c r="E585" s="64"/>
      <c r="F585" s="64"/>
      <c r="G585" s="64"/>
      <c r="H585" s="64"/>
      <c r="I585" s="64"/>
      <c r="J585" s="64"/>
    </row>
    <row r="586" spans="1:10" ht="10.5" customHeight="1" x14ac:dyDescent="0.2">
      <c r="A586" s="65" t="str">
        <f ca="1">_xlfn.IFNA(INDIRECT(_xlfn.TEXTJOIN("",TRUE,A582,"!",ADDRESS(13+(A583-1)*J582,1))),"")</f>
        <v/>
      </c>
      <c r="B586" s="65"/>
      <c r="C586" s="66" t="str">
        <f ca="1">_xlfn.IFNA(INDIRECT(_xlfn.TEXTJOIN("",TRUE,A582,"!",ADDRESS(13+(A583-1)*J582,2))),"")</f>
        <v/>
      </c>
      <c r="D586" s="66"/>
      <c r="E586" s="66"/>
      <c r="F586" s="66"/>
      <c r="G586" s="66"/>
      <c r="H586" s="25" t="str">
        <f ca="1">_xlfn.IFNA(INDIRECT(_xlfn.TEXTJOIN("",TRUE,A582,"!",ADDRESS(13+(A583-1)*J582,6))),"")</f>
        <v/>
      </c>
      <c r="I586" s="25" t="str">
        <f ca="1">_xlfn.IFNA(INDIRECT(_xlfn.TEXTJOIN("",TRUE,A582,"!",ADDRESS(13+(A583-1)*J582,13))),"")</f>
        <v/>
      </c>
      <c r="J586" s="25" t="str">
        <f ca="1">_xlfn.IFNA(INDIRECT(_xlfn.TEXTJOIN("",TRUE,A582,"!",ADDRESS(13+(A583-1)*J582,14))),"")</f>
        <v/>
      </c>
    </row>
    <row r="587" spans="1:10" ht="10.5" customHeight="1" x14ac:dyDescent="0.2">
      <c r="A587" s="65" t="str">
        <f ca="1">_xlfn.IFNA(INDIRECT(_xlfn.TEXTJOIN("",TRUE,A582,"!",ADDRESS(14+(A583-1)*J582,1))),"")</f>
        <v/>
      </c>
      <c r="B587" s="65"/>
      <c r="C587" s="66" t="str">
        <f ca="1">_xlfn.IFNA(INDIRECT(_xlfn.TEXTJOIN("",TRUE,A582,"!",ADDRESS(14+(A583-1)*J582,2))),"")</f>
        <v/>
      </c>
      <c r="D587" s="66"/>
      <c r="E587" s="66"/>
      <c r="F587" s="66"/>
      <c r="G587" s="66"/>
      <c r="H587" s="25" t="str">
        <f ca="1">_xlfn.IFNA(INDIRECT(_xlfn.TEXTJOIN("",TRUE,A582,"!",ADDRESS(14+(A583-1)*J582,6))),"")</f>
        <v/>
      </c>
      <c r="I587" s="25" t="str">
        <f ca="1">_xlfn.IFNA(INDIRECT(_xlfn.TEXTJOIN("",TRUE,A582,"!",ADDRESS(14+(A583-1)*J582,13))),"")</f>
        <v/>
      </c>
      <c r="J587" s="25" t="str">
        <f ca="1">_xlfn.IFNA(INDIRECT(_xlfn.TEXTJOIN("",TRUE,A582,"!",ADDRESS(14+(A583-1)*J582,14))),"")</f>
        <v/>
      </c>
    </row>
    <row r="588" spans="1:10" ht="10.5" customHeight="1" x14ac:dyDescent="0.2">
      <c r="A588" s="65" t="str">
        <f ca="1">_xlfn.IFNA(INDIRECT(_xlfn.TEXTJOIN("",TRUE,A582,"!",ADDRESS(15+(A583-1)*J582,1))),"")</f>
        <v/>
      </c>
      <c r="B588" s="65"/>
      <c r="C588" s="66" t="str">
        <f ca="1">_xlfn.IFNA(INDIRECT(_xlfn.TEXTJOIN("",TRUE,A582,"!",ADDRESS(15+(A583-1)*J582,2))),"")</f>
        <v/>
      </c>
      <c r="D588" s="66"/>
      <c r="E588" s="66"/>
      <c r="F588" s="66"/>
      <c r="G588" s="66"/>
      <c r="H588" s="25" t="str">
        <f ca="1">_xlfn.IFNA(INDIRECT(_xlfn.TEXTJOIN("",TRUE,A582,"!",ADDRESS(15+(A583-1)*J582,6))),"")</f>
        <v/>
      </c>
      <c r="I588" s="25" t="str">
        <f ca="1">_xlfn.IFNA(INDIRECT(_xlfn.TEXTJOIN("",TRUE,A582,"!",ADDRESS(15+(A583-1)*J582,13))),"")</f>
        <v/>
      </c>
      <c r="J588" s="25" t="str">
        <f ca="1">_xlfn.IFNA(INDIRECT(_xlfn.TEXTJOIN("",TRUE,A582,"!",ADDRESS(15+(A583-1)*J582,14))),"")</f>
        <v/>
      </c>
    </row>
    <row r="589" spans="1:10" ht="10.5" customHeight="1" x14ac:dyDescent="0.2">
      <c r="A589" s="65" t="str">
        <f ca="1">_xlfn.IFNA(INDIRECT(_xlfn.TEXTJOIN("",TRUE,A582,"!",ADDRESS(16+(A583-1)*J582,1))),"")</f>
        <v/>
      </c>
      <c r="B589" s="65"/>
      <c r="C589" s="66" t="str">
        <f ca="1">_xlfn.IFNA(INDIRECT(_xlfn.TEXTJOIN("",TRUE,A582,"!",ADDRESS(16+(A583-1)*J582,2))),"")</f>
        <v/>
      </c>
      <c r="D589" s="66"/>
      <c r="E589" s="66"/>
      <c r="F589" s="66"/>
      <c r="G589" s="66"/>
      <c r="H589" s="25" t="str">
        <f ca="1">_xlfn.IFNA(INDIRECT(_xlfn.TEXTJOIN("",TRUE,A582,"!",ADDRESS(16+(A583-1)*J582,6))),"")</f>
        <v/>
      </c>
      <c r="I589" s="25" t="str">
        <f ca="1">_xlfn.IFNA(INDIRECT(_xlfn.TEXTJOIN("",TRUE,A582,"!",ADDRESS(16+(A583-1)*J582,13))),"")</f>
        <v/>
      </c>
      <c r="J589" s="25" t="str">
        <f ca="1">_xlfn.IFNA(INDIRECT(_xlfn.TEXTJOIN("",TRUE,A582,"!",ADDRESS(16+(A583-1)*J582,14))),"")</f>
        <v/>
      </c>
    </row>
    <row r="590" spans="1:10" ht="10.5" customHeight="1" x14ac:dyDescent="0.2">
      <c r="A590" s="65" t="str">
        <f ca="1">_xlfn.IFNA(INDIRECT(_xlfn.TEXTJOIN("",TRUE,A582,"!",ADDRESS(17+(A583-1)*J582,1))),"")</f>
        <v/>
      </c>
      <c r="B590" s="65"/>
      <c r="C590" s="66" t="str">
        <f ca="1">_xlfn.IFNA(INDIRECT(_xlfn.TEXTJOIN("",TRUE,A582,"!",ADDRESS(17+(A583-1)*J582,2))),"")</f>
        <v/>
      </c>
      <c r="D590" s="66"/>
      <c r="E590" s="66"/>
      <c r="F590" s="66"/>
      <c r="G590" s="66"/>
      <c r="H590" s="25" t="str">
        <f ca="1">_xlfn.IFNA(INDIRECT(_xlfn.TEXTJOIN("",TRUE,A582,"!",ADDRESS(17+(A583-1)*J582,6))),"")</f>
        <v/>
      </c>
      <c r="I590" s="25" t="str">
        <f ca="1">_xlfn.IFNA(INDIRECT(_xlfn.TEXTJOIN("",TRUE,A582,"!",ADDRESS(17+(A583-1)*J582,13))),"")</f>
        <v/>
      </c>
      <c r="J590" s="25" t="str">
        <f ca="1">_xlfn.IFNA(INDIRECT(_xlfn.TEXTJOIN("",TRUE,A582,"!",ADDRESS(17+(A583-1)*J582,14))),"")</f>
        <v/>
      </c>
    </row>
    <row r="591" spans="1:10" ht="10.5" customHeight="1" x14ac:dyDescent="0.2">
      <c r="A591" s="65" t="str">
        <f ca="1">_xlfn.IFNA(INDIRECT(_xlfn.TEXTJOIN("",TRUE,A582,"!",ADDRESS(18+(A583-1)*J582,1))),"")</f>
        <v/>
      </c>
      <c r="B591" s="65"/>
      <c r="C591" s="66" t="str">
        <f ca="1">_xlfn.IFNA(INDIRECT(_xlfn.TEXTJOIN("",TRUE,A582,"!",ADDRESS(18+(A583-1)*J582,2))),"")</f>
        <v/>
      </c>
      <c r="D591" s="66"/>
      <c r="E591" s="66"/>
      <c r="F591" s="66"/>
      <c r="G591" s="66"/>
      <c r="H591" s="25" t="str">
        <f ca="1">_xlfn.IFNA(INDIRECT(_xlfn.TEXTJOIN("",TRUE,A582,"!",ADDRESS(18+(A583-1)*J582,6))),"")</f>
        <v/>
      </c>
      <c r="I591" s="25" t="str">
        <f ca="1">_xlfn.IFNA(INDIRECT(_xlfn.TEXTJOIN("",TRUE,A582,"!",ADDRESS(18+(A583-1)*J582,13))),"")</f>
        <v/>
      </c>
      <c r="J591" s="25" t="str">
        <f ca="1">_xlfn.IFNA(INDIRECT(_xlfn.TEXTJOIN("",TRUE,A582,"!",ADDRESS(18+(A583-1)*J582,14))),"")</f>
        <v/>
      </c>
    </row>
    <row r="592" spans="1:10" ht="10.5" customHeight="1" x14ac:dyDescent="0.2">
      <c r="A592" s="60" t="str">
        <f ca="1">_xlfn.IFNA(INDIRECT(_xlfn.TEXTJOIN("",TRUE,A582,"!",ADDRESS(19+(A583-1)*J582,1))),"")</f>
        <v/>
      </c>
      <c r="B592" s="61"/>
      <c r="C592" s="57" t="str">
        <f ca="1">_xlfn.IFNA(INDIRECT(_xlfn.TEXTJOIN("",TRUE,A582,"!",ADDRESS(19+(A583-1)*J582,2))),"")</f>
        <v/>
      </c>
      <c r="D592" s="58"/>
      <c r="E592" s="58"/>
      <c r="F592" s="58"/>
      <c r="G592" s="59"/>
      <c r="H592" s="25" t="str">
        <f ca="1">_xlfn.IFNA(INDIRECT(_xlfn.TEXTJOIN("",TRUE,A582,"!",ADDRESS(19+(A583-1)*J582,6))),"")</f>
        <v/>
      </c>
      <c r="I592" s="25" t="str">
        <f ca="1">_xlfn.IFNA(INDIRECT(_xlfn.TEXTJOIN("",TRUE,A582,"!",ADDRESS(19+(A583-1)*J582,13))),"")</f>
        <v/>
      </c>
      <c r="J592" s="25" t="str">
        <f ca="1">_xlfn.IFNA(INDIRECT(_xlfn.TEXTJOIN("",TRUE,A582,"!",ADDRESS(19+(A583-1)*J582,14))),"")</f>
        <v/>
      </c>
    </row>
    <row r="593" spans="1:10" ht="10.5" customHeight="1" x14ac:dyDescent="0.2">
      <c r="A593" s="65" t="str">
        <f ca="1">_xlfn.IFNA(INDIRECT(_xlfn.TEXTJOIN("",TRUE,A582,"!",ADDRESS(20+(A583-1)*J582,1))),"")</f>
        <v/>
      </c>
      <c r="B593" s="65"/>
      <c r="C593" s="66" t="str">
        <f ca="1">_xlfn.IFNA(INDIRECT(_xlfn.TEXTJOIN("",TRUE,A582,"!",ADDRESS(20+(A583-1)*J582,2))),"")</f>
        <v/>
      </c>
      <c r="D593" s="66"/>
      <c r="E593" s="66"/>
      <c r="F593" s="66"/>
      <c r="G593" s="66"/>
      <c r="H593" s="25" t="str">
        <f ca="1">_xlfn.IFNA(INDIRECT(_xlfn.TEXTJOIN("",TRUE,A582,"!",ADDRESS(20+(A583-1)*J582,6))),"")</f>
        <v/>
      </c>
      <c r="I593" s="25" t="str">
        <f ca="1">_xlfn.IFNA(INDIRECT(_xlfn.TEXTJOIN("",TRUE,A582,"!",ADDRESS(20+(A583-1)*J582,13))),"")</f>
        <v/>
      </c>
      <c r="J593" s="25" t="str">
        <f ca="1">_xlfn.IFNA(INDIRECT(_xlfn.TEXTJOIN("",TRUE,A582,"!",ADDRESS(20+(A583-1)*J582,14))),"")</f>
        <v/>
      </c>
    </row>
    <row r="594" spans="1:10" ht="10.5" customHeight="1" x14ac:dyDescent="0.2">
      <c r="A594" s="65" t="str">
        <f ca="1">_xlfn.IFNA(INDIRECT(_xlfn.TEXTJOIN("",TRUE,A582,"!",ADDRESS(21+(A583-1)*J582,1))),"")</f>
        <v/>
      </c>
      <c r="B594" s="65"/>
      <c r="C594" s="66" t="str">
        <f ca="1">_xlfn.IFNA(INDIRECT(_xlfn.TEXTJOIN("",TRUE,A582,"!",ADDRESS(21+(A583-1)*J582,2))),"")</f>
        <v/>
      </c>
      <c r="D594" s="66"/>
      <c r="E594" s="66"/>
      <c r="F594" s="66"/>
      <c r="G594" s="66"/>
      <c r="H594" s="25" t="str">
        <f ca="1">_xlfn.IFNA(INDIRECT(_xlfn.TEXTJOIN("",TRUE,A582,"!",ADDRESS(21+(A583-1)*J582,6))),"")</f>
        <v/>
      </c>
      <c r="I594" s="25" t="str">
        <f ca="1">_xlfn.IFNA(INDIRECT(_xlfn.TEXTJOIN("",TRUE,A582,"!",ADDRESS(21+(A583-1)*J582,13))),"")</f>
        <v/>
      </c>
      <c r="J594" s="25" t="str">
        <f ca="1">_xlfn.IFNA(INDIRECT(_xlfn.TEXTJOIN("",TRUE,A582,"!",ADDRESS(21+(A583-1)*J582,14))),"")</f>
        <v/>
      </c>
    </row>
    <row r="595" spans="1:10" ht="10.5" customHeight="1" x14ac:dyDescent="0.2">
      <c r="A595" s="65" t="str">
        <f ca="1">_xlfn.IFNA(INDIRECT(_xlfn.TEXTJOIN("",TRUE,A582,"!",ADDRESS(22+(A583-1)*J582,1))),"")</f>
        <v/>
      </c>
      <c r="B595" s="65"/>
      <c r="C595" s="66" t="str">
        <f ca="1">_xlfn.IFNA(INDIRECT(_xlfn.TEXTJOIN("",TRUE,A582,"!",ADDRESS(22+(A583-1)*J582,2))),"")</f>
        <v/>
      </c>
      <c r="D595" s="66"/>
      <c r="E595" s="66"/>
      <c r="F595" s="66"/>
      <c r="G595" s="66"/>
      <c r="H595" s="25" t="str">
        <f ca="1">_xlfn.IFNA(INDIRECT(_xlfn.TEXTJOIN("",TRUE,A582,"!",ADDRESS(22+(A583-1)*J582,6))),"")</f>
        <v/>
      </c>
      <c r="I595" s="25" t="str">
        <f ca="1">_xlfn.IFNA(INDIRECT(_xlfn.TEXTJOIN("",TRUE,A582,"!",ADDRESS(22+(A583-1)*J582,13))),"")</f>
        <v/>
      </c>
      <c r="J595" s="25" t="str">
        <f ca="1">_xlfn.IFNA(INDIRECT(_xlfn.TEXTJOIN("",TRUE,A582,"!",ADDRESS(22+(A583-1)*J582,14))),"")</f>
        <v/>
      </c>
    </row>
    <row r="596" spans="1:10" ht="10.5" customHeight="1" x14ac:dyDescent="0.2">
      <c r="A596" s="71" t="str">
        <f ca="1">IF(ISNA(A583),"","Total Credits/ Total Grade Points")</f>
        <v/>
      </c>
      <c r="B596" s="71"/>
      <c r="C596" s="71"/>
      <c r="D596" s="71"/>
      <c r="E596" s="71"/>
      <c r="F596" s="71"/>
      <c r="G596" s="71"/>
      <c r="H596" s="27" t="str">
        <f ca="1">IF(ISNA(A583),"",SUM(H586:H595))</f>
        <v/>
      </c>
      <c r="I596" s="26" t="str">
        <f ca="1">IF(ISNA(A583),"","-")</f>
        <v/>
      </c>
      <c r="J596" s="27" t="str">
        <f ca="1">IF(ISNA(A583),"",SUMPRODUCT(J586:J595,H586:H595))</f>
        <v/>
      </c>
    </row>
    <row r="597" spans="1:10" ht="10.5" customHeight="1" x14ac:dyDescent="0.2">
      <c r="A597" s="24" t="s">
        <v>60</v>
      </c>
      <c r="B597" s="72" t="str">
        <f ca="1">IF(ISNA(A598),"","Semester III (Autumn Semester 2023-24)")</f>
        <v/>
      </c>
      <c r="C597" s="72"/>
      <c r="D597" s="72"/>
      <c r="E597" s="72"/>
      <c r="F597" s="72"/>
      <c r="G597" s="72"/>
      <c r="H597" s="72"/>
      <c r="I597" s="72"/>
      <c r="J597" s="24">
        <f>ROWS(A601:B608)+9</f>
        <v>17</v>
      </c>
    </row>
    <row r="598" spans="1:10" ht="10.5" customHeight="1" x14ac:dyDescent="0.2">
      <c r="A598" s="24" t="e">
        <f ca="1">INDEX(SEM_III!$A$6:$A$43,Marksheets!J598)</f>
        <v>#N/A</v>
      </c>
      <c r="B598" s="63"/>
      <c r="C598" s="63"/>
      <c r="D598" s="63"/>
      <c r="E598" s="63"/>
      <c r="F598" s="63"/>
      <c r="G598" s="63"/>
      <c r="H598" s="63"/>
      <c r="I598" s="63"/>
      <c r="J598" s="24" t="e">
        <f ca="1">MATCH(H561,SEM_III!$B$6:$B$43,0)</f>
        <v>#N/A</v>
      </c>
    </row>
    <row r="599" spans="1:10" ht="10.5" customHeight="1" x14ac:dyDescent="0.2">
      <c r="A599" s="64" t="str">
        <f ca="1">IF(ISNA(A598),"","Subject Code")</f>
        <v/>
      </c>
      <c r="B599" s="64"/>
      <c r="C599" s="64" t="str">
        <f ca="1">IF(ISNA(A598),"","Subject Name")</f>
        <v/>
      </c>
      <c r="D599" s="64"/>
      <c r="E599" s="64"/>
      <c r="F599" s="64"/>
      <c r="G599" s="64"/>
      <c r="H599" s="64" t="str">
        <f ca="1">IF(ISNA(A598),"","Credits")</f>
        <v/>
      </c>
      <c r="I599" s="64" t="str">
        <f ca="1">IF(ISNA(A598),"","Grade")</f>
        <v/>
      </c>
      <c r="J599" s="64" t="str">
        <f ca="1">IF(ISNA(A598),"","Grade Points")</f>
        <v/>
      </c>
    </row>
    <row r="600" spans="1:10" ht="15" customHeight="1" x14ac:dyDescent="0.2">
      <c r="A600" s="64"/>
      <c r="B600" s="64"/>
      <c r="C600" s="64"/>
      <c r="D600" s="64"/>
      <c r="E600" s="64"/>
      <c r="F600" s="64"/>
      <c r="G600" s="64"/>
      <c r="H600" s="64"/>
      <c r="I600" s="64"/>
      <c r="J600" s="64"/>
    </row>
    <row r="601" spans="1:10" ht="10.5" customHeight="1" x14ac:dyDescent="0.2">
      <c r="A601" s="65" t="str">
        <f ca="1">_xlfn.IFNA(INDIRECT(_xlfn.TEXTJOIN("",TRUE,A597,"!",ADDRESS(13+(A598-1)*J597,1))),"")</f>
        <v/>
      </c>
      <c r="B601" s="65"/>
      <c r="C601" s="66" t="str">
        <f ca="1">_xlfn.IFNA(INDIRECT(_xlfn.TEXTJOIN("",TRUE,A597,"!",ADDRESS(13+(A598-1)*J597,2))),"")</f>
        <v/>
      </c>
      <c r="D601" s="66"/>
      <c r="E601" s="66"/>
      <c r="F601" s="66"/>
      <c r="G601" s="66"/>
      <c r="H601" s="25" t="str">
        <f ca="1">_xlfn.IFNA(INDIRECT(_xlfn.TEXTJOIN("",TRUE,A597,"!",ADDRESS(13+(A598-1)*J597,6))),"")</f>
        <v/>
      </c>
      <c r="I601" s="25" t="str">
        <f ca="1">_xlfn.IFNA(INDIRECT(_xlfn.TEXTJOIN("",TRUE,A597,"!",ADDRESS(13+(A598-1)*J597,13))),"")</f>
        <v/>
      </c>
      <c r="J601" s="25" t="str">
        <f ca="1">_xlfn.IFNA(INDIRECT(_xlfn.TEXTJOIN("",TRUE,A597,"!",ADDRESS(13+(A598-1)*J597,14))),"")</f>
        <v/>
      </c>
    </row>
    <row r="602" spans="1:10" ht="10.5" customHeight="1" x14ac:dyDescent="0.2">
      <c r="A602" s="65" t="str">
        <f ca="1">_xlfn.IFNA(INDIRECT(_xlfn.TEXTJOIN("",TRUE,A597,"!",ADDRESS(14+(A598-1)*J597,1))),"")</f>
        <v/>
      </c>
      <c r="B602" s="65"/>
      <c r="C602" s="66" t="str">
        <f ca="1">_xlfn.IFNA(INDIRECT(_xlfn.TEXTJOIN("",TRUE,A597,"!",ADDRESS(14+(A598-1)*J597,2))),"")</f>
        <v/>
      </c>
      <c r="D602" s="66"/>
      <c r="E602" s="66"/>
      <c r="F602" s="66"/>
      <c r="G602" s="66"/>
      <c r="H602" s="25" t="str">
        <f ca="1">_xlfn.IFNA(INDIRECT(_xlfn.TEXTJOIN("",TRUE,A597,"!",ADDRESS(14+(A598-1)*J597,6))),"")</f>
        <v/>
      </c>
      <c r="I602" s="25" t="str">
        <f ca="1">_xlfn.IFNA(INDIRECT(_xlfn.TEXTJOIN("",TRUE,A597,"!",ADDRESS(14+(A598-1)*J597,13))),"")</f>
        <v/>
      </c>
      <c r="J602" s="25" t="str">
        <f ca="1">_xlfn.IFNA(INDIRECT(_xlfn.TEXTJOIN("",TRUE,A597,"!",ADDRESS(14+(A598-1)*J597,14))),"")</f>
        <v/>
      </c>
    </row>
    <row r="603" spans="1:10" ht="10.5" customHeight="1" x14ac:dyDescent="0.2">
      <c r="A603" s="65" t="str">
        <f ca="1">_xlfn.IFNA(INDIRECT(_xlfn.TEXTJOIN("",TRUE,A597,"!",ADDRESS(15+(A598-1)*J597,1))),"")</f>
        <v/>
      </c>
      <c r="B603" s="65"/>
      <c r="C603" s="66" t="str">
        <f ca="1">_xlfn.IFNA(INDIRECT(_xlfn.TEXTJOIN("",TRUE,A597,"!",ADDRESS(15+(A598-1)*J597,2))),"")</f>
        <v/>
      </c>
      <c r="D603" s="66"/>
      <c r="E603" s="66"/>
      <c r="F603" s="66"/>
      <c r="G603" s="66"/>
      <c r="H603" s="25" t="str">
        <f ca="1">_xlfn.IFNA(INDIRECT(_xlfn.TEXTJOIN("",TRUE,A597,"!",ADDRESS(15+(A598-1)*J597,6))),"")</f>
        <v/>
      </c>
      <c r="I603" s="25" t="str">
        <f ca="1">_xlfn.IFNA(INDIRECT(_xlfn.TEXTJOIN("",TRUE,A597,"!",ADDRESS(15+(A598-1)*J597,13))),"")</f>
        <v/>
      </c>
      <c r="J603" s="25" t="str">
        <f ca="1">_xlfn.IFNA(INDIRECT(_xlfn.TEXTJOIN("",TRUE,A597,"!",ADDRESS(15+(A598-1)*J597,14))),"")</f>
        <v/>
      </c>
    </row>
    <row r="604" spans="1:10" ht="10.5" customHeight="1" x14ac:dyDescent="0.2">
      <c r="A604" s="65" t="str">
        <f ca="1">_xlfn.IFNA(INDIRECT(_xlfn.TEXTJOIN("",TRUE,A597,"!",ADDRESS(16+(A598-1)*J597,1))),"")</f>
        <v/>
      </c>
      <c r="B604" s="65"/>
      <c r="C604" s="66" t="str">
        <f ca="1">_xlfn.IFNA(INDIRECT(_xlfn.TEXTJOIN("",TRUE,A597,"!",ADDRESS(16+(A598-1)*J597,2))),"")</f>
        <v/>
      </c>
      <c r="D604" s="66"/>
      <c r="E604" s="66"/>
      <c r="F604" s="66"/>
      <c r="G604" s="66"/>
      <c r="H604" s="25" t="str">
        <f ca="1">_xlfn.IFNA(INDIRECT(_xlfn.TEXTJOIN("",TRUE,A597,"!",ADDRESS(16+(A598-1)*J597,6))),"")</f>
        <v/>
      </c>
      <c r="I604" s="25" t="str">
        <f ca="1">_xlfn.IFNA(INDIRECT(_xlfn.TEXTJOIN("",TRUE,A597,"!",ADDRESS(16+(A598-1)*J597,13))),"")</f>
        <v/>
      </c>
      <c r="J604" s="25" t="str">
        <f ca="1">_xlfn.IFNA(INDIRECT(_xlfn.TEXTJOIN("",TRUE,A597,"!",ADDRESS(16+(A598-1)*J597,14))),"")</f>
        <v/>
      </c>
    </row>
    <row r="605" spans="1:10" ht="10.5" customHeight="1" x14ac:dyDescent="0.2">
      <c r="A605" s="65" t="str">
        <f ca="1">_xlfn.IFNA(INDIRECT(_xlfn.TEXTJOIN("",TRUE,A597,"!",ADDRESS(17+(A598-1)*J597,1))),"")</f>
        <v/>
      </c>
      <c r="B605" s="65"/>
      <c r="C605" s="66" t="str">
        <f ca="1">_xlfn.IFNA(INDIRECT(_xlfn.TEXTJOIN("",TRUE,A597,"!",ADDRESS(17+(A598-1)*J597,2))),"")</f>
        <v/>
      </c>
      <c r="D605" s="66"/>
      <c r="E605" s="66"/>
      <c r="F605" s="66"/>
      <c r="G605" s="66"/>
      <c r="H605" s="25" t="str">
        <f ca="1">_xlfn.IFNA(INDIRECT(_xlfn.TEXTJOIN("",TRUE,A597,"!",ADDRESS(17+(A598-1)*J597,6))),"")</f>
        <v/>
      </c>
      <c r="I605" s="25" t="str">
        <f ca="1">_xlfn.IFNA(INDIRECT(_xlfn.TEXTJOIN("",TRUE,A597,"!",ADDRESS(17+(A598-1)*J597,13))),"")</f>
        <v/>
      </c>
      <c r="J605" s="25" t="str">
        <f ca="1">_xlfn.IFNA(INDIRECT(_xlfn.TEXTJOIN("",TRUE,A597,"!",ADDRESS(17+(A598-1)*J597,14))),"")</f>
        <v/>
      </c>
    </row>
    <row r="606" spans="1:10" ht="10.5" customHeight="1" x14ac:dyDescent="0.2">
      <c r="A606" s="65" t="str">
        <f ca="1">_xlfn.IFNA(INDIRECT(_xlfn.TEXTJOIN("",TRUE,A597,"!",ADDRESS(18+(A598-1)*J597,1))),"")</f>
        <v/>
      </c>
      <c r="B606" s="65"/>
      <c r="C606" s="66" t="str">
        <f ca="1">_xlfn.IFNA(INDIRECT(_xlfn.TEXTJOIN("",TRUE,A597,"!",ADDRESS(18+(A598-1)*J597,2))),"")</f>
        <v/>
      </c>
      <c r="D606" s="66"/>
      <c r="E606" s="66"/>
      <c r="F606" s="66"/>
      <c r="G606" s="66"/>
      <c r="H606" s="25" t="str">
        <f ca="1">_xlfn.IFNA(INDIRECT(_xlfn.TEXTJOIN("",TRUE,A597,"!",ADDRESS(18+(A598-1)*J597,6))),"")</f>
        <v/>
      </c>
      <c r="I606" s="25" t="str">
        <f ca="1">_xlfn.IFNA(INDIRECT(_xlfn.TEXTJOIN("",TRUE,A597,"!",ADDRESS(18+(A598-1)*J597,13))),"")</f>
        <v/>
      </c>
      <c r="J606" s="25" t="str">
        <f ca="1">_xlfn.IFNA(INDIRECT(_xlfn.TEXTJOIN("",TRUE,A597,"!",ADDRESS(18+(A598-1)*J597,14))),"")</f>
        <v/>
      </c>
    </row>
    <row r="607" spans="1:10" ht="10.5" customHeight="1" x14ac:dyDescent="0.2">
      <c r="A607" s="60" t="str">
        <f ca="1">_xlfn.IFNA(INDIRECT(_xlfn.TEXTJOIN("",TRUE,A597,"!",ADDRESS(19+(A598-1)*J597,1))),"")</f>
        <v/>
      </c>
      <c r="B607" s="61"/>
      <c r="C607" s="57" t="str">
        <f ca="1">_xlfn.IFNA(INDIRECT(_xlfn.TEXTJOIN("",TRUE,A597,"!",ADDRESS(19+(A598-1)*J597,2))),"")</f>
        <v/>
      </c>
      <c r="D607" s="58"/>
      <c r="E607" s="58"/>
      <c r="F607" s="58"/>
      <c r="G607" s="59"/>
      <c r="H607" s="25" t="str">
        <f ca="1">_xlfn.IFNA(INDIRECT(_xlfn.TEXTJOIN("",TRUE,A597,"!",ADDRESS(19+(A598-1)*J597,6))),"")</f>
        <v/>
      </c>
      <c r="I607" s="25" t="str">
        <f ca="1">_xlfn.IFNA(INDIRECT(_xlfn.TEXTJOIN("",TRUE,A597,"!",ADDRESS(19+(A598-1)*J597,13))),"")</f>
        <v/>
      </c>
      <c r="J607" s="25" t="str">
        <f ca="1">_xlfn.IFNA(INDIRECT(_xlfn.TEXTJOIN("",TRUE,A597,"!",ADDRESS(19+(A598-1)*J597,14))),"")</f>
        <v/>
      </c>
    </row>
    <row r="608" spans="1:10" ht="10.5" customHeight="1" x14ac:dyDescent="0.2">
      <c r="A608" s="65" t="str">
        <f ca="1">_xlfn.IFNA(INDIRECT(_xlfn.TEXTJOIN("",TRUE,A597,"!",ADDRESS(20+(A598-1)*J597,1))),"")</f>
        <v/>
      </c>
      <c r="B608" s="65"/>
      <c r="C608" s="66" t="str">
        <f ca="1">_xlfn.IFNA(INDIRECT(_xlfn.TEXTJOIN("",TRUE,A597,"!",ADDRESS(20+(A598-1)*J597,2))),"")</f>
        <v/>
      </c>
      <c r="D608" s="66"/>
      <c r="E608" s="66"/>
      <c r="F608" s="66"/>
      <c r="G608" s="66"/>
      <c r="H608" s="25" t="str">
        <f ca="1">_xlfn.IFNA(INDIRECT(_xlfn.TEXTJOIN("",TRUE,A597,"!",ADDRESS(20+(A598-1)*J597,6))),"")</f>
        <v/>
      </c>
      <c r="I608" s="25" t="str">
        <f ca="1">_xlfn.IFNA(INDIRECT(_xlfn.TEXTJOIN("",TRUE,A597,"!",ADDRESS(20+(A598-1)*J597,13))),"")</f>
        <v/>
      </c>
      <c r="J608" s="25" t="str">
        <f ca="1">_xlfn.IFNA(INDIRECT(_xlfn.TEXTJOIN("",TRUE,A597,"!",ADDRESS(20+(A598-1)*J597,14))),"")</f>
        <v/>
      </c>
    </row>
    <row r="609" spans="1:10" ht="10.5" customHeight="1" x14ac:dyDescent="0.2">
      <c r="A609" s="71" t="str">
        <f ca="1">IF(ISNA(A598),"","Total Credits/ Total Grade Points")</f>
        <v/>
      </c>
      <c r="B609" s="71"/>
      <c r="C609" s="71"/>
      <c r="D609" s="71"/>
      <c r="E609" s="71"/>
      <c r="F609" s="71"/>
      <c r="G609" s="71"/>
      <c r="H609" s="27" t="str">
        <f ca="1">IF(ISNA(A598),"",SUM(H601:H608))</f>
        <v/>
      </c>
      <c r="I609" s="26" t="str">
        <f ca="1">IF(ISNA(A598),"","-")</f>
        <v/>
      </c>
      <c r="J609" s="27" t="str">
        <f ca="1">IF(ISNA(A598),"",SUMPRODUCT(J601:J608,H601:H608))</f>
        <v/>
      </c>
    </row>
    <row r="610" spans="1:10" ht="10.5" customHeight="1" x14ac:dyDescent="0.2">
      <c r="A610" s="24" t="s">
        <v>133</v>
      </c>
      <c r="B610" s="72" t="str">
        <f ca="1">IF(ISNA(A611),"","Semester IV (Spring Semester 2023-24)")</f>
        <v/>
      </c>
      <c r="C610" s="72"/>
      <c r="D610" s="72"/>
      <c r="E610" s="72"/>
      <c r="F610" s="72"/>
      <c r="G610" s="72"/>
      <c r="H610" s="72"/>
      <c r="I610" s="72"/>
      <c r="J610" s="24">
        <f>ROWS(A614:B620)+9</f>
        <v>16</v>
      </c>
    </row>
    <row r="611" spans="1:10" ht="10.5" customHeight="1" x14ac:dyDescent="0.2">
      <c r="A611" s="24" t="e">
        <f ca="1">INDEX(SEM_IV!$A$6:$A$43,Marksheets!J611)</f>
        <v>#N/A</v>
      </c>
      <c r="B611" s="63"/>
      <c r="C611" s="63"/>
      <c r="D611" s="63"/>
      <c r="E611" s="63"/>
      <c r="F611" s="63"/>
      <c r="G611" s="63"/>
      <c r="H611" s="63"/>
      <c r="I611" s="63"/>
      <c r="J611" s="24" t="e">
        <f ca="1">MATCH(H561,SEM_IV!$B$6:$B$43,0)</f>
        <v>#N/A</v>
      </c>
    </row>
    <row r="612" spans="1:10" ht="10.5" customHeight="1" x14ac:dyDescent="0.2">
      <c r="A612" s="64" t="str">
        <f ca="1">IF(ISNA(A611),"","Subject Code")</f>
        <v/>
      </c>
      <c r="B612" s="64"/>
      <c r="C612" s="64" t="str">
        <f ca="1">IF(ISNA(A611),"","Subject Name")</f>
        <v/>
      </c>
      <c r="D612" s="64"/>
      <c r="E612" s="64"/>
      <c r="F612" s="64"/>
      <c r="G612" s="64"/>
      <c r="H612" s="64" t="str">
        <f ca="1">IF(ISNA(A611),"","Credits")</f>
        <v/>
      </c>
      <c r="I612" s="64" t="str">
        <f ca="1">IF(ISNA(A611),"","Grade")</f>
        <v/>
      </c>
      <c r="J612" s="64" t="str">
        <f ca="1">IF(ISNA(A611),"","Grade Points")</f>
        <v/>
      </c>
    </row>
    <row r="613" spans="1:10" ht="15" customHeight="1" x14ac:dyDescent="0.2">
      <c r="A613" s="64"/>
      <c r="B613" s="64"/>
      <c r="C613" s="64"/>
      <c r="D613" s="64"/>
      <c r="E613" s="64"/>
      <c r="F613" s="64"/>
      <c r="G613" s="64"/>
      <c r="H613" s="64"/>
      <c r="I613" s="64"/>
      <c r="J613" s="64"/>
    </row>
    <row r="614" spans="1:10" ht="10.5" customHeight="1" x14ac:dyDescent="0.2">
      <c r="A614" s="65" t="str">
        <f ca="1">_xlfn.IFNA(INDIRECT(_xlfn.TEXTJOIN("",TRUE,A610,"!",ADDRESS(13+(A611-1)*J610,1))),"")</f>
        <v/>
      </c>
      <c r="B614" s="65"/>
      <c r="C614" s="66" t="str">
        <f ca="1">_xlfn.IFNA(INDIRECT(_xlfn.TEXTJOIN("",TRUE,A610,"!",ADDRESS(13+(A611-1)*J610,2))),"")</f>
        <v/>
      </c>
      <c r="D614" s="66"/>
      <c r="E614" s="66"/>
      <c r="F614" s="66"/>
      <c r="G614" s="66"/>
      <c r="H614" s="25" t="str">
        <f ca="1">_xlfn.IFNA(INDIRECT(_xlfn.TEXTJOIN("",TRUE,A610,"!",ADDRESS(13+(A611-1)*J610,6))),"")</f>
        <v/>
      </c>
      <c r="I614" s="25" t="str">
        <f ca="1">_xlfn.IFNA(INDIRECT(_xlfn.TEXTJOIN("",TRUE,A610,"!",ADDRESS(13+(A611-1)*J610,13))),"")</f>
        <v/>
      </c>
      <c r="J614" s="25" t="str">
        <f ca="1">_xlfn.IFNA(INDIRECT(_xlfn.TEXTJOIN("",TRUE,A610,"!",ADDRESS(13+(A611-1)*J610,14))),"")</f>
        <v/>
      </c>
    </row>
    <row r="615" spans="1:10" ht="10.5" customHeight="1" x14ac:dyDescent="0.2">
      <c r="A615" s="65" t="str">
        <f ca="1">_xlfn.IFNA(INDIRECT(_xlfn.TEXTJOIN("",TRUE,A610,"!",ADDRESS(14+(A611-1)*J610,1))),"")</f>
        <v/>
      </c>
      <c r="B615" s="65"/>
      <c r="C615" s="66" t="str">
        <f ca="1">_xlfn.IFNA(INDIRECT(_xlfn.TEXTJOIN("",TRUE,A610,"!",ADDRESS(14+(A611-1)*J610,2))),"")</f>
        <v/>
      </c>
      <c r="D615" s="66"/>
      <c r="E615" s="66"/>
      <c r="F615" s="66"/>
      <c r="G615" s="66"/>
      <c r="H615" s="25" t="str">
        <f ca="1">_xlfn.IFNA(INDIRECT(_xlfn.TEXTJOIN("",TRUE,A610,"!",ADDRESS(14+(A611-1)*J610,6))),"")</f>
        <v/>
      </c>
      <c r="I615" s="25" t="str">
        <f ca="1">_xlfn.IFNA(INDIRECT(_xlfn.TEXTJOIN("",TRUE,A610,"!",ADDRESS(14+(A611-1)*J610,13))),"")</f>
        <v/>
      </c>
      <c r="J615" s="25" t="str">
        <f ca="1">_xlfn.IFNA(INDIRECT(_xlfn.TEXTJOIN("",TRUE,A610,"!",ADDRESS(14+(A611-1)*J610,14))),"")</f>
        <v/>
      </c>
    </row>
    <row r="616" spans="1:10" ht="10.5" customHeight="1" x14ac:dyDescent="0.2">
      <c r="A616" s="65" t="str">
        <f ca="1">_xlfn.IFNA(INDIRECT(_xlfn.TEXTJOIN("",TRUE,A610,"!",ADDRESS(15+(A611-1)*J610,1))),"")</f>
        <v/>
      </c>
      <c r="B616" s="65"/>
      <c r="C616" s="66" t="str">
        <f ca="1">_xlfn.IFNA(INDIRECT(_xlfn.TEXTJOIN("",TRUE,A610,"!",ADDRESS(15+(A611-1)*J610,2))),"")</f>
        <v/>
      </c>
      <c r="D616" s="66"/>
      <c r="E616" s="66"/>
      <c r="F616" s="66"/>
      <c r="G616" s="66"/>
      <c r="H616" s="25" t="str">
        <f ca="1">_xlfn.IFNA(INDIRECT(_xlfn.TEXTJOIN("",TRUE,A610,"!",ADDRESS(15+(A611-1)*J610,6))),"")</f>
        <v/>
      </c>
      <c r="I616" s="25" t="str">
        <f ca="1">_xlfn.IFNA(INDIRECT(_xlfn.TEXTJOIN("",TRUE,A610,"!",ADDRESS(15+(A611-1)*J610,13))),"")</f>
        <v/>
      </c>
      <c r="J616" s="25" t="str">
        <f ca="1">_xlfn.IFNA(INDIRECT(_xlfn.TEXTJOIN("",TRUE,A610,"!",ADDRESS(15+(A611-1)*J610,14))),"")</f>
        <v/>
      </c>
    </row>
    <row r="617" spans="1:10" ht="10.5" customHeight="1" x14ac:dyDescent="0.2">
      <c r="A617" s="65" t="str">
        <f ca="1">_xlfn.IFNA(INDIRECT(_xlfn.TEXTJOIN("",TRUE,A610,"!",ADDRESS(16+(A611-1)*J610,1))),"")</f>
        <v/>
      </c>
      <c r="B617" s="65"/>
      <c r="C617" s="66" t="str">
        <f ca="1">_xlfn.IFNA(INDIRECT(_xlfn.TEXTJOIN("",TRUE,A610,"!",ADDRESS(16+(A611-1)*J610,2))),"")</f>
        <v/>
      </c>
      <c r="D617" s="66"/>
      <c r="E617" s="66"/>
      <c r="F617" s="66"/>
      <c r="G617" s="66"/>
      <c r="H617" s="25" t="str">
        <f ca="1">_xlfn.IFNA(INDIRECT(_xlfn.TEXTJOIN("",TRUE,A610,"!",ADDRESS(16+(A611-1)*J610,6))),"")</f>
        <v/>
      </c>
      <c r="I617" s="25" t="str">
        <f ca="1">_xlfn.IFNA(INDIRECT(_xlfn.TEXTJOIN("",TRUE,A610,"!",ADDRESS(16+(A611-1)*J610,13))),"")</f>
        <v/>
      </c>
      <c r="J617" s="25" t="str">
        <f ca="1">_xlfn.IFNA(INDIRECT(_xlfn.TEXTJOIN("",TRUE,A610,"!",ADDRESS(16+(A611-1)*J610,14))),"")</f>
        <v/>
      </c>
    </row>
    <row r="618" spans="1:10" ht="10.5" customHeight="1" x14ac:dyDescent="0.2">
      <c r="A618" s="65" t="str">
        <f ca="1">_xlfn.IFNA(INDIRECT(_xlfn.TEXTJOIN("",TRUE,A610,"!",ADDRESS(17+(A611-1)*J610,1))),"")</f>
        <v/>
      </c>
      <c r="B618" s="65"/>
      <c r="C618" s="66" t="str">
        <f ca="1">_xlfn.IFNA(INDIRECT(_xlfn.TEXTJOIN("",TRUE,A610,"!",ADDRESS(17+(A611-1)*J610,2))),"")</f>
        <v/>
      </c>
      <c r="D618" s="66"/>
      <c r="E618" s="66"/>
      <c r="F618" s="66"/>
      <c r="G618" s="66"/>
      <c r="H618" s="25" t="str">
        <f ca="1">_xlfn.IFNA(INDIRECT(_xlfn.TEXTJOIN("",TRUE,A610,"!",ADDRESS(17+(A611-1)*J610,6))),"")</f>
        <v/>
      </c>
      <c r="I618" s="25" t="str">
        <f ca="1">_xlfn.IFNA(INDIRECT(_xlfn.TEXTJOIN("",TRUE,A610,"!",ADDRESS(17+(A611-1)*J610,13))),"")</f>
        <v/>
      </c>
      <c r="J618" s="25" t="str">
        <f ca="1">_xlfn.IFNA(INDIRECT(_xlfn.TEXTJOIN("",TRUE,A610,"!",ADDRESS(17+(A611-1)*J610,14))),"")</f>
        <v/>
      </c>
    </row>
    <row r="619" spans="1:10" ht="10.5" customHeight="1" x14ac:dyDescent="0.2">
      <c r="A619" s="65" t="str">
        <f ca="1">_xlfn.IFNA(INDIRECT(_xlfn.TEXTJOIN("",TRUE,A610,"!",ADDRESS(18+(A611-1)*J610,1))),"")</f>
        <v/>
      </c>
      <c r="B619" s="65"/>
      <c r="C619" s="66" t="str">
        <f ca="1">_xlfn.IFNA(INDIRECT(_xlfn.TEXTJOIN("",TRUE,A610,"!",ADDRESS(18+(A611-1)*J610,2))),"")</f>
        <v/>
      </c>
      <c r="D619" s="66"/>
      <c r="E619" s="66"/>
      <c r="F619" s="66"/>
      <c r="G619" s="66"/>
      <c r="H619" s="25" t="str">
        <f ca="1">_xlfn.IFNA(INDIRECT(_xlfn.TEXTJOIN("",TRUE,A610,"!",ADDRESS(18+(A611-1)*J610,6))),"")</f>
        <v/>
      </c>
      <c r="I619" s="25" t="str">
        <f ca="1">_xlfn.IFNA(INDIRECT(_xlfn.TEXTJOIN("",TRUE,A610,"!",ADDRESS(18+(A611-1)*J610,13))),"")</f>
        <v/>
      </c>
      <c r="J619" s="25" t="str">
        <f ca="1">_xlfn.IFNA(INDIRECT(_xlfn.TEXTJOIN("",TRUE,A610,"!",ADDRESS(18+(A611-1)*J610,14))),"")</f>
        <v/>
      </c>
    </row>
    <row r="620" spans="1:10" ht="10.5" customHeight="1" x14ac:dyDescent="0.2">
      <c r="A620" s="60" t="str">
        <f ca="1">_xlfn.IFNA(INDIRECT(_xlfn.TEXTJOIN("",TRUE,A610,"!",ADDRESS(19+(A611-1)*J610,1))),"")</f>
        <v/>
      </c>
      <c r="B620" s="61"/>
      <c r="C620" s="57" t="str">
        <f ca="1">_xlfn.IFNA(INDIRECT(_xlfn.TEXTJOIN("",TRUE,A610,"!",ADDRESS(19+(A611-1)*J610,2))),"")</f>
        <v/>
      </c>
      <c r="D620" s="58"/>
      <c r="E620" s="58"/>
      <c r="F620" s="58"/>
      <c r="G620" s="59"/>
      <c r="H620" s="25" t="str">
        <f ca="1">_xlfn.IFNA(INDIRECT(_xlfn.TEXTJOIN("",TRUE,A610,"!",ADDRESS(19+(A611-1)*J610,6))),"")</f>
        <v/>
      </c>
      <c r="I620" s="25" t="str">
        <f ca="1">_xlfn.IFNA(INDIRECT(_xlfn.TEXTJOIN("",TRUE,A610,"!",ADDRESS(19+(A611-1)*J610,13))),"")</f>
        <v/>
      </c>
      <c r="J620" s="25" t="str">
        <f ca="1">_xlfn.IFNA(INDIRECT(_xlfn.TEXTJOIN("",TRUE,A610,"!",ADDRESS(19+(A611-1)*J610,14))),"")</f>
        <v/>
      </c>
    </row>
    <row r="621" spans="1:10" ht="10.5" customHeight="1" x14ac:dyDescent="0.2">
      <c r="A621" s="71" t="str">
        <f ca="1">IF(ISNA(A611),"","Total Credits/ Total Grade Points")</f>
        <v/>
      </c>
      <c r="B621" s="71"/>
      <c r="C621" s="71"/>
      <c r="D621" s="71"/>
      <c r="E621" s="71"/>
      <c r="F621" s="71"/>
      <c r="G621" s="71"/>
      <c r="H621" s="27" t="str">
        <f ca="1">IF(ISNA(A611),"",SUM(H613:H620))</f>
        <v/>
      </c>
      <c r="I621" s="26" t="str">
        <f ca="1">IF(ISNA(A611),"","-")</f>
        <v/>
      </c>
      <c r="J621" s="27" t="str">
        <f ca="1">IF(ISNA(A611),"",SUMPRODUCT(J613:J620,H613:H620))</f>
        <v/>
      </c>
    </row>
    <row r="622" spans="1:10" ht="10.5" customHeight="1" x14ac:dyDescent="0.2">
      <c r="A622" s="75" t="s">
        <v>137</v>
      </c>
      <c r="B622" s="75"/>
      <c r="C622" s="75"/>
      <c r="D622" s="75"/>
      <c r="E622" s="75"/>
      <c r="F622" s="76" t="s">
        <v>138</v>
      </c>
      <c r="G622" s="76"/>
      <c r="H622" s="76"/>
      <c r="I622" s="76"/>
      <c r="J622" s="76"/>
    </row>
    <row r="623" spans="1:10" ht="10.5" customHeight="1" x14ac:dyDescent="0.2">
      <c r="A623" s="43" t="s">
        <v>139</v>
      </c>
      <c r="B623" s="43"/>
      <c r="C623" s="43"/>
      <c r="D623" s="43"/>
      <c r="E623" s="43"/>
      <c r="F623" s="43"/>
      <c r="G623" s="43"/>
      <c r="H623" s="43"/>
      <c r="I623" s="43"/>
      <c r="J623" s="43"/>
    </row>
    <row r="624" spans="1:10" ht="10.5" customHeight="1" x14ac:dyDescent="0.2">
      <c r="A624" s="10"/>
      <c r="B624" s="26"/>
      <c r="C624" s="26" t="s">
        <v>140</v>
      </c>
      <c r="D624" s="26" t="s">
        <v>141</v>
      </c>
      <c r="E624" s="26" t="s">
        <v>142</v>
      </c>
      <c r="F624" s="26" t="s">
        <v>143</v>
      </c>
      <c r="G624" s="26" t="s">
        <v>144</v>
      </c>
      <c r="H624" s="79" t="s">
        <v>145</v>
      </c>
      <c r="I624" s="79"/>
      <c r="J624" s="30"/>
    </row>
    <row r="625" spans="1:10" ht="10.5" customHeight="1" x14ac:dyDescent="0.2">
      <c r="A625" s="10"/>
      <c r="B625" s="80" t="s">
        <v>146</v>
      </c>
      <c r="C625" s="73">
        <f ca="1">J581/H581</f>
        <v>7.1875</v>
      </c>
      <c r="D625" s="73" t="e">
        <f ca="1">J596/H596</f>
        <v>#VALUE!</v>
      </c>
      <c r="E625" s="73" t="str">
        <f ca="1">IFERROR(J609/H609,"")</f>
        <v/>
      </c>
      <c r="F625" s="73" t="str">
        <f ca="1">IFERROR(J621/H621,"")</f>
        <v/>
      </c>
      <c r="G625" s="82">
        <f ca="1">F627</f>
        <v>7.1875</v>
      </c>
      <c r="H625" s="83" t="e">
        <f ca="1">IF(TC_IV!N133&lt;96,_xlfn.TEXTJOIN(" Carry Over Back In",TC_I!V211,TC_II!V175,TC_III!V140,TC_IV!V132),IF(G625&gt;=8,"First Division with Distinction",IF(G625&gt;=6.5,"First Division",IF(G625&gt;=5,"Second Division",IF(G625&gt;=4,"Third Division","Fail")))))</f>
        <v>#N/A</v>
      </c>
      <c r="I625" s="83"/>
      <c r="J625" s="30"/>
    </row>
    <row r="626" spans="1:10" ht="10.5" customHeight="1" x14ac:dyDescent="0.2">
      <c r="B626" s="81"/>
      <c r="C626" s="74"/>
      <c r="D626" s="74"/>
      <c r="E626" s="74"/>
      <c r="F626" s="74"/>
      <c r="G626" s="82"/>
      <c r="H626" s="83"/>
      <c r="I626" s="83"/>
    </row>
    <row r="627" spans="1:10" ht="10.5" customHeight="1" x14ac:dyDescent="0.2">
      <c r="B627" s="80" t="s">
        <v>48</v>
      </c>
      <c r="C627" s="73">
        <f ca="1">J581/H581</f>
        <v>7.1875</v>
      </c>
      <c r="D627" s="73">
        <f ca="1">SUM(J596,J581)/SUM(H596,H581)</f>
        <v>7.1875</v>
      </c>
      <c r="E627" s="73">
        <f ca="1">SUM(J609,J596,J581)/SUM(H609,H596,H581)</f>
        <v>7.1875</v>
      </c>
      <c r="F627" s="73">
        <f ca="1">SUM(J621,J609,J596,J581)/SUM(H581,H596,H609,H621)</f>
        <v>7.1875</v>
      </c>
      <c r="G627" s="82"/>
      <c r="H627" s="83"/>
      <c r="I627" s="83"/>
    </row>
    <row r="628" spans="1:10" ht="10.5" customHeight="1" x14ac:dyDescent="0.2">
      <c r="B628" s="81"/>
      <c r="C628" s="74"/>
      <c r="D628" s="74"/>
      <c r="E628" s="74"/>
      <c r="F628" s="74"/>
      <c r="G628" s="82"/>
      <c r="H628" s="83"/>
      <c r="I628" s="83"/>
    </row>
    <row r="630" spans="1:10" ht="10.5" customHeight="1" x14ac:dyDescent="0.2">
      <c r="A630" s="56" t="s">
        <v>24</v>
      </c>
      <c r="B630" s="56"/>
      <c r="C630" s="56" t="str">
        <f ca="1">INDIRECT(_xlfn.TEXTJOIN("",TRUE,A632,"!",ADDRESS(9+(A633-1)*J632,2)))</f>
        <v>NIKITA BALODHI</v>
      </c>
      <c r="D630" s="56"/>
      <c r="E630" s="56"/>
      <c r="F630" s="56" t="s">
        <v>135</v>
      </c>
      <c r="G630" s="56"/>
      <c r="H630" s="62">
        <f ca="1">INDIRECT(_xlfn.TEXTJOIN("",TRUE,A632,"!",ADDRESS(9+(A633-1)*J632,9)))</f>
        <v>250090600010</v>
      </c>
      <c r="I630" s="56"/>
      <c r="J630" s="56"/>
    </row>
    <row r="631" spans="1:10" ht="10.5" customHeight="1" x14ac:dyDescent="0.2">
      <c r="A631" s="56" t="s">
        <v>25</v>
      </c>
      <c r="B631" s="56"/>
      <c r="C631" s="56" t="str">
        <f ca="1">INDIRECT(_xlfn.TEXTJOIN("",TRUE,A632,"!",ADDRESS(9+(A633-1)*J632,5)))</f>
        <v>MR DHANJAY PRASAD BALODHI</v>
      </c>
      <c r="D631" s="56"/>
      <c r="E631" s="56"/>
      <c r="F631" s="47" t="s">
        <v>136</v>
      </c>
      <c r="G631" s="47"/>
      <c r="H631" s="62" t="str">
        <f ca="1">INDIRECT(_xlfn.TEXTJOIN("",TRUE,A632,"!",ADDRESS(9+(A633-1)*J632,13)))</f>
        <v>UTU/2506100154</v>
      </c>
      <c r="I631" s="56"/>
      <c r="J631" s="56"/>
    </row>
    <row r="632" spans="1:10" ht="10.5" customHeight="1" x14ac:dyDescent="0.2">
      <c r="A632" s="24" t="s">
        <v>53</v>
      </c>
      <c r="B632" s="43" t="s">
        <v>148</v>
      </c>
      <c r="C632" s="43"/>
      <c r="D632" s="43"/>
      <c r="E632" s="43"/>
      <c r="F632" s="43"/>
      <c r="G632" s="43"/>
      <c r="H632" s="43"/>
      <c r="I632" s="43"/>
      <c r="J632" s="24">
        <f>ROWS(A636:B649)+9</f>
        <v>23</v>
      </c>
    </row>
    <row r="633" spans="1:10" ht="10.5" customHeight="1" x14ac:dyDescent="0.2">
      <c r="A633" s="24">
        <f>A564+1</f>
        <v>10</v>
      </c>
      <c r="B633" s="63"/>
      <c r="C633" s="63"/>
      <c r="D633" s="63"/>
      <c r="E633" s="63"/>
      <c r="F633" s="63"/>
      <c r="G633" s="63"/>
      <c r="H633" s="63"/>
      <c r="I633" s="63"/>
      <c r="J633" s="29"/>
    </row>
    <row r="634" spans="1:10" ht="10.5" customHeight="1" x14ac:dyDescent="0.2">
      <c r="A634" s="64" t="s">
        <v>28</v>
      </c>
      <c r="B634" s="64"/>
      <c r="C634" s="64" t="s">
        <v>29</v>
      </c>
      <c r="D634" s="64"/>
      <c r="E634" s="64"/>
      <c r="F634" s="64"/>
      <c r="G634" s="64"/>
      <c r="H634" s="64" t="s">
        <v>30</v>
      </c>
      <c r="I634" s="64" t="s">
        <v>9</v>
      </c>
      <c r="J634" s="64" t="s">
        <v>34</v>
      </c>
    </row>
    <row r="635" spans="1:10" ht="13.5" customHeight="1" x14ac:dyDescent="0.2">
      <c r="A635" s="64"/>
      <c r="B635" s="64"/>
      <c r="C635" s="64"/>
      <c r="D635" s="64"/>
      <c r="E635" s="64"/>
      <c r="F635" s="64"/>
      <c r="G635" s="64"/>
      <c r="H635" s="64"/>
      <c r="I635" s="64"/>
      <c r="J635" s="64"/>
    </row>
    <row r="636" spans="1:10" ht="10.5" customHeight="1" x14ac:dyDescent="0.2">
      <c r="A636" s="65" t="str">
        <f ca="1">INDIRECT(_xlfn.TEXTJOIN("",TRUE,A632,"!",ADDRESS(13+(A633-1)*J632,1)))</f>
        <v>CAT 004</v>
      </c>
      <c r="B636" s="65"/>
      <c r="C636" s="66" t="str">
        <f ca="1">INDIRECT(_xlfn.TEXTJOIN("",TRUE,A632,"!",ADDRESS(13+(A633-1)*J632,2)))</f>
        <v>Discrete Structure</v>
      </c>
      <c r="D636" s="66"/>
      <c r="E636" s="66"/>
      <c r="F636" s="66"/>
      <c r="G636" s="66"/>
      <c r="H636" s="25">
        <f ca="1">INDIRECT(_xlfn.TEXTJOIN("",TRUE,A632,"!",ADDRESS(13+(A633-1)*J632,6)))</f>
        <v>4</v>
      </c>
      <c r="I636" s="25" t="str">
        <f ca="1">INDIRECT(_xlfn.TEXTJOIN("",TRUE,A632,"!",ADDRESS(13+(A633-1)*J632,13)))</f>
        <v>D+</v>
      </c>
      <c r="J636" s="25">
        <f ca="1">INDIRECT(_xlfn.TEXTJOIN("",TRUE,A632,"!",ADDRESS(13+(A633-1)*J632,14)))</f>
        <v>6.5</v>
      </c>
    </row>
    <row r="637" spans="1:10" ht="10.5" customHeight="1" x14ac:dyDescent="0.2">
      <c r="A637" s="65" t="str">
        <f ca="1">INDIRECT(_xlfn.TEXTJOIN("",TRUE,A632,"!",ADDRESS(14+(A633-1)*J632,1)))</f>
        <v>CAT 005</v>
      </c>
      <c r="B637" s="65"/>
      <c r="C637" s="66" t="str">
        <f ca="1">INDIRECT(_xlfn.TEXTJOIN("",TRUE,A632,"!",ADDRESS(14+(A633-1)*J632,2)))</f>
        <v>Database Management System</v>
      </c>
      <c r="D637" s="66"/>
      <c r="E637" s="66"/>
      <c r="F637" s="66"/>
      <c r="G637" s="66"/>
      <c r="H637" s="25">
        <f ca="1">INDIRECT(_xlfn.TEXTJOIN("",TRUE,A632,"!",ADDRESS(14+(A633-1)*J632,6)))</f>
        <v>4</v>
      </c>
      <c r="I637" s="25" t="str">
        <f ca="1">INDIRECT(_xlfn.TEXTJOIN("",TRUE,A632,"!",ADDRESS(14+(A633-1)*J632,13)))</f>
        <v>C</v>
      </c>
      <c r="J637" s="25">
        <f ca="1">INDIRECT(_xlfn.TEXTJOIN("",TRUE,A632,"!",ADDRESS(14+(A633-1)*J632,14)))</f>
        <v>7</v>
      </c>
    </row>
    <row r="638" spans="1:10" ht="10.5" customHeight="1" x14ac:dyDescent="0.2">
      <c r="A638" s="65" t="str">
        <f ca="1">INDIRECT(_xlfn.TEXTJOIN("",TRUE,A632,"!",ADDRESS(15+(A633-1)*J632,1)))</f>
        <v>CAT 006</v>
      </c>
      <c r="B638" s="65"/>
      <c r="C638" s="66" t="str">
        <f ca="1">INDIRECT(_xlfn.TEXTJOIN("",TRUE,A632,"!",ADDRESS(15+(A633-1)*J632,2)))</f>
        <v>Operating System</v>
      </c>
      <c r="D638" s="66"/>
      <c r="E638" s="66"/>
      <c r="F638" s="66"/>
      <c r="G638" s="66"/>
      <c r="H638" s="25">
        <f ca="1">INDIRECT(_xlfn.TEXTJOIN("",TRUE,A632,"!",ADDRESS(15+(A633-1)*J632,6)))</f>
        <v>4</v>
      </c>
      <c r="I638" s="25" t="str">
        <f ca="1">INDIRECT(_xlfn.TEXTJOIN("",TRUE,A632,"!",ADDRESS(15+(A633-1)*J632,13)))</f>
        <v>B</v>
      </c>
      <c r="J638" s="25">
        <f ca="1">INDIRECT(_xlfn.TEXTJOIN("",TRUE,A632,"!",ADDRESS(15+(A633-1)*J632,14)))</f>
        <v>8</v>
      </c>
    </row>
    <row r="639" spans="1:10" ht="10.5" customHeight="1" x14ac:dyDescent="0.2">
      <c r="A639" s="65" t="str">
        <f ca="1">INDIRECT(_xlfn.TEXTJOIN("",TRUE,A632,"!",ADDRESS(16+(A633-1)*J632,1)))</f>
        <v>CAT 007</v>
      </c>
      <c r="B639" s="65"/>
      <c r="C639" s="66" t="str">
        <f ca="1">INDIRECT(_xlfn.TEXTJOIN("",TRUE,A632,"!",ADDRESS(16+(A633-1)*J632,2)))</f>
        <v>Computer Organization</v>
      </c>
      <c r="D639" s="66"/>
      <c r="E639" s="66"/>
      <c r="F639" s="66"/>
      <c r="G639" s="66"/>
      <c r="H639" s="25">
        <f ca="1">INDIRECT(_xlfn.TEXTJOIN("",TRUE,A632,"!",ADDRESS(16+(A633-1)*J632,6)))</f>
        <v>4</v>
      </c>
      <c r="I639" s="25" t="str">
        <f ca="1">INDIRECT(_xlfn.TEXTJOIN("",TRUE,A632,"!",ADDRESS(16+(A633-1)*J632,13)))</f>
        <v>D+</v>
      </c>
      <c r="J639" s="25">
        <f ca="1">INDIRECT(_xlfn.TEXTJOIN("",TRUE,A632,"!",ADDRESS(16+(A633-1)*J632,14)))</f>
        <v>6.5</v>
      </c>
    </row>
    <row r="640" spans="1:10" ht="10.5" customHeight="1" x14ac:dyDescent="0.2">
      <c r="A640" s="65" t="str">
        <f ca="1">INDIRECT(_xlfn.TEXTJOIN("",TRUE,A632,"!",ADDRESS(17+(A633-1)*J632,1)))</f>
        <v>AHT 303</v>
      </c>
      <c r="B640" s="65"/>
      <c r="C640" s="66" t="str">
        <f ca="1">INDIRECT(_xlfn.TEXTJOIN("",TRUE,A632,"!",ADDRESS(17+(A633-1)*J632,2)))</f>
        <v>Technical Communication Skills</v>
      </c>
      <c r="D640" s="66"/>
      <c r="E640" s="66"/>
      <c r="F640" s="66"/>
      <c r="G640" s="66"/>
      <c r="H640" s="25">
        <f ca="1">INDIRECT(_xlfn.TEXTJOIN("",TRUE,A632,"!",ADDRESS(17+(A633-1)*J632,6)))</f>
        <v>4</v>
      </c>
      <c r="I640" s="25" t="str">
        <f ca="1">INDIRECT(_xlfn.TEXTJOIN("",TRUE,A632,"!",ADDRESS(17+(A633-1)*J632,13)))</f>
        <v>B+</v>
      </c>
      <c r="J640" s="25">
        <f ca="1">INDIRECT(_xlfn.TEXTJOIN("",TRUE,A632,"!",ADDRESS(17+(A633-1)*J632,14)))</f>
        <v>8.5</v>
      </c>
    </row>
    <row r="641" spans="1:10" ht="10.5" customHeight="1" x14ac:dyDescent="0.2">
      <c r="A641" s="65" t="str">
        <f ca="1">INDIRECT(_xlfn.TEXTJOIN("",TRUE,A632,"!",ADDRESS(18+(A633-1)*J632,1)))</f>
        <v>CAT 008</v>
      </c>
      <c r="B641" s="65"/>
      <c r="C641" s="66" t="str">
        <f ca="1">INDIRECT(_xlfn.TEXTJOIN("",TRUE,A632,"!",ADDRESS(18+(A633-1)*J632,2)))</f>
        <v>Python Programming ($)</v>
      </c>
      <c r="D641" s="66"/>
      <c r="E641" s="66"/>
      <c r="F641" s="66"/>
      <c r="G641" s="66"/>
      <c r="H641" s="25">
        <f ca="1">INDIRECT(_xlfn.TEXTJOIN("",TRUE,A632,"!",ADDRESS(18+(A633-1)*J632,6)))</f>
        <v>0</v>
      </c>
      <c r="I641" s="25" t="str">
        <f ca="1">INDIRECT(_xlfn.TEXTJOIN("",TRUE,A632,"!",ADDRESS(18+(A633-1)*J632,13)))</f>
        <v>E+</v>
      </c>
      <c r="J641" s="25">
        <f ca="1">INDIRECT(_xlfn.TEXTJOIN("",TRUE,A632,"!",ADDRESS(18+(A633-1)*J632,14)))</f>
        <v>5.5</v>
      </c>
    </row>
    <row r="642" spans="1:10" ht="10.5" customHeight="1" x14ac:dyDescent="0.2">
      <c r="A642" s="60" t="str">
        <f ca="1">INDIRECT(_xlfn.TEXTJOIN("",TRUE,A632,"!",ADDRESS(19+(A633-1)*J632,1)))</f>
        <v>CAT 001</v>
      </c>
      <c r="B642" s="61"/>
      <c r="C642" s="57" t="str">
        <f ca="1">INDIRECT(_xlfn.TEXTJOIN("",TRUE,A632,"!",ADDRESS(19+(A633-1)*J632,2)))</f>
        <v>Introduction of Information Technology ($)</v>
      </c>
      <c r="D642" s="58"/>
      <c r="E642" s="58"/>
      <c r="F642" s="58"/>
      <c r="G642" s="59"/>
      <c r="H642" s="25">
        <f ca="1">INDIRECT(_xlfn.TEXTJOIN("",TRUE,A632,"!",ADDRESS(19+(A633-1)*J632,6)))</f>
        <v>0</v>
      </c>
      <c r="I642" s="25" t="str">
        <f ca="1">INDIRECT(_xlfn.TEXTJOIN("",TRUE,A632,"!",ADDRESS(19+(A633-1)*J632,13)))</f>
        <v>-</v>
      </c>
      <c r="J642" s="25" t="str">
        <f ca="1">INDIRECT(_xlfn.TEXTJOIN("",TRUE,A632,"!",ADDRESS(19+(A633-1)*J632,14)))</f>
        <v>-</v>
      </c>
    </row>
    <row r="643" spans="1:10" ht="10.5" customHeight="1" x14ac:dyDescent="0.2">
      <c r="A643" s="65" t="str">
        <f ca="1">INDIRECT(_xlfn.TEXTJOIN("",TRUE,A632,"!",ADDRESS(20+(A633-1)*J632,1)))</f>
        <v>CAT 002</v>
      </c>
      <c r="B643" s="65"/>
      <c r="C643" s="66" t="str">
        <f ca="1">INDIRECT(_xlfn.TEXTJOIN("",TRUE,A632,"!",ADDRESS(20+(A633-1)*J632,2)))</f>
        <v>Programming Fundamentals with "C" ($)</v>
      </c>
      <c r="D643" s="66"/>
      <c r="E643" s="66"/>
      <c r="F643" s="66"/>
      <c r="G643" s="66"/>
      <c r="H643" s="25">
        <f ca="1">INDIRECT(_xlfn.TEXTJOIN("",TRUE,A632,"!",ADDRESS(20+(A633-1)*J632,6)))</f>
        <v>0</v>
      </c>
      <c r="I643" s="25" t="str">
        <f ca="1">INDIRECT(_xlfn.TEXTJOIN("",TRUE,A632,"!",ADDRESS(20+(A633-1)*J632,13)))</f>
        <v>-</v>
      </c>
      <c r="J643" s="25" t="str">
        <f ca="1">INDIRECT(_xlfn.TEXTJOIN("",TRUE,A632,"!",ADDRESS(20+(A633-1)*J632,14)))</f>
        <v>-</v>
      </c>
    </row>
    <row r="644" spans="1:10" ht="10.5" customHeight="1" x14ac:dyDescent="0.2">
      <c r="A644" s="65" t="str">
        <f ca="1">INDIRECT(_xlfn.TEXTJOIN("",TRUE,A632,"!",ADDRESS(21+(A633-1)*J632,1)))</f>
        <v>CAT 003</v>
      </c>
      <c r="B644" s="65"/>
      <c r="C644" s="66" t="str">
        <f ca="1">INDIRECT(_xlfn.TEXTJOIN("",TRUE,A632,"!",ADDRESS(21+(A633-1)*J632,2)))</f>
        <v>Fundamental of Web Technology ($)</v>
      </c>
      <c r="D644" s="66"/>
      <c r="E644" s="66"/>
      <c r="F644" s="66"/>
      <c r="G644" s="66"/>
      <c r="H644" s="25">
        <f ca="1">INDIRECT(_xlfn.TEXTJOIN("",TRUE,A632,"!",ADDRESS(21+(A633-1)*J632,6)))</f>
        <v>0</v>
      </c>
      <c r="I644" s="25" t="str">
        <f ca="1">INDIRECT(_xlfn.TEXTJOIN("",TRUE,A632,"!",ADDRESS(21+(A633-1)*J632,13)))</f>
        <v>-</v>
      </c>
      <c r="J644" s="25" t="str">
        <f ca="1">INDIRECT(_xlfn.TEXTJOIN("",TRUE,A632,"!",ADDRESS(21+(A633-1)*J632,14)))</f>
        <v>-</v>
      </c>
    </row>
    <row r="645" spans="1:10" ht="10.5" customHeight="1" x14ac:dyDescent="0.2">
      <c r="A645" s="65" t="str">
        <f ca="1">INDIRECT(_xlfn.TEXTJOIN("",TRUE,A632,"!",ADDRESS(22+(A633-1)*J632,1)))</f>
        <v>CAP 001</v>
      </c>
      <c r="B645" s="65"/>
      <c r="C645" s="66" t="str">
        <f ca="1">INDIRECT(_xlfn.TEXTJOIN("",TRUE,A632,"!",ADDRESS(22+(A633-1)*J632,2)))</f>
        <v>Database Management System Lab</v>
      </c>
      <c r="D645" s="66"/>
      <c r="E645" s="66"/>
      <c r="F645" s="66"/>
      <c r="G645" s="66"/>
      <c r="H645" s="25">
        <f ca="1">INDIRECT(_xlfn.TEXTJOIN("",TRUE,A632,"!",ADDRESS(22+(A633-1)*J632,6)))</f>
        <v>1</v>
      </c>
      <c r="I645" s="25" t="str">
        <f ca="1">INDIRECT(_xlfn.TEXTJOIN("",TRUE,A632,"!",ADDRESS(22+(A633-1)*J632,13)))</f>
        <v>B</v>
      </c>
      <c r="J645" s="25">
        <f ca="1">INDIRECT(_xlfn.TEXTJOIN("",TRUE,A632,"!",ADDRESS(22+(A633-1)*J632,14)))</f>
        <v>8</v>
      </c>
    </row>
    <row r="646" spans="1:10" ht="10.5" customHeight="1" x14ac:dyDescent="0.2">
      <c r="A646" s="65" t="str">
        <f ca="1">INDIRECT(_xlfn.TEXTJOIN("",TRUE,A632,"!",ADDRESS(23+(A633-1)*J632,1)))</f>
        <v>CAP 002</v>
      </c>
      <c r="B646" s="65"/>
      <c r="C646" s="66" t="str">
        <f ca="1">INDIRECT(_xlfn.TEXTJOIN("",TRUE,A632,"!",ADDRESS(23+(A633-1)*J632,2)))</f>
        <v>Operating System Lab</v>
      </c>
      <c r="D646" s="66"/>
      <c r="E646" s="66"/>
      <c r="F646" s="66"/>
      <c r="G646" s="66"/>
      <c r="H646" s="25">
        <f ca="1">INDIRECT(_xlfn.TEXTJOIN("",TRUE,A632,"!",ADDRESS(23+(A633-1)*J632,6)))</f>
        <v>1</v>
      </c>
      <c r="I646" s="25" t="str">
        <f ca="1">INDIRECT(_xlfn.TEXTJOIN("",TRUE,A632,"!",ADDRESS(23+(A633-1)*J632,13)))</f>
        <v>A</v>
      </c>
      <c r="J646" s="25">
        <f ca="1">INDIRECT(_xlfn.TEXTJOIN("",TRUE,A632,"!",ADDRESS(23+(A633-1)*J632,14)))</f>
        <v>9</v>
      </c>
    </row>
    <row r="647" spans="1:10" ht="10.5" customHeight="1" x14ac:dyDescent="0.2">
      <c r="A647" s="65" t="str">
        <f ca="1">INDIRECT(_xlfn.TEXTJOIN("",TRUE,A632,"!",ADDRESS(24+(A633-1)*J632,1)))</f>
        <v>CAP 003</v>
      </c>
      <c r="B647" s="65"/>
      <c r="C647" s="66" t="str">
        <f ca="1">INDIRECT(_xlfn.TEXTJOIN("",TRUE,A632,"!",ADDRESS(24+(A633-1)*J632,2)))</f>
        <v>Computer Organization Lab</v>
      </c>
      <c r="D647" s="66"/>
      <c r="E647" s="66"/>
      <c r="F647" s="66"/>
      <c r="G647" s="66"/>
      <c r="H647" s="25">
        <f ca="1">INDIRECT(_xlfn.TEXTJOIN("",TRUE,A632,"!",ADDRESS(24+(A633-1)*J632,6)))</f>
        <v>1</v>
      </c>
      <c r="I647" s="25" t="str">
        <f ca="1">INDIRECT(_xlfn.TEXTJOIN("",TRUE,A632,"!",ADDRESS(24+(A633-1)*J632,13)))</f>
        <v>A</v>
      </c>
      <c r="J647" s="25">
        <f ca="1">INDIRECT(_xlfn.TEXTJOIN("",TRUE,A632,"!",ADDRESS(24+(A633-1)*J632,14)))</f>
        <v>9</v>
      </c>
    </row>
    <row r="648" spans="1:10" ht="10.5" customHeight="1" x14ac:dyDescent="0.2">
      <c r="A648" s="65" t="str">
        <f ca="1">INDIRECT(_xlfn.TEXTJOIN("",TRUE,A632,"!",ADDRESS(25+(A633-1)*J632,1)))</f>
        <v>AHP 303</v>
      </c>
      <c r="B648" s="65"/>
      <c r="C648" s="66" t="str">
        <f ca="1">INDIRECT(_xlfn.TEXTJOIN("",TRUE,A632,"!",ADDRESS(25+(A633-1)*J632,2)))</f>
        <v>Technical Communication Skills</v>
      </c>
      <c r="D648" s="66"/>
      <c r="E648" s="66"/>
      <c r="F648" s="66"/>
      <c r="G648" s="66"/>
      <c r="H648" s="25">
        <f ca="1">INDIRECT(_xlfn.TEXTJOIN("",TRUE,A632,"!",ADDRESS(25+(A633-1)*J632,6)))</f>
        <v>1</v>
      </c>
      <c r="I648" s="25" t="str">
        <f ca="1">INDIRECT(_xlfn.TEXTJOIN("",TRUE,A632,"!",ADDRESS(25+(A633-1)*J632,13)))</f>
        <v>B+</v>
      </c>
      <c r="J648" s="25">
        <f ca="1">INDIRECT(_xlfn.TEXTJOIN("",TRUE,A632,"!",ADDRESS(25+(A633-1)*J632,14)))</f>
        <v>8.5</v>
      </c>
    </row>
    <row r="649" spans="1:10" s="35" customFormat="1" ht="10.5" customHeight="1" x14ac:dyDescent="0.2">
      <c r="A649" s="77">
        <f ca="1">INDIRECT(_xlfn.TEXTJOIN("",TRUE,A632,"!",ADDRESS(26+(A633-1)*J632,1)))</f>
        <v>0</v>
      </c>
      <c r="B649" s="77"/>
      <c r="C649" s="78">
        <f ca="1">INDIRECT(_xlfn.TEXTJOIN("",TRUE,A632,"!",ADDRESS(26+(A633-1)*J632,2)))</f>
        <v>0</v>
      </c>
      <c r="D649" s="78"/>
      <c r="E649" s="78"/>
      <c r="F649" s="78"/>
      <c r="G649" s="78"/>
      <c r="H649" s="34">
        <f ca="1">INDIRECT(_xlfn.TEXTJOIN("",TRUE,A632,"!",ADDRESS(26+(A633-1)*J632,6)))</f>
        <v>0</v>
      </c>
      <c r="I649" s="34" t="str">
        <f ca="1">INDIRECT(_xlfn.TEXTJOIN("",TRUE,A632,"!",ADDRESS(26+(A633-1)*J632,13)))</f>
        <v>Excellent</v>
      </c>
      <c r="J649" s="34">
        <f ca="1">INDIRECT(_xlfn.TEXTJOIN("",TRUE,A632,"!",ADDRESS(26+(A633-1)*J632,14)))</f>
        <v>0</v>
      </c>
    </row>
    <row r="650" spans="1:10" ht="10.5" customHeight="1" x14ac:dyDescent="0.2">
      <c r="A650" s="71" t="s">
        <v>52</v>
      </c>
      <c r="B650" s="71"/>
      <c r="C650" s="71"/>
      <c r="D650" s="71"/>
      <c r="E650" s="71"/>
      <c r="F650" s="71"/>
      <c r="G650" s="71"/>
      <c r="H650" s="27">
        <f ca="1">SUM(H636:H649)</f>
        <v>24</v>
      </c>
      <c r="I650" s="26" t="s">
        <v>44</v>
      </c>
      <c r="J650" s="27">
        <f ca="1">SUMPRODUCT(J636:J648,H636:H648)</f>
        <v>180.5</v>
      </c>
    </row>
    <row r="651" spans="1:10" ht="10.5" customHeight="1" x14ac:dyDescent="0.2">
      <c r="A651" s="24" t="s">
        <v>57</v>
      </c>
      <c r="B651" s="72" t="str">
        <f ca="1">IF(ISNA(A652),"","Semester II (Spring Semester 2022-23)")</f>
        <v/>
      </c>
      <c r="C651" s="72"/>
      <c r="D651" s="72"/>
      <c r="E651" s="72"/>
      <c r="F651" s="72"/>
      <c r="G651" s="72"/>
      <c r="H651" s="72"/>
      <c r="I651" s="72"/>
      <c r="J651" s="24">
        <f>ROWS(A655:B664)+9</f>
        <v>19</v>
      </c>
    </row>
    <row r="652" spans="1:10" ht="10.5" customHeight="1" x14ac:dyDescent="0.2">
      <c r="A652" s="24" t="e">
        <f ca="1">INDEX(SEM_II!$A$6:$A$45,Marksheets!J652)</f>
        <v>#N/A</v>
      </c>
      <c r="B652" s="63"/>
      <c r="C652" s="63"/>
      <c r="D652" s="63"/>
      <c r="E652" s="63"/>
      <c r="F652" s="63"/>
      <c r="G652" s="63"/>
      <c r="H652" s="63"/>
      <c r="I652" s="63"/>
      <c r="J652" s="24" t="e">
        <f ca="1">MATCH(H630,SEM_II!$B$6:$B$45,0)</f>
        <v>#N/A</v>
      </c>
    </row>
    <row r="653" spans="1:10" ht="10.5" customHeight="1" x14ac:dyDescent="0.2">
      <c r="A653" s="64" t="str">
        <f ca="1">IF(ISNA(A652),"","Subject Code")</f>
        <v/>
      </c>
      <c r="B653" s="64"/>
      <c r="C653" s="64" t="str">
        <f ca="1">IF(ISNA(A652),"","Subject Name")</f>
        <v/>
      </c>
      <c r="D653" s="64"/>
      <c r="E653" s="64"/>
      <c r="F653" s="64"/>
      <c r="G653" s="64"/>
      <c r="H653" s="64" t="str">
        <f ca="1">IF(ISNA(A652),"","Credits")</f>
        <v/>
      </c>
      <c r="I653" s="64" t="str">
        <f ca="1">IF(ISNA(A652),"","Grade")</f>
        <v/>
      </c>
      <c r="J653" s="64" t="str">
        <f ca="1">IF(ISNA(A652),"","Grade Points")</f>
        <v/>
      </c>
    </row>
    <row r="654" spans="1:10" ht="13.5" customHeight="1" x14ac:dyDescent="0.2">
      <c r="A654" s="64"/>
      <c r="B654" s="64"/>
      <c r="C654" s="64"/>
      <c r="D654" s="64"/>
      <c r="E654" s="64"/>
      <c r="F654" s="64"/>
      <c r="G654" s="64"/>
      <c r="H654" s="64"/>
      <c r="I654" s="64"/>
      <c r="J654" s="64"/>
    </row>
    <row r="655" spans="1:10" ht="10.5" customHeight="1" x14ac:dyDescent="0.2">
      <c r="A655" s="65" t="str">
        <f ca="1">_xlfn.IFNA(INDIRECT(_xlfn.TEXTJOIN("",TRUE,A651,"!",ADDRESS(13+(A652-1)*J651,1))),"")</f>
        <v/>
      </c>
      <c r="B655" s="65"/>
      <c r="C655" s="66" t="str">
        <f ca="1">_xlfn.IFNA(INDIRECT(_xlfn.TEXTJOIN("",TRUE,A651,"!",ADDRESS(13+(A652-1)*J651,2))),"")</f>
        <v/>
      </c>
      <c r="D655" s="66"/>
      <c r="E655" s="66"/>
      <c r="F655" s="66"/>
      <c r="G655" s="66"/>
      <c r="H655" s="25" t="str">
        <f ca="1">_xlfn.IFNA(INDIRECT(_xlfn.TEXTJOIN("",TRUE,A651,"!",ADDRESS(13+(A652-1)*J651,6))),"")</f>
        <v/>
      </c>
      <c r="I655" s="25" t="str">
        <f ca="1">_xlfn.IFNA(INDIRECT(_xlfn.TEXTJOIN("",TRUE,A651,"!",ADDRESS(13+(A652-1)*J651,13))),"")</f>
        <v/>
      </c>
      <c r="J655" s="25" t="str">
        <f ca="1">_xlfn.IFNA(INDIRECT(_xlfn.TEXTJOIN("",TRUE,A651,"!",ADDRESS(13+(A652-1)*J651,14))),"")</f>
        <v/>
      </c>
    </row>
    <row r="656" spans="1:10" ht="10.5" customHeight="1" x14ac:dyDescent="0.2">
      <c r="A656" s="65" t="str">
        <f ca="1">_xlfn.IFNA(INDIRECT(_xlfn.TEXTJOIN("",TRUE,A651,"!",ADDRESS(14+(A652-1)*J651,1))),"")</f>
        <v/>
      </c>
      <c r="B656" s="65"/>
      <c r="C656" s="66" t="str">
        <f ca="1">_xlfn.IFNA(INDIRECT(_xlfn.TEXTJOIN("",TRUE,A651,"!",ADDRESS(14+(A652-1)*J651,2))),"")</f>
        <v/>
      </c>
      <c r="D656" s="66"/>
      <c r="E656" s="66"/>
      <c r="F656" s="66"/>
      <c r="G656" s="66"/>
      <c r="H656" s="25" t="str">
        <f ca="1">_xlfn.IFNA(INDIRECT(_xlfn.TEXTJOIN("",TRUE,A651,"!",ADDRESS(14+(A652-1)*J651,6))),"")</f>
        <v/>
      </c>
      <c r="I656" s="25" t="str">
        <f ca="1">_xlfn.IFNA(INDIRECT(_xlfn.TEXTJOIN("",TRUE,A651,"!",ADDRESS(14+(A652-1)*J651,13))),"")</f>
        <v/>
      </c>
      <c r="J656" s="25" t="str">
        <f ca="1">_xlfn.IFNA(INDIRECT(_xlfn.TEXTJOIN("",TRUE,A651,"!",ADDRESS(14+(A652-1)*J651,14))),"")</f>
        <v/>
      </c>
    </row>
    <row r="657" spans="1:10" ht="10.5" customHeight="1" x14ac:dyDescent="0.2">
      <c r="A657" s="65" t="str">
        <f ca="1">_xlfn.IFNA(INDIRECT(_xlfn.TEXTJOIN("",TRUE,A651,"!",ADDRESS(15+(A652-1)*J651,1))),"")</f>
        <v/>
      </c>
      <c r="B657" s="65"/>
      <c r="C657" s="66" t="str">
        <f ca="1">_xlfn.IFNA(INDIRECT(_xlfn.TEXTJOIN("",TRUE,A651,"!",ADDRESS(15+(A652-1)*J651,2))),"")</f>
        <v/>
      </c>
      <c r="D657" s="66"/>
      <c r="E657" s="66"/>
      <c r="F657" s="66"/>
      <c r="G657" s="66"/>
      <c r="H657" s="25" t="str">
        <f ca="1">_xlfn.IFNA(INDIRECT(_xlfn.TEXTJOIN("",TRUE,A651,"!",ADDRESS(15+(A652-1)*J651,6))),"")</f>
        <v/>
      </c>
      <c r="I657" s="25" t="str">
        <f ca="1">_xlfn.IFNA(INDIRECT(_xlfn.TEXTJOIN("",TRUE,A651,"!",ADDRESS(15+(A652-1)*J651,13))),"")</f>
        <v/>
      </c>
      <c r="J657" s="25" t="str">
        <f ca="1">_xlfn.IFNA(INDIRECT(_xlfn.TEXTJOIN("",TRUE,A651,"!",ADDRESS(15+(A652-1)*J651,14))),"")</f>
        <v/>
      </c>
    </row>
    <row r="658" spans="1:10" ht="10.5" customHeight="1" x14ac:dyDescent="0.2">
      <c r="A658" s="65" t="str">
        <f ca="1">_xlfn.IFNA(INDIRECT(_xlfn.TEXTJOIN("",TRUE,A651,"!",ADDRESS(16+(A652-1)*J651,1))),"")</f>
        <v/>
      </c>
      <c r="B658" s="65"/>
      <c r="C658" s="66" t="str">
        <f ca="1">_xlfn.IFNA(INDIRECT(_xlfn.TEXTJOIN("",TRUE,A651,"!",ADDRESS(16+(A652-1)*J651,2))),"")</f>
        <v/>
      </c>
      <c r="D658" s="66"/>
      <c r="E658" s="66"/>
      <c r="F658" s="66"/>
      <c r="G658" s="66"/>
      <c r="H658" s="25" t="str">
        <f ca="1">_xlfn.IFNA(INDIRECT(_xlfn.TEXTJOIN("",TRUE,A651,"!",ADDRESS(16+(A652-1)*J651,6))),"")</f>
        <v/>
      </c>
      <c r="I658" s="25" t="str">
        <f ca="1">_xlfn.IFNA(INDIRECT(_xlfn.TEXTJOIN("",TRUE,A651,"!",ADDRESS(16+(A652-1)*J651,13))),"")</f>
        <v/>
      </c>
      <c r="J658" s="25" t="str">
        <f ca="1">_xlfn.IFNA(INDIRECT(_xlfn.TEXTJOIN("",TRUE,A651,"!",ADDRESS(16+(A652-1)*J651,14))),"")</f>
        <v/>
      </c>
    </row>
    <row r="659" spans="1:10" ht="10.5" customHeight="1" x14ac:dyDescent="0.2">
      <c r="A659" s="65" t="str">
        <f ca="1">_xlfn.IFNA(INDIRECT(_xlfn.TEXTJOIN("",TRUE,A651,"!",ADDRESS(17+(A652-1)*J651,1))),"")</f>
        <v/>
      </c>
      <c r="B659" s="65"/>
      <c r="C659" s="66" t="str">
        <f ca="1">_xlfn.IFNA(INDIRECT(_xlfn.TEXTJOIN("",TRUE,A651,"!",ADDRESS(17+(A652-1)*J651,2))),"")</f>
        <v/>
      </c>
      <c r="D659" s="66"/>
      <c r="E659" s="66"/>
      <c r="F659" s="66"/>
      <c r="G659" s="66"/>
      <c r="H659" s="25" t="str">
        <f ca="1">_xlfn.IFNA(INDIRECT(_xlfn.TEXTJOIN("",TRUE,A651,"!",ADDRESS(17+(A652-1)*J651,6))),"")</f>
        <v/>
      </c>
      <c r="I659" s="25" t="str">
        <f ca="1">_xlfn.IFNA(INDIRECT(_xlfn.TEXTJOIN("",TRUE,A651,"!",ADDRESS(17+(A652-1)*J651,13))),"")</f>
        <v/>
      </c>
      <c r="J659" s="25" t="str">
        <f ca="1">_xlfn.IFNA(INDIRECT(_xlfn.TEXTJOIN("",TRUE,A651,"!",ADDRESS(17+(A652-1)*J651,14))),"")</f>
        <v/>
      </c>
    </row>
    <row r="660" spans="1:10" ht="10.5" customHeight="1" x14ac:dyDescent="0.2">
      <c r="A660" s="65" t="str">
        <f ca="1">_xlfn.IFNA(INDIRECT(_xlfn.TEXTJOIN("",TRUE,A651,"!",ADDRESS(18+(A652-1)*J651,1))),"")</f>
        <v/>
      </c>
      <c r="B660" s="65"/>
      <c r="C660" s="66" t="str">
        <f ca="1">_xlfn.IFNA(INDIRECT(_xlfn.TEXTJOIN("",TRUE,A651,"!",ADDRESS(18+(A652-1)*J651,2))),"")</f>
        <v/>
      </c>
      <c r="D660" s="66"/>
      <c r="E660" s="66"/>
      <c r="F660" s="66"/>
      <c r="G660" s="66"/>
      <c r="H660" s="25" t="str">
        <f ca="1">_xlfn.IFNA(INDIRECT(_xlfn.TEXTJOIN("",TRUE,A651,"!",ADDRESS(18+(A652-1)*J651,6))),"")</f>
        <v/>
      </c>
      <c r="I660" s="25" t="str">
        <f ca="1">_xlfn.IFNA(INDIRECT(_xlfn.TEXTJOIN("",TRUE,A651,"!",ADDRESS(18+(A652-1)*J651,13))),"")</f>
        <v/>
      </c>
      <c r="J660" s="25" t="str">
        <f ca="1">_xlfn.IFNA(INDIRECT(_xlfn.TEXTJOIN("",TRUE,A651,"!",ADDRESS(18+(A652-1)*J651,14))),"")</f>
        <v/>
      </c>
    </row>
    <row r="661" spans="1:10" ht="10.5" customHeight="1" x14ac:dyDescent="0.2">
      <c r="A661" s="60" t="str">
        <f ca="1">_xlfn.IFNA(INDIRECT(_xlfn.TEXTJOIN("",TRUE,A651,"!",ADDRESS(19+(A652-1)*J651,1))),"")</f>
        <v/>
      </c>
      <c r="B661" s="61"/>
      <c r="C661" s="57" t="str">
        <f ca="1">_xlfn.IFNA(INDIRECT(_xlfn.TEXTJOIN("",TRUE,A651,"!",ADDRESS(19+(A652-1)*J651,2))),"")</f>
        <v/>
      </c>
      <c r="D661" s="58"/>
      <c r="E661" s="58"/>
      <c r="F661" s="58"/>
      <c r="G661" s="59"/>
      <c r="H661" s="25" t="str">
        <f ca="1">_xlfn.IFNA(INDIRECT(_xlfn.TEXTJOIN("",TRUE,A651,"!",ADDRESS(19+(A652-1)*J651,6))),"")</f>
        <v/>
      </c>
      <c r="I661" s="25" t="str">
        <f ca="1">_xlfn.IFNA(INDIRECT(_xlfn.TEXTJOIN("",TRUE,A651,"!",ADDRESS(19+(A652-1)*J651,13))),"")</f>
        <v/>
      </c>
      <c r="J661" s="25" t="str">
        <f ca="1">_xlfn.IFNA(INDIRECT(_xlfn.TEXTJOIN("",TRUE,A651,"!",ADDRESS(19+(A652-1)*J651,14))),"")</f>
        <v/>
      </c>
    </row>
    <row r="662" spans="1:10" ht="10.5" customHeight="1" x14ac:dyDescent="0.2">
      <c r="A662" s="65" t="str">
        <f ca="1">_xlfn.IFNA(INDIRECT(_xlfn.TEXTJOIN("",TRUE,A651,"!",ADDRESS(20+(A652-1)*J651,1))),"")</f>
        <v/>
      </c>
      <c r="B662" s="65"/>
      <c r="C662" s="66" t="str">
        <f ca="1">_xlfn.IFNA(INDIRECT(_xlfn.TEXTJOIN("",TRUE,A651,"!",ADDRESS(20+(A652-1)*J651,2))),"")</f>
        <v/>
      </c>
      <c r="D662" s="66"/>
      <c r="E662" s="66"/>
      <c r="F662" s="66"/>
      <c r="G662" s="66"/>
      <c r="H662" s="25" t="str">
        <f ca="1">_xlfn.IFNA(INDIRECT(_xlfn.TEXTJOIN("",TRUE,A651,"!",ADDRESS(20+(A652-1)*J651,6))),"")</f>
        <v/>
      </c>
      <c r="I662" s="25" t="str">
        <f ca="1">_xlfn.IFNA(INDIRECT(_xlfn.TEXTJOIN("",TRUE,A651,"!",ADDRESS(20+(A652-1)*J651,13))),"")</f>
        <v/>
      </c>
      <c r="J662" s="25" t="str">
        <f ca="1">_xlfn.IFNA(INDIRECT(_xlfn.TEXTJOIN("",TRUE,A651,"!",ADDRESS(20+(A652-1)*J651,14))),"")</f>
        <v/>
      </c>
    </row>
    <row r="663" spans="1:10" ht="10.5" customHeight="1" x14ac:dyDescent="0.2">
      <c r="A663" s="65" t="str">
        <f ca="1">_xlfn.IFNA(INDIRECT(_xlfn.TEXTJOIN("",TRUE,A651,"!",ADDRESS(21+(A652-1)*J651,1))),"")</f>
        <v/>
      </c>
      <c r="B663" s="65"/>
      <c r="C663" s="66" t="str">
        <f ca="1">_xlfn.IFNA(INDIRECT(_xlfn.TEXTJOIN("",TRUE,A651,"!",ADDRESS(21+(A652-1)*J651,2))),"")</f>
        <v/>
      </c>
      <c r="D663" s="66"/>
      <c r="E663" s="66"/>
      <c r="F663" s="66"/>
      <c r="G663" s="66"/>
      <c r="H663" s="25" t="str">
        <f ca="1">_xlfn.IFNA(INDIRECT(_xlfn.TEXTJOIN("",TRUE,A651,"!",ADDRESS(21+(A652-1)*J651,6))),"")</f>
        <v/>
      </c>
      <c r="I663" s="25" t="str">
        <f ca="1">_xlfn.IFNA(INDIRECT(_xlfn.TEXTJOIN("",TRUE,A651,"!",ADDRESS(21+(A652-1)*J651,13))),"")</f>
        <v/>
      </c>
      <c r="J663" s="25" t="str">
        <f ca="1">_xlfn.IFNA(INDIRECT(_xlfn.TEXTJOIN("",TRUE,A651,"!",ADDRESS(21+(A652-1)*J651,14))),"")</f>
        <v/>
      </c>
    </row>
    <row r="664" spans="1:10" ht="10.5" customHeight="1" x14ac:dyDescent="0.2">
      <c r="A664" s="65" t="str">
        <f ca="1">_xlfn.IFNA(INDIRECT(_xlfn.TEXTJOIN("",TRUE,A651,"!",ADDRESS(22+(A652-1)*J651,1))),"")</f>
        <v/>
      </c>
      <c r="B664" s="65"/>
      <c r="C664" s="66" t="str">
        <f ca="1">_xlfn.IFNA(INDIRECT(_xlfn.TEXTJOIN("",TRUE,A651,"!",ADDRESS(22+(A652-1)*J651,2))),"")</f>
        <v/>
      </c>
      <c r="D664" s="66"/>
      <c r="E664" s="66"/>
      <c r="F664" s="66"/>
      <c r="G664" s="66"/>
      <c r="H664" s="25" t="str">
        <f ca="1">_xlfn.IFNA(INDIRECT(_xlfn.TEXTJOIN("",TRUE,A651,"!",ADDRESS(22+(A652-1)*J651,6))),"")</f>
        <v/>
      </c>
      <c r="I664" s="25" t="str">
        <f ca="1">_xlfn.IFNA(INDIRECT(_xlfn.TEXTJOIN("",TRUE,A651,"!",ADDRESS(22+(A652-1)*J651,13))),"")</f>
        <v/>
      </c>
      <c r="J664" s="25" t="str">
        <f ca="1">_xlfn.IFNA(INDIRECT(_xlfn.TEXTJOIN("",TRUE,A651,"!",ADDRESS(22+(A652-1)*J651,14))),"")</f>
        <v/>
      </c>
    </row>
    <row r="665" spans="1:10" ht="10.5" customHeight="1" x14ac:dyDescent="0.2">
      <c r="A665" s="71" t="str">
        <f ca="1">IF(ISNA(A652),"","Total Credits/ Total Grade Points")</f>
        <v/>
      </c>
      <c r="B665" s="71"/>
      <c r="C665" s="71"/>
      <c r="D665" s="71"/>
      <c r="E665" s="71"/>
      <c r="F665" s="71"/>
      <c r="G665" s="71"/>
      <c r="H665" s="27" t="str">
        <f ca="1">IF(ISNA(A652),"",SUM(H655:H664))</f>
        <v/>
      </c>
      <c r="I665" s="26" t="str">
        <f ca="1">IF(ISNA(A652),"","-")</f>
        <v/>
      </c>
      <c r="J665" s="27" t="str">
        <f ca="1">IF(ISNA(A652),"",SUMPRODUCT(J655:J664,H655:H664))</f>
        <v/>
      </c>
    </row>
    <row r="666" spans="1:10" ht="10.5" customHeight="1" x14ac:dyDescent="0.2">
      <c r="A666" s="24" t="s">
        <v>60</v>
      </c>
      <c r="B666" s="72" t="str">
        <f ca="1">IF(ISNA(A667),"","Semester III (Autumn Semester 2023-24)")</f>
        <v/>
      </c>
      <c r="C666" s="72"/>
      <c r="D666" s="72"/>
      <c r="E666" s="72"/>
      <c r="F666" s="72"/>
      <c r="G666" s="72"/>
      <c r="H666" s="72"/>
      <c r="I666" s="72"/>
      <c r="J666" s="24">
        <f>ROWS(A670:B677)+9</f>
        <v>17</v>
      </c>
    </row>
    <row r="667" spans="1:10" ht="10.5" customHeight="1" x14ac:dyDescent="0.2">
      <c r="A667" s="24" t="e">
        <f ca="1">INDEX(SEM_III!$A$6:$A$43,Marksheets!J667)</f>
        <v>#N/A</v>
      </c>
      <c r="B667" s="63"/>
      <c r="C667" s="63"/>
      <c r="D667" s="63"/>
      <c r="E667" s="63"/>
      <c r="F667" s="63"/>
      <c r="G667" s="63"/>
      <c r="H667" s="63"/>
      <c r="I667" s="63"/>
      <c r="J667" s="24" t="e">
        <f ca="1">MATCH(H630,SEM_III!$B$6:$B$43,0)</f>
        <v>#N/A</v>
      </c>
    </row>
    <row r="668" spans="1:10" ht="10.5" customHeight="1" x14ac:dyDescent="0.2">
      <c r="A668" s="64" t="str">
        <f ca="1">IF(ISNA(A667),"","Subject Code")</f>
        <v/>
      </c>
      <c r="B668" s="64"/>
      <c r="C668" s="64" t="str">
        <f ca="1">IF(ISNA(A667),"","Subject Name")</f>
        <v/>
      </c>
      <c r="D668" s="64"/>
      <c r="E668" s="64"/>
      <c r="F668" s="64"/>
      <c r="G668" s="64"/>
      <c r="H668" s="64" t="str">
        <f ca="1">IF(ISNA(A667),"","Credits")</f>
        <v/>
      </c>
      <c r="I668" s="64" t="str">
        <f ca="1">IF(ISNA(A667),"","Grade")</f>
        <v/>
      </c>
      <c r="J668" s="64" t="str">
        <f ca="1">IF(ISNA(A667),"","Grade Points")</f>
        <v/>
      </c>
    </row>
    <row r="669" spans="1:10" ht="13.5" customHeight="1" x14ac:dyDescent="0.2">
      <c r="A669" s="64"/>
      <c r="B669" s="64"/>
      <c r="C669" s="64"/>
      <c r="D669" s="64"/>
      <c r="E669" s="64"/>
      <c r="F669" s="64"/>
      <c r="G669" s="64"/>
      <c r="H669" s="64"/>
      <c r="I669" s="64"/>
      <c r="J669" s="64"/>
    </row>
    <row r="670" spans="1:10" ht="10.5" customHeight="1" x14ac:dyDescent="0.2">
      <c r="A670" s="65" t="str">
        <f ca="1">_xlfn.IFNA(INDIRECT(_xlfn.TEXTJOIN("",TRUE,A666,"!",ADDRESS(13+(A667-1)*J666,1))),"")</f>
        <v/>
      </c>
      <c r="B670" s="65"/>
      <c r="C670" s="66" t="str">
        <f ca="1">_xlfn.IFNA(INDIRECT(_xlfn.TEXTJOIN("",TRUE,A666,"!",ADDRESS(13+(A667-1)*J666,2))),"")</f>
        <v/>
      </c>
      <c r="D670" s="66"/>
      <c r="E670" s="66"/>
      <c r="F670" s="66"/>
      <c r="G670" s="66"/>
      <c r="H670" s="25" t="str">
        <f ca="1">_xlfn.IFNA(INDIRECT(_xlfn.TEXTJOIN("",TRUE,A666,"!",ADDRESS(13+(A667-1)*J666,6))),"")</f>
        <v/>
      </c>
      <c r="I670" s="25" t="str">
        <f ca="1">_xlfn.IFNA(INDIRECT(_xlfn.TEXTJOIN("",TRUE,A666,"!",ADDRESS(13+(A667-1)*J666,13))),"")</f>
        <v/>
      </c>
      <c r="J670" s="25" t="str">
        <f ca="1">_xlfn.IFNA(INDIRECT(_xlfn.TEXTJOIN("",TRUE,A666,"!",ADDRESS(13+(A667-1)*J666,14))),"")</f>
        <v/>
      </c>
    </row>
    <row r="671" spans="1:10" ht="10.5" customHeight="1" x14ac:dyDescent="0.2">
      <c r="A671" s="65" t="str">
        <f ca="1">_xlfn.IFNA(INDIRECT(_xlfn.TEXTJOIN("",TRUE,A666,"!",ADDRESS(14+(A667-1)*J666,1))),"")</f>
        <v/>
      </c>
      <c r="B671" s="65"/>
      <c r="C671" s="66" t="str">
        <f ca="1">_xlfn.IFNA(INDIRECT(_xlfn.TEXTJOIN("",TRUE,A666,"!",ADDRESS(14+(A667-1)*J666,2))),"")</f>
        <v/>
      </c>
      <c r="D671" s="66"/>
      <c r="E671" s="66"/>
      <c r="F671" s="66"/>
      <c r="G671" s="66"/>
      <c r="H671" s="25" t="str">
        <f ca="1">_xlfn.IFNA(INDIRECT(_xlfn.TEXTJOIN("",TRUE,A666,"!",ADDRESS(14+(A667-1)*J666,6))),"")</f>
        <v/>
      </c>
      <c r="I671" s="25" t="str">
        <f ca="1">_xlfn.IFNA(INDIRECT(_xlfn.TEXTJOIN("",TRUE,A666,"!",ADDRESS(14+(A667-1)*J666,13))),"")</f>
        <v/>
      </c>
      <c r="J671" s="25" t="str">
        <f ca="1">_xlfn.IFNA(INDIRECT(_xlfn.TEXTJOIN("",TRUE,A666,"!",ADDRESS(14+(A667-1)*J666,14))),"")</f>
        <v/>
      </c>
    </row>
    <row r="672" spans="1:10" ht="10.5" customHeight="1" x14ac:dyDescent="0.2">
      <c r="A672" s="65" t="str">
        <f ca="1">_xlfn.IFNA(INDIRECT(_xlfn.TEXTJOIN("",TRUE,A666,"!",ADDRESS(15+(A667-1)*J666,1))),"")</f>
        <v/>
      </c>
      <c r="B672" s="65"/>
      <c r="C672" s="66" t="str">
        <f ca="1">_xlfn.IFNA(INDIRECT(_xlfn.TEXTJOIN("",TRUE,A666,"!",ADDRESS(15+(A667-1)*J666,2))),"")</f>
        <v/>
      </c>
      <c r="D672" s="66"/>
      <c r="E672" s="66"/>
      <c r="F672" s="66"/>
      <c r="G672" s="66"/>
      <c r="H672" s="25" t="str">
        <f ca="1">_xlfn.IFNA(INDIRECT(_xlfn.TEXTJOIN("",TRUE,A666,"!",ADDRESS(15+(A667-1)*J666,6))),"")</f>
        <v/>
      </c>
      <c r="I672" s="25" t="str">
        <f ca="1">_xlfn.IFNA(INDIRECT(_xlfn.TEXTJOIN("",TRUE,A666,"!",ADDRESS(15+(A667-1)*J666,13))),"")</f>
        <v/>
      </c>
      <c r="J672" s="25" t="str">
        <f ca="1">_xlfn.IFNA(INDIRECT(_xlfn.TEXTJOIN("",TRUE,A666,"!",ADDRESS(15+(A667-1)*J666,14))),"")</f>
        <v/>
      </c>
    </row>
    <row r="673" spans="1:10" ht="10.5" customHeight="1" x14ac:dyDescent="0.2">
      <c r="A673" s="65" t="str">
        <f ca="1">_xlfn.IFNA(INDIRECT(_xlfn.TEXTJOIN("",TRUE,A666,"!",ADDRESS(16+(A667-1)*J666,1))),"")</f>
        <v/>
      </c>
      <c r="B673" s="65"/>
      <c r="C673" s="66" t="str">
        <f ca="1">_xlfn.IFNA(INDIRECT(_xlfn.TEXTJOIN("",TRUE,A666,"!",ADDRESS(16+(A667-1)*J666,2))),"")</f>
        <v/>
      </c>
      <c r="D673" s="66"/>
      <c r="E673" s="66"/>
      <c r="F673" s="66"/>
      <c r="G673" s="66"/>
      <c r="H673" s="25" t="str">
        <f ca="1">_xlfn.IFNA(INDIRECT(_xlfn.TEXTJOIN("",TRUE,A666,"!",ADDRESS(16+(A667-1)*J666,6))),"")</f>
        <v/>
      </c>
      <c r="I673" s="25" t="str">
        <f ca="1">_xlfn.IFNA(INDIRECT(_xlfn.TEXTJOIN("",TRUE,A666,"!",ADDRESS(16+(A667-1)*J666,13))),"")</f>
        <v/>
      </c>
      <c r="J673" s="25" t="str">
        <f ca="1">_xlfn.IFNA(INDIRECT(_xlfn.TEXTJOIN("",TRUE,A666,"!",ADDRESS(16+(A667-1)*J666,14))),"")</f>
        <v/>
      </c>
    </row>
    <row r="674" spans="1:10" ht="10.5" customHeight="1" x14ac:dyDescent="0.2">
      <c r="A674" s="65" t="str">
        <f ca="1">_xlfn.IFNA(INDIRECT(_xlfn.TEXTJOIN("",TRUE,A666,"!",ADDRESS(17+(A667-1)*J666,1))),"")</f>
        <v/>
      </c>
      <c r="B674" s="65"/>
      <c r="C674" s="66" t="str">
        <f ca="1">_xlfn.IFNA(INDIRECT(_xlfn.TEXTJOIN("",TRUE,A666,"!",ADDRESS(17+(A667-1)*J666,2))),"")</f>
        <v/>
      </c>
      <c r="D674" s="66"/>
      <c r="E674" s="66"/>
      <c r="F674" s="66"/>
      <c r="G674" s="66"/>
      <c r="H674" s="25" t="str">
        <f ca="1">_xlfn.IFNA(INDIRECT(_xlfn.TEXTJOIN("",TRUE,A666,"!",ADDRESS(17+(A667-1)*J666,6))),"")</f>
        <v/>
      </c>
      <c r="I674" s="25" t="str">
        <f ca="1">_xlfn.IFNA(INDIRECT(_xlfn.TEXTJOIN("",TRUE,A666,"!",ADDRESS(17+(A667-1)*J666,13))),"")</f>
        <v/>
      </c>
      <c r="J674" s="25" t="str">
        <f ca="1">_xlfn.IFNA(INDIRECT(_xlfn.TEXTJOIN("",TRUE,A666,"!",ADDRESS(17+(A667-1)*J666,14))),"")</f>
        <v/>
      </c>
    </row>
    <row r="675" spans="1:10" ht="10.5" customHeight="1" x14ac:dyDescent="0.2">
      <c r="A675" s="65" t="str">
        <f ca="1">_xlfn.IFNA(INDIRECT(_xlfn.TEXTJOIN("",TRUE,A666,"!",ADDRESS(18+(A667-1)*J666,1))),"")</f>
        <v/>
      </c>
      <c r="B675" s="65"/>
      <c r="C675" s="66" t="str">
        <f ca="1">_xlfn.IFNA(INDIRECT(_xlfn.TEXTJOIN("",TRUE,A666,"!",ADDRESS(18+(A667-1)*J666,2))),"")</f>
        <v/>
      </c>
      <c r="D675" s="66"/>
      <c r="E675" s="66"/>
      <c r="F675" s="66"/>
      <c r="G675" s="66"/>
      <c r="H675" s="25" t="str">
        <f ca="1">_xlfn.IFNA(INDIRECT(_xlfn.TEXTJOIN("",TRUE,A666,"!",ADDRESS(18+(A667-1)*J666,6))),"")</f>
        <v/>
      </c>
      <c r="I675" s="25" t="str">
        <f ca="1">_xlfn.IFNA(INDIRECT(_xlfn.TEXTJOIN("",TRUE,A666,"!",ADDRESS(18+(A667-1)*J666,13))),"")</f>
        <v/>
      </c>
      <c r="J675" s="25" t="str">
        <f ca="1">_xlfn.IFNA(INDIRECT(_xlfn.TEXTJOIN("",TRUE,A666,"!",ADDRESS(18+(A667-1)*J666,14))),"")</f>
        <v/>
      </c>
    </row>
    <row r="676" spans="1:10" ht="10.5" customHeight="1" x14ac:dyDescent="0.2">
      <c r="A676" s="60" t="str">
        <f ca="1">_xlfn.IFNA(INDIRECT(_xlfn.TEXTJOIN("",TRUE,A666,"!",ADDRESS(19+(A667-1)*J666,1))),"")</f>
        <v/>
      </c>
      <c r="B676" s="61"/>
      <c r="C676" s="57" t="str">
        <f ca="1">_xlfn.IFNA(INDIRECT(_xlfn.TEXTJOIN("",TRUE,A666,"!",ADDRESS(19+(A667-1)*J666,2))),"")</f>
        <v/>
      </c>
      <c r="D676" s="58"/>
      <c r="E676" s="58"/>
      <c r="F676" s="58"/>
      <c r="G676" s="59"/>
      <c r="H676" s="25" t="str">
        <f ca="1">_xlfn.IFNA(INDIRECT(_xlfn.TEXTJOIN("",TRUE,A666,"!",ADDRESS(19+(A667-1)*J666,6))),"")</f>
        <v/>
      </c>
      <c r="I676" s="25" t="str">
        <f ca="1">_xlfn.IFNA(INDIRECT(_xlfn.TEXTJOIN("",TRUE,A666,"!",ADDRESS(19+(A667-1)*J666,13))),"")</f>
        <v/>
      </c>
      <c r="J676" s="25" t="str">
        <f ca="1">_xlfn.IFNA(INDIRECT(_xlfn.TEXTJOIN("",TRUE,A666,"!",ADDRESS(19+(A667-1)*J666,14))),"")</f>
        <v/>
      </c>
    </row>
    <row r="677" spans="1:10" ht="10.5" customHeight="1" x14ac:dyDescent="0.2">
      <c r="A677" s="65" t="str">
        <f ca="1">_xlfn.IFNA(INDIRECT(_xlfn.TEXTJOIN("",TRUE,A666,"!",ADDRESS(20+(A667-1)*J666,1))),"")</f>
        <v/>
      </c>
      <c r="B677" s="65"/>
      <c r="C677" s="66" t="str">
        <f ca="1">_xlfn.IFNA(INDIRECT(_xlfn.TEXTJOIN("",TRUE,A666,"!",ADDRESS(20+(A667-1)*J666,2))),"")</f>
        <v/>
      </c>
      <c r="D677" s="66"/>
      <c r="E677" s="66"/>
      <c r="F677" s="66"/>
      <c r="G677" s="66"/>
      <c r="H677" s="25" t="str">
        <f ca="1">_xlfn.IFNA(INDIRECT(_xlfn.TEXTJOIN("",TRUE,A666,"!",ADDRESS(20+(A667-1)*J666,6))),"")</f>
        <v/>
      </c>
      <c r="I677" s="25" t="str">
        <f ca="1">_xlfn.IFNA(INDIRECT(_xlfn.TEXTJOIN("",TRUE,A666,"!",ADDRESS(20+(A667-1)*J666,13))),"")</f>
        <v/>
      </c>
      <c r="J677" s="25" t="str">
        <f ca="1">_xlfn.IFNA(INDIRECT(_xlfn.TEXTJOIN("",TRUE,A666,"!",ADDRESS(20+(A667-1)*J666,14))),"")</f>
        <v/>
      </c>
    </row>
    <row r="678" spans="1:10" ht="10.5" customHeight="1" x14ac:dyDescent="0.2">
      <c r="A678" s="71" t="str">
        <f ca="1">IF(ISNA(A667),"","Total Credits/ Total Grade Points")</f>
        <v/>
      </c>
      <c r="B678" s="71"/>
      <c r="C678" s="71"/>
      <c r="D678" s="71"/>
      <c r="E678" s="71"/>
      <c r="F678" s="71"/>
      <c r="G678" s="71"/>
      <c r="H678" s="27" t="str">
        <f ca="1">IF(ISNA(A667),"",SUM(H670:H677))</f>
        <v/>
      </c>
      <c r="I678" s="26" t="str">
        <f ca="1">IF(ISNA(A667),"","-")</f>
        <v/>
      </c>
      <c r="J678" s="27" t="str">
        <f ca="1">IF(ISNA(A667),"",SUMPRODUCT(J670:J677,H670:H677))</f>
        <v/>
      </c>
    </row>
    <row r="679" spans="1:10" ht="10.5" customHeight="1" x14ac:dyDescent="0.2">
      <c r="A679" s="24" t="s">
        <v>133</v>
      </c>
      <c r="B679" s="72" t="str">
        <f ca="1">IF(ISNA(A680),"","Semester IV (Spring Semester 2023-24)")</f>
        <v/>
      </c>
      <c r="C679" s="72"/>
      <c r="D679" s="72"/>
      <c r="E679" s="72"/>
      <c r="F679" s="72"/>
      <c r="G679" s="72"/>
      <c r="H679" s="72"/>
      <c r="I679" s="72"/>
      <c r="J679" s="24">
        <f>ROWS(A683:B689)+9</f>
        <v>16</v>
      </c>
    </row>
    <row r="680" spans="1:10" ht="10.5" customHeight="1" x14ac:dyDescent="0.2">
      <c r="A680" s="24" t="e">
        <f ca="1">INDEX(SEM_IV!$A$6:$A$43,Marksheets!J680)</f>
        <v>#N/A</v>
      </c>
      <c r="B680" s="63"/>
      <c r="C680" s="63"/>
      <c r="D680" s="63"/>
      <c r="E680" s="63"/>
      <c r="F680" s="63"/>
      <c r="G680" s="63"/>
      <c r="H680" s="63"/>
      <c r="I680" s="63"/>
      <c r="J680" s="24" t="e">
        <f ca="1">MATCH(H630,SEM_IV!$B$6:$B$43,0)</f>
        <v>#N/A</v>
      </c>
    </row>
    <row r="681" spans="1:10" ht="10.5" customHeight="1" x14ac:dyDescent="0.2">
      <c r="A681" s="64" t="str">
        <f ca="1">IF(ISNA(A680),"","Subject Code")</f>
        <v/>
      </c>
      <c r="B681" s="64"/>
      <c r="C681" s="64" t="str">
        <f ca="1">IF(ISNA(A680),"","Subject Name")</f>
        <v/>
      </c>
      <c r="D681" s="64"/>
      <c r="E681" s="64"/>
      <c r="F681" s="64"/>
      <c r="G681" s="64"/>
      <c r="H681" s="64" t="str">
        <f ca="1">IF(ISNA(A680),"","Credits")</f>
        <v/>
      </c>
      <c r="I681" s="64" t="str">
        <f ca="1">IF(ISNA(A680),"","Grade")</f>
        <v/>
      </c>
      <c r="J681" s="64" t="str">
        <f ca="1">IF(ISNA(A680),"","Grade Points")</f>
        <v/>
      </c>
    </row>
    <row r="682" spans="1:10" ht="13" customHeight="1" x14ac:dyDescent="0.2">
      <c r="A682" s="64"/>
      <c r="B682" s="64"/>
      <c r="C682" s="64"/>
      <c r="D682" s="64"/>
      <c r="E682" s="64"/>
      <c r="F682" s="64"/>
      <c r="G682" s="64"/>
      <c r="H682" s="64"/>
      <c r="I682" s="64"/>
      <c r="J682" s="64"/>
    </row>
    <row r="683" spans="1:10" ht="10.5" customHeight="1" x14ac:dyDescent="0.2">
      <c r="A683" s="65" t="str">
        <f ca="1">_xlfn.IFNA(INDIRECT(_xlfn.TEXTJOIN("",TRUE,A679,"!",ADDRESS(13+(A680-1)*J679,1))),"")</f>
        <v/>
      </c>
      <c r="B683" s="65"/>
      <c r="C683" s="66" t="str">
        <f ca="1">_xlfn.IFNA(INDIRECT(_xlfn.TEXTJOIN("",TRUE,A679,"!",ADDRESS(13+(A680-1)*J679,2))),"")</f>
        <v/>
      </c>
      <c r="D683" s="66"/>
      <c r="E683" s="66"/>
      <c r="F683" s="66"/>
      <c r="G683" s="66"/>
      <c r="H683" s="25" t="str">
        <f ca="1">_xlfn.IFNA(INDIRECT(_xlfn.TEXTJOIN("",TRUE,A679,"!",ADDRESS(13+(A680-1)*J679,6))),"")</f>
        <v/>
      </c>
      <c r="I683" s="25" t="str">
        <f ca="1">_xlfn.IFNA(INDIRECT(_xlfn.TEXTJOIN("",TRUE,A679,"!",ADDRESS(13+(A680-1)*J679,13))),"")</f>
        <v/>
      </c>
      <c r="J683" s="25" t="str">
        <f ca="1">_xlfn.IFNA(INDIRECT(_xlfn.TEXTJOIN("",TRUE,A679,"!",ADDRESS(13+(A680-1)*J679,14))),"")</f>
        <v/>
      </c>
    </row>
    <row r="684" spans="1:10" ht="10.5" customHeight="1" x14ac:dyDescent="0.2">
      <c r="A684" s="65" t="str">
        <f ca="1">_xlfn.IFNA(INDIRECT(_xlfn.TEXTJOIN("",TRUE,A679,"!",ADDRESS(14+(A680-1)*J679,1))),"")</f>
        <v/>
      </c>
      <c r="B684" s="65"/>
      <c r="C684" s="66" t="str">
        <f ca="1">_xlfn.IFNA(INDIRECT(_xlfn.TEXTJOIN("",TRUE,A679,"!",ADDRESS(14+(A680-1)*J679,2))),"")</f>
        <v/>
      </c>
      <c r="D684" s="66"/>
      <c r="E684" s="66"/>
      <c r="F684" s="66"/>
      <c r="G684" s="66"/>
      <c r="H684" s="25" t="str">
        <f ca="1">_xlfn.IFNA(INDIRECT(_xlfn.TEXTJOIN("",TRUE,A679,"!",ADDRESS(14+(A680-1)*J679,6))),"")</f>
        <v/>
      </c>
      <c r="I684" s="25" t="str">
        <f ca="1">_xlfn.IFNA(INDIRECT(_xlfn.TEXTJOIN("",TRUE,A679,"!",ADDRESS(14+(A680-1)*J679,13))),"")</f>
        <v/>
      </c>
      <c r="J684" s="25" t="str">
        <f ca="1">_xlfn.IFNA(INDIRECT(_xlfn.TEXTJOIN("",TRUE,A679,"!",ADDRESS(14+(A680-1)*J679,14))),"")</f>
        <v/>
      </c>
    </row>
    <row r="685" spans="1:10" ht="10.5" customHeight="1" x14ac:dyDescent="0.2">
      <c r="A685" s="65" t="str">
        <f ca="1">_xlfn.IFNA(INDIRECT(_xlfn.TEXTJOIN("",TRUE,A679,"!",ADDRESS(15+(A680-1)*J679,1))),"")</f>
        <v/>
      </c>
      <c r="B685" s="65"/>
      <c r="C685" s="66" t="str">
        <f ca="1">_xlfn.IFNA(INDIRECT(_xlfn.TEXTJOIN("",TRUE,A679,"!",ADDRESS(15+(A680-1)*J679,2))),"")</f>
        <v/>
      </c>
      <c r="D685" s="66"/>
      <c r="E685" s="66"/>
      <c r="F685" s="66"/>
      <c r="G685" s="66"/>
      <c r="H685" s="25" t="str">
        <f ca="1">_xlfn.IFNA(INDIRECT(_xlfn.TEXTJOIN("",TRUE,A679,"!",ADDRESS(15+(A680-1)*J679,6))),"")</f>
        <v/>
      </c>
      <c r="I685" s="25" t="str">
        <f ca="1">_xlfn.IFNA(INDIRECT(_xlfn.TEXTJOIN("",TRUE,A679,"!",ADDRESS(15+(A680-1)*J679,13))),"")</f>
        <v/>
      </c>
      <c r="J685" s="25" t="str">
        <f ca="1">_xlfn.IFNA(INDIRECT(_xlfn.TEXTJOIN("",TRUE,A679,"!",ADDRESS(15+(A680-1)*J679,14))),"")</f>
        <v/>
      </c>
    </row>
    <row r="686" spans="1:10" ht="10.5" customHeight="1" x14ac:dyDescent="0.2">
      <c r="A686" s="65" t="str">
        <f ca="1">_xlfn.IFNA(INDIRECT(_xlfn.TEXTJOIN("",TRUE,A679,"!",ADDRESS(16+(A680-1)*J679,1))),"")</f>
        <v/>
      </c>
      <c r="B686" s="65"/>
      <c r="C686" s="66" t="str">
        <f ca="1">_xlfn.IFNA(INDIRECT(_xlfn.TEXTJOIN("",TRUE,A679,"!",ADDRESS(16+(A680-1)*J679,2))),"")</f>
        <v/>
      </c>
      <c r="D686" s="66"/>
      <c r="E686" s="66"/>
      <c r="F686" s="66"/>
      <c r="G686" s="66"/>
      <c r="H686" s="25" t="str">
        <f ca="1">_xlfn.IFNA(INDIRECT(_xlfn.TEXTJOIN("",TRUE,A679,"!",ADDRESS(16+(A680-1)*J679,6))),"")</f>
        <v/>
      </c>
      <c r="I686" s="25" t="str">
        <f ca="1">_xlfn.IFNA(INDIRECT(_xlfn.TEXTJOIN("",TRUE,A679,"!",ADDRESS(16+(A680-1)*J679,13))),"")</f>
        <v/>
      </c>
      <c r="J686" s="25" t="str">
        <f ca="1">_xlfn.IFNA(INDIRECT(_xlfn.TEXTJOIN("",TRUE,A679,"!",ADDRESS(16+(A680-1)*J679,14))),"")</f>
        <v/>
      </c>
    </row>
    <row r="687" spans="1:10" ht="10.5" customHeight="1" x14ac:dyDescent="0.2">
      <c r="A687" s="65" t="str">
        <f ca="1">_xlfn.IFNA(INDIRECT(_xlfn.TEXTJOIN("",TRUE,A679,"!",ADDRESS(17+(A680-1)*J679,1))),"")</f>
        <v/>
      </c>
      <c r="B687" s="65"/>
      <c r="C687" s="66" t="str">
        <f ca="1">_xlfn.IFNA(INDIRECT(_xlfn.TEXTJOIN("",TRUE,A679,"!",ADDRESS(17+(A680-1)*J679,2))),"")</f>
        <v/>
      </c>
      <c r="D687" s="66"/>
      <c r="E687" s="66"/>
      <c r="F687" s="66"/>
      <c r="G687" s="66"/>
      <c r="H687" s="25" t="str">
        <f ca="1">_xlfn.IFNA(INDIRECT(_xlfn.TEXTJOIN("",TRUE,A679,"!",ADDRESS(17+(A680-1)*J679,6))),"")</f>
        <v/>
      </c>
      <c r="I687" s="25" t="str">
        <f ca="1">_xlfn.IFNA(INDIRECT(_xlfn.TEXTJOIN("",TRUE,A679,"!",ADDRESS(17+(A680-1)*J679,13))),"")</f>
        <v/>
      </c>
      <c r="J687" s="25" t="str">
        <f ca="1">_xlfn.IFNA(INDIRECT(_xlfn.TEXTJOIN("",TRUE,A679,"!",ADDRESS(17+(A680-1)*J679,14))),"")</f>
        <v/>
      </c>
    </row>
    <row r="688" spans="1:10" ht="10.5" customHeight="1" x14ac:dyDescent="0.2">
      <c r="A688" s="65" t="str">
        <f ca="1">_xlfn.IFNA(INDIRECT(_xlfn.TEXTJOIN("",TRUE,A679,"!",ADDRESS(18+(A680-1)*J679,1))),"")</f>
        <v/>
      </c>
      <c r="B688" s="65"/>
      <c r="C688" s="66" t="str">
        <f ca="1">_xlfn.IFNA(INDIRECT(_xlfn.TEXTJOIN("",TRUE,A679,"!",ADDRESS(18+(A680-1)*J679,2))),"")</f>
        <v/>
      </c>
      <c r="D688" s="66"/>
      <c r="E688" s="66"/>
      <c r="F688" s="66"/>
      <c r="G688" s="66"/>
      <c r="H688" s="25" t="str">
        <f ca="1">_xlfn.IFNA(INDIRECT(_xlfn.TEXTJOIN("",TRUE,A679,"!",ADDRESS(18+(A680-1)*J679,6))),"")</f>
        <v/>
      </c>
      <c r="I688" s="25" t="str">
        <f ca="1">_xlfn.IFNA(INDIRECT(_xlfn.TEXTJOIN("",TRUE,A679,"!",ADDRESS(18+(A680-1)*J679,13))),"")</f>
        <v/>
      </c>
      <c r="J688" s="25" t="str">
        <f ca="1">_xlfn.IFNA(INDIRECT(_xlfn.TEXTJOIN("",TRUE,A679,"!",ADDRESS(18+(A680-1)*J679,14))),"")</f>
        <v/>
      </c>
    </row>
    <row r="689" spans="1:10" ht="10.5" customHeight="1" x14ac:dyDescent="0.2">
      <c r="A689" s="60" t="str">
        <f ca="1">_xlfn.IFNA(INDIRECT(_xlfn.TEXTJOIN("",TRUE,A679,"!",ADDRESS(19+(A680-1)*J679,1))),"")</f>
        <v/>
      </c>
      <c r="B689" s="61"/>
      <c r="C689" s="57" t="str">
        <f ca="1">_xlfn.IFNA(INDIRECT(_xlfn.TEXTJOIN("",TRUE,A679,"!",ADDRESS(19+(A680-1)*J679,2))),"")</f>
        <v/>
      </c>
      <c r="D689" s="58"/>
      <c r="E689" s="58"/>
      <c r="F689" s="58"/>
      <c r="G689" s="59"/>
      <c r="H689" s="25" t="str">
        <f ca="1">_xlfn.IFNA(INDIRECT(_xlfn.TEXTJOIN("",TRUE,A679,"!",ADDRESS(19+(A680-1)*J679,6))),"")</f>
        <v/>
      </c>
      <c r="I689" s="25" t="str">
        <f ca="1">_xlfn.IFNA(INDIRECT(_xlfn.TEXTJOIN("",TRUE,A679,"!",ADDRESS(19+(A680-1)*J679,13))),"")</f>
        <v/>
      </c>
      <c r="J689" s="25" t="str">
        <f ca="1">_xlfn.IFNA(INDIRECT(_xlfn.TEXTJOIN("",TRUE,A679,"!",ADDRESS(19+(A680-1)*J679,14))),"")</f>
        <v/>
      </c>
    </row>
    <row r="690" spans="1:10" ht="10.5" customHeight="1" x14ac:dyDescent="0.2">
      <c r="A690" s="71" t="str">
        <f ca="1">IF(ISNA(A680),"","Total Credits/ Total Grade Points")</f>
        <v/>
      </c>
      <c r="B690" s="71"/>
      <c r="C690" s="71"/>
      <c r="D690" s="71"/>
      <c r="E690" s="71"/>
      <c r="F690" s="71"/>
      <c r="G690" s="71"/>
      <c r="H690" s="27" t="str">
        <f ca="1">IF(ISNA(A680),"",SUM(H682:H689))</f>
        <v/>
      </c>
      <c r="I690" s="26" t="str">
        <f ca="1">IF(ISNA(A680),"","-")</f>
        <v/>
      </c>
      <c r="J690" s="27" t="str">
        <f ca="1">IF(ISNA(A680),"",SUMPRODUCT(J682:J689,H682:H689))</f>
        <v/>
      </c>
    </row>
    <row r="691" spans="1:10" ht="10.5" customHeight="1" x14ac:dyDescent="0.2">
      <c r="A691" s="75" t="s">
        <v>137</v>
      </c>
      <c r="B691" s="75"/>
      <c r="C691" s="75"/>
      <c r="D691" s="75"/>
      <c r="E691" s="75"/>
      <c r="F691" s="76" t="s">
        <v>138</v>
      </c>
      <c r="G691" s="76"/>
      <c r="H691" s="76"/>
      <c r="I691" s="76"/>
      <c r="J691" s="76"/>
    </row>
    <row r="692" spans="1:10" ht="10.5" customHeight="1" x14ac:dyDescent="0.2">
      <c r="A692" s="43" t="s">
        <v>139</v>
      </c>
      <c r="B692" s="43"/>
      <c r="C692" s="43"/>
      <c r="D692" s="43"/>
      <c r="E692" s="43"/>
      <c r="F692" s="43"/>
      <c r="G692" s="43"/>
      <c r="H692" s="43"/>
      <c r="I692" s="43"/>
      <c r="J692" s="43"/>
    </row>
    <row r="693" spans="1:10" ht="10.5" customHeight="1" x14ac:dyDescent="0.2">
      <c r="A693" s="10"/>
      <c r="B693" s="26"/>
      <c r="C693" s="26" t="s">
        <v>140</v>
      </c>
      <c r="D693" s="26" t="s">
        <v>141</v>
      </c>
      <c r="E693" s="26" t="s">
        <v>142</v>
      </c>
      <c r="F693" s="26" t="s">
        <v>143</v>
      </c>
      <c r="G693" s="26" t="s">
        <v>144</v>
      </c>
      <c r="H693" s="79" t="s">
        <v>145</v>
      </c>
      <c r="I693" s="79"/>
      <c r="J693" s="30"/>
    </row>
    <row r="694" spans="1:10" ht="10.5" customHeight="1" x14ac:dyDescent="0.2">
      <c r="A694" s="10"/>
      <c r="B694" s="80" t="s">
        <v>146</v>
      </c>
      <c r="C694" s="73">
        <f ca="1">J650/H650</f>
        <v>7.520833333333333</v>
      </c>
      <c r="D694" s="73" t="e">
        <f ca="1">J665/H665</f>
        <v>#VALUE!</v>
      </c>
      <c r="E694" s="73" t="str">
        <f ca="1">IFERROR(J678/H678,"")</f>
        <v/>
      </c>
      <c r="F694" s="73" t="str">
        <f ca="1">IFERROR(J690/H690,"")</f>
        <v/>
      </c>
      <c r="G694" s="82">
        <f ca="1">F696</f>
        <v>7.520833333333333</v>
      </c>
      <c r="H694" s="83" t="e">
        <f ca="1">IF(TC_IV!N149&lt;96,_xlfn.TEXTJOIN(" Carry Over Back In",TC_I!V234,TC_II!V194,TC_III!V157,TC_IV!V148),IF(G694&gt;=8,"First Division with Distinction",IF(G694&gt;=6.5,"First Division",IF(G694&gt;=5,"Second Division",IF(G694&gt;=4,"Third Division","Fail")))))</f>
        <v>#N/A</v>
      </c>
      <c r="I694" s="83"/>
      <c r="J694" s="30"/>
    </row>
    <row r="695" spans="1:10" ht="10.5" customHeight="1" x14ac:dyDescent="0.2">
      <c r="B695" s="81"/>
      <c r="C695" s="74"/>
      <c r="D695" s="74"/>
      <c r="E695" s="74"/>
      <c r="F695" s="74"/>
      <c r="G695" s="82"/>
      <c r="H695" s="83"/>
      <c r="I695" s="83"/>
    </row>
    <row r="696" spans="1:10" ht="10.5" customHeight="1" x14ac:dyDescent="0.2">
      <c r="B696" s="80" t="s">
        <v>48</v>
      </c>
      <c r="C696" s="73">
        <f ca="1">J650/H650</f>
        <v>7.520833333333333</v>
      </c>
      <c r="D696" s="73">
        <f ca="1">SUM(J665,J650)/SUM(H665,H650)</f>
        <v>7.520833333333333</v>
      </c>
      <c r="E696" s="73">
        <f ca="1">SUM(J678,J665,J650)/SUM(H678,H665,H650)</f>
        <v>7.520833333333333</v>
      </c>
      <c r="F696" s="73">
        <f ca="1">SUM(J690,J678,J665,J650)/SUM(H650,H665,H678,H690)</f>
        <v>7.520833333333333</v>
      </c>
      <c r="G696" s="82"/>
      <c r="H696" s="83"/>
      <c r="I696" s="83"/>
    </row>
    <row r="697" spans="1:10" ht="10.5" customHeight="1" x14ac:dyDescent="0.2">
      <c r="B697" s="81"/>
      <c r="C697" s="74"/>
      <c r="D697" s="74"/>
      <c r="E697" s="74"/>
      <c r="F697" s="74"/>
      <c r="G697" s="82"/>
      <c r="H697" s="83"/>
      <c r="I697" s="83"/>
    </row>
    <row r="699" spans="1:10" ht="10.5" customHeight="1" x14ac:dyDescent="0.2">
      <c r="A699" s="56" t="s">
        <v>24</v>
      </c>
      <c r="B699" s="56"/>
      <c r="C699" s="56" t="str">
        <f ca="1">INDIRECT(_xlfn.TEXTJOIN("",TRUE,A701,"!",ADDRESS(9+(A702-1)*J701,2)))</f>
        <v>NISHTHA ARORA</v>
      </c>
      <c r="D699" s="56"/>
      <c r="E699" s="56"/>
      <c r="F699" s="56" t="s">
        <v>135</v>
      </c>
      <c r="G699" s="56"/>
      <c r="H699" s="62">
        <f ca="1">INDIRECT(_xlfn.TEXTJOIN("",TRUE,A701,"!",ADDRESS(9+(A702-1)*J701,9)))</f>
        <v>250090600011</v>
      </c>
      <c r="I699" s="56"/>
      <c r="J699" s="56"/>
    </row>
    <row r="700" spans="1:10" ht="10.5" customHeight="1" x14ac:dyDescent="0.2">
      <c r="A700" s="56" t="s">
        <v>25</v>
      </c>
      <c r="B700" s="56"/>
      <c r="C700" s="56" t="str">
        <f ca="1">INDIRECT(_xlfn.TEXTJOIN("",TRUE,A701,"!",ADDRESS(9+(A702-1)*J701,5)))</f>
        <v>SUNIL ARORA</v>
      </c>
      <c r="D700" s="56"/>
      <c r="E700" s="56"/>
      <c r="F700" s="47" t="s">
        <v>136</v>
      </c>
      <c r="G700" s="47"/>
      <c r="H700" s="62" t="str">
        <f ca="1">INDIRECT(_xlfn.TEXTJOIN("",TRUE,A701,"!",ADDRESS(9+(A702-1)*J701,13)))</f>
        <v>UTU/2506100161</v>
      </c>
      <c r="I700" s="56"/>
      <c r="J700" s="56"/>
    </row>
    <row r="701" spans="1:10" ht="10.5" customHeight="1" x14ac:dyDescent="0.2">
      <c r="A701" s="24" t="s">
        <v>53</v>
      </c>
      <c r="B701" s="43" t="s">
        <v>148</v>
      </c>
      <c r="C701" s="43"/>
      <c r="D701" s="43"/>
      <c r="E701" s="43"/>
      <c r="F701" s="43"/>
      <c r="G701" s="43"/>
      <c r="H701" s="43"/>
      <c r="I701" s="43"/>
      <c r="J701" s="24">
        <f>ROWS(A705:B718)+9</f>
        <v>23</v>
      </c>
    </row>
    <row r="702" spans="1:10" ht="10.5" customHeight="1" x14ac:dyDescent="0.2">
      <c r="A702" s="24">
        <f>A633+1</f>
        <v>11</v>
      </c>
      <c r="B702" s="63"/>
      <c r="C702" s="63"/>
      <c r="D702" s="63"/>
      <c r="E702" s="63"/>
      <c r="F702" s="63"/>
      <c r="G702" s="63"/>
      <c r="H702" s="63"/>
      <c r="I702" s="63"/>
      <c r="J702" s="29"/>
    </row>
    <row r="703" spans="1:10" ht="10.5" customHeight="1" x14ac:dyDescent="0.2">
      <c r="A703" s="64" t="s">
        <v>28</v>
      </c>
      <c r="B703" s="64"/>
      <c r="C703" s="64" t="s">
        <v>29</v>
      </c>
      <c r="D703" s="64"/>
      <c r="E703" s="64"/>
      <c r="F703" s="64"/>
      <c r="G703" s="64"/>
      <c r="H703" s="64" t="s">
        <v>30</v>
      </c>
      <c r="I703" s="64" t="s">
        <v>9</v>
      </c>
      <c r="J703" s="64" t="s">
        <v>34</v>
      </c>
    </row>
    <row r="704" spans="1:10" ht="13.5" customHeight="1" x14ac:dyDescent="0.2">
      <c r="A704" s="64"/>
      <c r="B704" s="64"/>
      <c r="C704" s="64"/>
      <c r="D704" s="64"/>
      <c r="E704" s="64"/>
      <c r="F704" s="64"/>
      <c r="G704" s="64"/>
      <c r="H704" s="64"/>
      <c r="I704" s="64"/>
      <c r="J704" s="64"/>
    </row>
    <row r="705" spans="1:10" ht="10.5" customHeight="1" x14ac:dyDescent="0.2">
      <c r="A705" s="65" t="str">
        <f ca="1">INDIRECT(_xlfn.TEXTJOIN("",TRUE,A701,"!",ADDRESS(13+(A702-1)*J701,1)))</f>
        <v>CAT 004</v>
      </c>
      <c r="B705" s="65"/>
      <c r="C705" s="66" t="str">
        <f ca="1">INDIRECT(_xlfn.TEXTJOIN("",TRUE,A701,"!",ADDRESS(13+(A702-1)*J701,2)))</f>
        <v>Discrete Structure</v>
      </c>
      <c r="D705" s="66"/>
      <c r="E705" s="66"/>
      <c r="F705" s="66"/>
      <c r="G705" s="66"/>
      <c r="H705" s="25">
        <f ca="1">INDIRECT(_xlfn.TEXTJOIN("",TRUE,A701,"!",ADDRESS(13+(A702-1)*J701,6)))</f>
        <v>4</v>
      </c>
      <c r="I705" s="25" t="str">
        <f ca="1">INDIRECT(_xlfn.TEXTJOIN("",TRUE,A701,"!",ADDRESS(13+(A702-1)*J701,13)))</f>
        <v>D+</v>
      </c>
      <c r="J705" s="25">
        <f ca="1">INDIRECT(_xlfn.TEXTJOIN("",TRUE,A701,"!",ADDRESS(13+(A702-1)*J701,14)))</f>
        <v>6.5</v>
      </c>
    </row>
    <row r="706" spans="1:10" ht="10.5" customHeight="1" x14ac:dyDescent="0.2">
      <c r="A706" s="65" t="str">
        <f ca="1">INDIRECT(_xlfn.TEXTJOIN("",TRUE,A701,"!",ADDRESS(14+(A702-1)*J701,1)))</f>
        <v>CAT 005</v>
      </c>
      <c r="B706" s="65"/>
      <c r="C706" s="66" t="str">
        <f ca="1">INDIRECT(_xlfn.TEXTJOIN("",TRUE,A701,"!",ADDRESS(14+(A702-1)*J701,2)))</f>
        <v>Database Management System</v>
      </c>
      <c r="D706" s="66"/>
      <c r="E706" s="66"/>
      <c r="F706" s="66"/>
      <c r="G706" s="66"/>
      <c r="H706" s="25">
        <f ca="1">INDIRECT(_xlfn.TEXTJOIN("",TRUE,A701,"!",ADDRESS(14+(A702-1)*J701,6)))</f>
        <v>4</v>
      </c>
      <c r="I706" s="25" t="str">
        <f ca="1">INDIRECT(_xlfn.TEXTJOIN("",TRUE,A701,"!",ADDRESS(14+(A702-1)*J701,13)))</f>
        <v>C</v>
      </c>
      <c r="J706" s="25">
        <f ca="1">INDIRECT(_xlfn.TEXTJOIN("",TRUE,A701,"!",ADDRESS(14+(A702-1)*J701,14)))</f>
        <v>7</v>
      </c>
    </row>
    <row r="707" spans="1:10" ht="10.5" customHeight="1" x14ac:dyDescent="0.2">
      <c r="A707" s="65" t="str">
        <f ca="1">INDIRECT(_xlfn.TEXTJOIN("",TRUE,A701,"!",ADDRESS(15+(A702-1)*J701,1)))</f>
        <v>CAT 006</v>
      </c>
      <c r="B707" s="65"/>
      <c r="C707" s="66" t="str">
        <f ca="1">INDIRECT(_xlfn.TEXTJOIN("",TRUE,A701,"!",ADDRESS(15+(A702-1)*J701,2)))</f>
        <v>Operating System</v>
      </c>
      <c r="D707" s="66"/>
      <c r="E707" s="66"/>
      <c r="F707" s="66"/>
      <c r="G707" s="66"/>
      <c r="H707" s="25">
        <f ca="1">INDIRECT(_xlfn.TEXTJOIN("",TRUE,A701,"!",ADDRESS(15+(A702-1)*J701,6)))</f>
        <v>4</v>
      </c>
      <c r="I707" s="25" t="str">
        <f ca="1">INDIRECT(_xlfn.TEXTJOIN("",TRUE,A701,"!",ADDRESS(15+(A702-1)*J701,13)))</f>
        <v>B</v>
      </c>
      <c r="J707" s="25">
        <f ca="1">INDIRECT(_xlfn.TEXTJOIN("",TRUE,A701,"!",ADDRESS(15+(A702-1)*J701,14)))</f>
        <v>8</v>
      </c>
    </row>
    <row r="708" spans="1:10" ht="10.5" customHeight="1" x14ac:dyDescent="0.2">
      <c r="A708" s="65" t="str">
        <f ca="1">INDIRECT(_xlfn.TEXTJOIN("",TRUE,A701,"!",ADDRESS(16+(A702-1)*J701,1)))</f>
        <v>CAT 007</v>
      </c>
      <c r="B708" s="65"/>
      <c r="C708" s="66" t="str">
        <f ca="1">INDIRECT(_xlfn.TEXTJOIN("",TRUE,A701,"!",ADDRESS(16+(A702-1)*J701,2)))</f>
        <v>Computer Organization</v>
      </c>
      <c r="D708" s="66"/>
      <c r="E708" s="66"/>
      <c r="F708" s="66"/>
      <c r="G708" s="66"/>
      <c r="H708" s="25">
        <f ca="1">INDIRECT(_xlfn.TEXTJOIN("",TRUE,A701,"!",ADDRESS(16+(A702-1)*J701,6)))</f>
        <v>4</v>
      </c>
      <c r="I708" s="25" t="str">
        <f ca="1">INDIRECT(_xlfn.TEXTJOIN("",TRUE,A701,"!",ADDRESS(16+(A702-1)*J701,13)))</f>
        <v>D+</v>
      </c>
      <c r="J708" s="25">
        <f ca="1">INDIRECT(_xlfn.TEXTJOIN("",TRUE,A701,"!",ADDRESS(16+(A702-1)*J701,14)))</f>
        <v>6.5</v>
      </c>
    </row>
    <row r="709" spans="1:10" ht="10.5" customHeight="1" x14ac:dyDescent="0.2">
      <c r="A709" s="65" t="str">
        <f ca="1">INDIRECT(_xlfn.TEXTJOIN("",TRUE,A701,"!",ADDRESS(17+(A702-1)*J701,1)))</f>
        <v>AHT 303</v>
      </c>
      <c r="B709" s="65"/>
      <c r="C709" s="66" t="str">
        <f ca="1">INDIRECT(_xlfn.TEXTJOIN("",TRUE,A701,"!",ADDRESS(17+(A702-1)*J701,2)))</f>
        <v>Technical Communication Skills</v>
      </c>
      <c r="D709" s="66"/>
      <c r="E709" s="66"/>
      <c r="F709" s="66"/>
      <c r="G709" s="66"/>
      <c r="H709" s="25">
        <f ca="1">INDIRECT(_xlfn.TEXTJOIN("",TRUE,A701,"!",ADDRESS(17+(A702-1)*J701,6)))</f>
        <v>4</v>
      </c>
      <c r="I709" s="25" t="str">
        <f ca="1">INDIRECT(_xlfn.TEXTJOIN("",TRUE,A701,"!",ADDRESS(17+(A702-1)*J701,13)))</f>
        <v>B</v>
      </c>
      <c r="J709" s="25">
        <f ca="1">INDIRECT(_xlfn.TEXTJOIN("",TRUE,A701,"!",ADDRESS(17+(A702-1)*J701,14)))</f>
        <v>8</v>
      </c>
    </row>
    <row r="710" spans="1:10" ht="10.5" customHeight="1" x14ac:dyDescent="0.2">
      <c r="A710" s="65" t="str">
        <f ca="1">INDIRECT(_xlfn.TEXTJOIN("",TRUE,A701,"!",ADDRESS(18+(A702-1)*J701,1)))</f>
        <v>CAT 008</v>
      </c>
      <c r="B710" s="65"/>
      <c r="C710" s="66" t="str">
        <f ca="1">INDIRECT(_xlfn.TEXTJOIN("",TRUE,A701,"!",ADDRESS(18+(A702-1)*J701,2)))</f>
        <v>Python Programming ($)</v>
      </c>
      <c r="D710" s="66"/>
      <c r="E710" s="66"/>
      <c r="F710" s="66"/>
      <c r="G710" s="66"/>
      <c r="H710" s="25">
        <f ca="1">INDIRECT(_xlfn.TEXTJOIN("",TRUE,A701,"!",ADDRESS(18+(A702-1)*J701,6)))</f>
        <v>0</v>
      </c>
      <c r="I710" s="25" t="str">
        <f ca="1">INDIRECT(_xlfn.TEXTJOIN("",TRUE,A701,"!",ADDRESS(18+(A702-1)*J701,13)))</f>
        <v>D+</v>
      </c>
      <c r="J710" s="25">
        <f ca="1">INDIRECT(_xlfn.TEXTJOIN("",TRUE,A701,"!",ADDRESS(18+(A702-1)*J701,14)))</f>
        <v>6.5</v>
      </c>
    </row>
    <row r="711" spans="1:10" ht="10.5" customHeight="1" x14ac:dyDescent="0.2">
      <c r="A711" s="60" t="str">
        <f ca="1">INDIRECT(_xlfn.TEXTJOIN("",TRUE,A701,"!",ADDRESS(19+(A702-1)*J701,1)))</f>
        <v>CAT 001</v>
      </c>
      <c r="B711" s="61"/>
      <c r="C711" s="57" t="str">
        <f ca="1">INDIRECT(_xlfn.TEXTJOIN("",TRUE,A701,"!",ADDRESS(19+(A702-1)*J701,2)))</f>
        <v>Introduction of Information Technology ($)</v>
      </c>
      <c r="D711" s="58"/>
      <c r="E711" s="58"/>
      <c r="F711" s="58"/>
      <c r="G711" s="59"/>
      <c r="H711" s="25">
        <f ca="1">INDIRECT(_xlfn.TEXTJOIN("",TRUE,A701,"!",ADDRESS(19+(A702-1)*J701,6)))</f>
        <v>0</v>
      </c>
      <c r="I711" s="25" t="str">
        <f ca="1">INDIRECT(_xlfn.TEXTJOIN("",TRUE,A701,"!",ADDRESS(19+(A702-1)*J701,13)))</f>
        <v>-</v>
      </c>
      <c r="J711" s="25" t="str">
        <f ca="1">INDIRECT(_xlfn.TEXTJOIN("",TRUE,A701,"!",ADDRESS(19+(A702-1)*J701,14)))</f>
        <v>-</v>
      </c>
    </row>
    <row r="712" spans="1:10" ht="10.5" customHeight="1" x14ac:dyDescent="0.2">
      <c r="A712" s="65" t="str">
        <f ca="1">INDIRECT(_xlfn.TEXTJOIN("",TRUE,A701,"!",ADDRESS(20+(A702-1)*J701,1)))</f>
        <v>CAT 002</v>
      </c>
      <c r="B712" s="65"/>
      <c r="C712" s="66" t="str">
        <f ca="1">INDIRECT(_xlfn.TEXTJOIN("",TRUE,A701,"!",ADDRESS(20+(A702-1)*J701,2)))</f>
        <v>Programming Fundamentals with "C" ($)</v>
      </c>
      <c r="D712" s="66"/>
      <c r="E712" s="66"/>
      <c r="F712" s="66"/>
      <c r="G712" s="66"/>
      <c r="H712" s="25">
        <f ca="1">INDIRECT(_xlfn.TEXTJOIN("",TRUE,A701,"!",ADDRESS(20+(A702-1)*J701,6)))</f>
        <v>0</v>
      </c>
      <c r="I712" s="25" t="str">
        <f ca="1">INDIRECT(_xlfn.TEXTJOIN("",TRUE,A701,"!",ADDRESS(20+(A702-1)*J701,13)))</f>
        <v>-</v>
      </c>
      <c r="J712" s="25" t="str">
        <f ca="1">INDIRECT(_xlfn.TEXTJOIN("",TRUE,A701,"!",ADDRESS(20+(A702-1)*J701,14)))</f>
        <v>-</v>
      </c>
    </row>
    <row r="713" spans="1:10" ht="10.5" customHeight="1" x14ac:dyDescent="0.2">
      <c r="A713" s="65" t="str">
        <f ca="1">INDIRECT(_xlfn.TEXTJOIN("",TRUE,A701,"!",ADDRESS(21+(A702-1)*J701,1)))</f>
        <v>CAT 003</v>
      </c>
      <c r="B713" s="65"/>
      <c r="C713" s="66" t="str">
        <f ca="1">INDIRECT(_xlfn.TEXTJOIN("",TRUE,A701,"!",ADDRESS(21+(A702-1)*J701,2)))</f>
        <v>Fundamental of Web Technology ($)</v>
      </c>
      <c r="D713" s="66"/>
      <c r="E713" s="66"/>
      <c r="F713" s="66"/>
      <c r="G713" s="66"/>
      <c r="H713" s="25">
        <f ca="1">INDIRECT(_xlfn.TEXTJOIN("",TRUE,A701,"!",ADDRESS(21+(A702-1)*J701,6)))</f>
        <v>0</v>
      </c>
      <c r="I713" s="25" t="str">
        <f ca="1">INDIRECT(_xlfn.TEXTJOIN("",TRUE,A701,"!",ADDRESS(21+(A702-1)*J701,13)))</f>
        <v>-</v>
      </c>
      <c r="J713" s="25" t="str">
        <f ca="1">INDIRECT(_xlfn.TEXTJOIN("",TRUE,A701,"!",ADDRESS(21+(A702-1)*J701,14)))</f>
        <v>-</v>
      </c>
    </row>
    <row r="714" spans="1:10" ht="10.5" customHeight="1" x14ac:dyDescent="0.2">
      <c r="A714" s="65" t="str">
        <f ca="1">INDIRECT(_xlfn.TEXTJOIN("",TRUE,A701,"!",ADDRESS(22+(A702-1)*J701,1)))</f>
        <v>CAP 001</v>
      </c>
      <c r="B714" s="65"/>
      <c r="C714" s="66" t="str">
        <f ca="1">INDIRECT(_xlfn.TEXTJOIN("",TRUE,A701,"!",ADDRESS(22+(A702-1)*J701,2)))</f>
        <v>Database Management System Lab</v>
      </c>
      <c r="D714" s="66"/>
      <c r="E714" s="66"/>
      <c r="F714" s="66"/>
      <c r="G714" s="66"/>
      <c r="H714" s="25">
        <f ca="1">INDIRECT(_xlfn.TEXTJOIN("",TRUE,A701,"!",ADDRESS(22+(A702-1)*J701,6)))</f>
        <v>1</v>
      </c>
      <c r="I714" s="25" t="str">
        <f ca="1">INDIRECT(_xlfn.TEXTJOIN("",TRUE,A701,"!",ADDRESS(22+(A702-1)*J701,13)))</f>
        <v>B+</v>
      </c>
      <c r="J714" s="25">
        <f ca="1">INDIRECT(_xlfn.TEXTJOIN("",TRUE,A701,"!",ADDRESS(22+(A702-1)*J701,14)))</f>
        <v>8.5</v>
      </c>
    </row>
    <row r="715" spans="1:10" ht="10.5" customHeight="1" x14ac:dyDescent="0.2">
      <c r="A715" s="65" t="str">
        <f ca="1">INDIRECT(_xlfn.TEXTJOIN("",TRUE,A701,"!",ADDRESS(23+(A702-1)*J701,1)))</f>
        <v>CAP 002</v>
      </c>
      <c r="B715" s="65"/>
      <c r="C715" s="66" t="str">
        <f ca="1">INDIRECT(_xlfn.TEXTJOIN("",TRUE,A701,"!",ADDRESS(23+(A702-1)*J701,2)))</f>
        <v>Operating System Lab</v>
      </c>
      <c r="D715" s="66"/>
      <c r="E715" s="66"/>
      <c r="F715" s="66"/>
      <c r="G715" s="66"/>
      <c r="H715" s="25">
        <f ca="1">INDIRECT(_xlfn.TEXTJOIN("",TRUE,A701,"!",ADDRESS(23+(A702-1)*J701,6)))</f>
        <v>1</v>
      </c>
      <c r="I715" s="25" t="str">
        <f ca="1">INDIRECT(_xlfn.TEXTJOIN("",TRUE,A701,"!",ADDRESS(23+(A702-1)*J701,13)))</f>
        <v>O</v>
      </c>
      <c r="J715" s="25">
        <f ca="1">INDIRECT(_xlfn.TEXTJOIN("",TRUE,A701,"!",ADDRESS(23+(A702-1)*J701,14)))</f>
        <v>10</v>
      </c>
    </row>
    <row r="716" spans="1:10" ht="10.5" customHeight="1" x14ac:dyDescent="0.2">
      <c r="A716" s="65" t="str">
        <f ca="1">INDIRECT(_xlfn.TEXTJOIN("",TRUE,A701,"!",ADDRESS(24+(A702-1)*J701,1)))</f>
        <v>CAP 003</v>
      </c>
      <c r="B716" s="65"/>
      <c r="C716" s="66" t="str">
        <f ca="1">INDIRECT(_xlfn.TEXTJOIN("",TRUE,A701,"!",ADDRESS(24+(A702-1)*J701,2)))</f>
        <v>Computer Organization Lab</v>
      </c>
      <c r="D716" s="66"/>
      <c r="E716" s="66"/>
      <c r="F716" s="66"/>
      <c r="G716" s="66"/>
      <c r="H716" s="25">
        <f ca="1">INDIRECT(_xlfn.TEXTJOIN("",TRUE,A701,"!",ADDRESS(24+(A702-1)*J701,6)))</f>
        <v>1</v>
      </c>
      <c r="I716" s="25" t="str">
        <f ca="1">INDIRECT(_xlfn.TEXTJOIN("",TRUE,A701,"!",ADDRESS(24+(A702-1)*J701,13)))</f>
        <v>A</v>
      </c>
      <c r="J716" s="25">
        <f ca="1">INDIRECT(_xlfn.TEXTJOIN("",TRUE,A701,"!",ADDRESS(24+(A702-1)*J701,14)))</f>
        <v>9</v>
      </c>
    </row>
    <row r="717" spans="1:10" ht="10.5" customHeight="1" x14ac:dyDescent="0.2">
      <c r="A717" s="65" t="str">
        <f ca="1">INDIRECT(_xlfn.TEXTJOIN("",TRUE,A701,"!",ADDRESS(25+(A702-1)*J701,1)))</f>
        <v>AHP 303</v>
      </c>
      <c r="B717" s="65"/>
      <c r="C717" s="66" t="str">
        <f ca="1">INDIRECT(_xlfn.TEXTJOIN("",TRUE,A701,"!",ADDRESS(25+(A702-1)*J701,2)))</f>
        <v>Technical Communication Skills</v>
      </c>
      <c r="D717" s="66"/>
      <c r="E717" s="66"/>
      <c r="F717" s="66"/>
      <c r="G717" s="66"/>
      <c r="H717" s="25">
        <f ca="1">INDIRECT(_xlfn.TEXTJOIN("",TRUE,A701,"!",ADDRESS(25+(A702-1)*J701,6)))</f>
        <v>1</v>
      </c>
      <c r="I717" s="25" t="str">
        <f ca="1">INDIRECT(_xlfn.TEXTJOIN("",TRUE,A701,"!",ADDRESS(25+(A702-1)*J701,13)))</f>
        <v>B+</v>
      </c>
      <c r="J717" s="25">
        <f ca="1">INDIRECT(_xlfn.TEXTJOIN("",TRUE,A701,"!",ADDRESS(25+(A702-1)*J701,14)))</f>
        <v>8.5</v>
      </c>
    </row>
    <row r="718" spans="1:10" s="35" customFormat="1" ht="10.5" customHeight="1" x14ac:dyDescent="0.2">
      <c r="A718" s="77">
        <f ca="1">INDIRECT(_xlfn.TEXTJOIN("",TRUE,A701,"!",ADDRESS(26+(A702-1)*J701,1)))</f>
        <v>0</v>
      </c>
      <c r="B718" s="77"/>
      <c r="C718" s="78">
        <f ca="1">INDIRECT(_xlfn.TEXTJOIN("",TRUE,A701,"!",ADDRESS(26+(A702-1)*J701,2)))</f>
        <v>0</v>
      </c>
      <c r="D718" s="78"/>
      <c r="E718" s="78"/>
      <c r="F718" s="78"/>
      <c r="G718" s="78"/>
      <c r="H718" s="34">
        <f ca="1">INDIRECT(_xlfn.TEXTJOIN("",TRUE,A701,"!",ADDRESS(26+(A702-1)*J701,6)))</f>
        <v>0</v>
      </c>
      <c r="I718" s="34" t="str">
        <f ca="1">INDIRECT(_xlfn.TEXTJOIN("",TRUE,A701,"!",ADDRESS(26+(A702-1)*J701,13)))</f>
        <v>Excellent</v>
      </c>
      <c r="J718" s="34">
        <f ca="1">INDIRECT(_xlfn.TEXTJOIN("",TRUE,A701,"!",ADDRESS(26+(A702-1)*J701,14)))</f>
        <v>0</v>
      </c>
    </row>
    <row r="719" spans="1:10" ht="10.5" customHeight="1" x14ac:dyDescent="0.2">
      <c r="A719" s="71" t="s">
        <v>52</v>
      </c>
      <c r="B719" s="71"/>
      <c r="C719" s="71"/>
      <c r="D719" s="71"/>
      <c r="E719" s="71"/>
      <c r="F719" s="71"/>
      <c r="G719" s="71"/>
      <c r="H719" s="27">
        <f ca="1">SUM(H705:H718)</f>
        <v>24</v>
      </c>
      <c r="I719" s="26" t="s">
        <v>44</v>
      </c>
      <c r="J719" s="27">
        <f ca="1">SUMPRODUCT(J705:J717,H705:H717)</f>
        <v>180</v>
      </c>
    </row>
    <row r="720" spans="1:10" ht="10.5" customHeight="1" x14ac:dyDescent="0.2">
      <c r="A720" s="24" t="s">
        <v>57</v>
      </c>
      <c r="B720" s="72" t="str">
        <f ca="1">IF(ISNA(A721),"","Semester II (Spring Semester 2022-23)")</f>
        <v/>
      </c>
      <c r="C720" s="72"/>
      <c r="D720" s="72"/>
      <c r="E720" s="72"/>
      <c r="F720" s="72"/>
      <c r="G720" s="72"/>
      <c r="H720" s="72"/>
      <c r="I720" s="72"/>
      <c r="J720" s="24">
        <f>ROWS(A724:B733)+9</f>
        <v>19</v>
      </c>
    </row>
    <row r="721" spans="1:10" ht="10.5" customHeight="1" x14ac:dyDescent="0.2">
      <c r="A721" s="24" t="e">
        <f ca="1">INDEX(SEM_II!$A$6:$A$45,Marksheets!J721)</f>
        <v>#N/A</v>
      </c>
      <c r="B721" s="63"/>
      <c r="C721" s="63"/>
      <c r="D721" s="63"/>
      <c r="E721" s="63"/>
      <c r="F721" s="63"/>
      <c r="G721" s="63"/>
      <c r="H721" s="63"/>
      <c r="I721" s="63"/>
      <c r="J721" s="24" t="e">
        <f ca="1">MATCH(H699,SEM_II!$B$6:$B$45,0)</f>
        <v>#N/A</v>
      </c>
    </row>
    <row r="722" spans="1:10" ht="10.5" customHeight="1" x14ac:dyDescent="0.2">
      <c r="A722" s="64" t="str">
        <f ca="1">IF(ISNA(A721),"","Subject Code")</f>
        <v/>
      </c>
      <c r="B722" s="64"/>
      <c r="C722" s="64" t="str">
        <f ca="1">IF(ISNA(A721),"","Subject Name")</f>
        <v/>
      </c>
      <c r="D722" s="64"/>
      <c r="E722" s="64"/>
      <c r="F722" s="64"/>
      <c r="G722" s="64"/>
      <c r="H722" s="64" t="str">
        <f ca="1">IF(ISNA(A721),"","Credits")</f>
        <v/>
      </c>
      <c r="I722" s="64" t="str">
        <f ca="1">IF(ISNA(A721),"","Grade")</f>
        <v/>
      </c>
      <c r="J722" s="64" t="str">
        <f ca="1">IF(ISNA(A721),"","Grade Points")</f>
        <v/>
      </c>
    </row>
    <row r="723" spans="1:10" ht="14" customHeight="1" x14ac:dyDescent="0.2">
      <c r="A723" s="64"/>
      <c r="B723" s="64"/>
      <c r="C723" s="64"/>
      <c r="D723" s="64"/>
      <c r="E723" s="64"/>
      <c r="F723" s="64"/>
      <c r="G723" s="64"/>
      <c r="H723" s="64"/>
      <c r="I723" s="64"/>
      <c r="J723" s="64"/>
    </row>
    <row r="724" spans="1:10" ht="13" customHeight="1" x14ac:dyDescent="0.2">
      <c r="A724" s="65" t="str">
        <f ca="1">_xlfn.IFNA(INDIRECT(_xlfn.TEXTJOIN("",TRUE,A720,"!",ADDRESS(13+(A721-1)*J720,1))),"")</f>
        <v/>
      </c>
      <c r="B724" s="65"/>
      <c r="C724" s="66" t="str">
        <f ca="1">_xlfn.IFNA(INDIRECT(_xlfn.TEXTJOIN("",TRUE,A720,"!",ADDRESS(13+(A721-1)*J720,2))),"")</f>
        <v/>
      </c>
      <c r="D724" s="66"/>
      <c r="E724" s="66"/>
      <c r="F724" s="66"/>
      <c r="G724" s="66"/>
      <c r="H724" s="25" t="str">
        <f ca="1">_xlfn.IFNA(INDIRECT(_xlfn.TEXTJOIN("",TRUE,A720,"!",ADDRESS(13+(A721-1)*J720,6))),"")</f>
        <v/>
      </c>
      <c r="I724" s="25" t="str">
        <f ca="1">_xlfn.IFNA(INDIRECT(_xlfn.TEXTJOIN("",TRUE,A720,"!",ADDRESS(13+(A721-1)*J720,13))),"")</f>
        <v/>
      </c>
      <c r="J724" s="25" t="str">
        <f ca="1">_xlfn.IFNA(INDIRECT(_xlfn.TEXTJOIN("",TRUE,A720,"!",ADDRESS(13+(A721-1)*J720,14))),"")</f>
        <v/>
      </c>
    </row>
    <row r="725" spans="1:10" ht="10.5" customHeight="1" x14ac:dyDescent="0.2">
      <c r="A725" s="65" t="str">
        <f ca="1">_xlfn.IFNA(INDIRECT(_xlfn.TEXTJOIN("",TRUE,A720,"!",ADDRESS(14+(A721-1)*J720,1))),"")</f>
        <v/>
      </c>
      <c r="B725" s="65"/>
      <c r="C725" s="66" t="str">
        <f ca="1">_xlfn.IFNA(INDIRECT(_xlfn.TEXTJOIN("",TRUE,A720,"!",ADDRESS(14+(A721-1)*J720,2))),"")</f>
        <v/>
      </c>
      <c r="D725" s="66"/>
      <c r="E725" s="66"/>
      <c r="F725" s="66"/>
      <c r="G725" s="66"/>
      <c r="H725" s="25" t="str">
        <f ca="1">_xlfn.IFNA(INDIRECT(_xlfn.TEXTJOIN("",TRUE,A720,"!",ADDRESS(14+(A721-1)*J720,6))),"")</f>
        <v/>
      </c>
      <c r="I725" s="25" t="str">
        <f ca="1">_xlfn.IFNA(INDIRECT(_xlfn.TEXTJOIN("",TRUE,A720,"!",ADDRESS(14+(A721-1)*J720,13))),"")</f>
        <v/>
      </c>
      <c r="J725" s="25" t="str">
        <f ca="1">_xlfn.IFNA(INDIRECT(_xlfn.TEXTJOIN("",TRUE,A720,"!",ADDRESS(14+(A721-1)*J720,14))),"")</f>
        <v/>
      </c>
    </row>
    <row r="726" spans="1:10" ht="10.5" customHeight="1" x14ac:dyDescent="0.2">
      <c r="A726" s="65" t="str">
        <f ca="1">_xlfn.IFNA(INDIRECT(_xlfn.TEXTJOIN("",TRUE,A720,"!",ADDRESS(15+(A721-1)*J720,1))),"")</f>
        <v/>
      </c>
      <c r="B726" s="65"/>
      <c r="C726" s="66" t="str">
        <f ca="1">_xlfn.IFNA(INDIRECT(_xlfn.TEXTJOIN("",TRUE,A720,"!",ADDRESS(15+(A721-1)*J720,2))),"")</f>
        <v/>
      </c>
      <c r="D726" s="66"/>
      <c r="E726" s="66"/>
      <c r="F726" s="66"/>
      <c r="G726" s="66"/>
      <c r="H726" s="25" t="str">
        <f ca="1">_xlfn.IFNA(INDIRECT(_xlfn.TEXTJOIN("",TRUE,A720,"!",ADDRESS(15+(A721-1)*J720,6))),"")</f>
        <v/>
      </c>
      <c r="I726" s="25" t="str">
        <f ca="1">_xlfn.IFNA(INDIRECT(_xlfn.TEXTJOIN("",TRUE,A720,"!",ADDRESS(15+(A721-1)*J720,13))),"")</f>
        <v/>
      </c>
      <c r="J726" s="25" t="str">
        <f ca="1">_xlfn.IFNA(INDIRECT(_xlfn.TEXTJOIN("",TRUE,A720,"!",ADDRESS(15+(A721-1)*J720,14))),"")</f>
        <v/>
      </c>
    </row>
    <row r="727" spans="1:10" ht="10.5" customHeight="1" x14ac:dyDescent="0.2">
      <c r="A727" s="65" t="str">
        <f ca="1">_xlfn.IFNA(INDIRECT(_xlfn.TEXTJOIN("",TRUE,A720,"!",ADDRESS(16+(A721-1)*J720,1))),"")</f>
        <v/>
      </c>
      <c r="B727" s="65"/>
      <c r="C727" s="66" t="str">
        <f ca="1">_xlfn.IFNA(INDIRECT(_xlfn.TEXTJOIN("",TRUE,A720,"!",ADDRESS(16+(A721-1)*J720,2))),"")</f>
        <v/>
      </c>
      <c r="D727" s="66"/>
      <c r="E727" s="66"/>
      <c r="F727" s="66"/>
      <c r="G727" s="66"/>
      <c r="H727" s="25" t="str">
        <f ca="1">_xlfn.IFNA(INDIRECT(_xlfn.TEXTJOIN("",TRUE,A720,"!",ADDRESS(16+(A721-1)*J720,6))),"")</f>
        <v/>
      </c>
      <c r="I727" s="25" t="str">
        <f ca="1">_xlfn.IFNA(INDIRECT(_xlfn.TEXTJOIN("",TRUE,A720,"!",ADDRESS(16+(A721-1)*J720,13))),"")</f>
        <v/>
      </c>
      <c r="J727" s="25" t="str">
        <f ca="1">_xlfn.IFNA(INDIRECT(_xlfn.TEXTJOIN("",TRUE,A720,"!",ADDRESS(16+(A721-1)*J720,14))),"")</f>
        <v/>
      </c>
    </row>
    <row r="728" spans="1:10" ht="10.5" customHeight="1" x14ac:dyDescent="0.2">
      <c r="A728" s="65" t="str">
        <f ca="1">_xlfn.IFNA(INDIRECT(_xlfn.TEXTJOIN("",TRUE,A720,"!",ADDRESS(17+(A721-1)*J720,1))),"")</f>
        <v/>
      </c>
      <c r="B728" s="65"/>
      <c r="C728" s="66" t="str">
        <f ca="1">_xlfn.IFNA(INDIRECT(_xlfn.TEXTJOIN("",TRUE,A720,"!",ADDRESS(17+(A721-1)*J720,2))),"")</f>
        <v/>
      </c>
      <c r="D728" s="66"/>
      <c r="E728" s="66"/>
      <c r="F728" s="66"/>
      <c r="G728" s="66"/>
      <c r="H728" s="25" t="str">
        <f ca="1">_xlfn.IFNA(INDIRECT(_xlfn.TEXTJOIN("",TRUE,A720,"!",ADDRESS(17+(A721-1)*J720,6))),"")</f>
        <v/>
      </c>
      <c r="I728" s="25" t="str">
        <f ca="1">_xlfn.IFNA(INDIRECT(_xlfn.TEXTJOIN("",TRUE,A720,"!",ADDRESS(17+(A721-1)*J720,13))),"")</f>
        <v/>
      </c>
      <c r="J728" s="25" t="str">
        <f ca="1">_xlfn.IFNA(INDIRECT(_xlfn.TEXTJOIN("",TRUE,A720,"!",ADDRESS(17+(A721-1)*J720,14))),"")</f>
        <v/>
      </c>
    </row>
    <row r="729" spans="1:10" ht="10.5" customHeight="1" x14ac:dyDescent="0.2">
      <c r="A729" s="65" t="str">
        <f ca="1">_xlfn.IFNA(INDIRECT(_xlfn.TEXTJOIN("",TRUE,A720,"!",ADDRESS(18+(A721-1)*J720,1))),"")</f>
        <v/>
      </c>
      <c r="B729" s="65"/>
      <c r="C729" s="66" t="str">
        <f ca="1">_xlfn.IFNA(INDIRECT(_xlfn.TEXTJOIN("",TRUE,A720,"!",ADDRESS(18+(A721-1)*J720,2))),"")</f>
        <v/>
      </c>
      <c r="D729" s="66"/>
      <c r="E729" s="66"/>
      <c r="F729" s="66"/>
      <c r="G729" s="66"/>
      <c r="H729" s="25" t="str">
        <f ca="1">_xlfn.IFNA(INDIRECT(_xlfn.TEXTJOIN("",TRUE,A720,"!",ADDRESS(18+(A721-1)*J720,6))),"")</f>
        <v/>
      </c>
      <c r="I729" s="25" t="str">
        <f ca="1">_xlfn.IFNA(INDIRECT(_xlfn.TEXTJOIN("",TRUE,A720,"!",ADDRESS(18+(A721-1)*J720,13))),"")</f>
        <v/>
      </c>
      <c r="J729" s="25" t="str">
        <f ca="1">_xlfn.IFNA(INDIRECT(_xlfn.TEXTJOIN("",TRUE,A720,"!",ADDRESS(18+(A721-1)*J720,14))),"")</f>
        <v/>
      </c>
    </row>
    <row r="730" spans="1:10" ht="10.5" customHeight="1" x14ac:dyDescent="0.2">
      <c r="A730" s="60" t="str">
        <f ca="1">_xlfn.IFNA(INDIRECT(_xlfn.TEXTJOIN("",TRUE,A720,"!",ADDRESS(19+(A721-1)*J720,1))),"")</f>
        <v/>
      </c>
      <c r="B730" s="61"/>
      <c r="C730" s="57" t="str">
        <f ca="1">_xlfn.IFNA(INDIRECT(_xlfn.TEXTJOIN("",TRUE,A720,"!",ADDRESS(19+(A721-1)*J720,2))),"")</f>
        <v/>
      </c>
      <c r="D730" s="58"/>
      <c r="E730" s="58"/>
      <c r="F730" s="58"/>
      <c r="G730" s="59"/>
      <c r="H730" s="25" t="str">
        <f ca="1">_xlfn.IFNA(INDIRECT(_xlfn.TEXTJOIN("",TRUE,A720,"!",ADDRESS(19+(A721-1)*J720,6))),"")</f>
        <v/>
      </c>
      <c r="I730" s="25" t="str">
        <f ca="1">_xlfn.IFNA(INDIRECT(_xlfn.TEXTJOIN("",TRUE,A720,"!",ADDRESS(19+(A721-1)*J720,13))),"")</f>
        <v/>
      </c>
      <c r="J730" s="25" t="str">
        <f ca="1">_xlfn.IFNA(INDIRECT(_xlfn.TEXTJOIN("",TRUE,A720,"!",ADDRESS(19+(A721-1)*J720,14))),"")</f>
        <v/>
      </c>
    </row>
    <row r="731" spans="1:10" ht="10.5" customHeight="1" x14ac:dyDescent="0.2">
      <c r="A731" s="65" t="str">
        <f ca="1">_xlfn.IFNA(INDIRECT(_xlfn.TEXTJOIN("",TRUE,A720,"!",ADDRESS(20+(A721-1)*J720,1))),"")</f>
        <v/>
      </c>
      <c r="B731" s="65"/>
      <c r="C731" s="66" t="str">
        <f ca="1">_xlfn.IFNA(INDIRECT(_xlfn.TEXTJOIN("",TRUE,A720,"!",ADDRESS(20+(A721-1)*J720,2))),"")</f>
        <v/>
      </c>
      <c r="D731" s="66"/>
      <c r="E731" s="66"/>
      <c r="F731" s="66"/>
      <c r="G731" s="66"/>
      <c r="H731" s="25" t="str">
        <f ca="1">_xlfn.IFNA(INDIRECT(_xlfn.TEXTJOIN("",TRUE,A720,"!",ADDRESS(20+(A721-1)*J720,6))),"")</f>
        <v/>
      </c>
      <c r="I731" s="25" t="str">
        <f ca="1">_xlfn.IFNA(INDIRECT(_xlfn.TEXTJOIN("",TRUE,A720,"!",ADDRESS(20+(A721-1)*J720,13))),"")</f>
        <v/>
      </c>
      <c r="J731" s="25" t="str">
        <f ca="1">_xlfn.IFNA(INDIRECT(_xlfn.TEXTJOIN("",TRUE,A720,"!",ADDRESS(20+(A721-1)*J720,14))),"")</f>
        <v/>
      </c>
    </row>
    <row r="732" spans="1:10" ht="10.5" customHeight="1" x14ac:dyDescent="0.2">
      <c r="A732" s="65" t="str">
        <f ca="1">_xlfn.IFNA(INDIRECT(_xlfn.TEXTJOIN("",TRUE,A720,"!",ADDRESS(21+(A721-1)*J720,1))),"")</f>
        <v/>
      </c>
      <c r="B732" s="65"/>
      <c r="C732" s="66" t="str">
        <f ca="1">_xlfn.IFNA(INDIRECT(_xlfn.TEXTJOIN("",TRUE,A720,"!",ADDRESS(21+(A721-1)*J720,2))),"")</f>
        <v/>
      </c>
      <c r="D732" s="66"/>
      <c r="E732" s="66"/>
      <c r="F732" s="66"/>
      <c r="G732" s="66"/>
      <c r="H732" s="25" t="str">
        <f ca="1">_xlfn.IFNA(INDIRECT(_xlfn.TEXTJOIN("",TRUE,A720,"!",ADDRESS(21+(A721-1)*J720,6))),"")</f>
        <v/>
      </c>
      <c r="I732" s="25" t="str">
        <f ca="1">_xlfn.IFNA(INDIRECT(_xlfn.TEXTJOIN("",TRUE,A720,"!",ADDRESS(21+(A721-1)*J720,13))),"")</f>
        <v/>
      </c>
      <c r="J732" s="25" t="str">
        <f ca="1">_xlfn.IFNA(INDIRECT(_xlfn.TEXTJOIN("",TRUE,A720,"!",ADDRESS(21+(A721-1)*J720,14))),"")</f>
        <v/>
      </c>
    </row>
    <row r="733" spans="1:10" ht="10.5" customHeight="1" x14ac:dyDescent="0.2">
      <c r="A733" s="65" t="str">
        <f ca="1">_xlfn.IFNA(INDIRECT(_xlfn.TEXTJOIN("",TRUE,A720,"!",ADDRESS(22+(A721-1)*J720,1))),"")</f>
        <v/>
      </c>
      <c r="B733" s="65"/>
      <c r="C733" s="66" t="str">
        <f ca="1">_xlfn.IFNA(INDIRECT(_xlfn.TEXTJOIN("",TRUE,A720,"!",ADDRESS(22+(A721-1)*J720,2))),"")</f>
        <v/>
      </c>
      <c r="D733" s="66"/>
      <c r="E733" s="66"/>
      <c r="F733" s="66"/>
      <c r="G733" s="66"/>
      <c r="H733" s="25" t="str">
        <f ca="1">_xlfn.IFNA(INDIRECT(_xlfn.TEXTJOIN("",TRUE,A720,"!",ADDRESS(22+(A721-1)*J720,6))),"")</f>
        <v/>
      </c>
      <c r="I733" s="25" t="str">
        <f ca="1">_xlfn.IFNA(INDIRECT(_xlfn.TEXTJOIN("",TRUE,A720,"!",ADDRESS(22+(A721-1)*J720,13))),"")</f>
        <v/>
      </c>
      <c r="J733" s="25" t="str">
        <f ca="1">_xlfn.IFNA(INDIRECT(_xlfn.TEXTJOIN("",TRUE,A720,"!",ADDRESS(22+(A721-1)*J720,14))),"")</f>
        <v/>
      </c>
    </row>
    <row r="734" spans="1:10" ht="10.5" customHeight="1" x14ac:dyDescent="0.2">
      <c r="A734" s="71" t="str">
        <f ca="1">IF(ISNA(A721),"","Total Credits/ Total Grade Points")</f>
        <v/>
      </c>
      <c r="B734" s="71"/>
      <c r="C734" s="71"/>
      <c r="D734" s="71"/>
      <c r="E734" s="71"/>
      <c r="F734" s="71"/>
      <c r="G734" s="71"/>
      <c r="H734" s="27" t="str">
        <f ca="1">IF(ISNA(A721),"",SUM(H724:H733))</f>
        <v/>
      </c>
      <c r="I734" s="26" t="str">
        <f ca="1">IF(ISNA(A721),"","-")</f>
        <v/>
      </c>
      <c r="J734" s="27" t="str">
        <f ca="1">IF(ISNA(A721),"",SUMPRODUCT(J724:J733,H724:H733))</f>
        <v/>
      </c>
    </row>
    <row r="735" spans="1:10" ht="10.5" customHeight="1" x14ac:dyDescent="0.2">
      <c r="A735" s="24" t="s">
        <v>60</v>
      </c>
      <c r="B735" s="72" t="str">
        <f ca="1">IF(ISNA(A736),"","Semester III (Autumn Semester 2023-24)")</f>
        <v/>
      </c>
      <c r="C735" s="72"/>
      <c r="D735" s="72"/>
      <c r="E735" s="72"/>
      <c r="F735" s="72"/>
      <c r="G735" s="72"/>
      <c r="H735" s="72"/>
      <c r="I735" s="72"/>
      <c r="J735" s="24">
        <f>ROWS(A739:B746)+9</f>
        <v>17</v>
      </c>
    </row>
    <row r="736" spans="1:10" ht="10.5" customHeight="1" x14ac:dyDescent="0.2">
      <c r="A736" s="24" t="e">
        <f ca="1">INDEX(SEM_III!$A$6:$A$43,Marksheets!J736)</f>
        <v>#N/A</v>
      </c>
      <c r="B736" s="63"/>
      <c r="C736" s="63"/>
      <c r="D736" s="63"/>
      <c r="E736" s="63"/>
      <c r="F736" s="63"/>
      <c r="G736" s="63"/>
      <c r="H736" s="63"/>
      <c r="I736" s="63"/>
      <c r="J736" s="24" t="e">
        <f ca="1">MATCH(H699,SEM_III!$B$6:$B$43,0)</f>
        <v>#N/A</v>
      </c>
    </row>
    <row r="737" spans="1:10" ht="10.5" customHeight="1" x14ac:dyDescent="0.2">
      <c r="A737" s="64" t="str">
        <f ca="1">IF(ISNA(A736),"","Subject Code")</f>
        <v/>
      </c>
      <c r="B737" s="64"/>
      <c r="C737" s="64" t="str">
        <f ca="1">IF(ISNA(A736),"","Subject Name")</f>
        <v/>
      </c>
      <c r="D737" s="64"/>
      <c r="E737" s="64"/>
      <c r="F737" s="64"/>
      <c r="G737" s="64"/>
      <c r="H737" s="64" t="str">
        <f ca="1">IF(ISNA(A736),"","Credits")</f>
        <v/>
      </c>
      <c r="I737" s="64" t="str">
        <f ca="1">IF(ISNA(A736),"","Grade")</f>
        <v/>
      </c>
      <c r="J737" s="64" t="str">
        <f ca="1">IF(ISNA(A736),"","Grade Points")</f>
        <v/>
      </c>
    </row>
    <row r="738" spans="1:10" ht="15" customHeight="1" x14ac:dyDescent="0.2">
      <c r="A738" s="64"/>
      <c r="B738" s="64"/>
      <c r="C738" s="64"/>
      <c r="D738" s="64"/>
      <c r="E738" s="64"/>
      <c r="F738" s="64"/>
      <c r="G738" s="64"/>
      <c r="H738" s="64"/>
      <c r="I738" s="64"/>
      <c r="J738" s="64"/>
    </row>
    <row r="739" spans="1:10" ht="10.5" customHeight="1" x14ac:dyDescent="0.2">
      <c r="A739" s="65" t="str">
        <f ca="1">_xlfn.IFNA(INDIRECT(_xlfn.TEXTJOIN("",TRUE,A735,"!",ADDRESS(13+(A736-1)*J735,1))),"")</f>
        <v/>
      </c>
      <c r="B739" s="65"/>
      <c r="C739" s="66" t="str">
        <f ca="1">_xlfn.IFNA(INDIRECT(_xlfn.TEXTJOIN("",TRUE,A735,"!",ADDRESS(13+(A736-1)*J735,2))),"")</f>
        <v/>
      </c>
      <c r="D739" s="66"/>
      <c r="E739" s="66"/>
      <c r="F739" s="66"/>
      <c r="G739" s="66"/>
      <c r="H739" s="25" t="str">
        <f ca="1">_xlfn.IFNA(INDIRECT(_xlfn.TEXTJOIN("",TRUE,A735,"!",ADDRESS(13+(A736-1)*J735,6))),"")</f>
        <v/>
      </c>
      <c r="I739" s="25" t="str">
        <f ca="1">_xlfn.IFNA(INDIRECT(_xlfn.TEXTJOIN("",TRUE,A735,"!",ADDRESS(13+(A736-1)*J735,13))),"")</f>
        <v/>
      </c>
      <c r="J739" s="25" t="str">
        <f ca="1">_xlfn.IFNA(INDIRECT(_xlfn.TEXTJOIN("",TRUE,A735,"!",ADDRESS(13+(A736-1)*J735,14))),"")</f>
        <v/>
      </c>
    </row>
    <row r="740" spans="1:10" ht="10.5" customHeight="1" x14ac:dyDescent="0.2">
      <c r="A740" s="65" t="str">
        <f ca="1">_xlfn.IFNA(INDIRECT(_xlfn.TEXTJOIN("",TRUE,A735,"!",ADDRESS(14+(A736-1)*J735,1))),"")</f>
        <v/>
      </c>
      <c r="B740" s="65"/>
      <c r="C740" s="66" t="str">
        <f ca="1">_xlfn.IFNA(INDIRECT(_xlfn.TEXTJOIN("",TRUE,A735,"!",ADDRESS(14+(A736-1)*J735,2))),"")</f>
        <v/>
      </c>
      <c r="D740" s="66"/>
      <c r="E740" s="66"/>
      <c r="F740" s="66"/>
      <c r="G740" s="66"/>
      <c r="H740" s="25" t="str">
        <f ca="1">_xlfn.IFNA(INDIRECT(_xlfn.TEXTJOIN("",TRUE,A735,"!",ADDRESS(14+(A736-1)*J735,6))),"")</f>
        <v/>
      </c>
      <c r="I740" s="25" t="str">
        <f ca="1">_xlfn.IFNA(INDIRECT(_xlfn.TEXTJOIN("",TRUE,A735,"!",ADDRESS(14+(A736-1)*J735,13))),"")</f>
        <v/>
      </c>
      <c r="J740" s="25" t="str">
        <f ca="1">_xlfn.IFNA(INDIRECT(_xlfn.TEXTJOIN("",TRUE,A735,"!",ADDRESS(14+(A736-1)*J735,14))),"")</f>
        <v/>
      </c>
    </row>
    <row r="741" spans="1:10" ht="10.5" customHeight="1" x14ac:dyDescent="0.2">
      <c r="A741" s="65" t="str">
        <f ca="1">_xlfn.IFNA(INDIRECT(_xlfn.TEXTJOIN("",TRUE,A735,"!",ADDRESS(15+(A736-1)*J735,1))),"")</f>
        <v/>
      </c>
      <c r="B741" s="65"/>
      <c r="C741" s="66" t="str">
        <f ca="1">_xlfn.IFNA(INDIRECT(_xlfn.TEXTJOIN("",TRUE,A735,"!",ADDRESS(15+(A736-1)*J735,2))),"")</f>
        <v/>
      </c>
      <c r="D741" s="66"/>
      <c r="E741" s="66"/>
      <c r="F741" s="66"/>
      <c r="G741" s="66"/>
      <c r="H741" s="25" t="str">
        <f ca="1">_xlfn.IFNA(INDIRECT(_xlfn.TEXTJOIN("",TRUE,A735,"!",ADDRESS(15+(A736-1)*J735,6))),"")</f>
        <v/>
      </c>
      <c r="I741" s="25" t="str">
        <f ca="1">_xlfn.IFNA(INDIRECT(_xlfn.TEXTJOIN("",TRUE,A735,"!",ADDRESS(15+(A736-1)*J735,13))),"")</f>
        <v/>
      </c>
      <c r="J741" s="25" t="str">
        <f ca="1">_xlfn.IFNA(INDIRECT(_xlfn.TEXTJOIN("",TRUE,A735,"!",ADDRESS(15+(A736-1)*J735,14))),"")</f>
        <v/>
      </c>
    </row>
    <row r="742" spans="1:10" ht="10.5" customHeight="1" x14ac:dyDescent="0.2">
      <c r="A742" s="65" t="str">
        <f ca="1">_xlfn.IFNA(INDIRECT(_xlfn.TEXTJOIN("",TRUE,A735,"!",ADDRESS(16+(A736-1)*J735,1))),"")</f>
        <v/>
      </c>
      <c r="B742" s="65"/>
      <c r="C742" s="66" t="str">
        <f ca="1">_xlfn.IFNA(INDIRECT(_xlfn.TEXTJOIN("",TRUE,A735,"!",ADDRESS(16+(A736-1)*J735,2))),"")</f>
        <v/>
      </c>
      <c r="D742" s="66"/>
      <c r="E742" s="66"/>
      <c r="F742" s="66"/>
      <c r="G742" s="66"/>
      <c r="H742" s="25" t="str">
        <f ca="1">_xlfn.IFNA(INDIRECT(_xlfn.TEXTJOIN("",TRUE,A735,"!",ADDRESS(16+(A736-1)*J735,6))),"")</f>
        <v/>
      </c>
      <c r="I742" s="25" t="str">
        <f ca="1">_xlfn.IFNA(INDIRECT(_xlfn.TEXTJOIN("",TRUE,A735,"!",ADDRESS(16+(A736-1)*J735,13))),"")</f>
        <v/>
      </c>
      <c r="J742" s="25" t="str">
        <f ca="1">_xlfn.IFNA(INDIRECT(_xlfn.TEXTJOIN("",TRUE,A735,"!",ADDRESS(16+(A736-1)*J735,14))),"")</f>
        <v/>
      </c>
    </row>
    <row r="743" spans="1:10" ht="10.5" customHeight="1" x14ac:dyDescent="0.2">
      <c r="A743" s="65" t="str">
        <f ca="1">_xlfn.IFNA(INDIRECT(_xlfn.TEXTJOIN("",TRUE,A735,"!",ADDRESS(17+(A736-1)*J735,1))),"")</f>
        <v/>
      </c>
      <c r="B743" s="65"/>
      <c r="C743" s="66" t="str">
        <f ca="1">_xlfn.IFNA(INDIRECT(_xlfn.TEXTJOIN("",TRUE,A735,"!",ADDRESS(17+(A736-1)*J735,2))),"")</f>
        <v/>
      </c>
      <c r="D743" s="66"/>
      <c r="E743" s="66"/>
      <c r="F743" s="66"/>
      <c r="G743" s="66"/>
      <c r="H743" s="25" t="str">
        <f ca="1">_xlfn.IFNA(INDIRECT(_xlfn.TEXTJOIN("",TRUE,A735,"!",ADDRESS(17+(A736-1)*J735,6))),"")</f>
        <v/>
      </c>
      <c r="I743" s="25" t="str">
        <f ca="1">_xlfn.IFNA(INDIRECT(_xlfn.TEXTJOIN("",TRUE,A735,"!",ADDRESS(17+(A736-1)*J735,13))),"")</f>
        <v/>
      </c>
      <c r="J743" s="25" t="str">
        <f ca="1">_xlfn.IFNA(INDIRECT(_xlfn.TEXTJOIN("",TRUE,A735,"!",ADDRESS(17+(A736-1)*J735,14))),"")</f>
        <v/>
      </c>
    </row>
    <row r="744" spans="1:10" ht="10.5" customHeight="1" x14ac:dyDescent="0.2">
      <c r="A744" s="65" t="str">
        <f ca="1">_xlfn.IFNA(INDIRECT(_xlfn.TEXTJOIN("",TRUE,A735,"!",ADDRESS(18+(A736-1)*J735,1))),"")</f>
        <v/>
      </c>
      <c r="B744" s="65"/>
      <c r="C744" s="66" t="str">
        <f ca="1">_xlfn.IFNA(INDIRECT(_xlfn.TEXTJOIN("",TRUE,A735,"!",ADDRESS(18+(A736-1)*J735,2))),"")</f>
        <v/>
      </c>
      <c r="D744" s="66"/>
      <c r="E744" s="66"/>
      <c r="F744" s="66"/>
      <c r="G744" s="66"/>
      <c r="H744" s="25" t="str">
        <f ca="1">_xlfn.IFNA(INDIRECT(_xlfn.TEXTJOIN("",TRUE,A735,"!",ADDRESS(18+(A736-1)*J735,6))),"")</f>
        <v/>
      </c>
      <c r="I744" s="25" t="str">
        <f ca="1">_xlfn.IFNA(INDIRECT(_xlfn.TEXTJOIN("",TRUE,A735,"!",ADDRESS(18+(A736-1)*J735,13))),"")</f>
        <v/>
      </c>
      <c r="J744" s="25" t="str">
        <f ca="1">_xlfn.IFNA(INDIRECT(_xlfn.TEXTJOIN("",TRUE,A735,"!",ADDRESS(18+(A736-1)*J735,14))),"")</f>
        <v/>
      </c>
    </row>
    <row r="745" spans="1:10" ht="10.5" customHeight="1" x14ac:dyDescent="0.2">
      <c r="A745" s="60" t="str">
        <f ca="1">_xlfn.IFNA(INDIRECT(_xlfn.TEXTJOIN("",TRUE,A735,"!",ADDRESS(19+(A736-1)*J735,1))),"")</f>
        <v/>
      </c>
      <c r="B745" s="61"/>
      <c r="C745" s="57" t="str">
        <f ca="1">_xlfn.IFNA(INDIRECT(_xlfn.TEXTJOIN("",TRUE,A735,"!",ADDRESS(19+(A736-1)*J735,2))),"")</f>
        <v/>
      </c>
      <c r="D745" s="58"/>
      <c r="E745" s="58"/>
      <c r="F745" s="58"/>
      <c r="G745" s="59"/>
      <c r="H745" s="25" t="str">
        <f ca="1">_xlfn.IFNA(INDIRECT(_xlfn.TEXTJOIN("",TRUE,A735,"!",ADDRESS(19+(A736-1)*J735,6))),"")</f>
        <v/>
      </c>
      <c r="I745" s="25" t="str">
        <f ca="1">_xlfn.IFNA(INDIRECT(_xlfn.TEXTJOIN("",TRUE,A735,"!",ADDRESS(19+(A736-1)*J735,13))),"")</f>
        <v/>
      </c>
      <c r="J745" s="25" t="str">
        <f ca="1">_xlfn.IFNA(INDIRECT(_xlfn.TEXTJOIN("",TRUE,A735,"!",ADDRESS(19+(A736-1)*J735,14))),"")</f>
        <v/>
      </c>
    </row>
    <row r="746" spans="1:10" ht="10.5" customHeight="1" x14ac:dyDescent="0.2">
      <c r="A746" s="65" t="str">
        <f ca="1">_xlfn.IFNA(INDIRECT(_xlfn.TEXTJOIN("",TRUE,A735,"!",ADDRESS(20+(A736-1)*J735,1))),"")</f>
        <v/>
      </c>
      <c r="B746" s="65"/>
      <c r="C746" s="66" t="str">
        <f ca="1">_xlfn.IFNA(INDIRECT(_xlfn.TEXTJOIN("",TRUE,A735,"!",ADDRESS(20+(A736-1)*J735,2))),"")</f>
        <v/>
      </c>
      <c r="D746" s="66"/>
      <c r="E746" s="66"/>
      <c r="F746" s="66"/>
      <c r="G746" s="66"/>
      <c r="H746" s="25" t="str">
        <f ca="1">_xlfn.IFNA(INDIRECT(_xlfn.TEXTJOIN("",TRUE,A735,"!",ADDRESS(20+(A736-1)*J735,6))),"")</f>
        <v/>
      </c>
      <c r="I746" s="25" t="str">
        <f ca="1">_xlfn.IFNA(INDIRECT(_xlfn.TEXTJOIN("",TRUE,A735,"!",ADDRESS(20+(A736-1)*J735,13))),"")</f>
        <v/>
      </c>
      <c r="J746" s="25" t="str">
        <f ca="1">_xlfn.IFNA(INDIRECT(_xlfn.TEXTJOIN("",TRUE,A735,"!",ADDRESS(20+(A736-1)*J735,14))),"")</f>
        <v/>
      </c>
    </row>
    <row r="747" spans="1:10" ht="10.5" customHeight="1" x14ac:dyDescent="0.2">
      <c r="A747" s="71" t="str">
        <f ca="1">IF(ISNA(A736),"","Total Credits/ Total Grade Points")</f>
        <v/>
      </c>
      <c r="B747" s="71"/>
      <c r="C747" s="71"/>
      <c r="D747" s="71"/>
      <c r="E747" s="71"/>
      <c r="F747" s="71"/>
      <c r="G747" s="71"/>
      <c r="H747" s="27" t="str">
        <f ca="1">IF(ISNA(A736),"",SUM(H739:H746))</f>
        <v/>
      </c>
      <c r="I747" s="26" t="str">
        <f ca="1">IF(ISNA(A736),"","-")</f>
        <v/>
      </c>
      <c r="J747" s="27" t="str">
        <f ca="1">IF(ISNA(A736),"",SUMPRODUCT(J739:J746,H739:H746))</f>
        <v/>
      </c>
    </row>
    <row r="748" spans="1:10" ht="10.5" customHeight="1" x14ac:dyDescent="0.2">
      <c r="A748" s="24" t="s">
        <v>133</v>
      </c>
      <c r="B748" s="72" t="str">
        <f ca="1">IF(ISNA(A749),"","Semester IV (Spring Semester 2023-24)")</f>
        <v/>
      </c>
      <c r="C748" s="72"/>
      <c r="D748" s="72"/>
      <c r="E748" s="72"/>
      <c r="F748" s="72"/>
      <c r="G748" s="72"/>
      <c r="H748" s="72"/>
      <c r="I748" s="72"/>
      <c r="J748" s="24">
        <f>ROWS(A752:B758)+9</f>
        <v>16</v>
      </c>
    </row>
    <row r="749" spans="1:10" ht="10.5" customHeight="1" x14ac:dyDescent="0.2">
      <c r="A749" s="24" t="e">
        <f ca="1">INDEX(SEM_IV!$A$6:$A$43,Marksheets!J749)</f>
        <v>#N/A</v>
      </c>
      <c r="B749" s="63"/>
      <c r="C749" s="63"/>
      <c r="D749" s="63"/>
      <c r="E749" s="63"/>
      <c r="F749" s="63"/>
      <c r="G749" s="63"/>
      <c r="H749" s="63"/>
      <c r="I749" s="63"/>
      <c r="J749" s="24" t="e">
        <f ca="1">MATCH(H699,SEM_IV!$B$6:$B$43,0)</f>
        <v>#N/A</v>
      </c>
    </row>
    <row r="750" spans="1:10" ht="10.5" customHeight="1" x14ac:dyDescent="0.2">
      <c r="A750" s="64" t="str">
        <f ca="1">IF(ISNA(A749),"","Subject Code")</f>
        <v/>
      </c>
      <c r="B750" s="64"/>
      <c r="C750" s="64" t="str">
        <f ca="1">IF(ISNA(A749),"","Subject Name")</f>
        <v/>
      </c>
      <c r="D750" s="64"/>
      <c r="E750" s="64"/>
      <c r="F750" s="64"/>
      <c r="G750" s="64"/>
      <c r="H750" s="64" t="str">
        <f ca="1">IF(ISNA(A749),"","Credits")</f>
        <v/>
      </c>
      <c r="I750" s="64" t="str">
        <f ca="1">IF(ISNA(A749),"","Grade")</f>
        <v/>
      </c>
      <c r="J750" s="64" t="str">
        <f ca="1">IF(ISNA(A749),"","Grade Points")</f>
        <v/>
      </c>
    </row>
    <row r="751" spans="1:10" ht="13.5" customHeight="1" x14ac:dyDescent="0.2">
      <c r="A751" s="64"/>
      <c r="B751" s="64"/>
      <c r="C751" s="64"/>
      <c r="D751" s="64"/>
      <c r="E751" s="64"/>
      <c r="F751" s="64"/>
      <c r="G751" s="64"/>
      <c r="H751" s="64"/>
      <c r="I751" s="64"/>
      <c r="J751" s="64"/>
    </row>
    <row r="752" spans="1:10" ht="10.5" customHeight="1" x14ac:dyDescent="0.2">
      <c r="A752" s="65" t="str">
        <f ca="1">_xlfn.IFNA(INDIRECT(_xlfn.TEXTJOIN("",TRUE,A748,"!",ADDRESS(13+(A749-1)*J748,1))),"")</f>
        <v/>
      </c>
      <c r="B752" s="65"/>
      <c r="C752" s="66" t="str">
        <f ca="1">_xlfn.IFNA(INDIRECT(_xlfn.TEXTJOIN("",TRUE,A748,"!",ADDRESS(13+(A749-1)*J748,2))),"")</f>
        <v/>
      </c>
      <c r="D752" s="66"/>
      <c r="E752" s="66"/>
      <c r="F752" s="66"/>
      <c r="G752" s="66"/>
      <c r="H752" s="25" t="str">
        <f ca="1">_xlfn.IFNA(INDIRECT(_xlfn.TEXTJOIN("",TRUE,A748,"!",ADDRESS(13+(A749-1)*J748,6))),"")</f>
        <v/>
      </c>
      <c r="I752" s="25" t="str">
        <f ca="1">_xlfn.IFNA(INDIRECT(_xlfn.TEXTJOIN("",TRUE,A748,"!",ADDRESS(13+(A749-1)*J748,13))),"")</f>
        <v/>
      </c>
      <c r="J752" s="25" t="str">
        <f ca="1">_xlfn.IFNA(INDIRECT(_xlfn.TEXTJOIN("",TRUE,A748,"!",ADDRESS(13+(A749-1)*J748,14))),"")</f>
        <v/>
      </c>
    </row>
    <row r="753" spans="1:10" ht="10.5" customHeight="1" x14ac:dyDescent="0.2">
      <c r="A753" s="65" t="str">
        <f ca="1">_xlfn.IFNA(INDIRECT(_xlfn.TEXTJOIN("",TRUE,A748,"!",ADDRESS(14+(A749-1)*J748,1))),"")</f>
        <v/>
      </c>
      <c r="B753" s="65"/>
      <c r="C753" s="66" t="str">
        <f ca="1">_xlfn.IFNA(INDIRECT(_xlfn.TEXTJOIN("",TRUE,A748,"!",ADDRESS(14+(A749-1)*J748,2))),"")</f>
        <v/>
      </c>
      <c r="D753" s="66"/>
      <c r="E753" s="66"/>
      <c r="F753" s="66"/>
      <c r="G753" s="66"/>
      <c r="H753" s="25" t="str">
        <f ca="1">_xlfn.IFNA(INDIRECT(_xlfn.TEXTJOIN("",TRUE,A748,"!",ADDRESS(14+(A749-1)*J748,6))),"")</f>
        <v/>
      </c>
      <c r="I753" s="25" t="str">
        <f ca="1">_xlfn.IFNA(INDIRECT(_xlfn.TEXTJOIN("",TRUE,A748,"!",ADDRESS(14+(A749-1)*J748,13))),"")</f>
        <v/>
      </c>
      <c r="J753" s="25" t="str">
        <f ca="1">_xlfn.IFNA(INDIRECT(_xlfn.TEXTJOIN("",TRUE,A748,"!",ADDRESS(14+(A749-1)*J748,14))),"")</f>
        <v/>
      </c>
    </row>
    <row r="754" spans="1:10" ht="10.5" customHeight="1" x14ac:dyDescent="0.2">
      <c r="A754" s="65" t="str">
        <f ca="1">_xlfn.IFNA(INDIRECT(_xlfn.TEXTJOIN("",TRUE,A748,"!",ADDRESS(15+(A749-1)*J748,1))),"")</f>
        <v/>
      </c>
      <c r="B754" s="65"/>
      <c r="C754" s="66" t="str">
        <f ca="1">_xlfn.IFNA(INDIRECT(_xlfn.TEXTJOIN("",TRUE,A748,"!",ADDRESS(15+(A749-1)*J748,2))),"")</f>
        <v/>
      </c>
      <c r="D754" s="66"/>
      <c r="E754" s="66"/>
      <c r="F754" s="66"/>
      <c r="G754" s="66"/>
      <c r="H754" s="25" t="str">
        <f ca="1">_xlfn.IFNA(INDIRECT(_xlfn.TEXTJOIN("",TRUE,A748,"!",ADDRESS(15+(A749-1)*J748,6))),"")</f>
        <v/>
      </c>
      <c r="I754" s="25" t="str">
        <f ca="1">_xlfn.IFNA(INDIRECT(_xlfn.TEXTJOIN("",TRUE,A748,"!",ADDRESS(15+(A749-1)*J748,13))),"")</f>
        <v/>
      </c>
      <c r="J754" s="25" t="str">
        <f ca="1">_xlfn.IFNA(INDIRECT(_xlfn.TEXTJOIN("",TRUE,A748,"!",ADDRESS(15+(A749-1)*J748,14))),"")</f>
        <v/>
      </c>
    </row>
    <row r="755" spans="1:10" ht="10.5" customHeight="1" x14ac:dyDescent="0.2">
      <c r="A755" s="65" t="str">
        <f ca="1">_xlfn.IFNA(INDIRECT(_xlfn.TEXTJOIN("",TRUE,A748,"!",ADDRESS(16+(A749-1)*J748,1))),"")</f>
        <v/>
      </c>
      <c r="B755" s="65"/>
      <c r="C755" s="66" t="str">
        <f ca="1">_xlfn.IFNA(INDIRECT(_xlfn.TEXTJOIN("",TRUE,A748,"!",ADDRESS(16+(A749-1)*J748,2))),"")</f>
        <v/>
      </c>
      <c r="D755" s="66"/>
      <c r="E755" s="66"/>
      <c r="F755" s="66"/>
      <c r="G755" s="66"/>
      <c r="H755" s="25" t="str">
        <f ca="1">_xlfn.IFNA(INDIRECT(_xlfn.TEXTJOIN("",TRUE,A748,"!",ADDRESS(16+(A749-1)*J748,6))),"")</f>
        <v/>
      </c>
      <c r="I755" s="25" t="str">
        <f ca="1">_xlfn.IFNA(INDIRECT(_xlfn.TEXTJOIN("",TRUE,A748,"!",ADDRESS(16+(A749-1)*J748,13))),"")</f>
        <v/>
      </c>
      <c r="J755" s="25" t="str">
        <f ca="1">_xlfn.IFNA(INDIRECT(_xlfn.TEXTJOIN("",TRUE,A748,"!",ADDRESS(16+(A749-1)*J748,14))),"")</f>
        <v/>
      </c>
    </row>
    <row r="756" spans="1:10" ht="10.5" customHeight="1" x14ac:dyDescent="0.2">
      <c r="A756" s="65" t="str">
        <f ca="1">_xlfn.IFNA(INDIRECT(_xlfn.TEXTJOIN("",TRUE,A748,"!",ADDRESS(17+(A749-1)*J748,1))),"")</f>
        <v/>
      </c>
      <c r="B756" s="65"/>
      <c r="C756" s="66" t="str">
        <f ca="1">_xlfn.IFNA(INDIRECT(_xlfn.TEXTJOIN("",TRUE,A748,"!",ADDRESS(17+(A749-1)*J748,2))),"")</f>
        <v/>
      </c>
      <c r="D756" s="66"/>
      <c r="E756" s="66"/>
      <c r="F756" s="66"/>
      <c r="G756" s="66"/>
      <c r="H756" s="25" t="str">
        <f ca="1">_xlfn.IFNA(INDIRECT(_xlfn.TEXTJOIN("",TRUE,A748,"!",ADDRESS(17+(A749-1)*J748,6))),"")</f>
        <v/>
      </c>
      <c r="I756" s="25" t="str">
        <f ca="1">_xlfn.IFNA(INDIRECT(_xlfn.TEXTJOIN("",TRUE,A748,"!",ADDRESS(17+(A749-1)*J748,13))),"")</f>
        <v/>
      </c>
      <c r="J756" s="25" t="str">
        <f ca="1">_xlfn.IFNA(INDIRECT(_xlfn.TEXTJOIN("",TRUE,A748,"!",ADDRESS(17+(A749-1)*J748,14))),"")</f>
        <v/>
      </c>
    </row>
    <row r="757" spans="1:10" ht="10.5" customHeight="1" x14ac:dyDescent="0.2">
      <c r="A757" s="65" t="str">
        <f ca="1">_xlfn.IFNA(INDIRECT(_xlfn.TEXTJOIN("",TRUE,A748,"!",ADDRESS(18+(A749-1)*J748,1))),"")</f>
        <v/>
      </c>
      <c r="B757" s="65"/>
      <c r="C757" s="66" t="str">
        <f ca="1">_xlfn.IFNA(INDIRECT(_xlfn.TEXTJOIN("",TRUE,A748,"!",ADDRESS(18+(A749-1)*J748,2))),"")</f>
        <v/>
      </c>
      <c r="D757" s="66"/>
      <c r="E757" s="66"/>
      <c r="F757" s="66"/>
      <c r="G757" s="66"/>
      <c r="H757" s="25" t="str">
        <f ca="1">_xlfn.IFNA(INDIRECT(_xlfn.TEXTJOIN("",TRUE,A748,"!",ADDRESS(18+(A749-1)*J748,6))),"")</f>
        <v/>
      </c>
      <c r="I757" s="25" t="str">
        <f ca="1">_xlfn.IFNA(INDIRECT(_xlfn.TEXTJOIN("",TRUE,A748,"!",ADDRESS(18+(A749-1)*J748,13))),"")</f>
        <v/>
      </c>
      <c r="J757" s="25" t="str">
        <f ca="1">_xlfn.IFNA(INDIRECT(_xlfn.TEXTJOIN("",TRUE,A748,"!",ADDRESS(18+(A749-1)*J748,14))),"")</f>
        <v/>
      </c>
    </row>
    <row r="758" spans="1:10" ht="10.5" customHeight="1" x14ac:dyDescent="0.2">
      <c r="A758" s="60" t="str">
        <f ca="1">_xlfn.IFNA(INDIRECT(_xlfn.TEXTJOIN("",TRUE,A748,"!",ADDRESS(19+(A749-1)*J748,1))),"")</f>
        <v/>
      </c>
      <c r="B758" s="61"/>
      <c r="C758" s="57" t="str">
        <f ca="1">_xlfn.IFNA(INDIRECT(_xlfn.TEXTJOIN("",TRUE,A748,"!",ADDRESS(19+(A749-1)*J748,2))),"")</f>
        <v/>
      </c>
      <c r="D758" s="58"/>
      <c r="E758" s="58"/>
      <c r="F758" s="58"/>
      <c r="G758" s="59"/>
      <c r="H758" s="25" t="str">
        <f ca="1">_xlfn.IFNA(INDIRECT(_xlfn.TEXTJOIN("",TRUE,A748,"!",ADDRESS(19+(A749-1)*J748,6))),"")</f>
        <v/>
      </c>
      <c r="I758" s="25" t="str">
        <f ca="1">_xlfn.IFNA(INDIRECT(_xlfn.TEXTJOIN("",TRUE,A748,"!",ADDRESS(19+(A749-1)*J748,13))),"")</f>
        <v/>
      </c>
      <c r="J758" s="25" t="str">
        <f ca="1">_xlfn.IFNA(INDIRECT(_xlfn.TEXTJOIN("",TRUE,A748,"!",ADDRESS(19+(A749-1)*J748,14))),"")</f>
        <v/>
      </c>
    </row>
    <row r="759" spans="1:10" ht="10.5" customHeight="1" x14ac:dyDescent="0.2">
      <c r="A759" s="71" t="str">
        <f ca="1">IF(ISNA(A749),"","Total Credits/ Total Grade Points")</f>
        <v/>
      </c>
      <c r="B759" s="71"/>
      <c r="C759" s="71"/>
      <c r="D759" s="71"/>
      <c r="E759" s="71"/>
      <c r="F759" s="71"/>
      <c r="G759" s="71"/>
      <c r="H759" s="27" t="str">
        <f ca="1">IF(ISNA(A749),"",SUM(H751:H758))</f>
        <v/>
      </c>
      <c r="I759" s="26" t="str">
        <f ca="1">IF(ISNA(A749),"","-")</f>
        <v/>
      </c>
      <c r="J759" s="27" t="str">
        <f ca="1">IF(ISNA(A749),"",SUMPRODUCT(J751:J758,H751:H758))</f>
        <v/>
      </c>
    </row>
    <row r="760" spans="1:10" ht="10.5" customHeight="1" x14ac:dyDescent="0.2">
      <c r="A760" s="75" t="s">
        <v>137</v>
      </c>
      <c r="B760" s="75"/>
      <c r="C760" s="75"/>
      <c r="D760" s="75"/>
      <c r="E760" s="75"/>
      <c r="F760" s="76" t="s">
        <v>138</v>
      </c>
      <c r="G760" s="76"/>
      <c r="H760" s="76"/>
      <c r="I760" s="76"/>
      <c r="J760" s="76"/>
    </row>
    <row r="761" spans="1:10" ht="10.5" customHeight="1" x14ac:dyDescent="0.2">
      <c r="A761" s="43" t="s">
        <v>139</v>
      </c>
      <c r="B761" s="43"/>
      <c r="C761" s="43"/>
      <c r="D761" s="43"/>
      <c r="E761" s="43"/>
      <c r="F761" s="43"/>
      <c r="G761" s="43"/>
      <c r="H761" s="43"/>
      <c r="I761" s="43"/>
      <c r="J761" s="43"/>
    </row>
    <row r="762" spans="1:10" ht="10.5" customHeight="1" x14ac:dyDescent="0.2">
      <c r="A762" s="10"/>
      <c r="B762" s="26"/>
      <c r="C762" s="26" t="s">
        <v>140</v>
      </c>
      <c r="D762" s="26" t="s">
        <v>141</v>
      </c>
      <c r="E762" s="26" t="s">
        <v>142</v>
      </c>
      <c r="F762" s="26" t="s">
        <v>143</v>
      </c>
      <c r="G762" s="26" t="s">
        <v>144</v>
      </c>
      <c r="H762" s="79" t="s">
        <v>145</v>
      </c>
      <c r="I762" s="79"/>
      <c r="J762" s="30"/>
    </row>
    <row r="763" spans="1:10" ht="10.5" customHeight="1" x14ac:dyDescent="0.2">
      <c r="A763" s="10"/>
      <c r="B763" s="80" t="s">
        <v>146</v>
      </c>
      <c r="C763" s="73">
        <f ca="1">J719/H719</f>
        <v>7.5</v>
      </c>
      <c r="D763" s="73" t="e">
        <f ca="1">J734/H734</f>
        <v>#VALUE!</v>
      </c>
      <c r="E763" s="73" t="str">
        <f ca="1">IFERROR(J747/H747,"")</f>
        <v/>
      </c>
      <c r="F763" s="73" t="str">
        <f ca="1">IFERROR(J759/H759,"")</f>
        <v/>
      </c>
      <c r="G763" s="82">
        <f ca="1">F765</f>
        <v>7.5</v>
      </c>
      <c r="H763" s="83" t="e">
        <f ca="1">IF(TC_IV!N165&lt;96,_xlfn.TEXTJOIN(" ",TRUE,"CARRY OVER", TC_I!V257,TC_II!V213,",",TC_III!V174,TC_IV!V164),IF(G763&gt;=8,"First Division with Distinction",IF(G763&gt;=6.5,"First Division",IF(G763&gt;=5,"Second Division",IF(G763&gt;=4,"Third Division","Fail")))))</f>
        <v>#N/A</v>
      </c>
      <c r="I763" s="83"/>
      <c r="J763" s="30"/>
    </row>
    <row r="764" spans="1:10" ht="10.5" customHeight="1" x14ac:dyDescent="0.2">
      <c r="B764" s="81"/>
      <c r="C764" s="74"/>
      <c r="D764" s="74"/>
      <c r="E764" s="74"/>
      <c r="F764" s="74"/>
      <c r="G764" s="82"/>
      <c r="H764" s="83"/>
      <c r="I764" s="83"/>
    </row>
    <row r="765" spans="1:10" ht="10.5" customHeight="1" x14ac:dyDescent="0.2">
      <c r="B765" s="80" t="s">
        <v>48</v>
      </c>
      <c r="C765" s="73">
        <f ca="1">J719/H719</f>
        <v>7.5</v>
      </c>
      <c r="D765" s="73">
        <f ca="1">SUM(J734,J719)/SUM(H734,H719)</f>
        <v>7.5</v>
      </c>
      <c r="E765" s="73">
        <f ca="1">SUM(J747,J734,J719)/SUM(H747,H734,H719)</f>
        <v>7.5</v>
      </c>
      <c r="F765" s="73">
        <f ca="1">SUM(J759,J747,J734,J719)/SUM(H719,H734,H747,H759)</f>
        <v>7.5</v>
      </c>
      <c r="G765" s="82"/>
      <c r="H765" s="83"/>
      <c r="I765" s="83"/>
    </row>
    <row r="766" spans="1:10" ht="10" customHeight="1" x14ac:dyDescent="0.2">
      <c r="B766" s="81"/>
      <c r="C766" s="74"/>
      <c r="D766" s="74"/>
      <c r="E766" s="74"/>
      <c r="F766" s="74"/>
      <c r="G766" s="82"/>
      <c r="H766" s="83"/>
      <c r="I766" s="83"/>
    </row>
    <row r="768" spans="1:10" ht="10.5" customHeight="1" x14ac:dyDescent="0.2">
      <c r="A768" s="56" t="s">
        <v>24</v>
      </c>
      <c r="B768" s="56"/>
      <c r="C768" s="56" t="str">
        <f ca="1">INDIRECT(_xlfn.TEXTJOIN("",TRUE,A770,"!",ADDRESS(9+(A771-1)*J770,2)))</f>
        <v>OJASWEE BISHT</v>
      </c>
      <c r="D768" s="56"/>
      <c r="E768" s="56"/>
      <c r="F768" s="56" t="s">
        <v>135</v>
      </c>
      <c r="G768" s="56"/>
      <c r="H768" s="62">
        <f ca="1">INDIRECT(_xlfn.TEXTJOIN("",TRUE,A770,"!",ADDRESS(9+(A771-1)*J770,9)))</f>
        <v>250090600012</v>
      </c>
      <c r="I768" s="56"/>
      <c r="J768" s="56"/>
    </row>
    <row r="769" spans="1:10" ht="10.5" customHeight="1" x14ac:dyDescent="0.2">
      <c r="A769" s="56" t="s">
        <v>25</v>
      </c>
      <c r="B769" s="56"/>
      <c r="C769" s="56" t="str">
        <f ca="1">INDIRECT(_xlfn.TEXTJOIN("",TRUE,A770,"!",ADDRESS(9+(A771-1)*J770,5)))</f>
        <v>PRAMOD BISHT</v>
      </c>
      <c r="D769" s="56"/>
      <c r="E769" s="56"/>
      <c r="F769" s="47" t="s">
        <v>136</v>
      </c>
      <c r="G769" s="47"/>
      <c r="H769" s="62" t="str">
        <f ca="1">INDIRECT(_xlfn.TEXTJOIN("",TRUE,A770,"!",ADDRESS(9+(A771-1)*J770,13)))</f>
        <v>UTU/2506100155</v>
      </c>
      <c r="I769" s="56"/>
      <c r="J769" s="56"/>
    </row>
    <row r="770" spans="1:10" ht="10.5" customHeight="1" x14ac:dyDescent="0.2">
      <c r="A770" s="24" t="s">
        <v>53</v>
      </c>
      <c r="B770" s="43" t="s">
        <v>148</v>
      </c>
      <c r="C770" s="43"/>
      <c r="D770" s="43"/>
      <c r="E770" s="43"/>
      <c r="F770" s="43"/>
      <c r="G770" s="43"/>
      <c r="H770" s="43"/>
      <c r="I770" s="43"/>
      <c r="J770" s="24">
        <f>ROWS(A774:B787)+9</f>
        <v>23</v>
      </c>
    </row>
    <row r="771" spans="1:10" ht="10.5" customHeight="1" x14ac:dyDescent="0.2">
      <c r="A771" s="24">
        <f>A702+1</f>
        <v>12</v>
      </c>
      <c r="B771" s="63"/>
      <c r="C771" s="63"/>
      <c r="D771" s="63"/>
      <c r="E771" s="63"/>
      <c r="F771" s="63"/>
      <c r="G771" s="63"/>
      <c r="H771" s="63"/>
      <c r="I771" s="63"/>
      <c r="J771" s="29"/>
    </row>
    <row r="772" spans="1:10" ht="10.5" customHeight="1" x14ac:dyDescent="0.2">
      <c r="A772" s="64" t="s">
        <v>28</v>
      </c>
      <c r="B772" s="64"/>
      <c r="C772" s="64" t="s">
        <v>29</v>
      </c>
      <c r="D772" s="64"/>
      <c r="E772" s="64"/>
      <c r="F772" s="64"/>
      <c r="G772" s="64"/>
      <c r="H772" s="64" t="s">
        <v>30</v>
      </c>
      <c r="I772" s="64" t="s">
        <v>9</v>
      </c>
      <c r="J772" s="64" t="s">
        <v>34</v>
      </c>
    </row>
    <row r="773" spans="1:10" ht="13" customHeight="1" x14ac:dyDescent="0.2">
      <c r="A773" s="64"/>
      <c r="B773" s="64"/>
      <c r="C773" s="64"/>
      <c r="D773" s="64"/>
      <c r="E773" s="64"/>
      <c r="F773" s="64"/>
      <c r="G773" s="64"/>
      <c r="H773" s="64"/>
      <c r="I773" s="64"/>
      <c r="J773" s="64"/>
    </row>
    <row r="774" spans="1:10" ht="10.5" customHeight="1" x14ac:dyDescent="0.2">
      <c r="A774" s="65" t="str">
        <f ca="1">INDIRECT(_xlfn.TEXTJOIN("",TRUE,A770,"!",ADDRESS(13+(A771-1)*J770,1)))</f>
        <v>CAT 004</v>
      </c>
      <c r="B774" s="65"/>
      <c r="C774" s="66" t="str">
        <f ca="1">INDIRECT(_xlfn.TEXTJOIN("",TRUE,A770,"!",ADDRESS(13+(A771-1)*J770,2)))</f>
        <v>Discrete Structure</v>
      </c>
      <c r="D774" s="66"/>
      <c r="E774" s="66"/>
      <c r="F774" s="66"/>
      <c r="G774" s="66"/>
      <c r="H774" s="25">
        <f ca="1">INDIRECT(_xlfn.TEXTJOIN("",TRUE,A770,"!",ADDRESS(13+(A771-1)*J770,6)))</f>
        <v>4</v>
      </c>
      <c r="I774" s="25" t="str">
        <f ca="1">INDIRECT(_xlfn.TEXTJOIN("",TRUE,A770,"!",ADDRESS(13+(A771-1)*J770,13)))</f>
        <v>C+</v>
      </c>
      <c r="J774" s="25">
        <f ca="1">INDIRECT(_xlfn.TEXTJOIN("",TRUE,A770,"!",ADDRESS(13+(A771-1)*J770,14)))</f>
        <v>7.5</v>
      </c>
    </row>
    <row r="775" spans="1:10" ht="10.5" customHeight="1" x14ac:dyDescent="0.2">
      <c r="A775" s="65" t="str">
        <f ca="1">INDIRECT(_xlfn.TEXTJOIN("",TRUE,A770,"!",ADDRESS(14+(A771-1)*J770,1)))</f>
        <v>CAT 005</v>
      </c>
      <c r="B775" s="65"/>
      <c r="C775" s="66" t="str">
        <f ca="1">INDIRECT(_xlfn.TEXTJOIN("",TRUE,A770,"!",ADDRESS(14+(A771-1)*J770,2)))</f>
        <v>Database Management System</v>
      </c>
      <c r="D775" s="66"/>
      <c r="E775" s="66"/>
      <c r="F775" s="66"/>
      <c r="G775" s="66"/>
      <c r="H775" s="25">
        <f ca="1">INDIRECT(_xlfn.TEXTJOIN("",TRUE,A770,"!",ADDRESS(14+(A771-1)*J770,6)))</f>
        <v>4</v>
      </c>
      <c r="I775" s="25" t="str">
        <f ca="1">INDIRECT(_xlfn.TEXTJOIN("",TRUE,A770,"!",ADDRESS(14+(A771-1)*J770,13)))</f>
        <v>C</v>
      </c>
      <c r="J775" s="25">
        <f ca="1">INDIRECT(_xlfn.TEXTJOIN("",TRUE,A770,"!",ADDRESS(14+(A771-1)*J770,14)))</f>
        <v>7</v>
      </c>
    </row>
    <row r="776" spans="1:10" ht="10.5" customHeight="1" x14ac:dyDescent="0.2">
      <c r="A776" s="65" t="str">
        <f ca="1">INDIRECT(_xlfn.TEXTJOIN("",TRUE,A770,"!",ADDRESS(15+(A771-1)*J770,1)))</f>
        <v>CAT 006</v>
      </c>
      <c r="B776" s="65"/>
      <c r="C776" s="66" t="str">
        <f ca="1">INDIRECT(_xlfn.TEXTJOIN("",TRUE,A770,"!",ADDRESS(15+(A771-1)*J770,2)))</f>
        <v>Operating System</v>
      </c>
      <c r="D776" s="66"/>
      <c r="E776" s="66"/>
      <c r="F776" s="66"/>
      <c r="G776" s="66"/>
      <c r="H776" s="25">
        <f ca="1">INDIRECT(_xlfn.TEXTJOIN("",TRUE,A770,"!",ADDRESS(15+(A771-1)*J770,6)))</f>
        <v>4</v>
      </c>
      <c r="I776" s="25" t="str">
        <f ca="1">INDIRECT(_xlfn.TEXTJOIN("",TRUE,A770,"!",ADDRESS(15+(A771-1)*J770,13)))</f>
        <v>B+</v>
      </c>
      <c r="J776" s="25">
        <f ca="1">INDIRECT(_xlfn.TEXTJOIN("",TRUE,A770,"!",ADDRESS(15+(A771-1)*J770,14)))</f>
        <v>8.5</v>
      </c>
    </row>
    <row r="777" spans="1:10" ht="10.5" customHeight="1" x14ac:dyDescent="0.2">
      <c r="A777" s="65" t="str">
        <f ca="1">INDIRECT(_xlfn.TEXTJOIN("",TRUE,A770,"!",ADDRESS(16+(A771-1)*J770,1)))</f>
        <v>CAT 007</v>
      </c>
      <c r="B777" s="65"/>
      <c r="C777" s="66" t="str">
        <f ca="1">INDIRECT(_xlfn.TEXTJOIN("",TRUE,A770,"!",ADDRESS(16+(A771-1)*J770,2)))</f>
        <v>Computer Organization</v>
      </c>
      <c r="D777" s="66"/>
      <c r="E777" s="66"/>
      <c r="F777" s="66"/>
      <c r="G777" s="66"/>
      <c r="H777" s="25">
        <f ca="1">INDIRECT(_xlfn.TEXTJOIN("",TRUE,A770,"!",ADDRESS(16+(A771-1)*J770,6)))</f>
        <v>4</v>
      </c>
      <c r="I777" s="25" t="str">
        <f ca="1">INDIRECT(_xlfn.TEXTJOIN("",TRUE,A770,"!",ADDRESS(16+(A771-1)*J770,13)))</f>
        <v>C</v>
      </c>
      <c r="J777" s="25">
        <f ca="1">INDIRECT(_xlfn.TEXTJOIN("",TRUE,A770,"!",ADDRESS(16+(A771-1)*J770,14)))</f>
        <v>7</v>
      </c>
    </row>
    <row r="778" spans="1:10" ht="10.5" customHeight="1" x14ac:dyDescent="0.2">
      <c r="A778" s="65" t="str">
        <f ca="1">INDIRECT(_xlfn.TEXTJOIN("",TRUE,A770,"!",ADDRESS(17+(A771-1)*J770,1)))</f>
        <v>AHT 303</v>
      </c>
      <c r="B778" s="65"/>
      <c r="C778" s="66" t="str">
        <f ca="1">INDIRECT(_xlfn.TEXTJOIN("",TRUE,A770,"!",ADDRESS(17+(A771-1)*J770,2)))</f>
        <v>Technical Communication Skills</v>
      </c>
      <c r="D778" s="66"/>
      <c r="E778" s="66"/>
      <c r="F778" s="66"/>
      <c r="G778" s="66"/>
      <c r="H778" s="25">
        <f ca="1">INDIRECT(_xlfn.TEXTJOIN("",TRUE,A770,"!",ADDRESS(17+(A771-1)*J770,6)))</f>
        <v>4</v>
      </c>
      <c r="I778" s="25" t="str">
        <f ca="1">INDIRECT(_xlfn.TEXTJOIN("",TRUE,A770,"!",ADDRESS(17+(A771-1)*J770,13)))</f>
        <v>B</v>
      </c>
      <c r="J778" s="25">
        <f ca="1">INDIRECT(_xlfn.TEXTJOIN("",TRUE,A770,"!",ADDRESS(17+(A771-1)*J770,14)))</f>
        <v>8</v>
      </c>
    </row>
    <row r="779" spans="1:10" ht="10.5" customHeight="1" x14ac:dyDescent="0.2">
      <c r="A779" s="65" t="str">
        <f ca="1">INDIRECT(_xlfn.TEXTJOIN("",TRUE,A770,"!",ADDRESS(18+(A771-1)*J770,1)))</f>
        <v>CAT 008</v>
      </c>
      <c r="B779" s="65"/>
      <c r="C779" s="66" t="str">
        <f ca="1">INDIRECT(_xlfn.TEXTJOIN("",TRUE,A770,"!",ADDRESS(18+(A771-1)*J770,2)))</f>
        <v>Python Programming ($)</v>
      </c>
      <c r="D779" s="66"/>
      <c r="E779" s="66"/>
      <c r="F779" s="66"/>
      <c r="G779" s="66"/>
      <c r="H779" s="25">
        <f ca="1">INDIRECT(_xlfn.TEXTJOIN("",TRUE,A770,"!",ADDRESS(18+(A771-1)*J770,6)))</f>
        <v>0</v>
      </c>
      <c r="I779" s="25" t="str">
        <f ca="1">INDIRECT(_xlfn.TEXTJOIN("",TRUE,A770,"!",ADDRESS(18+(A771-1)*J770,13)))</f>
        <v>C+</v>
      </c>
      <c r="J779" s="25">
        <f ca="1">INDIRECT(_xlfn.TEXTJOIN("",TRUE,A770,"!",ADDRESS(18+(A771-1)*J770,14)))</f>
        <v>7.5</v>
      </c>
    </row>
    <row r="780" spans="1:10" ht="10.5" customHeight="1" x14ac:dyDescent="0.2">
      <c r="A780" s="60" t="str">
        <f ca="1">INDIRECT(_xlfn.TEXTJOIN("",TRUE,A770,"!",ADDRESS(19+(A771-1)*J770,1)))</f>
        <v>CAT 001</v>
      </c>
      <c r="B780" s="61"/>
      <c r="C780" s="57" t="str">
        <f ca="1">INDIRECT(_xlfn.TEXTJOIN("",TRUE,A770,"!",ADDRESS(19+(A771-1)*J770,2)))</f>
        <v>Introduction of Information Technology ($)</v>
      </c>
      <c r="D780" s="58"/>
      <c r="E780" s="58"/>
      <c r="F780" s="58"/>
      <c r="G780" s="59"/>
      <c r="H780" s="25">
        <f ca="1">INDIRECT(_xlfn.TEXTJOIN("",TRUE,A770,"!",ADDRESS(19+(A771-1)*J770,6)))</f>
        <v>0</v>
      </c>
      <c r="I780" s="25" t="str">
        <f ca="1">INDIRECT(_xlfn.TEXTJOIN("",TRUE,A770,"!",ADDRESS(19+(A771-1)*J770,13)))</f>
        <v>-</v>
      </c>
      <c r="J780" s="25" t="str">
        <f ca="1">INDIRECT(_xlfn.TEXTJOIN("",TRUE,A770,"!",ADDRESS(19+(A771-1)*J770,14)))</f>
        <v>-</v>
      </c>
    </row>
    <row r="781" spans="1:10" ht="10.5" customHeight="1" x14ac:dyDescent="0.2">
      <c r="A781" s="65" t="str">
        <f ca="1">INDIRECT(_xlfn.TEXTJOIN("",TRUE,A770,"!",ADDRESS(20+(A771-1)*J770,1)))</f>
        <v>CAT 002</v>
      </c>
      <c r="B781" s="65"/>
      <c r="C781" s="66" t="str">
        <f ca="1">INDIRECT(_xlfn.TEXTJOIN("",TRUE,A770,"!",ADDRESS(20+(A771-1)*J770,2)))</f>
        <v>Programming Fundamentals with "C" ($)</v>
      </c>
      <c r="D781" s="66"/>
      <c r="E781" s="66"/>
      <c r="F781" s="66"/>
      <c r="G781" s="66"/>
      <c r="H781" s="25">
        <f ca="1">INDIRECT(_xlfn.TEXTJOIN("",TRUE,A770,"!",ADDRESS(20+(A771-1)*J770,6)))</f>
        <v>0</v>
      </c>
      <c r="I781" s="25" t="str">
        <f ca="1">INDIRECT(_xlfn.TEXTJOIN("",TRUE,A770,"!",ADDRESS(20+(A771-1)*J770,13)))</f>
        <v>-</v>
      </c>
      <c r="J781" s="25" t="str">
        <f ca="1">INDIRECT(_xlfn.TEXTJOIN("",TRUE,A770,"!",ADDRESS(20+(A771-1)*J770,14)))</f>
        <v>-</v>
      </c>
    </row>
    <row r="782" spans="1:10" ht="10.5" customHeight="1" x14ac:dyDescent="0.2">
      <c r="A782" s="65" t="str">
        <f ca="1">INDIRECT(_xlfn.TEXTJOIN("",TRUE,A770,"!",ADDRESS(21+(A771-1)*J770,1)))</f>
        <v>CAT 003</v>
      </c>
      <c r="B782" s="65"/>
      <c r="C782" s="66" t="str">
        <f ca="1">INDIRECT(_xlfn.TEXTJOIN("",TRUE,A770,"!",ADDRESS(21+(A771-1)*J770,2)))</f>
        <v>Fundamental of Web Technology ($)</v>
      </c>
      <c r="D782" s="66"/>
      <c r="E782" s="66"/>
      <c r="F782" s="66"/>
      <c r="G782" s="66"/>
      <c r="H782" s="25">
        <f ca="1">INDIRECT(_xlfn.TEXTJOIN("",TRUE,A770,"!",ADDRESS(21+(A771-1)*J770,6)))</f>
        <v>0</v>
      </c>
      <c r="I782" s="25" t="str">
        <f ca="1">INDIRECT(_xlfn.TEXTJOIN("",TRUE,A770,"!",ADDRESS(21+(A771-1)*J770,13)))</f>
        <v>-</v>
      </c>
      <c r="J782" s="25" t="str">
        <f ca="1">INDIRECT(_xlfn.TEXTJOIN("",TRUE,A770,"!",ADDRESS(21+(A771-1)*J770,14)))</f>
        <v>-</v>
      </c>
    </row>
    <row r="783" spans="1:10" ht="10.5" customHeight="1" x14ac:dyDescent="0.2">
      <c r="A783" s="65" t="str">
        <f ca="1">INDIRECT(_xlfn.TEXTJOIN("",TRUE,A770,"!",ADDRESS(22+(A771-1)*J770,1)))</f>
        <v>CAP 001</v>
      </c>
      <c r="B783" s="65"/>
      <c r="C783" s="66" t="str">
        <f ca="1">INDIRECT(_xlfn.TEXTJOIN("",TRUE,A770,"!",ADDRESS(22+(A771-1)*J770,2)))</f>
        <v>Database Management System Lab</v>
      </c>
      <c r="D783" s="66"/>
      <c r="E783" s="66"/>
      <c r="F783" s="66"/>
      <c r="G783" s="66"/>
      <c r="H783" s="25">
        <f ca="1">INDIRECT(_xlfn.TEXTJOIN("",TRUE,A770,"!",ADDRESS(22+(A771-1)*J770,6)))</f>
        <v>1</v>
      </c>
      <c r="I783" s="25" t="str">
        <f ca="1">INDIRECT(_xlfn.TEXTJOIN("",TRUE,A770,"!",ADDRESS(22+(A771-1)*J770,13)))</f>
        <v>A+</v>
      </c>
      <c r="J783" s="25">
        <f ca="1">INDIRECT(_xlfn.TEXTJOIN("",TRUE,A770,"!",ADDRESS(22+(A771-1)*J770,14)))</f>
        <v>9.5</v>
      </c>
    </row>
    <row r="784" spans="1:10" ht="10.5" customHeight="1" x14ac:dyDescent="0.2">
      <c r="A784" s="65" t="str">
        <f ca="1">INDIRECT(_xlfn.TEXTJOIN("",TRUE,A770,"!",ADDRESS(23+(A771-1)*J770,1)))</f>
        <v>CAP 002</v>
      </c>
      <c r="B784" s="65"/>
      <c r="C784" s="66" t="str">
        <f ca="1">INDIRECT(_xlfn.TEXTJOIN("",TRUE,A770,"!",ADDRESS(23+(A771-1)*J770,2)))</f>
        <v>Operating System Lab</v>
      </c>
      <c r="D784" s="66"/>
      <c r="E784" s="66"/>
      <c r="F784" s="66"/>
      <c r="G784" s="66"/>
      <c r="H784" s="25">
        <f ca="1">INDIRECT(_xlfn.TEXTJOIN("",TRUE,A770,"!",ADDRESS(23+(A771-1)*J770,6)))</f>
        <v>1</v>
      </c>
      <c r="I784" s="25" t="str">
        <f ca="1">INDIRECT(_xlfn.TEXTJOIN("",TRUE,A770,"!",ADDRESS(23+(A771-1)*J770,13)))</f>
        <v>A+</v>
      </c>
      <c r="J784" s="25">
        <f ca="1">INDIRECT(_xlfn.TEXTJOIN("",TRUE,A770,"!",ADDRESS(23+(A771-1)*J770,14)))</f>
        <v>9.5</v>
      </c>
    </row>
    <row r="785" spans="1:10" ht="10.5" customHeight="1" x14ac:dyDescent="0.2">
      <c r="A785" s="65" t="str">
        <f ca="1">INDIRECT(_xlfn.TEXTJOIN("",TRUE,A770,"!",ADDRESS(24+(A771-1)*J770,1)))</f>
        <v>CAP 003</v>
      </c>
      <c r="B785" s="65"/>
      <c r="C785" s="66" t="str">
        <f ca="1">INDIRECT(_xlfn.TEXTJOIN("",TRUE,A770,"!",ADDRESS(24+(A771-1)*J770,2)))</f>
        <v>Computer Organization Lab</v>
      </c>
      <c r="D785" s="66"/>
      <c r="E785" s="66"/>
      <c r="F785" s="66"/>
      <c r="G785" s="66"/>
      <c r="H785" s="25">
        <f ca="1">INDIRECT(_xlfn.TEXTJOIN("",TRUE,A770,"!",ADDRESS(24+(A771-1)*J770,6)))</f>
        <v>1</v>
      </c>
      <c r="I785" s="25" t="str">
        <f ca="1">INDIRECT(_xlfn.TEXTJOIN("",TRUE,A770,"!",ADDRESS(24+(A771-1)*J770,13)))</f>
        <v>A</v>
      </c>
      <c r="J785" s="25">
        <f ca="1">INDIRECT(_xlfn.TEXTJOIN("",TRUE,A770,"!",ADDRESS(24+(A771-1)*J770,14)))</f>
        <v>9</v>
      </c>
    </row>
    <row r="786" spans="1:10" ht="10.5" customHeight="1" x14ac:dyDescent="0.2">
      <c r="A786" s="65" t="str">
        <f ca="1">INDIRECT(_xlfn.TEXTJOIN("",TRUE,A770,"!",ADDRESS(25+(A771-1)*J770,1)))</f>
        <v>AHP 303</v>
      </c>
      <c r="B786" s="65"/>
      <c r="C786" s="66" t="str">
        <f ca="1">INDIRECT(_xlfn.TEXTJOIN("",TRUE,A770,"!",ADDRESS(25+(A771-1)*J770,2)))</f>
        <v>Technical Communication Skills</v>
      </c>
      <c r="D786" s="66"/>
      <c r="E786" s="66"/>
      <c r="F786" s="66"/>
      <c r="G786" s="66"/>
      <c r="H786" s="25">
        <f ca="1">INDIRECT(_xlfn.TEXTJOIN("",TRUE,A770,"!",ADDRESS(25+(A771-1)*J770,6)))</f>
        <v>1</v>
      </c>
      <c r="I786" s="25" t="str">
        <f ca="1">INDIRECT(_xlfn.TEXTJOIN("",TRUE,A770,"!",ADDRESS(25+(A771-1)*J770,13)))</f>
        <v>A</v>
      </c>
      <c r="J786" s="25">
        <f ca="1">INDIRECT(_xlfn.TEXTJOIN("",TRUE,A770,"!",ADDRESS(25+(A771-1)*J770,14)))</f>
        <v>9</v>
      </c>
    </row>
    <row r="787" spans="1:10" s="35" customFormat="1" ht="10.5" customHeight="1" x14ac:dyDescent="0.2">
      <c r="A787" s="77">
        <f ca="1">INDIRECT(_xlfn.TEXTJOIN("",TRUE,A770,"!",ADDRESS(26+(A771-1)*J770,1)))</f>
        <v>0</v>
      </c>
      <c r="B787" s="77"/>
      <c r="C787" s="78">
        <f ca="1">INDIRECT(_xlfn.TEXTJOIN("",TRUE,A770,"!",ADDRESS(26+(A771-1)*J770,2)))</f>
        <v>0</v>
      </c>
      <c r="D787" s="78"/>
      <c r="E787" s="78"/>
      <c r="F787" s="78"/>
      <c r="G787" s="78"/>
      <c r="H787" s="34">
        <f ca="1">INDIRECT(_xlfn.TEXTJOIN("",TRUE,A770,"!",ADDRESS(26+(A771-1)*J770,6)))</f>
        <v>0</v>
      </c>
      <c r="I787" s="34" t="str">
        <f ca="1">INDIRECT(_xlfn.TEXTJOIN("",TRUE,A770,"!",ADDRESS(26+(A771-1)*J770,13)))</f>
        <v>Excellent</v>
      </c>
      <c r="J787" s="34">
        <f ca="1">INDIRECT(_xlfn.TEXTJOIN("",TRUE,A770,"!",ADDRESS(26+(A771-1)*J770,14)))</f>
        <v>0</v>
      </c>
    </row>
    <row r="788" spans="1:10" ht="10.5" customHeight="1" x14ac:dyDescent="0.2">
      <c r="A788" s="71" t="s">
        <v>52</v>
      </c>
      <c r="B788" s="71"/>
      <c r="C788" s="71"/>
      <c r="D788" s="71"/>
      <c r="E788" s="71"/>
      <c r="F788" s="71"/>
      <c r="G788" s="71"/>
      <c r="H788" s="27">
        <f ca="1">SUM(H774:H787)</f>
        <v>24</v>
      </c>
      <c r="I788" s="26" t="s">
        <v>44</v>
      </c>
      <c r="J788" s="27">
        <f ca="1">SUMPRODUCT(J774:J786,H774:H786)</f>
        <v>189</v>
      </c>
    </row>
    <row r="789" spans="1:10" ht="10.5" customHeight="1" x14ac:dyDescent="0.2">
      <c r="A789" s="24" t="s">
        <v>57</v>
      </c>
      <c r="B789" s="72" t="str">
        <f ca="1">IF(ISNA(A790),"","Semester II (Spring Semester 2022-23)")</f>
        <v/>
      </c>
      <c r="C789" s="72"/>
      <c r="D789" s="72"/>
      <c r="E789" s="72"/>
      <c r="F789" s="72"/>
      <c r="G789" s="72"/>
      <c r="H789" s="72"/>
      <c r="I789" s="72"/>
      <c r="J789" s="24">
        <f>ROWS(A793:B802)+9</f>
        <v>19</v>
      </c>
    </row>
    <row r="790" spans="1:10" ht="10.5" customHeight="1" x14ac:dyDescent="0.2">
      <c r="A790" s="24" t="e">
        <f ca="1">INDEX(SEM_II!$A$6:$A$45,Marksheets!J790)</f>
        <v>#N/A</v>
      </c>
      <c r="B790" s="63"/>
      <c r="C790" s="63"/>
      <c r="D790" s="63"/>
      <c r="E790" s="63"/>
      <c r="F790" s="63"/>
      <c r="G790" s="63"/>
      <c r="H790" s="63"/>
      <c r="I790" s="63"/>
      <c r="J790" s="24" t="e">
        <f ca="1">MATCH(H768,SEM_II!$B$6:$B$45,0)</f>
        <v>#N/A</v>
      </c>
    </row>
    <row r="791" spans="1:10" ht="10.5" customHeight="1" x14ac:dyDescent="0.2">
      <c r="A791" s="64" t="str">
        <f ca="1">IF(ISNA(A790),"","Subject Code")</f>
        <v/>
      </c>
      <c r="B791" s="64"/>
      <c r="C791" s="64" t="str">
        <f ca="1">IF(ISNA(A790),"","Subject Name")</f>
        <v/>
      </c>
      <c r="D791" s="64"/>
      <c r="E791" s="64"/>
      <c r="F791" s="64"/>
      <c r="G791" s="64"/>
      <c r="H791" s="64" t="str">
        <f ca="1">IF(ISNA(A790),"","Credits")</f>
        <v/>
      </c>
      <c r="I791" s="64" t="str">
        <f ca="1">IF(ISNA(A790),"","Grade")</f>
        <v/>
      </c>
      <c r="J791" s="64" t="str">
        <f ca="1">IF(ISNA(A790),"","Grade Points")</f>
        <v/>
      </c>
    </row>
    <row r="792" spans="1:10" ht="12.5" customHeight="1" x14ac:dyDescent="0.2">
      <c r="A792" s="64"/>
      <c r="B792" s="64"/>
      <c r="C792" s="64"/>
      <c r="D792" s="64"/>
      <c r="E792" s="64"/>
      <c r="F792" s="64"/>
      <c r="G792" s="64"/>
      <c r="H792" s="64"/>
      <c r="I792" s="64"/>
      <c r="J792" s="64"/>
    </row>
    <row r="793" spans="1:10" ht="10.5" customHeight="1" x14ac:dyDescent="0.2">
      <c r="A793" s="65" t="str">
        <f ca="1">_xlfn.IFNA(INDIRECT(_xlfn.TEXTJOIN("",TRUE,A789,"!",ADDRESS(13+(A790-1)*J789,1))),"")</f>
        <v/>
      </c>
      <c r="B793" s="65"/>
      <c r="C793" s="66" t="str">
        <f ca="1">_xlfn.IFNA(INDIRECT(_xlfn.TEXTJOIN("",TRUE,A789,"!",ADDRESS(13+(A790-1)*J789,2))),"")</f>
        <v/>
      </c>
      <c r="D793" s="66"/>
      <c r="E793" s="66"/>
      <c r="F793" s="66"/>
      <c r="G793" s="66"/>
      <c r="H793" s="25" t="str">
        <f ca="1">_xlfn.IFNA(INDIRECT(_xlfn.TEXTJOIN("",TRUE,A789,"!",ADDRESS(13+(A790-1)*J789,6))),"")</f>
        <v/>
      </c>
      <c r="I793" s="25" t="str">
        <f ca="1">_xlfn.IFNA(INDIRECT(_xlfn.TEXTJOIN("",TRUE,A789,"!",ADDRESS(13+(A790-1)*J789,13))),"")</f>
        <v/>
      </c>
      <c r="J793" s="25" t="str">
        <f ca="1">_xlfn.IFNA(INDIRECT(_xlfn.TEXTJOIN("",TRUE,A789,"!",ADDRESS(13+(A790-1)*J789,14))),"")</f>
        <v/>
      </c>
    </row>
    <row r="794" spans="1:10" ht="10.5" customHeight="1" x14ac:dyDescent="0.2">
      <c r="A794" s="65" t="str">
        <f ca="1">_xlfn.IFNA(INDIRECT(_xlfn.TEXTJOIN("",TRUE,A789,"!",ADDRESS(14+(A790-1)*J789,1))),"")</f>
        <v/>
      </c>
      <c r="B794" s="65"/>
      <c r="C794" s="66" t="str">
        <f ca="1">_xlfn.IFNA(INDIRECT(_xlfn.TEXTJOIN("",TRUE,A789,"!",ADDRESS(14+(A790-1)*J789,2))),"")</f>
        <v/>
      </c>
      <c r="D794" s="66"/>
      <c r="E794" s="66"/>
      <c r="F794" s="66"/>
      <c r="G794" s="66"/>
      <c r="H794" s="25" t="str">
        <f ca="1">_xlfn.IFNA(INDIRECT(_xlfn.TEXTJOIN("",TRUE,A789,"!",ADDRESS(14+(A790-1)*J789,6))),"")</f>
        <v/>
      </c>
      <c r="I794" s="25" t="str">
        <f ca="1">_xlfn.IFNA(INDIRECT(_xlfn.TEXTJOIN("",TRUE,A789,"!",ADDRESS(14+(A790-1)*J789,13))),"")</f>
        <v/>
      </c>
      <c r="J794" s="25" t="str">
        <f ca="1">_xlfn.IFNA(INDIRECT(_xlfn.TEXTJOIN("",TRUE,A789,"!",ADDRESS(14+(A790-1)*J789,14))),"")</f>
        <v/>
      </c>
    </row>
    <row r="795" spans="1:10" ht="10.5" customHeight="1" x14ac:dyDescent="0.2">
      <c r="A795" s="65" t="str">
        <f ca="1">_xlfn.IFNA(INDIRECT(_xlfn.TEXTJOIN("",TRUE,A789,"!",ADDRESS(15+(A790-1)*J789,1))),"")</f>
        <v/>
      </c>
      <c r="B795" s="65"/>
      <c r="C795" s="66" t="str">
        <f ca="1">_xlfn.IFNA(INDIRECT(_xlfn.TEXTJOIN("",TRUE,A789,"!",ADDRESS(15+(A790-1)*J789,2))),"")</f>
        <v/>
      </c>
      <c r="D795" s="66"/>
      <c r="E795" s="66"/>
      <c r="F795" s="66"/>
      <c r="G795" s="66"/>
      <c r="H795" s="25" t="str">
        <f ca="1">_xlfn.IFNA(INDIRECT(_xlfn.TEXTJOIN("",TRUE,A789,"!",ADDRESS(15+(A790-1)*J789,6))),"")</f>
        <v/>
      </c>
      <c r="I795" s="25" t="str">
        <f ca="1">_xlfn.IFNA(INDIRECT(_xlfn.TEXTJOIN("",TRUE,A789,"!",ADDRESS(15+(A790-1)*J789,13))),"")</f>
        <v/>
      </c>
      <c r="J795" s="25" t="str">
        <f ca="1">_xlfn.IFNA(INDIRECT(_xlfn.TEXTJOIN("",TRUE,A789,"!",ADDRESS(15+(A790-1)*J789,14))),"")</f>
        <v/>
      </c>
    </row>
    <row r="796" spans="1:10" ht="10.5" customHeight="1" x14ac:dyDescent="0.2">
      <c r="A796" s="65" t="str">
        <f ca="1">_xlfn.IFNA(INDIRECT(_xlfn.TEXTJOIN("",TRUE,A789,"!",ADDRESS(16+(A790-1)*J789,1))),"")</f>
        <v/>
      </c>
      <c r="B796" s="65"/>
      <c r="C796" s="66" t="str">
        <f ca="1">_xlfn.IFNA(INDIRECT(_xlfn.TEXTJOIN("",TRUE,A789,"!",ADDRESS(16+(A790-1)*J789,2))),"")</f>
        <v/>
      </c>
      <c r="D796" s="66"/>
      <c r="E796" s="66"/>
      <c r="F796" s="66"/>
      <c r="G796" s="66"/>
      <c r="H796" s="25" t="str">
        <f ca="1">_xlfn.IFNA(INDIRECT(_xlfn.TEXTJOIN("",TRUE,A789,"!",ADDRESS(16+(A790-1)*J789,6))),"")</f>
        <v/>
      </c>
      <c r="I796" s="25" t="str">
        <f ca="1">_xlfn.IFNA(INDIRECT(_xlfn.TEXTJOIN("",TRUE,A789,"!",ADDRESS(16+(A790-1)*J789,13))),"")</f>
        <v/>
      </c>
      <c r="J796" s="25" t="str">
        <f ca="1">_xlfn.IFNA(INDIRECT(_xlfn.TEXTJOIN("",TRUE,A789,"!",ADDRESS(16+(A790-1)*J789,14))),"")</f>
        <v/>
      </c>
    </row>
    <row r="797" spans="1:10" ht="10.5" customHeight="1" x14ac:dyDescent="0.2">
      <c r="A797" s="65" t="str">
        <f ca="1">_xlfn.IFNA(INDIRECT(_xlfn.TEXTJOIN("",TRUE,A789,"!",ADDRESS(17+(A790-1)*J789,1))),"")</f>
        <v/>
      </c>
      <c r="B797" s="65"/>
      <c r="C797" s="66" t="str">
        <f ca="1">_xlfn.IFNA(INDIRECT(_xlfn.TEXTJOIN("",TRUE,A789,"!",ADDRESS(17+(A790-1)*J789,2))),"")</f>
        <v/>
      </c>
      <c r="D797" s="66"/>
      <c r="E797" s="66"/>
      <c r="F797" s="66"/>
      <c r="G797" s="66"/>
      <c r="H797" s="25" t="str">
        <f ca="1">_xlfn.IFNA(INDIRECT(_xlfn.TEXTJOIN("",TRUE,A789,"!",ADDRESS(17+(A790-1)*J789,6))),"")</f>
        <v/>
      </c>
      <c r="I797" s="25" t="str">
        <f ca="1">_xlfn.IFNA(INDIRECT(_xlfn.TEXTJOIN("",TRUE,A789,"!",ADDRESS(17+(A790-1)*J789,13))),"")</f>
        <v/>
      </c>
      <c r="J797" s="25" t="str">
        <f ca="1">_xlfn.IFNA(INDIRECT(_xlfn.TEXTJOIN("",TRUE,A789,"!",ADDRESS(17+(A790-1)*J789,14))),"")</f>
        <v/>
      </c>
    </row>
    <row r="798" spans="1:10" ht="10.5" customHeight="1" x14ac:dyDescent="0.2">
      <c r="A798" s="65" t="str">
        <f ca="1">_xlfn.IFNA(INDIRECT(_xlfn.TEXTJOIN("",TRUE,A789,"!",ADDRESS(18+(A790-1)*J789,1))),"")</f>
        <v/>
      </c>
      <c r="B798" s="65"/>
      <c r="C798" s="66" t="str">
        <f ca="1">_xlfn.IFNA(INDIRECT(_xlfn.TEXTJOIN("",TRUE,A789,"!",ADDRESS(18+(A790-1)*J789,2))),"")</f>
        <v/>
      </c>
      <c r="D798" s="66"/>
      <c r="E798" s="66"/>
      <c r="F798" s="66"/>
      <c r="G798" s="66"/>
      <c r="H798" s="25" t="str">
        <f ca="1">_xlfn.IFNA(INDIRECT(_xlfn.TEXTJOIN("",TRUE,A789,"!",ADDRESS(18+(A790-1)*J789,6))),"")</f>
        <v/>
      </c>
      <c r="I798" s="25" t="str">
        <f ca="1">_xlfn.IFNA(INDIRECT(_xlfn.TEXTJOIN("",TRUE,A789,"!",ADDRESS(18+(A790-1)*J789,13))),"")</f>
        <v/>
      </c>
      <c r="J798" s="25" t="str">
        <f ca="1">_xlfn.IFNA(INDIRECT(_xlfn.TEXTJOIN("",TRUE,A789,"!",ADDRESS(18+(A790-1)*J789,14))),"")</f>
        <v/>
      </c>
    </row>
    <row r="799" spans="1:10" ht="10.5" customHeight="1" x14ac:dyDescent="0.2">
      <c r="A799" s="60" t="str">
        <f ca="1">_xlfn.IFNA(INDIRECT(_xlfn.TEXTJOIN("",TRUE,A789,"!",ADDRESS(19+(A790-1)*J789,1))),"")</f>
        <v/>
      </c>
      <c r="B799" s="61"/>
      <c r="C799" s="57" t="str">
        <f ca="1">_xlfn.IFNA(INDIRECT(_xlfn.TEXTJOIN("",TRUE,A789,"!",ADDRESS(19+(A790-1)*J789,2))),"")</f>
        <v/>
      </c>
      <c r="D799" s="58"/>
      <c r="E799" s="58"/>
      <c r="F799" s="58"/>
      <c r="G799" s="59"/>
      <c r="H799" s="25" t="str">
        <f ca="1">_xlfn.IFNA(INDIRECT(_xlfn.TEXTJOIN("",TRUE,A789,"!",ADDRESS(19+(A790-1)*J789,6))),"")</f>
        <v/>
      </c>
      <c r="I799" s="25" t="str">
        <f ca="1">_xlfn.IFNA(INDIRECT(_xlfn.TEXTJOIN("",TRUE,A789,"!",ADDRESS(19+(A790-1)*J789,13))),"")</f>
        <v/>
      </c>
      <c r="J799" s="25" t="str">
        <f ca="1">_xlfn.IFNA(INDIRECT(_xlfn.TEXTJOIN("",TRUE,A789,"!",ADDRESS(19+(A790-1)*J789,14))),"")</f>
        <v/>
      </c>
    </row>
    <row r="800" spans="1:10" ht="10.5" customHeight="1" x14ac:dyDescent="0.2">
      <c r="A800" s="65" t="str">
        <f ca="1">_xlfn.IFNA(INDIRECT(_xlfn.TEXTJOIN("",TRUE,A789,"!",ADDRESS(20+(A790-1)*J789,1))),"")</f>
        <v/>
      </c>
      <c r="B800" s="65"/>
      <c r="C800" s="66" t="str">
        <f ca="1">_xlfn.IFNA(INDIRECT(_xlfn.TEXTJOIN("",TRUE,A789,"!",ADDRESS(20+(A790-1)*J789,2))),"")</f>
        <v/>
      </c>
      <c r="D800" s="66"/>
      <c r="E800" s="66"/>
      <c r="F800" s="66"/>
      <c r="G800" s="66"/>
      <c r="H800" s="25" t="str">
        <f ca="1">_xlfn.IFNA(INDIRECT(_xlfn.TEXTJOIN("",TRUE,A789,"!",ADDRESS(20+(A790-1)*J789,6))),"")</f>
        <v/>
      </c>
      <c r="I800" s="25" t="str">
        <f ca="1">_xlfn.IFNA(INDIRECT(_xlfn.TEXTJOIN("",TRUE,A789,"!",ADDRESS(20+(A790-1)*J789,13))),"")</f>
        <v/>
      </c>
      <c r="J800" s="25" t="str">
        <f ca="1">_xlfn.IFNA(INDIRECT(_xlfn.TEXTJOIN("",TRUE,A789,"!",ADDRESS(20+(A790-1)*J789,14))),"")</f>
        <v/>
      </c>
    </row>
    <row r="801" spans="1:10" ht="10.5" customHeight="1" x14ac:dyDescent="0.2">
      <c r="A801" s="65" t="str">
        <f ca="1">_xlfn.IFNA(INDIRECT(_xlfn.TEXTJOIN("",TRUE,A789,"!",ADDRESS(21+(A790-1)*J789,1))),"")</f>
        <v/>
      </c>
      <c r="B801" s="65"/>
      <c r="C801" s="66" t="str">
        <f ca="1">_xlfn.IFNA(INDIRECT(_xlfn.TEXTJOIN("",TRUE,A789,"!",ADDRESS(21+(A790-1)*J789,2))),"")</f>
        <v/>
      </c>
      <c r="D801" s="66"/>
      <c r="E801" s="66"/>
      <c r="F801" s="66"/>
      <c r="G801" s="66"/>
      <c r="H801" s="25" t="str">
        <f ca="1">_xlfn.IFNA(INDIRECT(_xlfn.TEXTJOIN("",TRUE,A789,"!",ADDRESS(21+(A790-1)*J789,6))),"")</f>
        <v/>
      </c>
      <c r="I801" s="25" t="str">
        <f ca="1">_xlfn.IFNA(INDIRECT(_xlfn.TEXTJOIN("",TRUE,A789,"!",ADDRESS(21+(A790-1)*J789,13))),"")</f>
        <v/>
      </c>
      <c r="J801" s="25" t="str">
        <f ca="1">_xlfn.IFNA(INDIRECT(_xlfn.TEXTJOIN("",TRUE,A789,"!",ADDRESS(21+(A790-1)*J789,14))),"")</f>
        <v/>
      </c>
    </row>
    <row r="802" spans="1:10" ht="10.5" customHeight="1" x14ac:dyDescent="0.2">
      <c r="A802" s="65" t="str">
        <f ca="1">_xlfn.IFNA(INDIRECT(_xlfn.TEXTJOIN("",TRUE,A789,"!",ADDRESS(22+(A790-1)*J789,1))),"")</f>
        <v/>
      </c>
      <c r="B802" s="65"/>
      <c r="C802" s="66" t="str">
        <f ca="1">_xlfn.IFNA(INDIRECT(_xlfn.TEXTJOIN("",TRUE,A789,"!",ADDRESS(22+(A790-1)*J789,2))),"")</f>
        <v/>
      </c>
      <c r="D802" s="66"/>
      <c r="E802" s="66"/>
      <c r="F802" s="66"/>
      <c r="G802" s="66"/>
      <c r="H802" s="25" t="str">
        <f ca="1">_xlfn.IFNA(INDIRECT(_xlfn.TEXTJOIN("",TRUE,A789,"!",ADDRESS(22+(A790-1)*J789,6))),"")</f>
        <v/>
      </c>
      <c r="I802" s="25" t="str">
        <f ca="1">_xlfn.IFNA(INDIRECT(_xlfn.TEXTJOIN("",TRUE,A789,"!",ADDRESS(22+(A790-1)*J789,13))),"")</f>
        <v/>
      </c>
      <c r="J802" s="25" t="str">
        <f ca="1">_xlfn.IFNA(INDIRECT(_xlfn.TEXTJOIN("",TRUE,A789,"!",ADDRESS(22+(A790-1)*J789,14))),"")</f>
        <v/>
      </c>
    </row>
    <row r="803" spans="1:10" ht="10.5" customHeight="1" x14ac:dyDescent="0.2">
      <c r="A803" s="71" t="str">
        <f ca="1">IF(ISNA(A790),"","Total Credits/ Total Grade Points")</f>
        <v/>
      </c>
      <c r="B803" s="71"/>
      <c r="C803" s="71"/>
      <c r="D803" s="71"/>
      <c r="E803" s="71"/>
      <c r="F803" s="71"/>
      <c r="G803" s="71"/>
      <c r="H803" s="27" t="str">
        <f ca="1">IF(ISNA(A790),"",SUM(H793:H802))</f>
        <v/>
      </c>
      <c r="I803" s="26" t="str">
        <f ca="1">IF(ISNA(A790),"","-")</f>
        <v/>
      </c>
      <c r="J803" s="27" t="str">
        <f ca="1">IF(ISNA(A790),"",SUMPRODUCT(J793:J802,H793:H802))</f>
        <v/>
      </c>
    </row>
    <row r="804" spans="1:10" ht="10.5" customHeight="1" x14ac:dyDescent="0.2">
      <c r="A804" s="24" t="s">
        <v>60</v>
      </c>
      <c r="B804" s="72" t="str">
        <f ca="1">IF(ISNA(A805),"","Semester III (Autumn Semester 2023-24)")</f>
        <v/>
      </c>
      <c r="C804" s="72"/>
      <c r="D804" s="72"/>
      <c r="E804" s="72"/>
      <c r="F804" s="72"/>
      <c r="G804" s="72"/>
      <c r="H804" s="72"/>
      <c r="I804" s="72"/>
      <c r="J804" s="24">
        <f>ROWS(A808:B815)+9</f>
        <v>17</v>
      </c>
    </row>
    <row r="805" spans="1:10" ht="10.5" customHeight="1" x14ac:dyDescent="0.2">
      <c r="A805" s="24" t="e">
        <f ca="1">INDEX(SEM_III!$A$6:$A$43,Marksheets!J805)</f>
        <v>#N/A</v>
      </c>
      <c r="B805" s="63"/>
      <c r="C805" s="63"/>
      <c r="D805" s="63"/>
      <c r="E805" s="63"/>
      <c r="F805" s="63"/>
      <c r="G805" s="63"/>
      <c r="H805" s="63"/>
      <c r="I805" s="63"/>
      <c r="J805" s="24" t="e">
        <f ca="1">MATCH(H768,SEM_III!$B$6:$B$43,0)</f>
        <v>#N/A</v>
      </c>
    </row>
    <row r="806" spans="1:10" ht="10.5" customHeight="1" x14ac:dyDescent="0.2">
      <c r="A806" s="64" t="str">
        <f ca="1">IF(ISNA(A805),"","Subject Code")</f>
        <v/>
      </c>
      <c r="B806" s="64"/>
      <c r="C806" s="64" t="str">
        <f ca="1">IF(ISNA(A805),"","Subject Name")</f>
        <v/>
      </c>
      <c r="D806" s="64"/>
      <c r="E806" s="64"/>
      <c r="F806" s="64"/>
      <c r="G806" s="64"/>
      <c r="H806" s="64" t="str">
        <f ca="1">IF(ISNA(A805),"","Credits")</f>
        <v/>
      </c>
      <c r="I806" s="64" t="str">
        <f ca="1">IF(ISNA(A805),"","Grade")</f>
        <v/>
      </c>
      <c r="J806" s="64" t="str">
        <f ca="1">IF(ISNA(A805),"","Grade Points")</f>
        <v/>
      </c>
    </row>
    <row r="807" spans="1:10" ht="11.5" customHeight="1" x14ac:dyDescent="0.2">
      <c r="A807" s="64"/>
      <c r="B807" s="64"/>
      <c r="C807" s="64"/>
      <c r="D807" s="64"/>
      <c r="E807" s="64"/>
      <c r="F807" s="64"/>
      <c r="G807" s="64"/>
      <c r="H807" s="64"/>
      <c r="I807" s="64"/>
      <c r="J807" s="64"/>
    </row>
    <row r="808" spans="1:10" ht="10.5" customHeight="1" x14ac:dyDescent="0.2">
      <c r="A808" s="65" t="str">
        <f ca="1">_xlfn.IFNA(INDIRECT(_xlfn.TEXTJOIN("",TRUE,A804,"!",ADDRESS(13+(A805-1)*J804,1))),"")</f>
        <v/>
      </c>
      <c r="B808" s="65"/>
      <c r="C808" s="66" t="str">
        <f ca="1">_xlfn.IFNA(INDIRECT(_xlfn.TEXTJOIN("",TRUE,A804,"!",ADDRESS(13+(A805-1)*J804,2))),"")</f>
        <v/>
      </c>
      <c r="D808" s="66"/>
      <c r="E808" s="66"/>
      <c r="F808" s="66"/>
      <c r="G808" s="66"/>
      <c r="H808" s="25" t="str">
        <f ca="1">_xlfn.IFNA(INDIRECT(_xlfn.TEXTJOIN("",TRUE,A804,"!",ADDRESS(13+(A805-1)*J804,6))),"")</f>
        <v/>
      </c>
      <c r="I808" s="25" t="str">
        <f ca="1">_xlfn.IFNA(INDIRECT(_xlfn.TEXTJOIN("",TRUE,A804,"!",ADDRESS(13+(A805-1)*J804,13))),"")</f>
        <v/>
      </c>
      <c r="J808" s="25" t="str">
        <f ca="1">_xlfn.IFNA(INDIRECT(_xlfn.TEXTJOIN("",TRUE,A804,"!",ADDRESS(13+(A805-1)*J804,14))),"")</f>
        <v/>
      </c>
    </row>
    <row r="809" spans="1:10" ht="10.5" customHeight="1" x14ac:dyDescent="0.2">
      <c r="A809" s="65" t="str">
        <f ca="1">_xlfn.IFNA(INDIRECT(_xlfn.TEXTJOIN("",TRUE,A804,"!",ADDRESS(14+(A805-1)*J804,1))),"")</f>
        <v/>
      </c>
      <c r="B809" s="65"/>
      <c r="C809" s="66" t="str">
        <f ca="1">_xlfn.IFNA(INDIRECT(_xlfn.TEXTJOIN("",TRUE,A804,"!",ADDRESS(14+(A805-1)*J804,2))),"")</f>
        <v/>
      </c>
      <c r="D809" s="66"/>
      <c r="E809" s="66"/>
      <c r="F809" s="66"/>
      <c r="G809" s="66"/>
      <c r="H809" s="25" t="str">
        <f ca="1">_xlfn.IFNA(INDIRECT(_xlfn.TEXTJOIN("",TRUE,A804,"!",ADDRESS(14+(A805-1)*J804,6))),"")</f>
        <v/>
      </c>
      <c r="I809" s="25" t="str">
        <f ca="1">_xlfn.IFNA(INDIRECT(_xlfn.TEXTJOIN("",TRUE,A804,"!",ADDRESS(14+(A805-1)*J804,13))),"")</f>
        <v/>
      </c>
      <c r="J809" s="25" t="str">
        <f ca="1">_xlfn.IFNA(INDIRECT(_xlfn.TEXTJOIN("",TRUE,A804,"!",ADDRESS(14+(A805-1)*J804,14))),"")</f>
        <v/>
      </c>
    </row>
    <row r="810" spans="1:10" ht="10.5" customHeight="1" x14ac:dyDescent="0.2">
      <c r="A810" s="65" t="str">
        <f ca="1">_xlfn.IFNA(INDIRECT(_xlfn.TEXTJOIN("",TRUE,A804,"!",ADDRESS(15+(A805-1)*J804,1))),"")</f>
        <v/>
      </c>
      <c r="B810" s="65"/>
      <c r="C810" s="66" t="str">
        <f ca="1">_xlfn.IFNA(INDIRECT(_xlfn.TEXTJOIN("",TRUE,A804,"!",ADDRESS(15+(A805-1)*J804,2))),"")</f>
        <v/>
      </c>
      <c r="D810" s="66"/>
      <c r="E810" s="66"/>
      <c r="F810" s="66"/>
      <c r="G810" s="66"/>
      <c r="H810" s="25" t="str">
        <f ca="1">_xlfn.IFNA(INDIRECT(_xlfn.TEXTJOIN("",TRUE,A804,"!",ADDRESS(15+(A805-1)*J804,6))),"")</f>
        <v/>
      </c>
      <c r="I810" s="25" t="str">
        <f ca="1">_xlfn.IFNA(INDIRECT(_xlfn.TEXTJOIN("",TRUE,A804,"!",ADDRESS(15+(A805-1)*J804,13))),"")</f>
        <v/>
      </c>
      <c r="J810" s="25" t="str">
        <f ca="1">_xlfn.IFNA(INDIRECT(_xlfn.TEXTJOIN("",TRUE,A804,"!",ADDRESS(15+(A805-1)*J804,14))),"")</f>
        <v/>
      </c>
    </row>
    <row r="811" spans="1:10" ht="10.5" customHeight="1" x14ac:dyDescent="0.2">
      <c r="A811" s="65" t="str">
        <f ca="1">_xlfn.IFNA(INDIRECT(_xlfn.TEXTJOIN("",TRUE,A804,"!",ADDRESS(16+(A805-1)*J804,1))),"")</f>
        <v/>
      </c>
      <c r="B811" s="65"/>
      <c r="C811" s="66" t="str">
        <f ca="1">_xlfn.IFNA(INDIRECT(_xlfn.TEXTJOIN("",TRUE,A804,"!",ADDRESS(16+(A805-1)*J804,2))),"")</f>
        <v/>
      </c>
      <c r="D811" s="66"/>
      <c r="E811" s="66"/>
      <c r="F811" s="66"/>
      <c r="G811" s="66"/>
      <c r="H811" s="25" t="str">
        <f ca="1">_xlfn.IFNA(INDIRECT(_xlfn.TEXTJOIN("",TRUE,A804,"!",ADDRESS(16+(A805-1)*J804,6))),"")</f>
        <v/>
      </c>
      <c r="I811" s="25" t="str">
        <f ca="1">_xlfn.IFNA(INDIRECT(_xlfn.TEXTJOIN("",TRUE,A804,"!",ADDRESS(16+(A805-1)*J804,13))),"")</f>
        <v/>
      </c>
      <c r="J811" s="25" t="str">
        <f ca="1">_xlfn.IFNA(INDIRECT(_xlfn.TEXTJOIN("",TRUE,A804,"!",ADDRESS(16+(A805-1)*J804,14))),"")</f>
        <v/>
      </c>
    </row>
    <row r="812" spans="1:10" ht="10.5" customHeight="1" x14ac:dyDescent="0.2">
      <c r="A812" s="65" t="str">
        <f ca="1">_xlfn.IFNA(INDIRECT(_xlfn.TEXTJOIN("",TRUE,A804,"!",ADDRESS(17+(A805-1)*J804,1))),"")</f>
        <v/>
      </c>
      <c r="B812" s="65"/>
      <c r="C812" s="66" t="str">
        <f ca="1">_xlfn.IFNA(INDIRECT(_xlfn.TEXTJOIN("",TRUE,A804,"!",ADDRESS(17+(A805-1)*J804,2))),"")</f>
        <v/>
      </c>
      <c r="D812" s="66"/>
      <c r="E812" s="66"/>
      <c r="F812" s="66"/>
      <c r="G812" s="66"/>
      <c r="H812" s="25" t="str">
        <f ca="1">_xlfn.IFNA(INDIRECT(_xlfn.TEXTJOIN("",TRUE,A804,"!",ADDRESS(17+(A805-1)*J804,6))),"")</f>
        <v/>
      </c>
      <c r="I812" s="25" t="str">
        <f ca="1">_xlfn.IFNA(INDIRECT(_xlfn.TEXTJOIN("",TRUE,A804,"!",ADDRESS(17+(A805-1)*J804,13))),"")</f>
        <v/>
      </c>
      <c r="J812" s="25" t="str">
        <f ca="1">_xlfn.IFNA(INDIRECT(_xlfn.TEXTJOIN("",TRUE,A804,"!",ADDRESS(17+(A805-1)*J804,14))),"")</f>
        <v/>
      </c>
    </row>
    <row r="813" spans="1:10" ht="10.5" customHeight="1" x14ac:dyDescent="0.2">
      <c r="A813" s="65" t="str">
        <f ca="1">_xlfn.IFNA(INDIRECT(_xlfn.TEXTJOIN("",TRUE,A804,"!",ADDRESS(18+(A805-1)*J804,1))),"")</f>
        <v/>
      </c>
      <c r="B813" s="65"/>
      <c r="C813" s="66" t="str">
        <f ca="1">_xlfn.IFNA(INDIRECT(_xlfn.TEXTJOIN("",TRUE,A804,"!",ADDRESS(18+(A805-1)*J804,2))),"")</f>
        <v/>
      </c>
      <c r="D813" s="66"/>
      <c r="E813" s="66"/>
      <c r="F813" s="66"/>
      <c r="G813" s="66"/>
      <c r="H813" s="25" t="str">
        <f ca="1">_xlfn.IFNA(INDIRECT(_xlfn.TEXTJOIN("",TRUE,A804,"!",ADDRESS(18+(A805-1)*J804,6))),"")</f>
        <v/>
      </c>
      <c r="I813" s="25" t="str">
        <f ca="1">_xlfn.IFNA(INDIRECT(_xlfn.TEXTJOIN("",TRUE,A804,"!",ADDRESS(18+(A805-1)*J804,13))),"")</f>
        <v/>
      </c>
      <c r="J813" s="25" t="str">
        <f ca="1">_xlfn.IFNA(INDIRECT(_xlfn.TEXTJOIN("",TRUE,A804,"!",ADDRESS(18+(A805-1)*J804,14))),"")</f>
        <v/>
      </c>
    </row>
    <row r="814" spans="1:10" ht="10.5" customHeight="1" x14ac:dyDescent="0.2">
      <c r="A814" s="60" t="str">
        <f ca="1">_xlfn.IFNA(INDIRECT(_xlfn.TEXTJOIN("",TRUE,A804,"!",ADDRESS(19+(A805-1)*J804,1))),"")</f>
        <v/>
      </c>
      <c r="B814" s="61"/>
      <c r="C814" s="57" t="str">
        <f ca="1">_xlfn.IFNA(INDIRECT(_xlfn.TEXTJOIN("",TRUE,A804,"!",ADDRESS(19+(A805-1)*J804,2))),"")</f>
        <v/>
      </c>
      <c r="D814" s="58"/>
      <c r="E814" s="58"/>
      <c r="F814" s="58"/>
      <c r="G814" s="59"/>
      <c r="H814" s="25" t="str">
        <f ca="1">_xlfn.IFNA(INDIRECT(_xlfn.TEXTJOIN("",TRUE,A804,"!",ADDRESS(19+(A805-1)*J804,6))),"")</f>
        <v/>
      </c>
      <c r="I814" s="25" t="str">
        <f ca="1">_xlfn.IFNA(INDIRECT(_xlfn.TEXTJOIN("",TRUE,A804,"!",ADDRESS(19+(A805-1)*J804,13))),"")</f>
        <v/>
      </c>
      <c r="J814" s="25" t="str">
        <f ca="1">_xlfn.IFNA(INDIRECT(_xlfn.TEXTJOIN("",TRUE,A804,"!",ADDRESS(19+(A805-1)*J804,14))),"")</f>
        <v/>
      </c>
    </row>
    <row r="815" spans="1:10" ht="10.5" customHeight="1" x14ac:dyDescent="0.2">
      <c r="A815" s="65" t="str">
        <f ca="1">_xlfn.IFNA(INDIRECT(_xlfn.TEXTJOIN("",TRUE,A804,"!",ADDRESS(20+(A805-1)*J804,1))),"")</f>
        <v/>
      </c>
      <c r="B815" s="65"/>
      <c r="C815" s="66" t="str">
        <f ca="1">_xlfn.IFNA(INDIRECT(_xlfn.TEXTJOIN("",TRUE,A804,"!",ADDRESS(20+(A805-1)*J804,2))),"")</f>
        <v/>
      </c>
      <c r="D815" s="66"/>
      <c r="E815" s="66"/>
      <c r="F815" s="66"/>
      <c r="G815" s="66"/>
      <c r="H815" s="25" t="str">
        <f ca="1">_xlfn.IFNA(INDIRECT(_xlfn.TEXTJOIN("",TRUE,A804,"!",ADDRESS(20+(A805-1)*J804,6))),"")</f>
        <v/>
      </c>
      <c r="I815" s="25" t="str">
        <f ca="1">_xlfn.IFNA(INDIRECT(_xlfn.TEXTJOIN("",TRUE,A804,"!",ADDRESS(20+(A805-1)*J804,13))),"")</f>
        <v/>
      </c>
      <c r="J815" s="25" t="str">
        <f ca="1">_xlfn.IFNA(INDIRECT(_xlfn.TEXTJOIN("",TRUE,A804,"!",ADDRESS(20+(A805-1)*J804,14))),"")</f>
        <v/>
      </c>
    </row>
    <row r="816" spans="1:10" ht="10.5" customHeight="1" x14ac:dyDescent="0.2">
      <c r="A816" s="71" t="str">
        <f ca="1">IF(ISNA(A805),"","Total Credits/ Total Grade Points")</f>
        <v/>
      </c>
      <c r="B816" s="71"/>
      <c r="C816" s="71"/>
      <c r="D816" s="71"/>
      <c r="E816" s="71"/>
      <c r="F816" s="71"/>
      <c r="G816" s="71"/>
      <c r="H816" s="27" t="str">
        <f ca="1">IF(ISNA(A805),"",SUM(H808:H815))</f>
        <v/>
      </c>
      <c r="I816" s="26" t="str">
        <f ca="1">IF(ISNA(A805),"","-")</f>
        <v/>
      </c>
      <c r="J816" s="27" t="str">
        <f ca="1">IF(ISNA(A805),"",SUMPRODUCT(J808:J815,H808:H815))</f>
        <v/>
      </c>
    </row>
    <row r="817" spans="1:10" ht="10.5" customHeight="1" x14ac:dyDescent="0.2">
      <c r="A817" s="24" t="s">
        <v>133</v>
      </c>
      <c r="B817" s="72" t="str">
        <f ca="1">IF(ISNA(A818),"","Semester IV (Spring Semester 2023-24)")</f>
        <v/>
      </c>
      <c r="C817" s="72"/>
      <c r="D817" s="72"/>
      <c r="E817" s="72"/>
      <c r="F817" s="72"/>
      <c r="G817" s="72"/>
      <c r="H817" s="72"/>
      <c r="I817" s="72"/>
      <c r="J817" s="24">
        <f>ROWS(A821:B827)+9</f>
        <v>16</v>
      </c>
    </row>
    <row r="818" spans="1:10" ht="10.5" customHeight="1" x14ac:dyDescent="0.2">
      <c r="A818" s="24" t="e">
        <f ca="1">INDEX(SEM_IV!$A$6:$A$43,Marksheets!J818)</f>
        <v>#N/A</v>
      </c>
      <c r="B818" s="63"/>
      <c r="C818" s="63"/>
      <c r="D818" s="63"/>
      <c r="E818" s="63"/>
      <c r="F818" s="63"/>
      <c r="G818" s="63"/>
      <c r="H818" s="63"/>
      <c r="I818" s="63"/>
      <c r="J818" s="24" t="e">
        <f ca="1">MATCH(H768,SEM_IV!$B$6:$B$43,0)</f>
        <v>#N/A</v>
      </c>
    </row>
    <row r="819" spans="1:10" ht="10.5" customHeight="1" x14ac:dyDescent="0.2">
      <c r="A819" s="64" t="str">
        <f ca="1">IF(ISNA(A818),"","Subject Code")</f>
        <v/>
      </c>
      <c r="B819" s="64"/>
      <c r="C819" s="64" t="str">
        <f ca="1">IF(ISNA(A818),"","Subject Name")</f>
        <v/>
      </c>
      <c r="D819" s="64"/>
      <c r="E819" s="64"/>
      <c r="F819" s="64"/>
      <c r="G819" s="64"/>
      <c r="H819" s="64" t="str">
        <f ca="1">IF(ISNA(A818),"","Credits")</f>
        <v/>
      </c>
      <c r="I819" s="64" t="str">
        <f ca="1">IF(ISNA(A818),"","Grade")</f>
        <v/>
      </c>
      <c r="J819" s="64" t="str">
        <f ca="1">IF(ISNA(A818),"","Grade Points")</f>
        <v/>
      </c>
    </row>
    <row r="820" spans="1:10" ht="13" customHeight="1" x14ac:dyDescent="0.2">
      <c r="A820" s="64"/>
      <c r="B820" s="64"/>
      <c r="C820" s="64"/>
      <c r="D820" s="64"/>
      <c r="E820" s="64"/>
      <c r="F820" s="64"/>
      <c r="G820" s="64"/>
      <c r="H820" s="64"/>
      <c r="I820" s="64"/>
      <c r="J820" s="64"/>
    </row>
    <row r="821" spans="1:10" ht="10.5" customHeight="1" x14ac:dyDescent="0.2">
      <c r="A821" s="65" t="str">
        <f ca="1">_xlfn.IFNA(INDIRECT(_xlfn.TEXTJOIN("",TRUE,A817,"!",ADDRESS(13+(A818-1)*J817,1))),"")</f>
        <v/>
      </c>
      <c r="B821" s="65"/>
      <c r="C821" s="66" t="str">
        <f ca="1">_xlfn.IFNA(INDIRECT(_xlfn.TEXTJOIN("",TRUE,A817,"!",ADDRESS(13+(A818-1)*J817,2))),"")</f>
        <v/>
      </c>
      <c r="D821" s="66"/>
      <c r="E821" s="66"/>
      <c r="F821" s="66"/>
      <c r="G821" s="66"/>
      <c r="H821" s="25" t="str">
        <f ca="1">_xlfn.IFNA(INDIRECT(_xlfn.TEXTJOIN("",TRUE,A817,"!",ADDRESS(13+(A818-1)*J817,6))),"")</f>
        <v/>
      </c>
      <c r="I821" s="25" t="str">
        <f ca="1">_xlfn.IFNA(INDIRECT(_xlfn.TEXTJOIN("",TRUE,A817,"!",ADDRESS(13+(A818-1)*J817,13))),"")</f>
        <v/>
      </c>
      <c r="J821" s="25" t="str">
        <f ca="1">_xlfn.IFNA(INDIRECT(_xlfn.TEXTJOIN("",TRUE,A817,"!",ADDRESS(13+(A818-1)*J817,14))),"")</f>
        <v/>
      </c>
    </row>
    <row r="822" spans="1:10" ht="10.5" customHeight="1" x14ac:dyDescent="0.2">
      <c r="A822" s="65" t="str">
        <f ca="1">_xlfn.IFNA(INDIRECT(_xlfn.TEXTJOIN("",TRUE,A817,"!",ADDRESS(14+(A818-1)*J817,1))),"")</f>
        <v/>
      </c>
      <c r="B822" s="65"/>
      <c r="C822" s="66" t="str">
        <f ca="1">_xlfn.IFNA(INDIRECT(_xlfn.TEXTJOIN("",TRUE,A817,"!",ADDRESS(14+(A818-1)*J817,2))),"")</f>
        <v/>
      </c>
      <c r="D822" s="66"/>
      <c r="E822" s="66"/>
      <c r="F822" s="66"/>
      <c r="G822" s="66"/>
      <c r="H822" s="25" t="str">
        <f ca="1">_xlfn.IFNA(INDIRECT(_xlfn.TEXTJOIN("",TRUE,A817,"!",ADDRESS(14+(A818-1)*J817,6))),"")</f>
        <v/>
      </c>
      <c r="I822" s="25" t="str">
        <f ca="1">_xlfn.IFNA(INDIRECT(_xlfn.TEXTJOIN("",TRUE,A817,"!",ADDRESS(14+(A818-1)*J817,13))),"")</f>
        <v/>
      </c>
      <c r="J822" s="25" t="str">
        <f ca="1">_xlfn.IFNA(INDIRECT(_xlfn.TEXTJOIN("",TRUE,A817,"!",ADDRESS(14+(A818-1)*J817,14))),"")</f>
        <v/>
      </c>
    </row>
    <row r="823" spans="1:10" ht="10.5" customHeight="1" x14ac:dyDescent="0.2">
      <c r="A823" s="65" t="str">
        <f ca="1">_xlfn.IFNA(INDIRECT(_xlfn.TEXTJOIN("",TRUE,A817,"!",ADDRESS(15+(A818-1)*J817,1))),"")</f>
        <v/>
      </c>
      <c r="B823" s="65"/>
      <c r="C823" s="66" t="str">
        <f ca="1">_xlfn.IFNA(INDIRECT(_xlfn.TEXTJOIN("",TRUE,A817,"!",ADDRESS(15+(A818-1)*J817,2))),"")</f>
        <v/>
      </c>
      <c r="D823" s="66"/>
      <c r="E823" s="66"/>
      <c r="F823" s="66"/>
      <c r="G823" s="66"/>
      <c r="H823" s="25" t="str">
        <f ca="1">_xlfn.IFNA(INDIRECT(_xlfn.TEXTJOIN("",TRUE,A817,"!",ADDRESS(15+(A818-1)*J817,6))),"")</f>
        <v/>
      </c>
      <c r="I823" s="25" t="str">
        <f ca="1">_xlfn.IFNA(INDIRECT(_xlfn.TEXTJOIN("",TRUE,A817,"!",ADDRESS(15+(A818-1)*J817,13))),"")</f>
        <v/>
      </c>
      <c r="J823" s="25" t="str">
        <f ca="1">_xlfn.IFNA(INDIRECT(_xlfn.TEXTJOIN("",TRUE,A817,"!",ADDRESS(15+(A818-1)*J817,14))),"")</f>
        <v/>
      </c>
    </row>
    <row r="824" spans="1:10" ht="10.5" customHeight="1" x14ac:dyDescent="0.2">
      <c r="A824" s="65" t="str">
        <f ca="1">_xlfn.IFNA(INDIRECT(_xlfn.TEXTJOIN("",TRUE,A817,"!",ADDRESS(16+(A818-1)*J817,1))),"")</f>
        <v/>
      </c>
      <c r="B824" s="65"/>
      <c r="C824" s="66" t="str">
        <f ca="1">_xlfn.IFNA(INDIRECT(_xlfn.TEXTJOIN("",TRUE,A817,"!",ADDRESS(16+(A818-1)*J817,2))),"")</f>
        <v/>
      </c>
      <c r="D824" s="66"/>
      <c r="E824" s="66"/>
      <c r="F824" s="66"/>
      <c r="G824" s="66"/>
      <c r="H824" s="25" t="str">
        <f ca="1">_xlfn.IFNA(INDIRECT(_xlfn.TEXTJOIN("",TRUE,A817,"!",ADDRESS(16+(A818-1)*J817,6))),"")</f>
        <v/>
      </c>
      <c r="I824" s="25" t="str">
        <f ca="1">_xlfn.IFNA(INDIRECT(_xlfn.TEXTJOIN("",TRUE,A817,"!",ADDRESS(16+(A818-1)*J817,13))),"")</f>
        <v/>
      </c>
      <c r="J824" s="25" t="str">
        <f ca="1">_xlfn.IFNA(INDIRECT(_xlfn.TEXTJOIN("",TRUE,A817,"!",ADDRESS(16+(A818-1)*J817,14))),"")</f>
        <v/>
      </c>
    </row>
    <row r="825" spans="1:10" ht="10.5" customHeight="1" x14ac:dyDescent="0.2">
      <c r="A825" s="65" t="str">
        <f ca="1">_xlfn.IFNA(INDIRECT(_xlfn.TEXTJOIN("",TRUE,A817,"!",ADDRESS(17+(A818-1)*J817,1))),"")</f>
        <v/>
      </c>
      <c r="B825" s="65"/>
      <c r="C825" s="66" t="str">
        <f ca="1">_xlfn.IFNA(INDIRECT(_xlfn.TEXTJOIN("",TRUE,A817,"!",ADDRESS(17+(A818-1)*J817,2))),"")</f>
        <v/>
      </c>
      <c r="D825" s="66"/>
      <c r="E825" s="66"/>
      <c r="F825" s="66"/>
      <c r="G825" s="66"/>
      <c r="H825" s="25" t="str">
        <f ca="1">_xlfn.IFNA(INDIRECT(_xlfn.TEXTJOIN("",TRUE,A817,"!",ADDRESS(17+(A818-1)*J817,6))),"")</f>
        <v/>
      </c>
      <c r="I825" s="25" t="str">
        <f ca="1">_xlfn.IFNA(INDIRECT(_xlfn.TEXTJOIN("",TRUE,A817,"!",ADDRESS(17+(A818-1)*J817,13))),"")</f>
        <v/>
      </c>
      <c r="J825" s="25" t="str">
        <f ca="1">_xlfn.IFNA(INDIRECT(_xlfn.TEXTJOIN("",TRUE,A817,"!",ADDRESS(17+(A818-1)*J817,14))),"")</f>
        <v/>
      </c>
    </row>
    <row r="826" spans="1:10" ht="10.5" customHeight="1" x14ac:dyDescent="0.2">
      <c r="A826" s="65" t="str">
        <f ca="1">_xlfn.IFNA(INDIRECT(_xlfn.TEXTJOIN("",TRUE,A817,"!",ADDRESS(18+(A818-1)*J817,1))),"")</f>
        <v/>
      </c>
      <c r="B826" s="65"/>
      <c r="C826" s="66" t="str">
        <f ca="1">_xlfn.IFNA(INDIRECT(_xlfn.TEXTJOIN("",TRUE,A817,"!",ADDRESS(18+(A818-1)*J817,2))),"")</f>
        <v/>
      </c>
      <c r="D826" s="66"/>
      <c r="E826" s="66"/>
      <c r="F826" s="66"/>
      <c r="G826" s="66"/>
      <c r="H826" s="25" t="str">
        <f ca="1">_xlfn.IFNA(INDIRECT(_xlfn.TEXTJOIN("",TRUE,A817,"!",ADDRESS(18+(A818-1)*J817,6))),"")</f>
        <v/>
      </c>
      <c r="I826" s="25" t="str">
        <f ca="1">_xlfn.IFNA(INDIRECT(_xlfn.TEXTJOIN("",TRUE,A817,"!",ADDRESS(18+(A818-1)*J817,13))),"")</f>
        <v/>
      </c>
      <c r="J826" s="25" t="str">
        <f ca="1">_xlfn.IFNA(INDIRECT(_xlfn.TEXTJOIN("",TRUE,A817,"!",ADDRESS(18+(A818-1)*J817,14))),"")</f>
        <v/>
      </c>
    </row>
    <row r="827" spans="1:10" ht="10.5" customHeight="1" x14ac:dyDescent="0.2">
      <c r="A827" s="60" t="str">
        <f ca="1">_xlfn.IFNA(INDIRECT(_xlfn.TEXTJOIN("",TRUE,A817,"!",ADDRESS(19+(A818-1)*J817,1))),"")</f>
        <v/>
      </c>
      <c r="B827" s="61"/>
      <c r="C827" s="57" t="str">
        <f ca="1">_xlfn.IFNA(INDIRECT(_xlfn.TEXTJOIN("",TRUE,A817,"!",ADDRESS(19+(A818-1)*J817,2))),"")</f>
        <v/>
      </c>
      <c r="D827" s="58"/>
      <c r="E827" s="58"/>
      <c r="F827" s="58"/>
      <c r="G827" s="59"/>
      <c r="H827" s="25" t="str">
        <f ca="1">_xlfn.IFNA(INDIRECT(_xlfn.TEXTJOIN("",TRUE,A817,"!",ADDRESS(19+(A818-1)*J817,6))),"")</f>
        <v/>
      </c>
      <c r="I827" s="25" t="str">
        <f ca="1">_xlfn.IFNA(INDIRECT(_xlfn.TEXTJOIN("",TRUE,A817,"!",ADDRESS(19+(A818-1)*J817,13))),"")</f>
        <v/>
      </c>
      <c r="J827" s="25" t="str">
        <f ca="1">_xlfn.IFNA(INDIRECT(_xlfn.TEXTJOIN("",TRUE,A817,"!",ADDRESS(19+(A818-1)*J817,14))),"")</f>
        <v/>
      </c>
    </row>
    <row r="828" spans="1:10" ht="10.5" customHeight="1" x14ac:dyDescent="0.2">
      <c r="A828" s="71" t="str">
        <f ca="1">IF(ISNA(A818),"","Total Credits/ Total Grade Points")</f>
        <v/>
      </c>
      <c r="B828" s="71"/>
      <c r="C828" s="71"/>
      <c r="D828" s="71"/>
      <c r="E828" s="71"/>
      <c r="F828" s="71"/>
      <c r="G828" s="71"/>
      <c r="H828" s="27" t="str">
        <f ca="1">IF(ISNA(A818),"",SUM(H820:H827))</f>
        <v/>
      </c>
      <c r="I828" s="26" t="str">
        <f ca="1">IF(ISNA(A818),"","-")</f>
        <v/>
      </c>
      <c r="J828" s="27" t="str">
        <f ca="1">IF(ISNA(A818),"",SUMPRODUCT(J820:J827,H820:H827))</f>
        <v/>
      </c>
    </row>
    <row r="829" spans="1:10" ht="10.5" customHeight="1" x14ac:dyDescent="0.2">
      <c r="A829" s="75" t="s">
        <v>137</v>
      </c>
      <c r="B829" s="75"/>
      <c r="C829" s="75"/>
      <c r="D829" s="75"/>
      <c r="E829" s="75"/>
      <c r="F829" s="76" t="s">
        <v>138</v>
      </c>
      <c r="G829" s="76"/>
      <c r="H829" s="76"/>
      <c r="I829" s="76"/>
      <c r="J829" s="76"/>
    </row>
    <row r="830" spans="1:10" ht="10.5" customHeight="1" x14ac:dyDescent="0.2">
      <c r="A830" s="43" t="s">
        <v>139</v>
      </c>
      <c r="B830" s="43"/>
      <c r="C830" s="43"/>
      <c r="D830" s="43"/>
      <c r="E830" s="43"/>
      <c r="F830" s="43"/>
      <c r="G830" s="43"/>
      <c r="H830" s="43"/>
      <c r="I830" s="43"/>
      <c r="J830" s="43"/>
    </row>
    <row r="831" spans="1:10" ht="10.5" customHeight="1" x14ac:dyDescent="0.2">
      <c r="A831" s="10"/>
      <c r="B831" s="26"/>
      <c r="C831" s="26" t="s">
        <v>140</v>
      </c>
      <c r="D831" s="26" t="s">
        <v>141</v>
      </c>
      <c r="E831" s="26" t="s">
        <v>142</v>
      </c>
      <c r="F831" s="26" t="s">
        <v>143</v>
      </c>
      <c r="G831" s="26" t="s">
        <v>144</v>
      </c>
      <c r="H831" s="79" t="s">
        <v>145</v>
      </c>
      <c r="I831" s="79"/>
      <c r="J831" s="30"/>
    </row>
    <row r="832" spans="1:10" ht="10.5" customHeight="1" x14ac:dyDescent="0.2">
      <c r="A832" s="10"/>
      <c r="B832" s="80" t="s">
        <v>146</v>
      </c>
      <c r="C832" s="73">
        <f ca="1">J788/H788</f>
        <v>7.875</v>
      </c>
      <c r="D832" s="73" t="e">
        <f ca="1">J803/H803</f>
        <v>#VALUE!</v>
      </c>
      <c r="E832" s="73" t="str">
        <f ca="1">IFERROR(J816/H816,"")</f>
        <v/>
      </c>
      <c r="F832" s="73" t="str">
        <f ca="1">IFERROR(J828/H828,"")</f>
        <v/>
      </c>
      <c r="G832" s="82">
        <f ca="1">F834</f>
        <v>7.875</v>
      </c>
      <c r="H832" s="83" t="e">
        <f ca="1">IF(TC_IV!N181&lt;96,_xlfn.TEXTJOIN(" ",TRUE,"CARRY OVER", TC_I!V280,TC_II!V232,TC_III!V191,,TC_IV!V180),IF(G832&gt;=8,"First Division with Distinction",IF(G832&gt;=6.5,"First Division",IF(G832&gt;=5,"Second Division",IF(G832&gt;=4,"Third Division","Fail")))))</f>
        <v>#N/A</v>
      </c>
      <c r="I832" s="83"/>
      <c r="J832" s="30"/>
    </row>
    <row r="833" spans="1:10" ht="10.5" customHeight="1" x14ac:dyDescent="0.2">
      <c r="B833" s="81"/>
      <c r="C833" s="74"/>
      <c r="D833" s="74"/>
      <c r="E833" s="74"/>
      <c r="F833" s="74"/>
      <c r="G833" s="82"/>
      <c r="H833" s="83"/>
      <c r="I833" s="83"/>
    </row>
    <row r="834" spans="1:10" ht="10.5" customHeight="1" x14ac:dyDescent="0.2">
      <c r="B834" s="80" t="s">
        <v>48</v>
      </c>
      <c r="C834" s="73">
        <f ca="1">J788/H788</f>
        <v>7.875</v>
      </c>
      <c r="D834" s="73">
        <f ca="1">SUM(J803,J788)/SUM(H803,H788)</f>
        <v>7.875</v>
      </c>
      <c r="E834" s="73">
        <f ca="1">SUM(J816,J803,J788)/SUM(H816,H803,H788)</f>
        <v>7.875</v>
      </c>
      <c r="F834" s="73">
        <f ca="1">SUM(J828,J816,J803,J788)/SUM(H788,H803,H816,H828)</f>
        <v>7.875</v>
      </c>
      <c r="G834" s="82"/>
      <c r="H834" s="83"/>
      <c r="I834" s="83"/>
    </row>
    <row r="835" spans="1:10" ht="10.5" customHeight="1" x14ac:dyDescent="0.2">
      <c r="B835" s="81"/>
      <c r="C835" s="74"/>
      <c r="D835" s="74"/>
      <c r="E835" s="74"/>
      <c r="F835" s="74"/>
      <c r="G835" s="82"/>
      <c r="H835" s="83"/>
      <c r="I835" s="83"/>
    </row>
    <row r="837" spans="1:10" ht="10.5" customHeight="1" x14ac:dyDescent="0.2">
      <c r="A837" s="56" t="s">
        <v>24</v>
      </c>
      <c r="B837" s="56"/>
      <c r="C837" s="56" t="str">
        <f ca="1">INDIRECT(_xlfn.TEXTJOIN("",TRUE,A839,"!",ADDRESS(9+(A840-1)*J839,2)))</f>
        <v>RATNESH JUYAL</v>
      </c>
      <c r="D837" s="56"/>
      <c r="E837" s="56"/>
      <c r="F837" s="56" t="s">
        <v>135</v>
      </c>
      <c r="G837" s="56"/>
      <c r="H837" s="62">
        <f ca="1">INDIRECT(_xlfn.TEXTJOIN("",TRUE,A839,"!",ADDRESS(9+(A840-1)*J839,9)))</f>
        <v>250090600013</v>
      </c>
      <c r="I837" s="56"/>
      <c r="J837" s="56"/>
    </row>
    <row r="838" spans="1:10" ht="10.5" customHeight="1" x14ac:dyDescent="0.2">
      <c r="A838" s="56" t="s">
        <v>25</v>
      </c>
      <c r="B838" s="56"/>
      <c r="C838" s="56" t="str">
        <f ca="1">INDIRECT(_xlfn.TEXTJOIN("",TRUE,A839,"!",ADDRESS(9+(A840-1)*J839,5)))</f>
        <v>BHAGWAT PRASAD JUYAL</v>
      </c>
      <c r="D838" s="56"/>
      <c r="E838" s="56"/>
      <c r="F838" s="47" t="s">
        <v>136</v>
      </c>
      <c r="G838" s="47"/>
      <c r="H838" s="62" t="str">
        <f ca="1">INDIRECT(_xlfn.TEXTJOIN("",TRUE,A839,"!",ADDRESS(9+(A840-1)*J839,13)))</f>
        <v>UTU/2506100158</v>
      </c>
      <c r="I838" s="56"/>
      <c r="J838" s="56"/>
    </row>
    <row r="839" spans="1:10" ht="10.5" customHeight="1" x14ac:dyDescent="0.2">
      <c r="A839" s="24" t="s">
        <v>53</v>
      </c>
      <c r="B839" s="43" t="s">
        <v>148</v>
      </c>
      <c r="C839" s="43"/>
      <c r="D839" s="43"/>
      <c r="E839" s="43"/>
      <c r="F839" s="43"/>
      <c r="G839" s="43"/>
      <c r="H839" s="43"/>
      <c r="I839" s="43"/>
      <c r="J839" s="24">
        <f>ROWS(A843:B856)+9</f>
        <v>23</v>
      </c>
    </row>
    <row r="840" spans="1:10" ht="10.5" customHeight="1" x14ac:dyDescent="0.2">
      <c r="A840" s="24">
        <f>A771+1</f>
        <v>13</v>
      </c>
      <c r="B840" s="63"/>
      <c r="C840" s="63"/>
      <c r="D840" s="63"/>
      <c r="E840" s="63"/>
      <c r="F840" s="63"/>
      <c r="G840" s="63"/>
      <c r="H840" s="63"/>
      <c r="I840" s="63"/>
      <c r="J840" s="29"/>
    </row>
    <row r="841" spans="1:10" ht="10.5" customHeight="1" x14ac:dyDescent="0.2">
      <c r="A841" s="64" t="s">
        <v>28</v>
      </c>
      <c r="B841" s="64"/>
      <c r="C841" s="64" t="s">
        <v>29</v>
      </c>
      <c r="D841" s="64"/>
      <c r="E841" s="64"/>
      <c r="F841" s="64"/>
      <c r="G841" s="64"/>
      <c r="H841" s="64" t="s">
        <v>30</v>
      </c>
      <c r="I841" s="64" t="s">
        <v>9</v>
      </c>
      <c r="J841" s="64" t="s">
        <v>34</v>
      </c>
    </row>
    <row r="842" spans="1:10" ht="13.5" customHeight="1" x14ac:dyDescent="0.2">
      <c r="A842" s="64"/>
      <c r="B842" s="64"/>
      <c r="C842" s="64"/>
      <c r="D842" s="64"/>
      <c r="E842" s="64"/>
      <c r="F842" s="64"/>
      <c r="G842" s="64"/>
      <c r="H842" s="64"/>
      <c r="I842" s="64"/>
      <c r="J842" s="64"/>
    </row>
    <row r="843" spans="1:10" ht="10.5" customHeight="1" x14ac:dyDescent="0.2">
      <c r="A843" s="65" t="str">
        <f ca="1">INDIRECT(_xlfn.TEXTJOIN("",TRUE,A839,"!",ADDRESS(13+(A840-1)*J839,1)))</f>
        <v>CAT 004</v>
      </c>
      <c r="B843" s="65"/>
      <c r="C843" s="66" t="str">
        <f ca="1">INDIRECT(_xlfn.TEXTJOIN("",TRUE,A839,"!",ADDRESS(13+(A840-1)*J839,2)))</f>
        <v>Discrete Structure</v>
      </c>
      <c r="D843" s="66"/>
      <c r="E843" s="66"/>
      <c r="F843" s="66"/>
      <c r="G843" s="66"/>
      <c r="H843" s="25">
        <f ca="1">INDIRECT(_xlfn.TEXTJOIN("",TRUE,A839,"!",ADDRESS(13+(A840-1)*J839,6)))</f>
        <v>4</v>
      </c>
      <c r="I843" s="25" t="str">
        <f ca="1">INDIRECT(_xlfn.TEXTJOIN("",TRUE,A839,"!",ADDRESS(13+(A840-1)*J839,13)))</f>
        <v>E+</v>
      </c>
      <c r="J843" s="25">
        <f ca="1">INDIRECT(_xlfn.TEXTJOIN("",TRUE,A839,"!",ADDRESS(13+(A840-1)*J839,14)))</f>
        <v>5.5</v>
      </c>
    </row>
    <row r="844" spans="1:10" ht="10.5" customHeight="1" x14ac:dyDescent="0.2">
      <c r="A844" s="65" t="str">
        <f ca="1">INDIRECT(_xlfn.TEXTJOIN("",TRUE,A839,"!",ADDRESS(14+(A840-1)*J839,1)))</f>
        <v>CAT 005</v>
      </c>
      <c r="B844" s="65"/>
      <c r="C844" s="66" t="str">
        <f ca="1">INDIRECT(_xlfn.TEXTJOIN("",TRUE,A839,"!",ADDRESS(14+(A840-1)*J839,2)))</f>
        <v>Database Management System</v>
      </c>
      <c r="D844" s="66"/>
      <c r="E844" s="66"/>
      <c r="F844" s="66"/>
      <c r="G844" s="66"/>
      <c r="H844" s="25">
        <f ca="1">INDIRECT(_xlfn.TEXTJOIN("",TRUE,A839,"!",ADDRESS(14+(A840-1)*J839,6)))</f>
        <v>4</v>
      </c>
      <c r="I844" s="25" t="str">
        <f ca="1">INDIRECT(_xlfn.TEXTJOIN("",TRUE,A839,"!",ADDRESS(14+(A840-1)*J839,13)))</f>
        <v>E</v>
      </c>
      <c r="J844" s="25">
        <f ca="1">INDIRECT(_xlfn.TEXTJOIN("",TRUE,A839,"!",ADDRESS(14+(A840-1)*J839,14)))</f>
        <v>5</v>
      </c>
    </row>
    <row r="845" spans="1:10" ht="10.5" customHeight="1" x14ac:dyDescent="0.2">
      <c r="A845" s="65" t="str">
        <f ca="1">INDIRECT(_xlfn.TEXTJOIN("",TRUE,A839,"!",ADDRESS(15+(A840-1)*J839,1)))</f>
        <v>CAT 006</v>
      </c>
      <c r="B845" s="65"/>
      <c r="C845" s="66" t="str">
        <f ca="1">INDIRECT(_xlfn.TEXTJOIN("",TRUE,A839,"!",ADDRESS(15+(A840-1)*J839,2)))</f>
        <v>Operating System</v>
      </c>
      <c r="D845" s="66"/>
      <c r="E845" s="66"/>
      <c r="F845" s="66"/>
      <c r="G845" s="66"/>
      <c r="H845" s="25">
        <f ca="1">INDIRECT(_xlfn.TEXTJOIN("",TRUE,A839,"!",ADDRESS(15+(A840-1)*J839,6)))</f>
        <v>4</v>
      </c>
      <c r="I845" s="25" t="str">
        <f ca="1">INDIRECT(_xlfn.TEXTJOIN("",TRUE,A839,"!",ADDRESS(15+(A840-1)*J839,13)))</f>
        <v>D+</v>
      </c>
      <c r="J845" s="25">
        <f ca="1">INDIRECT(_xlfn.TEXTJOIN("",TRUE,A839,"!",ADDRESS(15+(A840-1)*J839,14)))</f>
        <v>6.5</v>
      </c>
    </row>
    <row r="846" spans="1:10" ht="10.5" customHeight="1" x14ac:dyDescent="0.2">
      <c r="A846" s="65" t="str">
        <f ca="1">INDIRECT(_xlfn.TEXTJOIN("",TRUE,A839,"!",ADDRESS(16+(A840-1)*J839,1)))</f>
        <v>CAT 007</v>
      </c>
      <c r="B846" s="65"/>
      <c r="C846" s="66" t="str">
        <f ca="1">INDIRECT(_xlfn.TEXTJOIN("",TRUE,A839,"!",ADDRESS(16+(A840-1)*J839,2)))</f>
        <v>Computer Organization</v>
      </c>
      <c r="D846" s="66"/>
      <c r="E846" s="66"/>
      <c r="F846" s="66"/>
      <c r="G846" s="66"/>
      <c r="H846" s="25">
        <f ca="1">INDIRECT(_xlfn.TEXTJOIN("",TRUE,A839,"!",ADDRESS(16+(A840-1)*J839,6)))</f>
        <v>4</v>
      </c>
      <c r="I846" s="25" t="str">
        <f ca="1">INDIRECT(_xlfn.TEXTJOIN("",TRUE,A839,"!",ADDRESS(16+(A840-1)*J839,13)))</f>
        <v>P</v>
      </c>
      <c r="J846" s="25">
        <f ca="1">INDIRECT(_xlfn.TEXTJOIN("",TRUE,A839,"!",ADDRESS(16+(A840-1)*J839,14)))</f>
        <v>4.5</v>
      </c>
    </row>
    <row r="847" spans="1:10" ht="10.5" customHeight="1" x14ac:dyDescent="0.2">
      <c r="A847" s="65" t="str">
        <f ca="1">INDIRECT(_xlfn.TEXTJOIN("",TRUE,A839,"!",ADDRESS(17+(A840-1)*J839,1)))</f>
        <v>AHT 303</v>
      </c>
      <c r="B847" s="65"/>
      <c r="C847" s="66" t="str">
        <f ca="1">INDIRECT(_xlfn.TEXTJOIN("",TRUE,A839,"!",ADDRESS(17+(A840-1)*J839,2)))</f>
        <v>Technical Communication Skills</v>
      </c>
      <c r="D847" s="66"/>
      <c r="E847" s="66"/>
      <c r="F847" s="66"/>
      <c r="G847" s="66"/>
      <c r="H847" s="25">
        <f ca="1">INDIRECT(_xlfn.TEXTJOIN("",TRUE,A839,"!",ADDRESS(17+(A840-1)*J839,6)))</f>
        <v>4</v>
      </c>
      <c r="I847" s="25" t="str">
        <f ca="1">INDIRECT(_xlfn.TEXTJOIN("",TRUE,A839,"!",ADDRESS(17+(A840-1)*J839,13)))</f>
        <v>D</v>
      </c>
      <c r="J847" s="25">
        <f ca="1">INDIRECT(_xlfn.TEXTJOIN("",TRUE,A839,"!",ADDRESS(17+(A840-1)*J839,14)))</f>
        <v>6</v>
      </c>
    </row>
    <row r="848" spans="1:10" ht="10.5" customHeight="1" x14ac:dyDescent="0.2">
      <c r="A848" s="65" t="str">
        <f ca="1">INDIRECT(_xlfn.TEXTJOIN("",TRUE,A839,"!",ADDRESS(18+(A840-1)*J839,1)))</f>
        <v>CAT 008</v>
      </c>
      <c r="B848" s="65"/>
      <c r="C848" s="66" t="str">
        <f ca="1">INDIRECT(_xlfn.TEXTJOIN("",TRUE,A839,"!",ADDRESS(18+(A840-1)*J839,2)))</f>
        <v>Python Programming ($)</v>
      </c>
      <c r="D848" s="66"/>
      <c r="E848" s="66"/>
      <c r="F848" s="66"/>
      <c r="G848" s="66"/>
      <c r="H848" s="25">
        <f ca="1">INDIRECT(_xlfn.TEXTJOIN("",TRUE,A839,"!",ADDRESS(18+(A840-1)*J839,6)))</f>
        <v>0</v>
      </c>
      <c r="I848" s="25" t="str">
        <f ca="1">INDIRECT(_xlfn.TEXTJOIN("",TRUE,A839,"!",ADDRESS(18+(A840-1)*J839,13)))</f>
        <v>D</v>
      </c>
      <c r="J848" s="25">
        <f ca="1">INDIRECT(_xlfn.TEXTJOIN("",TRUE,A839,"!",ADDRESS(18+(A840-1)*J839,14)))</f>
        <v>6</v>
      </c>
    </row>
    <row r="849" spans="1:10" ht="10.5" customHeight="1" x14ac:dyDescent="0.2">
      <c r="A849" s="60" t="str">
        <f ca="1">INDIRECT(_xlfn.TEXTJOIN("",TRUE,A839,"!",ADDRESS(19+(A840-1)*J839,1)))</f>
        <v>CAT 001</v>
      </c>
      <c r="B849" s="61"/>
      <c r="C849" s="57" t="str">
        <f ca="1">INDIRECT(_xlfn.TEXTJOIN("",TRUE,A839,"!",ADDRESS(19+(A840-1)*J839,2)))</f>
        <v>Introduction of Information Technology ($)</v>
      </c>
      <c r="D849" s="58"/>
      <c r="E849" s="58"/>
      <c r="F849" s="58"/>
      <c r="G849" s="59"/>
      <c r="H849" s="25">
        <f ca="1">INDIRECT(_xlfn.TEXTJOIN("",TRUE,A839,"!",ADDRESS(19+(A840-1)*J839,6)))</f>
        <v>0</v>
      </c>
      <c r="I849" s="25" t="str">
        <f ca="1">INDIRECT(_xlfn.TEXTJOIN("",TRUE,A839,"!",ADDRESS(19+(A840-1)*J839,13)))</f>
        <v>-</v>
      </c>
      <c r="J849" s="25" t="str">
        <f ca="1">INDIRECT(_xlfn.TEXTJOIN("",TRUE,A839,"!",ADDRESS(19+(A840-1)*J839,14)))</f>
        <v>-</v>
      </c>
    </row>
    <row r="850" spans="1:10" ht="10.5" customHeight="1" x14ac:dyDescent="0.2">
      <c r="A850" s="65" t="str">
        <f ca="1">INDIRECT(_xlfn.TEXTJOIN("",TRUE,A839,"!",ADDRESS(20+(A840-1)*J839,1)))</f>
        <v>CAT 002</v>
      </c>
      <c r="B850" s="65"/>
      <c r="C850" s="66" t="str">
        <f ca="1">INDIRECT(_xlfn.TEXTJOIN("",TRUE,A839,"!",ADDRESS(20+(A840-1)*J839,2)))</f>
        <v>Programming Fundamentals with "C" ($)</v>
      </c>
      <c r="D850" s="66"/>
      <c r="E850" s="66"/>
      <c r="F850" s="66"/>
      <c r="G850" s="66"/>
      <c r="H850" s="25">
        <f ca="1">INDIRECT(_xlfn.TEXTJOIN("",TRUE,A839,"!",ADDRESS(20+(A840-1)*J839,6)))</f>
        <v>0</v>
      </c>
      <c r="I850" s="25" t="str">
        <f ca="1">INDIRECT(_xlfn.TEXTJOIN("",TRUE,A839,"!",ADDRESS(20+(A840-1)*J839,13)))</f>
        <v>-</v>
      </c>
      <c r="J850" s="25" t="str">
        <f ca="1">INDIRECT(_xlfn.TEXTJOIN("",TRUE,A839,"!",ADDRESS(20+(A840-1)*J839,14)))</f>
        <v>-</v>
      </c>
    </row>
    <row r="851" spans="1:10" ht="10.5" customHeight="1" x14ac:dyDescent="0.2">
      <c r="A851" s="65" t="str">
        <f ca="1">INDIRECT(_xlfn.TEXTJOIN("",TRUE,A839,"!",ADDRESS(21+(A840-1)*J839,1)))</f>
        <v>CAT 003</v>
      </c>
      <c r="B851" s="65"/>
      <c r="C851" s="66" t="str">
        <f ca="1">INDIRECT(_xlfn.TEXTJOIN("",TRUE,A839,"!",ADDRESS(21+(A840-1)*J839,2)))</f>
        <v>Fundamental of Web Technology ($)</v>
      </c>
      <c r="D851" s="66"/>
      <c r="E851" s="66"/>
      <c r="F851" s="66"/>
      <c r="G851" s="66"/>
      <c r="H851" s="25">
        <f ca="1">INDIRECT(_xlfn.TEXTJOIN("",TRUE,A839,"!",ADDRESS(21+(A840-1)*J839,6)))</f>
        <v>0</v>
      </c>
      <c r="I851" s="25" t="str">
        <f ca="1">INDIRECT(_xlfn.TEXTJOIN("",TRUE,A839,"!",ADDRESS(21+(A840-1)*J839,13)))</f>
        <v>-</v>
      </c>
      <c r="J851" s="25" t="str">
        <f ca="1">INDIRECT(_xlfn.TEXTJOIN("",TRUE,A839,"!",ADDRESS(21+(A840-1)*J839,14)))</f>
        <v>-</v>
      </c>
    </row>
    <row r="852" spans="1:10" ht="10.5" customHeight="1" x14ac:dyDescent="0.2">
      <c r="A852" s="65" t="str">
        <f ca="1">INDIRECT(_xlfn.TEXTJOIN("",TRUE,A839,"!",ADDRESS(22+(A840-1)*J839,1)))</f>
        <v>CAP 001</v>
      </c>
      <c r="B852" s="65"/>
      <c r="C852" s="66" t="str">
        <f ca="1">INDIRECT(_xlfn.TEXTJOIN("",TRUE,A839,"!",ADDRESS(22+(A840-1)*J839,2)))</f>
        <v>Database Management System Lab</v>
      </c>
      <c r="D852" s="66"/>
      <c r="E852" s="66"/>
      <c r="F852" s="66"/>
      <c r="G852" s="66"/>
      <c r="H852" s="25">
        <f ca="1">INDIRECT(_xlfn.TEXTJOIN("",TRUE,A839,"!",ADDRESS(22+(A840-1)*J839,6)))</f>
        <v>1</v>
      </c>
      <c r="I852" s="25" t="str">
        <f ca="1">INDIRECT(_xlfn.TEXTJOIN("",TRUE,A839,"!",ADDRESS(22+(A840-1)*J839,13)))</f>
        <v>C+</v>
      </c>
      <c r="J852" s="25">
        <f ca="1">INDIRECT(_xlfn.TEXTJOIN("",TRUE,A839,"!",ADDRESS(22+(A840-1)*J839,14)))</f>
        <v>7.5</v>
      </c>
    </row>
    <row r="853" spans="1:10" ht="10.5" customHeight="1" x14ac:dyDescent="0.2">
      <c r="A853" s="65" t="str">
        <f ca="1">INDIRECT(_xlfn.TEXTJOIN("",TRUE,A839,"!",ADDRESS(23+(A840-1)*J839,1)))</f>
        <v>CAP 002</v>
      </c>
      <c r="B853" s="65"/>
      <c r="C853" s="66" t="str">
        <f ca="1">INDIRECT(_xlfn.TEXTJOIN("",TRUE,A839,"!",ADDRESS(23+(A840-1)*J839,2)))</f>
        <v>Operating System Lab</v>
      </c>
      <c r="D853" s="66"/>
      <c r="E853" s="66"/>
      <c r="F853" s="66"/>
      <c r="G853" s="66"/>
      <c r="H853" s="25">
        <f ca="1">INDIRECT(_xlfn.TEXTJOIN("",TRUE,A839,"!",ADDRESS(23+(A840-1)*J839,6)))</f>
        <v>1</v>
      </c>
      <c r="I853" s="25" t="str">
        <f ca="1">INDIRECT(_xlfn.TEXTJOIN("",TRUE,A839,"!",ADDRESS(23+(A840-1)*J839,13)))</f>
        <v>B+</v>
      </c>
      <c r="J853" s="25">
        <f ca="1">INDIRECT(_xlfn.TEXTJOIN("",TRUE,A839,"!",ADDRESS(23+(A840-1)*J839,14)))</f>
        <v>8.5</v>
      </c>
    </row>
    <row r="854" spans="1:10" ht="10.5" customHeight="1" x14ac:dyDescent="0.2">
      <c r="A854" s="65" t="str">
        <f ca="1">INDIRECT(_xlfn.TEXTJOIN("",TRUE,A839,"!",ADDRESS(24+(A840-1)*J839,1)))</f>
        <v>CAP 003</v>
      </c>
      <c r="B854" s="65"/>
      <c r="C854" s="66" t="str">
        <f ca="1">INDIRECT(_xlfn.TEXTJOIN("",TRUE,A839,"!",ADDRESS(24+(A840-1)*J839,2)))</f>
        <v>Computer Organization Lab</v>
      </c>
      <c r="D854" s="66"/>
      <c r="E854" s="66"/>
      <c r="F854" s="66"/>
      <c r="G854" s="66"/>
      <c r="H854" s="25">
        <f ca="1">INDIRECT(_xlfn.TEXTJOIN("",TRUE,A839,"!",ADDRESS(24+(A840-1)*J839,6)))</f>
        <v>1</v>
      </c>
      <c r="I854" s="25" t="str">
        <f ca="1">INDIRECT(_xlfn.TEXTJOIN("",TRUE,A839,"!",ADDRESS(24+(A840-1)*J839,13)))</f>
        <v>A+</v>
      </c>
      <c r="J854" s="25">
        <f ca="1">INDIRECT(_xlfn.TEXTJOIN("",TRUE,A839,"!",ADDRESS(24+(A840-1)*J839,14)))</f>
        <v>9.5</v>
      </c>
    </row>
    <row r="855" spans="1:10" ht="10.5" customHeight="1" x14ac:dyDescent="0.2">
      <c r="A855" s="65" t="str">
        <f ca="1">INDIRECT(_xlfn.TEXTJOIN("",TRUE,A839,"!",ADDRESS(25+(A840-1)*J839,1)))</f>
        <v>AHP 303</v>
      </c>
      <c r="B855" s="65"/>
      <c r="C855" s="66" t="str">
        <f ca="1">INDIRECT(_xlfn.TEXTJOIN("",TRUE,A839,"!",ADDRESS(25+(A840-1)*J839,2)))</f>
        <v>Technical Communication Skills</v>
      </c>
      <c r="D855" s="66"/>
      <c r="E855" s="66"/>
      <c r="F855" s="66"/>
      <c r="G855" s="66"/>
      <c r="H855" s="25">
        <f ca="1">INDIRECT(_xlfn.TEXTJOIN("",TRUE,A839,"!",ADDRESS(25+(A840-1)*J839,6)))</f>
        <v>1</v>
      </c>
      <c r="I855" s="25" t="str">
        <f ca="1">INDIRECT(_xlfn.TEXTJOIN("",TRUE,A839,"!",ADDRESS(25+(A840-1)*J839,13)))</f>
        <v>B+</v>
      </c>
      <c r="J855" s="25">
        <f ca="1">INDIRECT(_xlfn.TEXTJOIN("",TRUE,A839,"!",ADDRESS(25+(A840-1)*J839,14)))</f>
        <v>8.5</v>
      </c>
    </row>
    <row r="856" spans="1:10" s="35" customFormat="1" ht="10.5" customHeight="1" x14ac:dyDescent="0.2">
      <c r="A856" s="77">
        <f ca="1">INDIRECT(_xlfn.TEXTJOIN("",TRUE,A839,"!",ADDRESS(26+(A840-1)*J839,1)))</f>
        <v>0</v>
      </c>
      <c r="B856" s="77"/>
      <c r="C856" s="78">
        <f ca="1">INDIRECT(_xlfn.TEXTJOIN("",TRUE,A839,"!",ADDRESS(26+(A840-1)*J839,2)))</f>
        <v>0</v>
      </c>
      <c r="D856" s="78"/>
      <c r="E856" s="78"/>
      <c r="F856" s="78"/>
      <c r="G856" s="78"/>
      <c r="H856" s="34">
        <f ca="1">INDIRECT(_xlfn.TEXTJOIN("",TRUE,A839,"!",ADDRESS(26+(A840-1)*J839,6)))</f>
        <v>0</v>
      </c>
      <c r="I856" s="34" t="str">
        <f ca="1">INDIRECT(_xlfn.TEXTJOIN("",TRUE,A839,"!",ADDRESS(26+(A840-1)*J839,13)))</f>
        <v>Excellent</v>
      </c>
      <c r="J856" s="34">
        <f ca="1">INDIRECT(_xlfn.TEXTJOIN("",TRUE,A839,"!",ADDRESS(26+(A840-1)*J839,14)))</f>
        <v>0</v>
      </c>
    </row>
    <row r="857" spans="1:10" ht="10.5" customHeight="1" x14ac:dyDescent="0.2">
      <c r="A857" s="71" t="s">
        <v>52</v>
      </c>
      <c r="B857" s="71"/>
      <c r="C857" s="71"/>
      <c r="D857" s="71"/>
      <c r="E857" s="71"/>
      <c r="F857" s="71"/>
      <c r="G857" s="71"/>
      <c r="H857" s="27">
        <f ca="1">SUM(H843:H856)</f>
        <v>24</v>
      </c>
      <c r="I857" s="26" t="s">
        <v>44</v>
      </c>
      <c r="J857" s="27">
        <f ca="1">SUMPRODUCT(J843:J855,H843:H855)</f>
        <v>144</v>
      </c>
    </row>
    <row r="858" spans="1:10" ht="10.5" customHeight="1" x14ac:dyDescent="0.2">
      <c r="A858" s="24" t="s">
        <v>57</v>
      </c>
      <c r="B858" s="72" t="str">
        <f ca="1">IF(ISNA(A859),"","Semester II (Spring Semester 2022-23)")</f>
        <v/>
      </c>
      <c r="C858" s="72"/>
      <c r="D858" s="72"/>
      <c r="E858" s="72"/>
      <c r="F858" s="72"/>
      <c r="G858" s="72"/>
      <c r="H858" s="72"/>
      <c r="I858" s="72"/>
      <c r="J858" s="24">
        <f>ROWS(A862:B871)+9</f>
        <v>19</v>
      </c>
    </row>
    <row r="859" spans="1:10" ht="10.5" customHeight="1" x14ac:dyDescent="0.2">
      <c r="A859" s="24" t="e">
        <f ca="1">INDEX(SEM_II!$A$6:$A$45,Marksheets!J859)</f>
        <v>#N/A</v>
      </c>
      <c r="B859" s="63"/>
      <c r="C859" s="63"/>
      <c r="D859" s="63"/>
      <c r="E859" s="63"/>
      <c r="F859" s="63"/>
      <c r="G859" s="63"/>
      <c r="H859" s="63"/>
      <c r="I859" s="63"/>
      <c r="J859" s="24" t="e">
        <f ca="1">MATCH(H837,SEM_II!$B$6:$B$45,0)</f>
        <v>#N/A</v>
      </c>
    </row>
    <row r="860" spans="1:10" ht="10.5" customHeight="1" x14ac:dyDescent="0.2">
      <c r="A860" s="64" t="str">
        <f ca="1">IF(ISNA(A859),"","Subject Code")</f>
        <v/>
      </c>
      <c r="B860" s="64"/>
      <c r="C860" s="64" t="str">
        <f ca="1">IF(ISNA(A859),"","Subject Name")</f>
        <v/>
      </c>
      <c r="D860" s="64"/>
      <c r="E860" s="64"/>
      <c r="F860" s="64"/>
      <c r="G860" s="64"/>
      <c r="H860" s="64" t="str">
        <f ca="1">IF(ISNA(A859),"","Credits")</f>
        <v/>
      </c>
      <c r="I860" s="64" t="str">
        <f ca="1">IF(ISNA(A859),"","Grade")</f>
        <v/>
      </c>
      <c r="J860" s="64" t="str">
        <f ca="1">IF(ISNA(A859),"","Grade Points")</f>
        <v/>
      </c>
    </row>
    <row r="861" spans="1:10" ht="14" customHeight="1" x14ac:dyDescent="0.2">
      <c r="A861" s="64"/>
      <c r="B861" s="64"/>
      <c r="C861" s="64"/>
      <c r="D861" s="64"/>
      <c r="E861" s="64"/>
      <c r="F861" s="64"/>
      <c r="G861" s="64"/>
      <c r="H861" s="64"/>
      <c r="I861" s="64"/>
      <c r="J861" s="64"/>
    </row>
    <row r="862" spans="1:10" ht="10.5" customHeight="1" x14ac:dyDescent="0.2">
      <c r="A862" s="65" t="str">
        <f ca="1">_xlfn.IFNA(INDIRECT(_xlfn.TEXTJOIN("",TRUE,A858,"!",ADDRESS(13+(A859-1)*J858,1))),"")</f>
        <v/>
      </c>
      <c r="B862" s="65"/>
      <c r="C862" s="66" t="str">
        <f ca="1">_xlfn.IFNA(INDIRECT(_xlfn.TEXTJOIN("",TRUE,A858,"!",ADDRESS(13+(A859-1)*J858,2))),"")</f>
        <v/>
      </c>
      <c r="D862" s="66"/>
      <c r="E862" s="66"/>
      <c r="F862" s="66"/>
      <c r="G862" s="66"/>
      <c r="H862" s="25" t="str">
        <f ca="1">_xlfn.IFNA(INDIRECT(_xlfn.TEXTJOIN("",TRUE,A858,"!",ADDRESS(13+(A859-1)*J858,6))),"")</f>
        <v/>
      </c>
      <c r="I862" s="25" t="str">
        <f ca="1">_xlfn.IFNA(INDIRECT(_xlfn.TEXTJOIN("",TRUE,A858,"!",ADDRESS(13+(A859-1)*J858,13))),"")</f>
        <v/>
      </c>
      <c r="J862" s="25" t="str">
        <f ca="1">_xlfn.IFNA(INDIRECT(_xlfn.TEXTJOIN("",TRUE,A858,"!",ADDRESS(13+(A859-1)*J858,14))),"")</f>
        <v/>
      </c>
    </row>
    <row r="863" spans="1:10" ht="10.5" customHeight="1" x14ac:dyDescent="0.2">
      <c r="A863" s="65" t="str">
        <f ca="1">_xlfn.IFNA(INDIRECT(_xlfn.TEXTJOIN("",TRUE,A858,"!",ADDRESS(14+(A859-1)*J858,1))),"")</f>
        <v/>
      </c>
      <c r="B863" s="65"/>
      <c r="C863" s="66" t="str">
        <f ca="1">_xlfn.IFNA(INDIRECT(_xlfn.TEXTJOIN("",TRUE,A858,"!",ADDRESS(14+(A859-1)*J858,2))),"")</f>
        <v/>
      </c>
      <c r="D863" s="66"/>
      <c r="E863" s="66"/>
      <c r="F863" s="66"/>
      <c r="G863" s="66"/>
      <c r="H863" s="25" t="str">
        <f ca="1">_xlfn.IFNA(INDIRECT(_xlfn.TEXTJOIN("",TRUE,A858,"!",ADDRESS(14+(A859-1)*J858,6))),"")</f>
        <v/>
      </c>
      <c r="I863" s="25" t="str">
        <f ca="1">_xlfn.IFNA(INDIRECT(_xlfn.TEXTJOIN("",TRUE,A858,"!",ADDRESS(14+(A859-1)*J858,13))),"")</f>
        <v/>
      </c>
      <c r="J863" s="25" t="str">
        <f ca="1">_xlfn.IFNA(INDIRECT(_xlfn.TEXTJOIN("",TRUE,A858,"!",ADDRESS(14+(A859-1)*J858,14))),"")</f>
        <v/>
      </c>
    </row>
    <row r="864" spans="1:10" ht="10.5" customHeight="1" x14ac:dyDescent="0.2">
      <c r="A864" s="65" t="str">
        <f ca="1">_xlfn.IFNA(INDIRECT(_xlfn.TEXTJOIN("",TRUE,A858,"!",ADDRESS(15+(A859-1)*J858,1))),"")</f>
        <v/>
      </c>
      <c r="B864" s="65"/>
      <c r="C864" s="66" t="str">
        <f ca="1">_xlfn.IFNA(INDIRECT(_xlfn.TEXTJOIN("",TRUE,A858,"!",ADDRESS(15+(A859-1)*J858,2))),"")</f>
        <v/>
      </c>
      <c r="D864" s="66"/>
      <c r="E864" s="66"/>
      <c r="F864" s="66"/>
      <c r="G864" s="66"/>
      <c r="H864" s="25" t="str">
        <f ca="1">_xlfn.IFNA(INDIRECT(_xlfn.TEXTJOIN("",TRUE,A858,"!",ADDRESS(15+(A859-1)*J858,6))),"")</f>
        <v/>
      </c>
      <c r="I864" s="25" t="str">
        <f ca="1">_xlfn.IFNA(INDIRECT(_xlfn.TEXTJOIN("",TRUE,A858,"!",ADDRESS(15+(A859-1)*J858,13))),"")</f>
        <v/>
      </c>
      <c r="J864" s="25" t="str">
        <f ca="1">_xlfn.IFNA(INDIRECT(_xlfn.TEXTJOIN("",TRUE,A858,"!",ADDRESS(15+(A859-1)*J858,14))),"")</f>
        <v/>
      </c>
    </row>
    <row r="865" spans="1:10" ht="10.5" customHeight="1" x14ac:dyDescent="0.2">
      <c r="A865" s="65" t="str">
        <f ca="1">_xlfn.IFNA(INDIRECT(_xlfn.TEXTJOIN("",TRUE,A858,"!",ADDRESS(16+(A859-1)*J858,1))),"")</f>
        <v/>
      </c>
      <c r="B865" s="65"/>
      <c r="C865" s="66" t="str">
        <f ca="1">_xlfn.IFNA(INDIRECT(_xlfn.TEXTJOIN("",TRUE,A858,"!",ADDRESS(16+(A859-1)*J858,2))),"")</f>
        <v/>
      </c>
      <c r="D865" s="66"/>
      <c r="E865" s="66"/>
      <c r="F865" s="66"/>
      <c r="G865" s="66"/>
      <c r="H865" s="25" t="str">
        <f ca="1">_xlfn.IFNA(INDIRECT(_xlfn.TEXTJOIN("",TRUE,A858,"!",ADDRESS(16+(A859-1)*J858,6))),"")</f>
        <v/>
      </c>
      <c r="I865" s="25" t="str">
        <f ca="1">_xlfn.IFNA(INDIRECT(_xlfn.TEXTJOIN("",TRUE,A858,"!",ADDRESS(16+(A859-1)*J858,13))),"")</f>
        <v/>
      </c>
      <c r="J865" s="25" t="str">
        <f ca="1">_xlfn.IFNA(INDIRECT(_xlfn.TEXTJOIN("",TRUE,A858,"!",ADDRESS(16+(A859-1)*J858,14))),"")</f>
        <v/>
      </c>
    </row>
    <row r="866" spans="1:10" ht="10.5" customHeight="1" x14ac:dyDescent="0.2">
      <c r="A866" s="65" t="str">
        <f ca="1">_xlfn.IFNA(INDIRECT(_xlfn.TEXTJOIN("",TRUE,A858,"!",ADDRESS(17+(A859-1)*J858,1))),"")</f>
        <v/>
      </c>
      <c r="B866" s="65"/>
      <c r="C866" s="66" t="str">
        <f ca="1">_xlfn.IFNA(INDIRECT(_xlfn.TEXTJOIN("",TRUE,A858,"!",ADDRESS(17+(A859-1)*J858,2))),"")</f>
        <v/>
      </c>
      <c r="D866" s="66"/>
      <c r="E866" s="66"/>
      <c r="F866" s="66"/>
      <c r="G866" s="66"/>
      <c r="H866" s="25" t="str">
        <f ca="1">_xlfn.IFNA(INDIRECT(_xlfn.TEXTJOIN("",TRUE,A858,"!",ADDRESS(17+(A859-1)*J858,6))),"")</f>
        <v/>
      </c>
      <c r="I866" s="25" t="str">
        <f ca="1">_xlfn.IFNA(INDIRECT(_xlfn.TEXTJOIN("",TRUE,A858,"!",ADDRESS(17+(A859-1)*J858,13))),"")</f>
        <v/>
      </c>
      <c r="J866" s="25" t="str">
        <f ca="1">_xlfn.IFNA(INDIRECT(_xlfn.TEXTJOIN("",TRUE,A858,"!",ADDRESS(17+(A859-1)*J858,14))),"")</f>
        <v/>
      </c>
    </row>
    <row r="867" spans="1:10" ht="10.5" customHeight="1" x14ac:dyDescent="0.2">
      <c r="A867" s="65" t="str">
        <f ca="1">_xlfn.IFNA(INDIRECT(_xlfn.TEXTJOIN("",TRUE,A858,"!",ADDRESS(18+(A859-1)*J858,1))),"")</f>
        <v/>
      </c>
      <c r="B867" s="65"/>
      <c r="C867" s="66" t="str">
        <f ca="1">_xlfn.IFNA(INDIRECT(_xlfn.TEXTJOIN("",TRUE,A858,"!",ADDRESS(18+(A859-1)*J858,2))),"")</f>
        <v/>
      </c>
      <c r="D867" s="66"/>
      <c r="E867" s="66"/>
      <c r="F867" s="66"/>
      <c r="G867" s="66"/>
      <c r="H867" s="25" t="str">
        <f ca="1">_xlfn.IFNA(INDIRECT(_xlfn.TEXTJOIN("",TRUE,A858,"!",ADDRESS(18+(A859-1)*J858,6))),"")</f>
        <v/>
      </c>
      <c r="I867" s="25" t="str">
        <f ca="1">_xlfn.IFNA(INDIRECT(_xlfn.TEXTJOIN("",TRUE,A858,"!",ADDRESS(18+(A859-1)*J858,13))),"")</f>
        <v/>
      </c>
      <c r="J867" s="25" t="str">
        <f ca="1">_xlfn.IFNA(INDIRECT(_xlfn.TEXTJOIN("",TRUE,A858,"!",ADDRESS(18+(A859-1)*J858,14))),"")</f>
        <v/>
      </c>
    </row>
    <row r="868" spans="1:10" ht="10.5" customHeight="1" x14ac:dyDescent="0.2">
      <c r="A868" s="60" t="str">
        <f ca="1">_xlfn.IFNA(INDIRECT(_xlfn.TEXTJOIN("",TRUE,A858,"!",ADDRESS(19+(A859-1)*J858,1))),"")</f>
        <v/>
      </c>
      <c r="B868" s="61"/>
      <c r="C868" s="57" t="str">
        <f ca="1">_xlfn.IFNA(INDIRECT(_xlfn.TEXTJOIN("",TRUE,A858,"!",ADDRESS(19+(A859-1)*J858,2))),"")</f>
        <v/>
      </c>
      <c r="D868" s="58"/>
      <c r="E868" s="58"/>
      <c r="F868" s="58"/>
      <c r="G868" s="59"/>
      <c r="H868" s="25" t="str">
        <f ca="1">_xlfn.IFNA(INDIRECT(_xlfn.TEXTJOIN("",TRUE,A858,"!",ADDRESS(19+(A859-1)*J858,6))),"")</f>
        <v/>
      </c>
      <c r="I868" s="25" t="str">
        <f ca="1">_xlfn.IFNA(INDIRECT(_xlfn.TEXTJOIN("",TRUE,A858,"!",ADDRESS(19+(A859-1)*J858,13))),"")</f>
        <v/>
      </c>
      <c r="J868" s="25" t="str">
        <f ca="1">_xlfn.IFNA(INDIRECT(_xlfn.TEXTJOIN("",TRUE,A858,"!",ADDRESS(19+(A859-1)*J858,14))),"")</f>
        <v/>
      </c>
    </row>
    <row r="869" spans="1:10" ht="10.5" customHeight="1" x14ac:dyDescent="0.2">
      <c r="A869" s="65" t="str">
        <f ca="1">_xlfn.IFNA(INDIRECT(_xlfn.TEXTJOIN("",TRUE,A858,"!",ADDRESS(20+(A859-1)*J858,1))),"")</f>
        <v/>
      </c>
      <c r="B869" s="65"/>
      <c r="C869" s="66" t="str">
        <f ca="1">_xlfn.IFNA(INDIRECT(_xlfn.TEXTJOIN("",TRUE,A858,"!",ADDRESS(20+(A859-1)*J858,2))),"")</f>
        <v/>
      </c>
      <c r="D869" s="66"/>
      <c r="E869" s="66"/>
      <c r="F869" s="66"/>
      <c r="G869" s="66"/>
      <c r="H869" s="25" t="str">
        <f ca="1">_xlfn.IFNA(INDIRECT(_xlfn.TEXTJOIN("",TRUE,A858,"!",ADDRESS(20+(A859-1)*J858,6))),"")</f>
        <v/>
      </c>
      <c r="I869" s="25" t="str">
        <f ca="1">_xlfn.IFNA(INDIRECT(_xlfn.TEXTJOIN("",TRUE,A858,"!",ADDRESS(20+(A859-1)*J858,13))),"")</f>
        <v/>
      </c>
      <c r="J869" s="25" t="str">
        <f ca="1">_xlfn.IFNA(INDIRECT(_xlfn.TEXTJOIN("",TRUE,A858,"!",ADDRESS(20+(A859-1)*J858,14))),"")</f>
        <v/>
      </c>
    </row>
    <row r="870" spans="1:10" ht="10.5" customHeight="1" x14ac:dyDescent="0.2">
      <c r="A870" s="65" t="str">
        <f ca="1">_xlfn.IFNA(INDIRECT(_xlfn.TEXTJOIN("",TRUE,A858,"!",ADDRESS(21+(A859-1)*J858,1))),"")</f>
        <v/>
      </c>
      <c r="B870" s="65"/>
      <c r="C870" s="66" t="str">
        <f ca="1">_xlfn.IFNA(INDIRECT(_xlfn.TEXTJOIN("",TRUE,A858,"!",ADDRESS(21+(A859-1)*J858,2))),"")</f>
        <v/>
      </c>
      <c r="D870" s="66"/>
      <c r="E870" s="66"/>
      <c r="F870" s="66"/>
      <c r="G870" s="66"/>
      <c r="H870" s="25" t="str">
        <f ca="1">_xlfn.IFNA(INDIRECT(_xlfn.TEXTJOIN("",TRUE,A858,"!",ADDRESS(21+(A859-1)*J858,6))),"")</f>
        <v/>
      </c>
      <c r="I870" s="25" t="str">
        <f ca="1">_xlfn.IFNA(INDIRECT(_xlfn.TEXTJOIN("",TRUE,A858,"!",ADDRESS(21+(A859-1)*J858,13))),"")</f>
        <v/>
      </c>
      <c r="J870" s="25" t="str">
        <f ca="1">_xlfn.IFNA(INDIRECT(_xlfn.TEXTJOIN("",TRUE,A858,"!",ADDRESS(21+(A859-1)*J858,14))),"")</f>
        <v/>
      </c>
    </row>
    <row r="871" spans="1:10" ht="10.5" customHeight="1" x14ac:dyDescent="0.2">
      <c r="A871" s="65" t="str">
        <f ca="1">_xlfn.IFNA(INDIRECT(_xlfn.TEXTJOIN("",TRUE,A858,"!",ADDRESS(22+(A859-1)*J858,1))),"")</f>
        <v/>
      </c>
      <c r="B871" s="65"/>
      <c r="C871" s="66" t="str">
        <f ca="1">_xlfn.IFNA(INDIRECT(_xlfn.TEXTJOIN("",TRUE,A858,"!",ADDRESS(22+(A859-1)*J858,2))),"")</f>
        <v/>
      </c>
      <c r="D871" s="66"/>
      <c r="E871" s="66"/>
      <c r="F871" s="66"/>
      <c r="G871" s="66"/>
      <c r="H871" s="25" t="str">
        <f ca="1">_xlfn.IFNA(INDIRECT(_xlfn.TEXTJOIN("",TRUE,A858,"!",ADDRESS(22+(A859-1)*J858,6))),"")</f>
        <v/>
      </c>
      <c r="I871" s="25" t="str">
        <f ca="1">_xlfn.IFNA(INDIRECT(_xlfn.TEXTJOIN("",TRUE,A858,"!",ADDRESS(22+(A859-1)*J858,13))),"")</f>
        <v/>
      </c>
      <c r="J871" s="25" t="str">
        <f ca="1">_xlfn.IFNA(INDIRECT(_xlfn.TEXTJOIN("",TRUE,A858,"!",ADDRESS(22+(A859-1)*J858,14))),"")</f>
        <v/>
      </c>
    </row>
    <row r="872" spans="1:10" ht="10.5" customHeight="1" x14ac:dyDescent="0.2">
      <c r="A872" s="71" t="str">
        <f ca="1">IF(ISNA(A859),"","Total Credits/ Total Grade Points")</f>
        <v/>
      </c>
      <c r="B872" s="71"/>
      <c r="C872" s="71"/>
      <c r="D872" s="71"/>
      <c r="E872" s="71"/>
      <c r="F872" s="71"/>
      <c r="G872" s="71"/>
      <c r="H872" s="27" t="str">
        <f ca="1">IF(ISNA(A859),"",SUM(H862:H871))</f>
        <v/>
      </c>
      <c r="I872" s="26" t="str">
        <f ca="1">IF(ISNA(A859),"","-")</f>
        <v/>
      </c>
      <c r="J872" s="27" t="str">
        <f ca="1">IF(ISNA(A859),"",SUMPRODUCT(J862:J871,H862:H871))</f>
        <v/>
      </c>
    </row>
    <row r="873" spans="1:10" ht="10.5" customHeight="1" x14ac:dyDescent="0.2">
      <c r="A873" s="24" t="s">
        <v>60</v>
      </c>
      <c r="B873" s="72" t="str">
        <f ca="1">IF(ISNA(A874),"","Semester III (Autumn Semester 2023-24)")</f>
        <v/>
      </c>
      <c r="C873" s="72"/>
      <c r="D873" s="72"/>
      <c r="E873" s="72"/>
      <c r="F873" s="72"/>
      <c r="G873" s="72"/>
      <c r="H873" s="72"/>
      <c r="I873" s="72"/>
      <c r="J873" s="24">
        <f>ROWS(A877:B884)+9</f>
        <v>17</v>
      </c>
    </row>
    <row r="874" spans="1:10" ht="10.5" customHeight="1" x14ac:dyDescent="0.2">
      <c r="A874" s="24" t="e">
        <f ca="1">INDEX(SEM_III!$A$6:$A$43,Marksheets!J874)</f>
        <v>#N/A</v>
      </c>
      <c r="B874" s="63"/>
      <c r="C874" s="63"/>
      <c r="D874" s="63"/>
      <c r="E874" s="63"/>
      <c r="F874" s="63"/>
      <c r="G874" s="63"/>
      <c r="H874" s="63"/>
      <c r="I874" s="63"/>
      <c r="J874" s="24" t="e">
        <f ca="1">MATCH(H837,SEM_III!$B$6:$B$43,0)</f>
        <v>#N/A</v>
      </c>
    </row>
    <row r="875" spans="1:10" ht="10.5" customHeight="1" x14ac:dyDescent="0.2">
      <c r="A875" s="64" t="str">
        <f ca="1">IF(ISNA(A874),"","Subject Code")</f>
        <v/>
      </c>
      <c r="B875" s="64"/>
      <c r="C875" s="64" t="str">
        <f ca="1">IF(ISNA(A874),"","Subject Name")</f>
        <v/>
      </c>
      <c r="D875" s="64"/>
      <c r="E875" s="64"/>
      <c r="F875" s="64"/>
      <c r="G875" s="64"/>
      <c r="H875" s="64" t="str">
        <f ca="1">IF(ISNA(A874),"","Credits")</f>
        <v/>
      </c>
      <c r="I875" s="64" t="str">
        <f ca="1">IF(ISNA(A874),"","Grade")</f>
        <v/>
      </c>
      <c r="J875" s="64" t="str">
        <f ca="1">IF(ISNA(A874),"","Grade Points")</f>
        <v/>
      </c>
    </row>
    <row r="876" spans="1:10" ht="13" customHeight="1" x14ac:dyDescent="0.2">
      <c r="A876" s="64"/>
      <c r="B876" s="64"/>
      <c r="C876" s="64"/>
      <c r="D876" s="64"/>
      <c r="E876" s="64"/>
      <c r="F876" s="64"/>
      <c r="G876" s="64"/>
      <c r="H876" s="64"/>
      <c r="I876" s="64"/>
      <c r="J876" s="64"/>
    </row>
    <row r="877" spans="1:10" ht="10.5" customHeight="1" x14ac:dyDescent="0.2">
      <c r="A877" s="65" t="str">
        <f ca="1">_xlfn.IFNA(INDIRECT(_xlfn.TEXTJOIN("",TRUE,A873,"!",ADDRESS(13+(A874-1)*J873,1))),"")</f>
        <v/>
      </c>
      <c r="B877" s="65"/>
      <c r="C877" s="66" t="str">
        <f ca="1">_xlfn.IFNA(INDIRECT(_xlfn.TEXTJOIN("",TRUE,A873,"!",ADDRESS(13+(A874-1)*J873,2))),"")</f>
        <v/>
      </c>
      <c r="D877" s="66"/>
      <c r="E877" s="66"/>
      <c r="F877" s="66"/>
      <c r="G877" s="66"/>
      <c r="H877" s="25" t="str">
        <f ca="1">_xlfn.IFNA(INDIRECT(_xlfn.TEXTJOIN("",TRUE,A873,"!",ADDRESS(13+(A874-1)*J873,6))),"")</f>
        <v/>
      </c>
      <c r="I877" s="25" t="str">
        <f ca="1">_xlfn.IFNA(INDIRECT(_xlfn.TEXTJOIN("",TRUE,A873,"!",ADDRESS(13+(A874-1)*J873,13))),"")</f>
        <v/>
      </c>
      <c r="J877" s="25" t="str">
        <f ca="1">_xlfn.IFNA(INDIRECT(_xlfn.TEXTJOIN("",TRUE,A873,"!",ADDRESS(13+(A874-1)*J873,14))),"")</f>
        <v/>
      </c>
    </row>
    <row r="878" spans="1:10" ht="10.5" customHeight="1" x14ac:dyDescent="0.2">
      <c r="A878" s="65" t="str">
        <f ca="1">_xlfn.IFNA(INDIRECT(_xlfn.TEXTJOIN("",TRUE,A873,"!",ADDRESS(14+(A874-1)*J873,1))),"")</f>
        <v/>
      </c>
      <c r="B878" s="65"/>
      <c r="C878" s="66" t="str">
        <f ca="1">_xlfn.IFNA(INDIRECT(_xlfn.TEXTJOIN("",TRUE,A873,"!",ADDRESS(14+(A874-1)*J873,2))),"")</f>
        <v/>
      </c>
      <c r="D878" s="66"/>
      <c r="E878" s="66"/>
      <c r="F878" s="66"/>
      <c r="G878" s="66"/>
      <c r="H878" s="25" t="str">
        <f ca="1">_xlfn.IFNA(INDIRECT(_xlfn.TEXTJOIN("",TRUE,A873,"!",ADDRESS(14+(A874-1)*J873,6))),"")</f>
        <v/>
      </c>
      <c r="I878" s="25" t="str">
        <f ca="1">_xlfn.IFNA(INDIRECT(_xlfn.TEXTJOIN("",TRUE,A873,"!",ADDRESS(14+(A874-1)*J873,13))),"")</f>
        <v/>
      </c>
      <c r="J878" s="25" t="str">
        <f ca="1">_xlfn.IFNA(INDIRECT(_xlfn.TEXTJOIN("",TRUE,A873,"!",ADDRESS(14+(A874-1)*J873,14))),"")</f>
        <v/>
      </c>
    </row>
    <row r="879" spans="1:10" ht="10.5" customHeight="1" x14ac:dyDescent="0.2">
      <c r="A879" s="65" t="str">
        <f ca="1">_xlfn.IFNA(INDIRECT(_xlfn.TEXTJOIN("",TRUE,A873,"!",ADDRESS(15+(A874-1)*J873,1))),"")</f>
        <v/>
      </c>
      <c r="B879" s="65"/>
      <c r="C879" s="66" t="str">
        <f ca="1">_xlfn.IFNA(INDIRECT(_xlfn.TEXTJOIN("",TRUE,A873,"!",ADDRESS(15+(A874-1)*J873,2))),"")</f>
        <v/>
      </c>
      <c r="D879" s="66"/>
      <c r="E879" s="66"/>
      <c r="F879" s="66"/>
      <c r="G879" s="66"/>
      <c r="H879" s="25" t="str">
        <f ca="1">_xlfn.IFNA(INDIRECT(_xlfn.TEXTJOIN("",TRUE,A873,"!",ADDRESS(15+(A874-1)*J873,6))),"")</f>
        <v/>
      </c>
      <c r="I879" s="25" t="str">
        <f ca="1">_xlfn.IFNA(INDIRECT(_xlfn.TEXTJOIN("",TRUE,A873,"!",ADDRESS(15+(A874-1)*J873,13))),"")</f>
        <v/>
      </c>
      <c r="J879" s="25" t="str">
        <f ca="1">_xlfn.IFNA(INDIRECT(_xlfn.TEXTJOIN("",TRUE,A873,"!",ADDRESS(15+(A874-1)*J873,14))),"")</f>
        <v/>
      </c>
    </row>
    <row r="880" spans="1:10" ht="10.5" customHeight="1" x14ac:dyDescent="0.2">
      <c r="A880" s="65" t="str">
        <f ca="1">_xlfn.IFNA(INDIRECT(_xlfn.TEXTJOIN("",TRUE,A873,"!",ADDRESS(16+(A874-1)*J873,1))),"")</f>
        <v/>
      </c>
      <c r="B880" s="65"/>
      <c r="C880" s="66" t="str">
        <f ca="1">_xlfn.IFNA(INDIRECT(_xlfn.TEXTJOIN("",TRUE,A873,"!",ADDRESS(16+(A874-1)*J873,2))),"")</f>
        <v/>
      </c>
      <c r="D880" s="66"/>
      <c r="E880" s="66"/>
      <c r="F880" s="66"/>
      <c r="G880" s="66"/>
      <c r="H880" s="25" t="str">
        <f ca="1">_xlfn.IFNA(INDIRECT(_xlfn.TEXTJOIN("",TRUE,A873,"!",ADDRESS(16+(A874-1)*J873,6))),"")</f>
        <v/>
      </c>
      <c r="I880" s="25" t="str">
        <f ca="1">_xlfn.IFNA(INDIRECT(_xlfn.TEXTJOIN("",TRUE,A873,"!",ADDRESS(16+(A874-1)*J873,13))),"")</f>
        <v/>
      </c>
      <c r="J880" s="25" t="str">
        <f ca="1">_xlfn.IFNA(INDIRECT(_xlfn.TEXTJOIN("",TRUE,A873,"!",ADDRESS(16+(A874-1)*J873,14))),"")</f>
        <v/>
      </c>
    </row>
    <row r="881" spans="1:10" ht="10.5" customHeight="1" x14ac:dyDescent="0.2">
      <c r="A881" s="65" t="str">
        <f ca="1">_xlfn.IFNA(INDIRECT(_xlfn.TEXTJOIN("",TRUE,A873,"!",ADDRESS(17+(A874-1)*J873,1))),"")</f>
        <v/>
      </c>
      <c r="B881" s="65"/>
      <c r="C881" s="66" t="str">
        <f ca="1">_xlfn.IFNA(INDIRECT(_xlfn.TEXTJOIN("",TRUE,A873,"!",ADDRESS(17+(A874-1)*J873,2))),"")</f>
        <v/>
      </c>
      <c r="D881" s="66"/>
      <c r="E881" s="66"/>
      <c r="F881" s="66"/>
      <c r="G881" s="66"/>
      <c r="H881" s="25" t="str">
        <f ca="1">_xlfn.IFNA(INDIRECT(_xlfn.TEXTJOIN("",TRUE,A873,"!",ADDRESS(17+(A874-1)*J873,6))),"")</f>
        <v/>
      </c>
      <c r="I881" s="25" t="str">
        <f ca="1">_xlfn.IFNA(INDIRECT(_xlfn.TEXTJOIN("",TRUE,A873,"!",ADDRESS(17+(A874-1)*J873,13))),"")</f>
        <v/>
      </c>
      <c r="J881" s="25" t="str">
        <f ca="1">_xlfn.IFNA(INDIRECT(_xlfn.TEXTJOIN("",TRUE,A873,"!",ADDRESS(17+(A874-1)*J873,14))),"")</f>
        <v/>
      </c>
    </row>
    <row r="882" spans="1:10" ht="10.5" customHeight="1" x14ac:dyDescent="0.2">
      <c r="A882" s="65" t="str">
        <f ca="1">_xlfn.IFNA(INDIRECT(_xlfn.TEXTJOIN("",TRUE,A873,"!",ADDRESS(18+(A874-1)*J873,1))),"")</f>
        <v/>
      </c>
      <c r="B882" s="65"/>
      <c r="C882" s="66" t="str">
        <f ca="1">_xlfn.IFNA(INDIRECT(_xlfn.TEXTJOIN("",TRUE,A873,"!",ADDRESS(18+(A874-1)*J873,2))),"")</f>
        <v/>
      </c>
      <c r="D882" s="66"/>
      <c r="E882" s="66"/>
      <c r="F882" s="66"/>
      <c r="G882" s="66"/>
      <c r="H882" s="25" t="str">
        <f ca="1">_xlfn.IFNA(INDIRECT(_xlfn.TEXTJOIN("",TRUE,A873,"!",ADDRESS(18+(A874-1)*J873,6))),"")</f>
        <v/>
      </c>
      <c r="I882" s="25" t="str">
        <f ca="1">_xlfn.IFNA(INDIRECT(_xlfn.TEXTJOIN("",TRUE,A873,"!",ADDRESS(18+(A874-1)*J873,13))),"")</f>
        <v/>
      </c>
      <c r="J882" s="25" t="str">
        <f ca="1">_xlfn.IFNA(INDIRECT(_xlfn.TEXTJOIN("",TRUE,A873,"!",ADDRESS(18+(A874-1)*J873,14))),"")</f>
        <v/>
      </c>
    </row>
    <row r="883" spans="1:10" ht="10.5" customHeight="1" x14ac:dyDescent="0.2">
      <c r="A883" s="60" t="str">
        <f ca="1">_xlfn.IFNA(INDIRECT(_xlfn.TEXTJOIN("",TRUE,A873,"!",ADDRESS(19+(A874-1)*J873,1))),"")</f>
        <v/>
      </c>
      <c r="B883" s="61"/>
      <c r="C883" s="57" t="str">
        <f ca="1">_xlfn.IFNA(INDIRECT(_xlfn.TEXTJOIN("",TRUE,A873,"!",ADDRESS(19+(A874-1)*J873,2))),"")</f>
        <v/>
      </c>
      <c r="D883" s="58"/>
      <c r="E883" s="58"/>
      <c r="F883" s="58"/>
      <c r="G883" s="59"/>
      <c r="H883" s="25" t="str">
        <f ca="1">_xlfn.IFNA(INDIRECT(_xlfn.TEXTJOIN("",TRUE,A873,"!",ADDRESS(19+(A874-1)*J873,6))),"")</f>
        <v/>
      </c>
      <c r="I883" s="25" t="str">
        <f ca="1">_xlfn.IFNA(INDIRECT(_xlfn.TEXTJOIN("",TRUE,A873,"!",ADDRESS(19+(A874-1)*J873,13))),"")</f>
        <v/>
      </c>
      <c r="J883" s="25" t="str">
        <f ca="1">_xlfn.IFNA(INDIRECT(_xlfn.TEXTJOIN("",TRUE,A873,"!",ADDRESS(19+(A874-1)*J873,14))),"")</f>
        <v/>
      </c>
    </row>
    <row r="884" spans="1:10" ht="10.5" customHeight="1" x14ac:dyDescent="0.2">
      <c r="A884" s="65" t="str">
        <f ca="1">_xlfn.IFNA(INDIRECT(_xlfn.TEXTJOIN("",TRUE,A873,"!",ADDRESS(20+(A874-1)*J873,1))),"")</f>
        <v/>
      </c>
      <c r="B884" s="65"/>
      <c r="C884" s="66" t="str">
        <f ca="1">_xlfn.IFNA(INDIRECT(_xlfn.TEXTJOIN("",TRUE,A873,"!",ADDRESS(20+(A874-1)*J873,2))),"")</f>
        <v/>
      </c>
      <c r="D884" s="66"/>
      <c r="E884" s="66"/>
      <c r="F884" s="66"/>
      <c r="G884" s="66"/>
      <c r="H884" s="25" t="str">
        <f ca="1">_xlfn.IFNA(INDIRECT(_xlfn.TEXTJOIN("",TRUE,A873,"!",ADDRESS(20+(A874-1)*J873,6))),"")</f>
        <v/>
      </c>
      <c r="I884" s="25" t="str">
        <f ca="1">_xlfn.IFNA(INDIRECT(_xlfn.TEXTJOIN("",TRUE,A873,"!",ADDRESS(20+(A874-1)*J873,13))),"")</f>
        <v/>
      </c>
      <c r="J884" s="25" t="str">
        <f ca="1">_xlfn.IFNA(INDIRECT(_xlfn.TEXTJOIN("",TRUE,A873,"!",ADDRESS(20+(A874-1)*J873,14))),"")</f>
        <v/>
      </c>
    </row>
    <row r="885" spans="1:10" ht="10.5" customHeight="1" x14ac:dyDescent="0.2">
      <c r="A885" s="71" t="str">
        <f ca="1">IF(ISNA(A874),"","Total Credits/ Total Grade Points")</f>
        <v/>
      </c>
      <c r="B885" s="71"/>
      <c r="C885" s="71"/>
      <c r="D885" s="71"/>
      <c r="E885" s="71"/>
      <c r="F885" s="71"/>
      <c r="G885" s="71"/>
      <c r="H885" s="27" t="str">
        <f ca="1">IF(ISNA(A874),"",SUM(H877:H884))</f>
        <v/>
      </c>
      <c r="I885" s="26" t="str">
        <f ca="1">IF(ISNA(A874),"","-")</f>
        <v/>
      </c>
      <c r="J885" s="27" t="str">
        <f ca="1">IF(ISNA(A874),"",SUMPRODUCT(J877:J884,H877:H884))</f>
        <v/>
      </c>
    </row>
    <row r="886" spans="1:10" ht="10.5" customHeight="1" x14ac:dyDescent="0.2">
      <c r="A886" s="24" t="s">
        <v>133</v>
      </c>
      <c r="B886" s="72" t="str">
        <f ca="1">IF(ISNA(A887),"","Semester IV (Spring Semester 2023-24)")</f>
        <v/>
      </c>
      <c r="C886" s="72"/>
      <c r="D886" s="72"/>
      <c r="E886" s="72"/>
      <c r="F886" s="72"/>
      <c r="G886" s="72"/>
      <c r="H886" s="72"/>
      <c r="I886" s="72"/>
      <c r="J886" s="24">
        <f>ROWS(A890:B896)+9</f>
        <v>16</v>
      </c>
    </row>
    <row r="887" spans="1:10" ht="10.5" customHeight="1" x14ac:dyDescent="0.2">
      <c r="A887" s="24" t="e">
        <f ca="1">INDEX(SEM_IV!$A$6:$A$43,Marksheets!J887)</f>
        <v>#N/A</v>
      </c>
      <c r="B887" s="63"/>
      <c r="C887" s="63"/>
      <c r="D887" s="63"/>
      <c r="E887" s="63"/>
      <c r="F887" s="63"/>
      <c r="G887" s="63"/>
      <c r="H887" s="63"/>
      <c r="I887" s="63"/>
      <c r="J887" s="24" t="e">
        <f ca="1">MATCH(H837,SEM_IV!$B$6:$B$43,0)</f>
        <v>#N/A</v>
      </c>
    </row>
    <row r="888" spans="1:10" ht="10.5" customHeight="1" x14ac:dyDescent="0.2">
      <c r="A888" s="64" t="str">
        <f ca="1">IF(ISNA(A887),"","Subject Code")</f>
        <v/>
      </c>
      <c r="B888" s="64"/>
      <c r="C888" s="64" t="str">
        <f ca="1">IF(ISNA(A887),"","Subject Name")</f>
        <v/>
      </c>
      <c r="D888" s="64"/>
      <c r="E888" s="64"/>
      <c r="F888" s="64"/>
      <c r="G888" s="64"/>
      <c r="H888" s="64" t="str">
        <f ca="1">IF(ISNA(A887),"","Credits")</f>
        <v/>
      </c>
      <c r="I888" s="64" t="str">
        <f ca="1">IF(ISNA(A887),"","Grade")</f>
        <v/>
      </c>
      <c r="J888" s="64" t="str">
        <f ca="1">IF(ISNA(A887),"","Grade Points")</f>
        <v/>
      </c>
    </row>
    <row r="889" spans="1:10" ht="13" customHeight="1" x14ac:dyDescent="0.2">
      <c r="A889" s="64"/>
      <c r="B889" s="64"/>
      <c r="C889" s="64"/>
      <c r="D889" s="64"/>
      <c r="E889" s="64"/>
      <c r="F889" s="64"/>
      <c r="G889" s="64"/>
      <c r="H889" s="64"/>
      <c r="I889" s="64"/>
      <c r="J889" s="64"/>
    </row>
    <row r="890" spans="1:10" ht="10.5" customHeight="1" x14ac:dyDescent="0.2">
      <c r="A890" s="65" t="str">
        <f ca="1">_xlfn.IFNA(INDIRECT(_xlfn.TEXTJOIN("",TRUE,A886,"!",ADDRESS(13+(A887-1)*J886,1))),"")</f>
        <v/>
      </c>
      <c r="B890" s="65"/>
      <c r="C890" s="66" t="str">
        <f ca="1">_xlfn.IFNA(INDIRECT(_xlfn.TEXTJOIN("",TRUE,A886,"!",ADDRESS(13+(A887-1)*J886,2))),"")</f>
        <v/>
      </c>
      <c r="D890" s="66"/>
      <c r="E890" s="66"/>
      <c r="F890" s="66"/>
      <c r="G890" s="66"/>
      <c r="H890" s="25" t="str">
        <f ca="1">_xlfn.IFNA(INDIRECT(_xlfn.TEXTJOIN("",TRUE,A886,"!",ADDRESS(13+(A887-1)*J886,6))),"")</f>
        <v/>
      </c>
      <c r="I890" s="25" t="str">
        <f ca="1">_xlfn.IFNA(INDIRECT(_xlfn.TEXTJOIN("",TRUE,A886,"!",ADDRESS(13+(A887-1)*J886,13))),"")</f>
        <v/>
      </c>
      <c r="J890" s="25" t="str">
        <f ca="1">_xlfn.IFNA(INDIRECT(_xlfn.TEXTJOIN("",TRUE,A886,"!",ADDRESS(13+(A887-1)*J886,14))),"")</f>
        <v/>
      </c>
    </row>
    <row r="891" spans="1:10" ht="10.5" customHeight="1" x14ac:dyDescent="0.2">
      <c r="A891" s="65" t="str">
        <f ca="1">_xlfn.IFNA(INDIRECT(_xlfn.TEXTJOIN("",TRUE,A886,"!",ADDRESS(14+(A887-1)*J886,1))),"")</f>
        <v/>
      </c>
      <c r="B891" s="65"/>
      <c r="C891" s="66" t="str">
        <f ca="1">_xlfn.IFNA(INDIRECT(_xlfn.TEXTJOIN("",TRUE,A886,"!",ADDRESS(14+(A887-1)*J886,2))),"")</f>
        <v/>
      </c>
      <c r="D891" s="66"/>
      <c r="E891" s="66"/>
      <c r="F891" s="66"/>
      <c r="G891" s="66"/>
      <c r="H891" s="25" t="str">
        <f ca="1">_xlfn.IFNA(INDIRECT(_xlfn.TEXTJOIN("",TRUE,A886,"!",ADDRESS(14+(A887-1)*J886,6))),"")</f>
        <v/>
      </c>
      <c r="I891" s="25" t="str">
        <f ca="1">_xlfn.IFNA(INDIRECT(_xlfn.TEXTJOIN("",TRUE,A886,"!",ADDRESS(14+(A887-1)*J886,13))),"")</f>
        <v/>
      </c>
      <c r="J891" s="25" t="str">
        <f ca="1">_xlfn.IFNA(INDIRECT(_xlfn.TEXTJOIN("",TRUE,A886,"!",ADDRESS(14+(A887-1)*J886,14))),"")</f>
        <v/>
      </c>
    </row>
    <row r="892" spans="1:10" ht="10.5" customHeight="1" x14ac:dyDescent="0.2">
      <c r="A892" s="65" t="str">
        <f ca="1">_xlfn.IFNA(INDIRECT(_xlfn.TEXTJOIN("",TRUE,A886,"!",ADDRESS(15+(A887-1)*J886,1))),"")</f>
        <v/>
      </c>
      <c r="B892" s="65"/>
      <c r="C892" s="66" t="str">
        <f ca="1">_xlfn.IFNA(INDIRECT(_xlfn.TEXTJOIN("",TRUE,A886,"!",ADDRESS(15+(A887-1)*J886,2))),"")</f>
        <v/>
      </c>
      <c r="D892" s="66"/>
      <c r="E892" s="66"/>
      <c r="F892" s="66"/>
      <c r="G892" s="66"/>
      <c r="H892" s="25" t="str">
        <f ca="1">_xlfn.IFNA(INDIRECT(_xlfn.TEXTJOIN("",TRUE,A886,"!",ADDRESS(15+(A887-1)*J886,6))),"")</f>
        <v/>
      </c>
      <c r="I892" s="25" t="str">
        <f ca="1">_xlfn.IFNA(INDIRECT(_xlfn.TEXTJOIN("",TRUE,A886,"!",ADDRESS(15+(A887-1)*J886,13))),"")</f>
        <v/>
      </c>
      <c r="J892" s="25" t="str">
        <f ca="1">_xlfn.IFNA(INDIRECT(_xlfn.TEXTJOIN("",TRUE,A886,"!",ADDRESS(15+(A887-1)*J886,14))),"")</f>
        <v/>
      </c>
    </row>
    <row r="893" spans="1:10" ht="10.5" customHeight="1" x14ac:dyDescent="0.2">
      <c r="A893" s="65" t="str">
        <f ca="1">_xlfn.IFNA(INDIRECT(_xlfn.TEXTJOIN("",TRUE,A886,"!",ADDRESS(16+(A887-1)*J886,1))),"")</f>
        <v/>
      </c>
      <c r="B893" s="65"/>
      <c r="C893" s="66" t="str">
        <f ca="1">_xlfn.IFNA(INDIRECT(_xlfn.TEXTJOIN("",TRUE,A886,"!",ADDRESS(16+(A887-1)*J886,2))),"")</f>
        <v/>
      </c>
      <c r="D893" s="66"/>
      <c r="E893" s="66"/>
      <c r="F893" s="66"/>
      <c r="G893" s="66"/>
      <c r="H893" s="25" t="str">
        <f ca="1">_xlfn.IFNA(INDIRECT(_xlfn.TEXTJOIN("",TRUE,A886,"!",ADDRESS(16+(A887-1)*J886,6))),"")</f>
        <v/>
      </c>
      <c r="I893" s="25" t="str">
        <f ca="1">_xlfn.IFNA(INDIRECT(_xlfn.TEXTJOIN("",TRUE,A886,"!",ADDRESS(16+(A887-1)*J886,13))),"")</f>
        <v/>
      </c>
      <c r="J893" s="25" t="str">
        <f ca="1">_xlfn.IFNA(INDIRECT(_xlfn.TEXTJOIN("",TRUE,A886,"!",ADDRESS(16+(A887-1)*J886,14))),"")</f>
        <v/>
      </c>
    </row>
    <row r="894" spans="1:10" ht="10.5" customHeight="1" x14ac:dyDescent="0.2">
      <c r="A894" s="65" t="str">
        <f ca="1">_xlfn.IFNA(INDIRECT(_xlfn.TEXTJOIN("",TRUE,A886,"!",ADDRESS(17+(A887-1)*J886,1))),"")</f>
        <v/>
      </c>
      <c r="B894" s="65"/>
      <c r="C894" s="66" t="str">
        <f ca="1">_xlfn.IFNA(INDIRECT(_xlfn.TEXTJOIN("",TRUE,A886,"!",ADDRESS(17+(A887-1)*J886,2))),"")</f>
        <v/>
      </c>
      <c r="D894" s="66"/>
      <c r="E894" s="66"/>
      <c r="F894" s="66"/>
      <c r="G894" s="66"/>
      <c r="H894" s="25" t="str">
        <f ca="1">_xlfn.IFNA(INDIRECT(_xlfn.TEXTJOIN("",TRUE,A886,"!",ADDRESS(17+(A887-1)*J886,6))),"")</f>
        <v/>
      </c>
      <c r="I894" s="25" t="str">
        <f ca="1">_xlfn.IFNA(INDIRECT(_xlfn.TEXTJOIN("",TRUE,A886,"!",ADDRESS(17+(A887-1)*J886,13))),"")</f>
        <v/>
      </c>
      <c r="J894" s="25" t="str">
        <f ca="1">_xlfn.IFNA(INDIRECT(_xlfn.TEXTJOIN("",TRUE,A886,"!",ADDRESS(17+(A887-1)*J886,14))),"")</f>
        <v/>
      </c>
    </row>
    <row r="895" spans="1:10" ht="10.5" customHeight="1" x14ac:dyDescent="0.2">
      <c r="A895" s="65" t="str">
        <f ca="1">_xlfn.IFNA(INDIRECT(_xlfn.TEXTJOIN("",TRUE,A886,"!",ADDRESS(18+(A887-1)*J886,1))),"")</f>
        <v/>
      </c>
      <c r="B895" s="65"/>
      <c r="C895" s="66" t="str">
        <f ca="1">_xlfn.IFNA(INDIRECT(_xlfn.TEXTJOIN("",TRUE,A886,"!",ADDRESS(18+(A887-1)*J886,2))),"")</f>
        <v/>
      </c>
      <c r="D895" s="66"/>
      <c r="E895" s="66"/>
      <c r="F895" s="66"/>
      <c r="G895" s="66"/>
      <c r="H895" s="25" t="str">
        <f ca="1">_xlfn.IFNA(INDIRECT(_xlfn.TEXTJOIN("",TRUE,A886,"!",ADDRESS(18+(A887-1)*J886,6))),"")</f>
        <v/>
      </c>
      <c r="I895" s="25" t="str">
        <f ca="1">_xlfn.IFNA(INDIRECT(_xlfn.TEXTJOIN("",TRUE,A886,"!",ADDRESS(18+(A887-1)*J886,13))),"")</f>
        <v/>
      </c>
      <c r="J895" s="25" t="str">
        <f ca="1">_xlfn.IFNA(INDIRECT(_xlfn.TEXTJOIN("",TRUE,A886,"!",ADDRESS(18+(A887-1)*J886,14))),"")</f>
        <v/>
      </c>
    </row>
    <row r="896" spans="1:10" ht="10.5" customHeight="1" x14ac:dyDescent="0.2">
      <c r="A896" s="60" t="str">
        <f ca="1">_xlfn.IFNA(INDIRECT(_xlfn.TEXTJOIN("",TRUE,A886,"!",ADDRESS(19+(A887-1)*J886,1))),"")</f>
        <v/>
      </c>
      <c r="B896" s="61"/>
      <c r="C896" s="57" t="str">
        <f ca="1">_xlfn.IFNA(INDIRECT(_xlfn.TEXTJOIN("",TRUE,A886,"!",ADDRESS(19+(A887-1)*J886,2))),"")</f>
        <v/>
      </c>
      <c r="D896" s="58"/>
      <c r="E896" s="58"/>
      <c r="F896" s="58"/>
      <c r="G896" s="59"/>
      <c r="H896" s="25" t="str">
        <f ca="1">_xlfn.IFNA(INDIRECT(_xlfn.TEXTJOIN("",TRUE,A886,"!",ADDRESS(19+(A887-1)*J886,6))),"")</f>
        <v/>
      </c>
      <c r="I896" s="25" t="str">
        <f ca="1">_xlfn.IFNA(INDIRECT(_xlfn.TEXTJOIN("",TRUE,A886,"!",ADDRESS(19+(A887-1)*J886,13))),"")</f>
        <v/>
      </c>
      <c r="J896" s="25" t="str">
        <f ca="1">_xlfn.IFNA(INDIRECT(_xlfn.TEXTJOIN("",TRUE,A886,"!",ADDRESS(19+(A887-1)*J886,14))),"")</f>
        <v/>
      </c>
    </row>
    <row r="897" spans="1:10" ht="10.5" customHeight="1" x14ac:dyDescent="0.2">
      <c r="A897" s="71" t="str">
        <f ca="1">IF(ISNA(A887),"","Total Credits/ Total Grade Points")</f>
        <v/>
      </c>
      <c r="B897" s="71"/>
      <c r="C897" s="71"/>
      <c r="D897" s="71"/>
      <c r="E897" s="71"/>
      <c r="F897" s="71"/>
      <c r="G897" s="71"/>
      <c r="H897" s="27" t="str">
        <f ca="1">IF(ISNA(A887),"",SUM(H889:H896))</f>
        <v/>
      </c>
      <c r="I897" s="26" t="str">
        <f ca="1">IF(ISNA(A887),"","-")</f>
        <v/>
      </c>
      <c r="J897" s="27" t="str">
        <f ca="1">IF(ISNA(A887),"",SUMPRODUCT(J889:J896,H889:H896))</f>
        <v/>
      </c>
    </row>
    <row r="898" spans="1:10" ht="10.5" customHeight="1" x14ac:dyDescent="0.2">
      <c r="A898" s="75" t="s">
        <v>137</v>
      </c>
      <c r="B898" s="75"/>
      <c r="C898" s="75"/>
      <c r="D898" s="75"/>
      <c r="E898" s="75"/>
      <c r="F898" s="76" t="s">
        <v>138</v>
      </c>
      <c r="G898" s="76"/>
      <c r="H898" s="76"/>
      <c r="I898" s="76"/>
      <c r="J898" s="76"/>
    </row>
    <row r="899" spans="1:10" ht="10.5" customHeight="1" x14ac:dyDescent="0.2">
      <c r="A899" s="43" t="s">
        <v>139</v>
      </c>
      <c r="B899" s="43"/>
      <c r="C899" s="43"/>
      <c r="D899" s="43"/>
      <c r="E899" s="43"/>
      <c r="F899" s="43"/>
      <c r="G899" s="43"/>
      <c r="H899" s="43"/>
      <c r="I899" s="43"/>
      <c r="J899" s="43"/>
    </row>
    <row r="900" spans="1:10" ht="10.5" customHeight="1" x14ac:dyDescent="0.2">
      <c r="A900" s="10"/>
      <c r="B900" s="26"/>
      <c r="C900" s="26" t="s">
        <v>140</v>
      </c>
      <c r="D900" s="26" t="s">
        <v>141</v>
      </c>
      <c r="E900" s="26" t="s">
        <v>142</v>
      </c>
      <c r="F900" s="26" t="s">
        <v>143</v>
      </c>
      <c r="G900" s="26" t="s">
        <v>144</v>
      </c>
      <c r="H900" s="79" t="s">
        <v>145</v>
      </c>
      <c r="I900" s="79"/>
      <c r="J900" s="30"/>
    </row>
    <row r="901" spans="1:10" ht="10.5" customHeight="1" x14ac:dyDescent="0.2">
      <c r="A901" s="10"/>
      <c r="B901" s="80" t="s">
        <v>146</v>
      </c>
      <c r="C901" s="73">
        <f ca="1">J857/H857</f>
        <v>6</v>
      </c>
      <c r="D901" s="73" t="e">
        <f ca="1">J872/H872</f>
        <v>#VALUE!</v>
      </c>
      <c r="E901" s="73" t="str">
        <f ca="1">IFERROR(J885/H885,"")</f>
        <v/>
      </c>
      <c r="F901" s="73" t="str">
        <f ca="1">IFERROR(J897/H897,"")</f>
        <v/>
      </c>
      <c r="G901" s="82">
        <f ca="1">F903</f>
        <v>6</v>
      </c>
      <c r="H901" s="83" t="e">
        <f ca="1">IF(TC_IV!N197&lt;96,_xlfn.TEXTJOIN(" ",TRUE,"CARRY OVER",TC_I!V303,TC_II!V251,TC_III!V225,TC_IV!V196),IF(G901&gt;=8,"First Division with Distinction",IF(G901&gt;=6.5,"First Division",IF(G901&gt;=5,"Second Division",IF(G901&gt;=4,"Third Division","Fail")))))</f>
        <v>#N/A</v>
      </c>
      <c r="I901" s="83"/>
      <c r="J901" s="30"/>
    </row>
    <row r="902" spans="1:10" ht="10.5" customHeight="1" x14ac:dyDescent="0.2">
      <c r="B902" s="81"/>
      <c r="C902" s="74"/>
      <c r="D902" s="74"/>
      <c r="E902" s="74"/>
      <c r="F902" s="74"/>
      <c r="G902" s="82"/>
      <c r="H902" s="83"/>
      <c r="I902" s="83"/>
    </row>
    <row r="903" spans="1:10" ht="10.5" customHeight="1" x14ac:dyDescent="0.2">
      <c r="B903" s="80" t="s">
        <v>48</v>
      </c>
      <c r="C903" s="73">
        <f ca="1">J857/H857</f>
        <v>6</v>
      </c>
      <c r="D903" s="73">
        <f ca="1">SUM(J872,J857)/SUM(H872,H857)</f>
        <v>6</v>
      </c>
      <c r="E903" s="73">
        <f ca="1">SUM(J885,J872,J857)/SUM(H885,H872,H857)</f>
        <v>6</v>
      </c>
      <c r="F903" s="73">
        <f ca="1">SUM(J897,J885,J872,J857)/SUM(H857,H872,H885,H897)</f>
        <v>6</v>
      </c>
      <c r="G903" s="82"/>
      <c r="H903" s="83"/>
      <c r="I903" s="83"/>
    </row>
    <row r="904" spans="1:10" ht="10.5" customHeight="1" x14ac:dyDescent="0.2">
      <c r="B904" s="81"/>
      <c r="C904" s="74"/>
      <c r="D904" s="74"/>
      <c r="E904" s="74"/>
      <c r="F904" s="74"/>
      <c r="G904" s="82"/>
      <c r="H904" s="83"/>
      <c r="I904" s="83"/>
    </row>
    <row r="906" spans="1:10" ht="10.5" customHeight="1" x14ac:dyDescent="0.2">
      <c r="A906" s="56" t="s">
        <v>24</v>
      </c>
      <c r="B906" s="56"/>
      <c r="C906" s="56" t="str">
        <f ca="1">INDIRECT(_xlfn.TEXTJOIN("",TRUE,A908,"!",ADDRESS(9+(A909-1)*J908,2)))</f>
        <v>REETU SAINI</v>
      </c>
      <c r="D906" s="56"/>
      <c r="E906" s="56"/>
      <c r="F906" s="56" t="s">
        <v>135</v>
      </c>
      <c r="G906" s="56"/>
      <c r="H906" s="62">
        <f ca="1">INDIRECT(_xlfn.TEXTJOIN("",TRUE,A908,"!",ADDRESS(9+(A909-1)*J908,9)))</f>
        <v>250090600014</v>
      </c>
      <c r="I906" s="56"/>
      <c r="J906" s="56"/>
    </row>
    <row r="907" spans="1:10" ht="10.5" customHeight="1" x14ac:dyDescent="0.2">
      <c r="A907" s="56" t="s">
        <v>25</v>
      </c>
      <c r="B907" s="56"/>
      <c r="C907" s="56" t="str">
        <f ca="1">INDIRECT(_xlfn.TEXTJOIN("",TRUE,A908,"!",ADDRESS(9+(A909-1)*J908,5)))</f>
        <v>ARJUN SINGH SAINI</v>
      </c>
      <c r="D907" s="56"/>
      <c r="E907" s="56"/>
      <c r="F907" s="47" t="s">
        <v>136</v>
      </c>
      <c r="G907" s="47"/>
      <c r="H907" s="62" t="str">
        <f ca="1">INDIRECT(_xlfn.TEXTJOIN("",TRUE,A908,"!",ADDRESS(9+(A909-1)*J908,13)))</f>
        <v>UTU/2506100138</v>
      </c>
      <c r="I907" s="56"/>
      <c r="J907" s="56"/>
    </row>
    <row r="908" spans="1:10" ht="10.5" customHeight="1" x14ac:dyDescent="0.2">
      <c r="A908" s="24" t="s">
        <v>53</v>
      </c>
      <c r="B908" s="43" t="s">
        <v>148</v>
      </c>
      <c r="C908" s="43"/>
      <c r="D908" s="43"/>
      <c r="E908" s="43"/>
      <c r="F908" s="43"/>
      <c r="G908" s="43"/>
      <c r="H908" s="43"/>
      <c r="I908" s="43"/>
      <c r="J908" s="24">
        <f>ROWS(A912:B925)+9</f>
        <v>23</v>
      </c>
    </row>
    <row r="909" spans="1:10" ht="10.5" customHeight="1" x14ac:dyDescent="0.2">
      <c r="A909" s="24">
        <f>A840+1</f>
        <v>14</v>
      </c>
      <c r="B909" s="63"/>
      <c r="C909" s="63"/>
      <c r="D909" s="63"/>
      <c r="E909" s="63"/>
      <c r="F909" s="63"/>
      <c r="G909" s="63"/>
      <c r="H909" s="63"/>
      <c r="I909" s="63"/>
      <c r="J909" s="29"/>
    </row>
    <row r="910" spans="1:10" ht="10.5" customHeight="1" x14ac:dyDescent="0.2">
      <c r="A910" s="64" t="s">
        <v>28</v>
      </c>
      <c r="B910" s="64"/>
      <c r="C910" s="64" t="s">
        <v>29</v>
      </c>
      <c r="D910" s="64"/>
      <c r="E910" s="64"/>
      <c r="F910" s="64"/>
      <c r="G910" s="64"/>
      <c r="H910" s="64" t="s">
        <v>30</v>
      </c>
      <c r="I910" s="64" t="s">
        <v>9</v>
      </c>
      <c r="J910" s="64" t="s">
        <v>34</v>
      </c>
    </row>
    <row r="911" spans="1:10" ht="12" customHeight="1" x14ac:dyDescent="0.2">
      <c r="A911" s="64"/>
      <c r="B911" s="64"/>
      <c r="C911" s="64"/>
      <c r="D911" s="64"/>
      <c r="E911" s="64"/>
      <c r="F911" s="64"/>
      <c r="G911" s="64"/>
      <c r="H911" s="64"/>
      <c r="I911" s="64"/>
      <c r="J911" s="64"/>
    </row>
    <row r="912" spans="1:10" ht="10.5" customHeight="1" x14ac:dyDescent="0.2">
      <c r="A912" s="65" t="str">
        <f ca="1">INDIRECT(_xlfn.TEXTJOIN("",TRUE,A908,"!",ADDRESS(13+(A909-1)*J908,1)))</f>
        <v>CAT 004</v>
      </c>
      <c r="B912" s="65"/>
      <c r="C912" s="66" t="str">
        <f ca="1">INDIRECT(_xlfn.TEXTJOIN("",TRUE,A908,"!",ADDRESS(13+(A909-1)*J908,2)))</f>
        <v>Discrete Structure</v>
      </c>
      <c r="D912" s="66"/>
      <c r="E912" s="66"/>
      <c r="F912" s="66"/>
      <c r="G912" s="66"/>
      <c r="H912" s="25">
        <f ca="1">INDIRECT(_xlfn.TEXTJOIN("",TRUE,A908,"!",ADDRESS(13+(A909-1)*J908,6)))</f>
        <v>4</v>
      </c>
      <c r="I912" s="25" t="str">
        <f ca="1">INDIRECT(_xlfn.TEXTJOIN("",TRUE,A908,"!",ADDRESS(13+(A909-1)*J908,13)))</f>
        <v>E</v>
      </c>
      <c r="J912" s="25">
        <f ca="1">INDIRECT(_xlfn.TEXTJOIN("",TRUE,A908,"!",ADDRESS(13+(A909-1)*J908,14)))</f>
        <v>5</v>
      </c>
    </row>
    <row r="913" spans="1:10" ht="10.5" customHeight="1" x14ac:dyDescent="0.2">
      <c r="A913" s="65" t="str">
        <f ca="1">INDIRECT(_xlfn.TEXTJOIN("",TRUE,A908,"!",ADDRESS(14+(A909-1)*J908,1)))</f>
        <v>CAT 005</v>
      </c>
      <c r="B913" s="65"/>
      <c r="C913" s="66" t="str">
        <f ca="1">INDIRECT(_xlfn.TEXTJOIN("",TRUE,A908,"!",ADDRESS(14+(A909-1)*J908,2)))</f>
        <v>Database Management System</v>
      </c>
      <c r="D913" s="66"/>
      <c r="E913" s="66"/>
      <c r="F913" s="66"/>
      <c r="G913" s="66"/>
      <c r="H913" s="25">
        <f ca="1">INDIRECT(_xlfn.TEXTJOIN("",TRUE,A908,"!",ADDRESS(14+(A909-1)*J908,6)))</f>
        <v>4</v>
      </c>
      <c r="I913" s="25" t="str">
        <f ca="1">INDIRECT(_xlfn.TEXTJOIN("",TRUE,A908,"!",ADDRESS(14+(A909-1)*J908,13)))</f>
        <v>D+</v>
      </c>
      <c r="J913" s="25">
        <f ca="1">INDIRECT(_xlfn.TEXTJOIN("",TRUE,A908,"!",ADDRESS(14+(A909-1)*J908,14)))</f>
        <v>6.5</v>
      </c>
    </row>
    <row r="914" spans="1:10" ht="10.5" customHeight="1" x14ac:dyDescent="0.2">
      <c r="A914" s="65" t="str">
        <f ca="1">INDIRECT(_xlfn.TEXTJOIN("",TRUE,A908,"!",ADDRESS(15+(A909-1)*J908,1)))</f>
        <v>CAT 006</v>
      </c>
      <c r="B914" s="65"/>
      <c r="C914" s="66" t="str">
        <f ca="1">INDIRECT(_xlfn.TEXTJOIN("",TRUE,A908,"!",ADDRESS(15+(A909-1)*J908,2)))</f>
        <v>Operating System</v>
      </c>
      <c r="D914" s="66"/>
      <c r="E914" s="66"/>
      <c r="F914" s="66"/>
      <c r="G914" s="66"/>
      <c r="H914" s="25">
        <f ca="1">INDIRECT(_xlfn.TEXTJOIN("",TRUE,A908,"!",ADDRESS(15+(A909-1)*J908,6)))</f>
        <v>4</v>
      </c>
      <c r="I914" s="25" t="str">
        <f ca="1">INDIRECT(_xlfn.TEXTJOIN("",TRUE,A908,"!",ADDRESS(15+(A909-1)*J908,13)))</f>
        <v>B</v>
      </c>
      <c r="J914" s="25">
        <f ca="1">INDIRECT(_xlfn.TEXTJOIN("",TRUE,A908,"!",ADDRESS(15+(A909-1)*J908,14)))</f>
        <v>8</v>
      </c>
    </row>
    <row r="915" spans="1:10" ht="10.5" customHeight="1" x14ac:dyDescent="0.2">
      <c r="A915" s="65" t="str">
        <f ca="1">INDIRECT(_xlfn.TEXTJOIN("",TRUE,A908,"!",ADDRESS(16+(A909-1)*J908,1)))</f>
        <v>CAT 007</v>
      </c>
      <c r="B915" s="65"/>
      <c r="C915" s="66" t="str">
        <f ca="1">INDIRECT(_xlfn.TEXTJOIN("",TRUE,A908,"!",ADDRESS(16+(A909-1)*J908,2)))</f>
        <v>Computer Organization</v>
      </c>
      <c r="D915" s="66"/>
      <c r="E915" s="66"/>
      <c r="F915" s="66"/>
      <c r="G915" s="66"/>
      <c r="H915" s="25">
        <f ca="1">INDIRECT(_xlfn.TEXTJOIN("",TRUE,A908,"!",ADDRESS(16+(A909-1)*J908,6)))</f>
        <v>4</v>
      </c>
      <c r="I915" s="25" t="str">
        <f ca="1">INDIRECT(_xlfn.TEXTJOIN("",TRUE,A908,"!",ADDRESS(16+(A909-1)*J908,13)))</f>
        <v>E+</v>
      </c>
      <c r="J915" s="25">
        <f ca="1">INDIRECT(_xlfn.TEXTJOIN("",TRUE,A908,"!",ADDRESS(16+(A909-1)*J908,14)))</f>
        <v>5.5</v>
      </c>
    </row>
    <row r="916" spans="1:10" ht="10.5" customHeight="1" x14ac:dyDescent="0.2">
      <c r="A916" s="65" t="str">
        <f ca="1">INDIRECT(_xlfn.TEXTJOIN("",TRUE,A908,"!",ADDRESS(17+(A909-1)*J908,1)))</f>
        <v>AHT 303</v>
      </c>
      <c r="B916" s="65"/>
      <c r="C916" s="66" t="str">
        <f ca="1">INDIRECT(_xlfn.TEXTJOIN("",TRUE,A908,"!",ADDRESS(17+(A909-1)*J908,2)))</f>
        <v>Technical Communication Skills</v>
      </c>
      <c r="D916" s="66"/>
      <c r="E916" s="66"/>
      <c r="F916" s="66"/>
      <c r="G916" s="66"/>
      <c r="H916" s="25">
        <f ca="1">INDIRECT(_xlfn.TEXTJOIN("",TRUE,A908,"!",ADDRESS(17+(A909-1)*J908,6)))</f>
        <v>4</v>
      </c>
      <c r="I916" s="25" t="str">
        <f ca="1">INDIRECT(_xlfn.TEXTJOIN("",TRUE,A908,"!",ADDRESS(17+(A909-1)*J908,13)))</f>
        <v>D+</v>
      </c>
      <c r="J916" s="25">
        <f ca="1">INDIRECT(_xlfn.TEXTJOIN("",TRUE,A908,"!",ADDRESS(17+(A909-1)*J908,14)))</f>
        <v>6.5</v>
      </c>
    </row>
    <row r="917" spans="1:10" ht="10.5" customHeight="1" x14ac:dyDescent="0.2">
      <c r="A917" s="65" t="str">
        <f ca="1">INDIRECT(_xlfn.TEXTJOIN("",TRUE,A908,"!",ADDRESS(18+(A909-1)*J908,1)))</f>
        <v>CAT 008</v>
      </c>
      <c r="B917" s="65"/>
      <c r="C917" s="66" t="str">
        <f ca="1">INDIRECT(_xlfn.TEXTJOIN("",TRUE,A908,"!",ADDRESS(18+(A909-1)*J908,2)))</f>
        <v>Python Programming ($)</v>
      </c>
      <c r="D917" s="66"/>
      <c r="E917" s="66"/>
      <c r="F917" s="66"/>
      <c r="G917" s="66"/>
      <c r="H917" s="25">
        <f ca="1">INDIRECT(_xlfn.TEXTJOIN("",TRUE,A908,"!",ADDRESS(18+(A909-1)*J908,6)))</f>
        <v>0</v>
      </c>
      <c r="I917" s="25" t="str">
        <f ca="1">INDIRECT(_xlfn.TEXTJOIN("",TRUE,A908,"!",ADDRESS(18+(A909-1)*J908,13)))</f>
        <v>E+</v>
      </c>
      <c r="J917" s="25">
        <f ca="1">INDIRECT(_xlfn.TEXTJOIN("",TRUE,A908,"!",ADDRESS(18+(A909-1)*J908,14)))</f>
        <v>5.5</v>
      </c>
    </row>
    <row r="918" spans="1:10" ht="10.5" customHeight="1" x14ac:dyDescent="0.2">
      <c r="A918" s="60" t="str">
        <f ca="1">INDIRECT(_xlfn.TEXTJOIN("",TRUE,A908,"!",ADDRESS(19+(A909-1)*J908,1)))</f>
        <v>CAT 001</v>
      </c>
      <c r="B918" s="61"/>
      <c r="C918" s="57" t="str">
        <f ca="1">INDIRECT(_xlfn.TEXTJOIN("",TRUE,A908,"!",ADDRESS(19+(A909-1)*J908,2)))</f>
        <v>Introduction of Information Technology ($)</v>
      </c>
      <c r="D918" s="58"/>
      <c r="E918" s="58"/>
      <c r="F918" s="58"/>
      <c r="G918" s="59"/>
      <c r="H918" s="25">
        <f ca="1">INDIRECT(_xlfn.TEXTJOIN("",TRUE,A908,"!",ADDRESS(19+(A909-1)*J908,6)))</f>
        <v>0</v>
      </c>
      <c r="I918" s="25" t="str">
        <f ca="1">INDIRECT(_xlfn.TEXTJOIN("",TRUE,A908,"!",ADDRESS(19+(A909-1)*J908,13)))</f>
        <v>-</v>
      </c>
      <c r="J918" s="25" t="str">
        <f ca="1">INDIRECT(_xlfn.TEXTJOIN("",TRUE,A908,"!",ADDRESS(19+(A909-1)*J908,14)))</f>
        <v>-</v>
      </c>
    </row>
    <row r="919" spans="1:10" ht="10.5" customHeight="1" x14ac:dyDescent="0.2">
      <c r="A919" s="65" t="str">
        <f ca="1">INDIRECT(_xlfn.TEXTJOIN("",TRUE,A908,"!",ADDRESS(20+(A909-1)*J908,1)))</f>
        <v>CAT 002</v>
      </c>
      <c r="B919" s="65"/>
      <c r="C919" s="66" t="str">
        <f ca="1">INDIRECT(_xlfn.TEXTJOIN("",TRUE,A908,"!",ADDRESS(20+(A909-1)*J908,2)))</f>
        <v>Programming Fundamentals with "C" ($)</v>
      </c>
      <c r="D919" s="66"/>
      <c r="E919" s="66"/>
      <c r="F919" s="66"/>
      <c r="G919" s="66"/>
      <c r="H919" s="25">
        <f ca="1">INDIRECT(_xlfn.TEXTJOIN("",TRUE,A908,"!",ADDRESS(20+(A909-1)*J908,6)))</f>
        <v>0</v>
      </c>
      <c r="I919" s="25" t="str">
        <f ca="1">INDIRECT(_xlfn.TEXTJOIN("",TRUE,A908,"!",ADDRESS(20+(A909-1)*J908,13)))</f>
        <v>-</v>
      </c>
      <c r="J919" s="25" t="str">
        <f ca="1">INDIRECT(_xlfn.TEXTJOIN("",TRUE,A908,"!",ADDRESS(20+(A909-1)*J908,14)))</f>
        <v>-</v>
      </c>
    </row>
    <row r="920" spans="1:10" ht="10.5" customHeight="1" x14ac:dyDescent="0.2">
      <c r="A920" s="65" t="str">
        <f ca="1">INDIRECT(_xlfn.TEXTJOIN("",TRUE,A908,"!",ADDRESS(21+(A909-1)*J908,1)))</f>
        <v>CAT 003</v>
      </c>
      <c r="B920" s="65"/>
      <c r="C920" s="66" t="str">
        <f ca="1">INDIRECT(_xlfn.TEXTJOIN("",TRUE,A908,"!",ADDRESS(21+(A909-1)*J908,2)))</f>
        <v>Fundamental of Web Technology ($)</v>
      </c>
      <c r="D920" s="66"/>
      <c r="E920" s="66"/>
      <c r="F920" s="66"/>
      <c r="G920" s="66"/>
      <c r="H920" s="25">
        <f ca="1">INDIRECT(_xlfn.TEXTJOIN("",TRUE,A908,"!",ADDRESS(21+(A909-1)*J908,6)))</f>
        <v>0</v>
      </c>
      <c r="I920" s="25" t="str">
        <f ca="1">INDIRECT(_xlfn.TEXTJOIN("",TRUE,A908,"!",ADDRESS(21+(A909-1)*J908,13)))</f>
        <v>-</v>
      </c>
      <c r="J920" s="25" t="str">
        <f ca="1">INDIRECT(_xlfn.TEXTJOIN("",TRUE,A908,"!",ADDRESS(21+(A909-1)*J908,14)))</f>
        <v>-</v>
      </c>
    </row>
    <row r="921" spans="1:10" ht="10.5" customHeight="1" x14ac:dyDescent="0.2">
      <c r="A921" s="65" t="str">
        <f ca="1">INDIRECT(_xlfn.TEXTJOIN("",TRUE,A908,"!",ADDRESS(22+(A909-1)*J908,1)))</f>
        <v>CAP 001</v>
      </c>
      <c r="B921" s="65"/>
      <c r="C921" s="66" t="str">
        <f ca="1">INDIRECT(_xlfn.TEXTJOIN("",TRUE,A908,"!",ADDRESS(22+(A909-1)*J908,2)))</f>
        <v>Database Management System Lab</v>
      </c>
      <c r="D921" s="66"/>
      <c r="E921" s="66"/>
      <c r="F921" s="66"/>
      <c r="G921" s="66"/>
      <c r="H921" s="25">
        <f ca="1">INDIRECT(_xlfn.TEXTJOIN("",TRUE,A908,"!",ADDRESS(22+(A909-1)*J908,6)))</f>
        <v>1</v>
      </c>
      <c r="I921" s="25" t="str">
        <f ca="1">INDIRECT(_xlfn.TEXTJOIN("",TRUE,A908,"!",ADDRESS(22+(A909-1)*J908,13)))</f>
        <v>B</v>
      </c>
      <c r="J921" s="25">
        <f ca="1">INDIRECT(_xlfn.TEXTJOIN("",TRUE,A908,"!",ADDRESS(22+(A909-1)*J908,14)))</f>
        <v>8</v>
      </c>
    </row>
    <row r="922" spans="1:10" ht="10.5" customHeight="1" x14ac:dyDescent="0.2">
      <c r="A922" s="65" t="str">
        <f ca="1">INDIRECT(_xlfn.TEXTJOIN("",TRUE,A908,"!",ADDRESS(23+(A909-1)*J908,1)))</f>
        <v>CAP 002</v>
      </c>
      <c r="B922" s="65"/>
      <c r="C922" s="66" t="str">
        <f ca="1">INDIRECT(_xlfn.TEXTJOIN("",TRUE,A908,"!",ADDRESS(23+(A909-1)*J908,2)))</f>
        <v>Operating System Lab</v>
      </c>
      <c r="D922" s="66"/>
      <c r="E922" s="66"/>
      <c r="F922" s="66"/>
      <c r="G922" s="66"/>
      <c r="H922" s="25">
        <f ca="1">INDIRECT(_xlfn.TEXTJOIN("",TRUE,A908,"!",ADDRESS(23+(A909-1)*J908,6)))</f>
        <v>1</v>
      </c>
      <c r="I922" s="25" t="str">
        <f ca="1">INDIRECT(_xlfn.TEXTJOIN("",TRUE,A908,"!",ADDRESS(23+(A909-1)*J908,13)))</f>
        <v>B+</v>
      </c>
      <c r="J922" s="25">
        <f ca="1">INDIRECT(_xlfn.TEXTJOIN("",TRUE,A908,"!",ADDRESS(23+(A909-1)*J908,14)))</f>
        <v>8.5</v>
      </c>
    </row>
    <row r="923" spans="1:10" ht="10.5" customHeight="1" x14ac:dyDescent="0.2">
      <c r="A923" s="65" t="str">
        <f ca="1">INDIRECT(_xlfn.TEXTJOIN("",TRUE,A908,"!",ADDRESS(24+(A909-1)*J908,1)))</f>
        <v>CAP 003</v>
      </c>
      <c r="B923" s="65"/>
      <c r="C923" s="66" t="str">
        <f ca="1">INDIRECT(_xlfn.TEXTJOIN("",TRUE,A908,"!",ADDRESS(24+(A909-1)*J908,2)))</f>
        <v>Computer Organization Lab</v>
      </c>
      <c r="D923" s="66"/>
      <c r="E923" s="66"/>
      <c r="F923" s="66"/>
      <c r="G923" s="66"/>
      <c r="H923" s="25">
        <f ca="1">INDIRECT(_xlfn.TEXTJOIN("",TRUE,A908,"!",ADDRESS(24+(A909-1)*J908,6)))</f>
        <v>1</v>
      </c>
      <c r="I923" s="25" t="str">
        <f ca="1">INDIRECT(_xlfn.TEXTJOIN("",TRUE,A908,"!",ADDRESS(24+(A909-1)*J908,13)))</f>
        <v>B+</v>
      </c>
      <c r="J923" s="25">
        <f ca="1">INDIRECT(_xlfn.TEXTJOIN("",TRUE,A908,"!",ADDRESS(24+(A909-1)*J908,14)))</f>
        <v>8.5</v>
      </c>
    </row>
    <row r="924" spans="1:10" ht="10.5" customHeight="1" x14ac:dyDescent="0.2">
      <c r="A924" s="65" t="str">
        <f ca="1">INDIRECT(_xlfn.TEXTJOIN("",TRUE,A908,"!",ADDRESS(25+(A909-1)*J908,1)))</f>
        <v>AHP 303</v>
      </c>
      <c r="B924" s="65"/>
      <c r="C924" s="66" t="str">
        <f ca="1">INDIRECT(_xlfn.TEXTJOIN("",TRUE,A908,"!",ADDRESS(25+(A909-1)*J908,2)))</f>
        <v>Technical Communication Skills</v>
      </c>
      <c r="D924" s="66"/>
      <c r="E924" s="66"/>
      <c r="F924" s="66"/>
      <c r="G924" s="66"/>
      <c r="H924" s="25">
        <f ca="1">INDIRECT(_xlfn.TEXTJOIN("",TRUE,A908,"!",ADDRESS(25+(A909-1)*J908,6)))</f>
        <v>1</v>
      </c>
      <c r="I924" s="25" t="str">
        <f ca="1">INDIRECT(_xlfn.TEXTJOIN("",TRUE,A908,"!",ADDRESS(25+(A909-1)*J908,13)))</f>
        <v>B+</v>
      </c>
      <c r="J924" s="25">
        <f ca="1">INDIRECT(_xlfn.TEXTJOIN("",TRUE,A908,"!",ADDRESS(25+(A909-1)*J908,14)))</f>
        <v>8.5</v>
      </c>
    </row>
    <row r="925" spans="1:10" s="35" customFormat="1" ht="10.5" customHeight="1" x14ac:dyDescent="0.2">
      <c r="A925" s="77">
        <f ca="1">INDIRECT(_xlfn.TEXTJOIN("",TRUE,A908,"!",ADDRESS(26+(A909-1)*J908,1)))</f>
        <v>0</v>
      </c>
      <c r="B925" s="77"/>
      <c r="C925" s="78">
        <f ca="1">INDIRECT(_xlfn.TEXTJOIN("",TRUE,A908,"!",ADDRESS(26+(A909-1)*J908,2)))</f>
        <v>0</v>
      </c>
      <c r="D925" s="78"/>
      <c r="E925" s="78"/>
      <c r="F925" s="78"/>
      <c r="G925" s="78"/>
      <c r="H925" s="34">
        <f ca="1">INDIRECT(_xlfn.TEXTJOIN("",TRUE,A908,"!",ADDRESS(26+(A909-1)*J908,6)))</f>
        <v>0</v>
      </c>
      <c r="I925" s="34" t="str">
        <f ca="1">INDIRECT(_xlfn.TEXTJOIN("",TRUE,A908,"!",ADDRESS(26+(A909-1)*J908,13)))</f>
        <v>Excellent</v>
      </c>
      <c r="J925" s="34">
        <f ca="1">INDIRECT(_xlfn.TEXTJOIN("",TRUE,A908,"!",ADDRESS(26+(A909-1)*J908,14)))</f>
        <v>0</v>
      </c>
    </row>
    <row r="926" spans="1:10" ht="10.5" customHeight="1" x14ac:dyDescent="0.2">
      <c r="A926" s="71" t="s">
        <v>52</v>
      </c>
      <c r="B926" s="71"/>
      <c r="C926" s="71"/>
      <c r="D926" s="71"/>
      <c r="E926" s="71"/>
      <c r="F926" s="71"/>
      <c r="G926" s="71"/>
      <c r="H926" s="27">
        <f ca="1">SUM(H912:H925)</f>
        <v>24</v>
      </c>
      <c r="I926" s="26" t="s">
        <v>44</v>
      </c>
      <c r="J926" s="27">
        <f ca="1">SUMPRODUCT(J912:J924,H912:H924)</f>
        <v>159.5</v>
      </c>
    </row>
    <row r="927" spans="1:10" ht="10.5" customHeight="1" x14ac:dyDescent="0.2">
      <c r="A927" s="24" t="s">
        <v>57</v>
      </c>
      <c r="B927" s="72" t="str">
        <f ca="1">IF(ISNA(A928),"","Semester II (Spring Semester 2022-23)")</f>
        <v/>
      </c>
      <c r="C927" s="72"/>
      <c r="D927" s="72"/>
      <c r="E927" s="72"/>
      <c r="F927" s="72"/>
      <c r="G927" s="72"/>
      <c r="H927" s="72"/>
      <c r="I927" s="72"/>
      <c r="J927" s="24">
        <f>ROWS(A931:B940)+9</f>
        <v>19</v>
      </c>
    </row>
    <row r="928" spans="1:10" ht="10.5" customHeight="1" x14ac:dyDescent="0.2">
      <c r="A928" s="24" t="e">
        <f ca="1">INDEX(SEM_II!$A$6:$A$45,Marksheets!J928)</f>
        <v>#N/A</v>
      </c>
      <c r="B928" s="63"/>
      <c r="C928" s="63"/>
      <c r="D928" s="63"/>
      <c r="E928" s="63"/>
      <c r="F928" s="63"/>
      <c r="G928" s="63"/>
      <c r="H928" s="63"/>
      <c r="I928" s="63"/>
      <c r="J928" s="24" t="e">
        <f ca="1">MATCH(H906,SEM_II!$B$6:$B$45,0)</f>
        <v>#N/A</v>
      </c>
    </row>
    <row r="929" spans="1:10" ht="10.5" customHeight="1" x14ac:dyDescent="0.2">
      <c r="A929" s="64" t="str">
        <f ca="1">IF(ISNA(A928),"","Subject Code")</f>
        <v/>
      </c>
      <c r="B929" s="64"/>
      <c r="C929" s="64" t="str">
        <f ca="1">IF(ISNA(A928),"","Subject Name")</f>
        <v/>
      </c>
      <c r="D929" s="64"/>
      <c r="E929" s="64"/>
      <c r="F929" s="64"/>
      <c r="G929" s="64"/>
      <c r="H929" s="64" t="str">
        <f ca="1">IF(ISNA(A928),"","Credits")</f>
        <v/>
      </c>
      <c r="I929" s="64" t="str">
        <f ca="1">IF(ISNA(A928),"","Grade")</f>
        <v/>
      </c>
      <c r="J929" s="64" t="str">
        <f ca="1">IF(ISNA(A928),"","Grade Points")</f>
        <v/>
      </c>
    </row>
    <row r="930" spans="1:10" ht="13.5" customHeight="1" x14ac:dyDescent="0.2">
      <c r="A930" s="64"/>
      <c r="B930" s="64"/>
      <c r="C930" s="64"/>
      <c r="D930" s="64"/>
      <c r="E930" s="64"/>
      <c r="F930" s="64"/>
      <c r="G930" s="64"/>
      <c r="H930" s="64"/>
      <c r="I930" s="64"/>
      <c r="J930" s="64"/>
    </row>
    <row r="931" spans="1:10" ht="10.5" customHeight="1" x14ac:dyDescent="0.2">
      <c r="A931" s="65" t="str">
        <f ca="1">_xlfn.IFNA(INDIRECT(_xlfn.TEXTJOIN("",TRUE,A927,"!",ADDRESS(13+(A928-1)*J927,1))),"")</f>
        <v/>
      </c>
      <c r="B931" s="65"/>
      <c r="C931" s="66" t="str">
        <f ca="1">_xlfn.IFNA(INDIRECT(_xlfn.TEXTJOIN("",TRUE,A927,"!",ADDRESS(13+(A928-1)*J927,2))),"")</f>
        <v/>
      </c>
      <c r="D931" s="66"/>
      <c r="E931" s="66"/>
      <c r="F931" s="66"/>
      <c r="G931" s="66"/>
      <c r="H931" s="25" t="str">
        <f ca="1">_xlfn.IFNA(INDIRECT(_xlfn.TEXTJOIN("",TRUE,A927,"!",ADDRESS(13+(A928-1)*J927,6))),"")</f>
        <v/>
      </c>
      <c r="I931" s="25" t="str">
        <f ca="1">_xlfn.IFNA(INDIRECT(_xlfn.TEXTJOIN("",TRUE,A927,"!",ADDRESS(13+(A928-1)*J927,13))),"")</f>
        <v/>
      </c>
      <c r="J931" s="25" t="str">
        <f ca="1">_xlfn.IFNA(INDIRECT(_xlfn.TEXTJOIN("",TRUE,A927,"!",ADDRESS(13+(A928-1)*J927,14))),"")</f>
        <v/>
      </c>
    </row>
    <row r="932" spans="1:10" ht="10.5" customHeight="1" x14ac:dyDescent="0.2">
      <c r="A932" s="65" t="str">
        <f ca="1">_xlfn.IFNA(INDIRECT(_xlfn.TEXTJOIN("",TRUE,A927,"!",ADDRESS(14+(A928-1)*J927,1))),"")</f>
        <v/>
      </c>
      <c r="B932" s="65"/>
      <c r="C932" s="66" t="str">
        <f ca="1">_xlfn.IFNA(INDIRECT(_xlfn.TEXTJOIN("",TRUE,A927,"!",ADDRESS(14+(A928-1)*J927,2))),"")</f>
        <v/>
      </c>
      <c r="D932" s="66"/>
      <c r="E932" s="66"/>
      <c r="F932" s="66"/>
      <c r="G932" s="66"/>
      <c r="H932" s="25" t="str">
        <f ca="1">_xlfn.IFNA(INDIRECT(_xlfn.TEXTJOIN("",TRUE,A927,"!",ADDRESS(14+(A928-1)*J927,6))),"")</f>
        <v/>
      </c>
      <c r="I932" s="25" t="str">
        <f ca="1">_xlfn.IFNA(INDIRECT(_xlfn.TEXTJOIN("",TRUE,A927,"!",ADDRESS(14+(A928-1)*J927,13))),"")</f>
        <v/>
      </c>
      <c r="J932" s="25" t="str">
        <f ca="1">_xlfn.IFNA(INDIRECT(_xlfn.TEXTJOIN("",TRUE,A927,"!",ADDRESS(14+(A928-1)*J927,14))),"")</f>
        <v/>
      </c>
    </row>
    <row r="933" spans="1:10" ht="10.5" customHeight="1" x14ac:dyDescent="0.2">
      <c r="A933" s="65" t="str">
        <f ca="1">_xlfn.IFNA(INDIRECT(_xlfn.TEXTJOIN("",TRUE,A927,"!",ADDRESS(15+(A928-1)*J927,1))),"")</f>
        <v/>
      </c>
      <c r="B933" s="65"/>
      <c r="C933" s="66" t="str">
        <f ca="1">_xlfn.IFNA(INDIRECT(_xlfn.TEXTJOIN("",TRUE,A927,"!",ADDRESS(15+(A928-1)*J927,2))),"")</f>
        <v/>
      </c>
      <c r="D933" s="66"/>
      <c r="E933" s="66"/>
      <c r="F933" s="66"/>
      <c r="G933" s="66"/>
      <c r="H933" s="25" t="str">
        <f ca="1">_xlfn.IFNA(INDIRECT(_xlfn.TEXTJOIN("",TRUE,A927,"!",ADDRESS(15+(A928-1)*J927,6))),"")</f>
        <v/>
      </c>
      <c r="I933" s="25" t="str">
        <f ca="1">_xlfn.IFNA(INDIRECT(_xlfn.TEXTJOIN("",TRUE,A927,"!",ADDRESS(15+(A928-1)*J927,13))),"")</f>
        <v/>
      </c>
      <c r="J933" s="25" t="str">
        <f ca="1">_xlfn.IFNA(INDIRECT(_xlfn.TEXTJOIN("",TRUE,A927,"!",ADDRESS(15+(A928-1)*J927,14))),"")</f>
        <v/>
      </c>
    </row>
    <row r="934" spans="1:10" ht="10.5" customHeight="1" x14ac:dyDescent="0.2">
      <c r="A934" s="65" t="str">
        <f ca="1">_xlfn.IFNA(INDIRECT(_xlfn.TEXTJOIN("",TRUE,A927,"!",ADDRESS(16+(A928-1)*J927,1))),"")</f>
        <v/>
      </c>
      <c r="B934" s="65"/>
      <c r="C934" s="66" t="str">
        <f ca="1">_xlfn.IFNA(INDIRECT(_xlfn.TEXTJOIN("",TRUE,A927,"!",ADDRESS(16+(A928-1)*J927,2))),"")</f>
        <v/>
      </c>
      <c r="D934" s="66"/>
      <c r="E934" s="66"/>
      <c r="F934" s="66"/>
      <c r="G934" s="66"/>
      <c r="H934" s="25" t="str">
        <f ca="1">_xlfn.IFNA(INDIRECT(_xlfn.TEXTJOIN("",TRUE,A927,"!",ADDRESS(16+(A928-1)*J927,6))),"")</f>
        <v/>
      </c>
      <c r="I934" s="25" t="str">
        <f ca="1">_xlfn.IFNA(INDIRECT(_xlfn.TEXTJOIN("",TRUE,A927,"!",ADDRESS(16+(A928-1)*J927,13))),"")</f>
        <v/>
      </c>
      <c r="J934" s="25" t="str">
        <f ca="1">_xlfn.IFNA(INDIRECT(_xlfn.TEXTJOIN("",TRUE,A927,"!",ADDRESS(16+(A928-1)*J927,14))),"")</f>
        <v/>
      </c>
    </row>
    <row r="935" spans="1:10" ht="10.5" customHeight="1" x14ac:dyDescent="0.2">
      <c r="A935" s="65" t="str">
        <f ca="1">_xlfn.IFNA(INDIRECT(_xlfn.TEXTJOIN("",TRUE,A927,"!",ADDRESS(17+(A928-1)*J927,1))),"")</f>
        <v/>
      </c>
      <c r="B935" s="65"/>
      <c r="C935" s="66" t="str">
        <f ca="1">_xlfn.IFNA(INDIRECT(_xlfn.TEXTJOIN("",TRUE,A927,"!",ADDRESS(17+(A928-1)*J927,2))),"")</f>
        <v/>
      </c>
      <c r="D935" s="66"/>
      <c r="E935" s="66"/>
      <c r="F935" s="66"/>
      <c r="G935" s="66"/>
      <c r="H935" s="25" t="str">
        <f ca="1">_xlfn.IFNA(INDIRECT(_xlfn.TEXTJOIN("",TRUE,A927,"!",ADDRESS(17+(A928-1)*J927,6))),"")</f>
        <v/>
      </c>
      <c r="I935" s="25" t="str">
        <f ca="1">_xlfn.IFNA(INDIRECT(_xlfn.TEXTJOIN("",TRUE,A927,"!",ADDRESS(17+(A928-1)*J927,13))),"")</f>
        <v/>
      </c>
      <c r="J935" s="25" t="str">
        <f ca="1">_xlfn.IFNA(INDIRECT(_xlfn.TEXTJOIN("",TRUE,A927,"!",ADDRESS(17+(A928-1)*J927,14))),"")</f>
        <v/>
      </c>
    </row>
    <row r="936" spans="1:10" ht="10.5" customHeight="1" x14ac:dyDescent="0.2">
      <c r="A936" s="65" t="str">
        <f ca="1">_xlfn.IFNA(INDIRECT(_xlfn.TEXTJOIN("",TRUE,A927,"!",ADDRESS(18+(A928-1)*J927,1))),"")</f>
        <v/>
      </c>
      <c r="B936" s="65"/>
      <c r="C936" s="66" t="str">
        <f ca="1">_xlfn.IFNA(INDIRECT(_xlfn.TEXTJOIN("",TRUE,A927,"!",ADDRESS(18+(A928-1)*J927,2))),"")</f>
        <v/>
      </c>
      <c r="D936" s="66"/>
      <c r="E936" s="66"/>
      <c r="F936" s="66"/>
      <c r="G936" s="66"/>
      <c r="H936" s="25" t="str">
        <f ca="1">_xlfn.IFNA(INDIRECT(_xlfn.TEXTJOIN("",TRUE,A927,"!",ADDRESS(18+(A928-1)*J927,6))),"")</f>
        <v/>
      </c>
      <c r="I936" s="25" t="str">
        <f ca="1">_xlfn.IFNA(INDIRECT(_xlfn.TEXTJOIN("",TRUE,A927,"!",ADDRESS(18+(A928-1)*J927,13))),"")</f>
        <v/>
      </c>
      <c r="J936" s="25" t="str">
        <f ca="1">_xlfn.IFNA(INDIRECT(_xlfn.TEXTJOIN("",TRUE,A927,"!",ADDRESS(18+(A928-1)*J927,14))),"")</f>
        <v/>
      </c>
    </row>
    <row r="937" spans="1:10" ht="10.5" customHeight="1" x14ac:dyDescent="0.2">
      <c r="A937" s="60" t="str">
        <f ca="1">_xlfn.IFNA(INDIRECT(_xlfn.TEXTJOIN("",TRUE,A927,"!",ADDRESS(19+(A928-1)*J927,1))),"")</f>
        <v/>
      </c>
      <c r="B937" s="61"/>
      <c r="C937" s="57" t="str">
        <f ca="1">_xlfn.IFNA(INDIRECT(_xlfn.TEXTJOIN("",TRUE,A927,"!",ADDRESS(19+(A928-1)*J927,2))),"")</f>
        <v/>
      </c>
      <c r="D937" s="58"/>
      <c r="E937" s="58"/>
      <c r="F937" s="58"/>
      <c r="G937" s="59"/>
      <c r="H937" s="25" t="str">
        <f ca="1">_xlfn.IFNA(INDIRECT(_xlfn.TEXTJOIN("",TRUE,A927,"!",ADDRESS(19+(A928-1)*J927,6))),"")</f>
        <v/>
      </c>
      <c r="I937" s="25" t="str">
        <f ca="1">_xlfn.IFNA(INDIRECT(_xlfn.TEXTJOIN("",TRUE,A927,"!",ADDRESS(19+(A928-1)*J927,13))),"")</f>
        <v/>
      </c>
      <c r="J937" s="25" t="str">
        <f ca="1">_xlfn.IFNA(INDIRECT(_xlfn.TEXTJOIN("",TRUE,A927,"!",ADDRESS(19+(A928-1)*J927,14))),"")</f>
        <v/>
      </c>
    </row>
    <row r="938" spans="1:10" ht="10.5" customHeight="1" x14ac:dyDescent="0.2">
      <c r="A938" s="65" t="str">
        <f ca="1">_xlfn.IFNA(INDIRECT(_xlfn.TEXTJOIN("",TRUE,A927,"!",ADDRESS(20+(A928-1)*J927,1))),"")</f>
        <v/>
      </c>
      <c r="B938" s="65"/>
      <c r="C938" s="66" t="str">
        <f ca="1">_xlfn.IFNA(INDIRECT(_xlfn.TEXTJOIN("",TRUE,A927,"!",ADDRESS(20+(A928-1)*J927,2))),"")</f>
        <v/>
      </c>
      <c r="D938" s="66"/>
      <c r="E938" s="66"/>
      <c r="F938" s="66"/>
      <c r="G938" s="66"/>
      <c r="H938" s="25" t="str">
        <f ca="1">_xlfn.IFNA(INDIRECT(_xlfn.TEXTJOIN("",TRUE,A927,"!",ADDRESS(20+(A928-1)*J927,6))),"")</f>
        <v/>
      </c>
      <c r="I938" s="25" t="str">
        <f ca="1">_xlfn.IFNA(INDIRECT(_xlfn.TEXTJOIN("",TRUE,A927,"!",ADDRESS(20+(A928-1)*J927,13))),"")</f>
        <v/>
      </c>
      <c r="J938" s="25" t="str">
        <f ca="1">_xlfn.IFNA(INDIRECT(_xlfn.TEXTJOIN("",TRUE,A927,"!",ADDRESS(20+(A928-1)*J927,14))),"")</f>
        <v/>
      </c>
    </row>
    <row r="939" spans="1:10" ht="10.5" customHeight="1" x14ac:dyDescent="0.2">
      <c r="A939" s="65" t="str">
        <f ca="1">_xlfn.IFNA(INDIRECT(_xlfn.TEXTJOIN("",TRUE,A927,"!",ADDRESS(21+(A928-1)*J927,1))),"")</f>
        <v/>
      </c>
      <c r="B939" s="65"/>
      <c r="C939" s="66" t="str">
        <f ca="1">_xlfn.IFNA(INDIRECT(_xlfn.TEXTJOIN("",TRUE,A927,"!",ADDRESS(21+(A928-1)*J927,2))),"")</f>
        <v/>
      </c>
      <c r="D939" s="66"/>
      <c r="E939" s="66"/>
      <c r="F939" s="66"/>
      <c r="G939" s="66"/>
      <c r="H939" s="25" t="str">
        <f ca="1">_xlfn.IFNA(INDIRECT(_xlfn.TEXTJOIN("",TRUE,A927,"!",ADDRESS(21+(A928-1)*J927,6))),"")</f>
        <v/>
      </c>
      <c r="I939" s="25" t="str">
        <f ca="1">_xlfn.IFNA(INDIRECT(_xlfn.TEXTJOIN("",TRUE,A927,"!",ADDRESS(21+(A928-1)*J927,13))),"")</f>
        <v/>
      </c>
      <c r="J939" s="25" t="str">
        <f ca="1">_xlfn.IFNA(INDIRECT(_xlfn.TEXTJOIN("",TRUE,A927,"!",ADDRESS(21+(A928-1)*J927,14))),"")</f>
        <v/>
      </c>
    </row>
    <row r="940" spans="1:10" ht="10.5" customHeight="1" x14ac:dyDescent="0.2">
      <c r="A940" s="65" t="str">
        <f ca="1">_xlfn.IFNA(INDIRECT(_xlfn.TEXTJOIN("",TRUE,A927,"!",ADDRESS(22+(A928-1)*J927,1))),"")</f>
        <v/>
      </c>
      <c r="B940" s="65"/>
      <c r="C940" s="66" t="str">
        <f ca="1">_xlfn.IFNA(INDIRECT(_xlfn.TEXTJOIN("",TRUE,A927,"!",ADDRESS(22+(A928-1)*J927,2))),"")</f>
        <v/>
      </c>
      <c r="D940" s="66"/>
      <c r="E940" s="66"/>
      <c r="F940" s="66"/>
      <c r="G940" s="66"/>
      <c r="H940" s="25" t="str">
        <f ca="1">_xlfn.IFNA(INDIRECT(_xlfn.TEXTJOIN("",TRUE,A927,"!",ADDRESS(22+(A928-1)*J927,6))),"")</f>
        <v/>
      </c>
      <c r="I940" s="25" t="str">
        <f ca="1">_xlfn.IFNA(INDIRECT(_xlfn.TEXTJOIN("",TRUE,A927,"!",ADDRESS(22+(A928-1)*J927,13))),"")</f>
        <v/>
      </c>
      <c r="J940" s="25" t="str">
        <f ca="1">_xlfn.IFNA(INDIRECT(_xlfn.TEXTJOIN("",TRUE,A927,"!",ADDRESS(22+(A928-1)*J927,14))),"")</f>
        <v/>
      </c>
    </row>
    <row r="941" spans="1:10" ht="10.5" customHeight="1" x14ac:dyDescent="0.2">
      <c r="A941" s="71" t="str">
        <f ca="1">IF(ISNA(A928),"","Total Credits/ Total Grade Points")</f>
        <v/>
      </c>
      <c r="B941" s="71"/>
      <c r="C941" s="71"/>
      <c r="D941" s="71"/>
      <c r="E941" s="71"/>
      <c r="F941" s="71"/>
      <c r="G941" s="71"/>
      <c r="H941" s="27" t="str">
        <f ca="1">IF(ISNA(A928),"",SUM(H931:H940))</f>
        <v/>
      </c>
      <c r="I941" s="26" t="str">
        <f ca="1">IF(ISNA(A928),"","-")</f>
        <v/>
      </c>
      <c r="J941" s="27" t="str">
        <f ca="1">IF(ISNA(A928),"",SUMPRODUCT(J931:J940,H931:H940))</f>
        <v/>
      </c>
    </row>
    <row r="942" spans="1:10" ht="10.5" customHeight="1" x14ac:dyDescent="0.2">
      <c r="A942" s="24" t="s">
        <v>60</v>
      </c>
      <c r="B942" s="72" t="str">
        <f ca="1">IF(ISNA(A943),"","Semester III (Autumn Semester 2023-24)")</f>
        <v/>
      </c>
      <c r="C942" s="72"/>
      <c r="D942" s="72"/>
      <c r="E942" s="72"/>
      <c r="F942" s="72"/>
      <c r="G942" s="72"/>
      <c r="H942" s="72"/>
      <c r="I942" s="72"/>
      <c r="J942" s="24">
        <f>ROWS(A946:B953)+9</f>
        <v>17</v>
      </c>
    </row>
    <row r="943" spans="1:10" ht="10.5" customHeight="1" x14ac:dyDescent="0.2">
      <c r="A943" s="24" t="e">
        <f ca="1">INDEX(SEM_III!$A$6:$A$43,Marksheets!J943)</f>
        <v>#N/A</v>
      </c>
      <c r="B943" s="63"/>
      <c r="C943" s="63"/>
      <c r="D943" s="63"/>
      <c r="E943" s="63"/>
      <c r="F943" s="63"/>
      <c r="G943" s="63"/>
      <c r="H943" s="63"/>
      <c r="I943" s="63"/>
      <c r="J943" s="24" t="e">
        <f ca="1">MATCH(H906,SEM_III!$B$6:$B$43,0)</f>
        <v>#N/A</v>
      </c>
    </row>
    <row r="944" spans="1:10" ht="10.5" customHeight="1" x14ac:dyDescent="0.2">
      <c r="A944" s="64" t="str">
        <f ca="1">IF(ISNA(A943),"","Subject Code")</f>
        <v/>
      </c>
      <c r="B944" s="64"/>
      <c r="C944" s="64" t="str">
        <f ca="1">IF(ISNA(A943),"","Subject Name")</f>
        <v/>
      </c>
      <c r="D944" s="64"/>
      <c r="E944" s="64"/>
      <c r="F944" s="64"/>
      <c r="G944" s="64"/>
      <c r="H944" s="64" t="str">
        <f ca="1">IF(ISNA(A943),"","Credits")</f>
        <v/>
      </c>
      <c r="I944" s="64" t="str">
        <f ca="1">IF(ISNA(A943),"","Grade")</f>
        <v/>
      </c>
      <c r="J944" s="64" t="str">
        <f ca="1">IF(ISNA(A943),"","Grade Points")</f>
        <v/>
      </c>
    </row>
    <row r="945" spans="1:10" ht="13" customHeight="1" x14ac:dyDescent="0.2">
      <c r="A945" s="64"/>
      <c r="B945" s="64"/>
      <c r="C945" s="64"/>
      <c r="D945" s="64"/>
      <c r="E945" s="64"/>
      <c r="F945" s="64"/>
      <c r="G945" s="64"/>
      <c r="H945" s="64"/>
      <c r="I945" s="64"/>
      <c r="J945" s="64"/>
    </row>
    <row r="946" spans="1:10" ht="10.5" customHeight="1" x14ac:dyDescent="0.2">
      <c r="A946" s="65" t="str">
        <f ca="1">_xlfn.IFNA(INDIRECT(_xlfn.TEXTJOIN("",TRUE,A942,"!",ADDRESS(13+(A943-1)*J942,1))),"")</f>
        <v/>
      </c>
      <c r="B946" s="65"/>
      <c r="C946" s="66" t="str">
        <f ca="1">_xlfn.IFNA(INDIRECT(_xlfn.TEXTJOIN("",TRUE,A942,"!",ADDRESS(13+(A943-1)*J942,2))),"")</f>
        <v/>
      </c>
      <c r="D946" s="66"/>
      <c r="E946" s="66"/>
      <c r="F946" s="66"/>
      <c r="G946" s="66"/>
      <c r="H946" s="25" t="str">
        <f ca="1">_xlfn.IFNA(INDIRECT(_xlfn.TEXTJOIN("",TRUE,A942,"!",ADDRESS(13+(A943-1)*J942,6))),"")</f>
        <v/>
      </c>
      <c r="I946" s="25" t="str">
        <f ca="1">_xlfn.IFNA(INDIRECT(_xlfn.TEXTJOIN("",TRUE,A942,"!",ADDRESS(13+(A943-1)*J942,13))),"")</f>
        <v/>
      </c>
      <c r="J946" s="25" t="str">
        <f ca="1">_xlfn.IFNA(INDIRECT(_xlfn.TEXTJOIN("",TRUE,A942,"!",ADDRESS(13+(A943-1)*J942,14))),"")</f>
        <v/>
      </c>
    </row>
    <row r="947" spans="1:10" ht="10.5" customHeight="1" x14ac:dyDescent="0.2">
      <c r="A947" s="65" t="str">
        <f ca="1">_xlfn.IFNA(INDIRECT(_xlfn.TEXTJOIN("",TRUE,A942,"!",ADDRESS(14+(A943-1)*J942,1))),"")</f>
        <v/>
      </c>
      <c r="B947" s="65"/>
      <c r="C947" s="66" t="str">
        <f ca="1">_xlfn.IFNA(INDIRECT(_xlfn.TEXTJOIN("",TRUE,A942,"!",ADDRESS(14+(A943-1)*J942,2))),"")</f>
        <v/>
      </c>
      <c r="D947" s="66"/>
      <c r="E947" s="66"/>
      <c r="F947" s="66"/>
      <c r="G947" s="66"/>
      <c r="H947" s="25" t="str">
        <f ca="1">_xlfn.IFNA(INDIRECT(_xlfn.TEXTJOIN("",TRUE,A942,"!",ADDRESS(14+(A943-1)*J942,6))),"")</f>
        <v/>
      </c>
      <c r="I947" s="25" t="str">
        <f ca="1">_xlfn.IFNA(INDIRECT(_xlfn.TEXTJOIN("",TRUE,A942,"!",ADDRESS(14+(A943-1)*J942,13))),"")</f>
        <v/>
      </c>
      <c r="J947" s="25" t="str">
        <f ca="1">_xlfn.IFNA(INDIRECT(_xlfn.TEXTJOIN("",TRUE,A942,"!",ADDRESS(14+(A943-1)*J942,14))),"")</f>
        <v/>
      </c>
    </row>
    <row r="948" spans="1:10" ht="10.5" customHeight="1" x14ac:dyDescent="0.2">
      <c r="A948" s="65" t="str">
        <f ca="1">_xlfn.IFNA(INDIRECT(_xlfn.TEXTJOIN("",TRUE,A942,"!",ADDRESS(15+(A943-1)*J942,1))),"")</f>
        <v/>
      </c>
      <c r="B948" s="65"/>
      <c r="C948" s="66" t="str">
        <f ca="1">_xlfn.IFNA(INDIRECT(_xlfn.TEXTJOIN("",TRUE,A942,"!",ADDRESS(15+(A943-1)*J942,2))),"")</f>
        <v/>
      </c>
      <c r="D948" s="66"/>
      <c r="E948" s="66"/>
      <c r="F948" s="66"/>
      <c r="G948" s="66"/>
      <c r="H948" s="25" t="str">
        <f ca="1">_xlfn.IFNA(INDIRECT(_xlfn.TEXTJOIN("",TRUE,A942,"!",ADDRESS(15+(A943-1)*J942,6))),"")</f>
        <v/>
      </c>
      <c r="I948" s="25" t="str">
        <f ca="1">_xlfn.IFNA(INDIRECT(_xlfn.TEXTJOIN("",TRUE,A942,"!",ADDRESS(15+(A943-1)*J942,13))),"")</f>
        <v/>
      </c>
      <c r="J948" s="25" t="str">
        <f ca="1">_xlfn.IFNA(INDIRECT(_xlfn.TEXTJOIN("",TRUE,A942,"!",ADDRESS(15+(A943-1)*J942,14))),"")</f>
        <v/>
      </c>
    </row>
    <row r="949" spans="1:10" ht="10.5" customHeight="1" x14ac:dyDescent="0.2">
      <c r="A949" s="65" t="str">
        <f ca="1">_xlfn.IFNA(INDIRECT(_xlfn.TEXTJOIN("",TRUE,A942,"!",ADDRESS(16+(A943-1)*J942,1))),"")</f>
        <v/>
      </c>
      <c r="B949" s="65"/>
      <c r="C949" s="66" t="str">
        <f ca="1">_xlfn.IFNA(INDIRECT(_xlfn.TEXTJOIN("",TRUE,A942,"!",ADDRESS(16+(A943-1)*J942,2))),"")</f>
        <v/>
      </c>
      <c r="D949" s="66"/>
      <c r="E949" s="66"/>
      <c r="F949" s="66"/>
      <c r="G949" s="66"/>
      <c r="H949" s="25" t="str">
        <f ca="1">_xlfn.IFNA(INDIRECT(_xlfn.TEXTJOIN("",TRUE,A942,"!",ADDRESS(16+(A943-1)*J942,6))),"")</f>
        <v/>
      </c>
      <c r="I949" s="25" t="str">
        <f ca="1">_xlfn.IFNA(INDIRECT(_xlfn.TEXTJOIN("",TRUE,A942,"!",ADDRESS(16+(A943-1)*J942,13))),"")</f>
        <v/>
      </c>
      <c r="J949" s="25" t="str">
        <f ca="1">_xlfn.IFNA(INDIRECT(_xlfn.TEXTJOIN("",TRUE,A942,"!",ADDRESS(16+(A943-1)*J942,14))),"")</f>
        <v/>
      </c>
    </row>
    <row r="950" spans="1:10" ht="10.5" customHeight="1" x14ac:dyDescent="0.2">
      <c r="A950" s="65" t="str">
        <f ca="1">_xlfn.IFNA(INDIRECT(_xlfn.TEXTJOIN("",TRUE,A942,"!",ADDRESS(17+(A943-1)*J942,1))),"")</f>
        <v/>
      </c>
      <c r="B950" s="65"/>
      <c r="C950" s="66" t="str">
        <f ca="1">_xlfn.IFNA(INDIRECT(_xlfn.TEXTJOIN("",TRUE,A942,"!",ADDRESS(17+(A943-1)*J942,2))),"")</f>
        <v/>
      </c>
      <c r="D950" s="66"/>
      <c r="E950" s="66"/>
      <c r="F950" s="66"/>
      <c r="G950" s="66"/>
      <c r="H950" s="25" t="str">
        <f ca="1">_xlfn.IFNA(INDIRECT(_xlfn.TEXTJOIN("",TRUE,A942,"!",ADDRESS(17+(A943-1)*J942,6))),"")</f>
        <v/>
      </c>
      <c r="I950" s="25" t="str">
        <f ca="1">_xlfn.IFNA(INDIRECT(_xlfn.TEXTJOIN("",TRUE,A942,"!",ADDRESS(17+(A943-1)*J942,13))),"")</f>
        <v/>
      </c>
      <c r="J950" s="25" t="str">
        <f ca="1">_xlfn.IFNA(INDIRECT(_xlfn.TEXTJOIN("",TRUE,A942,"!",ADDRESS(17+(A943-1)*J942,14))),"")</f>
        <v/>
      </c>
    </row>
    <row r="951" spans="1:10" ht="10.5" customHeight="1" x14ac:dyDescent="0.2">
      <c r="A951" s="65" t="str">
        <f ca="1">_xlfn.IFNA(INDIRECT(_xlfn.TEXTJOIN("",TRUE,A942,"!",ADDRESS(18+(A943-1)*J942,1))),"")</f>
        <v/>
      </c>
      <c r="B951" s="65"/>
      <c r="C951" s="66" t="str">
        <f ca="1">_xlfn.IFNA(INDIRECT(_xlfn.TEXTJOIN("",TRUE,A942,"!",ADDRESS(18+(A943-1)*J942,2))),"")</f>
        <v/>
      </c>
      <c r="D951" s="66"/>
      <c r="E951" s="66"/>
      <c r="F951" s="66"/>
      <c r="G951" s="66"/>
      <c r="H951" s="25" t="str">
        <f ca="1">_xlfn.IFNA(INDIRECT(_xlfn.TEXTJOIN("",TRUE,A942,"!",ADDRESS(18+(A943-1)*J942,6))),"")</f>
        <v/>
      </c>
      <c r="I951" s="25" t="str">
        <f ca="1">_xlfn.IFNA(INDIRECT(_xlfn.TEXTJOIN("",TRUE,A942,"!",ADDRESS(18+(A943-1)*J942,13))),"")</f>
        <v/>
      </c>
      <c r="J951" s="25" t="str">
        <f ca="1">_xlfn.IFNA(INDIRECT(_xlfn.TEXTJOIN("",TRUE,A942,"!",ADDRESS(18+(A943-1)*J942,14))),"")</f>
        <v/>
      </c>
    </row>
    <row r="952" spans="1:10" ht="10.5" customHeight="1" x14ac:dyDescent="0.2">
      <c r="A952" s="60" t="str">
        <f ca="1">_xlfn.IFNA(INDIRECT(_xlfn.TEXTJOIN("",TRUE,A942,"!",ADDRESS(19+(A943-1)*J942,1))),"")</f>
        <v/>
      </c>
      <c r="B952" s="61"/>
      <c r="C952" s="57" t="str">
        <f ca="1">_xlfn.IFNA(INDIRECT(_xlfn.TEXTJOIN("",TRUE,A942,"!",ADDRESS(19+(A943-1)*J942,2))),"")</f>
        <v/>
      </c>
      <c r="D952" s="58"/>
      <c r="E952" s="58"/>
      <c r="F952" s="58"/>
      <c r="G952" s="59"/>
      <c r="H952" s="25" t="str">
        <f ca="1">_xlfn.IFNA(INDIRECT(_xlfn.TEXTJOIN("",TRUE,A942,"!",ADDRESS(19+(A943-1)*J942,6))),"")</f>
        <v/>
      </c>
      <c r="I952" s="25" t="str">
        <f ca="1">_xlfn.IFNA(INDIRECT(_xlfn.TEXTJOIN("",TRUE,A942,"!",ADDRESS(19+(A943-1)*J942,13))),"")</f>
        <v/>
      </c>
      <c r="J952" s="25" t="str">
        <f ca="1">_xlfn.IFNA(INDIRECT(_xlfn.TEXTJOIN("",TRUE,A942,"!",ADDRESS(19+(A943-1)*J942,14))),"")</f>
        <v/>
      </c>
    </row>
    <row r="953" spans="1:10" ht="10.5" customHeight="1" x14ac:dyDescent="0.2">
      <c r="A953" s="65" t="str">
        <f ca="1">_xlfn.IFNA(INDIRECT(_xlfn.TEXTJOIN("",TRUE,A942,"!",ADDRESS(20+(A943-1)*J942,1))),"")</f>
        <v/>
      </c>
      <c r="B953" s="65"/>
      <c r="C953" s="66" t="str">
        <f ca="1">_xlfn.IFNA(INDIRECT(_xlfn.TEXTJOIN("",TRUE,A942,"!",ADDRESS(20+(A943-1)*J942,2))),"")</f>
        <v/>
      </c>
      <c r="D953" s="66"/>
      <c r="E953" s="66"/>
      <c r="F953" s="66"/>
      <c r="G953" s="66"/>
      <c r="H953" s="25" t="str">
        <f ca="1">_xlfn.IFNA(INDIRECT(_xlfn.TEXTJOIN("",TRUE,A942,"!",ADDRESS(20+(A943-1)*J942,6))),"")</f>
        <v/>
      </c>
      <c r="I953" s="25" t="str">
        <f ca="1">_xlfn.IFNA(INDIRECT(_xlfn.TEXTJOIN("",TRUE,A942,"!",ADDRESS(20+(A943-1)*J942,13))),"")</f>
        <v/>
      </c>
      <c r="J953" s="25" t="str">
        <f ca="1">_xlfn.IFNA(INDIRECT(_xlfn.TEXTJOIN("",TRUE,A942,"!",ADDRESS(20+(A943-1)*J942,14))),"")</f>
        <v/>
      </c>
    </row>
    <row r="954" spans="1:10" ht="10.5" customHeight="1" x14ac:dyDescent="0.2">
      <c r="A954" s="71" t="str">
        <f ca="1">IF(ISNA(A943),"","Total Credits/ Total Grade Points")</f>
        <v/>
      </c>
      <c r="B954" s="71"/>
      <c r="C954" s="71"/>
      <c r="D954" s="71"/>
      <c r="E954" s="71"/>
      <c r="F954" s="71"/>
      <c r="G954" s="71"/>
      <c r="H954" s="27" t="str">
        <f ca="1">IF(ISNA(A943),"",SUM(H946:H953))</f>
        <v/>
      </c>
      <c r="I954" s="26" t="str">
        <f ca="1">IF(ISNA(A943),"","-")</f>
        <v/>
      </c>
      <c r="J954" s="27" t="str">
        <f ca="1">IF(ISNA(A943),"",SUMPRODUCT(J946:J953,H946:H953))</f>
        <v/>
      </c>
    </row>
    <row r="955" spans="1:10" ht="10.5" customHeight="1" x14ac:dyDescent="0.2">
      <c r="A955" s="24" t="s">
        <v>133</v>
      </c>
      <c r="B955" s="72" t="str">
        <f ca="1">IF(ISNA(A956),"","Semester IV (Spring Semester 2023-24)")</f>
        <v/>
      </c>
      <c r="C955" s="72"/>
      <c r="D955" s="72"/>
      <c r="E955" s="72"/>
      <c r="F955" s="72"/>
      <c r="G955" s="72"/>
      <c r="H955" s="72"/>
      <c r="I955" s="72"/>
      <c r="J955" s="24">
        <f>ROWS(A959:B965)+9</f>
        <v>16</v>
      </c>
    </row>
    <row r="956" spans="1:10" ht="10.5" customHeight="1" x14ac:dyDescent="0.2">
      <c r="A956" s="24" t="e">
        <f ca="1">INDEX(SEM_IV!$A$6:$A$43,Marksheets!J956)</f>
        <v>#N/A</v>
      </c>
      <c r="B956" s="63"/>
      <c r="C956" s="63"/>
      <c r="D956" s="63"/>
      <c r="E956" s="63"/>
      <c r="F956" s="63"/>
      <c r="G956" s="63"/>
      <c r="H956" s="63"/>
      <c r="I956" s="63"/>
      <c r="J956" s="24" t="e">
        <f ca="1">MATCH(H906,SEM_IV!$B$6:$B$43,0)</f>
        <v>#N/A</v>
      </c>
    </row>
    <row r="957" spans="1:10" ht="10.5" customHeight="1" x14ac:dyDescent="0.2">
      <c r="A957" s="64" t="str">
        <f ca="1">IF(ISNA(A956),"","Subject Code")</f>
        <v/>
      </c>
      <c r="B957" s="64"/>
      <c r="C957" s="64" t="str">
        <f ca="1">IF(ISNA(A956),"","Subject Name")</f>
        <v/>
      </c>
      <c r="D957" s="64"/>
      <c r="E957" s="64"/>
      <c r="F957" s="64"/>
      <c r="G957" s="64"/>
      <c r="H957" s="64" t="str">
        <f ca="1">IF(ISNA(A956),"","Credits")</f>
        <v/>
      </c>
      <c r="I957" s="64" t="str">
        <f ca="1">IF(ISNA(A956),"","Grade")</f>
        <v/>
      </c>
      <c r="J957" s="64" t="str">
        <f ca="1">IF(ISNA(A956),"","Grade Points")</f>
        <v/>
      </c>
    </row>
    <row r="958" spans="1:10" ht="13" customHeight="1" x14ac:dyDescent="0.2">
      <c r="A958" s="64"/>
      <c r="B958" s="64"/>
      <c r="C958" s="64"/>
      <c r="D958" s="64"/>
      <c r="E958" s="64"/>
      <c r="F958" s="64"/>
      <c r="G958" s="64"/>
      <c r="H958" s="64"/>
      <c r="I958" s="64"/>
      <c r="J958" s="64"/>
    </row>
    <row r="959" spans="1:10" ht="10.5" customHeight="1" x14ac:dyDescent="0.2">
      <c r="A959" s="65" t="str">
        <f ca="1">_xlfn.IFNA(INDIRECT(_xlfn.TEXTJOIN("",TRUE,A955,"!",ADDRESS(13+(A956-1)*J955,1))),"")</f>
        <v/>
      </c>
      <c r="B959" s="65"/>
      <c r="C959" s="66" t="str">
        <f ca="1">_xlfn.IFNA(INDIRECT(_xlfn.TEXTJOIN("",TRUE,A955,"!",ADDRESS(13+(A956-1)*J955,2))),"")</f>
        <v/>
      </c>
      <c r="D959" s="66"/>
      <c r="E959" s="66"/>
      <c r="F959" s="66"/>
      <c r="G959" s="66"/>
      <c r="H959" s="25" t="str">
        <f ca="1">_xlfn.IFNA(INDIRECT(_xlfn.TEXTJOIN("",TRUE,A955,"!",ADDRESS(13+(A956-1)*J955,6))),"")</f>
        <v/>
      </c>
      <c r="I959" s="25" t="str">
        <f ca="1">_xlfn.IFNA(INDIRECT(_xlfn.TEXTJOIN("",TRUE,A955,"!",ADDRESS(13+(A956-1)*J955,13))),"")</f>
        <v/>
      </c>
      <c r="J959" s="25" t="str">
        <f ca="1">_xlfn.IFNA(INDIRECT(_xlfn.TEXTJOIN("",TRUE,A955,"!",ADDRESS(13+(A956-1)*J955,14))),"")</f>
        <v/>
      </c>
    </row>
    <row r="960" spans="1:10" ht="10.5" customHeight="1" x14ac:dyDescent="0.2">
      <c r="A960" s="65" t="str">
        <f ca="1">_xlfn.IFNA(INDIRECT(_xlfn.TEXTJOIN("",TRUE,A955,"!",ADDRESS(14+(A956-1)*J955,1))),"")</f>
        <v/>
      </c>
      <c r="B960" s="65"/>
      <c r="C960" s="66" t="str">
        <f ca="1">_xlfn.IFNA(INDIRECT(_xlfn.TEXTJOIN("",TRUE,A955,"!",ADDRESS(14+(A956-1)*J955,2))),"")</f>
        <v/>
      </c>
      <c r="D960" s="66"/>
      <c r="E960" s="66"/>
      <c r="F960" s="66"/>
      <c r="G960" s="66"/>
      <c r="H960" s="25" t="str">
        <f ca="1">_xlfn.IFNA(INDIRECT(_xlfn.TEXTJOIN("",TRUE,A955,"!",ADDRESS(14+(A956-1)*J955,6))),"")</f>
        <v/>
      </c>
      <c r="I960" s="25" t="str">
        <f ca="1">_xlfn.IFNA(INDIRECT(_xlfn.TEXTJOIN("",TRUE,A955,"!",ADDRESS(14+(A956-1)*J955,13))),"")</f>
        <v/>
      </c>
      <c r="J960" s="25" t="str">
        <f ca="1">_xlfn.IFNA(INDIRECT(_xlfn.TEXTJOIN("",TRUE,A955,"!",ADDRESS(14+(A956-1)*J955,14))),"")</f>
        <v/>
      </c>
    </row>
    <row r="961" spans="1:10" ht="10.5" customHeight="1" x14ac:dyDescent="0.2">
      <c r="A961" s="65" t="str">
        <f ca="1">_xlfn.IFNA(INDIRECT(_xlfn.TEXTJOIN("",TRUE,A955,"!",ADDRESS(15+(A956-1)*J955,1))),"")</f>
        <v/>
      </c>
      <c r="B961" s="65"/>
      <c r="C961" s="66" t="str">
        <f ca="1">_xlfn.IFNA(INDIRECT(_xlfn.TEXTJOIN("",TRUE,A955,"!",ADDRESS(15+(A956-1)*J955,2))),"")</f>
        <v/>
      </c>
      <c r="D961" s="66"/>
      <c r="E961" s="66"/>
      <c r="F961" s="66"/>
      <c r="G961" s="66"/>
      <c r="H961" s="25" t="str">
        <f ca="1">_xlfn.IFNA(INDIRECT(_xlfn.TEXTJOIN("",TRUE,A955,"!",ADDRESS(15+(A956-1)*J955,6))),"")</f>
        <v/>
      </c>
      <c r="I961" s="25" t="str">
        <f ca="1">_xlfn.IFNA(INDIRECT(_xlfn.TEXTJOIN("",TRUE,A955,"!",ADDRESS(15+(A956-1)*J955,13))),"")</f>
        <v/>
      </c>
      <c r="J961" s="25" t="str">
        <f ca="1">_xlfn.IFNA(INDIRECT(_xlfn.TEXTJOIN("",TRUE,A955,"!",ADDRESS(15+(A956-1)*J955,14))),"")</f>
        <v/>
      </c>
    </row>
    <row r="962" spans="1:10" ht="10.5" customHeight="1" x14ac:dyDescent="0.2">
      <c r="A962" s="65" t="str">
        <f ca="1">_xlfn.IFNA(INDIRECT(_xlfn.TEXTJOIN("",TRUE,A955,"!",ADDRESS(16+(A956-1)*J955,1))),"")</f>
        <v/>
      </c>
      <c r="B962" s="65"/>
      <c r="C962" s="66" t="str">
        <f ca="1">_xlfn.IFNA(INDIRECT(_xlfn.TEXTJOIN("",TRUE,A955,"!",ADDRESS(16+(A956-1)*J955,2))),"")</f>
        <v/>
      </c>
      <c r="D962" s="66"/>
      <c r="E962" s="66"/>
      <c r="F962" s="66"/>
      <c r="G962" s="66"/>
      <c r="H962" s="25" t="str">
        <f ca="1">_xlfn.IFNA(INDIRECT(_xlfn.TEXTJOIN("",TRUE,A955,"!",ADDRESS(16+(A956-1)*J955,6))),"")</f>
        <v/>
      </c>
      <c r="I962" s="25" t="str">
        <f ca="1">_xlfn.IFNA(INDIRECT(_xlfn.TEXTJOIN("",TRUE,A955,"!",ADDRESS(16+(A956-1)*J955,13))),"")</f>
        <v/>
      </c>
      <c r="J962" s="25" t="str">
        <f ca="1">_xlfn.IFNA(INDIRECT(_xlfn.TEXTJOIN("",TRUE,A955,"!",ADDRESS(16+(A956-1)*J955,14))),"")</f>
        <v/>
      </c>
    </row>
    <row r="963" spans="1:10" ht="10.5" customHeight="1" x14ac:dyDescent="0.2">
      <c r="A963" s="65" t="str">
        <f ca="1">_xlfn.IFNA(INDIRECT(_xlfn.TEXTJOIN("",TRUE,A955,"!",ADDRESS(17+(A956-1)*J955,1))),"")</f>
        <v/>
      </c>
      <c r="B963" s="65"/>
      <c r="C963" s="66" t="str">
        <f ca="1">_xlfn.IFNA(INDIRECT(_xlfn.TEXTJOIN("",TRUE,A955,"!",ADDRESS(17+(A956-1)*J955,2))),"")</f>
        <v/>
      </c>
      <c r="D963" s="66"/>
      <c r="E963" s="66"/>
      <c r="F963" s="66"/>
      <c r="G963" s="66"/>
      <c r="H963" s="25" t="str">
        <f ca="1">_xlfn.IFNA(INDIRECT(_xlfn.TEXTJOIN("",TRUE,A955,"!",ADDRESS(17+(A956-1)*J955,6))),"")</f>
        <v/>
      </c>
      <c r="I963" s="25" t="str">
        <f ca="1">_xlfn.IFNA(INDIRECT(_xlfn.TEXTJOIN("",TRUE,A955,"!",ADDRESS(17+(A956-1)*J955,13))),"")</f>
        <v/>
      </c>
      <c r="J963" s="25" t="str">
        <f ca="1">_xlfn.IFNA(INDIRECT(_xlfn.TEXTJOIN("",TRUE,A955,"!",ADDRESS(17+(A956-1)*J955,14))),"")</f>
        <v/>
      </c>
    </row>
    <row r="964" spans="1:10" ht="10.5" customHeight="1" x14ac:dyDescent="0.2">
      <c r="A964" s="65" t="str">
        <f ca="1">_xlfn.IFNA(INDIRECT(_xlfn.TEXTJOIN("",TRUE,A955,"!",ADDRESS(18+(A956-1)*J955,1))),"")</f>
        <v/>
      </c>
      <c r="B964" s="65"/>
      <c r="C964" s="66" t="str">
        <f ca="1">_xlfn.IFNA(INDIRECT(_xlfn.TEXTJOIN("",TRUE,A955,"!",ADDRESS(18+(A956-1)*J955,2))),"")</f>
        <v/>
      </c>
      <c r="D964" s="66"/>
      <c r="E964" s="66"/>
      <c r="F964" s="66"/>
      <c r="G964" s="66"/>
      <c r="H964" s="25" t="str">
        <f ca="1">_xlfn.IFNA(INDIRECT(_xlfn.TEXTJOIN("",TRUE,A955,"!",ADDRESS(18+(A956-1)*J955,6))),"")</f>
        <v/>
      </c>
      <c r="I964" s="25" t="str">
        <f ca="1">_xlfn.IFNA(INDIRECT(_xlfn.TEXTJOIN("",TRUE,A955,"!",ADDRESS(18+(A956-1)*J955,13))),"")</f>
        <v/>
      </c>
      <c r="J964" s="25" t="str">
        <f ca="1">_xlfn.IFNA(INDIRECT(_xlfn.TEXTJOIN("",TRUE,A955,"!",ADDRESS(18+(A956-1)*J955,14))),"")</f>
        <v/>
      </c>
    </row>
    <row r="965" spans="1:10" ht="10.5" customHeight="1" x14ac:dyDescent="0.2">
      <c r="A965" s="60" t="str">
        <f ca="1">_xlfn.IFNA(INDIRECT(_xlfn.TEXTJOIN("",TRUE,A955,"!",ADDRESS(19+(A956-1)*J955,1))),"")</f>
        <v/>
      </c>
      <c r="B965" s="61"/>
      <c r="C965" s="57" t="str">
        <f ca="1">_xlfn.IFNA(INDIRECT(_xlfn.TEXTJOIN("",TRUE,A955,"!",ADDRESS(19+(A956-1)*J955,2))),"")</f>
        <v/>
      </c>
      <c r="D965" s="58"/>
      <c r="E965" s="58"/>
      <c r="F965" s="58"/>
      <c r="G965" s="59"/>
      <c r="H965" s="25" t="str">
        <f ca="1">_xlfn.IFNA(INDIRECT(_xlfn.TEXTJOIN("",TRUE,A955,"!",ADDRESS(19+(A956-1)*J955,6))),"")</f>
        <v/>
      </c>
      <c r="I965" s="25" t="str">
        <f ca="1">_xlfn.IFNA(INDIRECT(_xlfn.TEXTJOIN("",TRUE,A955,"!",ADDRESS(19+(A956-1)*J955,13))),"")</f>
        <v/>
      </c>
      <c r="J965" s="25" t="str">
        <f ca="1">_xlfn.IFNA(INDIRECT(_xlfn.TEXTJOIN("",TRUE,A955,"!",ADDRESS(19+(A956-1)*J955,14))),"")</f>
        <v/>
      </c>
    </row>
    <row r="966" spans="1:10" ht="10.5" customHeight="1" x14ac:dyDescent="0.2">
      <c r="A966" s="71" t="str">
        <f ca="1">IF(ISNA(A956),"","Total Credits/ Total Grade Points")</f>
        <v/>
      </c>
      <c r="B966" s="71"/>
      <c r="C966" s="71"/>
      <c r="D966" s="71"/>
      <c r="E966" s="71"/>
      <c r="F966" s="71"/>
      <c r="G966" s="71"/>
      <c r="H966" s="27" t="str">
        <f ca="1">IF(ISNA(A956),"",SUM(H958:H965))</f>
        <v/>
      </c>
      <c r="I966" s="26" t="str">
        <f ca="1">IF(ISNA(A956),"","-")</f>
        <v/>
      </c>
      <c r="J966" s="27" t="str">
        <f ca="1">IF(ISNA(A956),"",SUMPRODUCT(J958:J965,H958:H965))</f>
        <v/>
      </c>
    </row>
    <row r="967" spans="1:10" ht="10.5" customHeight="1" x14ac:dyDescent="0.2">
      <c r="A967" s="75" t="s">
        <v>137</v>
      </c>
      <c r="B967" s="75"/>
      <c r="C967" s="75"/>
      <c r="D967" s="75"/>
      <c r="E967" s="75"/>
      <c r="F967" s="76" t="s">
        <v>138</v>
      </c>
      <c r="G967" s="76"/>
      <c r="H967" s="76"/>
      <c r="I967" s="76"/>
      <c r="J967" s="76"/>
    </row>
    <row r="968" spans="1:10" ht="10.5" customHeight="1" x14ac:dyDescent="0.2">
      <c r="A968" s="43" t="s">
        <v>139</v>
      </c>
      <c r="B968" s="43"/>
      <c r="C968" s="43"/>
      <c r="D968" s="43"/>
      <c r="E968" s="43"/>
      <c r="F968" s="43"/>
      <c r="G968" s="43"/>
      <c r="H968" s="43"/>
      <c r="I968" s="43"/>
      <c r="J968" s="43"/>
    </row>
    <row r="969" spans="1:10" ht="10.5" customHeight="1" x14ac:dyDescent="0.2">
      <c r="A969" s="10"/>
      <c r="B969" s="26"/>
      <c r="C969" s="26" t="s">
        <v>140</v>
      </c>
      <c r="D969" s="26" t="s">
        <v>141</v>
      </c>
      <c r="E969" s="26" t="s">
        <v>142</v>
      </c>
      <c r="F969" s="26" t="s">
        <v>143</v>
      </c>
      <c r="G969" s="26" t="s">
        <v>144</v>
      </c>
      <c r="H969" s="79" t="s">
        <v>145</v>
      </c>
      <c r="I969" s="79"/>
      <c r="J969" s="30"/>
    </row>
    <row r="970" spans="1:10" ht="10.5" customHeight="1" x14ac:dyDescent="0.2">
      <c r="A970" s="10"/>
      <c r="B970" s="80" t="s">
        <v>146</v>
      </c>
      <c r="C970" s="73">
        <f ca="1">J926/H926</f>
        <v>6.645833333333333</v>
      </c>
      <c r="D970" s="73" t="e">
        <f ca="1">J941/H941</f>
        <v>#VALUE!</v>
      </c>
      <c r="E970" s="73" t="str">
        <f ca="1">IFERROR(J954/H954,"")</f>
        <v/>
      </c>
      <c r="F970" s="73" t="str">
        <f ca="1">IFERROR(J966/H966,"")</f>
        <v/>
      </c>
      <c r="G970" s="82">
        <f ca="1">F972</f>
        <v>6.645833333333333</v>
      </c>
      <c r="H970" s="83" t="e">
        <f ca="1">IF(TC_IV!N213&lt;96,_xlfn.TEXTJOIN(" ",TRUE,"CARRY OVER",TC_I!V326,TC_II!V270,TC_III!V225,TC_IV!V212),IF(G970&gt;=8,"First Division with Distinction",IF(G970&gt;=6.5,"First Division",IF(G970&gt;=5,"Second Division",IF(G970&gt;=4,"Third Division","Fail")))))</f>
        <v>#N/A</v>
      </c>
      <c r="I970" s="83"/>
      <c r="J970" s="30"/>
    </row>
    <row r="971" spans="1:10" ht="10.5" customHeight="1" x14ac:dyDescent="0.2">
      <c r="B971" s="81"/>
      <c r="C971" s="74"/>
      <c r="D971" s="74"/>
      <c r="E971" s="74"/>
      <c r="F971" s="74"/>
      <c r="G971" s="82"/>
      <c r="H971" s="83"/>
      <c r="I971" s="83"/>
    </row>
    <row r="972" spans="1:10" ht="10.5" customHeight="1" x14ac:dyDescent="0.2">
      <c r="B972" s="80" t="s">
        <v>48</v>
      </c>
      <c r="C972" s="73">
        <f ca="1">J926/H926</f>
        <v>6.645833333333333</v>
      </c>
      <c r="D972" s="73">
        <f ca="1">SUM(J941,J926)/SUM(H941,H926)</f>
        <v>6.645833333333333</v>
      </c>
      <c r="E972" s="73">
        <f ca="1">SUM(J954,J941,J926)/SUM(H954,H941,H926)</f>
        <v>6.645833333333333</v>
      </c>
      <c r="F972" s="73">
        <f ca="1">SUM(J966,J954,J941,J926)/SUM(H926,H941,H954,H966)</f>
        <v>6.645833333333333</v>
      </c>
      <c r="G972" s="82"/>
      <c r="H972" s="83"/>
      <c r="I972" s="83"/>
    </row>
    <row r="973" spans="1:10" ht="10.5" customHeight="1" x14ac:dyDescent="0.2">
      <c r="B973" s="81"/>
      <c r="C973" s="74"/>
      <c r="D973" s="74"/>
      <c r="E973" s="74"/>
      <c r="F973" s="74"/>
      <c r="G973" s="82"/>
      <c r="H973" s="83"/>
      <c r="I973" s="83"/>
    </row>
    <row r="975" spans="1:10" ht="10.5" customHeight="1" x14ac:dyDescent="0.2">
      <c r="A975" s="56" t="s">
        <v>24</v>
      </c>
      <c r="B975" s="56"/>
      <c r="C975" s="56" t="str">
        <f ca="1">INDIRECT(_xlfn.TEXTJOIN("",TRUE,A977,"!",ADDRESS(9+(A978-1)*J977,2)))</f>
        <v>RISHABH KAINTURA</v>
      </c>
      <c r="D975" s="56"/>
      <c r="E975" s="56"/>
      <c r="F975" s="56" t="s">
        <v>135</v>
      </c>
      <c r="G975" s="56"/>
      <c r="H975" s="62">
        <f ca="1">INDIRECT(_xlfn.TEXTJOIN("",TRUE,A977,"!",ADDRESS(9+(A978-1)*J977,9)))</f>
        <v>250090600015</v>
      </c>
      <c r="I975" s="56"/>
      <c r="J975" s="56"/>
    </row>
    <row r="976" spans="1:10" ht="10.5" customHeight="1" x14ac:dyDescent="0.2">
      <c r="A976" s="56" t="s">
        <v>25</v>
      </c>
      <c r="B976" s="56"/>
      <c r="C976" s="56" t="str">
        <f ca="1">INDIRECT(_xlfn.TEXTJOIN("",TRUE,A977,"!",ADDRESS(9+(A978-1)*J977,5)))</f>
        <v>SURENDER KAINTURA</v>
      </c>
      <c r="D976" s="56"/>
      <c r="E976" s="56"/>
      <c r="F976" s="47" t="s">
        <v>136</v>
      </c>
      <c r="G976" s="47"/>
      <c r="H976" s="62" t="str">
        <f ca="1">INDIRECT(_xlfn.TEXTJOIN("",TRUE,A977,"!",ADDRESS(9+(A978-1)*J977,13)))</f>
        <v>PUTU/2506100115</v>
      </c>
      <c r="I976" s="56"/>
      <c r="J976" s="56"/>
    </row>
    <row r="977" spans="1:10" ht="10.5" customHeight="1" x14ac:dyDescent="0.2">
      <c r="A977" s="24" t="s">
        <v>53</v>
      </c>
      <c r="B977" s="43" t="s">
        <v>148</v>
      </c>
      <c r="C977" s="43"/>
      <c r="D977" s="43"/>
      <c r="E977" s="43"/>
      <c r="F977" s="43"/>
      <c r="G977" s="43"/>
      <c r="H977" s="43"/>
      <c r="I977" s="43"/>
      <c r="J977" s="24">
        <f>ROWS(A981:B994)+9</f>
        <v>23</v>
      </c>
    </row>
    <row r="978" spans="1:10" ht="10.5" customHeight="1" x14ac:dyDescent="0.2">
      <c r="A978" s="24">
        <f>A909+1</f>
        <v>15</v>
      </c>
      <c r="B978" s="63"/>
      <c r="C978" s="63"/>
      <c r="D978" s="63"/>
      <c r="E978" s="63"/>
      <c r="F978" s="63"/>
      <c r="G978" s="63"/>
      <c r="H978" s="63"/>
      <c r="I978" s="63"/>
      <c r="J978" s="29"/>
    </row>
    <row r="979" spans="1:10" ht="10.5" customHeight="1" x14ac:dyDescent="0.2">
      <c r="A979" s="64" t="s">
        <v>28</v>
      </c>
      <c r="B979" s="64"/>
      <c r="C979" s="64" t="s">
        <v>29</v>
      </c>
      <c r="D979" s="64"/>
      <c r="E979" s="64"/>
      <c r="F979" s="64"/>
      <c r="G979" s="64"/>
      <c r="H979" s="64" t="s">
        <v>30</v>
      </c>
      <c r="I979" s="64" t="s">
        <v>9</v>
      </c>
      <c r="J979" s="64" t="s">
        <v>34</v>
      </c>
    </row>
    <row r="980" spans="1:10" ht="13.5" customHeight="1" x14ac:dyDescent="0.2">
      <c r="A980" s="64"/>
      <c r="B980" s="64"/>
      <c r="C980" s="64"/>
      <c r="D980" s="64"/>
      <c r="E980" s="64"/>
      <c r="F980" s="64"/>
      <c r="G980" s="64"/>
      <c r="H980" s="64"/>
      <c r="I980" s="64"/>
      <c r="J980" s="64"/>
    </row>
    <row r="981" spans="1:10" ht="10.5" customHeight="1" x14ac:dyDescent="0.2">
      <c r="A981" s="65" t="str">
        <f ca="1">INDIRECT(_xlfn.TEXTJOIN("",TRUE,A977,"!",ADDRESS(13+(A978-1)*J977,1)))</f>
        <v>CAT 004</v>
      </c>
      <c r="B981" s="65"/>
      <c r="C981" s="66" t="str">
        <f ca="1">INDIRECT(_xlfn.TEXTJOIN("",TRUE,A977,"!",ADDRESS(13+(A978-1)*J977,2)))</f>
        <v>Discrete Structure</v>
      </c>
      <c r="D981" s="66"/>
      <c r="E981" s="66"/>
      <c r="F981" s="66"/>
      <c r="G981" s="66"/>
      <c r="H981" s="25">
        <f ca="1">INDIRECT(_xlfn.TEXTJOIN("",TRUE,A977,"!",ADDRESS(13+(A978-1)*J977,6)))</f>
        <v>4</v>
      </c>
      <c r="I981" s="25" t="str">
        <f ca="1">INDIRECT(_xlfn.TEXTJOIN("",TRUE,A977,"!",ADDRESS(13+(A978-1)*J977,13)))</f>
        <v>E</v>
      </c>
      <c r="J981" s="25">
        <f ca="1">INDIRECT(_xlfn.TEXTJOIN("",TRUE,A977,"!",ADDRESS(13+(A978-1)*J977,14)))</f>
        <v>5</v>
      </c>
    </row>
    <row r="982" spans="1:10" ht="10.5" customHeight="1" x14ac:dyDescent="0.2">
      <c r="A982" s="65" t="str">
        <f ca="1">INDIRECT(_xlfn.TEXTJOIN("",TRUE,A977,"!",ADDRESS(14+(A978-1)*J977,1)))</f>
        <v>CAT 005</v>
      </c>
      <c r="B982" s="65"/>
      <c r="C982" s="66" t="str">
        <f ca="1">INDIRECT(_xlfn.TEXTJOIN("",TRUE,A977,"!",ADDRESS(14+(A978-1)*J977,2)))</f>
        <v>Database Management System</v>
      </c>
      <c r="D982" s="66"/>
      <c r="E982" s="66"/>
      <c r="F982" s="66"/>
      <c r="G982" s="66"/>
      <c r="H982" s="25">
        <f ca="1">INDIRECT(_xlfn.TEXTJOIN("",TRUE,A977,"!",ADDRESS(14+(A978-1)*J977,6)))</f>
        <v>4</v>
      </c>
      <c r="I982" s="25" t="str">
        <f ca="1">INDIRECT(_xlfn.TEXTJOIN("",TRUE,A977,"!",ADDRESS(14+(A978-1)*J977,13)))</f>
        <v>E</v>
      </c>
      <c r="J982" s="25">
        <f ca="1">INDIRECT(_xlfn.TEXTJOIN("",TRUE,A977,"!",ADDRESS(14+(A978-1)*J977,14)))</f>
        <v>5</v>
      </c>
    </row>
    <row r="983" spans="1:10" ht="10.5" customHeight="1" x14ac:dyDescent="0.2">
      <c r="A983" s="65" t="str">
        <f ca="1">INDIRECT(_xlfn.TEXTJOIN("",TRUE,A977,"!",ADDRESS(15+(A978-1)*J977,1)))</f>
        <v>CAT 006</v>
      </c>
      <c r="B983" s="65"/>
      <c r="C983" s="66" t="str">
        <f ca="1">INDIRECT(_xlfn.TEXTJOIN("",TRUE,A977,"!",ADDRESS(15+(A978-1)*J977,2)))</f>
        <v>Operating System</v>
      </c>
      <c r="D983" s="66"/>
      <c r="E983" s="66"/>
      <c r="F983" s="66"/>
      <c r="G983" s="66"/>
      <c r="H983" s="25">
        <f ca="1">INDIRECT(_xlfn.TEXTJOIN("",TRUE,A977,"!",ADDRESS(15+(A978-1)*J977,6)))</f>
        <v>4</v>
      </c>
      <c r="I983" s="25" t="str">
        <f ca="1">INDIRECT(_xlfn.TEXTJOIN("",TRUE,A977,"!",ADDRESS(15+(A978-1)*J977,13)))</f>
        <v>D</v>
      </c>
      <c r="J983" s="25">
        <f ca="1">INDIRECT(_xlfn.TEXTJOIN("",TRUE,A977,"!",ADDRESS(15+(A978-1)*J977,14)))</f>
        <v>6</v>
      </c>
    </row>
    <row r="984" spans="1:10" ht="10.5" customHeight="1" x14ac:dyDescent="0.2">
      <c r="A984" s="65" t="str">
        <f ca="1">INDIRECT(_xlfn.TEXTJOIN("",TRUE,A977,"!",ADDRESS(16+(A978-1)*J977,1)))</f>
        <v>CAT 007</v>
      </c>
      <c r="B984" s="65"/>
      <c r="C984" s="66" t="str">
        <f ca="1">INDIRECT(_xlfn.TEXTJOIN("",TRUE,A977,"!",ADDRESS(16+(A978-1)*J977,2)))</f>
        <v>Computer Organization</v>
      </c>
      <c r="D984" s="66"/>
      <c r="E984" s="66"/>
      <c r="F984" s="66"/>
      <c r="G984" s="66"/>
      <c r="H984" s="25">
        <f ca="1">INDIRECT(_xlfn.TEXTJOIN("",TRUE,A977,"!",ADDRESS(16+(A978-1)*J977,6)))</f>
        <v>4</v>
      </c>
      <c r="I984" s="25" t="str">
        <f ca="1">INDIRECT(_xlfn.TEXTJOIN("",TRUE,A977,"!",ADDRESS(16+(A978-1)*J977,13)))</f>
        <v>P</v>
      </c>
      <c r="J984" s="25">
        <f ca="1">INDIRECT(_xlfn.TEXTJOIN("",TRUE,A977,"!",ADDRESS(16+(A978-1)*J977,14)))</f>
        <v>4.5</v>
      </c>
    </row>
    <row r="985" spans="1:10" ht="10.5" customHeight="1" x14ac:dyDescent="0.2">
      <c r="A985" s="65" t="str">
        <f ca="1">INDIRECT(_xlfn.TEXTJOIN("",TRUE,A977,"!",ADDRESS(17+(A978-1)*J977,1)))</f>
        <v>AHT 303</v>
      </c>
      <c r="B985" s="65"/>
      <c r="C985" s="66" t="str">
        <f ca="1">INDIRECT(_xlfn.TEXTJOIN("",TRUE,A977,"!",ADDRESS(17+(A978-1)*J977,2)))</f>
        <v>Technical Communication Skills</v>
      </c>
      <c r="D985" s="66"/>
      <c r="E985" s="66"/>
      <c r="F985" s="66"/>
      <c r="G985" s="66"/>
      <c r="H985" s="25">
        <f ca="1">INDIRECT(_xlfn.TEXTJOIN("",TRUE,A977,"!",ADDRESS(17+(A978-1)*J977,6)))</f>
        <v>4</v>
      </c>
      <c r="I985" s="25" t="str">
        <f ca="1">INDIRECT(_xlfn.TEXTJOIN("",TRUE,A977,"!",ADDRESS(17+(A978-1)*J977,13)))</f>
        <v>D</v>
      </c>
      <c r="J985" s="25">
        <f ca="1">INDIRECT(_xlfn.TEXTJOIN("",TRUE,A977,"!",ADDRESS(17+(A978-1)*J977,14)))</f>
        <v>6</v>
      </c>
    </row>
    <row r="986" spans="1:10" ht="10.5" customHeight="1" x14ac:dyDescent="0.2">
      <c r="A986" s="65" t="str">
        <f ca="1">INDIRECT(_xlfn.TEXTJOIN("",TRUE,A977,"!",ADDRESS(18+(A978-1)*J977,1)))</f>
        <v>CAT 008</v>
      </c>
      <c r="B986" s="65"/>
      <c r="C986" s="66" t="str">
        <f ca="1">INDIRECT(_xlfn.TEXTJOIN("",TRUE,A977,"!",ADDRESS(18+(A978-1)*J977,2)))</f>
        <v>Python Programming ($)</v>
      </c>
      <c r="D986" s="66"/>
      <c r="E986" s="66"/>
      <c r="F986" s="66"/>
      <c r="G986" s="66"/>
      <c r="H986" s="25">
        <f ca="1">INDIRECT(_xlfn.TEXTJOIN("",TRUE,A977,"!",ADDRESS(18+(A978-1)*J977,6)))</f>
        <v>0</v>
      </c>
      <c r="I986" s="25" t="str">
        <f ca="1">INDIRECT(_xlfn.TEXTJOIN("",TRUE,A977,"!",ADDRESS(18+(A978-1)*J977,13)))</f>
        <v>E+</v>
      </c>
      <c r="J986" s="25">
        <f ca="1">INDIRECT(_xlfn.TEXTJOIN("",TRUE,A977,"!",ADDRESS(18+(A978-1)*J977,14)))</f>
        <v>5.5</v>
      </c>
    </row>
    <row r="987" spans="1:10" ht="10.5" customHeight="1" x14ac:dyDescent="0.2">
      <c r="A987" s="60" t="str">
        <f ca="1">INDIRECT(_xlfn.TEXTJOIN("",TRUE,A977,"!",ADDRESS(19+(A978-1)*J977,1)))</f>
        <v>CAT 001</v>
      </c>
      <c r="B987" s="61"/>
      <c r="C987" s="57" t="str">
        <f ca="1">INDIRECT(_xlfn.TEXTJOIN("",TRUE,A977,"!",ADDRESS(19+(A978-1)*J977,2)))</f>
        <v>Introduction of Information Technology ($)</v>
      </c>
      <c r="D987" s="58"/>
      <c r="E987" s="58"/>
      <c r="F987" s="58"/>
      <c r="G987" s="59"/>
      <c r="H987" s="25">
        <f ca="1">INDIRECT(_xlfn.TEXTJOIN("",TRUE,A977,"!",ADDRESS(19+(A978-1)*J977,6)))</f>
        <v>0</v>
      </c>
      <c r="I987" s="25" t="str">
        <f ca="1">INDIRECT(_xlfn.TEXTJOIN("",TRUE,A977,"!",ADDRESS(19+(A978-1)*J977,13)))</f>
        <v>-</v>
      </c>
      <c r="J987" s="25" t="str">
        <f ca="1">INDIRECT(_xlfn.TEXTJOIN("",TRUE,A977,"!",ADDRESS(19+(A978-1)*J977,14)))</f>
        <v>-</v>
      </c>
    </row>
    <row r="988" spans="1:10" ht="10.5" customHeight="1" x14ac:dyDescent="0.2">
      <c r="A988" s="65" t="str">
        <f ca="1">INDIRECT(_xlfn.TEXTJOIN("",TRUE,A977,"!",ADDRESS(20+(A978-1)*J977,1)))</f>
        <v>CAT 002</v>
      </c>
      <c r="B988" s="65"/>
      <c r="C988" s="66" t="str">
        <f ca="1">INDIRECT(_xlfn.TEXTJOIN("",TRUE,A977,"!",ADDRESS(20+(A978-1)*J977,2)))</f>
        <v>Programming Fundamentals with "C" ($)</v>
      </c>
      <c r="D988" s="66"/>
      <c r="E988" s="66"/>
      <c r="F988" s="66"/>
      <c r="G988" s="66"/>
      <c r="H988" s="25">
        <f ca="1">INDIRECT(_xlfn.TEXTJOIN("",TRUE,A977,"!",ADDRESS(20+(A978-1)*J977,6)))</f>
        <v>0</v>
      </c>
      <c r="I988" s="25" t="str">
        <f ca="1">INDIRECT(_xlfn.TEXTJOIN("",TRUE,A977,"!",ADDRESS(20+(A978-1)*J977,13)))</f>
        <v>-</v>
      </c>
      <c r="J988" s="25" t="str">
        <f ca="1">INDIRECT(_xlfn.TEXTJOIN("",TRUE,A977,"!",ADDRESS(20+(A978-1)*J977,14)))</f>
        <v>-</v>
      </c>
    </row>
    <row r="989" spans="1:10" ht="10.5" customHeight="1" x14ac:dyDescent="0.2">
      <c r="A989" s="65" t="str">
        <f ca="1">INDIRECT(_xlfn.TEXTJOIN("",TRUE,A977,"!",ADDRESS(21+(A978-1)*J977,1)))</f>
        <v>CAT 003</v>
      </c>
      <c r="B989" s="65"/>
      <c r="C989" s="66" t="str">
        <f ca="1">INDIRECT(_xlfn.TEXTJOIN("",TRUE,A977,"!",ADDRESS(21+(A978-1)*J977,2)))</f>
        <v>Fundamental of Web Technology ($)</v>
      </c>
      <c r="D989" s="66"/>
      <c r="E989" s="66"/>
      <c r="F989" s="66"/>
      <c r="G989" s="66"/>
      <c r="H989" s="25">
        <f ca="1">INDIRECT(_xlfn.TEXTJOIN("",TRUE,A977,"!",ADDRESS(21+(A978-1)*J977,6)))</f>
        <v>0</v>
      </c>
      <c r="I989" s="25" t="str">
        <f ca="1">INDIRECT(_xlfn.TEXTJOIN("",TRUE,A977,"!",ADDRESS(21+(A978-1)*J977,13)))</f>
        <v>-</v>
      </c>
      <c r="J989" s="25" t="str">
        <f ca="1">INDIRECT(_xlfn.TEXTJOIN("",TRUE,A977,"!",ADDRESS(21+(A978-1)*J977,14)))</f>
        <v>-</v>
      </c>
    </row>
    <row r="990" spans="1:10" ht="10.5" customHeight="1" x14ac:dyDescent="0.2">
      <c r="A990" s="65" t="str">
        <f ca="1">INDIRECT(_xlfn.TEXTJOIN("",TRUE,A977,"!",ADDRESS(22+(A978-1)*J977,1)))</f>
        <v>CAP 001</v>
      </c>
      <c r="B990" s="65"/>
      <c r="C990" s="66" t="str">
        <f ca="1">INDIRECT(_xlfn.TEXTJOIN("",TRUE,A977,"!",ADDRESS(22+(A978-1)*J977,2)))</f>
        <v>Database Management System Lab</v>
      </c>
      <c r="D990" s="66"/>
      <c r="E990" s="66"/>
      <c r="F990" s="66"/>
      <c r="G990" s="66"/>
      <c r="H990" s="25">
        <f ca="1">INDIRECT(_xlfn.TEXTJOIN("",TRUE,A977,"!",ADDRESS(22+(A978-1)*J977,6)))</f>
        <v>1</v>
      </c>
      <c r="I990" s="25" t="str">
        <f ca="1">INDIRECT(_xlfn.TEXTJOIN("",TRUE,A977,"!",ADDRESS(22+(A978-1)*J977,13)))</f>
        <v>C+</v>
      </c>
      <c r="J990" s="25">
        <f ca="1">INDIRECT(_xlfn.TEXTJOIN("",TRUE,A977,"!",ADDRESS(22+(A978-1)*J977,14)))</f>
        <v>7.5</v>
      </c>
    </row>
    <row r="991" spans="1:10" ht="10.5" customHeight="1" x14ac:dyDescent="0.2">
      <c r="A991" s="65" t="str">
        <f ca="1">INDIRECT(_xlfn.TEXTJOIN("",TRUE,A977,"!",ADDRESS(23+(A978-1)*J977,1)))</f>
        <v>CAP 002</v>
      </c>
      <c r="B991" s="65"/>
      <c r="C991" s="66" t="str">
        <f ca="1">INDIRECT(_xlfn.TEXTJOIN("",TRUE,A977,"!",ADDRESS(23+(A978-1)*J977,2)))</f>
        <v>Operating System Lab</v>
      </c>
      <c r="D991" s="66"/>
      <c r="E991" s="66"/>
      <c r="F991" s="66"/>
      <c r="G991" s="66"/>
      <c r="H991" s="25">
        <f ca="1">INDIRECT(_xlfn.TEXTJOIN("",TRUE,A977,"!",ADDRESS(23+(A978-1)*J977,6)))</f>
        <v>1</v>
      </c>
      <c r="I991" s="25" t="str">
        <f ca="1">INDIRECT(_xlfn.TEXTJOIN("",TRUE,A977,"!",ADDRESS(23+(A978-1)*J977,13)))</f>
        <v>B+</v>
      </c>
      <c r="J991" s="25">
        <f ca="1">INDIRECT(_xlfn.TEXTJOIN("",TRUE,A977,"!",ADDRESS(23+(A978-1)*J977,14)))</f>
        <v>8.5</v>
      </c>
    </row>
    <row r="992" spans="1:10" ht="10.5" customHeight="1" x14ac:dyDescent="0.2">
      <c r="A992" s="65" t="str">
        <f ca="1">INDIRECT(_xlfn.TEXTJOIN("",TRUE,A977,"!",ADDRESS(24+(A978-1)*J977,1)))</f>
        <v>CAP 003</v>
      </c>
      <c r="B992" s="65"/>
      <c r="C992" s="66" t="str">
        <f ca="1">INDIRECT(_xlfn.TEXTJOIN("",TRUE,A977,"!",ADDRESS(24+(A978-1)*J977,2)))</f>
        <v>Computer Organization Lab</v>
      </c>
      <c r="D992" s="66"/>
      <c r="E992" s="66"/>
      <c r="F992" s="66"/>
      <c r="G992" s="66"/>
      <c r="H992" s="25">
        <f ca="1">INDIRECT(_xlfn.TEXTJOIN("",TRUE,A977,"!",ADDRESS(24+(A978-1)*J977,6)))</f>
        <v>1</v>
      </c>
      <c r="I992" s="25" t="str">
        <f ca="1">INDIRECT(_xlfn.TEXTJOIN("",TRUE,A977,"!",ADDRESS(24+(A978-1)*J977,13)))</f>
        <v>B</v>
      </c>
      <c r="J992" s="25">
        <f ca="1">INDIRECT(_xlfn.TEXTJOIN("",TRUE,A977,"!",ADDRESS(24+(A978-1)*J977,14)))</f>
        <v>8</v>
      </c>
    </row>
    <row r="993" spans="1:10" ht="10.5" customHeight="1" x14ac:dyDescent="0.2">
      <c r="A993" s="65" t="str">
        <f ca="1">INDIRECT(_xlfn.TEXTJOIN("",TRUE,A977,"!",ADDRESS(25+(A978-1)*J977,1)))</f>
        <v>AHP 303</v>
      </c>
      <c r="B993" s="65"/>
      <c r="C993" s="66" t="str">
        <f ca="1">INDIRECT(_xlfn.TEXTJOIN("",TRUE,A977,"!",ADDRESS(25+(A978-1)*J977,2)))</f>
        <v>Technical Communication Skills</v>
      </c>
      <c r="D993" s="66"/>
      <c r="E993" s="66"/>
      <c r="F993" s="66"/>
      <c r="G993" s="66"/>
      <c r="H993" s="25">
        <f ca="1">INDIRECT(_xlfn.TEXTJOIN("",TRUE,A977,"!",ADDRESS(25+(A978-1)*J977,6)))</f>
        <v>1</v>
      </c>
      <c r="I993" s="25" t="str">
        <f ca="1">INDIRECT(_xlfn.TEXTJOIN("",TRUE,A977,"!",ADDRESS(25+(A978-1)*J977,13)))</f>
        <v>B+</v>
      </c>
      <c r="J993" s="25">
        <f ca="1">INDIRECT(_xlfn.TEXTJOIN("",TRUE,A977,"!",ADDRESS(25+(A978-1)*J977,14)))</f>
        <v>8.5</v>
      </c>
    </row>
    <row r="994" spans="1:10" s="35" customFormat="1" ht="10.5" customHeight="1" x14ac:dyDescent="0.2">
      <c r="A994" s="77">
        <f ca="1">INDIRECT(_xlfn.TEXTJOIN("",TRUE,A977,"!",ADDRESS(26+(A978-1)*J977,1)))</f>
        <v>0</v>
      </c>
      <c r="B994" s="77"/>
      <c r="C994" s="78">
        <f ca="1">INDIRECT(_xlfn.TEXTJOIN("",TRUE,A977,"!",ADDRESS(26+(A978-1)*J977,2)))</f>
        <v>0</v>
      </c>
      <c r="D994" s="78"/>
      <c r="E994" s="78"/>
      <c r="F994" s="78"/>
      <c r="G994" s="78"/>
      <c r="H994" s="34">
        <f ca="1">INDIRECT(_xlfn.TEXTJOIN("",TRUE,A977,"!",ADDRESS(26+(A978-1)*J977,6)))</f>
        <v>0</v>
      </c>
      <c r="I994" s="34" t="str">
        <f ca="1">INDIRECT(_xlfn.TEXTJOIN("",TRUE,A977,"!",ADDRESS(26+(A978-1)*J977,13)))</f>
        <v>Excellent</v>
      </c>
      <c r="J994" s="34">
        <f ca="1">INDIRECT(_xlfn.TEXTJOIN("",TRUE,A977,"!",ADDRESS(26+(A978-1)*J977,14)))</f>
        <v>0</v>
      </c>
    </row>
    <row r="995" spans="1:10" ht="10.5" customHeight="1" x14ac:dyDescent="0.2">
      <c r="A995" s="71" t="s">
        <v>52</v>
      </c>
      <c r="B995" s="71"/>
      <c r="C995" s="71"/>
      <c r="D995" s="71"/>
      <c r="E995" s="71"/>
      <c r="F995" s="71"/>
      <c r="G995" s="71"/>
      <c r="H995" s="27">
        <f ca="1">SUM(H981:H994)</f>
        <v>24</v>
      </c>
      <c r="I995" s="26" t="s">
        <v>44</v>
      </c>
      <c r="J995" s="27">
        <f ca="1">SUMPRODUCT(J981:J993,H981:H993)</f>
        <v>138.5</v>
      </c>
    </row>
    <row r="996" spans="1:10" ht="10.5" customHeight="1" x14ac:dyDescent="0.2">
      <c r="A996" s="24" t="s">
        <v>57</v>
      </c>
      <c r="B996" s="72" t="str">
        <f ca="1">IF(ISNA(A997),"","Semester II (Spring Semester 2022-23)")</f>
        <v/>
      </c>
      <c r="C996" s="72"/>
      <c r="D996" s="72"/>
      <c r="E996" s="72"/>
      <c r="F996" s="72"/>
      <c r="G996" s="72"/>
      <c r="H996" s="72"/>
      <c r="I996" s="72"/>
      <c r="J996" s="24">
        <f>ROWS(A1000:B1009)+9</f>
        <v>19</v>
      </c>
    </row>
    <row r="997" spans="1:10" ht="10.5" customHeight="1" x14ac:dyDescent="0.2">
      <c r="A997" s="24" t="e">
        <f ca="1">INDEX(SEM_II!$A$6:$A$45,Marksheets!J997)</f>
        <v>#N/A</v>
      </c>
      <c r="B997" s="63"/>
      <c r="C997" s="63"/>
      <c r="D997" s="63"/>
      <c r="E997" s="63"/>
      <c r="F997" s="63"/>
      <c r="G997" s="63"/>
      <c r="H997" s="63"/>
      <c r="I997" s="63"/>
      <c r="J997" s="24" t="e">
        <f ca="1">MATCH(H975,SEM_II!$B$6:$B$45,0)</f>
        <v>#N/A</v>
      </c>
    </row>
    <row r="998" spans="1:10" ht="10.5" customHeight="1" x14ac:dyDescent="0.2">
      <c r="A998" s="64" t="str">
        <f ca="1">IF(ISNA(A997),"","Subject Code")</f>
        <v/>
      </c>
      <c r="B998" s="64"/>
      <c r="C998" s="64" t="str">
        <f ca="1">IF(ISNA(A997),"","Subject Name")</f>
        <v/>
      </c>
      <c r="D998" s="64"/>
      <c r="E998" s="64"/>
      <c r="F998" s="64"/>
      <c r="G998" s="64"/>
      <c r="H998" s="64" t="str">
        <f ca="1">IF(ISNA(A997),"","Credits")</f>
        <v/>
      </c>
      <c r="I998" s="64" t="str">
        <f ca="1">IF(ISNA(A997),"","Grade")</f>
        <v/>
      </c>
      <c r="J998" s="64" t="str">
        <f ca="1">IF(ISNA(A997),"","Grade Points")</f>
        <v/>
      </c>
    </row>
    <row r="999" spans="1:10" ht="13" customHeight="1" x14ac:dyDescent="0.2">
      <c r="A999" s="64"/>
      <c r="B999" s="64"/>
      <c r="C999" s="64"/>
      <c r="D999" s="64"/>
      <c r="E999" s="64"/>
      <c r="F999" s="64"/>
      <c r="G999" s="64"/>
      <c r="H999" s="64"/>
      <c r="I999" s="64"/>
      <c r="J999" s="64"/>
    </row>
    <row r="1000" spans="1:10" ht="10.5" customHeight="1" x14ac:dyDescent="0.2">
      <c r="A1000" s="65" t="str">
        <f ca="1">_xlfn.IFNA(INDIRECT(_xlfn.TEXTJOIN("",TRUE,A996,"!",ADDRESS(13+(A997-1)*J996,1))),"")</f>
        <v/>
      </c>
      <c r="B1000" s="65"/>
      <c r="C1000" s="66" t="str">
        <f ca="1">_xlfn.IFNA(INDIRECT(_xlfn.TEXTJOIN("",TRUE,A996,"!",ADDRESS(13+(A997-1)*J996,2))),"")</f>
        <v/>
      </c>
      <c r="D1000" s="66"/>
      <c r="E1000" s="66"/>
      <c r="F1000" s="66"/>
      <c r="G1000" s="66"/>
      <c r="H1000" s="25" t="str">
        <f ca="1">_xlfn.IFNA(INDIRECT(_xlfn.TEXTJOIN("",TRUE,A996,"!",ADDRESS(13+(A997-1)*J996,6))),"")</f>
        <v/>
      </c>
      <c r="I1000" s="25" t="str">
        <f ca="1">_xlfn.IFNA(INDIRECT(_xlfn.TEXTJOIN("",TRUE,A996,"!",ADDRESS(13+(A997-1)*J996,13))),"")</f>
        <v/>
      </c>
      <c r="J1000" s="25" t="str">
        <f ca="1">_xlfn.IFNA(INDIRECT(_xlfn.TEXTJOIN("",TRUE,A996,"!",ADDRESS(13+(A997-1)*J996,14))),"")</f>
        <v/>
      </c>
    </row>
    <row r="1001" spans="1:10" ht="10.5" customHeight="1" x14ac:dyDescent="0.2">
      <c r="A1001" s="65" t="str">
        <f ca="1">_xlfn.IFNA(INDIRECT(_xlfn.TEXTJOIN("",TRUE,A996,"!",ADDRESS(14+(A997-1)*J996,1))),"")</f>
        <v/>
      </c>
      <c r="B1001" s="65"/>
      <c r="C1001" s="66" t="str">
        <f ca="1">_xlfn.IFNA(INDIRECT(_xlfn.TEXTJOIN("",TRUE,A996,"!",ADDRESS(14+(A997-1)*J996,2))),"")</f>
        <v/>
      </c>
      <c r="D1001" s="66"/>
      <c r="E1001" s="66"/>
      <c r="F1001" s="66"/>
      <c r="G1001" s="66"/>
      <c r="H1001" s="25" t="str">
        <f ca="1">_xlfn.IFNA(INDIRECT(_xlfn.TEXTJOIN("",TRUE,A996,"!",ADDRESS(14+(A997-1)*J996,6))),"")</f>
        <v/>
      </c>
      <c r="I1001" s="25" t="str">
        <f ca="1">_xlfn.IFNA(INDIRECT(_xlfn.TEXTJOIN("",TRUE,A996,"!",ADDRESS(14+(A997-1)*J996,13))),"")</f>
        <v/>
      </c>
      <c r="J1001" s="25" t="str">
        <f ca="1">_xlfn.IFNA(INDIRECT(_xlfn.TEXTJOIN("",TRUE,A996,"!",ADDRESS(14+(A997-1)*J996,14))),"")</f>
        <v/>
      </c>
    </row>
    <row r="1002" spans="1:10" ht="10.5" customHeight="1" x14ac:dyDescent="0.2">
      <c r="A1002" s="65" t="str">
        <f ca="1">_xlfn.IFNA(INDIRECT(_xlfn.TEXTJOIN("",TRUE,A996,"!",ADDRESS(15+(A997-1)*J996,1))),"")</f>
        <v/>
      </c>
      <c r="B1002" s="65"/>
      <c r="C1002" s="66" t="str">
        <f ca="1">_xlfn.IFNA(INDIRECT(_xlfn.TEXTJOIN("",TRUE,A996,"!",ADDRESS(15+(A997-1)*J996,2))),"")</f>
        <v/>
      </c>
      <c r="D1002" s="66"/>
      <c r="E1002" s="66"/>
      <c r="F1002" s="66"/>
      <c r="G1002" s="66"/>
      <c r="H1002" s="25" t="str">
        <f ca="1">_xlfn.IFNA(INDIRECT(_xlfn.TEXTJOIN("",TRUE,A996,"!",ADDRESS(15+(A997-1)*J996,6))),"")</f>
        <v/>
      </c>
      <c r="I1002" s="25" t="str">
        <f ca="1">_xlfn.IFNA(INDIRECT(_xlfn.TEXTJOIN("",TRUE,A996,"!",ADDRESS(15+(A997-1)*J996,13))),"")</f>
        <v/>
      </c>
      <c r="J1002" s="25" t="str">
        <f ca="1">_xlfn.IFNA(INDIRECT(_xlfn.TEXTJOIN("",TRUE,A996,"!",ADDRESS(15+(A997-1)*J996,14))),"")</f>
        <v/>
      </c>
    </row>
    <row r="1003" spans="1:10" ht="10.5" customHeight="1" x14ac:dyDescent="0.2">
      <c r="A1003" s="65" t="str">
        <f ca="1">_xlfn.IFNA(INDIRECT(_xlfn.TEXTJOIN("",TRUE,A996,"!",ADDRESS(16+(A997-1)*J996,1))),"")</f>
        <v/>
      </c>
      <c r="B1003" s="65"/>
      <c r="C1003" s="66" t="str">
        <f ca="1">_xlfn.IFNA(INDIRECT(_xlfn.TEXTJOIN("",TRUE,A996,"!",ADDRESS(16+(A997-1)*J996,2))),"")</f>
        <v/>
      </c>
      <c r="D1003" s="66"/>
      <c r="E1003" s="66"/>
      <c r="F1003" s="66"/>
      <c r="G1003" s="66"/>
      <c r="H1003" s="25" t="str">
        <f ca="1">_xlfn.IFNA(INDIRECT(_xlfn.TEXTJOIN("",TRUE,A996,"!",ADDRESS(16+(A997-1)*J996,6))),"")</f>
        <v/>
      </c>
      <c r="I1003" s="25" t="str">
        <f ca="1">_xlfn.IFNA(INDIRECT(_xlfn.TEXTJOIN("",TRUE,A996,"!",ADDRESS(16+(A997-1)*J996,13))),"")</f>
        <v/>
      </c>
      <c r="J1003" s="25" t="str">
        <f ca="1">_xlfn.IFNA(INDIRECT(_xlfn.TEXTJOIN("",TRUE,A996,"!",ADDRESS(16+(A997-1)*J996,14))),"")</f>
        <v/>
      </c>
    </row>
    <row r="1004" spans="1:10" ht="10.5" customHeight="1" x14ac:dyDescent="0.2">
      <c r="A1004" s="65" t="str">
        <f ca="1">_xlfn.IFNA(INDIRECT(_xlfn.TEXTJOIN("",TRUE,A996,"!",ADDRESS(17+(A997-1)*J996,1))),"")</f>
        <v/>
      </c>
      <c r="B1004" s="65"/>
      <c r="C1004" s="66" t="str">
        <f ca="1">_xlfn.IFNA(INDIRECT(_xlfn.TEXTJOIN("",TRUE,A996,"!",ADDRESS(17+(A997-1)*J996,2))),"")</f>
        <v/>
      </c>
      <c r="D1004" s="66"/>
      <c r="E1004" s="66"/>
      <c r="F1004" s="66"/>
      <c r="G1004" s="66"/>
      <c r="H1004" s="25" t="str">
        <f ca="1">_xlfn.IFNA(INDIRECT(_xlfn.TEXTJOIN("",TRUE,A996,"!",ADDRESS(17+(A997-1)*J996,6))),"")</f>
        <v/>
      </c>
      <c r="I1004" s="25" t="str">
        <f ca="1">_xlfn.IFNA(INDIRECT(_xlfn.TEXTJOIN("",TRUE,A996,"!",ADDRESS(17+(A997-1)*J996,13))),"")</f>
        <v/>
      </c>
      <c r="J1004" s="25" t="str">
        <f ca="1">_xlfn.IFNA(INDIRECT(_xlfn.TEXTJOIN("",TRUE,A996,"!",ADDRESS(17+(A997-1)*J996,14))),"")</f>
        <v/>
      </c>
    </row>
    <row r="1005" spans="1:10" ht="10.5" customHeight="1" x14ac:dyDescent="0.2">
      <c r="A1005" s="65" t="str">
        <f ca="1">_xlfn.IFNA(INDIRECT(_xlfn.TEXTJOIN("",TRUE,A996,"!",ADDRESS(18+(A997-1)*J996,1))),"")</f>
        <v/>
      </c>
      <c r="B1005" s="65"/>
      <c r="C1005" s="66" t="str">
        <f ca="1">_xlfn.IFNA(INDIRECT(_xlfn.TEXTJOIN("",TRUE,A996,"!",ADDRESS(18+(A997-1)*J996,2))),"")</f>
        <v/>
      </c>
      <c r="D1005" s="66"/>
      <c r="E1005" s="66"/>
      <c r="F1005" s="66"/>
      <c r="G1005" s="66"/>
      <c r="H1005" s="25" t="str">
        <f ca="1">_xlfn.IFNA(INDIRECT(_xlfn.TEXTJOIN("",TRUE,A996,"!",ADDRESS(18+(A997-1)*J996,6))),"")</f>
        <v/>
      </c>
      <c r="I1005" s="25" t="str">
        <f ca="1">_xlfn.IFNA(INDIRECT(_xlfn.TEXTJOIN("",TRUE,A996,"!",ADDRESS(18+(A997-1)*J996,13))),"")</f>
        <v/>
      </c>
      <c r="J1005" s="25" t="str">
        <f ca="1">_xlfn.IFNA(INDIRECT(_xlfn.TEXTJOIN("",TRUE,A996,"!",ADDRESS(18+(A997-1)*J996,14))),"")</f>
        <v/>
      </c>
    </row>
    <row r="1006" spans="1:10" ht="10.5" customHeight="1" x14ac:dyDescent="0.2">
      <c r="A1006" s="60" t="str">
        <f ca="1">_xlfn.IFNA(INDIRECT(_xlfn.TEXTJOIN("",TRUE,A996,"!",ADDRESS(19+(A997-1)*J996,1))),"")</f>
        <v/>
      </c>
      <c r="B1006" s="61"/>
      <c r="C1006" s="57" t="str">
        <f ca="1">_xlfn.IFNA(INDIRECT(_xlfn.TEXTJOIN("",TRUE,A996,"!",ADDRESS(19+(A997-1)*J996,2))),"")</f>
        <v/>
      </c>
      <c r="D1006" s="58"/>
      <c r="E1006" s="58"/>
      <c r="F1006" s="58"/>
      <c r="G1006" s="59"/>
      <c r="H1006" s="25" t="str">
        <f ca="1">_xlfn.IFNA(INDIRECT(_xlfn.TEXTJOIN("",TRUE,A996,"!",ADDRESS(19+(A997-1)*J996,6))),"")</f>
        <v/>
      </c>
      <c r="I1006" s="25" t="str">
        <f ca="1">_xlfn.IFNA(INDIRECT(_xlfn.TEXTJOIN("",TRUE,A996,"!",ADDRESS(19+(A997-1)*J996,13))),"")</f>
        <v/>
      </c>
      <c r="J1006" s="25" t="str">
        <f ca="1">_xlfn.IFNA(INDIRECT(_xlfn.TEXTJOIN("",TRUE,A996,"!",ADDRESS(19+(A997-1)*J996,14))),"")</f>
        <v/>
      </c>
    </row>
    <row r="1007" spans="1:10" ht="10.5" customHeight="1" x14ac:dyDescent="0.2">
      <c r="A1007" s="65" t="str">
        <f ca="1">_xlfn.IFNA(INDIRECT(_xlfn.TEXTJOIN("",TRUE,A996,"!",ADDRESS(20+(A997-1)*J996,1))),"")</f>
        <v/>
      </c>
      <c r="B1007" s="65"/>
      <c r="C1007" s="66" t="str">
        <f ca="1">_xlfn.IFNA(INDIRECT(_xlfn.TEXTJOIN("",TRUE,A996,"!",ADDRESS(20+(A997-1)*J996,2))),"")</f>
        <v/>
      </c>
      <c r="D1007" s="66"/>
      <c r="E1007" s="66"/>
      <c r="F1007" s="66"/>
      <c r="G1007" s="66"/>
      <c r="H1007" s="25" t="str">
        <f ca="1">_xlfn.IFNA(INDIRECT(_xlfn.TEXTJOIN("",TRUE,A996,"!",ADDRESS(20+(A997-1)*J996,6))),"")</f>
        <v/>
      </c>
      <c r="I1007" s="25" t="str">
        <f ca="1">_xlfn.IFNA(INDIRECT(_xlfn.TEXTJOIN("",TRUE,A996,"!",ADDRESS(20+(A997-1)*J996,13))),"")</f>
        <v/>
      </c>
      <c r="J1007" s="25" t="str">
        <f ca="1">_xlfn.IFNA(INDIRECT(_xlfn.TEXTJOIN("",TRUE,A996,"!",ADDRESS(20+(A997-1)*J996,14))),"")</f>
        <v/>
      </c>
    </row>
    <row r="1008" spans="1:10" ht="10.5" customHeight="1" x14ac:dyDescent="0.2">
      <c r="A1008" s="65" t="str">
        <f ca="1">_xlfn.IFNA(INDIRECT(_xlfn.TEXTJOIN("",TRUE,A996,"!",ADDRESS(21+(A997-1)*J996,1))),"")</f>
        <v/>
      </c>
      <c r="B1008" s="65"/>
      <c r="C1008" s="66" t="str">
        <f ca="1">_xlfn.IFNA(INDIRECT(_xlfn.TEXTJOIN("",TRUE,A996,"!",ADDRESS(21+(A997-1)*J996,2))),"")</f>
        <v/>
      </c>
      <c r="D1008" s="66"/>
      <c r="E1008" s="66"/>
      <c r="F1008" s="66"/>
      <c r="G1008" s="66"/>
      <c r="H1008" s="25" t="str">
        <f ca="1">_xlfn.IFNA(INDIRECT(_xlfn.TEXTJOIN("",TRUE,A996,"!",ADDRESS(21+(A997-1)*J996,6))),"")</f>
        <v/>
      </c>
      <c r="I1008" s="25" t="str">
        <f ca="1">_xlfn.IFNA(INDIRECT(_xlfn.TEXTJOIN("",TRUE,A996,"!",ADDRESS(21+(A997-1)*J996,13))),"")</f>
        <v/>
      </c>
      <c r="J1008" s="25" t="str">
        <f ca="1">_xlfn.IFNA(INDIRECT(_xlfn.TEXTJOIN("",TRUE,A996,"!",ADDRESS(21+(A997-1)*J996,14))),"")</f>
        <v/>
      </c>
    </row>
    <row r="1009" spans="1:10" ht="10.5" customHeight="1" x14ac:dyDescent="0.2">
      <c r="A1009" s="65" t="str">
        <f ca="1">_xlfn.IFNA(INDIRECT(_xlfn.TEXTJOIN("",TRUE,A996,"!",ADDRESS(22+(A997-1)*J996,1))),"")</f>
        <v/>
      </c>
      <c r="B1009" s="65"/>
      <c r="C1009" s="66" t="str">
        <f ca="1">_xlfn.IFNA(INDIRECT(_xlfn.TEXTJOIN("",TRUE,A996,"!",ADDRESS(22+(A997-1)*J996,2))),"")</f>
        <v/>
      </c>
      <c r="D1009" s="66"/>
      <c r="E1009" s="66"/>
      <c r="F1009" s="66"/>
      <c r="G1009" s="66"/>
      <c r="H1009" s="25" t="str">
        <f ca="1">_xlfn.IFNA(INDIRECT(_xlfn.TEXTJOIN("",TRUE,A996,"!",ADDRESS(22+(A997-1)*J996,6))),"")</f>
        <v/>
      </c>
      <c r="I1009" s="25" t="str">
        <f ca="1">_xlfn.IFNA(INDIRECT(_xlfn.TEXTJOIN("",TRUE,A996,"!",ADDRESS(22+(A997-1)*J996,13))),"")</f>
        <v/>
      </c>
      <c r="J1009" s="25" t="str">
        <f ca="1">_xlfn.IFNA(INDIRECT(_xlfn.TEXTJOIN("",TRUE,A996,"!",ADDRESS(22+(A997-1)*J996,14))),"")</f>
        <v/>
      </c>
    </row>
    <row r="1010" spans="1:10" ht="10.5" customHeight="1" x14ac:dyDescent="0.2">
      <c r="A1010" s="71" t="str">
        <f ca="1">IF(ISNA(A997),"","Total Credits/ Total Grade Points")</f>
        <v/>
      </c>
      <c r="B1010" s="71"/>
      <c r="C1010" s="71"/>
      <c r="D1010" s="71"/>
      <c r="E1010" s="71"/>
      <c r="F1010" s="71"/>
      <c r="G1010" s="71"/>
      <c r="H1010" s="27" t="str">
        <f ca="1">IF(ISNA(A997),"",SUM(H1000:H1009))</f>
        <v/>
      </c>
      <c r="I1010" s="26" t="str">
        <f ca="1">IF(ISNA(A997),"","-")</f>
        <v/>
      </c>
      <c r="J1010" s="27" t="str">
        <f ca="1">IF(ISNA(A997),"",SUMPRODUCT(J1000:J1009,H1000:H1009))</f>
        <v/>
      </c>
    </row>
    <row r="1011" spans="1:10" ht="10.5" customHeight="1" x14ac:dyDescent="0.2">
      <c r="A1011" s="24" t="s">
        <v>60</v>
      </c>
      <c r="B1011" s="72" t="str">
        <f ca="1">IF(ISNA(A1012),"","Semester III (Autumn Semester 2023-24)")</f>
        <v/>
      </c>
      <c r="C1011" s="72"/>
      <c r="D1011" s="72"/>
      <c r="E1011" s="72"/>
      <c r="F1011" s="72"/>
      <c r="G1011" s="72"/>
      <c r="H1011" s="72"/>
      <c r="I1011" s="72"/>
      <c r="J1011" s="24">
        <f>ROWS(A1015:B1022)+9</f>
        <v>17</v>
      </c>
    </row>
    <row r="1012" spans="1:10" ht="10.5" customHeight="1" x14ac:dyDescent="0.2">
      <c r="A1012" s="24" t="e">
        <f ca="1">INDEX(SEM_III!$A$6:$A$43,Marksheets!J1012)</f>
        <v>#N/A</v>
      </c>
      <c r="B1012" s="63"/>
      <c r="C1012" s="63"/>
      <c r="D1012" s="63"/>
      <c r="E1012" s="63"/>
      <c r="F1012" s="63"/>
      <c r="G1012" s="63"/>
      <c r="H1012" s="63"/>
      <c r="I1012" s="63"/>
      <c r="J1012" s="24" t="e">
        <f ca="1">MATCH(H975,SEM_III!$B$6:$B$43,0)</f>
        <v>#N/A</v>
      </c>
    </row>
    <row r="1013" spans="1:10" ht="10.5" customHeight="1" x14ac:dyDescent="0.2">
      <c r="A1013" s="64" t="str">
        <f ca="1">IF(ISNA(A1012),"","Subject Code")</f>
        <v/>
      </c>
      <c r="B1013" s="64"/>
      <c r="C1013" s="64" t="str">
        <f ca="1">IF(ISNA(A1012),"","Subject Name")</f>
        <v/>
      </c>
      <c r="D1013" s="64"/>
      <c r="E1013" s="64"/>
      <c r="F1013" s="64"/>
      <c r="G1013" s="64"/>
      <c r="H1013" s="64" t="str">
        <f ca="1">IF(ISNA(A1012),"","Credits")</f>
        <v/>
      </c>
      <c r="I1013" s="64" t="str">
        <f ca="1">IF(ISNA(A1012),"","Grade")</f>
        <v/>
      </c>
      <c r="J1013" s="64" t="str">
        <f ca="1">IF(ISNA(A1012),"","Grade Points")</f>
        <v/>
      </c>
    </row>
    <row r="1014" spans="1:10" ht="13.5" customHeight="1" x14ac:dyDescent="0.2">
      <c r="A1014" s="64"/>
      <c r="B1014" s="64"/>
      <c r="C1014" s="64"/>
      <c r="D1014" s="64"/>
      <c r="E1014" s="64"/>
      <c r="F1014" s="64"/>
      <c r="G1014" s="64"/>
      <c r="H1014" s="64"/>
      <c r="I1014" s="64"/>
      <c r="J1014" s="64"/>
    </row>
    <row r="1015" spans="1:10" ht="10.5" customHeight="1" x14ac:dyDescent="0.2">
      <c r="A1015" s="65" t="str">
        <f ca="1">_xlfn.IFNA(INDIRECT(_xlfn.TEXTJOIN("",TRUE,A1011,"!",ADDRESS(13+(A1012-1)*J1011,1))),"")</f>
        <v/>
      </c>
      <c r="B1015" s="65"/>
      <c r="C1015" s="66" t="str">
        <f ca="1">_xlfn.IFNA(INDIRECT(_xlfn.TEXTJOIN("",TRUE,A1011,"!",ADDRESS(13+(A1012-1)*J1011,2))),"")</f>
        <v/>
      </c>
      <c r="D1015" s="66"/>
      <c r="E1015" s="66"/>
      <c r="F1015" s="66"/>
      <c r="G1015" s="66"/>
      <c r="H1015" s="25" t="str">
        <f ca="1">_xlfn.IFNA(INDIRECT(_xlfn.TEXTJOIN("",TRUE,A1011,"!",ADDRESS(13+(A1012-1)*J1011,6))),"")</f>
        <v/>
      </c>
      <c r="I1015" s="25" t="str">
        <f ca="1">_xlfn.IFNA(INDIRECT(_xlfn.TEXTJOIN("",TRUE,A1011,"!",ADDRESS(13+(A1012-1)*J1011,13))),"")</f>
        <v/>
      </c>
      <c r="J1015" s="25" t="str">
        <f ca="1">_xlfn.IFNA(INDIRECT(_xlfn.TEXTJOIN("",TRUE,A1011,"!",ADDRESS(13+(A1012-1)*J1011,14))),"")</f>
        <v/>
      </c>
    </row>
    <row r="1016" spans="1:10" ht="10.5" customHeight="1" x14ac:dyDescent="0.2">
      <c r="A1016" s="65" t="str">
        <f ca="1">_xlfn.IFNA(INDIRECT(_xlfn.TEXTJOIN("",TRUE,A1011,"!",ADDRESS(14+(A1012-1)*J1011,1))),"")</f>
        <v/>
      </c>
      <c r="B1016" s="65"/>
      <c r="C1016" s="66" t="str">
        <f ca="1">_xlfn.IFNA(INDIRECT(_xlfn.TEXTJOIN("",TRUE,A1011,"!",ADDRESS(14+(A1012-1)*J1011,2))),"")</f>
        <v/>
      </c>
      <c r="D1016" s="66"/>
      <c r="E1016" s="66"/>
      <c r="F1016" s="66"/>
      <c r="G1016" s="66"/>
      <c r="H1016" s="25" t="str">
        <f ca="1">_xlfn.IFNA(INDIRECT(_xlfn.TEXTJOIN("",TRUE,A1011,"!",ADDRESS(14+(A1012-1)*J1011,6))),"")</f>
        <v/>
      </c>
      <c r="I1016" s="25" t="str">
        <f ca="1">_xlfn.IFNA(INDIRECT(_xlfn.TEXTJOIN("",TRUE,A1011,"!",ADDRESS(14+(A1012-1)*J1011,13))),"")</f>
        <v/>
      </c>
      <c r="J1016" s="25" t="str">
        <f ca="1">_xlfn.IFNA(INDIRECT(_xlfn.TEXTJOIN("",TRUE,A1011,"!",ADDRESS(14+(A1012-1)*J1011,14))),"")</f>
        <v/>
      </c>
    </row>
    <row r="1017" spans="1:10" ht="10.5" customHeight="1" x14ac:dyDescent="0.2">
      <c r="A1017" s="65" t="str">
        <f ca="1">_xlfn.IFNA(INDIRECT(_xlfn.TEXTJOIN("",TRUE,A1011,"!",ADDRESS(15+(A1012-1)*J1011,1))),"")</f>
        <v/>
      </c>
      <c r="B1017" s="65"/>
      <c r="C1017" s="66" t="str">
        <f ca="1">_xlfn.IFNA(INDIRECT(_xlfn.TEXTJOIN("",TRUE,A1011,"!",ADDRESS(15+(A1012-1)*J1011,2))),"")</f>
        <v/>
      </c>
      <c r="D1017" s="66"/>
      <c r="E1017" s="66"/>
      <c r="F1017" s="66"/>
      <c r="G1017" s="66"/>
      <c r="H1017" s="25" t="str">
        <f ca="1">_xlfn.IFNA(INDIRECT(_xlfn.TEXTJOIN("",TRUE,A1011,"!",ADDRESS(15+(A1012-1)*J1011,6))),"")</f>
        <v/>
      </c>
      <c r="I1017" s="25" t="str">
        <f ca="1">_xlfn.IFNA(INDIRECT(_xlfn.TEXTJOIN("",TRUE,A1011,"!",ADDRESS(15+(A1012-1)*J1011,13))),"")</f>
        <v/>
      </c>
      <c r="J1017" s="25" t="str">
        <f ca="1">_xlfn.IFNA(INDIRECT(_xlfn.TEXTJOIN("",TRUE,A1011,"!",ADDRESS(15+(A1012-1)*J1011,14))),"")</f>
        <v/>
      </c>
    </row>
    <row r="1018" spans="1:10" ht="10.5" customHeight="1" x14ac:dyDescent="0.2">
      <c r="A1018" s="65" t="str">
        <f ca="1">_xlfn.IFNA(INDIRECT(_xlfn.TEXTJOIN("",TRUE,A1011,"!",ADDRESS(16+(A1012-1)*J1011,1))),"")</f>
        <v/>
      </c>
      <c r="B1018" s="65"/>
      <c r="C1018" s="66" t="str">
        <f ca="1">_xlfn.IFNA(INDIRECT(_xlfn.TEXTJOIN("",TRUE,A1011,"!",ADDRESS(16+(A1012-1)*J1011,2))),"")</f>
        <v/>
      </c>
      <c r="D1018" s="66"/>
      <c r="E1018" s="66"/>
      <c r="F1018" s="66"/>
      <c r="G1018" s="66"/>
      <c r="H1018" s="25" t="str">
        <f ca="1">_xlfn.IFNA(INDIRECT(_xlfn.TEXTJOIN("",TRUE,A1011,"!",ADDRESS(16+(A1012-1)*J1011,6))),"")</f>
        <v/>
      </c>
      <c r="I1018" s="25" t="str">
        <f ca="1">_xlfn.IFNA(INDIRECT(_xlfn.TEXTJOIN("",TRUE,A1011,"!",ADDRESS(16+(A1012-1)*J1011,13))),"")</f>
        <v/>
      </c>
      <c r="J1018" s="25" t="str">
        <f ca="1">_xlfn.IFNA(INDIRECT(_xlfn.TEXTJOIN("",TRUE,A1011,"!",ADDRESS(16+(A1012-1)*J1011,14))),"")</f>
        <v/>
      </c>
    </row>
    <row r="1019" spans="1:10" ht="10.5" customHeight="1" x14ac:dyDescent="0.2">
      <c r="A1019" s="65" t="str">
        <f ca="1">_xlfn.IFNA(INDIRECT(_xlfn.TEXTJOIN("",TRUE,A1011,"!",ADDRESS(17+(A1012-1)*J1011,1))),"")</f>
        <v/>
      </c>
      <c r="B1019" s="65"/>
      <c r="C1019" s="66" t="str">
        <f ca="1">_xlfn.IFNA(INDIRECT(_xlfn.TEXTJOIN("",TRUE,A1011,"!",ADDRESS(17+(A1012-1)*J1011,2))),"")</f>
        <v/>
      </c>
      <c r="D1019" s="66"/>
      <c r="E1019" s="66"/>
      <c r="F1019" s="66"/>
      <c r="G1019" s="66"/>
      <c r="H1019" s="25" t="str">
        <f ca="1">_xlfn.IFNA(INDIRECT(_xlfn.TEXTJOIN("",TRUE,A1011,"!",ADDRESS(17+(A1012-1)*J1011,6))),"")</f>
        <v/>
      </c>
      <c r="I1019" s="25" t="str">
        <f ca="1">_xlfn.IFNA(INDIRECT(_xlfn.TEXTJOIN("",TRUE,A1011,"!",ADDRESS(17+(A1012-1)*J1011,13))),"")</f>
        <v/>
      </c>
      <c r="J1019" s="25" t="str">
        <f ca="1">_xlfn.IFNA(INDIRECT(_xlfn.TEXTJOIN("",TRUE,A1011,"!",ADDRESS(17+(A1012-1)*J1011,14))),"")</f>
        <v/>
      </c>
    </row>
    <row r="1020" spans="1:10" ht="10.5" customHeight="1" x14ac:dyDescent="0.2">
      <c r="A1020" s="65" t="str">
        <f ca="1">_xlfn.IFNA(INDIRECT(_xlfn.TEXTJOIN("",TRUE,A1011,"!",ADDRESS(18+(A1012-1)*J1011,1))),"")</f>
        <v/>
      </c>
      <c r="B1020" s="65"/>
      <c r="C1020" s="66" t="str">
        <f ca="1">_xlfn.IFNA(INDIRECT(_xlfn.TEXTJOIN("",TRUE,A1011,"!",ADDRESS(18+(A1012-1)*J1011,2))),"")</f>
        <v/>
      </c>
      <c r="D1020" s="66"/>
      <c r="E1020" s="66"/>
      <c r="F1020" s="66"/>
      <c r="G1020" s="66"/>
      <c r="H1020" s="25" t="str">
        <f ca="1">_xlfn.IFNA(INDIRECT(_xlfn.TEXTJOIN("",TRUE,A1011,"!",ADDRESS(18+(A1012-1)*J1011,6))),"")</f>
        <v/>
      </c>
      <c r="I1020" s="25" t="str">
        <f ca="1">_xlfn.IFNA(INDIRECT(_xlfn.TEXTJOIN("",TRUE,A1011,"!",ADDRESS(18+(A1012-1)*J1011,13))),"")</f>
        <v/>
      </c>
      <c r="J1020" s="25" t="str">
        <f ca="1">_xlfn.IFNA(INDIRECT(_xlfn.TEXTJOIN("",TRUE,A1011,"!",ADDRESS(18+(A1012-1)*J1011,14))),"")</f>
        <v/>
      </c>
    </row>
    <row r="1021" spans="1:10" ht="10.5" customHeight="1" x14ac:dyDescent="0.2">
      <c r="A1021" s="60" t="str">
        <f ca="1">_xlfn.IFNA(INDIRECT(_xlfn.TEXTJOIN("",TRUE,A1011,"!",ADDRESS(19+(A1012-1)*J1011,1))),"")</f>
        <v/>
      </c>
      <c r="B1021" s="61"/>
      <c r="C1021" s="57" t="str">
        <f ca="1">_xlfn.IFNA(INDIRECT(_xlfn.TEXTJOIN("",TRUE,A1011,"!",ADDRESS(19+(A1012-1)*J1011,2))),"")</f>
        <v/>
      </c>
      <c r="D1021" s="58"/>
      <c r="E1021" s="58"/>
      <c r="F1021" s="58"/>
      <c r="G1021" s="59"/>
      <c r="H1021" s="25" t="str">
        <f ca="1">_xlfn.IFNA(INDIRECT(_xlfn.TEXTJOIN("",TRUE,A1011,"!",ADDRESS(19+(A1012-1)*J1011,6))),"")</f>
        <v/>
      </c>
      <c r="I1021" s="25" t="str">
        <f ca="1">_xlfn.IFNA(INDIRECT(_xlfn.TEXTJOIN("",TRUE,A1011,"!",ADDRESS(19+(A1012-1)*J1011,13))),"")</f>
        <v/>
      </c>
      <c r="J1021" s="25" t="str">
        <f ca="1">_xlfn.IFNA(INDIRECT(_xlfn.TEXTJOIN("",TRUE,A1011,"!",ADDRESS(19+(A1012-1)*J1011,14))),"")</f>
        <v/>
      </c>
    </row>
    <row r="1022" spans="1:10" ht="10.5" customHeight="1" x14ac:dyDescent="0.2">
      <c r="A1022" s="65" t="str">
        <f ca="1">_xlfn.IFNA(INDIRECT(_xlfn.TEXTJOIN("",TRUE,A1011,"!",ADDRESS(20+(A1012-1)*J1011,1))),"")</f>
        <v/>
      </c>
      <c r="B1022" s="65"/>
      <c r="C1022" s="66" t="str">
        <f ca="1">_xlfn.IFNA(INDIRECT(_xlfn.TEXTJOIN("",TRUE,A1011,"!",ADDRESS(20+(A1012-1)*J1011,2))),"")</f>
        <v/>
      </c>
      <c r="D1022" s="66"/>
      <c r="E1022" s="66"/>
      <c r="F1022" s="66"/>
      <c r="G1022" s="66"/>
      <c r="H1022" s="25" t="str">
        <f ca="1">_xlfn.IFNA(INDIRECT(_xlfn.TEXTJOIN("",TRUE,A1011,"!",ADDRESS(20+(A1012-1)*J1011,6))),"")</f>
        <v/>
      </c>
      <c r="I1022" s="25" t="str">
        <f ca="1">_xlfn.IFNA(INDIRECT(_xlfn.TEXTJOIN("",TRUE,A1011,"!",ADDRESS(20+(A1012-1)*J1011,13))),"")</f>
        <v/>
      </c>
      <c r="J1022" s="25" t="str">
        <f ca="1">_xlfn.IFNA(INDIRECT(_xlfn.TEXTJOIN("",TRUE,A1011,"!",ADDRESS(20+(A1012-1)*J1011,14))),"")</f>
        <v/>
      </c>
    </row>
    <row r="1023" spans="1:10" ht="10.5" customHeight="1" x14ac:dyDescent="0.2">
      <c r="A1023" s="71" t="str">
        <f ca="1">IF(ISNA(A1012),"","Total Credits/ Total Grade Points")</f>
        <v/>
      </c>
      <c r="B1023" s="71"/>
      <c r="C1023" s="71"/>
      <c r="D1023" s="71"/>
      <c r="E1023" s="71"/>
      <c r="F1023" s="71"/>
      <c r="G1023" s="71"/>
      <c r="H1023" s="27" t="str">
        <f ca="1">IF(ISNA(A1012),"",SUM(H1015:H1022))</f>
        <v/>
      </c>
      <c r="I1023" s="26" t="str">
        <f ca="1">IF(ISNA(A1012),"","-")</f>
        <v/>
      </c>
      <c r="J1023" s="27" t="str">
        <f ca="1">IF(ISNA(A1012),"",SUMPRODUCT(J1015:J1022,H1015:H1022))</f>
        <v/>
      </c>
    </row>
    <row r="1024" spans="1:10" ht="10.5" customHeight="1" x14ac:dyDescent="0.2">
      <c r="A1024" s="24" t="s">
        <v>133</v>
      </c>
      <c r="B1024" s="72" t="str">
        <f ca="1">IF(ISNA(A1025),"","Semester IV (Spring Semester 2023-24)")</f>
        <v/>
      </c>
      <c r="C1024" s="72"/>
      <c r="D1024" s="72"/>
      <c r="E1024" s="72"/>
      <c r="F1024" s="72"/>
      <c r="G1024" s="72"/>
      <c r="H1024" s="72"/>
      <c r="I1024" s="72"/>
      <c r="J1024" s="24">
        <f>ROWS(A1028:B1034)+9</f>
        <v>16</v>
      </c>
    </row>
    <row r="1025" spans="1:10" ht="10.5" customHeight="1" x14ac:dyDescent="0.2">
      <c r="A1025" s="24" t="e">
        <f ca="1">INDEX(SEM_IV!$A$6:$A$43,Marksheets!J1025)</f>
        <v>#N/A</v>
      </c>
      <c r="B1025" s="63"/>
      <c r="C1025" s="63"/>
      <c r="D1025" s="63"/>
      <c r="E1025" s="63"/>
      <c r="F1025" s="63"/>
      <c r="G1025" s="63"/>
      <c r="H1025" s="63"/>
      <c r="I1025" s="63"/>
      <c r="J1025" s="24" t="e">
        <f ca="1">MATCH(H975,SEM_IV!$B$6:$B$43,0)</f>
        <v>#N/A</v>
      </c>
    </row>
    <row r="1026" spans="1:10" ht="10.5" customHeight="1" x14ac:dyDescent="0.2">
      <c r="A1026" s="64" t="str">
        <f ca="1">IF(ISNA(A1025),"","Subject Code")</f>
        <v/>
      </c>
      <c r="B1026" s="64"/>
      <c r="C1026" s="64" t="str">
        <f ca="1">IF(ISNA(A1025),"","Subject Name")</f>
        <v/>
      </c>
      <c r="D1026" s="64"/>
      <c r="E1026" s="64"/>
      <c r="F1026" s="64"/>
      <c r="G1026" s="64"/>
      <c r="H1026" s="64" t="str">
        <f ca="1">IF(ISNA(A1025),"","Credits")</f>
        <v/>
      </c>
      <c r="I1026" s="64" t="str">
        <f ca="1">IF(ISNA(A1025),"","Grade")</f>
        <v/>
      </c>
      <c r="J1026" s="64" t="str">
        <f ca="1">IF(ISNA(A1025),"","Grade Points")</f>
        <v/>
      </c>
    </row>
    <row r="1027" spans="1:10" ht="13.5" customHeight="1" x14ac:dyDescent="0.2">
      <c r="A1027" s="64"/>
      <c r="B1027" s="64"/>
      <c r="C1027" s="64"/>
      <c r="D1027" s="64"/>
      <c r="E1027" s="64"/>
      <c r="F1027" s="64"/>
      <c r="G1027" s="64"/>
      <c r="H1027" s="64"/>
      <c r="I1027" s="64"/>
      <c r="J1027" s="64"/>
    </row>
    <row r="1028" spans="1:10" ht="10.5" customHeight="1" x14ac:dyDescent="0.2">
      <c r="A1028" s="65" t="str">
        <f ca="1">_xlfn.IFNA(INDIRECT(_xlfn.TEXTJOIN("",TRUE,A1024,"!",ADDRESS(13+(A1025-1)*J1024,1))),"")</f>
        <v/>
      </c>
      <c r="B1028" s="65"/>
      <c r="C1028" s="66" t="str">
        <f ca="1">_xlfn.IFNA(INDIRECT(_xlfn.TEXTJOIN("",TRUE,A1024,"!",ADDRESS(13+(A1025-1)*J1024,2))),"")</f>
        <v/>
      </c>
      <c r="D1028" s="66"/>
      <c r="E1028" s="66"/>
      <c r="F1028" s="66"/>
      <c r="G1028" s="66"/>
      <c r="H1028" s="25" t="str">
        <f ca="1">_xlfn.IFNA(INDIRECT(_xlfn.TEXTJOIN("",TRUE,A1024,"!",ADDRESS(13+(A1025-1)*J1024,6))),"")</f>
        <v/>
      </c>
      <c r="I1028" s="25" t="str">
        <f ca="1">_xlfn.IFNA(INDIRECT(_xlfn.TEXTJOIN("",TRUE,A1024,"!",ADDRESS(13+(A1025-1)*J1024,13))),"")</f>
        <v/>
      </c>
      <c r="J1028" s="25" t="str">
        <f ca="1">_xlfn.IFNA(INDIRECT(_xlfn.TEXTJOIN("",TRUE,A1024,"!",ADDRESS(13+(A1025-1)*J1024,14))),"")</f>
        <v/>
      </c>
    </row>
    <row r="1029" spans="1:10" ht="10.5" customHeight="1" x14ac:dyDescent="0.2">
      <c r="A1029" s="65" t="str">
        <f ca="1">_xlfn.IFNA(INDIRECT(_xlfn.TEXTJOIN("",TRUE,A1024,"!",ADDRESS(14+(A1025-1)*J1024,1))),"")</f>
        <v/>
      </c>
      <c r="B1029" s="65"/>
      <c r="C1029" s="66" t="str">
        <f ca="1">_xlfn.IFNA(INDIRECT(_xlfn.TEXTJOIN("",TRUE,A1024,"!",ADDRESS(14+(A1025-1)*J1024,2))),"")</f>
        <v/>
      </c>
      <c r="D1029" s="66"/>
      <c r="E1029" s="66"/>
      <c r="F1029" s="66"/>
      <c r="G1029" s="66"/>
      <c r="H1029" s="25" t="str">
        <f ca="1">_xlfn.IFNA(INDIRECT(_xlfn.TEXTJOIN("",TRUE,A1024,"!",ADDRESS(14+(A1025-1)*J1024,6))),"")</f>
        <v/>
      </c>
      <c r="I1029" s="25" t="str">
        <f ca="1">_xlfn.IFNA(INDIRECT(_xlfn.TEXTJOIN("",TRUE,A1024,"!",ADDRESS(14+(A1025-1)*J1024,13))),"")</f>
        <v/>
      </c>
      <c r="J1029" s="25" t="str">
        <f ca="1">_xlfn.IFNA(INDIRECT(_xlfn.TEXTJOIN("",TRUE,A1024,"!",ADDRESS(14+(A1025-1)*J1024,14))),"")</f>
        <v/>
      </c>
    </row>
    <row r="1030" spans="1:10" ht="10.5" customHeight="1" x14ac:dyDescent="0.2">
      <c r="A1030" s="65" t="str">
        <f ca="1">_xlfn.IFNA(INDIRECT(_xlfn.TEXTJOIN("",TRUE,A1024,"!",ADDRESS(15+(A1025-1)*J1024,1))),"")</f>
        <v/>
      </c>
      <c r="B1030" s="65"/>
      <c r="C1030" s="66" t="str">
        <f ca="1">_xlfn.IFNA(INDIRECT(_xlfn.TEXTJOIN("",TRUE,A1024,"!",ADDRESS(15+(A1025-1)*J1024,2))),"")</f>
        <v/>
      </c>
      <c r="D1030" s="66"/>
      <c r="E1030" s="66"/>
      <c r="F1030" s="66"/>
      <c r="G1030" s="66"/>
      <c r="H1030" s="25" t="str">
        <f ca="1">_xlfn.IFNA(INDIRECT(_xlfn.TEXTJOIN("",TRUE,A1024,"!",ADDRESS(15+(A1025-1)*J1024,6))),"")</f>
        <v/>
      </c>
      <c r="I1030" s="25" t="str">
        <f ca="1">_xlfn.IFNA(INDIRECT(_xlfn.TEXTJOIN("",TRUE,A1024,"!",ADDRESS(15+(A1025-1)*J1024,13))),"")</f>
        <v/>
      </c>
      <c r="J1030" s="25" t="str">
        <f ca="1">_xlfn.IFNA(INDIRECT(_xlfn.TEXTJOIN("",TRUE,A1024,"!",ADDRESS(15+(A1025-1)*J1024,14))),"")</f>
        <v/>
      </c>
    </row>
    <row r="1031" spans="1:10" ht="10.5" customHeight="1" x14ac:dyDescent="0.2">
      <c r="A1031" s="65" t="str">
        <f ca="1">_xlfn.IFNA(INDIRECT(_xlfn.TEXTJOIN("",TRUE,A1024,"!",ADDRESS(16+(A1025-1)*J1024,1))),"")</f>
        <v/>
      </c>
      <c r="B1031" s="65"/>
      <c r="C1031" s="66" t="str">
        <f ca="1">_xlfn.IFNA(INDIRECT(_xlfn.TEXTJOIN("",TRUE,A1024,"!",ADDRESS(16+(A1025-1)*J1024,2))),"")</f>
        <v/>
      </c>
      <c r="D1031" s="66"/>
      <c r="E1031" s="66"/>
      <c r="F1031" s="66"/>
      <c r="G1031" s="66"/>
      <c r="H1031" s="25" t="str">
        <f ca="1">_xlfn.IFNA(INDIRECT(_xlfn.TEXTJOIN("",TRUE,A1024,"!",ADDRESS(16+(A1025-1)*J1024,6))),"")</f>
        <v/>
      </c>
      <c r="I1031" s="25" t="str">
        <f ca="1">_xlfn.IFNA(INDIRECT(_xlfn.TEXTJOIN("",TRUE,A1024,"!",ADDRESS(16+(A1025-1)*J1024,13))),"")</f>
        <v/>
      </c>
      <c r="J1031" s="25" t="str">
        <f ca="1">_xlfn.IFNA(INDIRECT(_xlfn.TEXTJOIN("",TRUE,A1024,"!",ADDRESS(16+(A1025-1)*J1024,14))),"")</f>
        <v/>
      </c>
    </row>
    <row r="1032" spans="1:10" ht="10.5" customHeight="1" x14ac:dyDescent="0.2">
      <c r="A1032" s="65" t="str">
        <f ca="1">_xlfn.IFNA(INDIRECT(_xlfn.TEXTJOIN("",TRUE,A1024,"!",ADDRESS(17+(A1025-1)*J1024,1))),"")</f>
        <v/>
      </c>
      <c r="B1032" s="65"/>
      <c r="C1032" s="66" t="str">
        <f ca="1">_xlfn.IFNA(INDIRECT(_xlfn.TEXTJOIN("",TRUE,A1024,"!",ADDRESS(17+(A1025-1)*J1024,2))),"")</f>
        <v/>
      </c>
      <c r="D1032" s="66"/>
      <c r="E1032" s="66"/>
      <c r="F1032" s="66"/>
      <c r="G1032" s="66"/>
      <c r="H1032" s="25" t="str">
        <f ca="1">_xlfn.IFNA(INDIRECT(_xlfn.TEXTJOIN("",TRUE,A1024,"!",ADDRESS(17+(A1025-1)*J1024,6))),"")</f>
        <v/>
      </c>
      <c r="I1032" s="25" t="str">
        <f ca="1">_xlfn.IFNA(INDIRECT(_xlfn.TEXTJOIN("",TRUE,A1024,"!",ADDRESS(17+(A1025-1)*J1024,13))),"")</f>
        <v/>
      </c>
      <c r="J1032" s="25" t="str">
        <f ca="1">_xlfn.IFNA(INDIRECT(_xlfn.TEXTJOIN("",TRUE,A1024,"!",ADDRESS(17+(A1025-1)*J1024,14))),"")</f>
        <v/>
      </c>
    </row>
    <row r="1033" spans="1:10" ht="10.5" customHeight="1" x14ac:dyDescent="0.2">
      <c r="A1033" s="65" t="str">
        <f ca="1">_xlfn.IFNA(INDIRECT(_xlfn.TEXTJOIN("",TRUE,A1024,"!",ADDRESS(18+(A1025-1)*J1024,1))),"")</f>
        <v/>
      </c>
      <c r="B1033" s="65"/>
      <c r="C1033" s="66" t="str">
        <f ca="1">_xlfn.IFNA(INDIRECT(_xlfn.TEXTJOIN("",TRUE,A1024,"!",ADDRESS(18+(A1025-1)*J1024,2))),"")</f>
        <v/>
      </c>
      <c r="D1033" s="66"/>
      <c r="E1033" s="66"/>
      <c r="F1033" s="66"/>
      <c r="G1033" s="66"/>
      <c r="H1033" s="25" t="str">
        <f ca="1">_xlfn.IFNA(INDIRECT(_xlfn.TEXTJOIN("",TRUE,A1024,"!",ADDRESS(18+(A1025-1)*J1024,6))),"")</f>
        <v/>
      </c>
      <c r="I1033" s="25" t="str">
        <f ca="1">_xlfn.IFNA(INDIRECT(_xlfn.TEXTJOIN("",TRUE,A1024,"!",ADDRESS(18+(A1025-1)*J1024,13))),"")</f>
        <v/>
      </c>
      <c r="J1033" s="25" t="str">
        <f ca="1">_xlfn.IFNA(INDIRECT(_xlfn.TEXTJOIN("",TRUE,A1024,"!",ADDRESS(18+(A1025-1)*J1024,14))),"")</f>
        <v/>
      </c>
    </row>
    <row r="1034" spans="1:10" ht="10.5" customHeight="1" x14ac:dyDescent="0.2">
      <c r="A1034" s="60" t="str">
        <f ca="1">_xlfn.IFNA(INDIRECT(_xlfn.TEXTJOIN("",TRUE,A1024,"!",ADDRESS(19+(A1025-1)*J1024,1))),"")</f>
        <v/>
      </c>
      <c r="B1034" s="61"/>
      <c r="C1034" s="57" t="str">
        <f ca="1">_xlfn.IFNA(INDIRECT(_xlfn.TEXTJOIN("",TRUE,A1024,"!",ADDRESS(19+(A1025-1)*J1024,2))),"")</f>
        <v/>
      </c>
      <c r="D1034" s="58"/>
      <c r="E1034" s="58"/>
      <c r="F1034" s="58"/>
      <c r="G1034" s="59"/>
      <c r="H1034" s="25" t="str">
        <f ca="1">_xlfn.IFNA(INDIRECT(_xlfn.TEXTJOIN("",TRUE,A1024,"!",ADDRESS(19+(A1025-1)*J1024,6))),"")</f>
        <v/>
      </c>
      <c r="I1034" s="25" t="str">
        <f ca="1">_xlfn.IFNA(INDIRECT(_xlfn.TEXTJOIN("",TRUE,A1024,"!",ADDRESS(19+(A1025-1)*J1024,13))),"")</f>
        <v/>
      </c>
      <c r="J1034" s="25" t="str">
        <f ca="1">_xlfn.IFNA(INDIRECT(_xlfn.TEXTJOIN("",TRUE,A1024,"!",ADDRESS(19+(A1025-1)*J1024,14))),"")</f>
        <v/>
      </c>
    </row>
    <row r="1035" spans="1:10" ht="10.5" customHeight="1" x14ac:dyDescent="0.2">
      <c r="A1035" s="71" t="str">
        <f ca="1">IF(ISNA(A1025),"","Total Credits/ Total Grade Points")</f>
        <v/>
      </c>
      <c r="B1035" s="71"/>
      <c r="C1035" s="71"/>
      <c r="D1035" s="71"/>
      <c r="E1035" s="71"/>
      <c r="F1035" s="71"/>
      <c r="G1035" s="71"/>
      <c r="H1035" s="27" t="str">
        <f ca="1">IF(ISNA(A1025),"",SUM(H1027:H1034))</f>
        <v/>
      </c>
      <c r="I1035" s="26" t="str">
        <f ca="1">IF(ISNA(A1025),"","-")</f>
        <v/>
      </c>
      <c r="J1035" s="27" t="str">
        <f ca="1">IF(ISNA(A1025),"",SUMPRODUCT(J1027:J1034,H1027:H1034))</f>
        <v/>
      </c>
    </row>
    <row r="1036" spans="1:10" ht="10.5" customHeight="1" x14ac:dyDescent="0.2">
      <c r="A1036" s="75" t="s">
        <v>137</v>
      </c>
      <c r="B1036" s="75"/>
      <c r="C1036" s="75"/>
      <c r="D1036" s="75"/>
      <c r="E1036" s="75"/>
      <c r="F1036" s="76" t="s">
        <v>138</v>
      </c>
      <c r="G1036" s="76"/>
      <c r="H1036" s="76"/>
      <c r="I1036" s="76"/>
      <c r="J1036" s="76"/>
    </row>
    <row r="1037" spans="1:10" ht="10.5" customHeight="1" x14ac:dyDescent="0.2">
      <c r="A1037" s="43" t="s">
        <v>139</v>
      </c>
      <c r="B1037" s="43"/>
      <c r="C1037" s="43"/>
      <c r="D1037" s="43"/>
      <c r="E1037" s="43"/>
      <c r="F1037" s="43"/>
      <c r="G1037" s="43"/>
      <c r="H1037" s="43"/>
      <c r="I1037" s="43"/>
      <c r="J1037" s="43"/>
    </row>
    <row r="1038" spans="1:10" ht="10.5" customHeight="1" x14ac:dyDescent="0.2">
      <c r="A1038" s="10"/>
      <c r="B1038" s="26"/>
      <c r="C1038" s="26" t="s">
        <v>140</v>
      </c>
      <c r="D1038" s="26" t="s">
        <v>141</v>
      </c>
      <c r="E1038" s="26" t="s">
        <v>142</v>
      </c>
      <c r="F1038" s="26" t="s">
        <v>143</v>
      </c>
      <c r="G1038" s="26" t="s">
        <v>144</v>
      </c>
      <c r="H1038" s="79" t="s">
        <v>145</v>
      </c>
      <c r="I1038" s="79"/>
      <c r="J1038" s="30"/>
    </row>
    <row r="1039" spans="1:10" ht="10.5" customHeight="1" x14ac:dyDescent="0.2">
      <c r="A1039" s="10"/>
      <c r="B1039" s="80" t="s">
        <v>146</v>
      </c>
      <c r="C1039" s="73">
        <f ca="1">J995/H995</f>
        <v>5.770833333333333</v>
      </c>
      <c r="D1039" s="73" t="e">
        <f ca="1">J1010/H1010</f>
        <v>#VALUE!</v>
      </c>
      <c r="E1039" s="73" t="str">
        <f ca="1">IFERROR(J1023/H1023,"")</f>
        <v/>
      </c>
      <c r="F1039" s="73" t="str">
        <f ca="1">IFERROR(J1035/H1035,"")</f>
        <v/>
      </c>
      <c r="G1039" s="82">
        <f ca="1">F1041</f>
        <v>5.770833333333333</v>
      </c>
      <c r="H1039" s="83" t="e">
        <f ca="1">IF(TC_IV!N229&lt;96,_xlfn.TEXTJOIN(" ",TRUE,"CARRY OVER",TC_I!V349,TC_II!V289,TC_III!V242,TC_IV!V228),IF(G1039&gt;=8,"First Division with Distinction",IF(G1039&gt;=6.5,"First Division",IF(G1039&gt;=5,"Second Division",IF(G1039&gt;=4,"Third Division","Fail")))))</f>
        <v>#N/A</v>
      </c>
      <c r="I1039" s="83"/>
      <c r="J1039" s="30"/>
    </row>
    <row r="1040" spans="1:10" ht="10.5" customHeight="1" x14ac:dyDescent="0.2">
      <c r="B1040" s="81"/>
      <c r="C1040" s="74"/>
      <c r="D1040" s="74"/>
      <c r="E1040" s="74"/>
      <c r="F1040" s="74"/>
      <c r="G1040" s="82"/>
      <c r="H1040" s="83"/>
      <c r="I1040" s="83"/>
    </row>
    <row r="1041" spans="1:10" ht="10.5" customHeight="1" x14ac:dyDescent="0.2">
      <c r="B1041" s="80" t="s">
        <v>48</v>
      </c>
      <c r="C1041" s="73">
        <f ca="1">J995/H995</f>
        <v>5.770833333333333</v>
      </c>
      <c r="D1041" s="73">
        <f ca="1">SUM(J1010,J995)/SUM(H1010,H995)</f>
        <v>5.770833333333333</v>
      </c>
      <c r="E1041" s="73">
        <f ca="1">SUM(J1023,J1010,J995)/SUM(H1023,H1010,H995)</f>
        <v>5.770833333333333</v>
      </c>
      <c r="F1041" s="73">
        <f ca="1">SUM(J1035,J1023,J1010,J995)/SUM(H995,H1010,H1023,H1035)</f>
        <v>5.770833333333333</v>
      </c>
      <c r="G1041" s="82"/>
      <c r="H1041" s="83"/>
      <c r="I1041" s="83"/>
    </row>
    <row r="1042" spans="1:10" ht="10.5" customHeight="1" x14ac:dyDescent="0.2">
      <c r="B1042" s="81"/>
      <c r="C1042" s="74"/>
      <c r="D1042" s="74"/>
      <c r="E1042" s="74"/>
      <c r="F1042" s="74"/>
      <c r="G1042" s="82"/>
      <c r="H1042" s="83"/>
      <c r="I1042" s="83"/>
    </row>
    <row r="1044" spans="1:10" ht="10.5" customHeight="1" x14ac:dyDescent="0.2">
      <c r="A1044" s="56" t="s">
        <v>24</v>
      </c>
      <c r="B1044" s="56"/>
      <c r="C1044" s="56" t="str">
        <f ca="1">INDIRECT(_xlfn.TEXTJOIN("",TRUE,A1046,"!",ADDRESS(9+(A1047-1)*J1046,2)))</f>
        <v>ROHIT SINGH</v>
      </c>
      <c r="D1044" s="56"/>
      <c r="E1044" s="56"/>
      <c r="F1044" s="56" t="s">
        <v>135</v>
      </c>
      <c r="G1044" s="56"/>
      <c r="H1044" s="62">
        <f ca="1">INDIRECT(_xlfn.TEXTJOIN("",TRUE,A1046,"!",ADDRESS(9+(A1047-1)*J1046,9)))</f>
        <v>250090600016</v>
      </c>
      <c r="I1044" s="56"/>
      <c r="J1044" s="56"/>
    </row>
    <row r="1045" spans="1:10" ht="10.5" customHeight="1" x14ac:dyDescent="0.2">
      <c r="A1045" s="56" t="s">
        <v>25</v>
      </c>
      <c r="B1045" s="56"/>
      <c r="C1045" s="56" t="str">
        <f ca="1">INDIRECT(_xlfn.TEXTJOIN("",TRUE,A1046,"!",ADDRESS(9+(A1047-1)*J1046,5)))</f>
        <v>MAHESH CHANDRA SINGH</v>
      </c>
      <c r="D1045" s="56"/>
      <c r="E1045" s="56"/>
      <c r="F1045" s="47" t="s">
        <v>136</v>
      </c>
      <c r="G1045" s="47"/>
      <c r="H1045" s="62" t="str">
        <f ca="1">INDIRECT(_xlfn.TEXTJOIN("",TRUE,A1046,"!",ADDRESS(9+(A1047-1)*J1046,13)))</f>
        <v>PUTU/2506100124</v>
      </c>
      <c r="I1045" s="56"/>
      <c r="J1045" s="56"/>
    </row>
    <row r="1046" spans="1:10" ht="10.5" customHeight="1" x14ac:dyDescent="0.2">
      <c r="A1046" s="24" t="s">
        <v>53</v>
      </c>
      <c r="B1046" s="43" t="s">
        <v>148</v>
      </c>
      <c r="C1046" s="43"/>
      <c r="D1046" s="43"/>
      <c r="E1046" s="43"/>
      <c r="F1046" s="43"/>
      <c r="G1046" s="43"/>
      <c r="H1046" s="43"/>
      <c r="I1046" s="43"/>
      <c r="J1046" s="24">
        <f>ROWS(A1050:B1063)+9</f>
        <v>23</v>
      </c>
    </row>
    <row r="1047" spans="1:10" ht="10.5" customHeight="1" x14ac:dyDescent="0.2">
      <c r="A1047" s="24">
        <f>A978+1</f>
        <v>16</v>
      </c>
      <c r="B1047" s="63"/>
      <c r="C1047" s="63"/>
      <c r="D1047" s="63"/>
      <c r="E1047" s="63"/>
      <c r="F1047" s="63"/>
      <c r="G1047" s="63"/>
      <c r="H1047" s="63"/>
      <c r="I1047" s="63"/>
      <c r="J1047" s="29"/>
    </row>
    <row r="1048" spans="1:10" ht="10.5" customHeight="1" x14ac:dyDescent="0.2">
      <c r="A1048" s="64" t="s">
        <v>28</v>
      </c>
      <c r="B1048" s="64"/>
      <c r="C1048" s="64" t="s">
        <v>29</v>
      </c>
      <c r="D1048" s="64"/>
      <c r="E1048" s="64"/>
      <c r="F1048" s="64"/>
      <c r="G1048" s="64"/>
      <c r="H1048" s="64" t="s">
        <v>30</v>
      </c>
      <c r="I1048" s="64" t="s">
        <v>9</v>
      </c>
      <c r="J1048" s="64" t="s">
        <v>34</v>
      </c>
    </row>
    <row r="1049" spans="1:10" ht="13.5" customHeight="1" x14ac:dyDescent="0.2">
      <c r="A1049" s="64"/>
      <c r="B1049" s="64"/>
      <c r="C1049" s="64"/>
      <c r="D1049" s="64"/>
      <c r="E1049" s="64"/>
      <c r="F1049" s="64"/>
      <c r="G1049" s="64"/>
      <c r="H1049" s="64"/>
      <c r="I1049" s="64"/>
      <c r="J1049" s="64"/>
    </row>
    <row r="1050" spans="1:10" ht="10.5" customHeight="1" x14ac:dyDescent="0.2">
      <c r="A1050" s="65" t="str">
        <f ca="1">INDIRECT(_xlfn.TEXTJOIN("",TRUE,A1046,"!",ADDRESS(13+(A1047-1)*J1046,1)))</f>
        <v>CAT 004</v>
      </c>
      <c r="B1050" s="65"/>
      <c r="C1050" s="66" t="str">
        <f ca="1">INDIRECT(_xlfn.TEXTJOIN("",TRUE,A1046,"!",ADDRESS(13+(A1047-1)*J1046,2)))</f>
        <v>Discrete Structure</v>
      </c>
      <c r="D1050" s="66"/>
      <c r="E1050" s="66"/>
      <c r="F1050" s="66"/>
      <c r="G1050" s="66"/>
      <c r="H1050" s="25">
        <f ca="1">INDIRECT(_xlfn.TEXTJOIN("",TRUE,A1046,"!",ADDRESS(13+(A1047-1)*J1046,6)))</f>
        <v>4</v>
      </c>
      <c r="I1050" s="25" t="str">
        <f ca="1">INDIRECT(_xlfn.TEXTJOIN("",TRUE,A1046,"!",ADDRESS(13+(A1047-1)*J1046,13)))</f>
        <v>B+</v>
      </c>
      <c r="J1050" s="25">
        <f ca="1">INDIRECT(_xlfn.TEXTJOIN("",TRUE,A1046,"!",ADDRESS(13+(A1047-1)*J1046,14)))</f>
        <v>8.5</v>
      </c>
    </row>
    <row r="1051" spans="1:10" ht="10.5" customHeight="1" x14ac:dyDescent="0.2">
      <c r="A1051" s="65" t="str">
        <f ca="1">INDIRECT(_xlfn.TEXTJOIN("",TRUE,A1046,"!",ADDRESS(14+(A1047-1)*J1046,1)))</f>
        <v>CAT 005</v>
      </c>
      <c r="B1051" s="65"/>
      <c r="C1051" s="66" t="str">
        <f ca="1">INDIRECT(_xlfn.TEXTJOIN("",TRUE,A1046,"!",ADDRESS(14+(A1047-1)*J1046,2)))</f>
        <v>Database Management System</v>
      </c>
      <c r="D1051" s="66"/>
      <c r="E1051" s="66"/>
      <c r="F1051" s="66"/>
      <c r="G1051" s="66"/>
      <c r="H1051" s="25">
        <f ca="1">INDIRECT(_xlfn.TEXTJOIN("",TRUE,A1046,"!",ADDRESS(14+(A1047-1)*J1046,6)))</f>
        <v>4</v>
      </c>
      <c r="I1051" s="25" t="str">
        <f ca="1">INDIRECT(_xlfn.TEXTJOIN("",TRUE,A1046,"!",ADDRESS(14+(A1047-1)*J1046,13)))</f>
        <v>D+</v>
      </c>
      <c r="J1051" s="25">
        <f ca="1">INDIRECT(_xlfn.TEXTJOIN("",TRUE,A1046,"!",ADDRESS(14+(A1047-1)*J1046,14)))</f>
        <v>6.5</v>
      </c>
    </row>
    <row r="1052" spans="1:10" ht="10.5" customHeight="1" x14ac:dyDescent="0.2">
      <c r="A1052" s="65" t="str">
        <f ca="1">INDIRECT(_xlfn.TEXTJOIN("",TRUE,A1046,"!",ADDRESS(15+(A1047-1)*J1046,1)))</f>
        <v>CAT 006</v>
      </c>
      <c r="B1052" s="65"/>
      <c r="C1052" s="66" t="str">
        <f ca="1">INDIRECT(_xlfn.TEXTJOIN("",TRUE,A1046,"!",ADDRESS(15+(A1047-1)*J1046,2)))</f>
        <v>Operating System</v>
      </c>
      <c r="D1052" s="66"/>
      <c r="E1052" s="66"/>
      <c r="F1052" s="66"/>
      <c r="G1052" s="66"/>
      <c r="H1052" s="25">
        <f ca="1">INDIRECT(_xlfn.TEXTJOIN("",TRUE,A1046,"!",ADDRESS(15+(A1047-1)*J1046,6)))</f>
        <v>4</v>
      </c>
      <c r="I1052" s="25" t="str">
        <f ca="1">INDIRECT(_xlfn.TEXTJOIN("",TRUE,A1046,"!",ADDRESS(15+(A1047-1)*J1046,13)))</f>
        <v>B+</v>
      </c>
      <c r="J1052" s="25">
        <f ca="1">INDIRECT(_xlfn.TEXTJOIN("",TRUE,A1046,"!",ADDRESS(15+(A1047-1)*J1046,14)))</f>
        <v>8.5</v>
      </c>
    </row>
    <row r="1053" spans="1:10" ht="10.5" customHeight="1" x14ac:dyDescent="0.2">
      <c r="A1053" s="65" t="str">
        <f ca="1">INDIRECT(_xlfn.TEXTJOIN("",TRUE,A1046,"!",ADDRESS(16+(A1047-1)*J1046,1)))</f>
        <v>CAT 007</v>
      </c>
      <c r="B1053" s="65"/>
      <c r="C1053" s="66" t="str">
        <f ca="1">INDIRECT(_xlfn.TEXTJOIN("",TRUE,A1046,"!",ADDRESS(16+(A1047-1)*J1046,2)))</f>
        <v>Computer Organization</v>
      </c>
      <c r="D1053" s="66"/>
      <c r="E1053" s="66"/>
      <c r="F1053" s="66"/>
      <c r="G1053" s="66"/>
      <c r="H1053" s="25">
        <f ca="1">INDIRECT(_xlfn.TEXTJOIN("",TRUE,A1046,"!",ADDRESS(16+(A1047-1)*J1046,6)))</f>
        <v>4</v>
      </c>
      <c r="I1053" s="25" t="str">
        <f ca="1">INDIRECT(_xlfn.TEXTJOIN("",TRUE,A1046,"!",ADDRESS(16+(A1047-1)*J1046,13)))</f>
        <v>B+</v>
      </c>
      <c r="J1053" s="25">
        <f ca="1">INDIRECT(_xlfn.TEXTJOIN("",TRUE,A1046,"!",ADDRESS(16+(A1047-1)*J1046,14)))</f>
        <v>8.5</v>
      </c>
    </row>
    <row r="1054" spans="1:10" ht="10.5" customHeight="1" x14ac:dyDescent="0.2">
      <c r="A1054" s="65" t="str">
        <f ca="1">INDIRECT(_xlfn.TEXTJOIN("",TRUE,A1046,"!",ADDRESS(17+(A1047-1)*J1046,1)))</f>
        <v>AHT 303</v>
      </c>
      <c r="B1054" s="65"/>
      <c r="C1054" s="66" t="str">
        <f ca="1">INDIRECT(_xlfn.TEXTJOIN("",TRUE,A1046,"!",ADDRESS(17+(A1047-1)*J1046,2)))</f>
        <v>Technical Communication Skills</v>
      </c>
      <c r="D1054" s="66"/>
      <c r="E1054" s="66"/>
      <c r="F1054" s="66"/>
      <c r="G1054" s="66"/>
      <c r="H1054" s="25">
        <f ca="1">INDIRECT(_xlfn.TEXTJOIN("",TRUE,A1046,"!",ADDRESS(17+(A1047-1)*J1046,6)))</f>
        <v>4</v>
      </c>
      <c r="I1054" s="25" t="str">
        <f ca="1">INDIRECT(_xlfn.TEXTJOIN("",TRUE,A1046,"!",ADDRESS(17+(A1047-1)*J1046,13)))</f>
        <v>A</v>
      </c>
      <c r="J1054" s="25">
        <f ca="1">INDIRECT(_xlfn.TEXTJOIN("",TRUE,A1046,"!",ADDRESS(17+(A1047-1)*J1046,14)))</f>
        <v>9</v>
      </c>
    </row>
    <row r="1055" spans="1:10" ht="10.5" customHeight="1" x14ac:dyDescent="0.2">
      <c r="A1055" s="65" t="str">
        <f ca="1">INDIRECT(_xlfn.TEXTJOIN("",TRUE,A1046,"!",ADDRESS(18+(A1047-1)*J1046,1)))</f>
        <v>CAT 008</v>
      </c>
      <c r="B1055" s="65"/>
      <c r="C1055" s="66" t="str">
        <f ca="1">INDIRECT(_xlfn.TEXTJOIN("",TRUE,A1046,"!",ADDRESS(18+(A1047-1)*J1046,2)))</f>
        <v>Python Programming ($)</v>
      </c>
      <c r="D1055" s="66"/>
      <c r="E1055" s="66"/>
      <c r="F1055" s="66"/>
      <c r="G1055" s="66"/>
      <c r="H1055" s="25">
        <f ca="1">INDIRECT(_xlfn.TEXTJOIN("",TRUE,A1046,"!",ADDRESS(18+(A1047-1)*J1046,6)))</f>
        <v>0</v>
      </c>
      <c r="I1055" s="25" t="str">
        <f ca="1">INDIRECT(_xlfn.TEXTJOIN("",TRUE,A1046,"!",ADDRESS(18+(A1047-1)*J1046,13)))</f>
        <v>D+</v>
      </c>
      <c r="J1055" s="25">
        <f ca="1">INDIRECT(_xlfn.TEXTJOIN("",TRUE,A1046,"!",ADDRESS(18+(A1047-1)*J1046,14)))</f>
        <v>6.5</v>
      </c>
    </row>
    <row r="1056" spans="1:10" ht="10.5" customHeight="1" x14ac:dyDescent="0.2">
      <c r="A1056" s="60" t="str">
        <f ca="1">INDIRECT(_xlfn.TEXTJOIN("",TRUE,A1046,"!",ADDRESS(19+(A1047-1)*J1046,1)))</f>
        <v>CAT 001</v>
      </c>
      <c r="B1056" s="61"/>
      <c r="C1056" s="57" t="str">
        <f ca="1">INDIRECT(_xlfn.TEXTJOIN("",TRUE,A1046,"!",ADDRESS(19+(A1047-1)*J1046,2)))</f>
        <v>Introduction of Information Technology ($)</v>
      </c>
      <c r="D1056" s="58"/>
      <c r="E1056" s="58"/>
      <c r="F1056" s="58"/>
      <c r="G1056" s="59"/>
      <c r="H1056" s="25">
        <f ca="1">INDIRECT(_xlfn.TEXTJOIN("",TRUE,A1046,"!",ADDRESS(19+(A1047-1)*J1046,6)))</f>
        <v>0</v>
      </c>
      <c r="I1056" s="25" t="str">
        <f ca="1">INDIRECT(_xlfn.TEXTJOIN("",TRUE,A1046,"!",ADDRESS(19+(A1047-1)*J1046,13)))</f>
        <v>-</v>
      </c>
      <c r="J1056" s="25" t="str">
        <f ca="1">INDIRECT(_xlfn.TEXTJOIN("",TRUE,A1046,"!",ADDRESS(19+(A1047-1)*J1046,14)))</f>
        <v>-</v>
      </c>
    </row>
    <row r="1057" spans="1:10" ht="10.5" customHeight="1" x14ac:dyDescent="0.2">
      <c r="A1057" s="65" t="str">
        <f ca="1">INDIRECT(_xlfn.TEXTJOIN("",TRUE,A1046,"!",ADDRESS(20+(A1047-1)*J1046,1)))</f>
        <v>CAT 002</v>
      </c>
      <c r="B1057" s="65"/>
      <c r="C1057" s="66" t="str">
        <f ca="1">INDIRECT(_xlfn.TEXTJOIN("",TRUE,A1046,"!",ADDRESS(20+(A1047-1)*J1046,2)))</f>
        <v>Programming Fundamentals with "C" ($)</v>
      </c>
      <c r="D1057" s="66"/>
      <c r="E1057" s="66"/>
      <c r="F1057" s="66"/>
      <c r="G1057" s="66"/>
      <c r="H1057" s="25">
        <f ca="1">INDIRECT(_xlfn.TEXTJOIN("",TRUE,A1046,"!",ADDRESS(20+(A1047-1)*J1046,6)))</f>
        <v>0</v>
      </c>
      <c r="I1057" s="25" t="str">
        <f ca="1">INDIRECT(_xlfn.TEXTJOIN("",TRUE,A1046,"!",ADDRESS(20+(A1047-1)*J1046,13)))</f>
        <v>-</v>
      </c>
      <c r="J1057" s="25" t="str">
        <f ca="1">INDIRECT(_xlfn.TEXTJOIN("",TRUE,A1046,"!",ADDRESS(20+(A1047-1)*J1046,14)))</f>
        <v>-</v>
      </c>
    </row>
    <row r="1058" spans="1:10" ht="10.5" customHeight="1" x14ac:dyDescent="0.2">
      <c r="A1058" s="65" t="str">
        <f ca="1">INDIRECT(_xlfn.TEXTJOIN("",TRUE,A1046,"!",ADDRESS(21+(A1047-1)*J1046,1)))</f>
        <v>CAT 003</v>
      </c>
      <c r="B1058" s="65"/>
      <c r="C1058" s="66" t="str">
        <f ca="1">INDIRECT(_xlfn.TEXTJOIN("",TRUE,A1046,"!",ADDRESS(21+(A1047-1)*J1046,2)))</f>
        <v>Fundamental of Web Technology ($)</v>
      </c>
      <c r="D1058" s="66"/>
      <c r="E1058" s="66"/>
      <c r="F1058" s="66"/>
      <c r="G1058" s="66"/>
      <c r="H1058" s="25">
        <f ca="1">INDIRECT(_xlfn.TEXTJOIN("",TRUE,A1046,"!",ADDRESS(21+(A1047-1)*J1046,6)))</f>
        <v>0</v>
      </c>
      <c r="I1058" s="25" t="str">
        <f ca="1">INDIRECT(_xlfn.TEXTJOIN("",TRUE,A1046,"!",ADDRESS(21+(A1047-1)*J1046,13)))</f>
        <v>-</v>
      </c>
      <c r="J1058" s="25" t="str">
        <f ca="1">INDIRECT(_xlfn.TEXTJOIN("",TRUE,A1046,"!",ADDRESS(21+(A1047-1)*J1046,14)))</f>
        <v>-</v>
      </c>
    </row>
    <row r="1059" spans="1:10" ht="10.5" customHeight="1" x14ac:dyDescent="0.2">
      <c r="A1059" s="65" t="str">
        <f ca="1">INDIRECT(_xlfn.TEXTJOIN("",TRUE,A1046,"!",ADDRESS(22+(A1047-1)*J1046,1)))</f>
        <v>CAP 001</v>
      </c>
      <c r="B1059" s="65"/>
      <c r="C1059" s="66" t="str">
        <f ca="1">INDIRECT(_xlfn.TEXTJOIN("",TRUE,A1046,"!",ADDRESS(22+(A1047-1)*J1046,2)))</f>
        <v>Database Management System Lab</v>
      </c>
      <c r="D1059" s="66"/>
      <c r="E1059" s="66"/>
      <c r="F1059" s="66"/>
      <c r="G1059" s="66"/>
      <c r="H1059" s="25">
        <f ca="1">INDIRECT(_xlfn.TEXTJOIN("",TRUE,A1046,"!",ADDRESS(22+(A1047-1)*J1046,6)))</f>
        <v>1</v>
      </c>
      <c r="I1059" s="25" t="str">
        <f ca="1">INDIRECT(_xlfn.TEXTJOIN("",TRUE,A1046,"!",ADDRESS(22+(A1047-1)*J1046,13)))</f>
        <v>B+</v>
      </c>
      <c r="J1059" s="25">
        <f ca="1">INDIRECT(_xlfn.TEXTJOIN("",TRUE,A1046,"!",ADDRESS(22+(A1047-1)*J1046,14)))</f>
        <v>8.5</v>
      </c>
    </row>
    <row r="1060" spans="1:10" ht="10.5" customHeight="1" x14ac:dyDescent="0.2">
      <c r="A1060" s="65" t="str">
        <f ca="1">INDIRECT(_xlfn.TEXTJOIN("",TRUE,A1046,"!",ADDRESS(23+(A1047-1)*J1046,1)))</f>
        <v>CAP 002</v>
      </c>
      <c r="B1060" s="65"/>
      <c r="C1060" s="66" t="str">
        <f ca="1">INDIRECT(_xlfn.TEXTJOIN("",TRUE,A1046,"!",ADDRESS(23+(A1047-1)*J1046,2)))</f>
        <v>Operating System Lab</v>
      </c>
      <c r="D1060" s="66"/>
      <c r="E1060" s="66"/>
      <c r="F1060" s="66"/>
      <c r="G1060" s="66"/>
      <c r="H1060" s="25">
        <f ca="1">INDIRECT(_xlfn.TEXTJOIN("",TRUE,A1046,"!",ADDRESS(23+(A1047-1)*J1046,6)))</f>
        <v>1</v>
      </c>
      <c r="I1060" s="25" t="str">
        <f ca="1">INDIRECT(_xlfn.TEXTJOIN("",TRUE,A1046,"!",ADDRESS(23+(A1047-1)*J1046,13)))</f>
        <v>A+</v>
      </c>
      <c r="J1060" s="25">
        <f ca="1">INDIRECT(_xlfn.TEXTJOIN("",TRUE,A1046,"!",ADDRESS(23+(A1047-1)*J1046,14)))</f>
        <v>9.5</v>
      </c>
    </row>
    <row r="1061" spans="1:10" ht="10.5" customHeight="1" x14ac:dyDescent="0.2">
      <c r="A1061" s="65" t="str">
        <f ca="1">INDIRECT(_xlfn.TEXTJOIN("",TRUE,A1046,"!",ADDRESS(24+(A1047-1)*J1046,1)))</f>
        <v>CAP 003</v>
      </c>
      <c r="B1061" s="65"/>
      <c r="C1061" s="66" t="str">
        <f ca="1">INDIRECT(_xlfn.TEXTJOIN("",TRUE,A1046,"!",ADDRESS(24+(A1047-1)*J1046,2)))</f>
        <v>Computer Organization Lab</v>
      </c>
      <c r="D1061" s="66"/>
      <c r="E1061" s="66"/>
      <c r="F1061" s="66"/>
      <c r="G1061" s="66"/>
      <c r="H1061" s="25">
        <f ca="1">INDIRECT(_xlfn.TEXTJOIN("",TRUE,A1046,"!",ADDRESS(24+(A1047-1)*J1046,6)))</f>
        <v>1</v>
      </c>
      <c r="I1061" s="25" t="str">
        <f ca="1">INDIRECT(_xlfn.TEXTJOIN("",TRUE,A1046,"!",ADDRESS(24+(A1047-1)*J1046,13)))</f>
        <v>A+</v>
      </c>
      <c r="J1061" s="25">
        <f ca="1">INDIRECT(_xlfn.TEXTJOIN("",TRUE,A1046,"!",ADDRESS(24+(A1047-1)*J1046,14)))</f>
        <v>9.5</v>
      </c>
    </row>
    <row r="1062" spans="1:10" ht="10.5" customHeight="1" x14ac:dyDescent="0.2">
      <c r="A1062" s="65" t="str">
        <f ca="1">INDIRECT(_xlfn.TEXTJOIN("",TRUE,A1046,"!",ADDRESS(25+(A1047-1)*J1046,1)))</f>
        <v>AHP 303</v>
      </c>
      <c r="B1062" s="65"/>
      <c r="C1062" s="66" t="str">
        <f ca="1">INDIRECT(_xlfn.TEXTJOIN("",TRUE,A1046,"!",ADDRESS(25+(A1047-1)*J1046,2)))</f>
        <v>Technical Communication Skills</v>
      </c>
      <c r="D1062" s="66"/>
      <c r="E1062" s="66"/>
      <c r="F1062" s="66"/>
      <c r="G1062" s="66"/>
      <c r="H1062" s="25">
        <f ca="1">INDIRECT(_xlfn.TEXTJOIN("",TRUE,A1046,"!",ADDRESS(25+(A1047-1)*J1046,6)))</f>
        <v>1</v>
      </c>
      <c r="I1062" s="25" t="str">
        <f ca="1">INDIRECT(_xlfn.TEXTJOIN("",TRUE,A1046,"!",ADDRESS(25+(A1047-1)*J1046,13)))</f>
        <v>O</v>
      </c>
      <c r="J1062" s="25">
        <f ca="1">INDIRECT(_xlfn.TEXTJOIN("",TRUE,A1046,"!",ADDRESS(25+(A1047-1)*J1046,14)))</f>
        <v>10</v>
      </c>
    </row>
    <row r="1063" spans="1:10" s="35" customFormat="1" ht="10.5" customHeight="1" x14ac:dyDescent="0.2">
      <c r="A1063" s="77">
        <f ca="1">INDIRECT(_xlfn.TEXTJOIN("",TRUE,A1046,"!",ADDRESS(26+(A1047-1)*J1046,1)))</f>
        <v>0</v>
      </c>
      <c r="B1063" s="77"/>
      <c r="C1063" s="78">
        <f ca="1">INDIRECT(_xlfn.TEXTJOIN("",TRUE,A1046,"!",ADDRESS(26+(A1047-1)*J1046,2)))</f>
        <v>0</v>
      </c>
      <c r="D1063" s="78"/>
      <c r="E1063" s="78"/>
      <c r="F1063" s="78"/>
      <c r="G1063" s="78"/>
      <c r="H1063" s="34">
        <f ca="1">INDIRECT(_xlfn.TEXTJOIN("",TRUE,A1046,"!",ADDRESS(26+(A1047-1)*J1046,6)))</f>
        <v>0</v>
      </c>
      <c r="I1063" s="34" t="str">
        <f ca="1">INDIRECT(_xlfn.TEXTJOIN("",TRUE,A1046,"!",ADDRESS(26+(A1047-1)*J1046,13)))</f>
        <v>Excellent</v>
      </c>
      <c r="J1063" s="34">
        <f ca="1">INDIRECT(_xlfn.TEXTJOIN("",TRUE,A1046,"!",ADDRESS(26+(A1047-1)*J1046,14)))</f>
        <v>0</v>
      </c>
    </row>
    <row r="1064" spans="1:10" ht="10.5" customHeight="1" x14ac:dyDescent="0.2">
      <c r="A1064" s="71" t="s">
        <v>52</v>
      </c>
      <c r="B1064" s="71"/>
      <c r="C1064" s="71"/>
      <c r="D1064" s="71"/>
      <c r="E1064" s="71"/>
      <c r="F1064" s="71"/>
      <c r="G1064" s="71"/>
      <c r="H1064" s="27">
        <f ca="1">SUM(H1050:H1063)</f>
        <v>24</v>
      </c>
      <c r="I1064" s="26" t="s">
        <v>44</v>
      </c>
      <c r="J1064" s="27">
        <f ca="1">SUMPRODUCT(J1050:J1062,H1050:H1062)</f>
        <v>201.5</v>
      </c>
    </row>
    <row r="1065" spans="1:10" ht="10.5" customHeight="1" x14ac:dyDescent="0.2">
      <c r="A1065" s="24" t="s">
        <v>57</v>
      </c>
      <c r="B1065" s="72" t="str">
        <f ca="1">IF(ISNA(A1066),"","Semester II (Spring Semester 2022-23)")</f>
        <v/>
      </c>
      <c r="C1065" s="72"/>
      <c r="D1065" s="72"/>
      <c r="E1065" s="72"/>
      <c r="F1065" s="72"/>
      <c r="G1065" s="72"/>
      <c r="H1065" s="72"/>
      <c r="I1065" s="72"/>
      <c r="J1065" s="24">
        <f>ROWS(A1069:B1078)+9</f>
        <v>19</v>
      </c>
    </row>
    <row r="1066" spans="1:10" ht="10.5" customHeight="1" x14ac:dyDescent="0.2">
      <c r="A1066" s="24" t="e">
        <f ca="1">INDEX(SEM_II!$A$6:$A$45,Marksheets!J1066)</f>
        <v>#N/A</v>
      </c>
      <c r="B1066" s="63"/>
      <c r="C1066" s="63"/>
      <c r="D1066" s="63"/>
      <c r="E1066" s="63"/>
      <c r="F1066" s="63"/>
      <c r="G1066" s="63"/>
      <c r="H1066" s="63"/>
      <c r="I1066" s="63"/>
      <c r="J1066" s="24" t="e">
        <f ca="1">MATCH(H1044,SEM_II!$B$6:$B$45,0)</f>
        <v>#N/A</v>
      </c>
    </row>
    <row r="1067" spans="1:10" ht="10.5" customHeight="1" x14ac:dyDescent="0.2">
      <c r="A1067" s="64" t="str">
        <f ca="1">IF(ISNA(A1066),"","Subject Code")</f>
        <v/>
      </c>
      <c r="B1067" s="64"/>
      <c r="C1067" s="64" t="str">
        <f ca="1">IF(ISNA(A1066),"","Subject Name")</f>
        <v/>
      </c>
      <c r="D1067" s="64"/>
      <c r="E1067" s="64"/>
      <c r="F1067" s="64"/>
      <c r="G1067" s="64"/>
      <c r="H1067" s="64" t="str">
        <f ca="1">IF(ISNA(A1066),"","Credits")</f>
        <v/>
      </c>
      <c r="I1067" s="64" t="str">
        <f ca="1">IF(ISNA(A1066),"","Grade")</f>
        <v/>
      </c>
      <c r="J1067" s="64" t="str">
        <f ca="1">IF(ISNA(A1066),"","Grade Points")</f>
        <v/>
      </c>
    </row>
    <row r="1068" spans="1:10" ht="16.5" customHeight="1" x14ac:dyDescent="0.2">
      <c r="A1068" s="64"/>
      <c r="B1068" s="64"/>
      <c r="C1068" s="64"/>
      <c r="D1068" s="64"/>
      <c r="E1068" s="64"/>
      <c r="F1068" s="64"/>
      <c r="G1068" s="64"/>
      <c r="H1068" s="64"/>
      <c r="I1068" s="64"/>
      <c r="J1068" s="64"/>
    </row>
    <row r="1069" spans="1:10" ht="10.5" customHeight="1" x14ac:dyDescent="0.2">
      <c r="A1069" s="65" t="str">
        <f ca="1">_xlfn.IFNA(INDIRECT(_xlfn.TEXTJOIN("",TRUE,A1065,"!",ADDRESS(13+(A1066-1)*J1065,1))),"")</f>
        <v/>
      </c>
      <c r="B1069" s="65"/>
      <c r="C1069" s="66" t="str">
        <f ca="1">_xlfn.IFNA(INDIRECT(_xlfn.TEXTJOIN("",TRUE,A1065,"!",ADDRESS(13+(A1066-1)*J1065,2))),"")</f>
        <v/>
      </c>
      <c r="D1069" s="66"/>
      <c r="E1069" s="66"/>
      <c r="F1069" s="66"/>
      <c r="G1069" s="66"/>
      <c r="H1069" s="25" t="str">
        <f ca="1">_xlfn.IFNA(INDIRECT(_xlfn.TEXTJOIN("",TRUE,A1065,"!",ADDRESS(13+(A1066-1)*J1065,6))),"")</f>
        <v/>
      </c>
      <c r="I1069" s="25" t="str">
        <f ca="1">_xlfn.IFNA(INDIRECT(_xlfn.TEXTJOIN("",TRUE,A1065,"!",ADDRESS(13+(A1066-1)*J1065,13))),"")</f>
        <v/>
      </c>
      <c r="J1069" s="25" t="str">
        <f ca="1">_xlfn.IFNA(INDIRECT(_xlfn.TEXTJOIN("",TRUE,A1065,"!",ADDRESS(13+(A1066-1)*J1065,14))),"")</f>
        <v/>
      </c>
    </row>
    <row r="1070" spans="1:10" ht="10.5" customHeight="1" x14ac:dyDescent="0.2">
      <c r="A1070" s="65" t="str">
        <f ca="1">_xlfn.IFNA(INDIRECT(_xlfn.TEXTJOIN("",TRUE,A1065,"!",ADDRESS(14+(A1066-1)*J1065,1))),"")</f>
        <v/>
      </c>
      <c r="B1070" s="65"/>
      <c r="C1070" s="66" t="str">
        <f ca="1">_xlfn.IFNA(INDIRECT(_xlfn.TEXTJOIN("",TRUE,A1065,"!",ADDRESS(14+(A1066-1)*J1065,2))),"")</f>
        <v/>
      </c>
      <c r="D1070" s="66"/>
      <c r="E1070" s="66"/>
      <c r="F1070" s="66"/>
      <c r="G1070" s="66"/>
      <c r="H1070" s="25" t="str">
        <f ca="1">_xlfn.IFNA(INDIRECT(_xlfn.TEXTJOIN("",TRUE,A1065,"!",ADDRESS(14+(A1066-1)*J1065,6))),"")</f>
        <v/>
      </c>
      <c r="I1070" s="25" t="str">
        <f ca="1">_xlfn.IFNA(INDIRECT(_xlfn.TEXTJOIN("",TRUE,A1065,"!",ADDRESS(14+(A1066-1)*J1065,13))),"")</f>
        <v/>
      </c>
      <c r="J1070" s="25" t="str">
        <f ca="1">_xlfn.IFNA(INDIRECT(_xlfn.TEXTJOIN("",TRUE,A1065,"!",ADDRESS(14+(A1066-1)*J1065,14))),"")</f>
        <v/>
      </c>
    </row>
    <row r="1071" spans="1:10" ht="10.5" customHeight="1" x14ac:dyDescent="0.2">
      <c r="A1071" s="65" t="str">
        <f ca="1">_xlfn.IFNA(INDIRECT(_xlfn.TEXTJOIN("",TRUE,A1065,"!",ADDRESS(15+(A1066-1)*J1065,1))),"")</f>
        <v/>
      </c>
      <c r="B1071" s="65"/>
      <c r="C1071" s="66" t="str">
        <f ca="1">_xlfn.IFNA(INDIRECT(_xlfn.TEXTJOIN("",TRUE,A1065,"!",ADDRESS(15+(A1066-1)*J1065,2))),"")</f>
        <v/>
      </c>
      <c r="D1071" s="66"/>
      <c r="E1071" s="66"/>
      <c r="F1071" s="66"/>
      <c r="G1071" s="66"/>
      <c r="H1071" s="25" t="str">
        <f ca="1">_xlfn.IFNA(INDIRECT(_xlfn.TEXTJOIN("",TRUE,A1065,"!",ADDRESS(15+(A1066-1)*J1065,6))),"")</f>
        <v/>
      </c>
      <c r="I1071" s="25" t="str">
        <f ca="1">_xlfn.IFNA(INDIRECT(_xlfn.TEXTJOIN("",TRUE,A1065,"!",ADDRESS(15+(A1066-1)*J1065,13))),"")</f>
        <v/>
      </c>
      <c r="J1071" s="25" t="str">
        <f ca="1">_xlfn.IFNA(INDIRECT(_xlfn.TEXTJOIN("",TRUE,A1065,"!",ADDRESS(15+(A1066-1)*J1065,14))),"")</f>
        <v/>
      </c>
    </row>
    <row r="1072" spans="1:10" ht="10.5" customHeight="1" x14ac:dyDescent="0.2">
      <c r="A1072" s="65" t="str">
        <f ca="1">_xlfn.IFNA(INDIRECT(_xlfn.TEXTJOIN("",TRUE,A1065,"!",ADDRESS(16+(A1066-1)*J1065,1))),"")</f>
        <v/>
      </c>
      <c r="B1072" s="65"/>
      <c r="C1072" s="66" t="str">
        <f ca="1">_xlfn.IFNA(INDIRECT(_xlfn.TEXTJOIN("",TRUE,A1065,"!",ADDRESS(16+(A1066-1)*J1065,2))),"")</f>
        <v/>
      </c>
      <c r="D1072" s="66"/>
      <c r="E1072" s="66"/>
      <c r="F1072" s="66"/>
      <c r="G1072" s="66"/>
      <c r="H1072" s="25" t="str">
        <f ca="1">_xlfn.IFNA(INDIRECT(_xlfn.TEXTJOIN("",TRUE,A1065,"!",ADDRESS(16+(A1066-1)*J1065,6))),"")</f>
        <v/>
      </c>
      <c r="I1072" s="25" t="str">
        <f ca="1">_xlfn.IFNA(INDIRECT(_xlfn.TEXTJOIN("",TRUE,A1065,"!",ADDRESS(16+(A1066-1)*J1065,13))),"")</f>
        <v/>
      </c>
      <c r="J1072" s="25" t="str">
        <f ca="1">_xlfn.IFNA(INDIRECT(_xlfn.TEXTJOIN("",TRUE,A1065,"!",ADDRESS(16+(A1066-1)*J1065,14))),"")</f>
        <v/>
      </c>
    </row>
    <row r="1073" spans="1:10" ht="10.5" customHeight="1" x14ac:dyDescent="0.2">
      <c r="A1073" s="65" t="str">
        <f ca="1">_xlfn.IFNA(INDIRECT(_xlfn.TEXTJOIN("",TRUE,A1065,"!",ADDRESS(17+(A1066-1)*J1065,1))),"")</f>
        <v/>
      </c>
      <c r="B1073" s="65"/>
      <c r="C1073" s="66" t="str">
        <f ca="1">_xlfn.IFNA(INDIRECT(_xlfn.TEXTJOIN("",TRUE,A1065,"!",ADDRESS(17+(A1066-1)*J1065,2))),"")</f>
        <v/>
      </c>
      <c r="D1073" s="66"/>
      <c r="E1073" s="66"/>
      <c r="F1073" s="66"/>
      <c r="G1073" s="66"/>
      <c r="H1073" s="25" t="str">
        <f ca="1">_xlfn.IFNA(INDIRECT(_xlfn.TEXTJOIN("",TRUE,A1065,"!",ADDRESS(17+(A1066-1)*J1065,6))),"")</f>
        <v/>
      </c>
      <c r="I1073" s="25" t="str">
        <f ca="1">_xlfn.IFNA(INDIRECT(_xlfn.TEXTJOIN("",TRUE,A1065,"!",ADDRESS(17+(A1066-1)*J1065,13))),"")</f>
        <v/>
      </c>
      <c r="J1073" s="25" t="str">
        <f ca="1">_xlfn.IFNA(INDIRECT(_xlfn.TEXTJOIN("",TRUE,A1065,"!",ADDRESS(17+(A1066-1)*J1065,14))),"")</f>
        <v/>
      </c>
    </row>
    <row r="1074" spans="1:10" ht="10.5" customHeight="1" x14ac:dyDescent="0.2">
      <c r="A1074" s="65" t="str">
        <f ca="1">_xlfn.IFNA(INDIRECT(_xlfn.TEXTJOIN("",TRUE,A1065,"!",ADDRESS(18+(A1066-1)*J1065,1))),"")</f>
        <v/>
      </c>
      <c r="B1074" s="65"/>
      <c r="C1074" s="66" t="str">
        <f ca="1">_xlfn.IFNA(INDIRECT(_xlfn.TEXTJOIN("",TRUE,A1065,"!",ADDRESS(18+(A1066-1)*J1065,2))),"")</f>
        <v/>
      </c>
      <c r="D1074" s="66"/>
      <c r="E1074" s="66"/>
      <c r="F1074" s="66"/>
      <c r="G1074" s="66"/>
      <c r="H1074" s="25" t="str">
        <f ca="1">_xlfn.IFNA(INDIRECT(_xlfn.TEXTJOIN("",TRUE,A1065,"!",ADDRESS(18+(A1066-1)*J1065,6))),"")</f>
        <v/>
      </c>
      <c r="I1074" s="25" t="str">
        <f ca="1">_xlfn.IFNA(INDIRECT(_xlfn.TEXTJOIN("",TRUE,A1065,"!",ADDRESS(18+(A1066-1)*J1065,13))),"")</f>
        <v/>
      </c>
      <c r="J1074" s="25" t="str">
        <f ca="1">_xlfn.IFNA(INDIRECT(_xlfn.TEXTJOIN("",TRUE,A1065,"!",ADDRESS(18+(A1066-1)*J1065,14))),"")</f>
        <v/>
      </c>
    </row>
    <row r="1075" spans="1:10" ht="10.5" customHeight="1" x14ac:dyDescent="0.2">
      <c r="A1075" s="60" t="str">
        <f ca="1">_xlfn.IFNA(INDIRECT(_xlfn.TEXTJOIN("",TRUE,A1065,"!",ADDRESS(19+(A1066-1)*J1065,1))),"")</f>
        <v/>
      </c>
      <c r="B1075" s="61"/>
      <c r="C1075" s="57" t="str">
        <f ca="1">_xlfn.IFNA(INDIRECT(_xlfn.TEXTJOIN("",TRUE,A1065,"!",ADDRESS(19+(A1066-1)*J1065,2))),"")</f>
        <v/>
      </c>
      <c r="D1075" s="58"/>
      <c r="E1075" s="58"/>
      <c r="F1075" s="58"/>
      <c r="G1075" s="59"/>
      <c r="H1075" s="25" t="str">
        <f ca="1">_xlfn.IFNA(INDIRECT(_xlfn.TEXTJOIN("",TRUE,A1065,"!",ADDRESS(19+(A1066-1)*J1065,6))),"")</f>
        <v/>
      </c>
      <c r="I1075" s="25" t="str">
        <f ca="1">_xlfn.IFNA(INDIRECT(_xlfn.TEXTJOIN("",TRUE,A1065,"!",ADDRESS(19+(A1066-1)*J1065,13))),"")</f>
        <v/>
      </c>
      <c r="J1075" s="25" t="str">
        <f ca="1">_xlfn.IFNA(INDIRECT(_xlfn.TEXTJOIN("",TRUE,A1065,"!",ADDRESS(19+(A1066-1)*J1065,14))),"")</f>
        <v/>
      </c>
    </row>
    <row r="1076" spans="1:10" ht="10.5" customHeight="1" x14ac:dyDescent="0.2">
      <c r="A1076" s="65" t="str">
        <f ca="1">_xlfn.IFNA(INDIRECT(_xlfn.TEXTJOIN("",TRUE,A1065,"!",ADDRESS(20+(A1066-1)*J1065,1))),"")</f>
        <v/>
      </c>
      <c r="B1076" s="65"/>
      <c r="C1076" s="66" t="str">
        <f ca="1">_xlfn.IFNA(INDIRECT(_xlfn.TEXTJOIN("",TRUE,A1065,"!",ADDRESS(20+(A1066-1)*J1065,2))),"")</f>
        <v/>
      </c>
      <c r="D1076" s="66"/>
      <c r="E1076" s="66"/>
      <c r="F1076" s="66"/>
      <c r="G1076" s="66"/>
      <c r="H1076" s="25" t="str">
        <f ca="1">_xlfn.IFNA(INDIRECT(_xlfn.TEXTJOIN("",TRUE,A1065,"!",ADDRESS(20+(A1066-1)*J1065,6))),"")</f>
        <v/>
      </c>
      <c r="I1076" s="25" t="str">
        <f ca="1">_xlfn.IFNA(INDIRECT(_xlfn.TEXTJOIN("",TRUE,A1065,"!",ADDRESS(20+(A1066-1)*J1065,13))),"")</f>
        <v/>
      </c>
      <c r="J1076" s="25" t="str">
        <f ca="1">_xlfn.IFNA(INDIRECT(_xlfn.TEXTJOIN("",TRUE,A1065,"!",ADDRESS(20+(A1066-1)*J1065,14))),"")</f>
        <v/>
      </c>
    </row>
    <row r="1077" spans="1:10" ht="10.5" customHeight="1" x14ac:dyDescent="0.2">
      <c r="A1077" s="65" t="str">
        <f ca="1">_xlfn.IFNA(INDIRECT(_xlfn.TEXTJOIN("",TRUE,A1065,"!",ADDRESS(21+(A1066-1)*J1065,1))),"")</f>
        <v/>
      </c>
      <c r="B1077" s="65"/>
      <c r="C1077" s="66" t="str">
        <f ca="1">_xlfn.IFNA(INDIRECT(_xlfn.TEXTJOIN("",TRUE,A1065,"!",ADDRESS(21+(A1066-1)*J1065,2))),"")</f>
        <v/>
      </c>
      <c r="D1077" s="66"/>
      <c r="E1077" s="66"/>
      <c r="F1077" s="66"/>
      <c r="G1077" s="66"/>
      <c r="H1077" s="25" t="str">
        <f ca="1">_xlfn.IFNA(INDIRECT(_xlfn.TEXTJOIN("",TRUE,A1065,"!",ADDRESS(21+(A1066-1)*J1065,6))),"")</f>
        <v/>
      </c>
      <c r="I1077" s="25" t="str">
        <f ca="1">_xlfn.IFNA(INDIRECT(_xlfn.TEXTJOIN("",TRUE,A1065,"!",ADDRESS(21+(A1066-1)*J1065,13))),"")</f>
        <v/>
      </c>
      <c r="J1077" s="25" t="str">
        <f ca="1">_xlfn.IFNA(INDIRECT(_xlfn.TEXTJOIN("",TRUE,A1065,"!",ADDRESS(21+(A1066-1)*J1065,14))),"")</f>
        <v/>
      </c>
    </row>
    <row r="1078" spans="1:10" ht="10.5" customHeight="1" x14ac:dyDescent="0.2">
      <c r="A1078" s="65" t="str">
        <f ca="1">_xlfn.IFNA(INDIRECT(_xlfn.TEXTJOIN("",TRUE,A1065,"!",ADDRESS(22+(A1066-1)*J1065,1))),"")</f>
        <v/>
      </c>
      <c r="B1078" s="65"/>
      <c r="C1078" s="66" t="str">
        <f ca="1">_xlfn.IFNA(INDIRECT(_xlfn.TEXTJOIN("",TRUE,A1065,"!",ADDRESS(22+(A1066-1)*J1065,2))),"")</f>
        <v/>
      </c>
      <c r="D1078" s="66"/>
      <c r="E1078" s="66"/>
      <c r="F1078" s="66"/>
      <c r="G1078" s="66"/>
      <c r="H1078" s="25" t="str">
        <f ca="1">_xlfn.IFNA(INDIRECT(_xlfn.TEXTJOIN("",TRUE,A1065,"!",ADDRESS(22+(A1066-1)*J1065,6))),"")</f>
        <v/>
      </c>
      <c r="I1078" s="25" t="str">
        <f ca="1">_xlfn.IFNA(INDIRECT(_xlfn.TEXTJOIN("",TRUE,A1065,"!",ADDRESS(22+(A1066-1)*J1065,13))),"")</f>
        <v/>
      </c>
      <c r="J1078" s="25" t="str">
        <f ca="1">_xlfn.IFNA(INDIRECT(_xlfn.TEXTJOIN("",TRUE,A1065,"!",ADDRESS(22+(A1066-1)*J1065,14))),"")</f>
        <v/>
      </c>
    </row>
    <row r="1079" spans="1:10" ht="10.5" customHeight="1" x14ac:dyDescent="0.2">
      <c r="A1079" s="71" t="str">
        <f ca="1">IF(ISNA(A1066),"","Total Credits/ Total Grade Points")</f>
        <v/>
      </c>
      <c r="B1079" s="71"/>
      <c r="C1079" s="71"/>
      <c r="D1079" s="71"/>
      <c r="E1079" s="71"/>
      <c r="F1079" s="71"/>
      <c r="G1079" s="71"/>
      <c r="H1079" s="27" t="str">
        <f ca="1">IF(ISNA(A1066),"",SUM(H1069:H1078))</f>
        <v/>
      </c>
      <c r="I1079" s="26" t="str">
        <f ca="1">IF(ISNA(A1066),"","-")</f>
        <v/>
      </c>
      <c r="J1079" s="27" t="str">
        <f ca="1">IF(ISNA(A1066),"",SUMPRODUCT(J1069:J1078,H1069:H1078))</f>
        <v/>
      </c>
    </row>
    <row r="1080" spans="1:10" ht="10.5" customHeight="1" x14ac:dyDescent="0.2">
      <c r="A1080" s="24" t="s">
        <v>60</v>
      </c>
      <c r="B1080" s="72" t="str">
        <f ca="1">IF(ISNA(A1081),"","Semester III (Autumn Semester 2023-24)")</f>
        <v/>
      </c>
      <c r="C1080" s="72"/>
      <c r="D1080" s="72"/>
      <c r="E1080" s="72"/>
      <c r="F1080" s="72"/>
      <c r="G1080" s="72"/>
      <c r="H1080" s="72"/>
      <c r="I1080" s="72"/>
      <c r="J1080" s="24">
        <f>ROWS(A1084:B1091)+9</f>
        <v>17</v>
      </c>
    </row>
    <row r="1081" spans="1:10" ht="10.5" customHeight="1" x14ac:dyDescent="0.2">
      <c r="A1081" s="24" t="e">
        <f ca="1">INDEX(SEM_III!$A$6:$A$43,Marksheets!J1081)</f>
        <v>#N/A</v>
      </c>
      <c r="B1081" s="63"/>
      <c r="C1081" s="63"/>
      <c r="D1081" s="63"/>
      <c r="E1081" s="63"/>
      <c r="F1081" s="63"/>
      <c r="G1081" s="63"/>
      <c r="H1081" s="63"/>
      <c r="I1081" s="63"/>
      <c r="J1081" s="24" t="e">
        <f ca="1">MATCH(H1044,SEM_III!$B$6:$B$43,0)</f>
        <v>#N/A</v>
      </c>
    </row>
    <row r="1082" spans="1:10" ht="10.5" customHeight="1" x14ac:dyDescent="0.2">
      <c r="A1082" s="64" t="str">
        <f ca="1">IF(ISNA(A1081),"","Subject Code")</f>
        <v/>
      </c>
      <c r="B1082" s="64"/>
      <c r="C1082" s="64" t="str">
        <f ca="1">IF(ISNA(A1081),"","Subject Name")</f>
        <v/>
      </c>
      <c r="D1082" s="64"/>
      <c r="E1082" s="64"/>
      <c r="F1082" s="64"/>
      <c r="G1082" s="64"/>
      <c r="H1082" s="64" t="str">
        <f ca="1">IF(ISNA(A1081),"","Credits")</f>
        <v/>
      </c>
      <c r="I1082" s="64" t="str">
        <f ca="1">IF(ISNA(A1081),"","Grade")</f>
        <v/>
      </c>
      <c r="J1082" s="64" t="str">
        <f ca="1">IF(ISNA(A1081),"","Grade Points")</f>
        <v/>
      </c>
    </row>
    <row r="1083" spans="1:10" ht="13" customHeight="1" x14ac:dyDescent="0.2">
      <c r="A1083" s="64"/>
      <c r="B1083" s="64"/>
      <c r="C1083" s="64"/>
      <c r="D1083" s="64"/>
      <c r="E1083" s="64"/>
      <c r="F1083" s="64"/>
      <c r="G1083" s="64"/>
      <c r="H1083" s="64"/>
      <c r="I1083" s="64"/>
      <c r="J1083" s="64"/>
    </row>
    <row r="1084" spans="1:10" ht="10.5" customHeight="1" x14ac:dyDescent="0.2">
      <c r="A1084" s="65" t="str">
        <f ca="1">_xlfn.IFNA(INDIRECT(_xlfn.TEXTJOIN("",TRUE,A1080,"!",ADDRESS(13+(A1081-1)*J1080,1))),"")</f>
        <v/>
      </c>
      <c r="B1084" s="65"/>
      <c r="C1084" s="66" t="str">
        <f ca="1">_xlfn.IFNA(INDIRECT(_xlfn.TEXTJOIN("",TRUE,A1080,"!",ADDRESS(13+(A1081-1)*J1080,2))),"")</f>
        <v/>
      </c>
      <c r="D1084" s="66"/>
      <c r="E1084" s="66"/>
      <c r="F1084" s="66"/>
      <c r="G1084" s="66"/>
      <c r="H1084" s="25" t="str">
        <f ca="1">_xlfn.IFNA(INDIRECT(_xlfn.TEXTJOIN("",TRUE,A1080,"!",ADDRESS(13+(A1081-1)*J1080,6))),"")</f>
        <v/>
      </c>
      <c r="I1084" s="25" t="str">
        <f ca="1">_xlfn.IFNA(INDIRECT(_xlfn.TEXTJOIN("",TRUE,A1080,"!",ADDRESS(13+(A1081-1)*J1080,13))),"")</f>
        <v/>
      </c>
      <c r="J1084" s="25" t="str">
        <f ca="1">_xlfn.IFNA(INDIRECT(_xlfn.TEXTJOIN("",TRUE,A1080,"!",ADDRESS(13+(A1081-1)*J1080,14))),"")</f>
        <v/>
      </c>
    </row>
    <row r="1085" spans="1:10" ht="10.5" customHeight="1" x14ac:dyDescent="0.2">
      <c r="A1085" s="65" t="str">
        <f ca="1">_xlfn.IFNA(INDIRECT(_xlfn.TEXTJOIN("",TRUE,A1080,"!",ADDRESS(14+(A1081-1)*J1080,1))),"")</f>
        <v/>
      </c>
      <c r="B1085" s="65"/>
      <c r="C1085" s="66" t="str">
        <f ca="1">_xlfn.IFNA(INDIRECT(_xlfn.TEXTJOIN("",TRUE,A1080,"!",ADDRESS(14+(A1081-1)*J1080,2))),"")</f>
        <v/>
      </c>
      <c r="D1085" s="66"/>
      <c r="E1085" s="66"/>
      <c r="F1085" s="66"/>
      <c r="G1085" s="66"/>
      <c r="H1085" s="25" t="str">
        <f ca="1">_xlfn.IFNA(INDIRECT(_xlfn.TEXTJOIN("",TRUE,A1080,"!",ADDRESS(14+(A1081-1)*J1080,6))),"")</f>
        <v/>
      </c>
      <c r="I1085" s="25" t="str">
        <f ca="1">_xlfn.IFNA(INDIRECT(_xlfn.TEXTJOIN("",TRUE,A1080,"!",ADDRESS(14+(A1081-1)*J1080,13))),"")</f>
        <v/>
      </c>
      <c r="J1085" s="25" t="str">
        <f ca="1">_xlfn.IFNA(INDIRECT(_xlfn.TEXTJOIN("",TRUE,A1080,"!",ADDRESS(14+(A1081-1)*J1080,14))),"")</f>
        <v/>
      </c>
    </row>
    <row r="1086" spans="1:10" ht="10.5" customHeight="1" x14ac:dyDescent="0.2">
      <c r="A1086" s="65" t="str">
        <f ca="1">_xlfn.IFNA(INDIRECT(_xlfn.TEXTJOIN("",TRUE,A1080,"!",ADDRESS(15+(A1081-1)*J1080,1))),"")</f>
        <v/>
      </c>
      <c r="B1086" s="65"/>
      <c r="C1086" s="66" t="str">
        <f ca="1">_xlfn.IFNA(INDIRECT(_xlfn.TEXTJOIN("",TRUE,A1080,"!",ADDRESS(15+(A1081-1)*J1080,2))),"")</f>
        <v/>
      </c>
      <c r="D1086" s="66"/>
      <c r="E1086" s="66"/>
      <c r="F1086" s="66"/>
      <c r="G1086" s="66"/>
      <c r="H1086" s="25" t="str">
        <f ca="1">_xlfn.IFNA(INDIRECT(_xlfn.TEXTJOIN("",TRUE,A1080,"!",ADDRESS(15+(A1081-1)*J1080,6))),"")</f>
        <v/>
      </c>
      <c r="I1086" s="25" t="str">
        <f ca="1">_xlfn.IFNA(INDIRECT(_xlfn.TEXTJOIN("",TRUE,A1080,"!",ADDRESS(15+(A1081-1)*J1080,13))),"")</f>
        <v/>
      </c>
      <c r="J1086" s="25" t="str">
        <f ca="1">_xlfn.IFNA(INDIRECT(_xlfn.TEXTJOIN("",TRUE,A1080,"!",ADDRESS(15+(A1081-1)*J1080,14))),"")</f>
        <v/>
      </c>
    </row>
    <row r="1087" spans="1:10" ht="10.5" customHeight="1" x14ac:dyDescent="0.2">
      <c r="A1087" s="65" t="str">
        <f ca="1">_xlfn.IFNA(INDIRECT(_xlfn.TEXTJOIN("",TRUE,A1080,"!",ADDRESS(16+(A1081-1)*J1080,1))),"")</f>
        <v/>
      </c>
      <c r="B1087" s="65"/>
      <c r="C1087" s="66" t="str">
        <f ca="1">_xlfn.IFNA(INDIRECT(_xlfn.TEXTJOIN("",TRUE,A1080,"!",ADDRESS(16+(A1081-1)*J1080,2))),"")</f>
        <v/>
      </c>
      <c r="D1087" s="66"/>
      <c r="E1087" s="66"/>
      <c r="F1087" s="66"/>
      <c r="G1087" s="66"/>
      <c r="H1087" s="25" t="str">
        <f ca="1">_xlfn.IFNA(INDIRECT(_xlfn.TEXTJOIN("",TRUE,A1080,"!",ADDRESS(16+(A1081-1)*J1080,6))),"")</f>
        <v/>
      </c>
      <c r="I1087" s="25" t="str">
        <f ca="1">_xlfn.IFNA(INDIRECT(_xlfn.TEXTJOIN("",TRUE,A1080,"!",ADDRESS(16+(A1081-1)*J1080,13))),"")</f>
        <v/>
      </c>
      <c r="J1087" s="25" t="str">
        <f ca="1">_xlfn.IFNA(INDIRECT(_xlfn.TEXTJOIN("",TRUE,A1080,"!",ADDRESS(16+(A1081-1)*J1080,14))),"")</f>
        <v/>
      </c>
    </row>
    <row r="1088" spans="1:10" ht="10.5" customHeight="1" x14ac:dyDescent="0.2">
      <c r="A1088" s="65" t="str">
        <f ca="1">_xlfn.IFNA(INDIRECT(_xlfn.TEXTJOIN("",TRUE,A1080,"!",ADDRESS(17+(A1081-1)*J1080,1))),"")</f>
        <v/>
      </c>
      <c r="B1088" s="65"/>
      <c r="C1088" s="66" t="str">
        <f ca="1">_xlfn.IFNA(INDIRECT(_xlfn.TEXTJOIN("",TRUE,A1080,"!",ADDRESS(17+(A1081-1)*J1080,2))),"")</f>
        <v/>
      </c>
      <c r="D1088" s="66"/>
      <c r="E1088" s="66"/>
      <c r="F1088" s="66"/>
      <c r="G1088" s="66"/>
      <c r="H1088" s="25" t="str">
        <f ca="1">_xlfn.IFNA(INDIRECT(_xlfn.TEXTJOIN("",TRUE,A1080,"!",ADDRESS(17+(A1081-1)*J1080,6))),"")</f>
        <v/>
      </c>
      <c r="I1088" s="25" t="str">
        <f ca="1">_xlfn.IFNA(INDIRECT(_xlfn.TEXTJOIN("",TRUE,A1080,"!",ADDRESS(17+(A1081-1)*J1080,13))),"")</f>
        <v/>
      </c>
      <c r="J1088" s="25" t="str">
        <f ca="1">_xlfn.IFNA(INDIRECT(_xlfn.TEXTJOIN("",TRUE,A1080,"!",ADDRESS(17+(A1081-1)*J1080,14))),"")</f>
        <v/>
      </c>
    </row>
    <row r="1089" spans="1:10" ht="10.5" customHeight="1" x14ac:dyDescent="0.2">
      <c r="A1089" s="65" t="str">
        <f ca="1">_xlfn.IFNA(INDIRECT(_xlfn.TEXTJOIN("",TRUE,A1080,"!",ADDRESS(18+(A1081-1)*J1080,1))),"")</f>
        <v/>
      </c>
      <c r="B1089" s="65"/>
      <c r="C1089" s="66" t="str">
        <f ca="1">_xlfn.IFNA(INDIRECT(_xlfn.TEXTJOIN("",TRUE,A1080,"!",ADDRESS(18+(A1081-1)*J1080,2))),"")</f>
        <v/>
      </c>
      <c r="D1089" s="66"/>
      <c r="E1089" s="66"/>
      <c r="F1089" s="66"/>
      <c r="G1089" s="66"/>
      <c r="H1089" s="25" t="str">
        <f ca="1">_xlfn.IFNA(INDIRECT(_xlfn.TEXTJOIN("",TRUE,A1080,"!",ADDRESS(18+(A1081-1)*J1080,6))),"")</f>
        <v/>
      </c>
      <c r="I1089" s="25" t="str">
        <f ca="1">_xlfn.IFNA(INDIRECT(_xlfn.TEXTJOIN("",TRUE,A1080,"!",ADDRESS(18+(A1081-1)*J1080,13))),"")</f>
        <v/>
      </c>
      <c r="J1089" s="25" t="str">
        <f ca="1">_xlfn.IFNA(INDIRECT(_xlfn.TEXTJOIN("",TRUE,A1080,"!",ADDRESS(18+(A1081-1)*J1080,14))),"")</f>
        <v/>
      </c>
    </row>
    <row r="1090" spans="1:10" ht="10.5" customHeight="1" x14ac:dyDescent="0.2">
      <c r="A1090" s="60" t="str">
        <f ca="1">_xlfn.IFNA(INDIRECT(_xlfn.TEXTJOIN("",TRUE,A1080,"!",ADDRESS(19+(A1081-1)*J1080,1))),"")</f>
        <v/>
      </c>
      <c r="B1090" s="61"/>
      <c r="C1090" s="57" t="str">
        <f ca="1">_xlfn.IFNA(INDIRECT(_xlfn.TEXTJOIN("",TRUE,A1080,"!",ADDRESS(19+(A1081-1)*J1080,2))),"")</f>
        <v/>
      </c>
      <c r="D1090" s="58"/>
      <c r="E1090" s="58"/>
      <c r="F1090" s="58"/>
      <c r="G1090" s="59"/>
      <c r="H1090" s="25" t="str">
        <f ca="1">_xlfn.IFNA(INDIRECT(_xlfn.TEXTJOIN("",TRUE,A1080,"!",ADDRESS(19+(A1081-1)*J1080,6))),"")</f>
        <v/>
      </c>
      <c r="I1090" s="25" t="str">
        <f ca="1">_xlfn.IFNA(INDIRECT(_xlfn.TEXTJOIN("",TRUE,A1080,"!",ADDRESS(19+(A1081-1)*J1080,13))),"")</f>
        <v/>
      </c>
      <c r="J1090" s="25" t="str">
        <f ca="1">_xlfn.IFNA(INDIRECT(_xlfn.TEXTJOIN("",TRUE,A1080,"!",ADDRESS(19+(A1081-1)*J1080,14))),"")</f>
        <v/>
      </c>
    </row>
    <row r="1091" spans="1:10" ht="10.5" customHeight="1" x14ac:dyDescent="0.2">
      <c r="A1091" s="65" t="str">
        <f ca="1">_xlfn.IFNA(INDIRECT(_xlfn.TEXTJOIN("",TRUE,A1080,"!",ADDRESS(20+(A1081-1)*J1080,1))),"")</f>
        <v/>
      </c>
      <c r="B1091" s="65"/>
      <c r="C1091" s="66" t="str">
        <f ca="1">_xlfn.IFNA(INDIRECT(_xlfn.TEXTJOIN("",TRUE,A1080,"!",ADDRESS(20+(A1081-1)*J1080,2))),"")</f>
        <v/>
      </c>
      <c r="D1091" s="66"/>
      <c r="E1091" s="66"/>
      <c r="F1091" s="66"/>
      <c r="G1091" s="66"/>
      <c r="H1091" s="25" t="str">
        <f ca="1">_xlfn.IFNA(INDIRECT(_xlfn.TEXTJOIN("",TRUE,A1080,"!",ADDRESS(20+(A1081-1)*J1080,6))),"")</f>
        <v/>
      </c>
      <c r="I1091" s="25" t="str">
        <f ca="1">_xlfn.IFNA(INDIRECT(_xlfn.TEXTJOIN("",TRUE,A1080,"!",ADDRESS(20+(A1081-1)*J1080,13))),"")</f>
        <v/>
      </c>
      <c r="J1091" s="25" t="str">
        <f ca="1">_xlfn.IFNA(INDIRECT(_xlfn.TEXTJOIN("",TRUE,A1080,"!",ADDRESS(20+(A1081-1)*J1080,14))),"")</f>
        <v/>
      </c>
    </row>
    <row r="1092" spans="1:10" ht="10.5" customHeight="1" x14ac:dyDescent="0.2">
      <c r="A1092" s="71" t="str">
        <f ca="1">IF(ISNA(A1081),"","Total Credits/ Total Grade Points")</f>
        <v/>
      </c>
      <c r="B1092" s="71"/>
      <c r="C1092" s="71"/>
      <c r="D1092" s="71"/>
      <c r="E1092" s="71"/>
      <c r="F1092" s="71"/>
      <c r="G1092" s="71"/>
      <c r="H1092" s="27" t="str">
        <f ca="1">IF(ISNA(A1081),"",SUM(H1084:H1091))</f>
        <v/>
      </c>
      <c r="I1092" s="26" t="str">
        <f ca="1">IF(ISNA(A1081),"","-")</f>
        <v/>
      </c>
      <c r="J1092" s="27" t="str">
        <f ca="1">IF(ISNA(A1081),"",SUMPRODUCT(J1084:J1091,H1084:H1091))</f>
        <v/>
      </c>
    </row>
    <row r="1093" spans="1:10" ht="10.5" customHeight="1" x14ac:dyDescent="0.2">
      <c r="A1093" s="24" t="s">
        <v>133</v>
      </c>
      <c r="B1093" s="72" t="str">
        <f ca="1">IF(ISNA(A1094),"","Semester IV (Spring Semester 2023-24)")</f>
        <v/>
      </c>
      <c r="C1093" s="72"/>
      <c r="D1093" s="72"/>
      <c r="E1093" s="72"/>
      <c r="F1093" s="72"/>
      <c r="G1093" s="72"/>
      <c r="H1093" s="72"/>
      <c r="I1093" s="72"/>
      <c r="J1093" s="24">
        <f>ROWS(A1097:B1103)+9</f>
        <v>16</v>
      </c>
    </row>
    <row r="1094" spans="1:10" ht="10.5" customHeight="1" x14ac:dyDescent="0.2">
      <c r="A1094" s="24" t="e">
        <f ca="1">INDEX(SEM_IV!$A$6:$A$43,Marksheets!J1094)</f>
        <v>#N/A</v>
      </c>
      <c r="B1094" s="63"/>
      <c r="C1094" s="63"/>
      <c r="D1094" s="63"/>
      <c r="E1094" s="63"/>
      <c r="F1094" s="63"/>
      <c r="G1094" s="63"/>
      <c r="H1094" s="63"/>
      <c r="I1094" s="63"/>
      <c r="J1094" s="24" t="e">
        <f ca="1">MATCH(H1044,SEM_IV!$B$6:$B$43,0)</f>
        <v>#N/A</v>
      </c>
    </row>
    <row r="1095" spans="1:10" ht="10.5" customHeight="1" x14ac:dyDescent="0.2">
      <c r="A1095" s="64" t="str">
        <f ca="1">IF(ISNA(A1094),"","Subject Code")</f>
        <v/>
      </c>
      <c r="B1095" s="64"/>
      <c r="C1095" s="64" t="str">
        <f ca="1">IF(ISNA(A1094),"","Subject Name")</f>
        <v/>
      </c>
      <c r="D1095" s="64"/>
      <c r="E1095" s="64"/>
      <c r="F1095" s="64"/>
      <c r="G1095" s="64"/>
      <c r="H1095" s="64" t="str">
        <f ca="1">IF(ISNA(A1094),"","Credits")</f>
        <v/>
      </c>
      <c r="I1095" s="64" t="str">
        <f ca="1">IF(ISNA(A1094),"","Grade")</f>
        <v/>
      </c>
      <c r="J1095" s="64" t="str">
        <f ca="1">IF(ISNA(A1094),"","Grade Points")</f>
        <v/>
      </c>
    </row>
    <row r="1096" spans="1:10" ht="12.5" customHeight="1" x14ac:dyDescent="0.2">
      <c r="A1096" s="64"/>
      <c r="B1096" s="64"/>
      <c r="C1096" s="64"/>
      <c r="D1096" s="64"/>
      <c r="E1096" s="64"/>
      <c r="F1096" s="64"/>
      <c r="G1096" s="64"/>
      <c r="H1096" s="64"/>
      <c r="I1096" s="64"/>
      <c r="J1096" s="64"/>
    </row>
    <row r="1097" spans="1:10" ht="10.5" customHeight="1" x14ac:dyDescent="0.2">
      <c r="A1097" s="65" t="str">
        <f ca="1">_xlfn.IFNA(INDIRECT(_xlfn.TEXTJOIN("",TRUE,A1093,"!",ADDRESS(13+(A1094-1)*J1093,1))),"")</f>
        <v/>
      </c>
      <c r="B1097" s="65"/>
      <c r="C1097" s="66" t="str">
        <f ca="1">_xlfn.IFNA(INDIRECT(_xlfn.TEXTJOIN("",TRUE,A1093,"!",ADDRESS(13+(A1094-1)*J1093,2))),"")</f>
        <v/>
      </c>
      <c r="D1097" s="66"/>
      <c r="E1097" s="66"/>
      <c r="F1097" s="66"/>
      <c r="G1097" s="66"/>
      <c r="H1097" s="25" t="str">
        <f ca="1">_xlfn.IFNA(INDIRECT(_xlfn.TEXTJOIN("",TRUE,A1093,"!",ADDRESS(13+(A1094-1)*J1093,6))),"")</f>
        <v/>
      </c>
      <c r="I1097" s="25" t="str">
        <f ca="1">_xlfn.IFNA(INDIRECT(_xlfn.TEXTJOIN("",TRUE,A1093,"!",ADDRESS(13+(A1094-1)*J1093,13))),"")</f>
        <v/>
      </c>
      <c r="J1097" s="25" t="str">
        <f ca="1">_xlfn.IFNA(INDIRECT(_xlfn.TEXTJOIN("",TRUE,A1093,"!",ADDRESS(13+(A1094-1)*J1093,14))),"")</f>
        <v/>
      </c>
    </row>
    <row r="1098" spans="1:10" ht="10.5" customHeight="1" x14ac:dyDescent="0.2">
      <c r="A1098" s="65" t="str">
        <f ca="1">_xlfn.IFNA(INDIRECT(_xlfn.TEXTJOIN("",TRUE,A1093,"!",ADDRESS(14+(A1094-1)*J1093,1))),"")</f>
        <v/>
      </c>
      <c r="B1098" s="65"/>
      <c r="C1098" s="66" t="str">
        <f ca="1">_xlfn.IFNA(INDIRECT(_xlfn.TEXTJOIN("",TRUE,A1093,"!",ADDRESS(14+(A1094-1)*J1093,2))),"")</f>
        <v/>
      </c>
      <c r="D1098" s="66"/>
      <c r="E1098" s="66"/>
      <c r="F1098" s="66"/>
      <c r="G1098" s="66"/>
      <c r="H1098" s="25" t="str">
        <f ca="1">_xlfn.IFNA(INDIRECT(_xlfn.TEXTJOIN("",TRUE,A1093,"!",ADDRESS(14+(A1094-1)*J1093,6))),"")</f>
        <v/>
      </c>
      <c r="I1098" s="25" t="str">
        <f ca="1">_xlfn.IFNA(INDIRECT(_xlfn.TEXTJOIN("",TRUE,A1093,"!",ADDRESS(14+(A1094-1)*J1093,13))),"")</f>
        <v/>
      </c>
      <c r="J1098" s="25" t="str">
        <f ca="1">_xlfn.IFNA(INDIRECT(_xlfn.TEXTJOIN("",TRUE,A1093,"!",ADDRESS(14+(A1094-1)*J1093,14))),"")</f>
        <v/>
      </c>
    </row>
    <row r="1099" spans="1:10" ht="10.5" customHeight="1" x14ac:dyDescent="0.2">
      <c r="A1099" s="65" t="str">
        <f ca="1">_xlfn.IFNA(INDIRECT(_xlfn.TEXTJOIN("",TRUE,A1093,"!",ADDRESS(15+(A1094-1)*J1093,1))),"")</f>
        <v/>
      </c>
      <c r="B1099" s="65"/>
      <c r="C1099" s="66" t="str">
        <f ca="1">_xlfn.IFNA(INDIRECT(_xlfn.TEXTJOIN("",TRUE,A1093,"!",ADDRESS(15+(A1094-1)*J1093,2))),"")</f>
        <v/>
      </c>
      <c r="D1099" s="66"/>
      <c r="E1099" s="66"/>
      <c r="F1099" s="66"/>
      <c r="G1099" s="66"/>
      <c r="H1099" s="25" t="str">
        <f ca="1">_xlfn.IFNA(INDIRECT(_xlfn.TEXTJOIN("",TRUE,A1093,"!",ADDRESS(15+(A1094-1)*J1093,6))),"")</f>
        <v/>
      </c>
      <c r="I1099" s="25" t="str">
        <f ca="1">_xlfn.IFNA(INDIRECT(_xlfn.TEXTJOIN("",TRUE,A1093,"!",ADDRESS(15+(A1094-1)*J1093,13))),"")</f>
        <v/>
      </c>
      <c r="J1099" s="25" t="str">
        <f ca="1">_xlfn.IFNA(INDIRECT(_xlfn.TEXTJOIN("",TRUE,A1093,"!",ADDRESS(15+(A1094-1)*J1093,14))),"")</f>
        <v/>
      </c>
    </row>
    <row r="1100" spans="1:10" ht="10.5" customHeight="1" x14ac:dyDescent="0.2">
      <c r="A1100" s="65" t="str">
        <f ca="1">_xlfn.IFNA(INDIRECT(_xlfn.TEXTJOIN("",TRUE,A1093,"!",ADDRESS(16+(A1094-1)*J1093,1))),"")</f>
        <v/>
      </c>
      <c r="B1100" s="65"/>
      <c r="C1100" s="66" t="str">
        <f ca="1">_xlfn.IFNA(INDIRECT(_xlfn.TEXTJOIN("",TRUE,A1093,"!",ADDRESS(16+(A1094-1)*J1093,2))),"")</f>
        <v/>
      </c>
      <c r="D1100" s="66"/>
      <c r="E1100" s="66"/>
      <c r="F1100" s="66"/>
      <c r="G1100" s="66"/>
      <c r="H1100" s="25" t="str">
        <f ca="1">_xlfn.IFNA(INDIRECT(_xlfn.TEXTJOIN("",TRUE,A1093,"!",ADDRESS(16+(A1094-1)*J1093,6))),"")</f>
        <v/>
      </c>
      <c r="I1100" s="25" t="str">
        <f ca="1">_xlfn.IFNA(INDIRECT(_xlfn.TEXTJOIN("",TRUE,A1093,"!",ADDRESS(16+(A1094-1)*J1093,13))),"")</f>
        <v/>
      </c>
      <c r="J1100" s="25" t="str">
        <f ca="1">_xlfn.IFNA(INDIRECT(_xlfn.TEXTJOIN("",TRUE,A1093,"!",ADDRESS(16+(A1094-1)*J1093,14))),"")</f>
        <v/>
      </c>
    </row>
    <row r="1101" spans="1:10" ht="10.5" customHeight="1" x14ac:dyDescent="0.2">
      <c r="A1101" s="65" t="str">
        <f ca="1">_xlfn.IFNA(INDIRECT(_xlfn.TEXTJOIN("",TRUE,A1093,"!",ADDRESS(17+(A1094-1)*J1093,1))),"")</f>
        <v/>
      </c>
      <c r="B1101" s="65"/>
      <c r="C1101" s="66" t="str">
        <f ca="1">_xlfn.IFNA(INDIRECT(_xlfn.TEXTJOIN("",TRUE,A1093,"!",ADDRESS(17+(A1094-1)*J1093,2))),"")</f>
        <v/>
      </c>
      <c r="D1101" s="66"/>
      <c r="E1101" s="66"/>
      <c r="F1101" s="66"/>
      <c r="G1101" s="66"/>
      <c r="H1101" s="25" t="str">
        <f ca="1">_xlfn.IFNA(INDIRECT(_xlfn.TEXTJOIN("",TRUE,A1093,"!",ADDRESS(17+(A1094-1)*J1093,6))),"")</f>
        <v/>
      </c>
      <c r="I1101" s="25" t="str">
        <f ca="1">_xlfn.IFNA(INDIRECT(_xlfn.TEXTJOIN("",TRUE,A1093,"!",ADDRESS(17+(A1094-1)*J1093,13))),"")</f>
        <v/>
      </c>
      <c r="J1101" s="25" t="str">
        <f ca="1">_xlfn.IFNA(INDIRECT(_xlfn.TEXTJOIN("",TRUE,A1093,"!",ADDRESS(17+(A1094-1)*J1093,14))),"")</f>
        <v/>
      </c>
    </row>
    <row r="1102" spans="1:10" ht="10.5" customHeight="1" x14ac:dyDescent="0.2">
      <c r="A1102" s="65" t="str">
        <f ca="1">_xlfn.IFNA(INDIRECT(_xlfn.TEXTJOIN("",TRUE,A1093,"!",ADDRESS(18+(A1094-1)*J1093,1))),"")</f>
        <v/>
      </c>
      <c r="B1102" s="65"/>
      <c r="C1102" s="66" t="str">
        <f ca="1">_xlfn.IFNA(INDIRECT(_xlfn.TEXTJOIN("",TRUE,A1093,"!",ADDRESS(18+(A1094-1)*J1093,2))),"")</f>
        <v/>
      </c>
      <c r="D1102" s="66"/>
      <c r="E1102" s="66"/>
      <c r="F1102" s="66"/>
      <c r="G1102" s="66"/>
      <c r="H1102" s="25" t="str">
        <f ca="1">_xlfn.IFNA(INDIRECT(_xlfn.TEXTJOIN("",TRUE,A1093,"!",ADDRESS(18+(A1094-1)*J1093,6))),"")</f>
        <v/>
      </c>
      <c r="I1102" s="25" t="str">
        <f ca="1">_xlfn.IFNA(INDIRECT(_xlfn.TEXTJOIN("",TRUE,A1093,"!",ADDRESS(18+(A1094-1)*J1093,13))),"")</f>
        <v/>
      </c>
      <c r="J1102" s="25" t="str">
        <f ca="1">_xlfn.IFNA(INDIRECT(_xlfn.TEXTJOIN("",TRUE,A1093,"!",ADDRESS(18+(A1094-1)*J1093,14))),"")</f>
        <v/>
      </c>
    </row>
    <row r="1103" spans="1:10" ht="10.5" customHeight="1" x14ac:dyDescent="0.2">
      <c r="A1103" s="60" t="str">
        <f ca="1">_xlfn.IFNA(INDIRECT(_xlfn.TEXTJOIN("",TRUE,A1093,"!",ADDRESS(19+(A1094-1)*J1093,1))),"")</f>
        <v/>
      </c>
      <c r="B1103" s="61"/>
      <c r="C1103" s="57" t="str">
        <f ca="1">_xlfn.IFNA(INDIRECT(_xlfn.TEXTJOIN("",TRUE,A1093,"!",ADDRESS(19+(A1094-1)*J1093,2))),"")</f>
        <v/>
      </c>
      <c r="D1103" s="58"/>
      <c r="E1103" s="58"/>
      <c r="F1103" s="58"/>
      <c r="G1103" s="59"/>
      <c r="H1103" s="25" t="str">
        <f ca="1">_xlfn.IFNA(INDIRECT(_xlfn.TEXTJOIN("",TRUE,A1093,"!",ADDRESS(19+(A1094-1)*J1093,6))),"")</f>
        <v/>
      </c>
      <c r="I1103" s="25" t="str">
        <f ca="1">_xlfn.IFNA(INDIRECT(_xlfn.TEXTJOIN("",TRUE,A1093,"!",ADDRESS(19+(A1094-1)*J1093,13))),"")</f>
        <v/>
      </c>
      <c r="J1103" s="25" t="str">
        <f ca="1">_xlfn.IFNA(INDIRECT(_xlfn.TEXTJOIN("",TRUE,A1093,"!",ADDRESS(19+(A1094-1)*J1093,14))),"")</f>
        <v/>
      </c>
    </row>
    <row r="1104" spans="1:10" ht="10.5" customHeight="1" x14ac:dyDescent="0.2">
      <c r="A1104" s="71" t="str">
        <f ca="1">IF(ISNA(A1094),"","Total Credits/ Total Grade Points")</f>
        <v/>
      </c>
      <c r="B1104" s="71"/>
      <c r="C1104" s="71"/>
      <c r="D1104" s="71"/>
      <c r="E1104" s="71"/>
      <c r="F1104" s="71"/>
      <c r="G1104" s="71"/>
      <c r="H1104" s="27" t="str">
        <f ca="1">IF(ISNA(A1094),"",SUM(H1096:H1103))</f>
        <v/>
      </c>
      <c r="I1104" s="26" t="str">
        <f ca="1">IF(ISNA(A1094),"","-")</f>
        <v/>
      </c>
      <c r="J1104" s="27" t="str">
        <f ca="1">IF(ISNA(A1094),"",SUMPRODUCT(J1096:J1103,H1096:H1103))</f>
        <v/>
      </c>
    </row>
    <row r="1105" spans="1:10" ht="10.5" customHeight="1" x14ac:dyDescent="0.2">
      <c r="A1105" s="75" t="s">
        <v>137</v>
      </c>
      <c r="B1105" s="75"/>
      <c r="C1105" s="75"/>
      <c r="D1105" s="75"/>
      <c r="E1105" s="75"/>
      <c r="F1105" s="76" t="s">
        <v>138</v>
      </c>
      <c r="G1105" s="76"/>
      <c r="H1105" s="76"/>
      <c r="I1105" s="76"/>
      <c r="J1105" s="76"/>
    </row>
    <row r="1106" spans="1:10" ht="10.5" customHeight="1" x14ac:dyDescent="0.2">
      <c r="A1106" s="43" t="s">
        <v>139</v>
      </c>
      <c r="B1106" s="43"/>
      <c r="C1106" s="43"/>
      <c r="D1106" s="43"/>
      <c r="E1106" s="43"/>
      <c r="F1106" s="43"/>
      <c r="G1106" s="43"/>
      <c r="H1106" s="43"/>
      <c r="I1106" s="43"/>
      <c r="J1106" s="43"/>
    </row>
    <row r="1107" spans="1:10" ht="10.5" customHeight="1" x14ac:dyDescent="0.2">
      <c r="A1107" s="10"/>
      <c r="B1107" s="26"/>
      <c r="C1107" s="26" t="s">
        <v>140</v>
      </c>
      <c r="D1107" s="26" t="s">
        <v>141</v>
      </c>
      <c r="E1107" s="26" t="s">
        <v>142</v>
      </c>
      <c r="F1107" s="26" t="s">
        <v>143</v>
      </c>
      <c r="G1107" s="26" t="s">
        <v>144</v>
      </c>
      <c r="H1107" s="79" t="s">
        <v>145</v>
      </c>
      <c r="I1107" s="79"/>
      <c r="J1107" s="30"/>
    </row>
    <row r="1108" spans="1:10" ht="10.5" customHeight="1" x14ac:dyDescent="0.2">
      <c r="A1108" s="10"/>
      <c r="B1108" s="80" t="s">
        <v>146</v>
      </c>
      <c r="C1108" s="73">
        <f ca="1">J1064/H1064</f>
        <v>8.3958333333333339</v>
      </c>
      <c r="D1108" s="73" t="e">
        <f ca="1">J1079/H1079</f>
        <v>#VALUE!</v>
      </c>
      <c r="E1108" s="73" t="str">
        <f ca="1">IFERROR(J1092/H1092,"")</f>
        <v/>
      </c>
      <c r="F1108" s="73" t="str">
        <f ca="1">IFERROR(J1104/H1104,"")</f>
        <v/>
      </c>
      <c r="G1108" s="82">
        <f ca="1">F1110</f>
        <v>8.3958333333333339</v>
      </c>
      <c r="H1108" s="83" t="e">
        <f ca="1">IF(TC_IV!N245&lt;96,_xlfn.TEXTJOIN(" ",TRUE,"CARRY OVER",TC_I!V372,TC_II!V308,TC_III!V259,TC_IV!V244),IF(G1108&gt;=8,"First Division with Distinction",IF(G1108&gt;=6.5,"First Division",IF(G1108&gt;=5,"Second Division",IF(G1108&gt;=4,"Third Division","Fail")))))</f>
        <v>#N/A</v>
      </c>
      <c r="I1108" s="83"/>
      <c r="J1108" s="30"/>
    </row>
    <row r="1109" spans="1:10" ht="10.5" customHeight="1" x14ac:dyDescent="0.2">
      <c r="B1109" s="81"/>
      <c r="C1109" s="74"/>
      <c r="D1109" s="74"/>
      <c r="E1109" s="74"/>
      <c r="F1109" s="74"/>
      <c r="G1109" s="82"/>
      <c r="H1109" s="83"/>
      <c r="I1109" s="83"/>
    </row>
    <row r="1110" spans="1:10" ht="10.5" customHeight="1" x14ac:dyDescent="0.2">
      <c r="B1110" s="80" t="s">
        <v>48</v>
      </c>
      <c r="C1110" s="73">
        <f ca="1">J1064/H1064</f>
        <v>8.3958333333333339</v>
      </c>
      <c r="D1110" s="73">
        <f ca="1">SUM(J1079,J1064)/SUM(H1079,H1064)</f>
        <v>8.3958333333333339</v>
      </c>
      <c r="E1110" s="73">
        <f ca="1">SUM(J1092,J1079,J1064)/SUM(H1092,H1079,H1064)</f>
        <v>8.3958333333333339</v>
      </c>
      <c r="F1110" s="73">
        <f ca="1">SUM(J1104,J1092,J1079,J1064)/SUM(H1064,H1079,H1092,H1104)</f>
        <v>8.3958333333333339</v>
      </c>
      <c r="G1110" s="82"/>
      <c r="H1110" s="83"/>
      <c r="I1110" s="83"/>
    </row>
    <row r="1111" spans="1:10" ht="10.5" customHeight="1" x14ac:dyDescent="0.2">
      <c r="B1111" s="81"/>
      <c r="C1111" s="74"/>
      <c r="D1111" s="74"/>
      <c r="E1111" s="74"/>
      <c r="F1111" s="74"/>
      <c r="G1111" s="82"/>
      <c r="H1111" s="83"/>
      <c r="I1111" s="83"/>
    </row>
    <row r="1113" spans="1:10" ht="10.5" customHeight="1" x14ac:dyDescent="0.2">
      <c r="A1113" s="56" t="s">
        <v>24</v>
      </c>
      <c r="B1113" s="56"/>
      <c r="C1113" s="56" t="str">
        <f ca="1">INDIRECT(_xlfn.TEXTJOIN("",TRUE,A1115,"!",ADDRESS(9+(A1116-1)*J1115,2)))</f>
        <v>SAURAV DHAPOLA</v>
      </c>
      <c r="D1113" s="56"/>
      <c r="E1113" s="56"/>
      <c r="F1113" s="56" t="s">
        <v>135</v>
      </c>
      <c r="G1113" s="56"/>
      <c r="H1113" s="62">
        <f ca="1">INDIRECT(_xlfn.TEXTJOIN("",TRUE,A1115,"!",ADDRESS(9+(A1116-1)*J1115,9)))</f>
        <v>250090600017</v>
      </c>
      <c r="I1113" s="56"/>
      <c r="J1113" s="56"/>
    </row>
    <row r="1114" spans="1:10" ht="10.5" customHeight="1" x14ac:dyDescent="0.2">
      <c r="A1114" s="56" t="s">
        <v>25</v>
      </c>
      <c r="B1114" s="56"/>
      <c r="C1114" s="56" t="str">
        <f ca="1">INDIRECT(_xlfn.TEXTJOIN("",TRUE,A1115,"!",ADDRESS(9+(A1116-1)*J1115,5)))</f>
        <v>NARENDRA SINGH</v>
      </c>
      <c r="D1114" s="56"/>
      <c r="E1114" s="56"/>
      <c r="F1114" s="47" t="s">
        <v>136</v>
      </c>
      <c r="G1114" s="47"/>
      <c r="H1114" s="62" t="str">
        <f ca="1">INDIRECT(_xlfn.TEXTJOIN("",TRUE,A1115,"!",ADDRESS(9+(A1116-1)*J1115,13)))</f>
        <v>UTU/2506100148</v>
      </c>
      <c r="I1114" s="56"/>
      <c r="J1114" s="56"/>
    </row>
    <row r="1115" spans="1:10" ht="10.5" customHeight="1" x14ac:dyDescent="0.2">
      <c r="A1115" s="24" t="s">
        <v>53</v>
      </c>
      <c r="B1115" s="43" t="s">
        <v>148</v>
      </c>
      <c r="C1115" s="43"/>
      <c r="D1115" s="43"/>
      <c r="E1115" s="43"/>
      <c r="F1115" s="43"/>
      <c r="G1115" s="43"/>
      <c r="H1115" s="43"/>
      <c r="I1115" s="43"/>
      <c r="J1115" s="24">
        <f>ROWS(A1119:B1132)+9</f>
        <v>23</v>
      </c>
    </row>
    <row r="1116" spans="1:10" ht="10.5" customHeight="1" x14ac:dyDescent="0.2">
      <c r="A1116" s="24">
        <f>A1047+1</f>
        <v>17</v>
      </c>
      <c r="B1116" s="63"/>
      <c r="C1116" s="63"/>
      <c r="D1116" s="63"/>
      <c r="E1116" s="63"/>
      <c r="F1116" s="63"/>
      <c r="G1116" s="63"/>
      <c r="H1116" s="63"/>
      <c r="I1116" s="63"/>
      <c r="J1116" s="29"/>
    </row>
    <row r="1117" spans="1:10" ht="10.5" customHeight="1" x14ac:dyDescent="0.2">
      <c r="A1117" s="64" t="s">
        <v>28</v>
      </c>
      <c r="B1117" s="64"/>
      <c r="C1117" s="64" t="s">
        <v>29</v>
      </c>
      <c r="D1117" s="64"/>
      <c r="E1117" s="64"/>
      <c r="F1117" s="64"/>
      <c r="G1117" s="64"/>
      <c r="H1117" s="64" t="s">
        <v>30</v>
      </c>
      <c r="I1117" s="64" t="s">
        <v>9</v>
      </c>
      <c r="J1117" s="64" t="s">
        <v>34</v>
      </c>
    </row>
    <row r="1118" spans="1:10" ht="14" customHeight="1" x14ac:dyDescent="0.2">
      <c r="A1118" s="64"/>
      <c r="B1118" s="64"/>
      <c r="C1118" s="64"/>
      <c r="D1118" s="64"/>
      <c r="E1118" s="64"/>
      <c r="F1118" s="64"/>
      <c r="G1118" s="64"/>
      <c r="H1118" s="64"/>
      <c r="I1118" s="64"/>
      <c r="J1118" s="64"/>
    </row>
    <row r="1119" spans="1:10" ht="10.5" customHeight="1" x14ac:dyDescent="0.2">
      <c r="A1119" s="65" t="str">
        <f ca="1">INDIRECT(_xlfn.TEXTJOIN("",TRUE,A1115,"!",ADDRESS(13+(A1116-1)*J1115,1)))</f>
        <v>CAT 004</v>
      </c>
      <c r="B1119" s="65"/>
      <c r="C1119" s="66" t="str">
        <f ca="1">INDIRECT(_xlfn.TEXTJOIN("",TRUE,A1115,"!",ADDRESS(13+(A1116-1)*J1115,2)))</f>
        <v>Discrete Structure</v>
      </c>
      <c r="D1119" s="66"/>
      <c r="E1119" s="66"/>
      <c r="F1119" s="66"/>
      <c r="G1119" s="66"/>
      <c r="H1119" s="25">
        <f ca="1">INDIRECT(_xlfn.TEXTJOIN("",TRUE,A1115,"!",ADDRESS(13+(A1116-1)*J1115,6)))</f>
        <v>4</v>
      </c>
      <c r="I1119" s="25" t="str">
        <f ca="1">INDIRECT(_xlfn.TEXTJOIN("",TRUE,A1115,"!",ADDRESS(13+(A1116-1)*J1115,13)))</f>
        <v>D+</v>
      </c>
      <c r="J1119" s="25">
        <f ca="1">INDIRECT(_xlfn.TEXTJOIN("",TRUE,A1115,"!",ADDRESS(13+(A1116-1)*J1115,14)))</f>
        <v>6.5</v>
      </c>
    </row>
    <row r="1120" spans="1:10" ht="10.5" customHeight="1" x14ac:dyDescent="0.2">
      <c r="A1120" s="65" t="str">
        <f ca="1">INDIRECT(_xlfn.TEXTJOIN("",TRUE,A1115,"!",ADDRESS(14+(A1116-1)*J1115,1)))</f>
        <v>CAT 005</v>
      </c>
      <c r="B1120" s="65"/>
      <c r="C1120" s="66" t="str">
        <f ca="1">INDIRECT(_xlfn.TEXTJOIN("",TRUE,A1115,"!",ADDRESS(14+(A1116-1)*J1115,2)))</f>
        <v>Database Management System</v>
      </c>
      <c r="D1120" s="66"/>
      <c r="E1120" s="66"/>
      <c r="F1120" s="66"/>
      <c r="G1120" s="66"/>
      <c r="H1120" s="25">
        <f ca="1">INDIRECT(_xlfn.TEXTJOIN("",TRUE,A1115,"!",ADDRESS(14+(A1116-1)*J1115,6)))</f>
        <v>4</v>
      </c>
      <c r="I1120" s="25" t="str">
        <f ca="1">INDIRECT(_xlfn.TEXTJOIN("",TRUE,A1115,"!",ADDRESS(14+(A1116-1)*J1115,13)))</f>
        <v>D</v>
      </c>
      <c r="J1120" s="25">
        <f ca="1">INDIRECT(_xlfn.TEXTJOIN("",TRUE,A1115,"!",ADDRESS(14+(A1116-1)*J1115,14)))</f>
        <v>6</v>
      </c>
    </row>
    <row r="1121" spans="1:10" ht="10.5" customHeight="1" x14ac:dyDescent="0.2">
      <c r="A1121" s="65" t="str">
        <f ca="1">INDIRECT(_xlfn.TEXTJOIN("",TRUE,A1115,"!",ADDRESS(15+(A1116-1)*J1115,1)))</f>
        <v>CAT 006</v>
      </c>
      <c r="B1121" s="65"/>
      <c r="C1121" s="66" t="str">
        <f ca="1">INDIRECT(_xlfn.TEXTJOIN("",TRUE,A1115,"!",ADDRESS(15+(A1116-1)*J1115,2)))</f>
        <v>Operating System</v>
      </c>
      <c r="D1121" s="66"/>
      <c r="E1121" s="66"/>
      <c r="F1121" s="66"/>
      <c r="G1121" s="66"/>
      <c r="H1121" s="25">
        <f ca="1">INDIRECT(_xlfn.TEXTJOIN("",TRUE,A1115,"!",ADDRESS(15+(A1116-1)*J1115,6)))</f>
        <v>4</v>
      </c>
      <c r="I1121" s="25" t="str">
        <f ca="1">INDIRECT(_xlfn.TEXTJOIN("",TRUE,A1115,"!",ADDRESS(15+(A1116-1)*J1115,13)))</f>
        <v>B+</v>
      </c>
      <c r="J1121" s="25">
        <f ca="1">INDIRECT(_xlfn.TEXTJOIN("",TRUE,A1115,"!",ADDRESS(15+(A1116-1)*J1115,14)))</f>
        <v>8.5</v>
      </c>
    </row>
    <row r="1122" spans="1:10" ht="10.5" customHeight="1" x14ac:dyDescent="0.2">
      <c r="A1122" s="65" t="str">
        <f ca="1">INDIRECT(_xlfn.TEXTJOIN("",TRUE,A1115,"!",ADDRESS(16+(A1116-1)*J1115,1)))</f>
        <v>CAT 007</v>
      </c>
      <c r="B1122" s="65"/>
      <c r="C1122" s="66" t="str">
        <f ca="1">INDIRECT(_xlfn.TEXTJOIN("",TRUE,A1115,"!",ADDRESS(16+(A1116-1)*J1115,2)))</f>
        <v>Computer Organization</v>
      </c>
      <c r="D1122" s="66"/>
      <c r="E1122" s="66"/>
      <c r="F1122" s="66"/>
      <c r="G1122" s="66"/>
      <c r="H1122" s="25">
        <f ca="1">INDIRECT(_xlfn.TEXTJOIN("",TRUE,A1115,"!",ADDRESS(16+(A1116-1)*J1115,6)))</f>
        <v>4</v>
      </c>
      <c r="I1122" s="25" t="str">
        <f ca="1">INDIRECT(_xlfn.TEXTJOIN("",TRUE,A1115,"!",ADDRESS(16+(A1116-1)*J1115,13)))</f>
        <v>E</v>
      </c>
      <c r="J1122" s="25">
        <f ca="1">INDIRECT(_xlfn.TEXTJOIN("",TRUE,A1115,"!",ADDRESS(16+(A1116-1)*J1115,14)))</f>
        <v>5</v>
      </c>
    </row>
    <row r="1123" spans="1:10" ht="10.5" customHeight="1" x14ac:dyDescent="0.2">
      <c r="A1123" s="65" t="str">
        <f ca="1">INDIRECT(_xlfn.TEXTJOIN("",TRUE,A1115,"!",ADDRESS(17+(A1116-1)*J1115,1)))</f>
        <v>AHT 303</v>
      </c>
      <c r="B1123" s="65"/>
      <c r="C1123" s="66" t="str">
        <f ca="1">INDIRECT(_xlfn.TEXTJOIN("",TRUE,A1115,"!",ADDRESS(17+(A1116-1)*J1115,2)))</f>
        <v>Technical Communication Skills</v>
      </c>
      <c r="D1123" s="66"/>
      <c r="E1123" s="66"/>
      <c r="F1123" s="66"/>
      <c r="G1123" s="66"/>
      <c r="H1123" s="25">
        <f ca="1">INDIRECT(_xlfn.TEXTJOIN("",TRUE,A1115,"!",ADDRESS(17+(A1116-1)*J1115,6)))</f>
        <v>4</v>
      </c>
      <c r="I1123" s="25" t="str">
        <f ca="1">INDIRECT(_xlfn.TEXTJOIN("",TRUE,A1115,"!",ADDRESS(17+(A1116-1)*J1115,13)))</f>
        <v>C+</v>
      </c>
      <c r="J1123" s="25">
        <f ca="1">INDIRECT(_xlfn.TEXTJOIN("",TRUE,A1115,"!",ADDRESS(17+(A1116-1)*J1115,14)))</f>
        <v>7.5</v>
      </c>
    </row>
    <row r="1124" spans="1:10" ht="10.5" customHeight="1" x14ac:dyDescent="0.2">
      <c r="A1124" s="65" t="str">
        <f ca="1">INDIRECT(_xlfn.TEXTJOIN("",TRUE,A1115,"!",ADDRESS(18+(A1116-1)*J1115,1)))</f>
        <v>CAT 008</v>
      </c>
      <c r="B1124" s="65"/>
      <c r="C1124" s="66" t="str">
        <f ca="1">INDIRECT(_xlfn.TEXTJOIN("",TRUE,A1115,"!",ADDRESS(18+(A1116-1)*J1115,2)))</f>
        <v>Python Programming ($)</v>
      </c>
      <c r="D1124" s="66"/>
      <c r="E1124" s="66"/>
      <c r="F1124" s="66"/>
      <c r="G1124" s="66"/>
      <c r="H1124" s="25">
        <f ca="1">INDIRECT(_xlfn.TEXTJOIN("",TRUE,A1115,"!",ADDRESS(18+(A1116-1)*J1115,6)))</f>
        <v>0</v>
      </c>
      <c r="I1124" s="25" t="str">
        <f ca="1">INDIRECT(_xlfn.TEXTJOIN("",TRUE,A1115,"!",ADDRESS(18+(A1116-1)*J1115,13)))</f>
        <v>D</v>
      </c>
      <c r="J1124" s="25">
        <f ca="1">INDIRECT(_xlfn.TEXTJOIN("",TRUE,A1115,"!",ADDRESS(18+(A1116-1)*J1115,14)))</f>
        <v>6</v>
      </c>
    </row>
    <row r="1125" spans="1:10" ht="10.5" customHeight="1" x14ac:dyDescent="0.2">
      <c r="A1125" s="60" t="str">
        <f ca="1">INDIRECT(_xlfn.TEXTJOIN("",TRUE,A1115,"!",ADDRESS(19+(A1116-1)*J1115,1)))</f>
        <v>CAT 001</v>
      </c>
      <c r="B1125" s="61"/>
      <c r="C1125" s="57" t="str">
        <f ca="1">INDIRECT(_xlfn.TEXTJOIN("",TRUE,A1115,"!",ADDRESS(19+(A1116-1)*J1115,2)))</f>
        <v>Introduction of Information Technology ($)</v>
      </c>
      <c r="D1125" s="58"/>
      <c r="E1125" s="58"/>
      <c r="F1125" s="58"/>
      <c r="G1125" s="59"/>
      <c r="H1125" s="25">
        <f ca="1">INDIRECT(_xlfn.TEXTJOIN("",TRUE,A1115,"!",ADDRESS(19+(A1116-1)*J1115,6)))</f>
        <v>0</v>
      </c>
      <c r="I1125" s="25" t="str">
        <f ca="1">INDIRECT(_xlfn.TEXTJOIN("",TRUE,A1115,"!",ADDRESS(19+(A1116-1)*J1115,13)))</f>
        <v>-</v>
      </c>
      <c r="J1125" s="25" t="str">
        <f ca="1">INDIRECT(_xlfn.TEXTJOIN("",TRUE,A1115,"!",ADDRESS(19+(A1116-1)*J1115,14)))</f>
        <v>-</v>
      </c>
    </row>
    <row r="1126" spans="1:10" ht="10.5" customHeight="1" x14ac:dyDescent="0.2">
      <c r="A1126" s="65" t="str">
        <f ca="1">INDIRECT(_xlfn.TEXTJOIN("",TRUE,A1115,"!",ADDRESS(20+(A1116-1)*J1115,1)))</f>
        <v>CAT 002</v>
      </c>
      <c r="B1126" s="65"/>
      <c r="C1126" s="66" t="str">
        <f ca="1">INDIRECT(_xlfn.TEXTJOIN("",TRUE,A1115,"!",ADDRESS(20+(A1116-1)*J1115,2)))</f>
        <v>Programming Fundamentals with "C" ($)</v>
      </c>
      <c r="D1126" s="66"/>
      <c r="E1126" s="66"/>
      <c r="F1126" s="66"/>
      <c r="G1126" s="66"/>
      <c r="H1126" s="25">
        <f ca="1">INDIRECT(_xlfn.TEXTJOIN("",TRUE,A1115,"!",ADDRESS(20+(A1116-1)*J1115,6)))</f>
        <v>0</v>
      </c>
      <c r="I1126" s="25" t="str">
        <f ca="1">INDIRECT(_xlfn.TEXTJOIN("",TRUE,A1115,"!",ADDRESS(20+(A1116-1)*J1115,13)))</f>
        <v>-</v>
      </c>
      <c r="J1126" s="25" t="str">
        <f ca="1">INDIRECT(_xlfn.TEXTJOIN("",TRUE,A1115,"!",ADDRESS(20+(A1116-1)*J1115,14)))</f>
        <v>-</v>
      </c>
    </row>
    <row r="1127" spans="1:10" ht="10.5" customHeight="1" x14ac:dyDescent="0.2">
      <c r="A1127" s="65" t="str">
        <f ca="1">INDIRECT(_xlfn.TEXTJOIN("",TRUE,A1115,"!",ADDRESS(21+(A1116-1)*J1115,1)))</f>
        <v>CAT 003</v>
      </c>
      <c r="B1127" s="65"/>
      <c r="C1127" s="66" t="str">
        <f ca="1">INDIRECT(_xlfn.TEXTJOIN("",TRUE,A1115,"!",ADDRESS(21+(A1116-1)*J1115,2)))</f>
        <v>Fundamental of Web Technology ($)</v>
      </c>
      <c r="D1127" s="66"/>
      <c r="E1127" s="66"/>
      <c r="F1127" s="66"/>
      <c r="G1127" s="66"/>
      <c r="H1127" s="25">
        <f ca="1">INDIRECT(_xlfn.TEXTJOIN("",TRUE,A1115,"!",ADDRESS(21+(A1116-1)*J1115,6)))</f>
        <v>0</v>
      </c>
      <c r="I1127" s="25" t="str">
        <f ca="1">INDIRECT(_xlfn.TEXTJOIN("",TRUE,A1115,"!",ADDRESS(21+(A1116-1)*J1115,13)))</f>
        <v>-</v>
      </c>
      <c r="J1127" s="25" t="str">
        <f ca="1">INDIRECT(_xlfn.TEXTJOIN("",TRUE,A1115,"!",ADDRESS(21+(A1116-1)*J1115,14)))</f>
        <v>-</v>
      </c>
    </row>
    <row r="1128" spans="1:10" ht="10.5" customHeight="1" x14ac:dyDescent="0.2">
      <c r="A1128" s="65" t="str">
        <f ca="1">INDIRECT(_xlfn.TEXTJOIN("",TRUE,A1115,"!",ADDRESS(22+(A1116-1)*J1115,1)))</f>
        <v>CAP 001</v>
      </c>
      <c r="B1128" s="65"/>
      <c r="C1128" s="66" t="str">
        <f ca="1">INDIRECT(_xlfn.TEXTJOIN("",TRUE,A1115,"!",ADDRESS(22+(A1116-1)*J1115,2)))</f>
        <v>Database Management System Lab</v>
      </c>
      <c r="D1128" s="66"/>
      <c r="E1128" s="66"/>
      <c r="F1128" s="66"/>
      <c r="G1128" s="66"/>
      <c r="H1128" s="25">
        <f ca="1">INDIRECT(_xlfn.TEXTJOIN("",TRUE,A1115,"!",ADDRESS(22+(A1116-1)*J1115,6)))</f>
        <v>1</v>
      </c>
      <c r="I1128" s="25" t="str">
        <f ca="1">INDIRECT(_xlfn.TEXTJOIN("",TRUE,A1115,"!",ADDRESS(22+(A1116-1)*J1115,13)))</f>
        <v>A</v>
      </c>
      <c r="J1128" s="25">
        <f ca="1">INDIRECT(_xlfn.TEXTJOIN("",TRUE,A1115,"!",ADDRESS(22+(A1116-1)*J1115,14)))</f>
        <v>9</v>
      </c>
    </row>
    <row r="1129" spans="1:10" ht="10.5" customHeight="1" x14ac:dyDescent="0.2">
      <c r="A1129" s="65" t="str">
        <f ca="1">INDIRECT(_xlfn.TEXTJOIN("",TRUE,A1115,"!",ADDRESS(23+(A1116-1)*J1115,1)))</f>
        <v>CAP 002</v>
      </c>
      <c r="B1129" s="65"/>
      <c r="C1129" s="66" t="str">
        <f ca="1">INDIRECT(_xlfn.TEXTJOIN("",TRUE,A1115,"!",ADDRESS(23+(A1116-1)*J1115,2)))</f>
        <v>Operating System Lab</v>
      </c>
      <c r="D1129" s="66"/>
      <c r="E1129" s="66"/>
      <c r="F1129" s="66"/>
      <c r="G1129" s="66"/>
      <c r="H1129" s="25">
        <f ca="1">INDIRECT(_xlfn.TEXTJOIN("",TRUE,A1115,"!",ADDRESS(23+(A1116-1)*J1115,6)))</f>
        <v>1</v>
      </c>
      <c r="I1129" s="25" t="str">
        <f ca="1">INDIRECT(_xlfn.TEXTJOIN("",TRUE,A1115,"!",ADDRESS(23+(A1116-1)*J1115,13)))</f>
        <v>A+</v>
      </c>
      <c r="J1129" s="25">
        <f ca="1">INDIRECT(_xlfn.TEXTJOIN("",TRUE,A1115,"!",ADDRESS(23+(A1116-1)*J1115,14)))</f>
        <v>9.5</v>
      </c>
    </row>
    <row r="1130" spans="1:10" ht="10.5" customHeight="1" x14ac:dyDescent="0.2">
      <c r="A1130" s="65" t="str">
        <f ca="1">INDIRECT(_xlfn.TEXTJOIN("",TRUE,A1115,"!",ADDRESS(24+(A1116-1)*J1115,1)))</f>
        <v>CAP 003</v>
      </c>
      <c r="B1130" s="65"/>
      <c r="C1130" s="66" t="str">
        <f ca="1">INDIRECT(_xlfn.TEXTJOIN("",TRUE,A1115,"!",ADDRESS(24+(A1116-1)*J1115,2)))</f>
        <v>Computer Organization Lab</v>
      </c>
      <c r="D1130" s="66"/>
      <c r="E1130" s="66"/>
      <c r="F1130" s="66"/>
      <c r="G1130" s="66"/>
      <c r="H1130" s="25">
        <f ca="1">INDIRECT(_xlfn.TEXTJOIN("",TRUE,A1115,"!",ADDRESS(24+(A1116-1)*J1115,6)))</f>
        <v>1</v>
      </c>
      <c r="I1130" s="25" t="str">
        <f ca="1">INDIRECT(_xlfn.TEXTJOIN("",TRUE,A1115,"!",ADDRESS(24+(A1116-1)*J1115,13)))</f>
        <v>A</v>
      </c>
      <c r="J1130" s="25">
        <f ca="1">INDIRECT(_xlfn.TEXTJOIN("",TRUE,A1115,"!",ADDRESS(24+(A1116-1)*J1115,14)))</f>
        <v>9</v>
      </c>
    </row>
    <row r="1131" spans="1:10" ht="10.5" customHeight="1" x14ac:dyDescent="0.2">
      <c r="A1131" s="65" t="str">
        <f ca="1">INDIRECT(_xlfn.TEXTJOIN("",TRUE,A1115,"!",ADDRESS(25+(A1116-1)*J1115,1)))</f>
        <v>AHP 303</v>
      </c>
      <c r="B1131" s="65"/>
      <c r="C1131" s="66" t="str">
        <f ca="1">INDIRECT(_xlfn.TEXTJOIN("",TRUE,A1115,"!",ADDRESS(25+(A1116-1)*J1115,2)))</f>
        <v>Technical Communication Skills</v>
      </c>
      <c r="D1131" s="66"/>
      <c r="E1131" s="66"/>
      <c r="F1131" s="66"/>
      <c r="G1131" s="66"/>
      <c r="H1131" s="25">
        <f ca="1">INDIRECT(_xlfn.TEXTJOIN("",TRUE,A1115,"!",ADDRESS(25+(A1116-1)*J1115,6)))</f>
        <v>1</v>
      </c>
      <c r="I1131" s="25" t="str">
        <f ca="1">INDIRECT(_xlfn.TEXTJOIN("",TRUE,A1115,"!",ADDRESS(25+(A1116-1)*J1115,13)))</f>
        <v>B+</v>
      </c>
      <c r="J1131" s="25">
        <f ca="1">INDIRECT(_xlfn.TEXTJOIN("",TRUE,A1115,"!",ADDRESS(25+(A1116-1)*J1115,14)))</f>
        <v>8.5</v>
      </c>
    </row>
    <row r="1132" spans="1:10" s="35" customFormat="1" ht="10.5" customHeight="1" x14ac:dyDescent="0.2">
      <c r="A1132" s="77">
        <f ca="1">INDIRECT(_xlfn.TEXTJOIN("",TRUE,A1115,"!",ADDRESS(26+(A1116-1)*J1115,1)))</f>
        <v>0</v>
      </c>
      <c r="B1132" s="77"/>
      <c r="C1132" s="78">
        <f ca="1">INDIRECT(_xlfn.TEXTJOIN("",TRUE,A1115,"!",ADDRESS(26+(A1116-1)*J1115,2)))</f>
        <v>0</v>
      </c>
      <c r="D1132" s="78"/>
      <c r="E1132" s="78"/>
      <c r="F1132" s="78"/>
      <c r="G1132" s="78"/>
      <c r="H1132" s="34">
        <f ca="1">INDIRECT(_xlfn.TEXTJOIN("",TRUE,A1115,"!",ADDRESS(26+(A1116-1)*J1115,6)))</f>
        <v>0</v>
      </c>
      <c r="I1132" s="34" t="str">
        <f ca="1">INDIRECT(_xlfn.TEXTJOIN("",TRUE,A1115,"!",ADDRESS(26+(A1116-1)*J1115,13)))</f>
        <v>Excellent</v>
      </c>
      <c r="J1132" s="34">
        <f ca="1">INDIRECT(_xlfn.TEXTJOIN("",TRUE,A1115,"!",ADDRESS(26+(A1116-1)*J1115,14)))</f>
        <v>0</v>
      </c>
    </row>
    <row r="1133" spans="1:10" ht="10.5" customHeight="1" x14ac:dyDescent="0.2">
      <c r="A1133" s="71" t="s">
        <v>52</v>
      </c>
      <c r="B1133" s="71"/>
      <c r="C1133" s="71"/>
      <c r="D1133" s="71"/>
      <c r="E1133" s="71"/>
      <c r="F1133" s="71"/>
      <c r="G1133" s="71"/>
      <c r="H1133" s="27">
        <f ca="1">SUM(H1119:H1132)</f>
        <v>24</v>
      </c>
      <c r="I1133" s="26" t="s">
        <v>44</v>
      </c>
      <c r="J1133" s="27">
        <f ca="1">SUMPRODUCT(J1119:J1131,H1119:H1131)</f>
        <v>170</v>
      </c>
    </row>
    <row r="1134" spans="1:10" ht="10.5" customHeight="1" x14ac:dyDescent="0.2">
      <c r="A1134" s="24" t="s">
        <v>57</v>
      </c>
      <c r="B1134" s="72" t="str">
        <f ca="1">IF(ISNA(A1135),"","Semester II (Spring Semester 2022-23)")</f>
        <v/>
      </c>
      <c r="C1134" s="72"/>
      <c r="D1134" s="72"/>
      <c r="E1134" s="72"/>
      <c r="F1134" s="72"/>
      <c r="G1134" s="72"/>
      <c r="H1134" s="72"/>
      <c r="I1134" s="72"/>
      <c r="J1134" s="24">
        <f>ROWS(A1138:B1147)+9</f>
        <v>19</v>
      </c>
    </row>
    <row r="1135" spans="1:10" ht="10.5" customHeight="1" x14ac:dyDescent="0.2">
      <c r="A1135" s="24" t="e">
        <f ca="1">INDEX(SEM_II!$A$6:$A$45,Marksheets!J1135)</f>
        <v>#N/A</v>
      </c>
      <c r="B1135" s="63"/>
      <c r="C1135" s="63"/>
      <c r="D1135" s="63"/>
      <c r="E1135" s="63"/>
      <c r="F1135" s="63"/>
      <c r="G1135" s="63"/>
      <c r="H1135" s="63"/>
      <c r="I1135" s="63"/>
      <c r="J1135" s="24" t="e">
        <f ca="1">MATCH(H1113,SEM_II!$B$6:$B$45,0)</f>
        <v>#N/A</v>
      </c>
    </row>
    <row r="1136" spans="1:10" ht="10.5" customHeight="1" x14ac:dyDescent="0.2">
      <c r="A1136" s="64" t="str">
        <f ca="1">IF(ISNA(A1135),"","Subject Code")</f>
        <v/>
      </c>
      <c r="B1136" s="64"/>
      <c r="C1136" s="64" t="str">
        <f ca="1">IF(ISNA(A1135),"","Subject Name")</f>
        <v/>
      </c>
      <c r="D1136" s="64"/>
      <c r="E1136" s="64"/>
      <c r="F1136" s="64"/>
      <c r="G1136" s="64"/>
      <c r="H1136" s="64" t="str">
        <f ca="1">IF(ISNA(A1135),"","Credits")</f>
        <v/>
      </c>
      <c r="I1136" s="64" t="str">
        <f ca="1">IF(ISNA(A1135),"","Grade")</f>
        <v/>
      </c>
      <c r="J1136" s="64" t="str">
        <f ca="1">IF(ISNA(A1135),"","Grade Points")</f>
        <v/>
      </c>
    </row>
    <row r="1137" spans="1:10" ht="13.5" customHeight="1" x14ac:dyDescent="0.2">
      <c r="A1137" s="64"/>
      <c r="B1137" s="64"/>
      <c r="C1137" s="64"/>
      <c r="D1137" s="64"/>
      <c r="E1137" s="64"/>
      <c r="F1137" s="64"/>
      <c r="G1137" s="64"/>
      <c r="H1137" s="64"/>
      <c r="I1137" s="64"/>
      <c r="J1137" s="64"/>
    </row>
    <row r="1138" spans="1:10" ht="10.5" customHeight="1" x14ac:dyDescent="0.2">
      <c r="A1138" s="65" t="str">
        <f ca="1">_xlfn.IFNA(INDIRECT(_xlfn.TEXTJOIN("",TRUE,A1134,"!",ADDRESS(13+(A1135-1)*J1134,1))),"")</f>
        <v/>
      </c>
      <c r="B1138" s="65"/>
      <c r="C1138" s="66" t="str">
        <f ca="1">_xlfn.IFNA(INDIRECT(_xlfn.TEXTJOIN("",TRUE,A1134,"!",ADDRESS(13+(A1135-1)*J1134,2))),"")</f>
        <v/>
      </c>
      <c r="D1138" s="66"/>
      <c r="E1138" s="66"/>
      <c r="F1138" s="66"/>
      <c r="G1138" s="66"/>
      <c r="H1138" s="25" t="str">
        <f ca="1">_xlfn.IFNA(INDIRECT(_xlfn.TEXTJOIN("",TRUE,A1134,"!",ADDRESS(13+(A1135-1)*J1134,6))),"")</f>
        <v/>
      </c>
      <c r="I1138" s="25" t="str">
        <f ca="1">_xlfn.IFNA(INDIRECT(_xlfn.TEXTJOIN("",TRUE,A1134,"!",ADDRESS(13+(A1135-1)*J1134,13))),"")</f>
        <v/>
      </c>
      <c r="J1138" s="25" t="str">
        <f ca="1">_xlfn.IFNA(INDIRECT(_xlfn.TEXTJOIN("",TRUE,A1134,"!",ADDRESS(13+(A1135-1)*J1134,14))),"")</f>
        <v/>
      </c>
    </row>
    <row r="1139" spans="1:10" ht="10.5" customHeight="1" x14ac:dyDescent="0.2">
      <c r="A1139" s="65" t="str">
        <f ca="1">_xlfn.IFNA(INDIRECT(_xlfn.TEXTJOIN("",TRUE,A1134,"!",ADDRESS(14+(A1135-1)*J1134,1))),"")</f>
        <v/>
      </c>
      <c r="B1139" s="65"/>
      <c r="C1139" s="66" t="str">
        <f ca="1">_xlfn.IFNA(INDIRECT(_xlfn.TEXTJOIN("",TRUE,A1134,"!",ADDRESS(14+(A1135-1)*J1134,2))),"")</f>
        <v/>
      </c>
      <c r="D1139" s="66"/>
      <c r="E1139" s="66"/>
      <c r="F1139" s="66"/>
      <c r="G1139" s="66"/>
      <c r="H1139" s="25" t="str">
        <f ca="1">_xlfn.IFNA(INDIRECT(_xlfn.TEXTJOIN("",TRUE,A1134,"!",ADDRESS(14+(A1135-1)*J1134,6))),"")</f>
        <v/>
      </c>
      <c r="I1139" s="25" t="str">
        <f ca="1">_xlfn.IFNA(INDIRECT(_xlfn.TEXTJOIN("",TRUE,A1134,"!",ADDRESS(14+(A1135-1)*J1134,13))),"")</f>
        <v/>
      </c>
      <c r="J1139" s="25" t="str">
        <f ca="1">_xlfn.IFNA(INDIRECT(_xlfn.TEXTJOIN("",TRUE,A1134,"!",ADDRESS(14+(A1135-1)*J1134,14))),"")</f>
        <v/>
      </c>
    </row>
    <row r="1140" spans="1:10" ht="10.5" customHeight="1" x14ac:dyDescent="0.2">
      <c r="A1140" s="65" t="str">
        <f ca="1">_xlfn.IFNA(INDIRECT(_xlfn.TEXTJOIN("",TRUE,A1134,"!",ADDRESS(15+(A1135-1)*J1134,1))),"")</f>
        <v/>
      </c>
      <c r="B1140" s="65"/>
      <c r="C1140" s="66" t="str">
        <f ca="1">_xlfn.IFNA(INDIRECT(_xlfn.TEXTJOIN("",TRUE,A1134,"!",ADDRESS(15+(A1135-1)*J1134,2))),"")</f>
        <v/>
      </c>
      <c r="D1140" s="66"/>
      <c r="E1140" s="66"/>
      <c r="F1140" s="66"/>
      <c r="G1140" s="66"/>
      <c r="H1140" s="25" t="str">
        <f ca="1">_xlfn.IFNA(INDIRECT(_xlfn.TEXTJOIN("",TRUE,A1134,"!",ADDRESS(15+(A1135-1)*J1134,6))),"")</f>
        <v/>
      </c>
      <c r="I1140" s="25" t="str">
        <f ca="1">_xlfn.IFNA(INDIRECT(_xlfn.TEXTJOIN("",TRUE,A1134,"!",ADDRESS(15+(A1135-1)*J1134,13))),"")</f>
        <v/>
      </c>
      <c r="J1140" s="25" t="str">
        <f ca="1">_xlfn.IFNA(INDIRECT(_xlfn.TEXTJOIN("",TRUE,A1134,"!",ADDRESS(15+(A1135-1)*J1134,14))),"")</f>
        <v/>
      </c>
    </row>
    <row r="1141" spans="1:10" ht="10.5" customHeight="1" x14ac:dyDescent="0.2">
      <c r="A1141" s="65" t="str">
        <f ca="1">_xlfn.IFNA(INDIRECT(_xlfn.TEXTJOIN("",TRUE,A1134,"!",ADDRESS(16+(A1135-1)*J1134,1))),"")</f>
        <v/>
      </c>
      <c r="B1141" s="65"/>
      <c r="C1141" s="66" t="str">
        <f ca="1">_xlfn.IFNA(INDIRECT(_xlfn.TEXTJOIN("",TRUE,A1134,"!",ADDRESS(16+(A1135-1)*J1134,2))),"")</f>
        <v/>
      </c>
      <c r="D1141" s="66"/>
      <c r="E1141" s="66"/>
      <c r="F1141" s="66"/>
      <c r="G1141" s="66"/>
      <c r="H1141" s="25" t="str">
        <f ca="1">_xlfn.IFNA(INDIRECT(_xlfn.TEXTJOIN("",TRUE,A1134,"!",ADDRESS(16+(A1135-1)*J1134,6))),"")</f>
        <v/>
      </c>
      <c r="I1141" s="25" t="str">
        <f ca="1">_xlfn.IFNA(INDIRECT(_xlfn.TEXTJOIN("",TRUE,A1134,"!",ADDRESS(16+(A1135-1)*J1134,13))),"")</f>
        <v/>
      </c>
      <c r="J1141" s="25" t="str">
        <f ca="1">_xlfn.IFNA(INDIRECT(_xlfn.TEXTJOIN("",TRUE,A1134,"!",ADDRESS(16+(A1135-1)*J1134,14))),"")</f>
        <v/>
      </c>
    </row>
    <row r="1142" spans="1:10" ht="10.5" customHeight="1" x14ac:dyDescent="0.2">
      <c r="A1142" s="65" t="str">
        <f ca="1">_xlfn.IFNA(INDIRECT(_xlfn.TEXTJOIN("",TRUE,A1134,"!",ADDRESS(17+(A1135-1)*J1134,1))),"")</f>
        <v/>
      </c>
      <c r="B1142" s="65"/>
      <c r="C1142" s="66" t="str">
        <f ca="1">_xlfn.IFNA(INDIRECT(_xlfn.TEXTJOIN("",TRUE,A1134,"!",ADDRESS(17+(A1135-1)*J1134,2))),"")</f>
        <v/>
      </c>
      <c r="D1142" s="66"/>
      <c r="E1142" s="66"/>
      <c r="F1142" s="66"/>
      <c r="G1142" s="66"/>
      <c r="H1142" s="25" t="str">
        <f ca="1">_xlfn.IFNA(INDIRECT(_xlfn.TEXTJOIN("",TRUE,A1134,"!",ADDRESS(17+(A1135-1)*J1134,6))),"")</f>
        <v/>
      </c>
      <c r="I1142" s="25" t="str">
        <f ca="1">_xlfn.IFNA(INDIRECT(_xlfn.TEXTJOIN("",TRUE,A1134,"!",ADDRESS(17+(A1135-1)*J1134,13))),"")</f>
        <v/>
      </c>
      <c r="J1142" s="25" t="str">
        <f ca="1">_xlfn.IFNA(INDIRECT(_xlfn.TEXTJOIN("",TRUE,A1134,"!",ADDRESS(17+(A1135-1)*J1134,14))),"")</f>
        <v/>
      </c>
    </row>
    <row r="1143" spans="1:10" ht="10.5" customHeight="1" x14ac:dyDescent="0.2">
      <c r="A1143" s="65" t="str">
        <f ca="1">_xlfn.IFNA(INDIRECT(_xlfn.TEXTJOIN("",TRUE,A1134,"!",ADDRESS(18+(A1135-1)*J1134,1))),"")</f>
        <v/>
      </c>
      <c r="B1143" s="65"/>
      <c r="C1143" s="66" t="str">
        <f ca="1">_xlfn.IFNA(INDIRECT(_xlfn.TEXTJOIN("",TRUE,A1134,"!",ADDRESS(18+(A1135-1)*J1134,2))),"")</f>
        <v/>
      </c>
      <c r="D1143" s="66"/>
      <c r="E1143" s="66"/>
      <c r="F1143" s="66"/>
      <c r="G1143" s="66"/>
      <c r="H1143" s="25" t="str">
        <f ca="1">_xlfn.IFNA(INDIRECT(_xlfn.TEXTJOIN("",TRUE,A1134,"!",ADDRESS(18+(A1135-1)*J1134,6))),"")</f>
        <v/>
      </c>
      <c r="I1143" s="25" t="str">
        <f ca="1">_xlfn.IFNA(INDIRECT(_xlfn.TEXTJOIN("",TRUE,A1134,"!",ADDRESS(18+(A1135-1)*J1134,13))),"")</f>
        <v/>
      </c>
      <c r="J1143" s="25" t="str">
        <f ca="1">_xlfn.IFNA(INDIRECT(_xlfn.TEXTJOIN("",TRUE,A1134,"!",ADDRESS(18+(A1135-1)*J1134,14))),"")</f>
        <v/>
      </c>
    </row>
    <row r="1144" spans="1:10" ht="10.5" customHeight="1" x14ac:dyDescent="0.2">
      <c r="A1144" s="60" t="str">
        <f ca="1">_xlfn.IFNA(INDIRECT(_xlfn.TEXTJOIN("",TRUE,A1134,"!",ADDRESS(19+(A1135-1)*J1134,1))),"")</f>
        <v/>
      </c>
      <c r="B1144" s="61"/>
      <c r="C1144" s="57" t="str">
        <f ca="1">_xlfn.IFNA(INDIRECT(_xlfn.TEXTJOIN("",TRUE,A1134,"!",ADDRESS(19+(A1135-1)*J1134,2))),"")</f>
        <v/>
      </c>
      <c r="D1144" s="58"/>
      <c r="E1144" s="58"/>
      <c r="F1144" s="58"/>
      <c r="G1144" s="59"/>
      <c r="H1144" s="25" t="str">
        <f ca="1">_xlfn.IFNA(INDIRECT(_xlfn.TEXTJOIN("",TRUE,A1134,"!",ADDRESS(19+(A1135-1)*J1134,6))),"")</f>
        <v/>
      </c>
      <c r="I1144" s="25" t="str">
        <f ca="1">_xlfn.IFNA(INDIRECT(_xlfn.TEXTJOIN("",TRUE,A1134,"!",ADDRESS(19+(A1135-1)*J1134,13))),"")</f>
        <v/>
      </c>
      <c r="J1144" s="25" t="str">
        <f ca="1">_xlfn.IFNA(INDIRECT(_xlfn.TEXTJOIN("",TRUE,A1134,"!",ADDRESS(19+(A1135-1)*J1134,14))),"")</f>
        <v/>
      </c>
    </row>
    <row r="1145" spans="1:10" ht="10.5" customHeight="1" x14ac:dyDescent="0.2">
      <c r="A1145" s="65" t="str">
        <f ca="1">_xlfn.IFNA(INDIRECT(_xlfn.TEXTJOIN("",TRUE,A1134,"!",ADDRESS(20+(A1135-1)*J1134,1))),"")</f>
        <v/>
      </c>
      <c r="B1145" s="65"/>
      <c r="C1145" s="66" t="str">
        <f ca="1">_xlfn.IFNA(INDIRECT(_xlfn.TEXTJOIN("",TRUE,A1134,"!",ADDRESS(20+(A1135-1)*J1134,2))),"")</f>
        <v/>
      </c>
      <c r="D1145" s="66"/>
      <c r="E1145" s="66"/>
      <c r="F1145" s="66"/>
      <c r="G1145" s="66"/>
      <c r="H1145" s="25" t="str">
        <f ca="1">_xlfn.IFNA(INDIRECT(_xlfn.TEXTJOIN("",TRUE,A1134,"!",ADDRESS(20+(A1135-1)*J1134,6))),"")</f>
        <v/>
      </c>
      <c r="I1145" s="25" t="str">
        <f ca="1">_xlfn.IFNA(INDIRECT(_xlfn.TEXTJOIN("",TRUE,A1134,"!",ADDRESS(20+(A1135-1)*J1134,13))),"")</f>
        <v/>
      </c>
      <c r="J1145" s="25" t="str">
        <f ca="1">_xlfn.IFNA(INDIRECT(_xlfn.TEXTJOIN("",TRUE,A1134,"!",ADDRESS(20+(A1135-1)*J1134,14))),"")</f>
        <v/>
      </c>
    </row>
    <row r="1146" spans="1:10" ht="10.5" customHeight="1" x14ac:dyDescent="0.2">
      <c r="A1146" s="65" t="str">
        <f ca="1">_xlfn.IFNA(INDIRECT(_xlfn.TEXTJOIN("",TRUE,A1134,"!",ADDRESS(21+(A1135-1)*J1134,1))),"")</f>
        <v/>
      </c>
      <c r="B1146" s="65"/>
      <c r="C1146" s="66" t="str">
        <f ca="1">_xlfn.IFNA(INDIRECT(_xlfn.TEXTJOIN("",TRUE,A1134,"!",ADDRESS(21+(A1135-1)*J1134,2))),"")</f>
        <v/>
      </c>
      <c r="D1146" s="66"/>
      <c r="E1146" s="66"/>
      <c r="F1146" s="66"/>
      <c r="G1146" s="66"/>
      <c r="H1146" s="25" t="str">
        <f ca="1">_xlfn.IFNA(INDIRECT(_xlfn.TEXTJOIN("",TRUE,A1134,"!",ADDRESS(21+(A1135-1)*J1134,6))),"")</f>
        <v/>
      </c>
      <c r="I1146" s="25" t="str">
        <f ca="1">_xlfn.IFNA(INDIRECT(_xlfn.TEXTJOIN("",TRUE,A1134,"!",ADDRESS(21+(A1135-1)*J1134,13))),"")</f>
        <v/>
      </c>
      <c r="J1146" s="25" t="str">
        <f ca="1">_xlfn.IFNA(INDIRECT(_xlfn.TEXTJOIN("",TRUE,A1134,"!",ADDRESS(21+(A1135-1)*J1134,14))),"")</f>
        <v/>
      </c>
    </row>
    <row r="1147" spans="1:10" ht="10.5" customHeight="1" x14ac:dyDescent="0.2">
      <c r="A1147" s="65" t="str">
        <f ca="1">_xlfn.IFNA(INDIRECT(_xlfn.TEXTJOIN("",TRUE,A1134,"!",ADDRESS(22+(A1135-1)*J1134,1))),"")</f>
        <v/>
      </c>
      <c r="B1147" s="65"/>
      <c r="C1147" s="66" t="str">
        <f ca="1">_xlfn.IFNA(INDIRECT(_xlfn.TEXTJOIN("",TRUE,A1134,"!",ADDRESS(22+(A1135-1)*J1134,2))),"")</f>
        <v/>
      </c>
      <c r="D1147" s="66"/>
      <c r="E1147" s="66"/>
      <c r="F1147" s="66"/>
      <c r="G1147" s="66"/>
      <c r="H1147" s="25" t="str">
        <f ca="1">_xlfn.IFNA(INDIRECT(_xlfn.TEXTJOIN("",TRUE,A1134,"!",ADDRESS(22+(A1135-1)*J1134,6))),"")</f>
        <v/>
      </c>
      <c r="I1147" s="25" t="str">
        <f ca="1">_xlfn.IFNA(INDIRECT(_xlfn.TEXTJOIN("",TRUE,A1134,"!",ADDRESS(22+(A1135-1)*J1134,13))),"")</f>
        <v/>
      </c>
      <c r="J1147" s="25" t="str">
        <f ca="1">_xlfn.IFNA(INDIRECT(_xlfn.TEXTJOIN("",TRUE,A1134,"!",ADDRESS(22+(A1135-1)*J1134,14))),"")</f>
        <v/>
      </c>
    </row>
    <row r="1148" spans="1:10" ht="10.5" customHeight="1" x14ac:dyDescent="0.2">
      <c r="A1148" s="71" t="str">
        <f ca="1">IF(ISNA(A1135),"","Total Credits/ Total Grade Points")</f>
        <v/>
      </c>
      <c r="B1148" s="71"/>
      <c r="C1148" s="71"/>
      <c r="D1148" s="71"/>
      <c r="E1148" s="71"/>
      <c r="F1148" s="71"/>
      <c r="G1148" s="71"/>
      <c r="H1148" s="27" t="str">
        <f ca="1">IF(ISNA(A1135),"",SUM(H1138:H1147))</f>
        <v/>
      </c>
      <c r="I1148" s="26" t="str">
        <f ca="1">IF(ISNA(A1135),"","-")</f>
        <v/>
      </c>
      <c r="J1148" s="27" t="str">
        <f ca="1">IF(ISNA(A1135),"",SUMPRODUCT(J1138:J1147,H1138:H1147))</f>
        <v/>
      </c>
    </row>
    <row r="1149" spans="1:10" ht="10.5" customHeight="1" x14ac:dyDescent="0.2">
      <c r="A1149" s="24" t="s">
        <v>60</v>
      </c>
      <c r="B1149" s="72" t="str">
        <f ca="1">IF(ISNA(A1150),"","Semester III (Autumn Semester 2023-24)")</f>
        <v/>
      </c>
      <c r="C1149" s="72"/>
      <c r="D1149" s="72"/>
      <c r="E1149" s="72"/>
      <c r="F1149" s="72"/>
      <c r="G1149" s="72"/>
      <c r="H1149" s="72"/>
      <c r="I1149" s="72"/>
      <c r="J1149" s="24">
        <f>ROWS(A1153:B1160)+9</f>
        <v>17</v>
      </c>
    </row>
    <row r="1150" spans="1:10" ht="10.5" customHeight="1" x14ac:dyDescent="0.2">
      <c r="A1150" s="24" t="e">
        <f ca="1">INDEX(SEM_III!$A$6:$A$43,Marksheets!J1150)</f>
        <v>#N/A</v>
      </c>
      <c r="B1150" s="63"/>
      <c r="C1150" s="63"/>
      <c r="D1150" s="63"/>
      <c r="E1150" s="63"/>
      <c r="F1150" s="63"/>
      <c r="G1150" s="63"/>
      <c r="H1150" s="63"/>
      <c r="I1150" s="63"/>
      <c r="J1150" s="24" t="e">
        <f ca="1">MATCH(H1113,SEM_III!$B$6:$B$43,0)</f>
        <v>#N/A</v>
      </c>
    </row>
    <row r="1151" spans="1:10" ht="10.5" customHeight="1" x14ac:dyDescent="0.2">
      <c r="A1151" s="64" t="str">
        <f ca="1">IF(ISNA(A1150),"","Subject Code")</f>
        <v/>
      </c>
      <c r="B1151" s="64"/>
      <c r="C1151" s="64" t="str">
        <f ca="1">IF(ISNA(A1150),"","Subject Name")</f>
        <v/>
      </c>
      <c r="D1151" s="64"/>
      <c r="E1151" s="64"/>
      <c r="F1151" s="64"/>
      <c r="G1151" s="64"/>
      <c r="H1151" s="64" t="str">
        <f ca="1">IF(ISNA(A1150),"","Credits")</f>
        <v/>
      </c>
      <c r="I1151" s="64" t="str">
        <f ca="1">IF(ISNA(A1150),"","Grade")</f>
        <v/>
      </c>
      <c r="J1151" s="64" t="str">
        <f ca="1">IF(ISNA(A1150),"","Grade Points")</f>
        <v/>
      </c>
    </row>
    <row r="1152" spans="1:10" ht="14" customHeight="1" x14ac:dyDescent="0.2">
      <c r="A1152" s="64"/>
      <c r="B1152" s="64"/>
      <c r="C1152" s="64"/>
      <c r="D1152" s="64"/>
      <c r="E1152" s="64"/>
      <c r="F1152" s="64"/>
      <c r="G1152" s="64"/>
      <c r="H1152" s="64"/>
      <c r="I1152" s="64"/>
      <c r="J1152" s="64"/>
    </row>
    <row r="1153" spans="1:10" ht="10.5" customHeight="1" x14ac:dyDescent="0.2">
      <c r="A1153" s="65" t="str">
        <f ca="1">_xlfn.IFNA(INDIRECT(_xlfn.TEXTJOIN("",TRUE,A1149,"!",ADDRESS(13+(A1150-1)*J1149,1))),"")</f>
        <v/>
      </c>
      <c r="B1153" s="65"/>
      <c r="C1153" s="66" t="str">
        <f ca="1">_xlfn.IFNA(INDIRECT(_xlfn.TEXTJOIN("",TRUE,A1149,"!",ADDRESS(13+(A1150-1)*J1149,2))),"")</f>
        <v/>
      </c>
      <c r="D1153" s="66"/>
      <c r="E1153" s="66"/>
      <c r="F1153" s="66"/>
      <c r="G1153" s="66"/>
      <c r="H1153" s="25" t="str">
        <f ca="1">_xlfn.IFNA(INDIRECT(_xlfn.TEXTJOIN("",TRUE,A1149,"!",ADDRESS(13+(A1150-1)*J1149,6))),"")</f>
        <v/>
      </c>
      <c r="I1153" s="25" t="str">
        <f ca="1">_xlfn.IFNA(INDIRECT(_xlfn.TEXTJOIN("",TRUE,A1149,"!",ADDRESS(13+(A1150-1)*J1149,13))),"")</f>
        <v/>
      </c>
      <c r="J1153" s="25" t="str">
        <f ca="1">_xlfn.IFNA(INDIRECT(_xlfn.TEXTJOIN("",TRUE,A1149,"!",ADDRESS(13+(A1150-1)*J1149,14))),"")</f>
        <v/>
      </c>
    </row>
    <row r="1154" spans="1:10" ht="10.5" customHeight="1" x14ac:dyDescent="0.2">
      <c r="A1154" s="65" t="str">
        <f ca="1">_xlfn.IFNA(INDIRECT(_xlfn.TEXTJOIN("",TRUE,A1149,"!",ADDRESS(14+(A1150-1)*J1149,1))),"")</f>
        <v/>
      </c>
      <c r="B1154" s="65"/>
      <c r="C1154" s="66" t="str">
        <f ca="1">_xlfn.IFNA(INDIRECT(_xlfn.TEXTJOIN("",TRUE,A1149,"!",ADDRESS(14+(A1150-1)*J1149,2))),"")</f>
        <v/>
      </c>
      <c r="D1154" s="66"/>
      <c r="E1154" s="66"/>
      <c r="F1154" s="66"/>
      <c r="G1154" s="66"/>
      <c r="H1154" s="25" t="str">
        <f ca="1">_xlfn.IFNA(INDIRECT(_xlfn.TEXTJOIN("",TRUE,A1149,"!",ADDRESS(14+(A1150-1)*J1149,6))),"")</f>
        <v/>
      </c>
      <c r="I1154" s="25" t="str">
        <f ca="1">_xlfn.IFNA(INDIRECT(_xlfn.TEXTJOIN("",TRUE,A1149,"!",ADDRESS(14+(A1150-1)*J1149,13))),"")</f>
        <v/>
      </c>
      <c r="J1154" s="25" t="str">
        <f ca="1">_xlfn.IFNA(INDIRECT(_xlfn.TEXTJOIN("",TRUE,A1149,"!",ADDRESS(14+(A1150-1)*J1149,14))),"")</f>
        <v/>
      </c>
    </row>
    <row r="1155" spans="1:10" ht="10.5" customHeight="1" x14ac:dyDescent="0.2">
      <c r="A1155" s="65" t="str">
        <f ca="1">_xlfn.IFNA(INDIRECT(_xlfn.TEXTJOIN("",TRUE,A1149,"!",ADDRESS(15+(A1150-1)*J1149,1))),"")</f>
        <v/>
      </c>
      <c r="B1155" s="65"/>
      <c r="C1155" s="66" t="str">
        <f ca="1">_xlfn.IFNA(INDIRECT(_xlfn.TEXTJOIN("",TRUE,A1149,"!",ADDRESS(15+(A1150-1)*J1149,2))),"")</f>
        <v/>
      </c>
      <c r="D1155" s="66"/>
      <c r="E1155" s="66"/>
      <c r="F1155" s="66"/>
      <c r="G1155" s="66"/>
      <c r="H1155" s="25" t="str">
        <f ca="1">_xlfn.IFNA(INDIRECT(_xlfn.TEXTJOIN("",TRUE,A1149,"!",ADDRESS(15+(A1150-1)*J1149,6))),"")</f>
        <v/>
      </c>
      <c r="I1155" s="25" t="str">
        <f ca="1">_xlfn.IFNA(INDIRECT(_xlfn.TEXTJOIN("",TRUE,A1149,"!",ADDRESS(15+(A1150-1)*J1149,13))),"")</f>
        <v/>
      </c>
      <c r="J1155" s="25" t="str">
        <f ca="1">_xlfn.IFNA(INDIRECT(_xlfn.TEXTJOIN("",TRUE,A1149,"!",ADDRESS(15+(A1150-1)*J1149,14))),"")</f>
        <v/>
      </c>
    </row>
    <row r="1156" spans="1:10" ht="10.5" customHeight="1" x14ac:dyDescent="0.2">
      <c r="A1156" s="65" t="str">
        <f ca="1">_xlfn.IFNA(INDIRECT(_xlfn.TEXTJOIN("",TRUE,A1149,"!",ADDRESS(16+(A1150-1)*J1149,1))),"")</f>
        <v/>
      </c>
      <c r="B1156" s="65"/>
      <c r="C1156" s="66" t="str">
        <f ca="1">_xlfn.IFNA(INDIRECT(_xlfn.TEXTJOIN("",TRUE,A1149,"!",ADDRESS(16+(A1150-1)*J1149,2))),"")</f>
        <v/>
      </c>
      <c r="D1156" s="66"/>
      <c r="E1156" s="66"/>
      <c r="F1156" s="66"/>
      <c r="G1156" s="66"/>
      <c r="H1156" s="25" t="str">
        <f ca="1">_xlfn.IFNA(INDIRECT(_xlfn.TEXTJOIN("",TRUE,A1149,"!",ADDRESS(16+(A1150-1)*J1149,6))),"")</f>
        <v/>
      </c>
      <c r="I1156" s="25" t="str">
        <f ca="1">_xlfn.IFNA(INDIRECT(_xlfn.TEXTJOIN("",TRUE,A1149,"!",ADDRESS(16+(A1150-1)*J1149,13))),"")</f>
        <v/>
      </c>
      <c r="J1156" s="25" t="str">
        <f ca="1">_xlfn.IFNA(INDIRECT(_xlfn.TEXTJOIN("",TRUE,A1149,"!",ADDRESS(16+(A1150-1)*J1149,14))),"")</f>
        <v/>
      </c>
    </row>
    <row r="1157" spans="1:10" ht="10.5" customHeight="1" x14ac:dyDescent="0.2">
      <c r="A1157" s="65" t="str">
        <f ca="1">_xlfn.IFNA(INDIRECT(_xlfn.TEXTJOIN("",TRUE,A1149,"!",ADDRESS(17+(A1150-1)*J1149,1))),"")</f>
        <v/>
      </c>
      <c r="B1157" s="65"/>
      <c r="C1157" s="66" t="str">
        <f ca="1">_xlfn.IFNA(INDIRECT(_xlfn.TEXTJOIN("",TRUE,A1149,"!",ADDRESS(17+(A1150-1)*J1149,2))),"")</f>
        <v/>
      </c>
      <c r="D1157" s="66"/>
      <c r="E1157" s="66"/>
      <c r="F1157" s="66"/>
      <c r="G1157" s="66"/>
      <c r="H1157" s="25" t="str">
        <f ca="1">_xlfn.IFNA(INDIRECT(_xlfn.TEXTJOIN("",TRUE,A1149,"!",ADDRESS(17+(A1150-1)*J1149,6))),"")</f>
        <v/>
      </c>
      <c r="I1157" s="25" t="str">
        <f ca="1">_xlfn.IFNA(INDIRECT(_xlfn.TEXTJOIN("",TRUE,A1149,"!",ADDRESS(17+(A1150-1)*J1149,13))),"")</f>
        <v/>
      </c>
      <c r="J1157" s="25" t="str">
        <f ca="1">_xlfn.IFNA(INDIRECT(_xlfn.TEXTJOIN("",TRUE,A1149,"!",ADDRESS(17+(A1150-1)*J1149,14))),"")</f>
        <v/>
      </c>
    </row>
    <row r="1158" spans="1:10" ht="10.5" customHeight="1" x14ac:dyDescent="0.2">
      <c r="A1158" s="65" t="str">
        <f ca="1">_xlfn.IFNA(INDIRECT(_xlfn.TEXTJOIN("",TRUE,A1149,"!",ADDRESS(18+(A1150-1)*J1149,1))),"")</f>
        <v/>
      </c>
      <c r="B1158" s="65"/>
      <c r="C1158" s="66" t="str">
        <f ca="1">_xlfn.IFNA(INDIRECT(_xlfn.TEXTJOIN("",TRUE,A1149,"!",ADDRESS(18+(A1150-1)*J1149,2))),"")</f>
        <v/>
      </c>
      <c r="D1158" s="66"/>
      <c r="E1158" s="66"/>
      <c r="F1158" s="66"/>
      <c r="G1158" s="66"/>
      <c r="H1158" s="25" t="str">
        <f ca="1">_xlfn.IFNA(INDIRECT(_xlfn.TEXTJOIN("",TRUE,A1149,"!",ADDRESS(18+(A1150-1)*J1149,6))),"")</f>
        <v/>
      </c>
      <c r="I1158" s="25" t="str">
        <f ca="1">_xlfn.IFNA(INDIRECT(_xlfn.TEXTJOIN("",TRUE,A1149,"!",ADDRESS(18+(A1150-1)*J1149,13))),"")</f>
        <v/>
      </c>
      <c r="J1158" s="25" t="str">
        <f ca="1">_xlfn.IFNA(INDIRECT(_xlfn.TEXTJOIN("",TRUE,A1149,"!",ADDRESS(18+(A1150-1)*J1149,14))),"")</f>
        <v/>
      </c>
    </row>
    <row r="1159" spans="1:10" ht="10.5" customHeight="1" x14ac:dyDescent="0.2">
      <c r="A1159" s="60" t="str">
        <f ca="1">_xlfn.IFNA(INDIRECT(_xlfn.TEXTJOIN("",TRUE,A1149,"!",ADDRESS(19+(A1150-1)*J1149,1))),"")</f>
        <v/>
      </c>
      <c r="B1159" s="61"/>
      <c r="C1159" s="57" t="str">
        <f ca="1">_xlfn.IFNA(INDIRECT(_xlfn.TEXTJOIN("",TRUE,A1149,"!",ADDRESS(19+(A1150-1)*J1149,2))),"")</f>
        <v/>
      </c>
      <c r="D1159" s="58"/>
      <c r="E1159" s="58"/>
      <c r="F1159" s="58"/>
      <c r="G1159" s="59"/>
      <c r="H1159" s="25" t="str">
        <f ca="1">_xlfn.IFNA(INDIRECT(_xlfn.TEXTJOIN("",TRUE,A1149,"!",ADDRESS(19+(A1150-1)*J1149,6))),"")</f>
        <v/>
      </c>
      <c r="I1159" s="25" t="str">
        <f ca="1">_xlfn.IFNA(INDIRECT(_xlfn.TEXTJOIN("",TRUE,A1149,"!",ADDRESS(19+(A1150-1)*J1149,13))),"")</f>
        <v/>
      </c>
      <c r="J1159" s="25" t="str">
        <f ca="1">_xlfn.IFNA(INDIRECT(_xlfn.TEXTJOIN("",TRUE,A1149,"!",ADDRESS(19+(A1150-1)*J1149,14))),"")</f>
        <v/>
      </c>
    </row>
    <row r="1160" spans="1:10" ht="10.5" customHeight="1" x14ac:dyDescent="0.2">
      <c r="A1160" s="65" t="str">
        <f ca="1">_xlfn.IFNA(INDIRECT(_xlfn.TEXTJOIN("",TRUE,A1149,"!",ADDRESS(20+(A1150-1)*J1149,1))),"")</f>
        <v/>
      </c>
      <c r="B1160" s="65"/>
      <c r="C1160" s="66" t="str">
        <f ca="1">_xlfn.IFNA(INDIRECT(_xlfn.TEXTJOIN("",TRUE,A1149,"!",ADDRESS(20+(A1150-1)*J1149,2))),"")</f>
        <v/>
      </c>
      <c r="D1160" s="66"/>
      <c r="E1160" s="66"/>
      <c r="F1160" s="66"/>
      <c r="G1160" s="66"/>
      <c r="H1160" s="25" t="str">
        <f ca="1">_xlfn.IFNA(INDIRECT(_xlfn.TEXTJOIN("",TRUE,A1149,"!",ADDRESS(20+(A1150-1)*J1149,6))),"")</f>
        <v/>
      </c>
      <c r="I1160" s="25" t="str">
        <f ca="1">_xlfn.IFNA(INDIRECT(_xlfn.TEXTJOIN("",TRUE,A1149,"!",ADDRESS(20+(A1150-1)*J1149,13))),"")</f>
        <v/>
      </c>
      <c r="J1160" s="25" t="str">
        <f ca="1">_xlfn.IFNA(INDIRECT(_xlfn.TEXTJOIN("",TRUE,A1149,"!",ADDRESS(20+(A1150-1)*J1149,14))),"")</f>
        <v/>
      </c>
    </row>
    <row r="1161" spans="1:10" ht="10.5" customHeight="1" x14ac:dyDescent="0.2">
      <c r="A1161" s="71" t="str">
        <f ca="1">IF(ISNA(A1150),"","Total Credits/ Total Grade Points")</f>
        <v/>
      </c>
      <c r="B1161" s="71"/>
      <c r="C1161" s="71"/>
      <c r="D1161" s="71"/>
      <c r="E1161" s="71"/>
      <c r="F1161" s="71"/>
      <c r="G1161" s="71"/>
      <c r="H1161" s="27" t="str">
        <f ca="1">IF(ISNA(A1150),"",SUM(H1153:H1160))</f>
        <v/>
      </c>
      <c r="I1161" s="26" t="str">
        <f ca="1">IF(ISNA(A1150),"","-")</f>
        <v/>
      </c>
      <c r="J1161" s="27" t="str">
        <f ca="1">IF(ISNA(A1150),"",SUMPRODUCT(J1153:J1160,H1153:H1160))</f>
        <v/>
      </c>
    </row>
    <row r="1162" spans="1:10" ht="10.5" customHeight="1" x14ac:dyDescent="0.2">
      <c r="A1162" s="24" t="s">
        <v>133</v>
      </c>
      <c r="B1162" s="72" t="str">
        <f ca="1">IF(ISNA(A1163),"","Semester IV (Spring Semester 2023-24)")</f>
        <v/>
      </c>
      <c r="C1162" s="72"/>
      <c r="D1162" s="72"/>
      <c r="E1162" s="72"/>
      <c r="F1162" s="72"/>
      <c r="G1162" s="72"/>
      <c r="H1162" s="72"/>
      <c r="I1162" s="72"/>
      <c r="J1162" s="24">
        <f>ROWS(A1166:B1172)+9</f>
        <v>16</v>
      </c>
    </row>
    <row r="1163" spans="1:10" ht="10.5" customHeight="1" x14ac:dyDescent="0.2">
      <c r="A1163" s="24" t="e">
        <f ca="1">INDEX(SEM_IV!$A$6:$A$43,Marksheets!J1163)</f>
        <v>#N/A</v>
      </c>
      <c r="B1163" s="63"/>
      <c r="C1163" s="63"/>
      <c r="D1163" s="63"/>
      <c r="E1163" s="63"/>
      <c r="F1163" s="63"/>
      <c r="G1163" s="63"/>
      <c r="H1163" s="63"/>
      <c r="I1163" s="63"/>
      <c r="J1163" s="24" t="e">
        <f ca="1">MATCH(H1113,SEM_IV!$B$6:$B$43,0)</f>
        <v>#N/A</v>
      </c>
    </row>
    <row r="1164" spans="1:10" ht="10.5" customHeight="1" x14ac:dyDescent="0.2">
      <c r="A1164" s="64" t="str">
        <f ca="1">IF(ISNA(A1163),"","Subject Code")</f>
        <v/>
      </c>
      <c r="B1164" s="64"/>
      <c r="C1164" s="64" t="str">
        <f ca="1">IF(ISNA(A1163),"","Subject Name")</f>
        <v/>
      </c>
      <c r="D1164" s="64"/>
      <c r="E1164" s="64"/>
      <c r="F1164" s="64"/>
      <c r="G1164" s="64"/>
      <c r="H1164" s="64" t="str">
        <f ca="1">IF(ISNA(A1163),"","Credits")</f>
        <v/>
      </c>
      <c r="I1164" s="64" t="str">
        <f ca="1">IF(ISNA(A1163),"","Grade")</f>
        <v/>
      </c>
      <c r="J1164" s="64" t="str">
        <f ca="1">IF(ISNA(A1163),"","Grade Points")</f>
        <v/>
      </c>
    </row>
    <row r="1165" spans="1:10" ht="13.5" customHeight="1" x14ac:dyDescent="0.2">
      <c r="A1165" s="64"/>
      <c r="B1165" s="64"/>
      <c r="C1165" s="64"/>
      <c r="D1165" s="64"/>
      <c r="E1165" s="64"/>
      <c r="F1165" s="64"/>
      <c r="G1165" s="64"/>
      <c r="H1165" s="64"/>
      <c r="I1165" s="64"/>
      <c r="J1165" s="64"/>
    </row>
    <row r="1166" spans="1:10" ht="10.5" customHeight="1" x14ac:dyDescent="0.2">
      <c r="A1166" s="65" t="str">
        <f ca="1">_xlfn.IFNA(INDIRECT(_xlfn.TEXTJOIN("",TRUE,A1162,"!",ADDRESS(13+(A1163-1)*J1162,1))),"")</f>
        <v/>
      </c>
      <c r="B1166" s="65"/>
      <c r="C1166" s="66" t="str">
        <f ca="1">_xlfn.IFNA(INDIRECT(_xlfn.TEXTJOIN("",TRUE,A1162,"!",ADDRESS(13+(A1163-1)*J1162,2))),"")</f>
        <v/>
      </c>
      <c r="D1166" s="66"/>
      <c r="E1166" s="66"/>
      <c r="F1166" s="66"/>
      <c r="G1166" s="66"/>
      <c r="H1166" s="25" t="str">
        <f ca="1">_xlfn.IFNA(INDIRECT(_xlfn.TEXTJOIN("",TRUE,A1162,"!",ADDRESS(13+(A1163-1)*J1162,6))),"")</f>
        <v/>
      </c>
      <c r="I1166" s="25" t="str">
        <f ca="1">_xlfn.IFNA(INDIRECT(_xlfn.TEXTJOIN("",TRUE,A1162,"!",ADDRESS(13+(A1163-1)*J1162,13))),"")</f>
        <v/>
      </c>
      <c r="J1166" s="25" t="str">
        <f ca="1">_xlfn.IFNA(INDIRECT(_xlfn.TEXTJOIN("",TRUE,A1162,"!",ADDRESS(13+(A1163-1)*J1162,14))),"")</f>
        <v/>
      </c>
    </row>
    <row r="1167" spans="1:10" ht="10.5" customHeight="1" x14ac:dyDescent="0.2">
      <c r="A1167" s="65" t="str">
        <f ca="1">_xlfn.IFNA(INDIRECT(_xlfn.TEXTJOIN("",TRUE,A1162,"!",ADDRESS(14+(A1163-1)*J1162,1))),"")</f>
        <v/>
      </c>
      <c r="B1167" s="65"/>
      <c r="C1167" s="66" t="str">
        <f ca="1">_xlfn.IFNA(INDIRECT(_xlfn.TEXTJOIN("",TRUE,A1162,"!",ADDRESS(14+(A1163-1)*J1162,2))),"")</f>
        <v/>
      </c>
      <c r="D1167" s="66"/>
      <c r="E1167" s="66"/>
      <c r="F1167" s="66"/>
      <c r="G1167" s="66"/>
      <c r="H1167" s="25" t="str">
        <f ca="1">_xlfn.IFNA(INDIRECT(_xlfn.TEXTJOIN("",TRUE,A1162,"!",ADDRESS(14+(A1163-1)*J1162,6))),"")</f>
        <v/>
      </c>
      <c r="I1167" s="25" t="str">
        <f ca="1">_xlfn.IFNA(INDIRECT(_xlfn.TEXTJOIN("",TRUE,A1162,"!",ADDRESS(14+(A1163-1)*J1162,13))),"")</f>
        <v/>
      </c>
      <c r="J1167" s="25" t="str">
        <f ca="1">_xlfn.IFNA(INDIRECT(_xlfn.TEXTJOIN("",TRUE,A1162,"!",ADDRESS(14+(A1163-1)*J1162,14))),"")</f>
        <v/>
      </c>
    </row>
    <row r="1168" spans="1:10" ht="10.5" customHeight="1" x14ac:dyDescent="0.2">
      <c r="A1168" s="65" t="str">
        <f ca="1">_xlfn.IFNA(INDIRECT(_xlfn.TEXTJOIN("",TRUE,A1162,"!",ADDRESS(15+(A1163-1)*J1162,1))),"")</f>
        <v/>
      </c>
      <c r="B1168" s="65"/>
      <c r="C1168" s="66" t="str">
        <f ca="1">_xlfn.IFNA(INDIRECT(_xlfn.TEXTJOIN("",TRUE,A1162,"!",ADDRESS(15+(A1163-1)*J1162,2))),"")</f>
        <v/>
      </c>
      <c r="D1168" s="66"/>
      <c r="E1168" s="66"/>
      <c r="F1168" s="66"/>
      <c r="G1168" s="66"/>
      <c r="H1168" s="25" t="str">
        <f ca="1">_xlfn.IFNA(INDIRECT(_xlfn.TEXTJOIN("",TRUE,A1162,"!",ADDRESS(15+(A1163-1)*J1162,6))),"")</f>
        <v/>
      </c>
      <c r="I1168" s="25" t="str">
        <f ca="1">_xlfn.IFNA(INDIRECT(_xlfn.TEXTJOIN("",TRUE,A1162,"!",ADDRESS(15+(A1163-1)*J1162,13))),"")</f>
        <v/>
      </c>
      <c r="J1168" s="25" t="str">
        <f ca="1">_xlfn.IFNA(INDIRECT(_xlfn.TEXTJOIN("",TRUE,A1162,"!",ADDRESS(15+(A1163-1)*J1162,14))),"")</f>
        <v/>
      </c>
    </row>
    <row r="1169" spans="1:10" ht="10.5" customHeight="1" x14ac:dyDescent="0.2">
      <c r="A1169" s="65" t="str">
        <f ca="1">_xlfn.IFNA(INDIRECT(_xlfn.TEXTJOIN("",TRUE,A1162,"!",ADDRESS(16+(A1163-1)*J1162,1))),"")</f>
        <v/>
      </c>
      <c r="B1169" s="65"/>
      <c r="C1169" s="66" t="str">
        <f ca="1">_xlfn.IFNA(INDIRECT(_xlfn.TEXTJOIN("",TRUE,A1162,"!",ADDRESS(16+(A1163-1)*J1162,2))),"")</f>
        <v/>
      </c>
      <c r="D1169" s="66"/>
      <c r="E1169" s="66"/>
      <c r="F1169" s="66"/>
      <c r="G1169" s="66"/>
      <c r="H1169" s="25" t="str">
        <f ca="1">_xlfn.IFNA(INDIRECT(_xlfn.TEXTJOIN("",TRUE,A1162,"!",ADDRESS(16+(A1163-1)*J1162,6))),"")</f>
        <v/>
      </c>
      <c r="I1169" s="25" t="str">
        <f ca="1">_xlfn.IFNA(INDIRECT(_xlfn.TEXTJOIN("",TRUE,A1162,"!",ADDRESS(16+(A1163-1)*J1162,13))),"")</f>
        <v/>
      </c>
      <c r="J1169" s="25" t="str">
        <f ca="1">_xlfn.IFNA(INDIRECT(_xlfn.TEXTJOIN("",TRUE,A1162,"!",ADDRESS(16+(A1163-1)*J1162,14))),"")</f>
        <v/>
      </c>
    </row>
    <row r="1170" spans="1:10" ht="10.5" customHeight="1" x14ac:dyDescent="0.2">
      <c r="A1170" s="65" t="str">
        <f ca="1">_xlfn.IFNA(INDIRECT(_xlfn.TEXTJOIN("",TRUE,A1162,"!",ADDRESS(17+(A1163-1)*J1162,1))),"")</f>
        <v/>
      </c>
      <c r="B1170" s="65"/>
      <c r="C1170" s="66" t="str">
        <f ca="1">_xlfn.IFNA(INDIRECT(_xlfn.TEXTJOIN("",TRUE,A1162,"!",ADDRESS(17+(A1163-1)*J1162,2))),"")</f>
        <v/>
      </c>
      <c r="D1170" s="66"/>
      <c r="E1170" s="66"/>
      <c r="F1170" s="66"/>
      <c r="G1170" s="66"/>
      <c r="H1170" s="25" t="str">
        <f ca="1">_xlfn.IFNA(INDIRECT(_xlfn.TEXTJOIN("",TRUE,A1162,"!",ADDRESS(17+(A1163-1)*J1162,6))),"")</f>
        <v/>
      </c>
      <c r="I1170" s="25" t="str">
        <f ca="1">_xlfn.IFNA(INDIRECT(_xlfn.TEXTJOIN("",TRUE,A1162,"!",ADDRESS(17+(A1163-1)*J1162,13))),"")</f>
        <v/>
      </c>
      <c r="J1170" s="25" t="str">
        <f ca="1">_xlfn.IFNA(INDIRECT(_xlfn.TEXTJOIN("",TRUE,A1162,"!",ADDRESS(17+(A1163-1)*J1162,14))),"")</f>
        <v/>
      </c>
    </row>
    <row r="1171" spans="1:10" ht="10.5" customHeight="1" x14ac:dyDescent="0.2">
      <c r="A1171" s="65" t="str">
        <f ca="1">_xlfn.IFNA(INDIRECT(_xlfn.TEXTJOIN("",TRUE,A1162,"!",ADDRESS(18+(A1163-1)*J1162,1))),"")</f>
        <v/>
      </c>
      <c r="B1171" s="65"/>
      <c r="C1171" s="66" t="str">
        <f ca="1">_xlfn.IFNA(INDIRECT(_xlfn.TEXTJOIN("",TRUE,A1162,"!",ADDRESS(18+(A1163-1)*J1162,2))),"")</f>
        <v/>
      </c>
      <c r="D1171" s="66"/>
      <c r="E1171" s="66"/>
      <c r="F1171" s="66"/>
      <c r="G1171" s="66"/>
      <c r="H1171" s="25" t="str">
        <f ca="1">_xlfn.IFNA(INDIRECT(_xlfn.TEXTJOIN("",TRUE,A1162,"!",ADDRESS(18+(A1163-1)*J1162,6))),"")</f>
        <v/>
      </c>
      <c r="I1171" s="25" t="str">
        <f ca="1">_xlfn.IFNA(INDIRECT(_xlfn.TEXTJOIN("",TRUE,A1162,"!",ADDRESS(18+(A1163-1)*J1162,13))),"")</f>
        <v/>
      </c>
      <c r="J1171" s="25" t="str">
        <f ca="1">_xlfn.IFNA(INDIRECT(_xlfn.TEXTJOIN("",TRUE,A1162,"!",ADDRESS(18+(A1163-1)*J1162,14))),"")</f>
        <v/>
      </c>
    </row>
    <row r="1172" spans="1:10" ht="10.5" customHeight="1" x14ac:dyDescent="0.2">
      <c r="A1172" s="60" t="str">
        <f ca="1">_xlfn.IFNA(INDIRECT(_xlfn.TEXTJOIN("",TRUE,A1162,"!",ADDRESS(19+(A1163-1)*J1162,1))),"")</f>
        <v/>
      </c>
      <c r="B1172" s="61"/>
      <c r="C1172" s="57" t="str">
        <f ca="1">_xlfn.IFNA(INDIRECT(_xlfn.TEXTJOIN("",TRUE,A1162,"!",ADDRESS(19+(A1163-1)*J1162,2))),"")</f>
        <v/>
      </c>
      <c r="D1172" s="58"/>
      <c r="E1172" s="58"/>
      <c r="F1172" s="58"/>
      <c r="G1172" s="59"/>
      <c r="H1172" s="25" t="str">
        <f ca="1">_xlfn.IFNA(INDIRECT(_xlfn.TEXTJOIN("",TRUE,A1162,"!",ADDRESS(19+(A1163-1)*J1162,6))),"")</f>
        <v/>
      </c>
      <c r="I1172" s="25" t="str">
        <f ca="1">_xlfn.IFNA(INDIRECT(_xlfn.TEXTJOIN("",TRUE,A1162,"!",ADDRESS(19+(A1163-1)*J1162,13))),"")</f>
        <v/>
      </c>
      <c r="J1172" s="25" t="str">
        <f ca="1">_xlfn.IFNA(INDIRECT(_xlfn.TEXTJOIN("",TRUE,A1162,"!",ADDRESS(19+(A1163-1)*J1162,14))),"")</f>
        <v/>
      </c>
    </row>
    <row r="1173" spans="1:10" ht="10.5" customHeight="1" x14ac:dyDescent="0.2">
      <c r="A1173" s="71" t="str">
        <f ca="1">IF(ISNA(A1163),"","Total Credits/ Total Grade Points")</f>
        <v/>
      </c>
      <c r="B1173" s="71"/>
      <c r="C1173" s="71"/>
      <c r="D1173" s="71"/>
      <c r="E1173" s="71"/>
      <c r="F1173" s="71"/>
      <c r="G1173" s="71"/>
      <c r="H1173" s="27" t="str">
        <f ca="1">IF(ISNA(A1163),"",SUM(H1165:H1172))</f>
        <v/>
      </c>
      <c r="I1173" s="26" t="str">
        <f ca="1">IF(ISNA(A1163),"","-")</f>
        <v/>
      </c>
      <c r="J1173" s="27" t="str">
        <f ca="1">IF(ISNA(A1163),"",SUMPRODUCT(J1165:J1172,H1165:H1172))</f>
        <v/>
      </c>
    </row>
    <row r="1174" spans="1:10" ht="10.5" customHeight="1" x14ac:dyDescent="0.2">
      <c r="A1174" s="75" t="s">
        <v>137</v>
      </c>
      <c r="B1174" s="75"/>
      <c r="C1174" s="75"/>
      <c r="D1174" s="75"/>
      <c r="E1174" s="75"/>
      <c r="F1174" s="76" t="s">
        <v>138</v>
      </c>
      <c r="G1174" s="76"/>
      <c r="H1174" s="76"/>
      <c r="I1174" s="76"/>
      <c r="J1174" s="76"/>
    </row>
    <row r="1175" spans="1:10" ht="10.5" customHeight="1" x14ac:dyDescent="0.2">
      <c r="A1175" s="43" t="s">
        <v>139</v>
      </c>
      <c r="B1175" s="43"/>
      <c r="C1175" s="43"/>
      <c r="D1175" s="43"/>
      <c r="E1175" s="43"/>
      <c r="F1175" s="43"/>
      <c r="G1175" s="43"/>
      <c r="H1175" s="43"/>
      <c r="I1175" s="43"/>
      <c r="J1175" s="43"/>
    </row>
    <row r="1176" spans="1:10" ht="10.5" customHeight="1" x14ac:dyDescent="0.2">
      <c r="A1176" s="10"/>
      <c r="B1176" s="26"/>
      <c r="C1176" s="26" t="s">
        <v>140</v>
      </c>
      <c r="D1176" s="26" t="s">
        <v>141</v>
      </c>
      <c r="E1176" s="26" t="s">
        <v>142</v>
      </c>
      <c r="F1176" s="26" t="s">
        <v>143</v>
      </c>
      <c r="G1176" s="26" t="s">
        <v>144</v>
      </c>
      <c r="H1176" s="79" t="s">
        <v>145</v>
      </c>
      <c r="I1176" s="79"/>
      <c r="J1176" s="30"/>
    </row>
    <row r="1177" spans="1:10" ht="10.5" customHeight="1" x14ac:dyDescent="0.2">
      <c r="A1177" s="10"/>
      <c r="B1177" s="80" t="s">
        <v>146</v>
      </c>
      <c r="C1177" s="73">
        <f ca="1">J1133/H1133</f>
        <v>7.083333333333333</v>
      </c>
      <c r="D1177" s="73" t="e">
        <f ca="1">J1148/H1148</f>
        <v>#VALUE!</v>
      </c>
      <c r="E1177" s="73" t="str">
        <f ca="1">IFERROR(J1161/H1161,"")</f>
        <v/>
      </c>
      <c r="F1177" s="73" t="str">
        <f ca="1">IFERROR(J1173/H1173,"")</f>
        <v/>
      </c>
      <c r="G1177" s="82">
        <f ca="1">F1179</f>
        <v>7.083333333333333</v>
      </c>
      <c r="H1177" s="83" t="e">
        <f ca="1">IF(TC_IV!N261&lt;96,_xlfn.TEXTJOIN(" ",TRUE,"CARRY OVER",TC_I!V395,TC_II!V327,TC_III!V276,TC_IV!V260),IF(G1177&gt;=8,"First Division with Distinction",IF(G1177&gt;=6.5,"First Division",IF(G1177&gt;=5,"Second Division",IF(G1177&gt;=4,"Third Division","Fail")))))</f>
        <v>#N/A</v>
      </c>
      <c r="I1177" s="83"/>
      <c r="J1177" s="30"/>
    </row>
    <row r="1178" spans="1:10" ht="10.5" customHeight="1" x14ac:dyDescent="0.2">
      <c r="B1178" s="81"/>
      <c r="C1178" s="74"/>
      <c r="D1178" s="74"/>
      <c r="E1178" s="74"/>
      <c r="F1178" s="74"/>
      <c r="G1178" s="82"/>
      <c r="H1178" s="83"/>
      <c r="I1178" s="83"/>
    </row>
    <row r="1179" spans="1:10" ht="10.5" customHeight="1" x14ac:dyDescent="0.2">
      <c r="B1179" s="80" t="s">
        <v>48</v>
      </c>
      <c r="C1179" s="73">
        <f ca="1">J1133/H1133</f>
        <v>7.083333333333333</v>
      </c>
      <c r="D1179" s="73">
        <f ca="1">SUM(J1148,J1133)/SUM(H1148,H1133)</f>
        <v>7.083333333333333</v>
      </c>
      <c r="E1179" s="73">
        <f ca="1">SUM(J1161,J1148,J1133)/SUM(H1161,H1148,H1133)</f>
        <v>7.083333333333333</v>
      </c>
      <c r="F1179" s="73">
        <f ca="1">SUM(J1173,J1161,J1148,J1133)/SUM(H1133,H1148,H1161,H1173)</f>
        <v>7.083333333333333</v>
      </c>
      <c r="G1179" s="82"/>
      <c r="H1179" s="83"/>
      <c r="I1179" s="83"/>
    </row>
    <row r="1180" spans="1:10" ht="10.5" customHeight="1" x14ac:dyDescent="0.2">
      <c r="B1180" s="81"/>
      <c r="C1180" s="74"/>
      <c r="D1180" s="74"/>
      <c r="E1180" s="74"/>
      <c r="F1180" s="74"/>
      <c r="G1180" s="82"/>
      <c r="H1180" s="83"/>
      <c r="I1180" s="83"/>
    </row>
    <row r="1182" spans="1:10" ht="10.5" customHeight="1" x14ac:dyDescent="0.2">
      <c r="A1182" s="56" t="s">
        <v>24</v>
      </c>
      <c r="B1182" s="56"/>
      <c r="C1182" s="56" t="str">
        <f ca="1">INDIRECT(_xlfn.TEXTJOIN("",TRUE,A1184,"!",ADDRESS(9+(A1185-1)*J1184,2)))</f>
        <v>SHIVANK RAWAT</v>
      </c>
      <c r="D1182" s="56"/>
      <c r="E1182" s="56"/>
      <c r="F1182" s="56" t="s">
        <v>135</v>
      </c>
      <c r="G1182" s="56"/>
      <c r="H1182" s="62">
        <f ca="1">INDIRECT(_xlfn.TEXTJOIN("",TRUE,A1184,"!",ADDRESS(9+(A1185-1)*J1184,9)))</f>
        <v>250090600018</v>
      </c>
      <c r="I1182" s="56"/>
      <c r="J1182" s="56"/>
    </row>
    <row r="1183" spans="1:10" ht="10.5" customHeight="1" x14ac:dyDescent="0.2">
      <c r="A1183" s="56" t="s">
        <v>25</v>
      </c>
      <c r="B1183" s="56"/>
      <c r="C1183" s="56" t="str">
        <f ca="1">INDIRECT(_xlfn.TEXTJOIN("",TRUE,A1184,"!",ADDRESS(9+(A1185-1)*J1184,5)))</f>
        <v>DEVENDRA SINGH RAWAT</v>
      </c>
      <c r="D1183" s="56"/>
      <c r="E1183" s="56"/>
      <c r="F1183" s="47" t="s">
        <v>136</v>
      </c>
      <c r="G1183" s="47"/>
      <c r="H1183" s="62" t="str">
        <f ca="1">INDIRECT(_xlfn.TEXTJOIN("",TRUE,A1184,"!",ADDRESS(9+(A1185-1)*J1184,13)))</f>
        <v>UTU/2506100123</v>
      </c>
      <c r="I1183" s="56"/>
      <c r="J1183" s="56"/>
    </row>
    <row r="1184" spans="1:10" ht="10.5" customHeight="1" x14ac:dyDescent="0.2">
      <c r="A1184" s="24" t="s">
        <v>53</v>
      </c>
      <c r="B1184" s="43" t="s">
        <v>148</v>
      </c>
      <c r="C1184" s="43"/>
      <c r="D1184" s="43"/>
      <c r="E1184" s="43"/>
      <c r="F1184" s="43"/>
      <c r="G1184" s="43"/>
      <c r="H1184" s="43"/>
      <c r="I1184" s="43"/>
      <c r="J1184" s="24">
        <f>ROWS(A1188:B1201)+9</f>
        <v>23</v>
      </c>
    </row>
    <row r="1185" spans="1:10" ht="10.5" customHeight="1" x14ac:dyDescent="0.2">
      <c r="A1185" s="24">
        <f>A1116+1</f>
        <v>18</v>
      </c>
      <c r="B1185" s="63"/>
      <c r="C1185" s="63"/>
      <c r="D1185" s="63"/>
      <c r="E1185" s="63"/>
      <c r="F1185" s="63"/>
      <c r="G1185" s="63"/>
      <c r="H1185" s="63"/>
      <c r="I1185" s="63"/>
      <c r="J1185" s="29"/>
    </row>
    <row r="1186" spans="1:10" ht="10.5" customHeight="1" x14ac:dyDescent="0.2">
      <c r="A1186" s="64" t="s">
        <v>28</v>
      </c>
      <c r="B1186" s="64"/>
      <c r="C1186" s="64" t="s">
        <v>29</v>
      </c>
      <c r="D1186" s="64"/>
      <c r="E1186" s="64"/>
      <c r="F1186" s="64"/>
      <c r="G1186" s="64"/>
      <c r="H1186" s="64" t="s">
        <v>30</v>
      </c>
      <c r="I1186" s="64" t="s">
        <v>9</v>
      </c>
      <c r="J1186" s="64" t="s">
        <v>34</v>
      </c>
    </row>
    <row r="1187" spans="1:10" ht="13.5" customHeight="1" x14ac:dyDescent="0.2">
      <c r="A1187" s="64"/>
      <c r="B1187" s="64"/>
      <c r="C1187" s="64"/>
      <c r="D1187" s="64"/>
      <c r="E1187" s="64"/>
      <c r="F1187" s="64"/>
      <c r="G1187" s="64"/>
      <c r="H1187" s="64"/>
      <c r="I1187" s="64"/>
      <c r="J1187" s="64"/>
    </row>
    <row r="1188" spans="1:10" ht="10.5" customHeight="1" x14ac:dyDescent="0.2">
      <c r="A1188" s="65" t="str">
        <f ca="1">INDIRECT(_xlfn.TEXTJOIN("",TRUE,A1184,"!",ADDRESS(13+(A1185-1)*J1184,1)))</f>
        <v>CAT 004</v>
      </c>
      <c r="B1188" s="65"/>
      <c r="C1188" s="66" t="str">
        <f ca="1">INDIRECT(_xlfn.TEXTJOIN("",TRUE,A1184,"!",ADDRESS(13+(A1185-1)*J1184,2)))</f>
        <v>Discrete Structure</v>
      </c>
      <c r="D1188" s="66"/>
      <c r="E1188" s="66"/>
      <c r="F1188" s="66"/>
      <c r="G1188" s="66"/>
      <c r="H1188" s="25">
        <f ca="1">INDIRECT(_xlfn.TEXTJOIN("",TRUE,A1184,"!",ADDRESS(13+(A1185-1)*J1184,6)))</f>
        <v>4</v>
      </c>
      <c r="I1188" s="25" t="str">
        <f ca="1">INDIRECT(_xlfn.TEXTJOIN("",TRUE,A1184,"!",ADDRESS(13+(A1185-1)*J1184,13)))</f>
        <v>C+</v>
      </c>
      <c r="J1188" s="25">
        <f ca="1">INDIRECT(_xlfn.TEXTJOIN("",TRUE,A1184,"!",ADDRESS(13+(A1185-1)*J1184,14)))</f>
        <v>7.5</v>
      </c>
    </row>
    <row r="1189" spans="1:10" ht="10.5" customHeight="1" x14ac:dyDescent="0.2">
      <c r="A1189" s="65" t="str">
        <f ca="1">INDIRECT(_xlfn.TEXTJOIN("",TRUE,A1184,"!",ADDRESS(14+(A1185-1)*J1184,1)))</f>
        <v>CAT 005</v>
      </c>
      <c r="B1189" s="65"/>
      <c r="C1189" s="66" t="str">
        <f ca="1">INDIRECT(_xlfn.TEXTJOIN("",TRUE,A1184,"!",ADDRESS(14+(A1185-1)*J1184,2)))</f>
        <v>Database Management System</v>
      </c>
      <c r="D1189" s="66"/>
      <c r="E1189" s="66"/>
      <c r="F1189" s="66"/>
      <c r="G1189" s="66"/>
      <c r="H1189" s="25">
        <f ca="1">INDIRECT(_xlfn.TEXTJOIN("",TRUE,A1184,"!",ADDRESS(14+(A1185-1)*J1184,6)))</f>
        <v>4</v>
      </c>
      <c r="I1189" s="25" t="str">
        <f ca="1">INDIRECT(_xlfn.TEXTJOIN("",TRUE,A1184,"!",ADDRESS(14+(A1185-1)*J1184,13)))</f>
        <v>D+</v>
      </c>
      <c r="J1189" s="25">
        <f ca="1">INDIRECT(_xlfn.TEXTJOIN("",TRUE,A1184,"!",ADDRESS(14+(A1185-1)*J1184,14)))</f>
        <v>6.5</v>
      </c>
    </row>
    <row r="1190" spans="1:10" ht="10.5" customHeight="1" x14ac:dyDescent="0.2">
      <c r="A1190" s="65" t="str">
        <f ca="1">INDIRECT(_xlfn.TEXTJOIN("",TRUE,A1184,"!",ADDRESS(15+(A1185-1)*J1184,1)))</f>
        <v>CAT 006</v>
      </c>
      <c r="B1190" s="65"/>
      <c r="C1190" s="66" t="str">
        <f ca="1">INDIRECT(_xlfn.TEXTJOIN("",TRUE,A1184,"!",ADDRESS(15+(A1185-1)*J1184,2)))</f>
        <v>Operating System</v>
      </c>
      <c r="D1190" s="66"/>
      <c r="E1190" s="66"/>
      <c r="F1190" s="66"/>
      <c r="G1190" s="66"/>
      <c r="H1190" s="25">
        <f ca="1">INDIRECT(_xlfn.TEXTJOIN("",TRUE,A1184,"!",ADDRESS(15+(A1185-1)*J1184,6)))</f>
        <v>4</v>
      </c>
      <c r="I1190" s="25" t="str">
        <f ca="1">INDIRECT(_xlfn.TEXTJOIN("",TRUE,A1184,"!",ADDRESS(15+(A1185-1)*J1184,13)))</f>
        <v>C+</v>
      </c>
      <c r="J1190" s="25">
        <f ca="1">INDIRECT(_xlfn.TEXTJOIN("",TRUE,A1184,"!",ADDRESS(15+(A1185-1)*J1184,14)))</f>
        <v>7.5</v>
      </c>
    </row>
    <row r="1191" spans="1:10" ht="10.5" customHeight="1" x14ac:dyDescent="0.2">
      <c r="A1191" s="65" t="str">
        <f ca="1">INDIRECT(_xlfn.TEXTJOIN("",TRUE,A1184,"!",ADDRESS(16+(A1185-1)*J1184,1)))</f>
        <v>CAT 007</v>
      </c>
      <c r="B1191" s="65"/>
      <c r="C1191" s="66" t="str">
        <f ca="1">INDIRECT(_xlfn.TEXTJOIN("",TRUE,A1184,"!",ADDRESS(16+(A1185-1)*J1184,2)))</f>
        <v>Computer Organization</v>
      </c>
      <c r="D1191" s="66"/>
      <c r="E1191" s="66"/>
      <c r="F1191" s="66"/>
      <c r="G1191" s="66"/>
      <c r="H1191" s="25">
        <f ca="1">INDIRECT(_xlfn.TEXTJOIN("",TRUE,A1184,"!",ADDRESS(16+(A1185-1)*J1184,6)))</f>
        <v>4</v>
      </c>
      <c r="I1191" s="25" t="str">
        <f ca="1">INDIRECT(_xlfn.TEXTJOIN("",TRUE,A1184,"!",ADDRESS(16+(A1185-1)*J1184,13)))</f>
        <v>C</v>
      </c>
      <c r="J1191" s="25">
        <f ca="1">INDIRECT(_xlfn.TEXTJOIN("",TRUE,A1184,"!",ADDRESS(16+(A1185-1)*J1184,14)))</f>
        <v>7</v>
      </c>
    </row>
    <row r="1192" spans="1:10" ht="10.5" customHeight="1" x14ac:dyDescent="0.2">
      <c r="A1192" s="65" t="str">
        <f ca="1">INDIRECT(_xlfn.TEXTJOIN("",TRUE,A1184,"!",ADDRESS(17+(A1185-1)*J1184,1)))</f>
        <v>AHT 303</v>
      </c>
      <c r="B1192" s="65"/>
      <c r="C1192" s="66" t="str">
        <f ca="1">INDIRECT(_xlfn.TEXTJOIN("",TRUE,A1184,"!",ADDRESS(17+(A1185-1)*J1184,2)))</f>
        <v>Technical Communication Skills</v>
      </c>
      <c r="D1192" s="66"/>
      <c r="E1192" s="66"/>
      <c r="F1192" s="66"/>
      <c r="G1192" s="66"/>
      <c r="H1192" s="25">
        <f ca="1">INDIRECT(_xlfn.TEXTJOIN("",TRUE,A1184,"!",ADDRESS(17+(A1185-1)*J1184,6)))</f>
        <v>4</v>
      </c>
      <c r="I1192" s="25" t="str">
        <f ca="1">INDIRECT(_xlfn.TEXTJOIN("",TRUE,A1184,"!",ADDRESS(17+(A1185-1)*J1184,13)))</f>
        <v>D+</v>
      </c>
      <c r="J1192" s="25">
        <f ca="1">INDIRECT(_xlfn.TEXTJOIN("",TRUE,A1184,"!",ADDRESS(17+(A1185-1)*J1184,14)))</f>
        <v>6.5</v>
      </c>
    </row>
    <row r="1193" spans="1:10" ht="10.5" customHeight="1" x14ac:dyDescent="0.2">
      <c r="A1193" s="65" t="str">
        <f ca="1">INDIRECT(_xlfn.TEXTJOIN("",TRUE,A1184,"!",ADDRESS(18+(A1185-1)*J1184,1)))</f>
        <v>CAT 008</v>
      </c>
      <c r="B1193" s="65"/>
      <c r="C1193" s="66" t="str">
        <f ca="1">INDIRECT(_xlfn.TEXTJOIN("",TRUE,A1184,"!",ADDRESS(18+(A1185-1)*J1184,2)))</f>
        <v>Python Programming ($)</v>
      </c>
      <c r="D1193" s="66"/>
      <c r="E1193" s="66"/>
      <c r="F1193" s="66"/>
      <c r="G1193" s="66"/>
      <c r="H1193" s="25">
        <f ca="1">INDIRECT(_xlfn.TEXTJOIN("",TRUE,A1184,"!",ADDRESS(18+(A1185-1)*J1184,6)))</f>
        <v>0</v>
      </c>
      <c r="I1193" s="25" t="str">
        <f ca="1">INDIRECT(_xlfn.TEXTJOIN("",TRUE,A1184,"!",ADDRESS(18+(A1185-1)*J1184,13)))</f>
        <v>C</v>
      </c>
      <c r="J1193" s="25">
        <f ca="1">INDIRECT(_xlfn.TEXTJOIN("",TRUE,A1184,"!",ADDRESS(18+(A1185-1)*J1184,14)))</f>
        <v>7</v>
      </c>
    </row>
    <row r="1194" spans="1:10" ht="10.5" customHeight="1" x14ac:dyDescent="0.2">
      <c r="A1194" s="60" t="str">
        <f ca="1">INDIRECT(_xlfn.TEXTJOIN("",TRUE,A1184,"!",ADDRESS(19+(A1185-1)*J1184,1)))</f>
        <v>CAT 001</v>
      </c>
      <c r="B1194" s="61"/>
      <c r="C1194" s="57" t="str">
        <f ca="1">INDIRECT(_xlfn.TEXTJOIN("",TRUE,A1184,"!",ADDRESS(19+(A1185-1)*J1184,2)))</f>
        <v>Introduction of Information Technology ($)</v>
      </c>
      <c r="D1194" s="58"/>
      <c r="E1194" s="58"/>
      <c r="F1194" s="58"/>
      <c r="G1194" s="59"/>
      <c r="H1194" s="25">
        <f ca="1">INDIRECT(_xlfn.TEXTJOIN("",TRUE,A1184,"!",ADDRESS(19+(A1185-1)*J1184,6)))</f>
        <v>0</v>
      </c>
      <c r="I1194" s="25" t="str">
        <f ca="1">INDIRECT(_xlfn.TEXTJOIN("",TRUE,A1184,"!",ADDRESS(19+(A1185-1)*J1184,13)))</f>
        <v>-</v>
      </c>
      <c r="J1194" s="25" t="str">
        <f ca="1">INDIRECT(_xlfn.TEXTJOIN("",TRUE,A1184,"!",ADDRESS(19+(A1185-1)*J1184,14)))</f>
        <v>-</v>
      </c>
    </row>
    <row r="1195" spans="1:10" ht="10.5" customHeight="1" x14ac:dyDescent="0.2">
      <c r="A1195" s="65" t="str">
        <f ca="1">INDIRECT(_xlfn.TEXTJOIN("",TRUE,A1184,"!",ADDRESS(20+(A1185-1)*J1184,1)))</f>
        <v>CAT 002</v>
      </c>
      <c r="B1195" s="65"/>
      <c r="C1195" s="66" t="str">
        <f ca="1">INDIRECT(_xlfn.TEXTJOIN("",TRUE,A1184,"!",ADDRESS(20+(A1185-1)*J1184,2)))</f>
        <v>Programming Fundamentals with "C" ($)</v>
      </c>
      <c r="D1195" s="66"/>
      <c r="E1195" s="66"/>
      <c r="F1195" s="66"/>
      <c r="G1195" s="66"/>
      <c r="H1195" s="25">
        <f ca="1">INDIRECT(_xlfn.TEXTJOIN("",TRUE,A1184,"!",ADDRESS(20+(A1185-1)*J1184,6)))</f>
        <v>0</v>
      </c>
      <c r="I1195" s="25" t="str">
        <f ca="1">INDIRECT(_xlfn.TEXTJOIN("",TRUE,A1184,"!",ADDRESS(20+(A1185-1)*J1184,13)))</f>
        <v>-</v>
      </c>
      <c r="J1195" s="25" t="str">
        <f ca="1">INDIRECT(_xlfn.TEXTJOIN("",TRUE,A1184,"!",ADDRESS(20+(A1185-1)*J1184,14)))</f>
        <v>-</v>
      </c>
    </row>
    <row r="1196" spans="1:10" ht="10.5" customHeight="1" x14ac:dyDescent="0.2">
      <c r="A1196" s="65" t="str">
        <f ca="1">INDIRECT(_xlfn.TEXTJOIN("",TRUE,A1184,"!",ADDRESS(21+(A1185-1)*J1184,1)))</f>
        <v>CAT 003</v>
      </c>
      <c r="B1196" s="65"/>
      <c r="C1196" s="66" t="str">
        <f ca="1">INDIRECT(_xlfn.TEXTJOIN("",TRUE,A1184,"!",ADDRESS(21+(A1185-1)*J1184,2)))</f>
        <v>Fundamental of Web Technology ($)</v>
      </c>
      <c r="D1196" s="66"/>
      <c r="E1196" s="66"/>
      <c r="F1196" s="66"/>
      <c r="G1196" s="66"/>
      <c r="H1196" s="25">
        <f ca="1">INDIRECT(_xlfn.TEXTJOIN("",TRUE,A1184,"!",ADDRESS(21+(A1185-1)*J1184,6)))</f>
        <v>0</v>
      </c>
      <c r="I1196" s="25" t="str">
        <f ca="1">INDIRECT(_xlfn.TEXTJOIN("",TRUE,A1184,"!",ADDRESS(21+(A1185-1)*J1184,13)))</f>
        <v>-</v>
      </c>
      <c r="J1196" s="25" t="str">
        <f ca="1">INDIRECT(_xlfn.TEXTJOIN("",TRUE,A1184,"!",ADDRESS(21+(A1185-1)*J1184,14)))</f>
        <v>-</v>
      </c>
    </row>
    <row r="1197" spans="1:10" ht="10.5" customHeight="1" x14ac:dyDescent="0.2">
      <c r="A1197" s="65" t="str">
        <f ca="1">INDIRECT(_xlfn.TEXTJOIN("",TRUE,A1184,"!",ADDRESS(22+(A1185-1)*J1184,1)))</f>
        <v>CAP 001</v>
      </c>
      <c r="B1197" s="65"/>
      <c r="C1197" s="66" t="str">
        <f ca="1">INDIRECT(_xlfn.TEXTJOIN("",TRUE,A1184,"!",ADDRESS(22+(A1185-1)*J1184,2)))</f>
        <v>Database Management System Lab</v>
      </c>
      <c r="D1197" s="66"/>
      <c r="E1197" s="66"/>
      <c r="F1197" s="66"/>
      <c r="G1197" s="66"/>
      <c r="H1197" s="25">
        <f ca="1">INDIRECT(_xlfn.TEXTJOIN("",TRUE,A1184,"!",ADDRESS(22+(A1185-1)*J1184,6)))</f>
        <v>1</v>
      </c>
      <c r="I1197" s="25" t="str">
        <f ca="1">INDIRECT(_xlfn.TEXTJOIN("",TRUE,A1184,"!",ADDRESS(22+(A1185-1)*J1184,13)))</f>
        <v>B+</v>
      </c>
      <c r="J1197" s="25">
        <f ca="1">INDIRECT(_xlfn.TEXTJOIN("",TRUE,A1184,"!",ADDRESS(22+(A1185-1)*J1184,14)))</f>
        <v>8.5</v>
      </c>
    </row>
    <row r="1198" spans="1:10" ht="10.5" customHeight="1" x14ac:dyDescent="0.2">
      <c r="A1198" s="65" t="str">
        <f ca="1">INDIRECT(_xlfn.TEXTJOIN("",TRUE,A1184,"!",ADDRESS(23+(A1185-1)*J1184,1)))</f>
        <v>CAP 002</v>
      </c>
      <c r="B1198" s="65"/>
      <c r="C1198" s="66" t="str">
        <f ca="1">INDIRECT(_xlfn.TEXTJOIN("",TRUE,A1184,"!",ADDRESS(23+(A1185-1)*J1184,2)))</f>
        <v>Operating System Lab</v>
      </c>
      <c r="D1198" s="66"/>
      <c r="E1198" s="66"/>
      <c r="F1198" s="66"/>
      <c r="G1198" s="66"/>
      <c r="H1198" s="25">
        <f ca="1">INDIRECT(_xlfn.TEXTJOIN("",TRUE,A1184,"!",ADDRESS(23+(A1185-1)*J1184,6)))</f>
        <v>1</v>
      </c>
      <c r="I1198" s="25" t="str">
        <f ca="1">INDIRECT(_xlfn.TEXTJOIN("",TRUE,A1184,"!",ADDRESS(23+(A1185-1)*J1184,13)))</f>
        <v>A+</v>
      </c>
      <c r="J1198" s="25">
        <f ca="1">INDIRECT(_xlfn.TEXTJOIN("",TRUE,A1184,"!",ADDRESS(23+(A1185-1)*J1184,14)))</f>
        <v>9.5</v>
      </c>
    </row>
    <row r="1199" spans="1:10" ht="10.5" customHeight="1" x14ac:dyDescent="0.2">
      <c r="A1199" s="65" t="str">
        <f ca="1">INDIRECT(_xlfn.TEXTJOIN("",TRUE,A1184,"!",ADDRESS(24+(A1185-1)*J1184,1)))</f>
        <v>CAP 003</v>
      </c>
      <c r="B1199" s="65"/>
      <c r="C1199" s="66" t="str">
        <f ca="1">INDIRECT(_xlfn.TEXTJOIN("",TRUE,A1184,"!",ADDRESS(24+(A1185-1)*J1184,2)))</f>
        <v>Computer Organization Lab</v>
      </c>
      <c r="D1199" s="66"/>
      <c r="E1199" s="66"/>
      <c r="F1199" s="66"/>
      <c r="G1199" s="66"/>
      <c r="H1199" s="25">
        <f ca="1">INDIRECT(_xlfn.TEXTJOIN("",TRUE,A1184,"!",ADDRESS(24+(A1185-1)*J1184,6)))</f>
        <v>1</v>
      </c>
      <c r="I1199" s="25" t="str">
        <f ca="1">INDIRECT(_xlfn.TEXTJOIN("",TRUE,A1184,"!",ADDRESS(24+(A1185-1)*J1184,13)))</f>
        <v>A+</v>
      </c>
      <c r="J1199" s="25">
        <f ca="1">INDIRECT(_xlfn.TEXTJOIN("",TRUE,A1184,"!",ADDRESS(24+(A1185-1)*J1184,14)))</f>
        <v>9.5</v>
      </c>
    </row>
    <row r="1200" spans="1:10" ht="10.5" customHeight="1" x14ac:dyDescent="0.2">
      <c r="A1200" s="65" t="str">
        <f ca="1">INDIRECT(_xlfn.TEXTJOIN("",TRUE,A1184,"!",ADDRESS(25+(A1185-1)*J1184,1)))</f>
        <v>AHP 303</v>
      </c>
      <c r="B1200" s="65"/>
      <c r="C1200" s="66" t="str">
        <f ca="1">INDIRECT(_xlfn.TEXTJOIN("",TRUE,A1184,"!",ADDRESS(25+(A1185-1)*J1184,2)))</f>
        <v>Technical Communication Skills</v>
      </c>
      <c r="D1200" s="66"/>
      <c r="E1200" s="66"/>
      <c r="F1200" s="66"/>
      <c r="G1200" s="66"/>
      <c r="H1200" s="25">
        <f ca="1">INDIRECT(_xlfn.TEXTJOIN("",TRUE,A1184,"!",ADDRESS(25+(A1185-1)*J1184,6)))</f>
        <v>1</v>
      </c>
      <c r="I1200" s="25" t="str">
        <f ca="1">INDIRECT(_xlfn.TEXTJOIN("",TRUE,A1184,"!",ADDRESS(25+(A1185-1)*J1184,13)))</f>
        <v>B+</v>
      </c>
      <c r="J1200" s="25">
        <f ca="1">INDIRECT(_xlfn.TEXTJOIN("",TRUE,A1184,"!",ADDRESS(25+(A1185-1)*J1184,14)))</f>
        <v>8.5</v>
      </c>
    </row>
    <row r="1201" spans="1:10" s="35" customFormat="1" ht="10.5" customHeight="1" x14ac:dyDescent="0.2">
      <c r="A1201" s="77">
        <f ca="1">INDIRECT(_xlfn.TEXTJOIN("",TRUE,A1184,"!",ADDRESS(26+(A1185-1)*J1184,1)))</f>
        <v>0</v>
      </c>
      <c r="B1201" s="77"/>
      <c r="C1201" s="78">
        <f ca="1">INDIRECT(_xlfn.TEXTJOIN("",TRUE,A1184,"!",ADDRESS(26+(A1185-1)*J1184,2)))</f>
        <v>0</v>
      </c>
      <c r="D1201" s="78"/>
      <c r="E1201" s="78"/>
      <c r="F1201" s="78"/>
      <c r="G1201" s="78"/>
      <c r="H1201" s="34">
        <f ca="1">INDIRECT(_xlfn.TEXTJOIN("",TRUE,A1184,"!",ADDRESS(26+(A1185-1)*J1184,6)))</f>
        <v>0</v>
      </c>
      <c r="I1201" s="34" t="str">
        <f ca="1">INDIRECT(_xlfn.TEXTJOIN("",TRUE,A1184,"!",ADDRESS(26+(A1185-1)*J1184,13)))</f>
        <v>Excellent</v>
      </c>
      <c r="J1201" s="34">
        <f ca="1">INDIRECT(_xlfn.TEXTJOIN("",TRUE,A1184,"!",ADDRESS(26+(A1185-1)*J1184,14)))</f>
        <v>0</v>
      </c>
    </row>
    <row r="1202" spans="1:10" ht="10.5" customHeight="1" x14ac:dyDescent="0.2">
      <c r="A1202" s="71" t="s">
        <v>52</v>
      </c>
      <c r="B1202" s="71"/>
      <c r="C1202" s="71"/>
      <c r="D1202" s="71"/>
      <c r="E1202" s="71"/>
      <c r="F1202" s="71"/>
      <c r="G1202" s="71"/>
      <c r="H1202" s="27">
        <f ca="1">SUM(H1188:H1201)</f>
        <v>24</v>
      </c>
      <c r="I1202" s="26" t="s">
        <v>44</v>
      </c>
      <c r="J1202" s="27">
        <f ca="1">SUMPRODUCT(J1188:J1200,H1188:H1200)</f>
        <v>176</v>
      </c>
    </row>
    <row r="1203" spans="1:10" ht="10.5" customHeight="1" x14ac:dyDescent="0.2">
      <c r="A1203" s="24" t="s">
        <v>57</v>
      </c>
      <c r="B1203" s="72" t="str">
        <f ca="1">IF(ISNA(A1204),"","Semester II (Spring Semester 2022-23)")</f>
        <v/>
      </c>
      <c r="C1203" s="72"/>
      <c r="D1203" s="72"/>
      <c r="E1203" s="72"/>
      <c r="F1203" s="72"/>
      <c r="G1203" s="72"/>
      <c r="H1203" s="72"/>
      <c r="I1203" s="72"/>
      <c r="J1203" s="24">
        <f>ROWS(A1207:B1216)+9</f>
        <v>19</v>
      </c>
    </row>
    <row r="1204" spans="1:10" ht="10.5" customHeight="1" x14ac:dyDescent="0.2">
      <c r="A1204" s="24" t="e">
        <f ca="1">INDEX(SEM_II!$A$6:$A$45,Marksheets!J1204)</f>
        <v>#N/A</v>
      </c>
      <c r="B1204" s="63"/>
      <c r="C1204" s="63"/>
      <c r="D1204" s="63"/>
      <c r="E1204" s="63"/>
      <c r="F1204" s="63"/>
      <c r="G1204" s="63"/>
      <c r="H1204" s="63"/>
      <c r="I1204" s="63"/>
      <c r="J1204" s="24" t="e">
        <f ca="1">MATCH(H1182,SEM_II!$B$6:$B$45,0)</f>
        <v>#N/A</v>
      </c>
    </row>
    <row r="1205" spans="1:10" ht="10.5" customHeight="1" x14ac:dyDescent="0.2">
      <c r="A1205" s="64" t="str">
        <f ca="1">IF(ISNA(A1204),"","Subject Code")</f>
        <v/>
      </c>
      <c r="B1205" s="64"/>
      <c r="C1205" s="64" t="str">
        <f ca="1">IF(ISNA(A1204),"","Subject Name")</f>
        <v/>
      </c>
      <c r="D1205" s="64"/>
      <c r="E1205" s="64"/>
      <c r="F1205" s="64"/>
      <c r="G1205" s="64"/>
      <c r="H1205" s="64" t="str">
        <f ca="1">IF(ISNA(A1204),"","Credits")</f>
        <v/>
      </c>
      <c r="I1205" s="64" t="str">
        <f ca="1">IF(ISNA(A1204),"","Grade")</f>
        <v/>
      </c>
      <c r="J1205" s="64" t="str">
        <f ca="1">IF(ISNA(A1204),"","Grade Points")</f>
        <v/>
      </c>
    </row>
    <row r="1206" spans="1:10" ht="15.5" customHeight="1" x14ac:dyDescent="0.2">
      <c r="A1206" s="64"/>
      <c r="B1206" s="64"/>
      <c r="C1206" s="64"/>
      <c r="D1206" s="64"/>
      <c r="E1206" s="64"/>
      <c r="F1206" s="64"/>
      <c r="G1206" s="64"/>
      <c r="H1206" s="64"/>
      <c r="I1206" s="64"/>
      <c r="J1206" s="64"/>
    </row>
    <row r="1207" spans="1:10" ht="10.5" customHeight="1" x14ac:dyDescent="0.2">
      <c r="A1207" s="65" t="str">
        <f ca="1">_xlfn.IFNA(INDIRECT(_xlfn.TEXTJOIN("",TRUE,A1203,"!",ADDRESS(13+(A1204-1)*J1203,1))),"")</f>
        <v/>
      </c>
      <c r="B1207" s="65"/>
      <c r="C1207" s="66" t="str">
        <f ca="1">_xlfn.IFNA(INDIRECT(_xlfn.TEXTJOIN("",TRUE,A1203,"!",ADDRESS(13+(A1204-1)*J1203,2))),"")</f>
        <v/>
      </c>
      <c r="D1207" s="66"/>
      <c r="E1207" s="66"/>
      <c r="F1207" s="66"/>
      <c r="G1207" s="66"/>
      <c r="H1207" s="25" t="str">
        <f ca="1">_xlfn.IFNA(INDIRECT(_xlfn.TEXTJOIN("",TRUE,A1203,"!",ADDRESS(13+(A1204-1)*J1203,6))),"")</f>
        <v/>
      </c>
      <c r="I1207" s="25" t="str">
        <f ca="1">_xlfn.IFNA(INDIRECT(_xlfn.TEXTJOIN("",TRUE,A1203,"!",ADDRESS(13+(A1204-1)*J1203,13))),"")</f>
        <v/>
      </c>
      <c r="J1207" s="25" t="str">
        <f ca="1">_xlfn.IFNA(INDIRECT(_xlfn.TEXTJOIN("",TRUE,A1203,"!",ADDRESS(13+(A1204-1)*J1203,14))),"")</f>
        <v/>
      </c>
    </row>
    <row r="1208" spans="1:10" ht="10.5" customHeight="1" x14ac:dyDescent="0.2">
      <c r="A1208" s="65" t="str">
        <f ca="1">_xlfn.IFNA(INDIRECT(_xlfn.TEXTJOIN("",TRUE,A1203,"!",ADDRESS(14+(A1204-1)*J1203,1))),"")</f>
        <v/>
      </c>
      <c r="B1208" s="65"/>
      <c r="C1208" s="66" t="str">
        <f ca="1">_xlfn.IFNA(INDIRECT(_xlfn.TEXTJOIN("",TRUE,A1203,"!",ADDRESS(14+(A1204-1)*J1203,2))),"")</f>
        <v/>
      </c>
      <c r="D1208" s="66"/>
      <c r="E1208" s="66"/>
      <c r="F1208" s="66"/>
      <c r="G1208" s="66"/>
      <c r="H1208" s="25" t="str">
        <f ca="1">_xlfn.IFNA(INDIRECT(_xlfn.TEXTJOIN("",TRUE,A1203,"!",ADDRESS(14+(A1204-1)*J1203,6))),"")</f>
        <v/>
      </c>
      <c r="I1208" s="25" t="str">
        <f ca="1">_xlfn.IFNA(INDIRECT(_xlfn.TEXTJOIN("",TRUE,A1203,"!",ADDRESS(14+(A1204-1)*J1203,13))),"")</f>
        <v/>
      </c>
      <c r="J1208" s="25" t="str">
        <f ca="1">_xlfn.IFNA(INDIRECT(_xlfn.TEXTJOIN("",TRUE,A1203,"!",ADDRESS(14+(A1204-1)*J1203,14))),"")</f>
        <v/>
      </c>
    </row>
    <row r="1209" spans="1:10" ht="10.5" customHeight="1" x14ac:dyDescent="0.2">
      <c r="A1209" s="65" t="str">
        <f ca="1">_xlfn.IFNA(INDIRECT(_xlfn.TEXTJOIN("",TRUE,A1203,"!",ADDRESS(15+(A1204-1)*J1203,1))),"")</f>
        <v/>
      </c>
      <c r="B1209" s="65"/>
      <c r="C1209" s="66" t="str">
        <f ca="1">_xlfn.IFNA(INDIRECT(_xlfn.TEXTJOIN("",TRUE,A1203,"!",ADDRESS(15+(A1204-1)*J1203,2))),"")</f>
        <v/>
      </c>
      <c r="D1209" s="66"/>
      <c r="E1209" s="66"/>
      <c r="F1209" s="66"/>
      <c r="G1209" s="66"/>
      <c r="H1209" s="25" t="str">
        <f ca="1">_xlfn.IFNA(INDIRECT(_xlfn.TEXTJOIN("",TRUE,A1203,"!",ADDRESS(15+(A1204-1)*J1203,6))),"")</f>
        <v/>
      </c>
      <c r="I1209" s="25" t="str">
        <f ca="1">_xlfn.IFNA(INDIRECT(_xlfn.TEXTJOIN("",TRUE,A1203,"!",ADDRESS(15+(A1204-1)*J1203,13))),"")</f>
        <v/>
      </c>
      <c r="J1209" s="25" t="str">
        <f ca="1">_xlfn.IFNA(INDIRECT(_xlfn.TEXTJOIN("",TRUE,A1203,"!",ADDRESS(15+(A1204-1)*J1203,14))),"")</f>
        <v/>
      </c>
    </row>
    <row r="1210" spans="1:10" ht="10.5" customHeight="1" x14ac:dyDescent="0.2">
      <c r="A1210" s="65" t="str">
        <f ca="1">_xlfn.IFNA(INDIRECT(_xlfn.TEXTJOIN("",TRUE,A1203,"!",ADDRESS(16+(A1204-1)*J1203,1))),"")</f>
        <v/>
      </c>
      <c r="B1210" s="65"/>
      <c r="C1210" s="66" t="str">
        <f ca="1">_xlfn.IFNA(INDIRECT(_xlfn.TEXTJOIN("",TRUE,A1203,"!",ADDRESS(16+(A1204-1)*J1203,2))),"")</f>
        <v/>
      </c>
      <c r="D1210" s="66"/>
      <c r="E1210" s="66"/>
      <c r="F1210" s="66"/>
      <c r="G1210" s="66"/>
      <c r="H1210" s="25" t="str">
        <f ca="1">_xlfn.IFNA(INDIRECT(_xlfn.TEXTJOIN("",TRUE,A1203,"!",ADDRESS(16+(A1204-1)*J1203,6))),"")</f>
        <v/>
      </c>
      <c r="I1210" s="25" t="str">
        <f ca="1">_xlfn.IFNA(INDIRECT(_xlfn.TEXTJOIN("",TRUE,A1203,"!",ADDRESS(16+(A1204-1)*J1203,13))),"")</f>
        <v/>
      </c>
      <c r="J1210" s="25" t="str">
        <f ca="1">_xlfn.IFNA(INDIRECT(_xlfn.TEXTJOIN("",TRUE,A1203,"!",ADDRESS(16+(A1204-1)*J1203,14))),"")</f>
        <v/>
      </c>
    </row>
    <row r="1211" spans="1:10" ht="10.5" customHeight="1" x14ac:dyDescent="0.2">
      <c r="A1211" s="65" t="str">
        <f ca="1">_xlfn.IFNA(INDIRECT(_xlfn.TEXTJOIN("",TRUE,A1203,"!",ADDRESS(17+(A1204-1)*J1203,1))),"")</f>
        <v/>
      </c>
      <c r="B1211" s="65"/>
      <c r="C1211" s="66" t="str">
        <f ca="1">_xlfn.IFNA(INDIRECT(_xlfn.TEXTJOIN("",TRUE,A1203,"!",ADDRESS(17+(A1204-1)*J1203,2))),"")</f>
        <v/>
      </c>
      <c r="D1211" s="66"/>
      <c r="E1211" s="66"/>
      <c r="F1211" s="66"/>
      <c r="G1211" s="66"/>
      <c r="H1211" s="25" t="str">
        <f ca="1">_xlfn.IFNA(INDIRECT(_xlfn.TEXTJOIN("",TRUE,A1203,"!",ADDRESS(17+(A1204-1)*J1203,6))),"")</f>
        <v/>
      </c>
      <c r="I1211" s="25" t="str">
        <f ca="1">_xlfn.IFNA(INDIRECT(_xlfn.TEXTJOIN("",TRUE,A1203,"!",ADDRESS(17+(A1204-1)*J1203,13))),"")</f>
        <v/>
      </c>
      <c r="J1211" s="25" t="str">
        <f ca="1">_xlfn.IFNA(INDIRECT(_xlfn.TEXTJOIN("",TRUE,A1203,"!",ADDRESS(17+(A1204-1)*J1203,14))),"")</f>
        <v/>
      </c>
    </row>
    <row r="1212" spans="1:10" ht="10.5" customHeight="1" x14ac:dyDescent="0.2">
      <c r="A1212" s="65" t="str">
        <f ca="1">_xlfn.IFNA(INDIRECT(_xlfn.TEXTJOIN("",TRUE,A1203,"!",ADDRESS(18+(A1204-1)*J1203,1))),"")</f>
        <v/>
      </c>
      <c r="B1212" s="65"/>
      <c r="C1212" s="66" t="str">
        <f ca="1">_xlfn.IFNA(INDIRECT(_xlfn.TEXTJOIN("",TRUE,A1203,"!",ADDRESS(18+(A1204-1)*J1203,2))),"")</f>
        <v/>
      </c>
      <c r="D1212" s="66"/>
      <c r="E1212" s="66"/>
      <c r="F1212" s="66"/>
      <c r="G1212" s="66"/>
      <c r="H1212" s="25" t="str">
        <f ca="1">_xlfn.IFNA(INDIRECT(_xlfn.TEXTJOIN("",TRUE,A1203,"!",ADDRESS(18+(A1204-1)*J1203,6))),"")</f>
        <v/>
      </c>
      <c r="I1212" s="25" t="str">
        <f ca="1">_xlfn.IFNA(INDIRECT(_xlfn.TEXTJOIN("",TRUE,A1203,"!",ADDRESS(18+(A1204-1)*J1203,13))),"")</f>
        <v/>
      </c>
      <c r="J1212" s="25" t="str">
        <f ca="1">_xlfn.IFNA(INDIRECT(_xlfn.TEXTJOIN("",TRUE,A1203,"!",ADDRESS(18+(A1204-1)*J1203,14))),"")</f>
        <v/>
      </c>
    </row>
    <row r="1213" spans="1:10" ht="10.5" customHeight="1" x14ac:dyDescent="0.2">
      <c r="A1213" s="60" t="str">
        <f ca="1">_xlfn.IFNA(INDIRECT(_xlfn.TEXTJOIN("",TRUE,A1203,"!",ADDRESS(19+(A1204-1)*J1203,1))),"")</f>
        <v/>
      </c>
      <c r="B1213" s="61"/>
      <c r="C1213" s="57" t="str">
        <f ca="1">_xlfn.IFNA(INDIRECT(_xlfn.TEXTJOIN("",TRUE,A1203,"!",ADDRESS(19+(A1204-1)*J1203,2))),"")</f>
        <v/>
      </c>
      <c r="D1213" s="58"/>
      <c r="E1213" s="58"/>
      <c r="F1213" s="58"/>
      <c r="G1213" s="59"/>
      <c r="H1213" s="25" t="str">
        <f ca="1">_xlfn.IFNA(INDIRECT(_xlfn.TEXTJOIN("",TRUE,A1203,"!",ADDRESS(19+(A1204-1)*J1203,6))),"")</f>
        <v/>
      </c>
      <c r="I1213" s="25" t="str">
        <f ca="1">_xlfn.IFNA(INDIRECT(_xlfn.TEXTJOIN("",TRUE,A1203,"!",ADDRESS(19+(A1204-1)*J1203,13))),"")</f>
        <v/>
      </c>
      <c r="J1213" s="25" t="str">
        <f ca="1">_xlfn.IFNA(INDIRECT(_xlfn.TEXTJOIN("",TRUE,A1203,"!",ADDRESS(19+(A1204-1)*J1203,14))),"")</f>
        <v/>
      </c>
    </row>
    <row r="1214" spans="1:10" ht="10.5" customHeight="1" x14ac:dyDescent="0.2">
      <c r="A1214" s="65" t="str">
        <f ca="1">_xlfn.IFNA(INDIRECT(_xlfn.TEXTJOIN("",TRUE,A1203,"!",ADDRESS(20+(A1204-1)*J1203,1))),"")</f>
        <v/>
      </c>
      <c r="B1214" s="65"/>
      <c r="C1214" s="66" t="str">
        <f ca="1">_xlfn.IFNA(INDIRECT(_xlfn.TEXTJOIN("",TRUE,A1203,"!",ADDRESS(20+(A1204-1)*J1203,2))),"")</f>
        <v/>
      </c>
      <c r="D1214" s="66"/>
      <c r="E1214" s="66"/>
      <c r="F1214" s="66"/>
      <c r="G1214" s="66"/>
      <c r="H1214" s="25" t="str">
        <f ca="1">_xlfn.IFNA(INDIRECT(_xlfn.TEXTJOIN("",TRUE,A1203,"!",ADDRESS(20+(A1204-1)*J1203,6))),"")</f>
        <v/>
      </c>
      <c r="I1214" s="25" t="str">
        <f ca="1">_xlfn.IFNA(INDIRECT(_xlfn.TEXTJOIN("",TRUE,A1203,"!",ADDRESS(20+(A1204-1)*J1203,13))),"")</f>
        <v/>
      </c>
      <c r="J1214" s="25" t="str">
        <f ca="1">_xlfn.IFNA(INDIRECT(_xlfn.TEXTJOIN("",TRUE,A1203,"!",ADDRESS(20+(A1204-1)*J1203,14))),"")</f>
        <v/>
      </c>
    </row>
    <row r="1215" spans="1:10" ht="10.5" customHeight="1" x14ac:dyDescent="0.2">
      <c r="A1215" s="65" t="str">
        <f ca="1">_xlfn.IFNA(INDIRECT(_xlfn.TEXTJOIN("",TRUE,A1203,"!",ADDRESS(21+(A1204-1)*J1203,1))),"")</f>
        <v/>
      </c>
      <c r="B1215" s="65"/>
      <c r="C1215" s="66" t="str">
        <f ca="1">_xlfn.IFNA(INDIRECT(_xlfn.TEXTJOIN("",TRUE,A1203,"!",ADDRESS(21+(A1204-1)*J1203,2))),"")</f>
        <v/>
      </c>
      <c r="D1215" s="66"/>
      <c r="E1215" s="66"/>
      <c r="F1215" s="66"/>
      <c r="G1215" s="66"/>
      <c r="H1215" s="25" t="str">
        <f ca="1">_xlfn.IFNA(INDIRECT(_xlfn.TEXTJOIN("",TRUE,A1203,"!",ADDRESS(21+(A1204-1)*J1203,6))),"")</f>
        <v/>
      </c>
      <c r="I1215" s="25" t="str">
        <f ca="1">_xlfn.IFNA(INDIRECT(_xlfn.TEXTJOIN("",TRUE,A1203,"!",ADDRESS(21+(A1204-1)*J1203,13))),"")</f>
        <v/>
      </c>
      <c r="J1215" s="25" t="str">
        <f ca="1">_xlfn.IFNA(INDIRECT(_xlfn.TEXTJOIN("",TRUE,A1203,"!",ADDRESS(21+(A1204-1)*J1203,14))),"")</f>
        <v/>
      </c>
    </row>
    <row r="1216" spans="1:10" ht="10.5" customHeight="1" x14ac:dyDescent="0.2">
      <c r="A1216" s="65" t="str">
        <f ca="1">_xlfn.IFNA(INDIRECT(_xlfn.TEXTJOIN("",TRUE,A1203,"!",ADDRESS(22+(A1204-1)*J1203,1))),"")</f>
        <v/>
      </c>
      <c r="B1216" s="65"/>
      <c r="C1216" s="66" t="str">
        <f ca="1">_xlfn.IFNA(INDIRECT(_xlfn.TEXTJOIN("",TRUE,A1203,"!",ADDRESS(22+(A1204-1)*J1203,2))),"")</f>
        <v/>
      </c>
      <c r="D1216" s="66"/>
      <c r="E1216" s="66"/>
      <c r="F1216" s="66"/>
      <c r="G1216" s="66"/>
      <c r="H1216" s="25" t="str">
        <f ca="1">_xlfn.IFNA(INDIRECT(_xlfn.TEXTJOIN("",TRUE,A1203,"!",ADDRESS(22+(A1204-1)*J1203,6))),"")</f>
        <v/>
      </c>
      <c r="I1216" s="25" t="str">
        <f ca="1">_xlfn.IFNA(INDIRECT(_xlfn.TEXTJOIN("",TRUE,A1203,"!",ADDRESS(22+(A1204-1)*J1203,13))),"")</f>
        <v/>
      </c>
      <c r="J1216" s="25" t="str">
        <f ca="1">_xlfn.IFNA(INDIRECT(_xlfn.TEXTJOIN("",TRUE,A1203,"!",ADDRESS(22+(A1204-1)*J1203,14))),"")</f>
        <v/>
      </c>
    </row>
    <row r="1217" spans="1:10" ht="10.5" customHeight="1" x14ac:dyDescent="0.2">
      <c r="A1217" s="71" t="str">
        <f ca="1">IF(ISNA(A1204),"","Total Credits/ Total Grade Points")</f>
        <v/>
      </c>
      <c r="B1217" s="71"/>
      <c r="C1217" s="71"/>
      <c r="D1217" s="71"/>
      <c r="E1217" s="71"/>
      <c r="F1217" s="71"/>
      <c r="G1217" s="71"/>
      <c r="H1217" s="27" t="str">
        <f ca="1">IF(ISNA(A1204),"",SUM(H1207:H1216))</f>
        <v/>
      </c>
      <c r="I1217" s="26" t="str">
        <f ca="1">IF(ISNA(A1204),"","-")</f>
        <v/>
      </c>
      <c r="J1217" s="27" t="str">
        <f ca="1">IF(ISNA(A1204),"",SUMPRODUCT(J1207:J1216,H1207:H1216))</f>
        <v/>
      </c>
    </row>
    <row r="1218" spans="1:10" ht="10.5" customHeight="1" x14ac:dyDescent="0.2">
      <c r="A1218" s="24" t="s">
        <v>60</v>
      </c>
      <c r="B1218" s="72" t="str">
        <f ca="1">IF(ISNA(A1219),"","Semester III (Autumn Semester 2023-24)")</f>
        <v/>
      </c>
      <c r="C1218" s="72"/>
      <c r="D1218" s="72"/>
      <c r="E1218" s="72"/>
      <c r="F1218" s="72"/>
      <c r="G1218" s="72"/>
      <c r="H1218" s="72"/>
      <c r="I1218" s="72"/>
      <c r="J1218" s="24">
        <f>ROWS(A1222:B1229)+9</f>
        <v>17</v>
      </c>
    </row>
    <row r="1219" spans="1:10" ht="10.5" customHeight="1" x14ac:dyDescent="0.2">
      <c r="A1219" s="24" t="e">
        <f ca="1">INDEX(SEM_III!$A$6:$A$43,Marksheets!J1219)</f>
        <v>#N/A</v>
      </c>
      <c r="B1219" s="63"/>
      <c r="C1219" s="63"/>
      <c r="D1219" s="63"/>
      <c r="E1219" s="63"/>
      <c r="F1219" s="63"/>
      <c r="G1219" s="63"/>
      <c r="H1219" s="63"/>
      <c r="I1219" s="63"/>
      <c r="J1219" s="24" t="e">
        <f ca="1">MATCH(H1182,SEM_III!$B$6:$B$43,0)</f>
        <v>#N/A</v>
      </c>
    </row>
    <row r="1220" spans="1:10" ht="10.5" customHeight="1" x14ac:dyDescent="0.2">
      <c r="A1220" s="64" t="str">
        <f ca="1">IF(ISNA(A1219),"","Subject Code")</f>
        <v/>
      </c>
      <c r="B1220" s="64"/>
      <c r="C1220" s="64" t="str">
        <f ca="1">IF(ISNA(A1219),"","Subject Name")</f>
        <v/>
      </c>
      <c r="D1220" s="64"/>
      <c r="E1220" s="64"/>
      <c r="F1220" s="64"/>
      <c r="G1220" s="64"/>
      <c r="H1220" s="64" t="str">
        <f ca="1">IF(ISNA(A1219),"","Credits")</f>
        <v/>
      </c>
      <c r="I1220" s="64" t="str">
        <f ca="1">IF(ISNA(A1219),"","Grade")</f>
        <v/>
      </c>
      <c r="J1220" s="64" t="str">
        <f ca="1">IF(ISNA(A1219),"","Grade Points")</f>
        <v/>
      </c>
    </row>
    <row r="1221" spans="1:10" ht="12" customHeight="1" x14ac:dyDescent="0.2">
      <c r="A1221" s="64"/>
      <c r="B1221" s="64"/>
      <c r="C1221" s="64"/>
      <c r="D1221" s="64"/>
      <c r="E1221" s="64"/>
      <c r="F1221" s="64"/>
      <c r="G1221" s="64"/>
      <c r="H1221" s="64"/>
      <c r="I1221" s="64"/>
      <c r="J1221" s="64"/>
    </row>
    <row r="1222" spans="1:10" ht="10.5" customHeight="1" x14ac:dyDescent="0.2">
      <c r="A1222" s="65" t="str">
        <f ca="1">_xlfn.IFNA(INDIRECT(_xlfn.TEXTJOIN("",TRUE,A1218,"!",ADDRESS(13+(A1219-1)*J1218,1))),"")</f>
        <v/>
      </c>
      <c r="B1222" s="65"/>
      <c r="C1222" s="66" t="str">
        <f ca="1">_xlfn.IFNA(INDIRECT(_xlfn.TEXTJOIN("",TRUE,A1218,"!",ADDRESS(13+(A1219-1)*J1218,2))),"")</f>
        <v/>
      </c>
      <c r="D1222" s="66"/>
      <c r="E1222" s="66"/>
      <c r="F1222" s="66"/>
      <c r="G1222" s="66"/>
      <c r="H1222" s="25" t="str">
        <f ca="1">_xlfn.IFNA(INDIRECT(_xlfn.TEXTJOIN("",TRUE,A1218,"!",ADDRESS(13+(A1219-1)*J1218,6))),"")</f>
        <v/>
      </c>
      <c r="I1222" s="25" t="str">
        <f ca="1">_xlfn.IFNA(INDIRECT(_xlfn.TEXTJOIN("",TRUE,A1218,"!",ADDRESS(13+(A1219-1)*J1218,13))),"")</f>
        <v/>
      </c>
      <c r="J1222" s="25" t="str">
        <f ca="1">_xlfn.IFNA(INDIRECT(_xlfn.TEXTJOIN("",TRUE,A1218,"!",ADDRESS(13+(A1219-1)*J1218,14))),"")</f>
        <v/>
      </c>
    </row>
    <row r="1223" spans="1:10" ht="10.5" customHeight="1" x14ac:dyDescent="0.2">
      <c r="A1223" s="65" t="str">
        <f ca="1">_xlfn.IFNA(INDIRECT(_xlfn.TEXTJOIN("",TRUE,A1218,"!",ADDRESS(14+(A1219-1)*J1218,1))),"")</f>
        <v/>
      </c>
      <c r="B1223" s="65"/>
      <c r="C1223" s="66" t="str">
        <f ca="1">_xlfn.IFNA(INDIRECT(_xlfn.TEXTJOIN("",TRUE,A1218,"!",ADDRESS(14+(A1219-1)*J1218,2))),"")</f>
        <v/>
      </c>
      <c r="D1223" s="66"/>
      <c r="E1223" s="66"/>
      <c r="F1223" s="66"/>
      <c r="G1223" s="66"/>
      <c r="H1223" s="25" t="str">
        <f ca="1">_xlfn.IFNA(INDIRECT(_xlfn.TEXTJOIN("",TRUE,A1218,"!",ADDRESS(14+(A1219-1)*J1218,6))),"")</f>
        <v/>
      </c>
      <c r="I1223" s="25" t="str">
        <f ca="1">_xlfn.IFNA(INDIRECT(_xlfn.TEXTJOIN("",TRUE,A1218,"!",ADDRESS(14+(A1219-1)*J1218,13))),"")</f>
        <v/>
      </c>
      <c r="J1223" s="25" t="str">
        <f ca="1">_xlfn.IFNA(INDIRECT(_xlfn.TEXTJOIN("",TRUE,A1218,"!",ADDRESS(14+(A1219-1)*J1218,14))),"")</f>
        <v/>
      </c>
    </row>
    <row r="1224" spans="1:10" ht="10.5" customHeight="1" x14ac:dyDescent="0.2">
      <c r="A1224" s="65" t="str">
        <f ca="1">_xlfn.IFNA(INDIRECT(_xlfn.TEXTJOIN("",TRUE,A1218,"!",ADDRESS(15+(A1219-1)*J1218,1))),"")</f>
        <v/>
      </c>
      <c r="B1224" s="65"/>
      <c r="C1224" s="66" t="str">
        <f ca="1">_xlfn.IFNA(INDIRECT(_xlfn.TEXTJOIN("",TRUE,A1218,"!",ADDRESS(15+(A1219-1)*J1218,2))),"")</f>
        <v/>
      </c>
      <c r="D1224" s="66"/>
      <c r="E1224" s="66"/>
      <c r="F1224" s="66"/>
      <c r="G1224" s="66"/>
      <c r="H1224" s="25" t="str">
        <f ca="1">_xlfn.IFNA(INDIRECT(_xlfn.TEXTJOIN("",TRUE,A1218,"!",ADDRESS(15+(A1219-1)*J1218,6))),"")</f>
        <v/>
      </c>
      <c r="I1224" s="25" t="str">
        <f ca="1">_xlfn.IFNA(INDIRECT(_xlfn.TEXTJOIN("",TRUE,A1218,"!",ADDRESS(15+(A1219-1)*J1218,13))),"")</f>
        <v/>
      </c>
      <c r="J1224" s="25" t="str">
        <f ca="1">_xlfn.IFNA(INDIRECT(_xlfn.TEXTJOIN("",TRUE,A1218,"!",ADDRESS(15+(A1219-1)*J1218,14))),"")</f>
        <v/>
      </c>
    </row>
    <row r="1225" spans="1:10" ht="10.5" customHeight="1" x14ac:dyDescent="0.2">
      <c r="A1225" s="65" t="str">
        <f ca="1">_xlfn.IFNA(INDIRECT(_xlfn.TEXTJOIN("",TRUE,A1218,"!",ADDRESS(16+(A1219-1)*J1218,1))),"")</f>
        <v/>
      </c>
      <c r="B1225" s="65"/>
      <c r="C1225" s="66" t="str">
        <f ca="1">_xlfn.IFNA(INDIRECT(_xlfn.TEXTJOIN("",TRUE,A1218,"!",ADDRESS(16+(A1219-1)*J1218,2))),"")</f>
        <v/>
      </c>
      <c r="D1225" s="66"/>
      <c r="E1225" s="66"/>
      <c r="F1225" s="66"/>
      <c r="G1225" s="66"/>
      <c r="H1225" s="25" t="str">
        <f ca="1">_xlfn.IFNA(INDIRECT(_xlfn.TEXTJOIN("",TRUE,A1218,"!",ADDRESS(16+(A1219-1)*J1218,6))),"")</f>
        <v/>
      </c>
      <c r="I1225" s="25" t="str">
        <f ca="1">_xlfn.IFNA(INDIRECT(_xlfn.TEXTJOIN("",TRUE,A1218,"!",ADDRESS(16+(A1219-1)*J1218,13))),"")</f>
        <v/>
      </c>
      <c r="J1225" s="25" t="str">
        <f ca="1">_xlfn.IFNA(INDIRECT(_xlfn.TEXTJOIN("",TRUE,A1218,"!",ADDRESS(16+(A1219-1)*J1218,14))),"")</f>
        <v/>
      </c>
    </row>
    <row r="1226" spans="1:10" ht="10.5" customHeight="1" x14ac:dyDescent="0.2">
      <c r="A1226" s="65" t="str">
        <f ca="1">_xlfn.IFNA(INDIRECT(_xlfn.TEXTJOIN("",TRUE,A1218,"!",ADDRESS(17+(A1219-1)*J1218,1))),"")</f>
        <v/>
      </c>
      <c r="B1226" s="65"/>
      <c r="C1226" s="66" t="str">
        <f ca="1">_xlfn.IFNA(INDIRECT(_xlfn.TEXTJOIN("",TRUE,A1218,"!",ADDRESS(17+(A1219-1)*J1218,2))),"")</f>
        <v/>
      </c>
      <c r="D1226" s="66"/>
      <c r="E1226" s="66"/>
      <c r="F1226" s="66"/>
      <c r="G1226" s="66"/>
      <c r="H1226" s="25" t="str">
        <f ca="1">_xlfn.IFNA(INDIRECT(_xlfn.TEXTJOIN("",TRUE,A1218,"!",ADDRESS(17+(A1219-1)*J1218,6))),"")</f>
        <v/>
      </c>
      <c r="I1226" s="25" t="str">
        <f ca="1">_xlfn.IFNA(INDIRECT(_xlfn.TEXTJOIN("",TRUE,A1218,"!",ADDRESS(17+(A1219-1)*J1218,13))),"")</f>
        <v/>
      </c>
      <c r="J1226" s="25" t="str">
        <f ca="1">_xlfn.IFNA(INDIRECT(_xlfn.TEXTJOIN("",TRUE,A1218,"!",ADDRESS(17+(A1219-1)*J1218,14))),"")</f>
        <v/>
      </c>
    </row>
    <row r="1227" spans="1:10" ht="10.5" customHeight="1" x14ac:dyDescent="0.2">
      <c r="A1227" s="65" t="str">
        <f ca="1">_xlfn.IFNA(INDIRECT(_xlfn.TEXTJOIN("",TRUE,A1218,"!",ADDRESS(18+(A1219-1)*J1218,1))),"")</f>
        <v/>
      </c>
      <c r="B1227" s="65"/>
      <c r="C1227" s="66" t="str">
        <f ca="1">_xlfn.IFNA(INDIRECT(_xlfn.TEXTJOIN("",TRUE,A1218,"!",ADDRESS(18+(A1219-1)*J1218,2))),"")</f>
        <v/>
      </c>
      <c r="D1227" s="66"/>
      <c r="E1227" s="66"/>
      <c r="F1227" s="66"/>
      <c r="G1227" s="66"/>
      <c r="H1227" s="25" t="str">
        <f ca="1">_xlfn.IFNA(INDIRECT(_xlfn.TEXTJOIN("",TRUE,A1218,"!",ADDRESS(18+(A1219-1)*J1218,6))),"")</f>
        <v/>
      </c>
      <c r="I1227" s="25" t="str">
        <f ca="1">_xlfn.IFNA(INDIRECT(_xlfn.TEXTJOIN("",TRUE,A1218,"!",ADDRESS(18+(A1219-1)*J1218,13))),"")</f>
        <v/>
      </c>
      <c r="J1227" s="25" t="str">
        <f ca="1">_xlfn.IFNA(INDIRECT(_xlfn.TEXTJOIN("",TRUE,A1218,"!",ADDRESS(18+(A1219-1)*J1218,14))),"")</f>
        <v/>
      </c>
    </row>
    <row r="1228" spans="1:10" ht="10.5" customHeight="1" x14ac:dyDescent="0.2">
      <c r="A1228" s="60" t="str">
        <f ca="1">_xlfn.IFNA(INDIRECT(_xlfn.TEXTJOIN("",TRUE,A1218,"!",ADDRESS(19+(A1219-1)*J1218,1))),"")</f>
        <v/>
      </c>
      <c r="B1228" s="61"/>
      <c r="C1228" s="57" t="str">
        <f ca="1">_xlfn.IFNA(INDIRECT(_xlfn.TEXTJOIN("",TRUE,A1218,"!",ADDRESS(19+(A1219-1)*J1218,2))),"")</f>
        <v/>
      </c>
      <c r="D1228" s="58"/>
      <c r="E1228" s="58"/>
      <c r="F1228" s="58"/>
      <c r="G1228" s="59"/>
      <c r="H1228" s="25" t="str">
        <f ca="1">_xlfn.IFNA(INDIRECT(_xlfn.TEXTJOIN("",TRUE,A1218,"!",ADDRESS(19+(A1219-1)*J1218,6))),"")</f>
        <v/>
      </c>
      <c r="I1228" s="25" t="str">
        <f ca="1">_xlfn.IFNA(INDIRECT(_xlfn.TEXTJOIN("",TRUE,A1218,"!",ADDRESS(19+(A1219-1)*J1218,13))),"")</f>
        <v/>
      </c>
      <c r="J1228" s="25" t="str">
        <f ca="1">_xlfn.IFNA(INDIRECT(_xlfn.TEXTJOIN("",TRUE,A1218,"!",ADDRESS(19+(A1219-1)*J1218,14))),"")</f>
        <v/>
      </c>
    </row>
    <row r="1229" spans="1:10" ht="10.5" customHeight="1" x14ac:dyDescent="0.2">
      <c r="A1229" s="65" t="str">
        <f ca="1">_xlfn.IFNA(INDIRECT(_xlfn.TEXTJOIN("",TRUE,A1218,"!",ADDRESS(20+(A1219-1)*J1218,1))),"")</f>
        <v/>
      </c>
      <c r="B1229" s="65"/>
      <c r="C1229" s="66" t="str">
        <f ca="1">_xlfn.IFNA(INDIRECT(_xlfn.TEXTJOIN("",TRUE,A1218,"!",ADDRESS(20+(A1219-1)*J1218,2))),"")</f>
        <v/>
      </c>
      <c r="D1229" s="66"/>
      <c r="E1229" s="66"/>
      <c r="F1229" s="66"/>
      <c r="G1229" s="66"/>
      <c r="H1229" s="25" t="str">
        <f ca="1">_xlfn.IFNA(INDIRECT(_xlfn.TEXTJOIN("",TRUE,A1218,"!",ADDRESS(20+(A1219-1)*J1218,6))),"")</f>
        <v/>
      </c>
      <c r="I1229" s="25" t="str">
        <f ca="1">_xlfn.IFNA(INDIRECT(_xlfn.TEXTJOIN("",TRUE,A1218,"!",ADDRESS(20+(A1219-1)*J1218,13))),"")</f>
        <v/>
      </c>
      <c r="J1229" s="25" t="str">
        <f ca="1">_xlfn.IFNA(INDIRECT(_xlfn.TEXTJOIN("",TRUE,A1218,"!",ADDRESS(20+(A1219-1)*J1218,14))),"")</f>
        <v/>
      </c>
    </row>
    <row r="1230" spans="1:10" ht="10.5" customHeight="1" x14ac:dyDescent="0.2">
      <c r="A1230" s="71" t="str">
        <f ca="1">IF(ISNA(A1219),"","Total Credits/ Total Grade Points")</f>
        <v/>
      </c>
      <c r="B1230" s="71"/>
      <c r="C1230" s="71"/>
      <c r="D1230" s="71"/>
      <c r="E1230" s="71"/>
      <c r="F1230" s="71"/>
      <c r="G1230" s="71"/>
      <c r="H1230" s="27" t="str">
        <f ca="1">IF(ISNA(A1219),"",SUM(H1222:H1229))</f>
        <v/>
      </c>
      <c r="I1230" s="26" t="str">
        <f ca="1">IF(ISNA(A1219),"","-")</f>
        <v/>
      </c>
      <c r="J1230" s="27" t="str">
        <f ca="1">IF(ISNA(A1219),"",SUMPRODUCT(J1222:J1229,H1222:H1229))</f>
        <v/>
      </c>
    </row>
    <row r="1231" spans="1:10" ht="10.5" customHeight="1" x14ac:dyDescent="0.2">
      <c r="A1231" s="24" t="s">
        <v>133</v>
      </c>
      <c r="B1231" s="72" t="str">
        <f ca="1">IF(ISNA(A1232),"","Semester IV (Spring Semester 2023-24)")</f>
        <v/>
      </c>
      <c r="C1231" s="72"/>
      <c r="D1231" s="72"/>
      <c r="E1231" s="72"/>
      <c r="F1231" s="72"/>
      <c r="G1231" s="72"/>
      <c r="H1231" s="72"/>
      <c r="I1231" s="72"/>
      <c r="J1231" s="24">
        <f>ROWS(A1235:B1241)+9</f>
        <v>16</v>
      </c>
    </row>
    <row r="1232" spans="1:10" ht="10.5" customHeight="1" x14ac:dyDescent="0.2">
      <c r="A1232" s="24" t="e">
        <f ca="1">INDEX(SEM_IV!$A$6:$A$43,Marksheets!J1232)</f>
        <v>#N/A</v>
      </c>
      <c r="B1232" s="63"/>
      <c r="C1232" s="63"/>
      <c r="D1232" s="63"/>
      <c r="E1232" s="63"/>
      <c r="F1232" s="63"/>
      <c r="G1232" s="63"/>
      <c r="H1232" s="63"/>
      <c r="I1232" s="63"/>
      <c r="J1232" s="24" t="e">
        <f ca="1">MATCH(H1182,SEM_IV!$B$6:$B$43,0)</f>
        <v>#N/A</v>
      </c>
    </row>
    <row r="1233" spans="1:10" ht="10.5" customHeight="1" x14ac:dyDescent="0.2">
      <c r="A1233" s="64" t="str">
        <f ca="1">IF(ISNA(A1232),"","Subject Code")</f>
        <v/>
      </c>
      <c r="B1233" s="64"/>
      <c r="C1233" s="64" t="str">
        <f ca="1">IF(ISNA(A1232),"","Subject Name")</f>
        <v/>
      </c>
      <c r="D1233" s="64"/>
      <c r="E1233" s="64"/>
      <c r="F1233" s="64"/>
      <c r="G1233" s="64"/>
      <c r="H1233" s="64" t="str">
        <f ca="1">IF(ISNA(A1232),"","Credits")</f>
        <v/>
      </c>
      <c r="I1233" s="64" t="str">
        <f ca="1">IF(ISNA(A1232),"","Grade")</f>
        <v/>
      </c>
      <c r="J1233" s="64" t="str">
        <f ca="1">IF(ISNA(A1232),"","Grade Points")</f>
        <v/>
      </c>
    </row>
    <row r="1234" spans="1:10" ht="12.5" customHeight="1" x14ac:dyDescent="0.2">
      <c r="A1234" s="64"/>
      <c r="B1234" s="64"/>
      <c r="C1234" s="64"/>
      <c r="D1234" s="64"/>
      <c r="E1234" s="64"/>
      <c r="F1234" s="64"/>
      <c r="G1234" s="64"/>
      <c r="H1234" s="64"/>
      <c r="I1234" s="64"/>
      <c r="J1234" s="64"/>
    </row>
    <row r="1235" spans="1:10" ht="10.5" customHeight="1" x14ac:dyDescent="0.2">
      <c r="A1235" s="65" t="str">
        <f ca="1">_xlfn.IFNA(INDIRECT(_xlfn.TEXTJOIN("",TRUE,A1231,"!",ADDRESS(13+(A1232-1)*J1231,1))),"")</f>
        <v/>
      </c>
      <c r="B1235" s="65"/>
      <c r="C1235" s="66" t="str">
        <f ca="1">_xlfn.IFNA(INDIRECT(_xlfn.TEXTJOIN("",TRUE,A1231,"!",ADDRESS(13+(A1232-1)*J1231,2))),"")</f>
        <v/>
      </c>
      <c r="D1235" s="66"/>
      <c r="E1235" s="66"/>
      <c r="F1235" s="66"/>
      <c r="G1235" s="66"/>
      <c r="H1235" s="25" t="str">
        <f ca="1">_xlfn.IFNA(INDIRECT(_xlfn.TEXTJOIN("",TRUE,A1231,"!",ADDRESS(13+(A1232-1)*J1231,6))),"")</f>
        <v/>
      </c>
      <c r="I1235" s="25" t="str">
        <f ca="1">_xlfn.IFNA(INDIRECT(_xlfn.TEXTJOIN("",TRUE,A1231,"!",ADDRESS(13+(A1232-1)*J1231,13))),"")</f>
        <v/>
      </c>
      <c r="J1235" s="25" t="str">
        <f ca="1">_xlfn.IFNA(INDIRECT(_xlfn.TEXTJOIN("",TRUE,A1231,"!",ADDRESS(13+(A1232-1)*J1231,14))),"")</f>
        <v/>
      </c>
    </row>
    <row r="1236" spans="1:10" ht="10.5" customHeight="1" x14ac:dyDescent="0.2">
      <c r="A1236" s="65" t="str">
        <f ca="1">_xlfn.IFNA(INDIRECT(_xlfn.TEXTJOIN("",TRUE,A1231,"!",ADDRESS(14+(A1232-1)*J1231,1))),"")</f>
        <v/>
      </c>
      <c r="B1236" s="65"/>
      <c r="C1236" s="66" t="str">
        <f ca="1">_xlfn.IFNA(INDIRECT(_xlfn.TEXTJOIN("",TRUE,A1231,"!",ADDRESS(14+(A1232-1)*J1231,2))),"")</f>
        <v/>
      </c>
      <c r="D1236" s="66"/>
      <c r="E1236" s="66"/>
      <c r="F1236" s="66"/>
      <c r="G1236" s="66"/>
      <c r="H1236" s="25" t="str">
        <f ca="1">_xlfn.IFNA(INDIRECT(_xlfn.TEXTJOIN("",TRUE,A1231,"!",ADDRESS(14+(A1232-1)*J1231,6))),"")</f>
        <v/>
      </c>
      <c r="I1236" s="25" t="str">
        <f ca="1">_xlfn.IFNA(INDIRECT(_xlfn.TEXTJOIN("",TRUE,A1231,"!",ADDRESS(14+(A1232-1)*J1231,13))),"")</f>
        <v/>
      </c>
      <c r="J1236" s="25" t="str">
        <f ca="1">_xlfn.IFNA(INDIRECT(_xlfn.TEXTJOIN("",TRUE,A1231,"!",ADDRESS(14+(A1232-1)*J1231,14))),"")</f>
        <v/>
      </c>
    </row>
    <row r="1237" spans="1:10" ht="10.5" customHeight="1" x14ac:dyDescent="0.2">
      <c r="A1237" s="65" t="str">
        <f ca="1">_xlfn.IFNA(INDIRECT(_xlfn.TEXTJOIN("",TRUE,A1231,"!",ADDRESS(15+(A1232-1)*J1231,1))),"")</f>
        <v/>
      </c>
      <c r="B1237" s="65"/>
      <c r="C1237" s="66" t="str">
        <f ca="1">_xlfn.IFNA(INDIRECT(_xlfn.TEXTJOIN("",TRUE,A1231,"!",ADDRESS(15+(A1232-1)*J1231,2))),"")</f>
        <v/>
      </c>
      <c r="D1237" s="66"/>
      <c r="E1237" s="66"/>
      <c r="F1237" s="66"/>
      <c r="G1237" s="66"/>
      <c r="H1237" s="25" t="str">
        <f ca="1">_xlfn.IFNA(INDIRECT(_xlfn.TEXTJOIN("",TRUE,A1231,"!",ADDRESS(15+(A1232-1)*J1231,6))),"")</f>
        <v/>
      </c>
      <c r="I1237" s="25" t="str">
        <f ca="1">_xlfn.IFNA(INDIRECT(_xlfn.TEXTJOIN("",TRUE,A1231,"!",ADDRESS(15+(A1232-1)*J1231,13))),"")</f>
        <v/>
      </c>
      <c r="J1237" s="25" t="str">
        <f ca="1">_xlfn.IFNA(INDIRECT(_xlfn.TEXTJOIN("",TRUE,A1231,"!",ADDRESS(15+(A1232-1)*J1231,14))),"")</f>
        <v/>
      </c>
    </row>
    <row r="1238" spans="1:10" ht="10.5" customHeight="1" x14ac:dyDescent="0.2">
      <c r="A1238" s="65" t="str">
        <f ca="1">_xlfn.IFNA(INDIRECT(_xlfn.TEXTJOIN("",TRUE,A1231,"!",ADDRESS(16+(A1232-1)*J1231,1))),"")</f>
        <v/>
      </c>
      <c r="B1238" s="65"/>
      <c r="C1238" s="66" t="str">
        <f ca="1">_xlfn.IFNA(INDIRECT(_xlfn.TEXTJOIN("",TRUE,A1231,"!",ADDRESS(16+(A1232-1)*J1231,2))),"")</f>
        <v/>
      </c>
      <c r="D1238" s="66"/>
      <c r="E1238" s="66"/>
      <c r="F1238" s="66"/>
      <c r="G1238" s="66"/>
      <c r="H1238" s="25" t="str">
        <f ca="1">_xlfn.IFNA(INDIRECT(_xlfn.TEXTJOIN("",TRUE,A1231,"!",ADDRESS(16+(A1232-1)*J1231,6))),"")</f>
        <v/>
      </c>
      <c r="I1238" s="25" t="str">
        <f ca="1">_xlfn.IFNA(INDIRECT(_xlfn.TEXTJOIN("",TRUE,A1231,"!",ADDRESS(16+(A1232-1)*J1231,13))),"")</f>
        <v/>
      </c>
      <c r="J1238" s="25" t="str">
        <f ca="1">_xlfn.IFNA(INDIRECT(_xlfn.TEXTJOIN("",TRUE,A1231,"!",ADDRESS(16+(A1232-1)*J1231,14))),"")</f>
        <v/>
      </c>
    </row>
    <row r="1239" spans="1:10" ht="10.5" customHeight="1" x14ac:dyDescent="0.2">
      <c r="A1239" s="65" t="str">
        <f ca="1">_xlfn.IFNA(INDIRECT(_xlfn.TEXTJOIN("",TRUE,A1231,"!",ADDRESS(17+(A1232-1)*J1231,1))),"")</f>
        <v/>
      </c>
      <c r="B1239" s="65"/>
      <c r="C1239" s="66" t="str">
        <f ca="1">_xlfn.IFNA(INDIRECT(_xlfn.TEXTJOIN("",TRUE,A1231,"!",ADDRESS(17+(A1232-1)*J1231,2))),"")</f>
        <v/>
      </c>
      <c r="D1239" s="66"/>
      <c r="E1239" s="66"/>
      <c r="F1239" s="66"/>
      <c r="G1239" s="66"/>
      <c r="H1239" s="25" t="str">
        <f ca="1">_xlfn.IFNA(INDIRECT(_xlfn.TEXTJOIN("",TRUE,A1231,"!",ADDRESS(17+(A1232-1)*J1231,6))),"")</f>
        <v/>
      </c>
      <c r="I1239" s="25" t="str">
        <f ca="1">_xlfn.IFNA(INDIRECT(_xlfn.TEXTJOIN("",TRUE,A1231,"!",ADDRESS(17+(A1232-1)*J1231,13))),"")</f>
        <v/>
      </c>
      <c r="J1239" s="25" t="str">
        <f ca="1">_xlfn.IFNA(INDIRECT(_xlfn.TEXTJOIN("",TRUE,A1231,"!",ADDRESS(17+(A1232-1)*J1231,14))),"")</f>
        <v/>
      </c>
    </row>
    <row r="1240" spans="1:10" ht="10.5" customHeight="1" x14ac:dyDescent="0.2">
      <c r="A1240" s="65" t="str">
        <f ca="1">_xlfn.IFNA(INDIRECT(_xlfn.TEXTJOIN("",TRUE,A1231,"!",ADDRESS(18+(A1232-1)*J1231,1))),"")</f>
        <v/>
      </c>
      <c r="B1240" s="65"/>
      <c r="C1240" s="66" t="str">
        <f ca="1">_xlfn.IFNA(INDIRECT(_xlfn.TEXTJOIN("",TRUE,A1231,"!",ADDRESS(18+(A1232-1)*J1231,2))),"")</f>
        <v/>
      </c>
      <c r="D1240" s="66"/>
      <c r="E1240" s="66"/>
      <c r="F1240" s="66"/>
      <c r="G1240" s="66"/>
      <c r="H1240" s="25" t="str">
        <f ca="1">_xlfn.IFNA(INDIRECT(_xlfn.TEXTJOIN("",TRUE,A1231,"!",ADDRESS(18+(A1232-1)*J1231,6))),"")</f>
        <v/>
      </c>
      <c r="I1240" s="25" t="str">
        <f ca="1">_xlfn.IFNA(INDIRECT(_xlfn.TEXTJOIN("",TRUE,A1231,"!",ADDRESS(18+(A1232-1)*J1231,13))),"")</f>
        <v/>
      </c>
      <c r="J1240" s="25" t="str">
        <f ca="1">_xlfn.IFNA(INDIRECT(_xlfn.TEXTJOIN("",TRUE,A1231,"!",ADDRESS(18+(A1232-1)*J1231,14))),"")</f>
        <v/>
      </c>
    </row>
    <row r="1241" spans="1:10" ht="10.5" customHeight="1" x14ac:dyDescent="0.2">
      <c r="A1241" s="60" t="str">
        <f ca="1">_xlfn.IFNA(INDIRECT(_xlfn.TEXTJOIN("",TRUE,A1231,"!",ADDRESS(19+(A1232-1)*J1231,1))),"")</f>
        <v/>
      </c>
      <c r="B1241" s="61"/>
      <c r="C1241" s="57" t="str">
        <f ca="1">_xlfn.IFNA(INDIRECT(_xlfn.TEXTJOIN("",TRUE,A1231,"!",ADDRESS(19+(A1232-1)*J1231,2))),"")</f>
        <v/>
      </c>
      <c r="D1241" s="58"/>
      <c r="E1241" s="58"/>
      <c r="F1241" s="58"/>
      <c r="G1241" s="59"/>
      <c r="H1241" s="25" t="str">
        <f ca="1">_xlfn.IFNA(INDIRECT(_xlfn.TEXTJOIN("",TRUE,A1231,"!",ADDRESS(19+(A1232-1)*J1231,6))),"")</f>
        <v/>
      </c>
      <c r="I1241" s="25" t="str">
        <f ca="1">_xlfn.IFNA(INDIRECT(_xlfn.TEXTJOIN("",TRUE,A1231,"!",ADDRESS(19+(A1232-1)*J1231,13))),"")</f>
        <v/>
      </c>
      <c r="J1241" s="25" t="str">
        <f ca="1">_xlfn.IFNA(INDIRECT(_xlfn.TEXTJOIN("",TRUE,A1231,"!",ADDRESS(19+(A1232-1)*J1231,14))),"")</f>
        <v/>
      </c>
    </row>
    <row r="1242" spans="1:10" ht="10.5" customHeight="1" x14ac:dyDescent="0.2">
      <c r="A1242" s="71" t="str">
        <f ca="1">IF(ISNA(A1232),"","Total Credits/ Total Grade Points")</f>
        <v/>
      </c>
      <c r="B1242" s="71"/>
      <c r="C1242" s="71"/>
      <c r="D1242" s="71"/>
      <c r="E1242" s="71"/>
      <c r="F1242" s="71"/>
      <c r="G1242" s="71"/>
      <c r="H1242" s="27" t="str">
        <f ca="1">IF(ISNA(A1232),"",SUM(H1234:H1241))</f>
        <v/>
      </c>
      <c r="I1242" s="26" t="str">
        <f ca="1">IF(ISNA(A1232),"","-")</f>
        <v/>
      </c>
      <c r="J1242" s="27" t="str">
        <f ca="1">IF(ISNA(A1232),"",SUMPRODUCT(J1234:J1241,H1234:H1241))</f>
        <v/>
      </c>
    </row>
    <row r="1243" spans="1:10" ht="10.5" customHeight="1" x14ac:dyDescent="0.2">
      <c r="A1243" s="75" t="s">
        <v>137</v>
      </c>
      <c r="B1243" s="75"/>
      <c r="C1243" s="75"/>
      <c r="D1243" s="75"/>
      <c r="E1243" s="75"/>
      <c r="F1243" s="76" t="s">
        <v>138</v>
      </c>
      <c r="G1243" s="76"/>
      <c r="H1243" s="76"/>
      <c r="I1243" s="76"/>
      <c r="J1243" s="76"/>
    </row>
    <row r="1244" spans="1:10" ht="10.5" customHeight="1" x14ac:dyDescent="0.2">
      <c r="A1244" s="43" t="s">
        <v>139</v>
      </c>
      <c r="B1244" s="43"/>
      <c r="C1244" s="43"/>
      <c r="D1244" s="43"/>
      <c r="E1244" s="43"/>
      <c r="F1244" s="43"/>
      <c r="G1244" s="43"/>
      <c r="H1244" s="43"/>
      <c r="I1244" s="43"/>
      <c r="J1244" s="43"/>
    </row>
    <row r="1245" spans="1:10" ht="10.5" customHeight="1" x14ac:dyDescent="0.2">
      <c r="A1245" s="10"/>
      <c r="B1245" s="26"/>
      <c r="C1245" s="26" t="s">
        <v>140</v>
      </c>
      <c r="D1245" s="26" t="s">
        <v>141</v>
      </c>
      <c r="E1245" s="26" t="s">
        <v>142</v>
      </c>
      <c r="F1245" s="26" t="s">
        <v>143</v>
      </c>
      <c r="G1245" s="26" t="s">
        <v>144</v>
      </c>
      <c r="H1245" s="79" t="s">
        <v>145</v>
      </c>
      <c r="I1245" s="79"/>
      <c r="J1245" s="30"/>
    </row>
    <row r="1246" spans="1:10" ht="10.5" customHeight="1" x14ac:dyDescent="0.2">
      <c r="A1246" s="10"/>
      <c r="B1246" s="80" t="s">
        <v>146</v>
      </c>
      <c r="C1246" s="73">
        <f ca="1">J1202/H1202</f>
        <v>7.333333333333333</v>
      </c>
      <c r="D1246" s="73" t="e">
        <f ca="1">J1217/H1217</f>
        <v>#VALUE!</v>
      </c>
      <c r="E1246" s="73" t="str">
        <f ca="1">IFERROR(J1230/H1230,"")</f>
        <v/>
      </c>
      <c r="F1246" s="73" t="str">
        <f ca="1">IFERROR(J1242/H1242,"")</f>
        <v/>
      </c>
      <c r="G1246" s="82">
        <f ca="1">F1248</f>
        <v>7.333333333333333</v>
      </c>
      <c r="H1246" s="83" t="e">
        <f ca="1">IF(TC_IV!N277&lt;96,_xlfn.TEXTJOIN(" ",TRUE,"CARRY OVER",TC_I!V418,TC_II!V346,TC_III!V293,TC_IV!V276),IF(G1246&gt;=8,"First Division with Distinction",IF(G1246&gt;=6.5,"First Division",IF(G1246&gt;=5,"Second Division",IF(G1246&gt;=4,"Third Division","Fail")))))</f>
        <v>#N/A</v>
      </c>
      <c r="I1246" s="83"/>
      <c r="J1246" s="30"/>
    </row>
    <row r="1247" spans="1:10" ht="10.5" customHeight="1" x14ac:dyDescent="0.2">
      <c r="B1247" s="81"/>
      <c r="C1247" s="74"/>
      <c r="D1247" s="74"/>
      <c r="E1247" s="74"/>
      <c r="F1247" s="74"/>
      <c r="G1247" s="82"/>
      <c r="H1247" s="83"/>
      <c r="I1247" s="83"/>
    </row>
    <row r="1248" spans="1:10" ht="10.5" customHeight="1" x14ac:dyDescent="0.2">
      <c r="B1248" s="80" t="s">
        <v>48</v>
      </c>
      <c r="C1248" s="73">
        <f ca="1">J1202/H1202</f>
        <v>7.333333333333333</v>
      </c>
      <c r="D1248" s="73">
        <f ca="1">SUM(J1217,J1202)/SUM(H1217,H1202)</f>
        <v>7.333333333333333</v>
      </c>
      <c r="E1248" s="73">
        <f ca="1">SUM(J1230,J1217,J1202)/SUM(H1230,H1217,H1202)</f>
        <v>7.333333333333333</v>
      </c>
      <c r="F1248" s="73">
        <f ca="1">SUM(J1242,J1230,J1217,J1202)/SUM(H1202,H1217,H1230,H1242)</f>
        <v>7.333333333333333</v>
      </c>
      <c r="G1248" s="82"/>
      <c r="H1248" s="83"/>
      <c r="I1248" s="83"/>
    </row>
    <row r="1249" spans="1:10" ht="10.5" customHeight="1" x14ac:dyDescent="0.2">
      <c r="B1249" s="81"/>
      <c r="C1249" s="74"/>
      <c r="D1249" s="74"/>
      <c r="E1249" s="74"/>
      <c r="F1249" s="74"/>
      <c r="G1249" s="82"/>
      <c r="H1249" s="83"/>
      <c r="I1249" s="83"/>
    </row>
    <row r="1251" spans="1:10" ht="10.5" customHeight="1" x14ac:dyDescent="0.2">
      <c r="A1251" s="56" t="s">
        <v>24</v>
      </c>
      <c r="B1251" s="56"/>
      <c r="C1251" s="56" t="str">
        <f ca="1">INDIRECT(_xlfn.TEXTJOIN("",TRUE,A1253,"!",ADDRESS(9+(A1254-1)*J1253,2)))</f>
        <v>SIMRAN KANDARI</v>
      </c>
      <c r="D1251" s="56"/>
      <c r="E1251" s="56"/>
      <c r="F1251" s="56" t="s">
        <v>135</v>
      </c>
      <c r="G1251" s="56"/>
      <c r="H1251" s="62">
        <f ca="1">INDIRECT(_xlfn.TEXTJOIN("",TRUE,A1253,"!",ADDRESS(9+(A1254-1)*J1253,9)))</f>
        <v>250090600019</v>
      </c>
      <c r="I1251" s="56"/>
      <c r="J1251" s="56"/>
    </row>
    <row r="1252" spans="1:10" ht="10.5" customHeight="1" x14ac:dyDescent="0.2">
      <c r="A1252" s="56" t="s">
        <v>25</v>
      </c>
      <c r="B1252" s="56"/>
      <c r="C1252" s="56" t="str">
        <f ca="1">INDIRECT(_xlfn.TEXTJOIN("",TRUE,A1253,"!",ADDRESS(9+(A1254-1)*J1253,5)))</f>
        <v>MANMOHAN SINGH</v>
      </c>
      <c r="D1252" s="56"/>
      <c r="E1252" s="56"/>
      <c r="F1252" s="47" t="s">
        <v>136</v>
      </c>
      <c r="G1252" s="47"/>
      <c r="H1252" s="62" t="str">
        <f ca="1">INDIRECT(_xlfn.TEXTJOIN("",TRUE,A1253,"!",ADDRESS(9+(A1254-1)*J1253,13)))</f>
        <v>UTU/2506100146</v>
      </c>
      <c r="I1252" s="56"/>
      <c r="J1252" s="56"/>
    </row>
    <row r="1253" spans="1:10" ht="10.5" customHeight="1" x14ac:dyDescent="0.2">
      <c r="A1253" s="24" t="s">
        <v>53</v>
      </c>
      <c r="B1253" s="43" t="s">
        <v>148</v>
      </c>
      <c r="C1253" s="43"/>
      <c r="D1253" s="43"/>
      <c r="E1253" s="43"/>
      <c r="F1253" s="43"/>
      <c r="G1253" s="43"/>
      <c r="H1253" s="43"/>
      <c r="I1253" s="43"/>
      <c r="J1253" s="24">
        <f>ROWS(A1257:B1270)+9</f>
        <v>23</v>
      </c>
    </row>
    <row r="1254" spans="1:10" ht="10.5" customHeight="1" x14ac:dyDescent="0.2">
      <c r="A1254" s="24">
        <f>A1185+1</f>
        <v>19</v>
      </c>
      <c r="B1254" s="63"/>
      <c r="C1254" s="63"/>
      <c r="D1254" s="63"/>
      <c r="E1254" s="63"/>
      <c r="F1254" s="63"/>
      <c r="G1254" s="63"/>
      <c r="H1254" s="63"/>
      <c r="I1254" s="63"/>
      <c r="J1254" s="29"/>
    </row>
    <row r="1255" spans="1:10" ht="10.5" customHeight="1" x14ac:dyDescent="0.2">
      <c r="A1255" s="64" t="s">
        <v>28</v>
      </c>
      <c r="B1255" s="64"/>
      <c r="C1255" s="64" t="s">
        <v>29</v>
      </c>
      <c r="D1255" s="64"/>
      <c r="E1255" s="64"/>
      <c r="F1255" s="64"/>
      <c r="G1255" s="64"/>
      <c r="H1255" s="64" t="s">
        <v>30</v>
      </c>
      <c r="I1255" s="64" t="s">
        <v>9</v>
      </c>
      <c r="J1255" s="64" t="s">
        <v>34</v>
      </c>
    </row>
    <row r="1256" spans="1:10" ht="12.5" customHeight="1" x14ac:dyDescent="0.2">
      <c r="A1256" s="64"/>
      <c r="B1256" s="64"/>
      <c r="C1256" s="64"/>
      <c r="D1256" s="64"/>
      <c r="E1256" s="64"/>
      <c r="F1256" s="64"/>
      <c r="G1256" s="64"/>
      <c r="H1256" s="64"/>
      <c r="I1256" s="64"/>
      <c r="J1256" s="64"/>
    </row>
    <row r="1257" spans="1:10" ht="10.5" customHeight="1" x14ac:dyDescent="0.2">
      <c r="A1257" s="65" t="str">
        <f ca="1">INDIRECT(_xlfn.TEXTJOIN("",TRUE,A1253,"!",ADDRESS(13+(A1254-1)*J1253,1)))</f>
        <v>CAT 004</v>
      </c>
      <c r="B1257" s="65"/>
      <c r="C1257" s="66" t="str">
        <f ca="1">INDIRECT(_xlfn.TEXTJOIN("",TRUE,A1253,"!",ADDRESS(13+(A1254-1)*J1253,2)))</f>
        <v>Discrete Structure</v>
      </c>
      <c r="D1257" s="66"/>
      <c r="E1257" s="66"/>
      <c r="F1257" s="66"/>
      <c r="G1257" s="66"/>
      <c r="H1257" s="25">
        <f ca="1">INDIRECT(_xlfn.TEXTJOIN("",TRUE,A1253,"!",ADDRESS(13+(A1254-1)*J1253,6)))</f>
        <v>4</v>
      </c>
      <c r="I1257" s="25" t="str">
        <f ca="1">INDIRECT(_xlfn.TEXTJOIN("",TRUE,A1253,"!",ADDRESS(13+(A1254-1)*J1253,13)))</f>
        <v>C+</v>
      </c>
      <c r="J1257" s="25">
        <f ca="1">INDIRECT(_xlfn.TEXTJOIN("",TRUE,A1253,"!",ADDRESS(13+(A1254-1)*J1253,14)))</f>
        <v>7.5</v>
      </c>
    </row>
    <row r="1258" spans="1:10" ht="10.5" customHeight="1" x14ac:dyDescent="0.2">
      <c r="A1258" s="65" t="str">
        <f ca="1">INDIRECT(_xlfn.TEXTJOIN("",TRUE,A1253,"!",ADDRESS(14+(A1254-1)*J1253,1)))</f>
        <v>CAT 005</v>
      </c>
      <c r="B1258" s="65"/>
      <c r="C1258" s="66" t="str">
        <f ca="1">INDIRECT(_xlfn.TEXTJOIN("",TRUE,A1253,"!",ADDRESS(14+(A1254-1)*J1253,2)))</f>
        <v>Database Management System</v>
      </c>
      <c r="D1258" s="66"/>
      <c r="E1258" s="66"/>
      <c r="F1258" s="66"/>
      <c r="G1258" s="66"/>
      <c r="H1258" s="25">
        <f ca="1">INDIRECT(_xlfn.TEXTJOIN("",TRUE,A1253,"!",ADDRESS(14+(A1254-1)*J1253,6)))</f>
        <v>4</v>
      </c>
      <c r="I1258" s="25" t="str">
        <f ca="1">INDIRECT(_xlfn.TEXTJOIN("",TRUE,A1253,"!",ADDRESS(14+(A1254-1)*J1253,13)))</f>
        <v>C+</v>
      </c>
      <c r="J1258" s="25">
        <f ca="1">INDIRECT(_xlfn.TEXTJOIN("",TRUE,A1253,"!",ADDRESS(14+(A1254-1)*J1253,14)))</f>
        <v>7.5</v>
      </c>
    </row>
    <row r="1259" spans="1:10" ht="10.5" customHeight="1" x14ac:dyDescent="0.2">
      <c r="A1259" s="65" t="str">
        <f ca="1">INDIRECT(_xlfn.TEXTJOIN("",TRUE,A1253,"!",ADDRESS(15+(A1254-1)*J1253,1)))</f>
        <v>CAT 006</v>
      </c>
      <c r="B1259" s="65"/>
      <c r="C1259" s="66" t="str">
        <f ca="1">INDIRECT(_xlfn.TEXTJOIN("",TRUE,A1253,"!",ADDRESS(15+(A1254-1)*J1253,2)))</f>
        <v>Operating System</v>
      </c>
      <c r="D1259" s="66"/>
      <c r="E1259" s="66"/>
      <c r="F1259" s="66"/>
      <c r="G1259" s="66"/>
      <c r="H1259" s="25">
        <f ca="1">INDIRECT(_xlfn.TEXTJOIN("",TRUE,A1253,"!",ADDRESS(15+(A1254-1)*J1253,6)))</f>
        <v>4</v>
      </c>
      <c r="I1259" s="25" t="str">
        <f ca="1">INDIRECT(_xlfn.TEXTJOIN("",TRUE,A1253,"!",ADDRESS(15+(A1254-1)*J1253,13)))</f>
        <v>C+</v>
      </c>
      <c r="J1259" s="25">
        <f ca="1">INDIRECT(_xlfn.TEXTJOIN("",TRUE,A1253,"!",ADDRESS(15+(A1254-1)*J1253,14)))</f>
        <v>7.5</v>
      </c>
    </row>
    <row r="1260" spans="1:10" ht="10.5" customHeight="1" x14ac:dyDescent="0.2">
      <c r="A1260" s="65" t="str">
        <f ca="1">INDIRECT(_xlfn.TEXTJOIN("",TRUE,A1253,"!",ADDRESS(16+(A1254-1)*J1253,1)))</f>
        <v>CAT 007</v>
      </c>
      <c r="B1260" s="65"/>
      <c r="C1260" s="66" t="str">
        <f ca="1">INDIRECT(_xlfn.TEXTJOIN("",TRUE,A1253,"!",ADDRESS(16+(A1254-1)*J1253,2)))</f>
        <v>Computer Organization</v>
      </c>
      <c r="D1260" s="66"/>
      <c r="E1260" s="66"/>
      <c r="F1260" s="66"/>
      <c r="G1260" s="66"/>
      <c r="H1260" s="25">
        <f ca="1">INDIRECT(_xlfn.TEXTJOIN("",TRUE,A1253,"!",ADDRESS(16+(A1254-1)*J1253,6)))</f>
        <v>4</v>
      </c>
      <c r="I1260" s="25" t="str">
        <f ca="1">INDIRECT(_xlfn.TEXTJOIN("",TRUE,A1253,"!",ADDRESS(16+(A1254-1)*J1253,13)))</f>
        <v>E+</v>
      </c>
      <c r="J1260" s="25">
        <f ca="1">INDIRECT(_xlfn.TEXTJOIN("",TRUE,A1253,"!",ADDRESS(16+(A1254-1)*J1253,14)))</f>
        <v>5.5</v>
      </c>
    </row>
    <row r="1261" spans="1:10" ht="10.5" customHeight="1" x14ac:dyDescent="0.2">
      <c r="A1261" s="65" t="str">
        <f ca="1">INDIRECT(_xlfn.TEXTJOIN("",TRUE,A1253,"!",ADDRESS(17+(A1254-1)*J1253,1)))</f>
        <v>AHT 303</v>
      </c>
      <c r="B1261" s="65"/>
      <c r="C1261" s="66" t="str">
        <f ca="1">INDIRECT(_xlfn.TEXTJOIN("",TRUE,A1253,"!",ADDRESS(17+(A1254-1)*J1253,2)))</f>
        <v>Technical Communication Skills</v>
      </c>
      <c r="D1261" s="66"/>
      <c r="E1261" s="66"/>
      <c r="F1261" s="66"/>
      <c r="G1261" s="66"/>
      <c r="H1261" s="25">
        <f ca="1">INDIRECT(_xlfn.TEXTJOIN("",TRUE,A1253,"!",ADDRESS(17+(A1254-1)*J1253,6)))</f>
        <v>4</v>
      </c>
      <c r="I1261" s="25" t="str">
        <f ca="1">INDIRECT(_xlfn.TEXTJOIN("",TRUE,A1253,"!",ADDRESS(17+(A1254-1)*J1253,13)))</f>
        <v>A</v>
      </c>
      <c r="J1261" s="25">
        <f ca="1">INDIRECT(_xlfn.TEXTJOIN("",TRUE,A1253,"!",ADDRESS(17+(A1254-1)*J1253,14)))</f>
        <v>9</v>
      </c>
    </row>
    <row r="1262" spans="1:10" ht="10.5" customHeight="1" x14ac:dyDescent="0.2">
      <c r="A1262" s="65" t="str">
        <f ca="1">INDIRECT(_xlfn.TEXTJOIN("",TRUE,A1253,"!",ADDRESS(18+(A1254-1)*J1253,1)))</f>
        <v>CAT 008</v>
      </c>
      <c r="B1262" s="65"/>
      <c r="C1262" s="66" t="str">
        <f ca="1">INDIRECT(_xlfn.TEXTJOIN("",TRUE,A1253,"!",ADDRESS(18+(A1254-1)*J1253,2)))</f>
        <v>Python Programming ($)</v>
      </c>
      <c r="D1262" s="66"/>
      <c r="E1262" s="66"/>
      <c r="F1262" s="66"/>
      <c r="G1262" s="66"/>
      <c r="H1262" s="25">
        <f ca="1">INDIRECT(_xlfn.TEXTJOIN("",TRUE,A1253,"!",ADDRESS(18+(A1254-1)*J1253,6)))</f>
        <v>0</v>
      </c>
      <c r="I1262" s="25" t="str">
        <f ca="1">INDIRECT(_xlfn.TEXTJOIN("",TRUE,A1253,"!",ADDRESS(18+(A1254-1)*J1253,13)))</f>
        <v>C</v>
      </c>
      <c r="J1262" s="25">
        <f ca="1">INDIRECT(_xlfn.TEXTJOIN("",TRUE,A1253,"!",ADDRESS(18+(A1254-1)*J1253,14)))</f>
        <v>7</v>
      </c>
    </row>
    <row r="1263" spans="1:10" ht="10.5" customHeight="1" x14ac:dyDescent="0.2">
      <c r="A1263" s="60" t="str">
        <f ca="1">INDIRECT(_xlfn.TEXTJOIN("",TRUE,A1253,"!",ADDRESS(19+(A1254-1)*J1253,1)))</f>
        <v>CAT 001</v>
      </c>
      <c r="B1263" s="61"/>
      <c r="C1263" s="57" t="str">
        <f ca="1">INDIRECT(_xlfn.TEXTJOIN("",TRUE,A1253,"!",ADDRESS(19+(A1254-1)*J1253,2)))</f>
        <v>Introduction of Information Technology ($)</v>
      </c>
      <c r="D1263" s="58"/>
      <c r="E1263" s="58"/>
      <c r="F1263" s="58"/>
      <c r="G1263" s="59"/>
      <c r="H1263" s="25">
        <f ca="1">INDIRECT(_xlfn.TEXTJOIN("",TRUE,A1253,"!",ADDRESS(19+(A1254-1)*J1253,6)))</f>
        <v>0</v>
      </c>
      <c r="I1263" s="25" t="str">
        <f ca="1">INDIRECT(_xlfn.TEXTJOIN("",TRUE,A1253,"!",ADDRESS(19+(A1254-1)*J1253,13)))</f>
        <v>-</v>
      </c>
      <c r="J1263" s="25" t="str">
        <f ca="1">INDIRECT(_xlfn.TEXTJOIN("",TRUE,A1253,"!",ADDRESS(19+(A1254-1)*J1253,14)))</f>
        <v>-</v>
      </c>
    </row>
    <row r="1264" spans="1:10" ht="10.5" customHeight="1" x14ac:dyDescent="0.2">
      <c r="A1264" s="65" t="str">
        <f ca="1">INDIRECT(_xlfn.TEXTJOIN("",TRUE,A1253,"!",ADDRESS(20+(A1254-1)*J1253,1)))</f>
        <v>CAT 002</v>
      </c>
      <c r="B1264" s="65"/>
      <c r="C1264" s="66" t="str">
        <f ca="1">INDIRECT(_xlfn.TEXTJOIN("",TRUE,A1253,"!",ADDRESS(20+(A1254-1)*J1253,2)))</f>
        <v>Programming Fundamentals with "C" ($)</v>
      </c>
      <c r="D1264" s="66"/>
      <c r="E1264" s="66"/>
      <c r="F1264" s="66"/>
      <c r="G1264" s="66"/>
      <c r="H1264" s="25">
        <f ca="1">INDIRECT(_xlfn.TEXTJOIN("",TRUE,A1253,"!",ADDRESS(20+(A1254-1)*J1253,6)))</f>
        <v>0</v>
      </c>
      <c r="I1264" s="25" t="str">
        <f ca="1">INDIRECT(_xlfn.TEXTJOIN("",TRUE,A1253,"!",ADDRESS(20+(A1254-1)*J1253,13)))</f>
        <v>-</v>
      </c>
      <c r="J1264" s="25" t="str">
        <f ca="1">INDIRECT(_xlfn.TEXTJOIN("",TRUE,A1253,"!",ADDRESS(20+(A1254-1)*J1253,14)))</f>
        <v>-</v>
      </c>
    </row>
    <row r="1265" spans="1:10" ht="10.5" customHeight="1" x14ac:dyDescent="0.2">
      <c r="A1265" s="65" t="str">
        <f ca="1">INDIRECT(_xlfn.TEXTJOIN("",TRUE,A1253,"!",ADDRESS(21+(A1254-1)*J1253,1)))</f>
        <v>CAT 003</v>
      </c>
      <c r="B1265" s="65"/>
      <c r="C1265" s="66" t="str">
        <f ca="1">INDIRECT(_xlfn.TEXTJOIN("",TRUE,A1253,"!",ADDRESS(21+(A1254-1)*J1253,2)))</f>
        <v>Fundamental of Web Technology ($)</v>
      </c>
      <c r="D1265" s="66"/>
      <c r="E1265" s="66"/>
      <c r="F1265" s="66"/>
      <c r="G1265" s="66"/>
      <c r="H1265" s="25">
        <f ca="1">INDIRECT(_xlfn.TEXTJOIN("",TRUE,A1253,"!",ADDRESS(21+(A1254-1)*J1253,6)))</f>
        <v>0</v>
      </c>
      <c r="I1265" s="25" t="str">
        <f ca="1">INDIRECT(_xlfn.TEXTJOIN("",TRUE,A1253,"!",ADDRESS(21+(A1254-1)*J1253,13)))</f>
        <v>-</v>
      </c>
      <c r="J1265" s="25" t="str">
        <f ca="1">INDIRECT(_xlfn.TEXTJOIN("",TRUE,A1253,"!",ADDRESS(21+(A1254-1)*J1253,14)))</f>
        <v>-</v>
      </c>
    </row>
    <row r="1266" spans="1:10" ht="10.5" customHeight="1" x14ac:dyDescent="0.2">
      <c r="A1266" s="65" t="str">
        <f ca="1">INDIRECT(_xlfn.TEXTJOIN("",TRUE,A1253,"!",ADDRESS(22+(A1254-1)*J1253,1)))</f>
        <v>CAP 001</v>
      </c>
      <c r="B1266" s="65"/>
      <c r="C1266" s="66" t="str">
        <f ca="1">INDIRECT(_xlfn.TEXTJOIN("",TRUE,A1253,"!",ADDRESS(22+(A1254-1)*J1253,2)))</f>
        <v>Database Management System Lab</v>
      </c>
      <c r="D1266" s="66"/>
      <c r="E1266" s="66"/>
      <c r="F1266" s="66"/>
      <c r="G1266" s="66"/>
      <c r="H1266" s="25">
        <f ca="1">INDIRECT(_xlfn.TEXTJOIN("",TRUE,A1253,"!",ADDRESS(22+(A1254-1)*J1253,6)))</f>
        <v>1</v>
      </c>
      <c r="I1266" s="25" t="str">
        <f ca="1">INDIRECT(_xlfn.TEXTJOIN("",TRUE,A1253,"!",ADDRESS(22+(A1254-1)*J1253,13)))</f>
        <v>A</v>
      </c>
      <c r="J1266" s="25">
        <f ca="1">INDIRECT(_xlfn.TEXTJOIN("",TRUE,A1253,"!",ADDRESS(22+(A1254-1)*J1253,14)))</f>
        <v>9</v>
      </c>
    </row>
    <row r="1267" spans="1:10" ht="10.5" customHeight="1" x14ac:dyDescent="0.2">
      <c r="A1267" s="65" t="str">
        <f ca="1">INDIRECT(_xlfn.TEXTJOIN("",TRUE,A1253,"!",ADDRESS(23+(A1254-1)*J1253,1)))</f>
        <v>CAP 002</v>
      </c>
      <c r="B1267" s="65"/>
      <c r="C1267" s="66" t="str">
        <f ca="1">INDIRECT(_xlfn.TEXTJOIN("",TRUE,A1253,"!",ADDRESS(23+(A1254-1)*J1253,2)))</f>
        <v>Operating System Lab</v>
      </c>
      <c r="D1267" s="66"/>
      <c r="E1267" s="66"/>
      <c r="F1267" s="66"/>
      <c r="G1267" s="66"/>
      <c r="H1267" s="25">
        <f ca="1">INDIRECT(_xlfn.TEXTJOIN("",TRUE,A1253,"!",ADDRESS(23+(A1254-1)*J1253,6)))</f>
        <v>1</v>
      </c>
      <c r="I1267" s="25" t="str">
        <f ca="1">INDIRECT(_xlfn.TEXTJOIN("",TRUE,A1253,"!",ADDRESS(23+(A1254-1)*J1253,13)))</f>
        <v>B+</v>
      </c>
      <c r="J1267" s="25">
        <f ca="1">INDIRECT(_xlfn.TEXTJOIN("",TRUE,A1253,"!",ADDRESS(23+(A1254-1)*J1253,14)))</f>
        <v>8.5</v>
      </c>
    </row>
    <row r="1268" spans="1:10" ht="10.5" customHeight="1" x14ac:dyDescent="0.2">
      <c r="A1268" s="65" t="str">
        <f ca="1">INDIRECT(_xlfn.TEXTJOIN("",TRUE,A1253,"!",ADDRESS(24+(A1254-1)*J1253,1)))</f>
        <v>CAP 003</v>
      </c>
      <c r="B1268" s="65"/>
      <c r="C1268" s="66" t="str">
        <f ca="1">INDIRECT(_xlfn.TEXTJOIN("",TRUE,A1253,"!",ADDRESS(24+(A1254-1)*J1253,2)))</f>
        <v>Computer Organization Lab</v>
      </c>
      <c r="D1268" s="66"/>
      <c r="E1268" s="66"/>
      <c r="F1268" s="66"/>
      <c r="G1268" s="66"/>
      <c r="H1268" s="25">
        <f ca="1">INDIRECT(_xlfn.TEXTJOIN("",TRUE,A1253,"!",ADDRESS(24+(A1254-1)*J1253,6)))</f>
        <v>1</v>
      </c>
      <c r="I1268" s="25" t="str">
        <f ca="1">INDIRECT(_xlfn.TEXTJOIN("",TRUE,A1253,"!",ADDRESS(24+(A1254-1)*J1253,13)))</f>
        <v>A+</v>
      </c>
      <c r="J1268" s="25">
        <f ca="1">INDIRECT(_xlfn.TEXTJOIN("",TRUE,A1253,"!",ADDRESS(24+(A1254-1)*J1253,14)))</f>
        <v>9.5</v>
      </c>
    </row>
    <row r="1269" spans="1:10" ht="10.5" customHeight="1" x14ac:dyDescent="0.2">
      <c r="A1269" s="65" t="str">
        <f ca="1">INDIRECT(_xlfn.TEXTJOIN("",TRUE,A1253,"!",ADDRESS(25+(A1254-1)*J1253,1)))</f>
        <v>AHP 303</v>
      </c>
      <c r="B1269" s="65"/>
      <c r="C1269" s="66" t="str">
        <f ca="1">INDIRECT(_xlfn.TEXTJOIN("",TRUE,A1253,"!",ADDRESS(25+(A1254-1)*J1253,2)))</f>
        <v>Technical Communication Skills</v>
      </c>
      <c r="D1269" s="66"/>
      <c r="E1269" s="66"/>
      <c r="F1269" s="66"/>
      <c r="G1269" s="66"/>
      <c r="H1269" s="25">
        <f ca="1">INDIRECT(_xlfn.TEXTJOIN("",TRUE,A1253,"!",ADDRESS(25+(A1254-1)*J1253,6)))</f>
        <v>1</v>
      </c>
      <c r="I1269" s="25" t="str">
        <f ca="1">INDIRECT(_xlfn.TEXTJOIN("",TRUE,A1253,"!",ADDRESS(25+(A1254-1)*J1253,13)))</f>
        <v>A</v>
      </c>
      <c r="J1269" s="25">
        <f ca="1">INDIRECT(_xlfn.TEXTJOIN("",TRUE,A1253,"!",ADDRESS(25+(A1254-1)*J1253,14)))</f>
        <v>9</v>
      </c>
    </row>
    <row r="1270" spans="1:10" s="35" customFormat="1" ht="10.5" customHeight="1" x14ac:dyDescent="0.2">
      <c r="A1270" s="77">
        <f ca="1">INDIRECT(_xlfn.TEXTJOIN("",TRUE,A1253,"!",ADDRESS(26+(A1254-1)*J1253,1)))</f>
        <v>0</v>
      </c>
      <c r="B1270" s="77"/>
      <c r="C1270" s="78">
        <f ca="1">INDIRECT(_xlfn.TEXTJOIN("",TRUE,A1253,"!",ADDRESS(26+(A1254-1)*J1253,2)))</f>
        <v>0</v>
      </c>
      <c r="D1270" s="78"/>
      <c r="E1270" s="78"/>
      <c r="F1270" s="78"/>
      <c r="G1270" s="78"/>
      <c r="H1270" s="34">
        <f ca="1">INDIRECT(_xlfn.TEXTJOIN("",TRUE,A1253,"!",ADDRESS(26+(A1254-1)*J1253,6)))</f>
        <v>0</v>
      </c>
      <c r="I1270" s="34" t="str">
        <f ca="1">INDIRECT(_xlfn.TEXTJOIN("",TRUE,A1253,"!",ADDRESS(26+(A1254-1)*J1253,13)))</f>
        <v>Excellent</v>
      </c>
      <c r="J1270" s="34">
        <f ca="1">INDIRECT(_xlfn.TEXTJOIN("",TRUE,A1253,"!",ADDRESS(26+(A1254-1)*J1253,14)))</f>
        <v>0</v>
      </c>
    </row>
    <row r="1271" spans="1:10" ht="10.5" customHeight="1" x14ac:dyDescent="0.2">
      <c r="A1271" s="71" t="s">
        <v>52</v>
      </c>
      <c r="B1271" s="71"/>
      <c r="C1271" s="71"/>
      <c r="D1271" s="71"/>
      <c r="E1271" s="71"/>
      <c r="F1271" s="71"/>
      <c r="G1271" s="71"/>
      <c r="H1271" s="27">
        <f ca="1">SUM(H1257:H1270)</f>
        <v>24</v>
      </c>
      <c r="I1271" s="26" t="s">
        <v>44</v>
      </c>
      <c r="J1271" s="27">
        <f ca="1">SUMPRODUCT(J1257:J1269,H1257:H1269)</f>
        <v>184</v>
      </c>
    </row>
    <row r="1272" spans="1:10" ht="10.5" customHeight="1" x14ac:dyDescent="0.2">
      <c r="A1272" s="24" t="s">
        <v>57</v>
      </c>
      <c r="B1272" s="72" t="str">
        <f ca="1">IF(ISNA(A1273),"","Semester II (Spring Semester 2022-23)")</f>
        <v/>
      </c>
      <c r="C1272" s="72"/>
      <c r="D1272" s="72"/>
      <c r="E1272" s="72"/>
      <c r="F1272" s="72"/>
      <c r="G1272" s="72"/>
      <c r="H1272" s="72"/>
      <c r="I1272" s="72"/>
      <c r="J1272" s="24">
        <f>ROWS(A1276:B1285)+9</f>
        <v>19</v>
      </c>
    </row>
    <row r="1273" spans="1:10" ht="10.5" customHeight="1" x14ac:dyDescent="0.2">
      <c r="A1273" s="24" t="e">
        <f ca="1">INDEX(SEM_II!$A$6:$A$45,Marksheets!J1273)</f>
        <v>#N/A</v>
      </c>
      <c r="B1273" s="63"/>
      <c r="C1273" s="63"/>
      <c r="D1273" s="63"/>
      <c r="E1273" s="63"/>
      <c r="F1273" s="63"/>
      <c r="G1273" s="63"/>
      <c r="H1273" s="63"/>
      <c r="I1273" s="63"/>
      <c r="J1273" s="24" t="e">
        <f ca="1">MATCH(H1251,SEM_II!$B$6:$B$45,0)</f>
        <v>#N/A</v>
      </c>
    </row>
    <row r="1274" spans="1:10" ht="10.5" customHeight="1" x14ac:dyDescent="0.2">
      <c r="A1274" s="64" t="str">
        <f ca="1">IF(ISNA(A1273),"","Subject Code")</f>
        <v/>
      </c>
      <c r="B1274" s="64"/>
      <c r="C1274" s="64" t="str">
        <f ca="1">IF(ISNA(A1273),"","Subject Name")</f>
        <v/>
      </c>
      <c r="D1274" s="64"/>
      <c r="E1274" s="64"/>
      <c r="F1274" s="64"/>
      <c r="G1274" s="64"/>
      <c r="H1274" s="64" t="str">
        <f ca="1">IF(ISNA(A1273),"","Credits")</f>
        <v/>
      </c>
      <c r="I1274" s="64" t="str">
        <f ca="1">IF(ISNA(A1273),"","Grade")</f>
        <v/>
      </c>
      <c r="J1274" s="64" t="str">
        <f ca="1">IF(ISNA(A1273),"","Grade Points")</f>
        <v/>
      </c>
    </row>
    <row r="1275" spans="1:10" ht="15.5" customHeight="1" x14ac:dyDescent="0.2">
      <c r="A1275" s="64"/>
      <c r="B1275" s="64"/>
      <c r="C1275" s="64"/>
      <c r="D1275" s="64"/>
      <c r="E1275" s="64"/>
      <c r="F1275" s="64"/>
      <c r="G1275" s="64"/>
      <c r="H1275" s="64"/>
      <c r="I1275" s="64"/>
      <c r="J1275" s="64"/>
    </row>
    <row r="1276" spans="1:10" ht="10.5" customHeight="1" x14ac:dyDescent="0.2">
      <c r="A1276" s="65" t="str">
        <f ca="1">_xlfn.IFNA(INDIRECT(_xlfn.TEXTJOIN("",TRUE,A1272,"!",ADDRESS(13+(A1273-1)*J1272,1))),"")</f>
        <v/>
      </c>
      <c r="B1276" s="65"/>
      <c r="C1276" s="66" t="str">
        <f ca="1">_xlfn.IFNA(INDIRECT(_xlfn.TEXTJOIN("",TRUE,A1272,"!",ADDRESS(13+(A1273-1)*J1272,2))),"")</f>
        <v/>
      </c>
      <c r="D1276" s="66"/>
      <c r="E1276" s="66"/>
      <c r="F1276" s="66"/>
      <c r="G1276" s="66"/>
      <c r="H1276" s="25" t="str">
        <f ca="1">_xlfn.IFNA(INDIRECT(_xlfn.TEXTJOIN("",TRUE,A1272,"!",ADDRESS(13+(A1273-1)*J1272,6))),"")</f>
        <v/>
      </c>
      <c r="I1276" s="25" t="str">
        <f ca="1">_xlfn.IFNA(INDIRECT(_xlfn.TEXTJOIN("",TRUE,A1272,"!",ADDRESS(13+(A1273-1)*J1272,13))),"")</f>
        <v/>
      </c>
      <c r="J1276" s="25" t="str">
        <f ca="1">_xlfn.IFNA(INDIRECT(_xlfn.TEXTJOIN("",TRUE,A1272,"!",ADDRESS(13+(A1273-1)*J1272,14))),"")</f>
        <v/>
      </c>
    </row>
    <row r="1277" spans="1:10" ht="10.5" customHeight="1" x14ac:dyDescent="0.2">
      <c r="A1277" s="65" t="str">
        <f ca="1">_xlfn.IFNA(INDIRECT(_xlfn.TEXTJOIN("",TRUE,A1272,"!",ADDRESS(14+(A1273-1)*J1272,1))),"")</f>
        <v/>
      </c>
      <c r="B1277" s="65"/>
      <c r="C1277" s="66" t="str">
        <f ca="1">_xlfn.IFNA(INDIRECT(_xlfn.TEXTJOIN("",TRUE,A1272,"!",ADDRESS(14+(A1273-1)*J1272,2))),"")</f>
        <v/>
      </c>
      <c r="D1277" s="66"/>
      <c r="E1277" s="66"/>
      <c r="F1277" s="66"/>
      <c r="G1277" s="66"/>
      <c r="H1277" s="25" t="str">
        <f ca="1">_xlfn.IFNA(INDIRECT(_xlfn.TEXTJOIN("",TRUE,A1272,"!",ADDRESS(14+(A1273-1)*J1272,6))),"")</f>
        <v/>
      </c>
      <c r="I1277" s="25" t="str">
        <f ca="1">_xlfn.IFNA(INDIRECT(_xlfn.TEXTJOIN("",TRUE,A1272,"!",ADDRESS(14+(A1273-1)*J1272,13))),"")</f>
        <v/>
      </c>
      <c r="J1277" s="25" t="str">
        <f ca="1">_xlfn.IFNA(INDIRECT(_xlfn.TEXTJOIN("",TRUE,A1272,"!",ADDRESS(14+(A1273-1)*J1272,14))),"")</f>
        <v/>
      </c>
    </row>
    <row r="1278" spans="1:10" ht="10.5" customHeight="1" x14ac:dyDescent="0.2">
      <c r="A1278" s="65" t="str">
        <f ca="1">_xlfn.IFNA(INDIRECT(_xlfn.TEXTJOIN("",TRUE,A1272,"!",ADDRESS(15+(A1273-1)*J1272,1))),"")</f>
        <v/>
      </c>
      <c r="B1278" s="65"/>
      <c r="C1278" s="66" t="str">
        <f ca="1">_xlfn.IFNA(INDIRECT(_xlfn.TEXTJOIN("",TRUE,A1272,"!",ADDRESS(15+(A1273-1)*J1272,2))),"")</f>
        <v/>
      </c>
      <c r="D1278" s="66"/>
      <c r="E1278" s="66"/>
      <c r="F1278" s="66"/>
      <c r="G1278" s="66"/>
      <c r="H1278" s="25" t="str">
        <f ca="1">_xlfn.IFNA(INDIRECT(_xlfn.TEXTJOIN("",TRUE,A1272,"!",ADDRESS(15+(A1273-1)*J1272,6))),"")</f>
        <v/>
      </c>
      <c r="I1278" s="25" t="str">
        <f ca="1">_xlfn.IFNA(INDIRECT(_xlfn.TEXTJOIN("",TRUE,A1272,"!",ADDRESS(15+(A1273-1)*J1272,13))),"")</f>
        <v/>
      </c>
      <c r="J1278" s="25" t="str">
        <f ca="1">_xlfn.IFNA(INDIRECT(_xlfn.TEXTJOIN("",TRUE,A1272,"!",ADDRESS(15+(A1273-1)*J1272,14))),"")</f>
        <v/>
      </c>
    </row>
    <row r="1279" spans="1:10" ht="10.5" customHeight="1" x14ac:dyDescent="0.2">
      <c r="A1279" s="65" t="str">
        <f ca="1">_xlfn.IFNA(INDIRECT(_xlfn.TEXTJOIN("",TRUE,A1272,"!",ADDRESS(16+(A1273-1)*J1272,1))),"")</f>
        <v/>
      </c>
      <c r="B1279" s="65"/>
      <c r="C1279" s="66" t="str">
        <f ca="1">_xlfn.IFNA(INDIRECT(_xlfn.TEXTJOIN("",TRUE,A1272,"!",ADDRESS(16+(A1273-1)*J1272,2))),"")</f>
        <v/>
      </c>
      <c r="D1279" s="66"/>
      <c r="E1279" s="66"/>
      <c r="F1279" s="66"/>
      <c r="G1279" s="66"/>
      <c r="H1279" s="25" t="str">
        <f ca="1">_xlfn.IFNA(INDIRECT(_xlfn.TEXTJOIN("",TRUE,A1272,"!",ADDRESS(16+(A1273-1)*J1272,6))),"")</f>
        <v/>
      </c>
      <c r="I1279" s="25" t="str">
        <f ca="1">_xlfn.IFNA(INDIRECT(_xlfn.TEXTJOIN("",TRUE,A1272,"!",ADDRESS(16+(A1273-1)*J1272,13))),"")</f>
        <v/>
      </c>
      <c r="J1279" s="25" t="str">
        <f ca="1">_xlfn.IFNA(INDIRECT(_xlfn.TEXTJOIN("",TRUE,A1272,"!",ADDRESS(16+(A1273-1)*J1272,14))),"")</f>
        <v/>
      </c>
    </row>
    <row r="1280" spans="1:10" ht="10.5" customHeight="1" x14ac:dyDescent="0.2">
      <c r="A1280" s="65" t="str">
        <f ca="1">_xlfn.IFNA(INDIRECT(_xlfn.TEXTJOIN("",TRUE,A1272,"!",ADDRESS(17+(A1273-1)*J1272,1))),"")</f>
        <v/>
      </c>
      <c r="B1280" s="65"/>
      <c r="C1280" s="66" t="str">
        <f ca="1">_xlfn.IFNA(INDIRECT(_xlfn.TEXTJOIN("",TRUE,A1272,"!",ADDRESS(17+(A1273-1)*J1272,2))),"")</f>
        <v/>
      </c>
      <c r="D1280" s="66"/>
      <c r="E1280" s="66"/>
      <c r="F1280" s="66"/>
      <c r="G1280" s="66"/>
      <c r="H1280" s="25" t="str">
        <f ca="1">_xlfn.IFNA(INDIRECT(_xlfn.TEXTJOIN("",TRUE,A1272,"!",ADDRESS(17+(A1273-1)*J1272,6))),"")</f>
        <v/>
      </c>
      <c r="I1280" s="25" t="str">
        <f ca="1">_xlfn.IFNA(INDIRECT(_xlfn.TEXTJOIN("",TRUE,A1272,"!",ADDRESS(17+(A1273-1)*J1272,13))),"")</f>
        <v/>
      </c>
      <c r="J1280" s="25" t="str">
        <f ca="1">_xlfn.IFNA(INDIRECT(_xlfn.TEXTJOIN("",TRUE,A1272,"!",ADDRESS(17+(A1273-1)*J1272,14))),"")</f>
        <v/>
      </c>
    </row>
    <row r="1281" spans="1:10" ht="10.5" customHeight="1" x14ac:dyDescent="0.2">
      <c r="A1281" s="65" t="str">
        <f ca="1">_xlfn.IFNA(INDIRECT(_xlfn.TEXTJOIN("",TRUE,A1272,"!",ADDRESS(18+(A1273-1)*J1272,1))),"")</f>
        <v/>
      </c>
      <c r="B1281" s="65"/>
      <c r="C1281" s="66" t="str">
        <f ca="1">_xlfn.IFNA(INDIRECT(_xlfn.TEXTJOIN("",TRUE,A1272,"!",ADDRESS(18+(A1273-1)*J1272,2))),"")</f>
        <v/>
      </c>
      <c r="D1281" s="66"/>
      <c r="E1281" s="66"/>
      <c r="F1281" s="66"/>
      <c r="G1281" s="66"/>
      <c r="H1281" s="25" t="str">
        <f ca="1">_xlfn.IFNA(INDIRECT(_xlfn.TEXTJOIN("",TRUE,A1272,"!",ADDRESS(18+(A1273-1)*J1272,6))),"")</f>
        <v/>
      </c>
      <c r="I1281" s="25" t="str">
        <f ca="1">_xlfn.IFNA(INDIRECT(_xlfn.TEXTJOIN("",TRUE,A1272,"!",ADDRESS(18+(A1273-1)*J1272,13))),"")</f>
        <v/>
      </c>
      <c r="J1281" s="25" t="str">
        <f ca="1">_xlfn.IFNA(INDIRECT(_xlfn.TEXTJOIN("",TRUE,A1272,"!",ADDRESS(18+(A1273-1)*J1272,14))),"")</f>
        <v/>
      </c>
    </row>
    <row r="1282" spans="1:10" ht="10.5" customHeight="1" x14ac:dyDescent="0.2">
      <c r="A1282" s="60" t="str">
        <f ca="1">_xlfn.IFNA(INDIRECT(_xlfn.TEXTJOIN("",TRUE,A1272,"!",ADDRESS(19+(A1273-1)*J1272,1))),"")</f>
        <v/>
      </c>
      <c r="B1282" s="61"/>
      <c r="C1282" s="57" t="str">
        <f ca="1">_xlfn.IFNA(INDIRECT(_xlfn.TEXTJOIN("",TRUE,A1272,"!",ADDRESS(19+(A1273-1)*J1272,2))),"")</f>
        <v/>
      </c>
      <c r="D1282" s="58"/>
      <c r="E1282" s="58"/>
      <c r="F1282" s="58"/>
      <c r="G1282" s="59"/>
      <c r="H1282" s="25" t="str">
        <f ca="1">_xlfn.IFNA(INDIRECT(_xlfn.TEXTJOIN("",TRUE,A1272,"!",ADDRESS(19+(A1273-1)*J1272,6))),"")</f>
        <v/>
      </c>
      <c r="I1282" s="25" t="str">
        <f ca="1">_xlfn.IFNA(INDIRECT(_xlfn.TEXTJOIN("",TRUE,A1272,"!",ADDRESS(19+(A1273-1)*J1272,13))),"")</f>
        <v/>
      </c>
      <c r="J1282" s="25" t="str">
        <f ca="1">_xlfn.IFNA(INDIRECT(_xlfn.TEXTJOIN("",TRUE,A1272,"!",ADDRESS(19+(A1273-1)*J1272,14))),"")</f>
        <v/>
      </c>
    </row>
    <row r="1283" spans="1:10" ht="10.5" customHeight="1" x14ac:dyDescent="0.2">
      <c r="A1283" s="65" t="str">
        <f ca="1">_xlfn.IFNA(INDIRECT(_xlfn.TEXTJOIN("",TRUE,A1272,"!",ADDRESS(20+(A1273-1)*J1272,1))),"")</f>
        <v/>
      </c>
      <c r="B1283" s="65"/>
      <c r="C1283" s="66" t="str">
        <f ca="1">_xlfn.IFNA(INDIRECT(_xlfn.TEXTJOIN("",TRUE,A1272,"!",ADDRESS(20+(A1273-1)*J1272,2))),"")</f>
        <v/>
      </c>
      <c r="D1283" s="66"/>
      <c r="E1283" s="66"/>
      <c r="F1283" s="66"/>
      <c r="G1283" s="66"/>
      <c r="H1283" s="25" t="str">
        <f ca="1">_xlfn.IFNA(INDIRECT(_xlfn.TEXTJOIN("",TRUE,A1272,"!",ADDRESS(20+(A1273-1)*J1272,6))),"")</f>
        <v/>
      </c>
      <c r="I1283" s="25" t="str">
        <f ca="1">_xlfn.IFNA(INDIRECT(_xlfn.TEXTJOIN("",TRUE,A1272,"!",ADDRESS(20+(A1273-1)*J1272,13))),"")</f>
        <v/>
      </c>
      <c r="J1283" s="25" t="str">
        <f ca="1">_xlfn.IFNA(INDIRECT(_xlfn.TEXTJOIN("",TRUE,A1272,"!",ADDRESS(20+(A1273-1)*J1272,14))),"")</f>
        <v/>
      </c>
    </row>
    <row r="1284" spans="1:10" ht="10.5" customHeight="1" x14ac:dyDescent="0.2">
      <c r="A1284" s="65" t="str">
        <f ca="1">_xlfn.IFNA(INDIRECT(_xlfn.TEXTJOIN("",TRUE,A1272,"!",ADDRESS(21+(A1273-1)*J1272,1))),"")</f>
        <v/>
      </c>
      <c r="B1284" s="65"/>
      <c r="C1284" s="66" t="str">
        <f ca="1">_xlfn.IFNA(INDIRECT(_xlfn.TEXTJOIN("",TRUE,A1272,"!",ADDRESS(21+(A1273-1)*J1272,2))),"")</f>
        <v/>
      </c>
      <c r="D1284" s="66"/>
      <c r="E1284" s="66"/>
      <c r="F1284" s="66"/>
      <c r="G1284" s="66"/>
      <c r="H1284" s="25" t="str">
        <f ca="1">_xlfn.IFNA(INDIRECT(_xlfn.TEXTJOIN("",TRUE,A1272,"!",ADDRESS(21+(A1273-1)*J1272,6))),"")</f>
        <v/>
      </c>
      <c r="I1284" s="25" t="str">
        <f ca="1">_xlfn.IFNA(INDIRECT(_xlfn.TEXTJOIN("",TRUE,A1272,"!",ADDRESS(21+(A1273-1)*J1272,13))),"")</f>
        <v/>
      </c>
      <c r="J1284" s="25" t="str">
        <f ca="1">_xlfn.IFNA(INDIRECT(_xlfn.TEXTJOIN("",TRUE,A1272,"!",ADDRESS(21+(A1273-1)*J1272,14))),"")</f>
        <v/>
      </c>
    </row>
    <row r="1285" spans="1:10" ht="10.5" customHeight="1" x14ac:dyDescent="0.2">
      <c r="A1285" s="65" t="str">
        <f ca="1">_xlfn.IFNA(INDIRECT(_xlfn.TEXTJOIN("",TRUE,A1272,"!",ADDRESS(22+(A1273-1)*J1272,1))),"")</f>
        <v/>
      </c>
      <c r="B1285" s="65"/>
      <c r="C1285" s="66" t="str">
        <f ca="1">_xlfn.IFNA(INDIRECT(_xlfn.TEXTJOIN("",TRUE,A1272,"!",ADDRESS(22+(A1273-1)*J1272,2))),"")</f>
        <v/>
      </c>
      <c r="D1285" s="66"/>
      <c r="E1285" s="66"/>
      <c r="F1285" s="66"/>
      <c r="G1285" s="66"/>
      <c r="H1285" s="25" t="str">
        <f ca="1">_xlfn.IFNA(INDIRECT(_xlfn.TEXTJOIN("",TRUE,A1272,"!",ADDRESS(22+(A1273-1)*J1272,6))),"")</f>
        <v/>
      </c>
      <c r="I1285" s="25" t="str">
        <f ca="1">_xlfn.IFNA(INDIRECT(_xlfn.TEXTJOIN("",TRUE,A1272,"!",ADDRESS(22+(A1273-1)*J1272,13))),"")</f>
        <v/>
      </c>
      <c r="J1285" s="25" t="str">
        <f ca="1">_xlfn.IFNA(INDIRECT(_xlfn.TEXTJOIN("",TRUE,A1272,"!",ADDRESS(22+(A1273-1)*J1272,14))),"")</f>
        <v/>
      </c>
    </row>
    <row r="1286" spans="1:10" ht="10.5" customHeight="1" x14ac:dyDescent="0.2">
      <c r="A1286" s="71" t="str">
        <f ca="1">IF(ISNA(A1273),"","Total Credits/ Total Grade Points")</f>
        <v/>
      </c>
      <c r="B1286" s="71"/>
      <c r="C1286" s="71"/>
      <c r="D1286" s="71"/>
      <c r="E1286" s="71"/>
      <c r="F1286" s="71"/>
      <c r="G1286" s="71"/>
      <c r="H1286" s="27" t="str">
        <f ca="1">IF(ISNA(A1273),"",SUM(H1276:H1285))</f>
        <v/>
      </c>
      <c r="I1286" s="26" t="str">
        <f ca="1">IF(ISNA(A1273),"","-")</f>
        <v/>
      </c>
      <c r="J1286" s="27" t="str">
        <f ca="1">IF(ISNA(A1273),"",SUMPRODUCT(J1276:J1285,H1276:H1285))</f>
        <v/>
      </c>
    </row>
    <row r="1287" spans="1:10" ht="10.5" customHeight="1" x14ac:dyDescent="0.2">
      <c r="A1287" s="24" t="s">
        <v>60</v>
      </c>
      <c r="B1287" s="72" t="str">
        <f ca="1">IF(ISNA(A1288),"","Semester III (Autumn Semester 2023-24)")</f>
        <v/>
      </c>
      <c r="C1287" s="72"/>
      <c r="D1287" s="72"/>
      <c r="E1287" s="72"/>
      <c r="F1287" s="72"/>
      <c r="G1287" s="72"/>
      <c r="H1287" s="72"/>
      <c r="I1287" s="72"/>
      <c r="J1287" s="24">
        <f>ROWS(A1291:B1298)+9</f>
        <v>17</v>
      </c>
    </row>
    <row r="1288" spans="1:10" ht="10.5" customHeight="1" x14ac:dyDescent="0.2">
      <c r="A1288" s="24" t="e">
        <f ca="1">INDEX(SEM_III!$A$6:$A$43,Marksheets!J1288)</f>
        <v>#N/A</v>
      </c>
      <c r="B1288" s="63"/>
      <c r="C1288" s="63"/>
      <c r="D1288" s="63"/>
      <c r="E1288" s="63"/>
      <c r="F1288" s="63"/>
      <c r="G1288" s="63"/>
      <c r="H1288" s="63"/>
      <c r="I1288" s="63"/>
      <c r="J1288" s="24" t="e">
        <f ca="1">MATCH(H1251,SEM_III!$B$6:$B$43,0)</f>
        <v>#N/A</v>
      </c>
    </row>
    <row r="1289" spans="1:10" ht="10.5" customHeight="1" x14ac:dyDescent="0.2">
      <c r="A1289" s="64" t="str">
        <f ca="1">IF(ISNA(A1288),"","Subject Code")</f>
        <v/>
      </c>
      <c r="B1289" s="64"/>
      <c r="C1289" s="64" t="str">
        <f ca="1">IF(ISNA(A1288),"","Subject Name")</f>
        <v/>
      </c>
      <c r="D1289" s="64"/>
      <c r="E1289" s="64"/>
      <c r="F1289" s="64"/>
      <c r="G1289" s="64"/>
      <c r="H1289" s="64" t="str">
        <f ca="1">IF(ISNA(A1288),"","Credits")</f>
        <v/>
      </c>
      <c r="I1289" s="64" t="str">
        <f ca="1">IF(ISNA(A1288),"","Grade")</f>
        <v/>
      </c>
      <c r="J1289" s="64" t="str">
        <f ca="1">IF(ISNA(A1288),"","Grade Points")</f>
        <v/>
      </c>
    </row>
    <row r="1290" spans="1:10" ht="13" customHeight="1" x14ac:dyDescent="0.2">
      <c r="A1290" s="64"/>
      <c r="B1290" s="64"/>
      <c r="C1290" s="64"/>
      <c r="D1290" s="64"/>
      <c r="E1290" s="64"/>
      <c r="F1290" s="64"/>
      <c r="G1290" s="64"/>
      <c r="H1290" s="64"/>
      <c r="I1290" s="64"/>
      <c r="J1290" s="64"/>
    </row>
    <row r="1291" spans="1:10" ht="10.5" customHeight="1" x14ac:dyDescent="0.2">
      <c r="A1291" s="65" t="str">
        <f ca="1">_xlfn.IFNA(INDIRECT(_xlfn.TEXTJOIN("",TRUE,A1287,"!",ADDRESS(13+(A1288-1)*J1287,1))),"")</f>
        <v/>
      </c>
      <c r="B1291" s="65"/>
      <c r="C1291" s="66" t="str">
        <f ca="1">_xlfn.IFNA(INDIRECT(_xlfn.TEXTJOIN("",TRUE,A1287,"!",ADDRESS(13+(A1288-1)*J1287,2))),"")</f>
        <v/>
      </c>
      <c r="D1291" s="66"/>
      <c r="E1291" s="66"/>
      <c r="F1291" s="66"/>
      <c r="G1291" s="66"/>
      <c r="H1291" s="25" t="str">
        <f ca="1">_xlfn.IFNA(INDIRECT(_xlfn.TEXTJOIN("",TRUE,A1287,"!",ADDRESS(13+(A1288-1)*J1287,6))),"")</f>
        <v/>
      </c>
      <c r="I1291" s="25" t="str">
        <f ca="1">_xlfn.IFNA(INDIRECT(_xlfn.TEXTJOIN("",TRUE,A1287,"!",ADDRESS(13+(A1288-1)*J1287,13))),"")</f>
        <v/>
      </c>
      <c r="J1291" s="25" t="str">
        <f ca="1">_xlfn.IFNA(INDIRECT(_xlfn.TEXTJOIN("",TRUE,A1287,"!",ADDRESS(13+(A1288-1)*J1287,14))),"")</f>
        <v/>
      </c>
    </row>
    <row r="1292" spans="1:10" ht="10.5" customHeight="1" x14ac:dyDescent="0.2">
      <c r="A1292" s="65" t="str">
        <f ca="1">_xlfn.IFNA(INDIRECT(_xlfn.TEXTJOIN("",TRUE,A1287,"!",ADDRESS(14+(A1288-1)*J1287,1))),"")</f>
        <v/>
      </c>
      <c r="B1292" s="65"/>
      <c r="C1292" s="66" t="str">
        <f ca="1">_xlfn.IFNA(INDIRECT(_xlfn.TEXTJOIN("",TRUE,A1287,"!",ADDRESS(14+(A1288-1)*J1287,2))),"")</f>
        <v/>
      </c>
      <c r="D1292" s="66"/>
      <c r="E1292" s="66"/>
      <c r="F1292" s="66"/>
      <c r="G1292" s="66"/>
      <c r="H1292" s="25" t="str">
        <f ca="1">_xlfn.IFNA(INDIRECT(_xlfn.TEXTJOIN("",TRUE,A1287,"!",ADDRESS(14+(A1288-1)*J1287,6))),"")</f>
        <v/>
      </c>
      <c r="I1292" s="25" t="str">
        <f ca="1">_xlfn.IFNA(INDIRECT(_xlfn.TEXTJOIN("",TRUE,A1287,"!",ADDRESS(14+(A1288-1)*J1287,13))),"")</f>
        <v/>
      </c>
      <c r="J1292" s="25" t="str">
        <f ca="1">_xlfn.IFNA(INDIRECT(_xlfn.TEXTJOIN("",TRUE,A1287,"!",ADDRESS(14+(A1288-1)*J1287,14))),"")</f>
        <v/>
      </c>
    </row>
    <row r="1293" spans="1:10" ht="10.5" customHeight="1" x14ac:dyDescent="0.2">
      <c r="A1293" s="65" t="str">
        <f ca="1">_xlfn.IFNA(INDIRECT(_xlfn.TEXTJOIN("",TRUE,A1287,"!",ADDRESS(15+(A1288-1)*J1287,1))),"")</f>
        <v/>
      </c>
      <c r="B1293" s="65"/>
      <c r="C1293" s="66" t="str">
        <f ca="1">_xlfn.IFNA(INDIRECT(_xlfn.TEXTJOIN("",TRUE,A1287,"!",ADDRESS(15+(A1288-1)*J1287,2))),"")</f>
        <v/>
      </c>
      <c r="D1293" s="66"/>
      <c r="E1293" s="66"/>
      <c r="F1293" s="66"/>
      <c r="G1293" s="66"/>
      <c r="H1293" s="25" t="str">
        <f ca="1">_xlfn.IFNA(INDIRECT(_xlfn.TEXTJOIN("",TRUE,A1287,"!",ADDRESS(15+(A1288-1)*J1287,6))),"")</f>
        <v/>
      </c>
      <c r="I1293" s="25" t="str">
        <f ca="1">_xlfn.IFNA(INDIRECT(_xlfn.TEXTJOIN("",TRUE,A1287,"!",ADDRESS(15+(A1288-1)*J1287,13))),"")</f>
        <v/>
      </c>
      <c r="J1293" s="25" t="str">
        <f ca="1">_xlfn.IFNA(INDIRECT(_xlfn.TEXTJOIN("",TRUE,A1287,"!",ADDRESS(15+(A1288-1)*J1287,14))),"")</f>
        <v/>
      </c>
    </row>
    <row r="1294" spans="1:10" ht="10.5" customHeight="1" x14ac:dyDescent="0.2">
      <c r="A1294" s="65" t="str">
        <f ca="1">_xlfn.IFNA(INDIRECT(_xlfn.TEXTJOIN("",TRUE,A1287,"!",ADDRESS(16+(A1288-1)*J1287,1))),"")</f>
        <v/>
      </c>
      <c r="B1294" s="65"/>
      <c r="C1294" s="66" t="str">
        <f ca="1">_xlfn.IFNA(INDIRECT(_xlfn.TEXTJOIN("",TRUE,A1287,"!",ADDRESS(16+(A1288-1)*J1287,2))),"")</f>
        <v/>
      </c>
      <c r="D1294" s="66"/>
      <c r="E1294" s="66"/>
      <c r="F1294" s="66"/>
      <c r="G1294" s="66"/>
      <c r="H1294" s="25" t="str">
        <f ca="1">_xlfn.IFNA(INDIRECT(_xlfn.TEXTJOIN("",TRUE,A1287,"!",ADDRESS(16+(A1288-1)*J1287,6))),"")</f>
        <v/>
      </c>
      <c r="I1294" s="25" t="str">
        <f ca="1">_xlfn.IFNA(INDIRECT(_xlfn.TEXTJOIN("",TRUE,A1287,"!",ADDRESS(16+(A1288-1)*J1287,13))),"")</f>
        <v/>
      </c>
      <c r="J1294" s="25" t="str">
        <f ca="1">_xlfn.IFNA(INDIRECT(_xlfn.TEXTJOIN("",TRUE,A1287,"!",ADDRESS(16+(A1288-1)*J1287,14))),"")</f>
        <v/>
      </c>
    </row>
    <row r="1295" spans="1:10" ht="10.5" customHeight="1" x14ac:dyDescent="0.2">
      <c r="A1295" s="65" t="str">
        <f ca="1">_xlfn.IFNA(INDIRECT(_xlfn.TEXTJOIN("",TRUE,A1287,"!",ADDRESS(17+(A1288-1)*J1287,1))),"")</f>
        <v/>
      </c>
      <c r="B1295" s="65"/>
      <c r="C1295" s="66" t="str">
        <f ca="1">_xlfn.IFNA(INDIRECT(_xlfn.TEXTJOIN("",TRUE,A1287,"!",ADDRESS(17+(A1288-1)*J1287,2))),"")</f>
        <v/>
      </c>
      <c r="D1295" s="66"/>
      <c r="E1295" s="66"/>
      <c r="F1295" s="66"/>
      <c r="G1295" s="66"/>
      <c r="H1295" s="25" t="str">
        <f ca="1">_xlfn.IFNA(INDIRECT(_xlfn.TEXTJOIN("",TRUE,A1287,"!",ADDRESS(17+(A1288-1)*J1287,6))),"")</f>
        <v/>
      </c>
      <c r="I1295" s="25" t="str">
        <f ca="1">_xlfn.IFNA(INDIRECT(_xlfn.TEXTJOIN("",TRUE,A1287,"!",ADDRESS(17+(A1288-1)*J1287,13))),"")</f>
        <v/>
      </c>
      <c r="J1295" s="25" t="str">
        <f ca="1">_xlfn.IFNA(INDIRECT(_xlfn.TEXTJOIN("",TRUE,A1287,"!",ADDRESS(17+(A1288-1)*J1287,14))),"")</f>
        <v/>
      </c>
    </row>
    <row r="1296" spans="1:10" ht="10.5" customHeight="1" x14ac:dyDescent="0.2">
      <c r="A1296" s="65" t="str">
        <f ca="1">_xlfn.IFNA(INDIRECT(_xlfn.TEXTJOIN("",TRUE,A1287,"!",ADDRESS(18+(A1288-1)*J1287,1))),"")</f>
        <v/>
      </c>
      <c r="B1296" s="65"/>
      <c r="C1296" s="66" t="str">
        <f ca="1">_xlfn.IFNA(INDIRECT(_xlfn.TEXTJOIN("",TRUE,A1287,"!",ADDRESS(18+(A1288-1)*J1287,2))),"")</f>
        <v/>
      </c>
      <c r="D1296" s="66"/>
      <c r="E1296" s="66"/>
      <c r="F1296" s="66"/>
      <c r="G1296" s="66"/>
      <c r="H1296" s="25" t="str">
        <f ca="1">_xlfn.IFNA(INDIRECT(_xlfn.TEXTJOIN("",TRUE,A1287,"!",ADDRESS(18+(A1288-1)*J1287,6))),"")</f>
        <v/>
      </c>
      <c r="I1296" s="25" t="str">
        <f ca="1">_xlfn.IFNA(INDIRECT(_xlfn.TEXTJOIN("",TRUE,A1287,"!",ADDRESS(18+(A1288-1)*J1287,13))),"")</f>
        <v/>
      </c>
      <c r="J1296" s="25" t="str">
        <f ca="1">_xlfn.IFNA(INDIRECT(_xlfn.TEXTJOIN("",TRUE,A1287,"!",ADDRESS(18+(A1288-1)*J1287,14))),"")</f>
        <v/>
      </c>
    </row>
    <row r="1297" spans="1:10" ht="10.5" customHeight="1" x14ac:dyDescent="0.2">
      <c r="A1297" s="60" t="str">
        <f ca="1">_xlfn.IFNA(INDIRECT(_xlfn.TEXTJOIN("",TRUE,A1287,"!",ADDRESS(19+(A1288-1)*J1287,1))),"")</f>
        <v/>
      </c>
      <c r="B1297" s="61"/>
      <c r="C1297" s="57" t="str">
        <f ca="1">_xlfn.IFNA(INDIRECT(_xlfn.TEXTJOIN("",TRUE,A1287,"!",ADDRESS(19+(A1288-1)*J1287,2))),"")</f>
        <v/>
      </c>
      <c r="D1297" s="58"/>
      <c r="E1297" s="58"/>
      <c r="F1297" s="58"/>
      <c r="G1297" s="59"/>
      <c r="H1297" s="25" t="str">
        <f ca="1">_xlfn.IFNA(INDIRECT(_xlfn.TEXTJOIN("",TRUE,A1287,"!",ADDRESS(19+(A1288-1)*J1287,6))),"")</f>
        <v/>
      </c>
      <c r="I1297" s="25" t="str">
        <f ca="1">_xlfn.IFNA(INDIRECT(_xlfn.TEXTJOIN("",TRUE,A1287,"!",ADDRESS(19+(A1288-1)*J1287,13))),"")</f>
        <v/>
      </c>
      <c r="J1297" s="25" t="str">
        <f ca="1">_xlfn.IFNA(INDIRECT(_xlfn.TEXTJOIN("",TRUE,A1287,"!",ADDRESS(19+(A1288-1)*J1287,14))),"")</f>
        <v/>
      </c>
    </row>
    <row r="1298" spans="1:10" ht="10.5" customHeight="1" x14ac:dyDescent="0.2">
      <c r="A1298" s="65" t="str">
        <f ca="1">_xlfn.IFNA(INDIRECT(_xlfn.TEXTJOIN("",TRUE,A1287,"!",ADDRESS(20+(A1288-1)*J1287,1))),"")</f>
        <v/>
      </c>
      <c r="B1298" s="65"/>
      <c r="C1298" s="66" t="str">
        <f ca="1">_xlfn.IFNA(INDIRECT(_xlfn.TEXTJOIN("",TRUE,A1287,"!",ADDRESS(20+(A1288-1)*J1287,2))),"")</f>
        <v/>
      </c>
      <c r="D1298" s="66"/>
      <c r="E1298" s="66"/>
      <c r="F1298" s="66"/>
      <c r="G1298" s="66"/>
      <c r="H1298" s="25" t="str">
        <f ca="1">_xlfn.IFNA(INDIRECT(_xlfn.TEXTJOIN("",TRUE,A1287,"!",ADDRESS(20+(A1288-1)*J1287,6))),"")</f>
        <v/>
      </c>
      <c r="I1298" s="25" t="str">
        <f ca="1">_xlfn.IFNA(INDIRECT(_xlfn.TEXTJOIN("",TRUE,A1287,"!",ADDRESS(20+(A1288-1)*J1287,13))),"")</f>
        <v/>
      </c>
      <c r="J1298" s="25" t="str">
        <f ca="1">_xlfn.IFNA(INDIRECT(_xlfn.TEXTJOIN("",TRUE,A1287,"!",ADDRESS(20+(A1288-1)*J1287,14))),"")</f>
        <v/>
      </c>
    </row>
    <row r="1299" spans="1:10" ht="10.5" customHeight="1" x14ac:dyDescent="0.2">
      <c r="A1299" s="71" t="str">
        <f ca="1">IF(ISNA(A1288),"","Total Credits/ Total Grade Points")</f>
        <v/>
      </c>
      <c r="B1299" s="71"/>
      <c r="C1299" s="71"/>
      <c r="D1299" s="71"/>
      <c r="E1299" s="71"/>
      <c r="F1299" s="71"/>
      <c r="G1299" s="71"/>
      <c r="H1299" s="27" t="str">
        <f ca="1">IF(ISNA(A1288),"",SUM(H1291:H1298))</f>
        <v/>
      </c>
      <c r="I1299" s="26" t="str">
        <f ca="1">IF(ISNA(A1288),"","-")</f>
        <v/>
      </c>
      <c r="J1299" s="27" t="str">
        <f ca="1">IF(ISNA(A1288),"",SUMPRODUCT(J1291:J1298,H1291:H1298))</f>
        <v/>
      </c>
    </row>
    <row r="1300" spans="1:10" ht="10.5" customHeight="1" x14ac:dyDescent="0.2">
      <c r="A1300" s="24" t="s">
        <v>133</v>
      </c>
      <c r="B1300" s="72" t="str">
        <f ca="1">IF(ISNA(A1301),"","Semester IV (Spring Semester 2023-24)")</f>
        <v/>
      </c>
      <c r="C1300" s="72"/>
      <c r="D1300" s="72"/>
      <c r="E1300" s="72"/>
      <c r="F1300" s="72"/>
      <c r="G1300" s="72"/>
      <c r="H1300" s="72"/>
      <c r="I1300" s="72"/>
      <c r="J1300" s="24">
        <f>ROWS(A1304:B1310)+9</f>
        <v>16</v>
      </c>
    </row>
    <row r="1301" spans="1:10" ht="10.5" customHeight="1" x14ac:dyDescent="0.2">
      <c r="A1301" s="24" t="e">
        <f ca="1">INDEX(SEM_IV!$A$6:$A$43,Marksheets!J1301)</f>
        <v>#N/A</v>
      </c>
      <c r="B1301" s="63"/>
      <c r="C1301" s="63"/>
      <c r="D1301" s="63"/>
      <c r="E1301" s="63"/>
      <c r="F1301" s="63"/>
      <c r="G1301" s="63"/>
      <c r="H1301" s="63"/>
      <c r="I1301" s="63"/>
      <c r="J1301" s="24" t="e">
        <f ca="1">MATCH(H1251,SEM_IV!$B$6:$B$43,0)</f>
        <v>#N/A</v>
      </c>
    </row>
    <row r="1302" spans="1:10" ht="10.5" customHeight="1" x14ac:dyDescent="0.2">
      <c r="A1302" s="64" t="str">
        <f ca="1">IF(ISNA(A1301),"","Subject Code")</f>
        <v/>
      </c>
      <c r="B1302" s="64"/>
      <c r="C1302" s="64" t="str">
        <f ca="1">IF(ISNA(A1301),"","Subject Name")</f>
        <v/>
      </c>
      <c r="D1302" s="64"/>
      <c r="E1302" s="64"/>
      <c r="F1302" s="64"/>
      <c r="G1302" s="64"/>
      <c r="H1302" s="64" t="str">
        <f ca="1">IF(ISNA(A1301),"","Credits")</f>
        <v/>
      </c>
      <c r="I1302" s="64" t="str">
        <f ca="1">IF(ISNA(A1301),"","Grade")</f>
        <v/>
      </c>
      <c r="J1302" s="64" t="str">
        <f ca="1">IF(ISNA(A1301),"","Grade Points")</f>
        <v/>
      </c>
    </row>
    <row r="1303" spans="1:10" ht="12.5" customHeight="1" x14ac:dyDescent="0.2">
      <c r="A1303" s="64"/>
      <c r="B1303" s="64"/>
      <c r="C1303" s="64"/>
      <c r="D1303" s="64"/>
      <c r="E1303" s="64"/>
      <c r="F1303" s="64"/>
      <c r="G1303" s="64"/>
      <c r="H1303" s="64"/>
      <c r="I1303" s="64"/>
      <c r="J1303" s="64"/>
    </row>
    <row r="1304" spans="1:10" ht="10.5" customHeight="1" x14ac:dyDescent="0.2">
      <c r="A1304" s="65" t="str">
        <f ca="1">_xlfn.IFNA(INDIRECT(_xlfn.TEXTJOIN("",TRUE,A1300,"!",ADDRESS(13+(A1301-1)*J1300,1))),"")</f>
        <v/>
      </c>
      <c r="B1304" s="65"/>
      <c r="C1304" s="66" t="str">
        <f ca="1">_xlfn.IFNA(INDIRECT(_xlfn.TEXTJOIN("",TRUE,A1300,"!",ADDRESS(13+(A1301-1)*J1300,2))),"")</f>
        <v/>
      </c>
      <c r="D1304" s="66"/>
      <c r="E1304" s="66"/>
      <c r="F1304" s="66"/>
      <c r="G1304" s="66"/>
      <c r="H1304" s="25" t="str">
        <f ca="1">_xlfn.IFNA(INDIRECT(_xlfn.TEXTJOIN("",TRUE,A1300,"!",ADDRESS(13+(A1301-1)*J1300,6))),"")</f>
        <v/>
      </c>
      <c r="I1304" s="25" t="str">
        <f ca="1">_xlfn.IFNA(INDIRECT(_xlfn.TEXTJOIN("",TRUE,A1300,"!",ADDRESS(13+(A1301-1)*J1300,13))),"")</f>
        <v/>
      </c>
      <c r="J1304" s="25" t="str">
        <f ca="1">_xlfn.IFNA(INDIRECT(_xlfn.TEXTJOIN("",TRUE,A1300,"!",ADDRESS(13+(A1301-1)*J1300,14))),"")</f>
        <v/>
      </c>
    </row>
    <row r="1305" spans="1:10" ht="10.5" customHeight="1" x14ac:dyDescent="0.2">
      <c r="A1305" s="65" t="str">
        <f ca="1">_xlfn.IFNA(INDIRECT(_xlfn.TEXTJOIN("",TRUE,A1300,"!",ADDRESS(14+(A1301-1)*J1300,1))),"")</f>
        <v/>
      </c>
      <c r="B1305" s="65"/>
      <c r="C1305" s="66" t="str">
        <f ca="1">_xlfn.IFNA(INDIRECT(_xlfn.TEXTJOIN("",TRUE,A1300,"!",ADDRESS(14+(A1301-1)*J1300,2))),"")</f>
        <v/>
      </c>
      <c r="D1305" s="66"/>
      <c r="E1305" s="66"/>
      <c r="F1305" s="66"/>
      <c r="G1305" s="66"/>
      <c r="H1305" s="25" t="str">
        <f ca="1">_xlfn.IFNA(INDIRECT(_xlfn.TEXTJOIN("",TRUE,A1300,"!",ADDRESS(14+(A1301-1)*J1300,6))),"")</f>
        <v/>
      </c>
      <c r="I1305" s="25" t="str">
        <f ca="1">_xlfn.IFNA(INDIRECT(_xlfn.TEXTJOIN("",TRUE,A1300,"!",ADDRESS(14+(A1301-1)*J1300,13))),"")</f>
        <v/>
      </c>
      <c r="J1305" s="25" t="str">
        <f ca="1">_xlfn.IFNA(INDIRECT(_xlfn.TEXTJOIN("",TRUE,A1300,"!",ADDRESS(14+(A1301-1)*J1300,14))),"")</f>
        <v/>
      </c>
    </row>
    <row r="1306" spans="1:10" ht="10.5" customHeight="1" x14ac:dyDescent="0.2">
      <c r="A1306" s="65" t="str">
        <f ca="1">_xlfn.IFNA(INDIRECT(_xlfn.TEXTJOIN("",TRUE,A1300,"!",ADDRESS(15+(A1301-1)*J1300,1))),"")</f>
        <v/>
      </c>
      <c r="B1306" s="65"/>
      <c r="C1306" s="66" t="str">
        <f ca="1">_xlfn.IFNA(INDIRECT(_xlfn.TEXTJOIN("",TRUE,A1300,"!",ADDRESS(15+(A1301-1)*J1300,2))),"")</f>
        <v/>
      </c>
      <c r="D1306" s="66"/>
      <c r="E1306" s="66"/>
      <c r="F1306" s="66"/>
      <c r="G1306" s="66"/>
      <c r="H1306" s="25" t="str">
        <f ca="1">_xlfn.IFNA(INDIRECT(_xlfn.TEXTJOIN("",TRUE,A1300,"!",ADDRESS(15+(A1301-1)*J1300,6))),"")</f>
        <v/>
      </c>
      <c r="I1306" s="25" t="str">
        <f ca="1">_xlfn.IFNA(INDIRECT(_xlfn.TEXTJOIN("",TRUE,A1300,"!",ADDRESS(15+(A1301-1)*J1300,13))),"")</f>
        <v/>
      </c>
      <c r="J1306" s="25" t="str">
        <f ca="1">_xlfn.IFNA(INDIRECT(_xlfn.TEXTJOIN("",TRUE,A1300,"!",ADDRESS(15+(A1301-1)*J1300,14))),"")</f>
        <v/>
      </c>
    </row>
    <row r="1307" spans="1:10" ht="10.5" customHeight="1" x14ac:dyDescent="0.2">
      <c r="A1307" s="65" t="str">
        <f ca="1">_xlfn.IFNA(INDIRECT(_xlfn.TEXTJOIN("",TRUE,A1300,"!",ADDRESS(16+(A1301-1)*J1300,1))),"")</f>
        <v/>
      </c>
      <c r="B1307" s="65"/>
      <c r="C1307" s="66" t="str">
        <f ca="1">_xlfn.IFNA(INDIRECT(_xlfn.TEXTJOIN("",TRUE,A1300,"!",ADDRESS(16+(A1301-1)*J1300,2))),"")</f>
        <v/>
      </c>
      <c r="D1307" s="66"/>
      <c r="E1307" s="66"/>
      <c r="F1307" s="66"/>
      <c r="G1307" s="66"/>
      <c r="H1307" s="25" t="str">
        <f ca="1">_xlfn.IFNA(INDIRECT(_xlfn.TEXTJOIN("",TRUE,A1300,"!",ADDRESS(16+(A1301-1)*J1300,6))),"")</f>
        <v/>
      </c>
      <c r="I1307" s="25" t="str">
        <f ca="1">_xlfn.IFNA(INDIRECT(_xlfn.TEXTJOIN("",TRUE,A1300,"!",ADDRESS(16+(A1301-1)*J1300,13))),"")</f>
        <v/>
      </c>
      <c r="J1307" s="25" t="str">
        <f ca="1">_xlfn.IFNA(INDIRECT(_xlfn.TEXTJOIN("",TRUE,A1300,"!",ADDRESS(16+(A1301-1)*J1300,14))),"")</f>
        <v/>
      </c>
    </row>
    <row r="1308" spans="1:10" ht="10.5" customHeight="1" x14ac:dyDescent="0.2">
      <c r="A1308" s="65" t="str">
        <f ca="1">_xlfn.IFNA(INDIRECT(_xlfn.TEXTJOIN("",TRUE,A1300,"!",ADDRESS(17+(A1301-1)*J1300,1))),"")</f>
        <v/>
      </c>
      <c r="B1308" s="65"/>
      <c r="C1308" s="66" t="str">
        <f ca="1">_xlfn.IFNA(INDIRECT(_xlfn.TEXTJOIN("",TRUE,A1300,"!",ADDRESS(17+(A1301-1)*J1300,2))),"")</f>
        <v/>
      </c>
      <c r="D1308" s="66"/>
      <c r="E1308" s="66"/>
      <c r="F1308" s="66"/>
      <c r="G1308" s="66"/>
      <c r="H1308" s="25" t="str">
        <f ca="1">_xlfn.IFNA(INDIRECT(_xlfn.TEXTJOIN("",TRUE,A1300,"!",ADDRESS(17+(A1301-1)*J1300,6))),"")</f>
        <v/>
      </c>
      <c r="I1308" s="25" t="str">
        <f ca="1">_xlfn.IFNA(INDIRECT(_xlfn.TEXTJOIN("",TRUE,A1300,"!",ADDRESS(17+(A1301-1)*J1300,13))),"")</f>
        <v/>
      </c>
      <c r="J1308" s="25" t="str">
        <f ca="1">_xlfn.IFNA(INDIRECT(_xlfn.TEXTJOIN("",TRUE,A1300,"!",ADDRESS(17+(A1301-1)*J1300,14))),"")</f>
        <v/>
      </c>
    </row>
    <row r="1309" spans="1:10" ht="10.5" customHeight="1" x14ac:dyDescent="0.2">
      <c r="A1309" s="65" t="str">
        <f ca="1">_xlfn.IFNA(INDIRECT(_xlfn.TEXTJOIN("",TRUE,A1300,"!",ADDRESS(18+(A1301-1)*J1300,1))),"")</f>
        <v/>
      </c>
      <c r="B1309" s="65"/>
      <c r="C1309" s="66" t="str">
        <f ca="1">_xlfn.IFNA(INDIRECT(_xlfn.TEXTJOIN("",TRUE,A1300,"!",ADDRESS(18+(A1301-1)*J1300,2))),"")</f>
        <v/>
      </c>
      <c r="D1309" s="66"/>
      <c r="E1309" s="66"/>
      <c r="F1309" s="66"/>
      <c r="G1309" s="66"/>
      <c r="H1309" s="25" t="str">
        <f ca="1">_xlfn.IFNA(INDIRECT(_xlfn.TEXTJOIN("",TRUE,A1300,"!",ADDRESS(18+(A1301-1)*J1300,6))),"")</f>
        <v/>
      </c>
      <c r="I1309" s="25" t="str">
        <f ca="1">_xlfn.IFNA(INDIRECT(_xlfn.TEXTJOIN("",TRUE,A1300,"!",ADDRESS(18+(A1301-1)*J1300,13))),"")</f>
        <v/>
      </c>
      <c r="J1309" s="25" t="str">
        <f ca="1">_xlfn.IFNA(INDIRECT(_xlfn.TEXTJOIN("",TRUE,A1300,"!",ADDRESS(18+(A1301-1)*J1300,14))),"")</f>
        <v/>
      </c>
    </row>
    <row r="1310" spans="1:10" ht="10.5" customHeight="1" x14ac:dyDescent="0.2">
      <c r="A1310" s="60" t="str">
        <f ca="1">_xlfn.IFNA(INDIRECT(_xlfn.TEXTJOIN("",TRUE,A1300,"!",ADDRESS(19+(A1301-1)*J1300,1))),"")</f>
        <v/>
      </c>
      <c r="B1310" s="61"/>
      <c r="C1310" s="57" t="str">
        <f ca="1">_xlfn.IFNA(INDIRECT(_xlfn.TEXTJOIN("",TRUE,A1300,"!",ADDRESS(19+(A1301-1)*J1300,2))),"")</f>
        <v/>
      </c>
      <c r="D1310" s="58"/>
      <c r="E1310" s="58"/>
      <c r="F1310" s="58"/>
      <c r="G1310" s="59"/>
      <c r="H1310" s="25" t="str">
        <f ca="1">_xlfn.IFNA(INDIRECT(_xlfn.TEXTJOIN("",TRUE,A1300,"!",ADDRESS(19+(A1301-1)*J1300,6))),"")</f>
        <v/>
      </c>
      <c r="I1310" s="25" t="str">
        <f ca="1">_xlfn.IFNA(INDIRECT(_xlfn.TEXTJOIN("",TRUE,A1300,"!",ADDRESS(19+(A1301-1)*J1300,13))),"")</f>
        <v/>
      </c>
      <c r="J1310" s="25" t="str">
        <f ca="1">_xlfn.IFNA(INDIRECT(_xlfn.TEXTJOIN("",TRUE,A1300,"!",ADDRESS(19+(A1301-1)*J1300,14))),"")</f>
        <v/>
      </c>
    </row>
    <row r="1311" spans="1:10" ht="10.5" customHeight="1" x14ac:dyDescent="0.2">
      <c r="A1311" s="71" t="str">
        <f ca="1">IF(ISNA(A1301),"","Total Credits/ Total Grade Points")</f>
        <v/>
      </c>
      <c r="B1311" s="71"/>
      <c r="C1311" s="71"/>
      <c r="D1311" s="71"/>
      <c r="E1311" s="71"/>
      <c r="F1311" s="71"/>
      <c r="G1311" s="71"/>
      <c r="H1311" s="27" t="str">
        <f ca="1">IF(ISNA(A1301),"",SUM(H1303:H1310))</f>
        <v/>
      </c>
      <c r="I1311" s="26" t="str">
        <f ca="1">IF(ISNA(A1301),"","-")</f>
        <v/>
      </c>
      <c r="J1311" s="27" t="str">
        <f ca="1">IF(ISNA(A1301),"",SUMPRODUCT(J1303:J1310,H1303:H1310))</f>
        <v/>
      </c>
    </row>
    <row r="1312" spans="1:10" ht="10.5" customHeight="1" x14ac:dyDescent="0.2">
      <c r="A1312" s="75" t="s">
        <v>137</v>
      </c>
      <c r="B1312" s="75"/>
      <c r="C1312" s="75"/>
      <c r="D1312" s="75"/>
      <c r="E1312" s="75"/>
      <c r="F1312" s="76" t="s">
        <v>138</v>
      </c>
      <c r="G1312" s="76"/>
      <c r="H1312" s="76"/>
      <c r="I1312" s="76"/>
      <c r="J1312" s="76"/>
    </row>
    <row r="1313" spans="1:10" ht="10.5" customHeight="1" x14ac:dyDescent="0.2">
      <c r="A1313" s="43" t="s">
        <v>139</v>
      </c>
      <c r="B1313" s="43"/>
      <c r="C1313" s="43"/>
      <c r="D1313" s="43"/>
      <c r="E1313" s="43"/>
      <c r="F1313" s="43"/>
      <c r="G1313" s="43"/>
      <c r="H1313" s="43"/>
      <c r="I1313" s="43"/>
      <c r="J1313" s="43"/>
    </row>
    <row r="1314" spans="1:10" ht="10.5" customHeight="1" x14ac:dyDescent="0.2">
      <c r="A1314" s="10"/>
      <c r="B1314" s="26"/>
      <c r="C1314" s="26" t="s">
        <v>140</v>
      </c>
      <c r="D1314" s="26" t="s">
        <v>141</v>
      </c>
      <c r="E1314" s="26" t="s">
        <v>142</v>
      </c>
      <c r="F1314" s="26" t="s">
        <v>143</v>
      </c>
      <c r="G1314" s="26" t="s">
        <v>144</v>
      </c>
      <c r="H1314" s="79" t="s">
        <v>145</v>
      </c>
      <c r="I1314" s="79"/>
      <c r="J1314" s="30"/>
    </row>
    <row r="1315" spans="1:10" ht="10.5" customHeight="1" x14ac:dyDescent="0.2">
      <c r="A1315" s="10"/>
      <c r="B1315" s="80" t="s">
        <v>146</v>
      </c>
      <c r="C1315" s="73">
        <f ca="1">J1271/H1271</f>
        <v>7.666666666666667</v>
      </c>
      <c r="D1315" s="73" t="e">
        <f ca="1">J1286/H1286</f>
        <v>#VALUE!</v>
      </c>
      <c r="E1315" s="73" t="str">
        <f ca="1">IFERROR(J1299/H1299,"")</f>
        <v/>
      </c>
      <c r="F1315" s="73" t="str">
        <f ca="1">IFERROR(J1311/H1311,"")</f>
        <v/>
      </c>
      <c r="G1315" s="82">
        <f ca="1">F1317</f>
        <v>7.666666666666667</v>
      </c>
      <c r="H1315" s="83" t="e">
        <f ca="1">IF(TC_IV!N293&lt;96,_xlfn.TEXTJOIN(" ",TRUE,"CARRY OVER",TC_I!V441,TC_II!V365,TC_III!V310,TC_IV!V292),IF(G1315&gt;=8,"First Division with Distinction",IF(G1315&gt;=6.5,"First Division",IF(G1315&gt;=5,"Second Division",IF(G1315&gt;=4,"Third Division","Fail")))))</f>
        <v>#N/A</v>
      </c>
      <c r="I1315" s="83"/>
      <c r="J1315" s="30"/>
    </row>
    <row r="1316" spans="1:10" ht="10.5" customHeight="1" x14ac:dyDescent="0.2">
      <c r="B1316" s="81"/>
      <c r="C1316" s="74"/>
      <c r="D1316" s="74"/>
      <c r="E1316" s="74"/>
      <c r="F1316" s="74"/>
      <c r="G1316" s="82"/>
      <c r="H1316" s="83"/>
      <c r="I1316" s="83"/>
    </row>
    <row r="1317" spans="1:10" ht="10.5" customHeight="1" x14ac:dyDescent="0.2">
      <c r="B1317" s="80" t="s">
        <v>48</v>
      </c>
      <c r="C1317" s="73">
        <f ca="1">J1271/H1271</f>
        <v>7.666666666666667</v>
      </c>
      <c r="D1317" s="73">
        <f ca="1">SUM(J1286,J1271)/SUM(H1286,H1271)</f>
        <v>7.666666666666667</v>
      </c>
      <c r="E1317" s="73">
        <f ca="1">SUM(J1299,J1286,J1271)/SUM(H1299,H1286,H1271)</f>
        <v>7.666666666666667</v>
      </c>
      <c r="F1317" s="73">
        <f ca="1">SUM(J1311,J1299,J1286,J1271)/SUM(H1271,H1286,H1299,H1311)</f>
        <v>7.666666666666667</v>
      </c>
      <c r="G1317" s="82"/>
      <c r="H1317" s="83"/>
      <c r="I1317" s="83"/>
    </row>
    <row r="1318" spans="1:10" ht="10.5" customHeight="1" x14ac:dyDescent="0.2">
      <c r="B1318" s="81"/>
      <c r="C1318" s="74"/>
      <c r="D1318" s="74"/>
      <c r="E1318" s="74"/>
      <c r="F1318" s="74"/>
      <c r="G1318" s="82"/>
      <c r="H1318" s="83"/>
      <c r="I1318" s="83"/>
    </row>
    <row r="1320" spans="1:10" ht="10.5" customHeight="1" x14ac:dyDescent="0.2">
      <c r="A1320" s="56" t="s">
        <v>24</v>
      </c>
      <c r="B1320" s="56"/>
      <c r="C1320" s="56" t="str">
        <f ca="1">INDIRECT(_xlfn.TEXTJOIN("",TRUE,A1322,"!",ADDRESS(9+(A1323-1)*J1322,2)))</f>
        <v>VIVEK</v>
      </c>
      <c r="D1320" s="56"/>
      <c r="E1320" s="56"/>
      <c r="F1320" s="56" t="s">
        <v>135</v>
      </c>
      <c r="G1320" s="56"/>
      <c r="H1320" s="62">
        <f ca="1">INDIRECT(_xlfn.TEXTJOIN("",TRUE,A1322,"!",ADDRESS(9+(A1323-1)*J1322,9)))</f>
        <v>250090600020</v>
      </c>
      <c r="I1320" s="56"/>
      <c r="J1320" s="56"/>
    </row>
    <row r="1321" spans="1:10" ht="10.5" customHeight="1" x14ac:dyDescent="0.2">
      <c r="A1321" s="56" t="s">
        <v>25</v>
      </c>
      <c r="B1321" s="56"/>
      <c r="C1321" s="56" t="str">
        <f ca="1">INDIRECT(_xlfn.TEXTJOIN("",TRUE,A1322,"!",ADDRESS(9+(A1323-1)*J1322,5)))</f>
        <v>SATYAPAL</v>
      </c>
      <c r="D1321" s="56"/>
      <c r="E1321" s="56"/>
      <c r="F1321" s="47" t="s">
        <v>136</v>
      </c>
      <c r="G1321" s="47"/>
      <c r="H1321" s="62" t="str">
        <f ca="1">INDIRECT(_xlfn.TEXTJOIN("",TRUE,A1322,"!",ADDRESS(9+(A1323-1)*J1322,13)))</f>
        <v>UTU/2506100157</v>
      </c>
      <c r="I1321" s="56"/>
      <c r="J1321" s="56"/>
    </row>
    <row r="1322" spans="1:10" ht="10.5" customHeight="1" x14ac:dyDescent="0.2">
      <c r="A1322" s="24" t="s">
        <v>53</v>
      </c>
      <c r="B1322" s="43" t="s">
        <v>148</v>
      </c>
      <c r="C1322" s="43"/>
      <c r="D1322" s="43"/>
      <c r="E1322" s="43"/>
      <c r="F1322" s="43"/>
      <c r="G1322" s="43"/>
      <c r="H1322" s="43"/>
      <c r="I1322" s="43"/>
      <c r="J1322" s="24">
        <f>ROWS(A1326:B1339)+9</f>
        <v>23</v>
      </c>
    </row>
    <row r="1323" spans="1:10" ht="10.5" customHeight="1" x14ac:dyDescent="0.2">
      <c r="A1323" s="24">
        <f>A1254+1</f>
        <v>20</v>
      </c>
      <c r="B1323" s="63"/>
      <c r="C1323" s="63"/>
      <c r="D1323" s="63"/>
      <c r="E1323" s="63"/>
      <c r="F1323" s="63"/>
      <c r="G1323" s="63"/>
      <c r="H1323" s="63"/>
      <c r="I1323" s="63"/>
      <c r="J1323" s="29"/>
    </row>
    <row r="1324" spans="1:10" ht="10.5" customHeight="1" x14ac:dyDescent="0.2">
      <c r="A1324" s="64" t="s">
        <v>28</v>
      </c>
      <c r="B1324" s="64"/>
      <c r="C1324" s="64" t="s">
        <v>29</v>
      </c>
      <c r="D1324" s="64"/>
      <c r="E1324" s="64"/>
      <c r="F1324" s="64"/>
      <c r="G1324" s="64"/>
      <c r="H1324" s="64" t="s">
        <v>30</v>
      </c>
      <c r="I1324" s="64" t="s">
        <v>9</v>
      </c>
      <c r="J1324" s="64" t="s">
        <v>34</v>
      </c>
    </row>
    <row r="1325" spans="1:10" ht="13" customHeight="1" x14ac:dyDescent="0.2">
      <c r="A1325" s="64"/>
      <c r="B1325" s="64"/>
      <c r="C1325" s="64"/>
      <c r="D1325" s="64"/>
      <c r="E1325" s="64"/>
      <c r="F1325" s="64"/>
      <c r="G1325" s="64"/>
      <c r="H1325" s="64"/>
      <c r="I1325" s="64"/>
      <c r="J1325" s="64"/>
    </row>
    <row r="1326" spans="1:10" ht="10.5" customHeight="1" x14ac:dyDescent="0.2">
      <c r="A1326" s="65" t="str">
        <f ca="1">INDIRECT(_xlfn.TEXTJOIN("",TRUE,A1322,"!",ADDRESS(13+(A1323-1)*J1322,1)))</f>
        <v>CAT 004</v>
      </c>
      <c r="B1326" s="65"/>
      <c r="C1326" s="66" t="str">
        <f ca="1">INDIRECT(_xlfn.TEXTJOIN("",TRUE,A1322,"!",ADDRESS(13+(A1323-1)*J1322,2)))</f>
        <v>Discrete Structure</v>
      </c>
      <c r="D1326" s="66"/>
      <c r="E1326" s="66"/>
      <c r="F1326" s="66"/>
      <c r="G1326" s="66"/>
      <c r="H1326" s="25">
        <f ca="1">INDIRECT(_xlfn.TEXTJOIN("",TRUE,A1322,"!",ADDRESS(13+(A1323-1)*J1322,6)))</f>
        <v>4</v>
      </c>
      <c r="I1326" s="25" t="str">
        <f ca="1">INDIRECT(_xlfn.TEXTJOIN("",TRUE,A1322,"!",ADDRESS(13+(A1323-1)*J1322,13)))</f>
        <v>E</v>
      </c>
      <c r="J1326" s="25">
        <f ca="1">INDIRECT(_xlfn.TEXTJOIN("",TRUE,A1322,"!",ADDRESS(13+(A1323-1)*J1322,14)))</f>
        <v>5</v>
      </c>
    </row>
    <row r="1327" spans="1:10" ht="10.5" customHeight="1" x14ac:dyDescent="0.2">
      <c r="A1327" s="65" t="str">
        <f ca="1">INDIRECT(_xlfn.TEXTJOIN("",TRUE,A1322,"!",ADDRESS(14+(A1323-1)*J1322,1)))</f>
        <v>CAT 005</v>
      </c>
      <c r="B1327" s="65"/>
      <c r="C1327" s="66" t="str">
        <f ca="1">INDIRECT(_xlfn.TEXTJOIN("",TRUE,A1322,"!",ADDRESS(14+(A1323-1)*J1322,2)))</f>
        <v>Database Management System</v>
      </c>
      <c r="D1327" s="66"/>
      <c r="E1327" s="66"/>
      <c r="F1327" s="66"/>
      <c r="G1327" s="66"/>
      <c r="H1327" s="25">
        <f ca="1">INDIRECT(_xlfn.TEXTJOIN("",TRUE,A1322,"!",ADDRESS(14+(A1323-1)*J1322,6)))</f>
        <v>4</v>
      </c>
      <c r="I1327" s="25" t="str">
        <f ca="1">INDIRECT(_xlfn.TEXTJOIN("",TRUE,A1322,"!",ADDRESS(14+(A1323-1)*J1322,13)))</f>
        <v>P</v>
      </c>
      <c r="J1327" s="25">
        <f ca="1">INDIRECT(_xlfn.TEXTJOIN("",TRUE,A1322,"!",ADDRESS(14+(A1323-1)*J1322,14)))</f>
        <v>4.5</v>
      </c>
    </row>
    <row r="1328" spans="1:10" ht="10.5" customHeight="1" x14ac:dyDescent="0.2">
      <c r="A1328" s="65" t="str">
        <f ca="1">INDIRECT(_xlfn.TEXTJOIN("",TRUE,A1322,"!",ADDRESS(15+(A1323-1)*J1322,1)))</f>
        <v>CAT 006</v>
      </c>
      <c r="B1328" s="65"/>
      <c r="C1328" s="66" t="str">
        <f ca="1">INDIRECT(_xlfn.TEXTJOIN("",TRUE,A1322,"!",ADDRESS(15+(A1323-1)*J1322,2)))</f>
        <v>Operating System</v>
      </c>
      <c r="D1328" s="66"/>
      <c r="E1328" s="66"/>
      <c r="F1328" s="66"/>
      <c r="G1328" s="66"/>
      <c r="H1328" s="25">
        <f ca="1">INDIRECT(_xlfn.TEXTJOIN("",TRUE,A1322,"!",ADDRESS(15+(A1323-1)*J1322,6)))</f>
        <v>4</v>
      </c>
      <c r="I1328" s="25" t="str">
        <f ca="1">INDIRECT(_xlfn.TEXTJOIN("",TRUE,A1322,"!",ADDRESS(15+(A1323-1)*J1322,13)))</f>
        <v>D</v>
      </c>
      <c r="J1328" s="25">
        <f ca="1">INDIRECT(_xlfn.TEXTJOIN("",TRUE,A1322,"!",ADDRESS(15+(A1323-1)*J1322,14)))</f>
        <v>6</v>
      </c>
    </row>
    <row r="1329" spans="1:10" ht="10.5" customHeight="1" x14ac:dyDescent="0.2">
      <c r="A1329" s="65" t="str">
        <f ca="1">INDIRECT(_xlfn.TEXTJOIN("",TRUE,A1322,"!",ADDRESS(16+(A1323-1)*J1322,1)))</f>
        <v>CAT 007</v>
      </c>
      <c r="B1329" s="65"/>
      <c r="C1329" s="66" t="str">
        <f ca="1">INDIRECT(_xlfn.TEXTJOIN("",TRUE,A1322,"!",ADDRESS(16+(A1323-1)*J1322,2)))</f>
        <v>Computer Organization</v>
      </c>
      <c r="D1329" s="66"/>
      <c r="E1329" s="66"/>
      <c r="F1329" s="66"/>
      <c r="G1329" s="66"/>
      <c r="H1329" s="25">
        <f ca="1">INDIRECT(_xlfn.TEXTJOIN("",TRUE,A1322,"!",ADDRESS(16+(A1323-1)*J1322,6)))</f>
        <v>4</v>
      </c>
      <c r="I1329" s="25" t="str">
        <f ca="1">INDIRECT(_xlfn.TEXTJOIN("",TRUE,A1322,"!",ADDRESS(16+(A1323-1)*J1322,13)))</f>
        <v>P</v>
      </c>
      <c r="J1329" s="25">
        <f ca="1">INDIRECT(_xlfn.TEXTJOIN("",TRUE,A1322,"!",ADDRESS(16+(A1323-1)*J1322,14)))</f>
        <v>4.5</v>
      </c>
    </row>
    <row r="1330" spans="1:10" ht="10.5" customHeight="1" x14ac:dyDescent="0.2">
      <c r="A1330" s="65" t="str">
        <f ca="1">INDIRECT(_xlfn.TEXTJOIN("",TRUE,A1322,"!",ADDRESS(17+(A1323-1)*J1322,1)))</f>
        <v>AHT 303</v>
      </c>
      <c r="B1330" s="65"/>
      <c r="C1330" s="66" t="str">
        <f ca="1">INDIRECT(_xlfn.TEXTJOIN("",TRUE,A1322,"!",ADDRESS(17+(A1323-1)*J1322,2)))</f>
        <v>Technical Communication Skills</v>
      </c>
      <c r="D1330" s="66"/>
      <c r="E1330" s="66"/>
      <c r="F1330" s="66"/>
      <c r="G1330" s="66"/>
      <c r="H1330" s="25">
        <f ca="1">INDIRECT(_xlfn.TEXTJOIN("",TRUE,A1322,"!",ADDRESS(17+(A1323-1)*J1322,6)))</f>
        <v>4</v>
      </c>
      <c r="I1330" s="25" t="str">
        <f ca="1">INDIRECT(_xlfn.TEXTJOIN("",TRUE,A1322,"!",ADDRESS(17+(A1323-1)*J1322,13)))</f>
        <v>C</v>
      </c>
      <c r="J1330" s="25">
        <f ca="1">INDIRECT(_xlfn.TEXTJOIN("",TRUE,A1322,"!",ADDRESS(17+(A1323-1)*J1322,14)))</f>
        <v>7</v>
      </c>
    </row>
    <row r="1331" spans="1:10" ht="10.5" customHeight="1" x14ac:dyDescent="0.2">
      <c r="A1331" s="65" t="str">
        <f ca="1">INDIRECT(_xlfn.TEXTJOIN("",TRUE,A1322,"!",ADDRESS(18+(A1323-1)*J1322,1)))</f>
        <v>CAT 008</v>
      </c>
      <c r="B1331" s="65"/>
      <c r="C1331" s="66" t="str">
        <f ca="1">INDIRECT(_xlfn.TEXTJOIN("",TRUE,A1322,"!",ADDRESS(18+(A1323-1)*J1322,2)))</f>
        <v>Python Programming ($)</v>
      </c>
      <c r="D1331" s="66"/>
      <c r="E1331" s="66"/>
      <c r="F1331" s="66"/>
      <c r="G1331" s="66"/>
      <c r="H1331" s="25">
        <f ca="1">INDIRECT(_xlfn.TEXTJOIN("",TRUE,A1322,"!",ADDRESS(18+(A1323-1)*J1322,6)))</f>
        <v>0</v>
      </c>
      <c r="I1331" s="25" t="str">
        <f ca="1">INDIRECT(_xlfn.TEXTJOIN("",TRUE,A1322,"!",ADDRESS(18+(A1323-1)*J1322,13)))</f>
        <v>C</v>
      </c>
      <c r="J1331" s="25">
        <f ca="1">INDIRECT(_xlfn.TEXTJOIN("",TRUE,A1322,"!",ADDRESS(18+(A1323-1)*J1322,14)))</f>
        <v>7</v>
      </c>
    </row>
    <row r="1332" spans="1:10" ht="10.5" customHeight="1" x14ac:dyDescent="0.2">
      <c r="A1332" s="60" t="str">
        <f ca="1">INDIRECT(_xlfn.TEXTJOIN("",TRUE,A1322,"!",ADDRESS(19+(A1323-1)*J1322,1)))</f>
        <v>CAT 001</v>
      </c>
      <c r="B1332" s="61"/>
      <c r="C1332" s="57" t="str">
        <f ca="1">INDIRECT(_xlfn.TEXTJOIN("",TRUE,A1322,"!",ADDRESS(19+(A1323-1)*J1322,2)))</f>
        <v>Introduction of Information Technology ($)</v>
      </c>
      <c r="D1332" s="58"/>
      <c r="E1332" s="58"/>
      <c r="F1332" s="58"/>
      <c r="G1332" s="59"/>
      <c r="H1332" s="25">
        <f ca="1">INDIRECT(_xlfn.TEXTJOIN("",TRUE,A1322,"!",ADDRESS(19+(A1323-1)*J1322,6)))</f>
        <v>0</v>
      </c>
      <c r="I1332" s="25" t="str">
        <f ca="1">INDIRECT(_xlfn.TEXTJOIN("",TRUE,A1322,"!",ADDRESS(19+(A1323-1)*J1322,13)))</f>
        <v>-</v>
      </c>
      <c r="J1332" s="25" t="str">
        <f ca="1">INDIRECT(_xlfn.TEXTJOIN("",TRUE,A1322,"!",ADDRESS(19+(A1323-1)*J1322,14)))</f>
        <v>-</v>
      </c>
    </row>
    <row r="1333" spans="1:10" ht="10.5" customHeight="1" x14ac:dyDescent="0.2">
      <c r="A1333" s="65" t="str">
        <f ca="1">INDIRECT(_xlfn.TEXTJOIN("",TRUE,A1322,"!",ADDRESS(20+(A1323-1)*J1322,1)))</f>
        <v>CAT 002</v>
      </c>
      <c r="B1333" s="65"/>
      <c r="C1333" s="66" t="str">
        <f ca="1">INDIRECT(_xlfn.TEXTJOIN("",TRUE,A1322,"!",ADDRESS(20+(A1323-1)*J1322,2)))</f>
        <v>Programming Fundamentals with "C" ($)</v>
      </c>
      <c r="D1333" s="66"/>
      <c r="E1333" s="66"/>
      <c r="F1333" s="66"/>
      <c r="G1333" s="66"/>
      <c r="H1333" s="25">
        <f ca="1">INDIRECT(_xlfn.TEXTJOIN("",TRUE,A1322,"!",ADDRESS(20+(A1323-1)*J1322,6)))</f>
        <v>0</v>
      </c>
      <c r="I1333" s="25" t="str">
        <f ca="1">INDIRECT(_xlfn.TEXTJOIN("",TRUE,A1322,"!",ADDRESS(20+(A1323-1)*J1322,13)))</f>
        <v>-</v>
      </c>
      <c r="J1333" s="25" t="str">
        <f ca="1">INDIRECT(_xlfn.TEXTJOIN("",TRUE,A1322,"!",ADDRESS(20+(A1323-1)*J1322,14)))</f>
        <v>-</v>
      </c>
    </row>
    <row r="1334" spans="1:10" ht="10.5" customHeight="1" x14ac:dyDescent="0.2">
      <c r="A1334" s="65" t="str">
        <f ca="1">INDIRECT(_xlfn.TEXTJOIN("",TRUE,A1322,"!",ADDRESS(21+(A1323-1)*J1322,1)))</f>
        <v>CAT 003</v>
      </c>
      <c r="B1334" s="65"/>
      <c r="C1334" s="66" t="str">
        <f ca="1">INDIRECT(_xlfn.TEXTJOIN("",TRUE,A1322,"!",ADDRESS(21+(A1323-1)*J1322,2)))</f>
        <v>Fundamental of Web Technology ($)</v>
      </c>
      <c r="D1334" s="66"/>
      <c r="E1334" s="66"/>
      <c r="F1334" s="66"/>
      <c r="G1334" s="66"/>
      <c r="H1334" s="25">
        <f ca="1">INDIRECT(_xlfn.TEXTJOIN("",TRUE,A1322,"!",ADDRESS(21+(A1323-1)*J1322,6)))</f>
        <v>0</v>
      </c>
      <c r="I1334" s="25" t="str">
        <f ca="1">INDIRECT(_xlfn.TEXTJOIN("",TRUE,A1322,"!",ADDRESS(21+(A1323-1)*J1322,13)))</f>
        <v>-</v>
      </c>
      <c r="J1334" s="25" t="str">
        <f ca="1">INDIRECT(_xlfn.TEXTJOIN("",TRUE,A1322,"!",ADDRESS(21+(A1323-1)*J1322,14)))</f>
        <v>-</v>
      </c>
    </row>
    <row r="1335" spans="1:10" ht="10.5" customHeight="1" x14ac:dyDescent="0.2">
      <c r="A1335" s="65" t="str">
        <f ca="1">INDIRECT(_xlfn.TEXTJOIN("",TRUE,A1322,"!",ADDRESS(22+(A1323-1)*J1322,1)))</f>
        <v>CAP 001</v>
      </c>
      <c r="B1335" s="65"/>
      <c r="C1335" s="66" t="str">
        <f ca="1">INDIRECT(_xlfn.TEXTJOIN("",TRUE,A1322,"!",ADDRESS(22+(A1323-1)*J1322,2)))</f>
        <v>Database Management System Lab</v>
      </c>
      <c r="D1335" s="66"/>
      <c r="E1335" s="66"/>
      <c r="F1335" s="66"/>
      <c r="G1335" s="66"/>
      <c r="H1335" s="25">
        <f ca="1">INDIRECT(_xlfn.TEXTJOIN("",TRUE,A1322,"!",ADDRESS(22+(A1323-1)*J1322,6)))</f>
        <v>1</v>
      </c>
      <c r="I1335" s="25" t="str">
        <f ca="1">INDIRECT(_xlfn.TEXTJOIN("",TRUE,A1322,"!",ADDRESS(22+(A1323-1)*J1322,13)))</f>
        <v>C+</v>
      </c>
      <c r="J1335" s="25">
        <f ca="1">INDIRECT(_xlfn.TEXTJOIN("",TRUE,A1322,"!",ADDRESS(22+(A1323-1)*J1322,14)))</f>
        <v>7.5</v>
      </c>
    </row>
    <row r="1336" spans="1:10" ht="10.5" customHeight="1" x14ac:dyDescent="0.2">
      <c r="A1336" s="65" t="str">
        <f ca="1">INDIRECT(_xlfn.TEXTJOIN("",TRUE,A1322,"!",ADDRESS(23+(A1323-1)*J1322,1)))</f>
        <v>CAP 002</v>
      </c>
      <c r="B1336" s="65"/>
      <c r="C1336" s="66" t="str">
        <f ca="1">INDIRECT(_xlfn.TEXTJOIN("",TRUE,A1322,"!",ADDRESS(23+(A1323-1)*J1322,2)))</f>
        <v>Operating System Lab</v>
      </c>
      <c r="D1336" s="66"/>
      <c r="E1336" s="66"/>
      <c r="F1336" s="66"/>
      <c r="G1336" s="66"/>
      <c r="H1336" s="25">
        <f ca="1">INDIRECT(_xlfn.TEXTJOIN("",TRUE,A1322,"!",ADDRESS(23+(A1323-1)*J1322,6)))</f>
        <v>1</v>
      </c>
      <c r="I1336" s="25" t="str">
        <f ca="1">INDIRECT(_xlfn.TEXTJOIN("",TRUE,A1322,"!",ADDRESS(23+(A1323-1)*J1322,13)))</f>
        <v>B+</v>
      </c>
      <c r="J1336" s="25">
        <f ca="1">INDIRECT(_xlfn.TEXTJOIN("",TRUE,A1322,"!",ADDRESS(23+(A1323-1)*J1322,14)))</f>
        <v>8.5</v>
      </c>
    </row>
    <row r="1337" spans="1:10" ht="10.5" customHeight="1" x14ac:dyDescent="0.2">
      <c r="A1337" s="65" t="str">
        <f ca="1">INDIRECT(_xlfn.TEXTJOIN("",TRUE,A1322,"!",ADDRESS(24+(A1323-1)*J1322,1)))</f>
        <v>CAP 003</v>
      </c>
      <c r="B1337" s="65"/>
      <c r="C1337" s="66" t="str">
        <f ca="1">INDIRECT(_xlfn.TEXTJOIN("",TRUE,A1322,"!",ADDRESS(24+(A1323-1)*J1322,2)))</f>
        <v>Computer Organization Lab</v>
      </c>
      <c r="D1337" s="66"/>
      <c r="E1337" s="66"/>
      <c r="F1337" s="66"/>
      <c r="G1337" s="66"/>
      <c r="H1337" s="25">
        <f ca="1">INDIRECT(_xlfn.TEXTJOIN("",TRUE,A1322,"!",ADDRESS(24+(A1323-1)*J1322,6)))</f>
        <v>1</v>
      </c>
      <c r="I1337" s="25" t="str">
        <f ca="1">INDIRECT(_xlfn.TEXTJOIN("",TRUE,A1322,"!",ADDRESS(24+(A1323-1)*J1322,13)))</f>
        <v>A+</v>
      </c>
      <c r="J1337" s="25">
        <f ca="1">INDIRECT(_xlfn.TEXTJOIN("",TRUE,A1322,"!",ADDRESS(24+(A1323-1)*J1322,14)))</f>
        <v>9.5</v>
      </c>
    </row>
    <row r="1338" spans="1:10" ht="10.5" customHeight="1" x14ac:dyDescent="0.2">
      <c r="A1338" s="65" t="str">
        <f ca="1">INDIRECT(_xlfn.TEXTJOIN("",TRUE,A1322,"!",ADDRESS(25+(A1323-1)*J1322,1)))</f>
        <v>AHP 303</v>
      </c>
      <c r="B1338" s="65"/>
      <c r="C1338" s="66" t="str">
        <f ca="1">INDIRECT(_xlfn.TEXTJOIN("",TRUE,A1322,"!",ADDRESS(25+(A1323-1)*J1322,2)))</f>
        <v>Technical Communication Skills</v>
      </c>
      <c r="D1338" s="66"/>
      <c r="E1338" s="66"/>
      <c r="F1338" s="66"/>
      <c r="G1338" s="66"/>
      <c r="H1338" s="25">
        <f ca="1">INDIRECT(_xlfn.TEXTJOIN("",TRUE,A1322,"!",ADDRESS(25+(A1323-1)*J1322,6)))</f>
        <v>1</v>
      </c>
      <c r="I1338" s="25" t="str">
        <f ca="1">INDIRECT(_xlfn.TEXTJOIN("",TRUE,A1322,"!",ADDRESS(25+(A1323-1)*J1322,13)))</f>
        <v>B+</v>
      </c>
      <c r="J1338" s="25">
        <f ca="1">INDIRECT(_xlfn.TEXTJOIN("",TRUE,A1322,"!",ADDRESS(25+(A1323-1)*J1322,14)))</f>
        <v>8.5</v>
      </c>
    </row>
    <row r="1339" spans="1:10" s="35" customFormat="1" ht="10.5" customHeight="1" x14ac:dyDescent="0.2">
      <c r="A1339" s="77">
        <f ca="1">INDIRECT(_xlfn.TEXTJOIN("",TRUE,A1322,"!",ADDRESS(26+(A1323-1)*J1322,1)))</f>
        <v>0</v>
      </c>
      <c r="B1339" s="77"/>
      <c r="C1339" s="78">
        <f ca="1">INDIRECT(_xlfn.TEXTJOIN("",TRUE,A1322,"!",ADDRESS(26+(A1323-1)*J1322,2)))</f>
        <v>0</v>
      </c>
      <c r="D1339" s="78"/>
      <c r="E1339" s="78"/>
      <c r="F1339" s="78"/>
      <c r="G1339" s="78"/>
      <c r="H1339" s="34">
        <f ca="1">INDIRECT(_xlfn.TEXTJOIN("",TRUE,A1322,"!",ADDRESS(26+(A1323-1)*J1322,6)))</f>
        <v>0</v>
      </c>
      <c r="I1339" s="34" t="str">
        <f ca="1">INDIRECT(_xlfn.TEXTJOIN("",TRUE,A1322,"!",ADDRESS(26+(A1323-1)*J1322,13)))</f>
        <v>Excellent</v>
      </c>
      <c r="J1339" s="34">
        <f ca="1">INDIRECT(_xlfn.TEXTJOIN("",TRUE,A1322,"!",ADDRESS(26+(A1323-1)*J1322,14)))</f>
        <v>0</v>
      </c>
    </row>
    <row r="1340" spans="1:10" ht="10.5" customHeight="1" x14ac:dyDescent="0.2">
      <c r="A1340" s="71" t="s">
        <v>52</v>
      </c>
      <c r="B1340" s="71"/>
      <c r="C1340" s="71"/>
      <c r="D1340" s="71"/>
      <c r="E1340" s="71"/>
      <c r="F1340" s="71"/>
      <c r="G1340" s="71"/>
      <c r="H1340" s="27">
        <f ca="1">SUM(H1326:H1339)</f>
        <v>24</v>
      </c>
      <c r="I1340" s="26" t="s">
        <v>44</v>
      </c>
      <c r="J1340" s="27">
        <f ca="1">SUMPRODUCT(J1326:J1338,H1326:H1338)</f>
        <v>142</v>
      </c>
    </row>
    <row r="1341" spans="1:10" ht="10.5" customHeight="1" x14ac:dyDescent="0.2">
      <c r="A1341" s="24" t="s">
        <v>57</v>
      </c>
      <c r="B1341" s="72" t="str">
        <f ca="1">IF(ISNA(A1342),"","Semester II (Spring Semester 2022-23)")</f>
        <v/>
      </c>
      <c r="C1341" s="72"/>
      <c r="D1341" s="72"/>
      <c r="E1341" s="72"/>
      <c r="F1341" s="72"/>
      <c r="G1341" s="72"/>
      <c r="H1341" s="72"/>
      <c r="I1341" s="72"/>
      <c r="J1341" s="24">
        <f>ROWS(A1345:B1354)+9</f>
        <v>19</v>
      </c>
    </row>
    <row r="1342" spans="1:10" ht="10.5" customHeight="1" x14ac:dyDescent="0.2">
      <c r="A1342" s="24" t="e">
        <f ca="1">INDEX(SEM_II!$A$6:$A$45,Marksheets!J1342)</f>
        <v>#N/A</v>
      </c>
      <c r="B1342" s="63"/>
      <c r="C1342" s="63"/>
      <c r="D1342" s="63"/>
      <c r="E1342" s="63"/>
      <c r="F1342" s="63"/>
      <c r="G1342" s="63"/>
      <c r="H1342" s="63"/>
      <c r="I1342" s="63"/>
      <c r="J1342" s="24" t="e">
        <f ca="1">MATCH(H1320,SEM_II!$B$6:$B$45,0)</f>
        <v>#N/A</v>
      </c>
    </row>
    <row r="1343" spans="1:10" ht="10.5" customHeight="1" x14ac:dyDescent="0.2">
      <c r="A1343" s="64" t="str">
        <f ca="1">IF(ISNA(A1342),"","Subject Code")</f>
        <v/>
      </c>
      <c r="B1343" s="64"/>
      <c r="C1343" s="64" t="str">
        <f ca="1">IF(ISNA(A1342),"","Subject Name")</f>
        <v/>
      </c>
      <c r="D1343" s="64"/>
      <c r="E1343" s="64"/>
      <c r="F1343" s="64"/>
      <c r="G1343" s="64"/>
      <c r="H1343" s="64" t="str">
        <f ca="1">IF(ISNA(A1342),"","Credits")</f>
        <v/>
      </c>
      <c r="I1343" s="64" t="str">
        <f ca="1">IF(ISNA(A1342),"","Grade")</f>
        <v/>
      </c>
      <c r="J1343" s="64" t="str">
        <f ca="1">IF(ISNA(A1342),"","Grade Points")</f>
        <v/>
      </c>
    </row>
    <row r="1344" spans="1:10" ht="13" customHeight="1" x14ac:dyDescent="0.2">
      <c r="A1344" s="64"/>
      <c r="B1344" s="64"/>
      <c r="C1344" s="64"/>
      <c r="D1344" s="64"/>
      <c r="E1344" s="64"/>
      <c r="F1344" s="64"/>
      <c r="G1344" s="64"/>
      <c r="H1344" s="64"/>
      <c r="I1344" s="64"/>
      <c r="J1344" s="64"/>
    </row>
    <row r="1345" spans="1:10" ht="10.5" customHeight="1" x14ac:dyDescent="0.2">
      <c r="A1345" s="65" t="str">
        <f ca="1">_xlfn.IFNA(INDIRECT(_xlfn.TEXTJOIN("",TRUE,A1341,"!",ADDRESS(13+(A1342-1)*J1341,1))),"")</f>
        <v/>
      </c>
      <c r="B1345" s="65"/>
      <c r="C1345" s="66" t="str">
        <f ca="1">_xlfn.IFNA(INDIRECT(_xlfn.TEXTJOIN("",TRUE,A1341,"!",ADDRESS(13+(A1342-1)*J1341,2))),"")</f>
        <v/>
      </c>
      <c r="D1345" s="66"/>
      <c r="E1345" s="66"/>
      <c r="F1345" s="66"/>
      <c r="G1345" s="66"/>
      <c r="H1345" s="25" t="str">
        <f ca="1">_xlfn.IFNA(INDIRECT(_xlfn.TEXTJOIN("",TRUE,A1341,"!",ADDRESS(13+(A1342-1)*J1341,6))),"")</f>
        <v/>
      </c>
      <c r="I1345" s="25" t="str">
        <f ca="1">_xlfn.IFNA(INDIRECT(_xlfn.TEXTJOIN("",TRUE,A1341,"!",ADDRESS(13+(A1342-1)*J1341,13))),"")</f>
        <v/>
      </c>
      <c r="J1345" s="25" t="str">
        <f ca="1">_xlfn.IFNA(INDIRECT(_xlfn.TEXTJOIN("",TRUE,A1341,"!",ADDRESS(13+(A1342-1)*J1341,14))),"")</f>
        <v/>
      </c>
    </row>
    <row r="1346" spans="1:10" ht="10.5" customHeight="1" x14ac:dyDescent="0.2">
      <c r="A1346" s="65" t="str">
        <f ca="1">_xlfn.IFNA(INDIRECT(_xlfn.TEXTJOIN("",TRUE,A1341,"!",ADDRESS(14+(A1342-1)*J1341,1))),"")</f>
        <v/>
      </c>
      <c r="B1346" s="65"/>
      <c r="C1346" s="66" t="str">
        <f ca="1">_xlfn.IFNA(INDIRECT(_xlfn.TEXTJOIN("",TRUE,A1341,"!",ADDRESS(14+(A1342-1)*J1341,2))),"")</f>
        <v/>
      </c>
      <c r="D1346" s="66"/>
      <c r="E1346" s="66"/>
      <c r="F1346" s="66"/>
      <c r="G1346" s="66"/>
      <c r="H1346" s="25" t="str">
        <f ca="1">_xlfn.IFNA(INDIRECT(_xlfn.TEXTJOIN("",TRUE,A1341,"!",ADDRESS(14+(A1342-1)*J1341,6))),"")</f>
        <v/>
      </c>
      <c r="I1346" s="25" t="str">
        <f ca="1">_xlfn.IFNA(INDIRECT(_xlfn.TEXTJOIN("",TRUE,A1341,"!",ADDRESS(14+(A1342-1)*J1341,13))),"")</f>
        <v/>
      </c>
      <c r="J1346" s="25" t="str">
        <f ca="1">_xlfn.IFNA(INDIRECT(_xlfn.TEXTJOIN("",TRUE,A1341,"!",ADDRESS(14+(A1342-1)*J1341,14))),"")</f>
        <v/>
      </c>
    </row>
    <row r="1347" spans="1:10" ht="10.5" customHeight="1" x14ac:dyDescent="0.2">
      <c r="A1347" s="65" t="str">
        <f ca="1">_xlfn.IFNA(INDIRECT(_xlfn.TEXTJOIN("",TRUE,A1341,"!",ADDRESS(15+(A1342-1)*J1341,1))),"")</f>
        <v/>
      </c>
      <c r="B1347" s="65"/>
      <c r="C1347" s="66" t="str">
        <f ca="1">_xlfn.IFNA(INDIRECT(_xlfn.TEXTJOIN("",TRUE,A1341,"!",ADDRESS(15+(A1342-1)*J1341,2))),"")</f>
        <v/>
      </c>
      <c r="D1347" s="66"/>
      <c r="E1347" s="66"/>
      <c r="F1347" s="66"/>
      <c r="G1347" s="66"/>
      <c r="H1347" s="25" t="str">
        <f ca="1">_xlfn.IFNA(INDIRECT(_xlfn.TEXTJOIN("",TRUE,A1341,"!",ADDRESS(15+(A1342-1)*J1341,6))),"")</f>
        <v/>
      </c>
      <c r="I1347" s="25" t="str">
        <f ca="1">_xlfn.IFNA(INDIRECT(_xlfn.TEXTJOIN("",TRUE,A1341,"!",ADDRESS(15+(A1342-1)*J1341,13))),"")</f>
        <v/>
      </c>
      <c r="J1347" s="25" t="str">
        <f ca="1">_xlfn.IFNA(INDIRECT(_xlfn.TEXTJOIN("",TRUE,A1341,"!",ADDRESS(15+(A1342-1)*J1341,14))),"")</f>
        <v/>
      </c>
    </row>
    <row r="1348" spans="1:10" ht="10.5" customHeight="1" x14ac:dyDescent="0.2">
      <c r="A1348" s="65" t="str">
        <f ca="1">_xlfn.IFNA(INDIRECT(_xlfn.TEXTJOIN("",TRUE,A1341,"!",ADDRESS(16+(A1342-1)*J1341,1))),"")</f>
        <v/>
      </c>
      <c r="B1348" s="65"/>
      <c r="C1348" s="66" t="str">
        <f ca="1">_xlfn.IFNA(INDIRECT(_xlfn.TEXTJOIN("",TRUE,A1341,"!",ADDRESS(16+(A1342-1)*J1341,2))),"")</f>
        <v/>
      </c>
      <c r="D1348" s="66"/>
      <c r="E1348" s="66"/>
      <c r="F1348" s="66"/>
      <c r="G1348" s="66"/>
      <c r="H1348" s="25" t="str">
        <f ca="1">_xlfn.IFNA(INDIRECT(_xlfn.TEXTJOIN("",TRUE,A1341,"!",ADDRESS(16+(A1342-1)*J1341,6))),"")</f>
        <v/>
      </c>
      <c r="I1348" s="25" t="str">
        <f ca="1">_xlfn.IFNA(INDIRECT(_xlfn.TEXTJOIN("",TRUE,A1341,"!",ADDRESS(16+(A1342-1)*J1341,13))),"")</f>
        <v/>
      </c>
      <c r="J1348" s="25" t="str">
        <f ca="1">_xlfn.IFNA(INDIRECT(_xlfn.TEXTJOIN("",TRUE,A1341,"!",ADDRESS(16+(A1342-1)*J1341,14))),"")</f>
        <v/>
      </c>
    </row>
    <row r="1349" spans="1:10" ht="10.5" customHeight="1" x14ac:dyDescent="0.2">
      <c r="A1349" s="65" t="str">
        <f ca="1">_xlfn.IFNA(INDIRECT(_xlfn.TEXTJOIN("",TRUE,A1341,"!",ADDRESS(17+(A1342-1)*J1341,1))),"")</f>
        <v/>
      </c>
      <c r="B1349" s="65"/>
      <c r="C1349" s="66" t="str">
        <f ca="1">_xlfn.IFNA(INDIRECT(_xlfn.TEXTJOIN("",TRUE,A1341,"!",ADDRESS(17+(A1342-1)*J1341,2))),"")</f>
        <v/>
      </c>
      <c r="D1349" s="66"/>
      <c r="E1349" s="66"/>
      <c r="F1349" s="66"/>
      <c r="G1349" s="66"/>
      <c r="H1349" s="25" t="str">
        <f ca="1">_xlfn.IFNA(INDIRECT(_xlfn.TEXTJOIN("",TRUE,A1341,"!",ADDRESS(17+(A1342-1)*J1341,6))),"")</f>
        <v/>
      </c>
      <c r="I1349" s="25" t="str">
        <f ca="1">_xlfn.IFNA(INDIRECT(_xlfn.TEXTJOIN("",TRUE,A1341,"!",ADDRESS(17+(A1342-1)*J1341,13))),"")</f>
        <v/>
      </c>
      <c r="J1349" s="25" t="str">
        <f ca="1">_xlfn.IFNA(INDIRECT(_xlfn.TEXTJOIN("",TRUE,A1341,"!",ADDRESS(17+(A1342-1)*J1341,14))),"")</f>
        <v/>
      </c>
    </row>
    <row r="1350" spans="1:10" ht="10.5" customHeight="1" x14ac:dyDescent="0.2">
      <c r="A1350" s="65" t="str">
        <f ca="1">_xlfn.IFNA(INDIRECT(_xlfn.TEXTJOIN("",TRUE,A1341,"!",ADDRESS(18+(A1342-1)*J1341,1))),"")</f>
        <v/>
      </c>
      <c r="B1350" s="65"/>
      <c r="C1350" s="66" t="str">
        <f ca="1">_xlfn.IFNA(INDIRECT(_xlfn.TEXTJOIN("",TRUE,A1341,"!",ADDRESS(18+(A1342-1)*J1341,2))),"")</f>
        <v/>
      </c>
      <c r="D1350" s="66"/>
      <c r="E1350" s="66"/>
      <c r="F1350" s="66"/>
      <c r="G1350" s="66"/>
      <c r="H1350" s="25" t="str">
        <f ca="1">_xlfn.IFNA(INDIRECT(_xlfn.TEXTJOIN("",TRUE,A1341,"!",ADDRESS(18+(A1342-1)*J1341,6))),"")</f>
        <v/>
      </c>
      <c r="I1350" s="25" t="str">
        <f ca="1">_xlfn.IFNA(INDIRECT(_xlfn.TEXTJOIN("",TRUE,A1341,"!",ADDRESS(18+(A1342-1)*J1341,13))),"")</f>
        <v/>
      </c>
      <c r="J1350" s="25" t="str">
        <f ca="1">_xlfn.IFNA(INDIRECT(_xlfn.TEXTJOIN("",TRUE,A1341,"!",ADDRESS(18+(A1342-1)*J1341,14))),"")</f>
        <v/>
      </c>
    </row>
    <row r="1351" spans="1:10" ht="10.5" customHeight="1" x14ac:dyDescent="0.2">
      <c r="A1351" s="60" t="str">
        <f ca="1">_xlfn.IFNA(INDIRECT(_xlfn.TEXTJOIN("",TRUE,A1341,"!",ADDRESS(19+(A1342-1)*J1341,1))),"")</f>
        <v/>
      </c>
      <c r="B1351" s="61"/>
      <c r="C1351" s="57" t="str">
        <f ca="1">_xlfn.IFNA(INDIRECT(_xlfn.TEXTJOIN("",TRUE,A1341,"!",ADDRESS(19+(A1342-1)*J1341,2))),"")</f>
        <v/>
      </c>
      <c r="D1351" s="58"/>
      <c r="E1351" s="58"/>
      <c r="F1351" s="58"/>
      <c r="G1351" s="59"/>
      <c r="H1351" s="25" t="str">
        <f ca="1">_xlfn.IFNA(INDIRECT(_xlfn.TEXTJOIN("",TRUE,A1341,"!",ADDRESS(19+(A1342-1)*J1341,6))),"")</f>
        <v/>
      </c>
      <c r="I1351" s="25" t="str">
        <f ca="1">_xlfn.IFNA(INDIRECT(_xlfn.TEXTJOIN("",TRUE,A1341,"!",ADDRESS(19+(A1342-1)*J1341,13))),"")</f>
        <v/>
      </c>
      <c r="J1351" s="25" t="str">
        <f ca="1">_xlfn.IFNA(INDIRECT(_xlfn.TEXTJOIN("",TRUE,A1341,"!",ADDRESS(19+(A1342-1)*J1341,14))),"")</f>
        <v/>
      </c>
    </row>
    <row r="1352" spans="1:10" ht="10.5" customHeight="1" x14ac:dyDescent="0.2">
      <c r="A1352" s="65" t="str">
        <f ca="1">_xlfn.IFNA(INDIRECT(_xlfn.TEXTJOIN("",TRUE,A1341,"!",ADDRESS(20+(A1342-1)*J1341,1))),"")</f>
        <v/>
      </c>
      <c r="B1352" s="65"/>
      <c r="C1352" s="66" t="str">
        <f ca="1">_xlfn.IFNA(INDIRECT(_xlfn.TEXTJOIN("",TRUE,A1341,"!",ADDRESS(20+(A1342-1)*J1341,2))),"")</f>
        <v/>
      </c>
      <c r="D1352" s="66"/>
      <c r="E1352" s="66"/>
      <c r="F1352" s="66"/>
      <c r="G1352" s="66"/>
      <c r="H1352" s="25" t="str">
        <f ca="1">_xlfn.IFNA(INDIRECT(_xlfn.TEXTJOIN("",TRUE,A1341,"!",ADDRESS(20+(A1342-1)*J1341,6))),"")</f>
        <v/>
      </c>
      <c r="I1352" s="25" t="str">
        <f ca="1">_xlfn.IFNA(INDIRECT(_xlfn.TEXTJOIN("",TRUE,A1341,"!",ADDRESS(20+(A1342-1)*J1341,13))),"")</f>
        <v/>
      </c>
      <c r="J1352" s="25" t="str">
        <f ca="1">_xlfn.IFNA(INDIRECT(_xlfn.TEXTJOIN("",TRUE,A1341,"!",ADDRESS(20+(A1342-1)*J1341,14))),"")</f>
        <v/>
      </c>
    </row>
    <row r="1353" spans="1:10" ht="10.5" customHeight="1" x14ac:dyDescent="0.2">
      <c r="A1353" s="65" t="str">
        <f ca="1">_xlfn.IFNA(INDIRECT(_xlfn.TEXTJOIN("",TRUE,A1341,"!",ADDRESS(21+(A1342-1)*J1341,1))),"")</f>
        <v/>
      </c>
      <c r="B1353" s="65"/>
      <c r="C1353" s="66" t="str">
        <f ca="1">_xlfn.IFNA(INDIRECT(_xlfn.TEXTJOIN("",TRUE,A1341,"!",ADDRESS(21+(A1342-1)*J1341,2))),"")</f>
        <v/>
      </c>
      <c r="D1353" s="66"/>
      <c r="E1353" s="66"/>
      <c r="F1353" s="66"/>
      <c r="G1353" s="66"/>
      <c r="H1353" s="25" t="str">
        <f ca="1">_xlfn.IFNA(INDIRECT(_xlfn.TEXTJOIN("",TRUE,A1341,"!",ADDRESS(21+(A1342-1)*J1341,6))),"")</f>
        <v/>
      </c>
      <c r="I1353" s="25" t="str">
        <f ca="1">_xlfn.IFNA(INDIRECT(_xlfn.TEXTJOIN("",TRUE,A1341,"!",ADDRESS(21+(A1342-1)*J1341,13))),"")</f>
        <v/>
      </c>
      <c r="J1353" s="25" t="str">
        <f ca="1">_xlfn.IFNA(INDIRECT(_xlfn.TEXTJOIN("",TRUE,A1341,"!",ADDRESS(21+(A1342-1)*J1341,14))),"")</f>
        <v/>
      </c>
    </row>
    <row r="1354" spans="1:10" ht="10.5" customHeight="1" x14ac:dyDescent="0.2">
      <c r="A1354" s="65" t="str">
        <f ca="1">_xlfn.IFNA(INDIRECT(_xlfn.TEXTJOIN("",TRUE,A1341,"!",ADDRESS(22+(A1342-1)*J1341,1))),"")</f>
        <v/>
      </c>
      <c r="B1354" s="65"/>
      <c r="C1354" s="66" t="str">
        <f ca="1">_xlfn.IFNA(INDIRECT(_xlfn.TEXTJOIN("",TRUE,A1341,"!",ADDRESS(22+(A1342-1)*J1341,2))),"")</f>
        <v/>
      </c>
      <c r="D1354" s="66"/>
      <c r="E1354" s="66"/>
      <c r="F1354" s="66"/>
      <c r="G1354" s="66"/>
      <c r="H1354" s="25" t="str">
        <f ca="1">_xlfn.IFNA(INDIRECT(_xlfn.TEXTJOIN("",TRUE,A1341,"!",ADDRESS(22+(A1342-1)*J1341,6))),"")</f>
        <v/>
      </c>
      <c r="I1354" s="25" t="str">
        <f ca="1">_xlfn.IFNA(INDIRECT(_xlfn.TEXTJOIN("",TRUE,A1341,"!",ADDRESS(22+(A1342-1)*J1341,13))),"")</f>
        <v/>
      </c>
      <c r="J1354" s="25" t="str">
        <f ca="1">_xlfn.IFNA(INDIRECT(_xlfn.TEXTJOIN("",TRUE,A1341,"!",ADDRESS(22+(A1342-1)*J1341,14))),"")</f>
        <v/>
      </c>
    </row>
    <row r="1355" spans="1:10" ht="10.5" customHeight="1" x14ac:dyDescent="0.2">
      <c r="A1355" s="71" t="str">
        <f ca="1">IF(ISNA(A1342),"","Total Credits/ Total Grade Points")</f>
        <v/>
      </c>
      <c r="B1355" s="71"/>
      <c r="C1355" s="71"/>
      <c r="D1355" s="71"/>
      <c r="E1355" s="71"/>
      <c r="F1355" s="71"/>
      <c r="G1355" s="71"/>
      <c r="H1355" s="27" t="str">
        <f ca="1">IF(ISNA(A1342),"",SUM(H1345:H1354))</f>
        <v/>
      </c>
      <c r="I1355" s="26" t="str">
        <f ca="1">IF(ISNA(A1342),"","-")</f>
        <v/>
      </c>
      <c r="J1355" s="27" t="str">
        <f ca="1">IF(ISNA(A1342),"",SUMPRODUCT(J1345:J1354,H1345:H1354))</f>
        <v/>
      </c>
    </row>
    <row r="1356" spans="1:10" ht="10.5" customHeight="1" x14ac:dyDescent="0.2">
      <c r="A1356" s="24" t="s">
        <v>60</v>
      </c>
      <c r="B1356" s="72" t="str">
        <f ca="1">IF(ISNA(A1357),"","Semester III (Autumn Semester 2023-24)")</f>
        <v/>
      </c>
      <c r="C1356" s="72"/>
      <c r="D1356" s="72"/>
      <c r="E1356" s="72"/>
      <c r="F1356" s="72"/>
      <c r="G1356" s="72"/>
      <c r="H1356" s="72"/>
      <c r="I1356" s="72"/>
      <c r="J1356" s="24">
        <f>ROWS(A1360:B1367)+9</f>
        <v>17</v>
      </c>
    </row>
    <row r="1357" spans="1:10" ht="10.5" customHeight="1" x14ac:dyDescent="0.2">
      <c r="A1357" s="24" t="e">
        <f ca="1">INDEX(SEM_III!$A$6:$A$43,Marksheets!J1357)</f>
        <v>#N/A</v>
      </c>
      <c r="B1357" s="63"/>
      <c r="C1357" s="63"/>
      <c r="D1357" s="63"/>
      <c r="E1357" s="63"/>
      <c r="F1357" s="63"/>
      <c r="G1357" s="63"/>
      <c r="H1357" s="63"/>
      <c r="I1357" s="63"/>
      <c r="J1357" s="24" t="e">
        <f ca="1">MATCH(H1320,SEM_III!$B$6:$B$43,0)</f>
        <v>#N/A</v>
      </c>
    </row>
    <row r="1358" spans="1:10" ht="10.5" customHeight="1" x14ac:dyDescent="0.2">
      <c r="A1358" s="64" t="str">
        <f ca="1">IF(ISNA(A1357),"","Subject Code")</f>
        <v/>
      </c>
      <c r="B1358" s="64"/>
      <c r="C1358" s="64" t="str">
        <f ca="1">IF(ISNA(A1357),"","Subject Name")</f>
        <v/>
      </c>
      <c r="D1358" s="64"/>
      <c r="E1358" s="64"/>
      <c r="F1358" s="64"/>
      <c r="G1358" s="64"/>
      <c r="H1358" s="64" t="str">
        <f ca="1">IF(ISNA(A1357),"","Credits")</f>
        <v/>
      </c>
      <c r="I1358" s="64" t="str">
        <f ca="1">IF(ISNA(A1357),"","Grade")</f>
        <v/>
      </c>
      <c r="J1358" s="64" t="str">
        <f ca="1">IF(ISNA(A1357),"","Grade Points")</f>
        <v/>
      </c>
    </row>
    <row r="1359" spans="1:10" ht="11.5" customHeight="1" x14ac:dyDescent="0.2">
      <c r="A1359" s="64"/>
      <c r="B1359" s="64"/>
      <c r="C1359" s="64"/>
      <c r="D1359" s="64"/>
      <c r="E1359" s="64"/>
      <c r="F1359" s="64"/>
      <c r="G1359" s="64"/>
      <c r="H1359" s="64"/>
      <c r="I1359" s="64"/>
      <c r="J1359" s="64"/>
    </row>
    <row r="1360" spans="1:10" ht="10.5" customHeight="1" x14ac:dyDescent="0.2">
      <c r="A1360" s="65" t="str">
        <f ca="1">_xlfn.IFNA(INDIRECT(_xlfn.TEXTJOIN("",TRUE,A1356,"!",ADDRESS(13+(A1357-1)*J1356,1))),"")</f>
        <v/>
      </c>
      <c r="B1360" s="65"/>
      <c r="C1360" s="66" t="str">
        <f ca="1">_xlfn.IFNA(INDIRECT(_xlfn.TEXTJOIN("",TRUE,A1356,"!",ADDRESS(13+(A1357-1)*J1356,2))),"")</f>
        <v/>
      </c>
      <c r="D1360" s="66"/>
      <c r="E1360" s="66"/>
      <c r="F1360" s="66"/>
      <c r="G1360" s="66"/>
      <c r="H1360" s="25" t="str">
        <f ca="1">_xlfn.IFNA(INDIRECT(_xlfn.TEXTJOIN("",TRUE,A1356,"!",ADDRESS(13+(A1357-1)*J1356,6))),"")</f>
        <v/>
      </c>
      <c r="I1360" s="25" t="str">
        <f ca="1">_xlfn.IFNA(INDIRECT(_xlfn.TEXTJOIN("",TRUE,A1356,"!",ADDRESS(13+(A1357-1)*J1356,13))),"")</f>
        <v/>
      </c>
      <c r="J1360" s="25" t="str">
        <f ca="1">_xlfn.IFNA(INDIRECT(_xlfn.TEXTJOIN("",TRUE,A1356,"!",ADDRESS(13+(A1357-1)*J1356,14))),"")</f>
        <v/>
      </c>
    </row>
    <row r="1361" spans="1:10" ht="10.5" customHeight="1" x14ac:dyDescent="0.2">
      <c r="A1361" s="65" t="str">
        <f ca="1">_xlfn.IFNA(INDIRECT(_xlfn.TEXTJOIN("",TRUE,A1356,"!",ADDRESS(14+(A1357-1)*J1356,1))),"")</f>
        <v/>
      </c>
      <c r="B1361" s="65"/>
      <c r="C1361" s="66" t="str">
        <f ca="1">_xlfn.IFNA(INDIRECT(_xlfn.TEXTJOIN("",TRUE,A1356,"!",ADDRESS(14+(A1357-1)*J1356,2))),"")</f>
        <v/>
      </c>
      <c r="D1361" s="66"/>
      <c r="E1361" s="66"/>
      <c r="F1361" s="66"/>
      <c r="G1361" s="66"/>
      <c r="H1361" s="25" t="str">
        <f ca="1">_xlfn.IFNA(INDIRECT(_xlfn.TEXTJOIN("",TRUE,A1356,"!",ADDRESS(14+(A1357-1)*J1356,6))),"")</f>
        <v/>
      </c>
      <c r="I1361" s="25" t="str">
        <f ca="1">_xlfn.IFNA(INDIRECT(_xlfn.TEXTJOIN("",TRUE,A1356,"!",ADDRESS(14+(A1357-1)*J1356,13))),"")</f>
        <v/>
      </c>
      <c r="J1361" s="25" t="str">
        <f ca="1">_xlfn.IFNA(INDIRECT(_xlfn.TEXTJOIN("",TRUE,A1356,"!",ADDRESS(14+(A1357-1)*J1356,14))),"")</f>
        <v/>
      </c>
    </row>
    <row r="1362" spans="1:10" ht="10.5" customHeight="1" x14ac:dyDescent="0.2">
      <c r="A1362" s="65" t="str">
        <f ca="1">_xlfn.IFNA(INDIRECT(_xlfn.TEXTJOIN("",TRUE,A1356,"!",ADDRESS(15+(A1357-1)*J1356,1))),"")</f>
        <v/>
      </c>
      <c r="B1362" s="65"/>
      <c r="C1362" s="66" t="str">
        <f ca="1">_xlfn.IFNA(INDIRECT(_xlfn.TEXTJOIN("",TRUE,A1356,"!",ADDRESS(15+(A1357-1)*J1356,2))),"")</f>
        <v/>
      </c>
      <c r="D1362" s="66"/>
      <c r="E1362" s="66"/>
      <c r="F1362" s="66"/>
      <c r="G1362" s="66"/>
      <c r="H1362" s="25" t="str">
        <f ca="1">_xlfn.IFNA(INDIRECT(_xlfn.TEXTJOIN("",TRUE,A1356,"!",ADDRESS(15+(A1357-1)*J1356,6))),"")</f>
        <v/>
      </c>
      <c r="I1362" s="25" t="str">
        <f ca="1">_xlfn.IFNA(INDIRECT(_xlfn.TEXTJOIN("",TRUE,A1356,"!",ADDRESS(15+(A1357-1)*J1356,13))),"")</f>
        <v/>
      </c>
      <c r="J1362" s="25" t="str">
        <f ca="1">_xlfn.IFNA(INDIRECT(_xlfn.TEXTJOIN("",TRUE,A1356,"!",ADDRESS(15+(A1357-1)*J1356,14))),"")</f>
        <v/>
      </c>
    </row>
    <row r="1363" spans="1:10" ht="10.5" customHeight="1" x14ac:dyDescent="0.2">
      <c r="A1363" s="65" t="str">
        <f ca="1">_xlfn.IFNA(INDIRECT(_xlfn.TEXTJOIN("",TRUE,A1356,"!",ADDRESS(16+(A1357-1)*J1356,1))),"")</f>
        <v/>
      </c>
      <c r="B1363" s="65"/>
      <c r="C1363" s="66" t="str">
        <f ca="1">_xlfn.IFNA(INDIRECT(_xlfn.TEXTJOIN("",TRUE,A1356,"!",ADDRESS(16+(A1357-1)*J1356,2))),"")</f>
        <v/>
      </c>
      <c r="D1363" s="66"/>
      <c r="E1363" s="66"/>
      <c r="F1363" s="66"/>
      <c r="G1363" s="66"/>
      <c r="H1363" s="25" t="str">
        <f ca="1">_xlfn.IFNA(INDIRECT(_xlfn.TEXTJOIN("",TRUE,A1356,"!",ADDRESS(16+(A1357-1)*J1356,6))),"")</f>
        <v/>
      </c>
      <c r="I1363" s="25" t="str">
        <f ca="1">_xlfn.IFNA(INDIRECT(_xlfn.TEXTJOIN("",TRUE,A1356,"!",ADDRESS(16+(A1357-1)*J1356,13))),"")</f>
        <v/>
      </c>
      <c r="J1363" s="25" t="str">
        <f ca="1">_xlfn.IFNA(INDIRECT(_xlfn.TEXTJOIN("",TRUE,A1356,"!",ADDRESS(16+(A1357-1)*J1356,14))),"")</f>
        <v/>
      </c>
    </row>
    <row r="1364" spans="1:10" ht="10.5" customHeight="1" x14ac:dyDescent="0.2">
      <c r="A1364" s="65" t="str">
        <f ca="1">_xlfn.IFNA(INDIRECT(_xlfn.TEXTJOIN("",TRUE,A1356,"!",ADDRESS(17+(A1357-1)*J1356,1))),"")</f>
        <v/>
      </c>
      <c r="B1364" s="65"/>
      <c r="C1364" s="66" t="str">
        <f ca="1">_xlfn.IFNA(INDIRECT(_xlfn.TEXTJOIN("",TRUE,A1356,"!",ADDRESS(17+(A1357-1)*J1356,2))),"")</f>
        <v/>
      </c>
      <c r="D1364" s="66"/>
      <c r="E1364" s="66"/>
      <c r="F1364" s="66"/>
      <c r="G1364" s="66"/>
      <c r="H1364" s="25" t="str">
        <f ca="1">_xlfn.IFNA(INDIRECT(_xlfn.TEXTJOIN("",TRUE,A1356,"!",ADDRESS(17+(A1357-1)*J1356,6))),"")</f>
        <v/>
      </c>
      <c r="I1364" s="25" t="str">
        <f ca="1">_xlfn.IFNA(INDIRECT(_xlfn.TEXTJOIN("",TRUE,A1356,"!",ADDRESS(17+(A1357-1)*J1356,13))),"")</f>
        <v/>
      </c>
      <c r="J1364" s="25" t="str">
        <f ca="1">_xlfn.IFNA(INDIRECT(_xlfn.TEXTJOIN("",TRUE,A1356,"!",ADDRESS(17+(A1357-1)*J1356,14))),"")</f>
        <v/>
      </c>
    </row>
    <row r="1365" spans="1:10" ht="10.5" customHeight="1" x14ac:dyDescent="0.2">
      <c r="A1365" s="65" t="str">
        <f ca="1">_xlfn.IFNA(INDIRECT(_xlfn.TEXTJOIN("",TRUE,A1356,"!",ADDRESS(18+(A1357-1)*J1356,1))),"")</f>
        <v/>
      </c>
      <c r="B1365" s="65"/>
      <c r="C1365" s="66" t="str">
        <f ca="1">_xlfn.IFNA(INDIRECT(_xlfn.TEXTJOIN("",TRUE,A1356,"!",ADDRESS(18+(A1357-1)*J1356,2))),"")</f>
        <v/>
      </c>
      <c r="D1365" s="66"/>
      <c r="E1365" s="66"/>
      <c r="F1365" s="66"/>
      <c r="G1365" s="66"/>
      <c r="H1365" s="25" t="str">
        <f ca="1">_xlfn.IFNA(INDIRECT(_xlfn.TEXTJOIN("",TRUE,A1356,"!",ADDRESS(18+(A1357-1)*J1356,6))),"")</f>
        <v/>
      </c>
      <c r="I1365" s="25" t="str">
        <f ca="1">_xlfn.IFNA(INDIRECT(_xlfn.TEXTJOIN("",TRUE,A1356,"!",ADDRESS(18+(A1357-1)*J1356,13))),"")</f>
        <v/>
      </c>
      <c r="J1365" s="25" t="str">
        <f ca="1">_xlfn.IFNA(INDIRECT(_xlfn.TEXTJOIN("",TRUE,A1356,"!",ADDRESS(18+(A1357-1)*J1356,14))),"")</f>
        <v/>
      </c>
    </row>
    <row r="1366" spans="1:10" ht="10.5" customHeight="1" x14ac:dyDescent="0.2">
      <c r="A1366" s="60" t="str">
        <f ca="1">_xlfn.IFNA(INDIRECT(_xlfn.TEXTJOIN("",TRUE,A1356,"!",ADDRESS(19+(A1357-1)*J1356,1))),"")</f>
        <v/>
      </c>
      <c r="B1366" s="61"/>
      <c r="C1366" s="57" t="str">
        <f ca="1">_xlfn.IFNA(INDIRECT(_xlfn.TEXTJOIN("",TRUE,A1356,"!",ADDRESS(19+(A1357-1)*J1356,2))),"")</f>
        <v/>
      </c>
      <c r="D1366" s="58"/>
      <c r="E1366" s="58"/>
      <c r="F1366" s="58"/>
      <c r="G1366" s="59"/>
      <c r="H1366" s="25" t="str">
        <f ca="1">_xlfn.IFNA(INDIRECT(_xlfn.TEXTJOIN("",TRUE,A1356,"!",ADDRESS(19+(A1357-1)*J1356,6))),"")</f>
        <v/>
      </c>
      <c r="I1366" s="25" t="str">
        <f ca="1">_xlfn.IFNA(INDIRECT(_xlfn.TEXTJOIN("",TRUE,A1356,"!",ADDRESS(19+(A1357-1)*J1356,13))),"")</f>
        <v/>
      </c>
      <c r="J1366" s="25" t="str">
        <f ca="1">_xlfn.IFNA(INDIRECT(_xlfn.TEXTJOIN("",TRUE,A1356,"!",ADDRESS(19+(A1357-1)*J1356,14))),"")</f>
        <v/>
      </c>
    </row>
    <row r="1367" spans="1:10" ht="10.5" customHeight="1" x14ac:dyDescent="0.2">
      <c r="A1367" s="65" t="str">
        <f ca="1">_xlfn.IFNA(INDIRECT(_xlfn.TEXTJOIN("",TRUE,A1356,"!",ADDRESS(20+(A1357-1)*J1356,1))),"")</f>
        <v/>
      </c>
      <c r="B1367" s="65"/>
      <c r="C1367" s="66" t="str">
        <f ca="1">_xlfn.IFNA(INDIRECT(_xlfn.TEXTJOIN("",TRUE,A1356,"!",ADDRESS(20+(A1357-1)*J1356,2))),"")</f>
        <v/>
      </c>
      <c r="D1367" s="66"/>
      <c r="E1367" s="66"/>
      <c r="F1367" s="66"/>
      <c r="G1367" s="66"/>
      <c r="H1367" s="25" t="str">
        <f ca="1">_xlfn.IFNA(INDIRECT(_xlfn.TEXTJOIN("",TRUE,A1356,"!",ADDRESS(20+(A1357-1)*J1356,6))),"")</f>
        <v/>
      </c>
      <c r="I1367" s="25" t="str">
        <f ca="1">_xlfn.IFNA(INDIRECT(_xlfn.TEXTJOIN("",TRUE,A1356,"!",ADDRESS(20+(A1357-1)*J1356,13))),"")</f>
        <v/>
      </c>
      <c r="J1367" s="25" t="str">
        <f ca="1">_xlfn.IFNA(INDIRECT(_xlfn.TEXTJOIN("",TRUE,A1356,"!",ADDRESS(20+(A1357-1)*J1356,14))),"")</f>
        <v/>
      </c>
    </row>
    <row r="1368" spans="1:10" ht="10.5" customHeight="1" x14ac:dyDescent="0.2">
      <c r="A1368" s="71" t="str">
        <f ca="1">IF(ISNA(A1357),"","Total Credits/ Total Grade Points")</f>
        <v/>
      </c>
      <c r="B1368" s="71"/>
      <c r="C1368" s="71"/>
      <c r="D1368" s="71"/>
      <c r="E1368" s="71"/>
      <c r="F1368" s="71"/>
      <c r="G1368" s="71"/>
      <c r="H1368" s="27" t="str">
        <f ca="1">IF(ISNA(A1357),"",SUM(H1360:H1367))</f>
        <v/>
      </c>
      <c r="I1368" s="26" t="str">
        <f ca="1">IF(ISNA(A1357),"","-")</f>
        <v/>
      </c>
      <c r="J1368" s="27" t="str">
        <f ca="1">IF(ISNA(A1357),"",SUMPRODUCT(J1360:J1367,H1360:H1367))</f>
        <v/>
      </c>
    </row>
    <row r="1369" spans="1:10" ht="10.5" customHeight="1" x14ac:dyDescent="0.2">
      <c r="A1369" s="24" t="s">
        <v>133</v>
      </c>
      <c r="B1369" s="72" t="str">
        <f ca="1">IF(ISNA(A1370),"","Semester IV (Spring Semester 2023-24)")</f>
        <v/>
      </c>
      <c r="C1369" s="72"/>
      <c r="D1369" s="72"/>
      <c r="E1369" s="72"/>
      <c r="F1369" s="72"/>
      <c r="G1369" s="72"/>
      <c r="H1369" s="72"/>
      <c r="I1369" s="72"/>
      <c r="J1369" s="24">
        <f>ROWS(A1373:B1379)+9</f>
        <v>16</v>
      </c>
    </row>
    <row r="1370" spans="1:10" ht="10.5" customHeight="1" x14ac:dyDescent="0.2">
      <c r="A1370" s="24" t="e">
        <f ca="1">INDEX(SEM_IV!$A$6:$A$43,Marksheets!J1370)</f>
        <v>#N/A</v>
      </c>
      <c r="B1370" s="63"/>
      <c r="C1370" s="63"/>
      <c r="D1370" s="63"/>
      <c r="E1370" s="63"/>
      <c r="F1370" s="63"/>
      <c r="G1370" s="63"/>
      <c r="H1370" s="63"/>
      <c r="I1370" s="63"/>
      <c r="J1370" s="24" t="e">
        <f ca="1">MATCH(H1320,SEM_IV!$B$6:$B$43,0)</f>
        <v>#N/A</v>
      </c>
    </row>
    <row r="1371" spans="1:10" ht="10.5" customHeight="1" x14ac:dyDescent="0.2">
      <c r="A1371" s="64" t="str">
        <f ca="1">IF(ISNA(A1370),"","Subject Code")</f>
        <v/>
      </c>
      <c r="B1371" s="64"/>
      <c r="C1371" s="64" t="str">
        <f ca="1">IF(ISNA(A1370),"","Subject Name")</f>
        <v/>
      </c>
      <c r="D1371" s="64"/>
      <c r="E1371" s="64"/>
      <c r="F1371" s="64"/>
      <c r="G1371" s="64"/>
      <c r="H1371" s="64" t="str">
        <f ca="1">IF(ISNA(A1370),"","Credits")</f>
        <v/>
      </c>
      <c r="I1371" s="64" t="str">
        <f ca="1">IF(ISNA(A1370),"","Grade")</f>
        <v/>
      </c>
      <c r="J1371" s="64" t="str">
        <f ca="1">IF(ISNA(A1370),"","Grade Points")</f>
        <v/>
      </c>
    </row>
    <row r="1372" spans="1:10" ht="15" customHeight="1" x14ac:dyDescent="0.2">
      <c r="A1372" s="64"/>
      <c r="B1372" s="64"/>
      <c r="C1372" s="64"/>
      <c r="D1372" s="64"/>
      <c r="E1372" s="64"/>
      <c r="F1372" s="64"/>
      <c r="G1372" s="64"/>
      <c r="H1372" s="64"/>
      <c r="I1372" s="64"/>
      <c r="J1372" s="64"/>
    </row>
    <row r="1373" spans="1:10" ht="10.5" customHeight="1" x14ac:dyDescent="0.2">
      <c r="A1373" s="65" t="str">
        <f ca="1">_xlfn.IFNA(INDIRECT(_xlfn.TEXTJOIN("",TRUE,A1369,"!",ADDRESS(13+(A1370-1)*J1369,1))),"")</f>
        <v/>
      </c>
      <c r="B1373" s="65"/>
      <c r="C1373" s="66" t="str">
        <f ca="1">_xlfn.IFNA(INDIRECT(_xlfn.TEXTJOIN("",TRUE,A1369,"!",ADDRESS(13+(A1370-1)*J1369,2))),"")</f>
        <v/>
      </c>
      <c r="D1373" s="66"/>
      <c r="E1373" s="66"/>
      <c r="F1373" s="66"/>
      <c r="G1373" s="66"/>
      <c r="H1373" s="25" t="str">
        <f ca="1">_xlfn.IFNA(INDIRECT(_xlfn.TEXTJOIN("",TRUE,A1369,"!",ADDRESS(13+(A1370-1)*J1369,6))),"")</f>
        <v/>
      </c>
      <c r="I1373" s="25" t="str">
        <f ca="1">_xlfn.IFNA(INDIRECT(_xlfn.TEXTJOIN("",TRUE,A1369,"!",ADDRESS(13+(A1370-1)*J1369,13))),"")</f>
        <v/>
      </c>
      <c r="J1373" s="25" t="str">
        <f ca="1">_xlfn.IFNA(INDIRECT(_xlfn.TEXTJOIN("",TRUE,A1369,"!",ADDRESS(13+(A1370-1)*J1369,14))),"")</f>
        <v/>
      </c>
    </row>
    <row r="1374" spans="1:10" ht="10.5" customHeight="1" x14ac:dyDescent="0.2">
      <c r="A1374" s="65" t="str">
        <f ca="1">_xlfn.IFNA(INDIRECT(_xlfn.TEXTJOIN("",TRUE,A1369,"!",ADDRESS(14+(A1370-1)*J1369,1))),"")</f>
        <v/>
      </c>
      <c r="B1374" s="65"/>
      <c r="C1374" s="66" t="str">
        <f ca="1">_xlfn.IFNA(INDIRECT(_xlfn.TEXTJOIN("",TRUE,A1369,"!",ADDRESS(14+(A1370-1)*J1369,2))),"")</f>
        <v/>
      </c>
      <c r="D1374" s="66"/>
      <c r="E1374" s="66"/>
      <c r="F1374" s="66"/>
      <c r="G1374" s="66"/>
      <c r="H1374" s="25" t="str">
        <f ca="1">_xlfn.IFNA(INDIRECT(_xlfn.TEXTJOIN("",TRUE,A1369,"!",ADDRESS(14+(A1370-1)*J1369,6))),"")</f>
        <v/>
      </c>
      <c r="I1374" s="25" t="str">
        <f ca="1">_xlfn.IFNA(INDIRECT(_xlfn.TEXTJOIN("",TRUE,A1369,"!",ADDRESS(14+(A1370-1)*J1369,13))),"")</f>
        <v/>
      </c>
      <c r="J1374" s="25" t="str">
        <f ca="1">_xlfn.IFNA(INDIRECT(_xlfn.TEXTJOIN("",TRUE,A1369,"!",ADDRESS(14+(A1370-1)*J1369,14))),"")</f>
        <v/>
      </c>
    </row>
    <row r="1375" spans="1:10" ht="10.5" customHeight="1" x14ac:dyDescent="0.2">
      <c r="A1375" s="65" t="str">
        <f ca="1">_xlfn.IFNA(INDIRECT(_xlfn.TEXTJOIN("",TRUE,A1369,"!",ADDRESS(15+(A1370-1)*J1369,1))),"")</f>
        <v/>
      </c>
      <c r="B1375" s="65"/>
      <c r="C1375" s="66" t="str">
        <f ca="1">_xlfn.IFNA(INDIRECT(_xlfn.TEXTJOIN("",TRUE,A1369,"!",ADDRESS(15+(A1370-1)*J1369,2))),"")</f>
        <v/>
      </c>
      <c r="D1375" s="66"/>
      <c r="E1375" s="66"/>
      <c r="F1375" s="66"/>
      <c r="G1375" s="66"/>
      <c r="H1375" s="25" t="str">
        <f ca="1">_xlfn.IFNA(INDIRECT(_xlfn.TEXTJOIN("",TRUE,A1369,"!",ADDRESS(15+(A1370-1)*J1369,6))),"")</f>
        <v/>
      </c>
      <c r="I1375" s="25" t="str">
        <f ca="1">_xlfn.IFNA(INDIRECT(_xlfn.TEXTJOIN("",TRUE,A1369,"!",ADDRESS(15+(A1370-1)*J1369,13))),"")</f>
        <v/>
      </c>
      <c r="J1375" s="25" t="str">
        <f ca="1">_xlfn.IFNA(INDIRECT(_xlfn.TEXTJOIN("",TRUE,A1369,"!",ADDRESS(15+(A1370-1)*J1369,14))),"")</f>
        <v/>
      </c>
    </row>
    <row r="1376" spans="1:10" ht="10.5" customHeight="1" x14ac:dyDescent="0.2">
      <c r="A1376" s="65" t="str">
        <f ca="1">_xlfn.IFNA(INDIRECT(_xlfn.TEXTJOIN("",TRUE,A1369,"!",ADDRESS(16+(A1370-1)*J1369,1))),"")</f>
        <v/>
      </c>
      <c r="B1376" s="65"/>
      <c r="C1376" s="66" t="str">
        <f ca="1">_xlfn.IFNA(INDIRECT(_xlfn.TEXTJOIN("",TRUE,A1369,"!",ADDRESS(16+(A1370-1)*J1369,2))),"")</f>
        <v/>
      </c>
      <c r="D1376" s="66"/>
      <c r="E1376" s="66"/>
      <c r="F1376" s="66"/>
      <c r="G1376" s="66"/>
      <c r="H1376" s="25" t="str">
        <f ca="1">_xlfn.IFNA(INDIRECT(_xlfn.TEXTJOIN("",TRUE,A1369,"!",ADDRESS(16+(A1370-1)*J1369,6))),"")</f>
        <v/>
      </c>
      <c r="I1376" s="25" t="str">
        <f ca="1">_xlfn.IFNA(INDIRECT(_xlfn.TEXTJOIN("",TRUE,A1369,"!",ADDRESS(16+(A1370-1)*J1369,13))),"")</f>
        <v/>
      </c>
      <c r="J1376" s="25" t="str">
        <f ca="1">_xlfn.IFNA(INDIRECT(_xlfn.TEXTJOIN("",TRUE,A1369,"!",ADDRESS(16+(A1370-1)*J1369,14))),"")</f>
        <v/>
      </c>
    </row>
    <row r="1377" spans="1:10" ht="10.5" customHeight="1" x14ac:dyDescent="0.2">
      <c r="A1377" s="65" t="str">
        <f ca="1">_xlfn.IFNA(INDIRECT(_xlfn.TEXTJOIN("",TRUE,A1369,"!",ADDRESS(17+(A1370-1)*J1369,1))),"")</f>
        <v/>
      </c>
      <c r="B1377" s="65"/>
      <c r="C1377" s="66" t="str">
        <f ca="1">_xlfn.IFNA(INDIRECT(_xlfn.TEXTJOIN("",TRUE,A1369,"!",ADDRESS(17+(A1370-1)*J1369,2))),"")</f>
        <v/>
      </c>
      <c r="D1377" s="66"/>
      <c r="E1377" s="66"/>
      <c r="F1377" s="66"/>
      <c r="G1377" s="66"/>
      <c r="H1377" s="25" t="str">
        <f ca="1">_xlfn.IFNA(INDIRECT(_xlfn.TEXTJOIN("",TRUE,A1369,"!",ADDRESS(17+(A1370-1)*J1369,6))),"")</f>
        <v/>
      </c>
      <c r="I1377" s="25" t="str">
        <f ca="1">_xlfn.IFNA(INDIRECT(_xlfn.TEXTJOIN("",TRUE,A1369,"!",ADDRESS(17+(A1370-1)*J1369,13))),"")</f>
        <v/>
      </c>
      <c r="J1377" s="25" t="str">
        <f ca="1">_xlfn.IFNA(INDIRECT(_xlfn.TEXTJOIN("",TRUE,A1369,"!",ADDRESS(17+(A1370-1)*J1369,14))),"")</f>
        <v/>
      </c>
    </row>
    <row r="1378" spans="1:10" ht="10.5" customHeight="1" x14ac:dyDescent="0.2">
      <c r="A1378" s="65" t="str">
        <f ca="1">_xlfn.IFNA(INDIRECT(_xlfn.TEXTJOIN("",TRUE,A1369,"!",ADDRESS(18+(A1370-1)*J1369,1))),"")</f>
        <v/>
      </c>
      <c r="B1378" s="65"/>
      <c r="C1378" s="66" t="str">
        <f ca="1">_xlfn.IFNA(INDIRECT(_xlfn.TEXTJOIN("",TRUE,A1369,"!",ADDRESS(18+(A1370-1)*J1369,2))),"")</f>
        <v/>
      </c>
      <c r="D1378" s="66"/>
      <c r="E1378" s="66"/>
      <c r="F1378" s="66"/>
      <c r="G1378" s="66"/>
      <c r="H1378" s="25" t="str">
        <f ca="1">_xlfn.IFNA(INDIRECT(_xlfn.TEXTJOIN("",TRUE,A1369,"!",ADDRESS(18+(A1370-1)*J1369,6))),"")</f>
        <v/>
      </c>
      <c r="I1378" s="25" t="str">
        <f ca="1">_xlfn.IFNA(INDIRECT(_xlfn.TEXTJOIN("",TRUE,A1369,"!",ADDRESS(18+(A1370-1)*J1369,13))),"")</f>
        <v/>
      </c>
      <c r="J1378" s="25" t="str">
        <f ca="1">_xlfn.IFNA(INDIRECT(_xlfn.TEXTJOIN("",TRUE,A1369,"!",ADDRESS(18+(A1370-1)*J1369,14))),"")</f>
        <v/>
      </c>
    </row>
    <row r="1379" spans="1:10" ht="10.5" customHeight="1" x14ac:dyDescent="0.2">
      <c r="A1379" s="60" t="str">
        <f ca="1">_xlfn.IFNA(INDIRECT(_xlfn.TEXTJOIN("",TRUE,A1369,"!",ADDRESS(19+(A1370-1)*J1369,1))),"")</f>
        <v/>
      </c>
      <c r="B1379" s="61"/>
      <c r="C1379" s="57" t="str">
        <f ca="1">_xlfn.IFNA(INDIRECT(_xlfn.TEXTJOIN("",TRUE,A1369,"!",ADDRESS(19+(A1370-1)*J1369,2))),"")</f>
        <v/>
      </c>
      <c r="D1379" s="58"/>
      <c r="E1379" s="58"/>
      <c r="F1379" s="58"/>
      <c r="G1379" s="59"/>
      <c r="H1379" s="25" t="str">
        <f ca="1">_xlfn.IFNA(INDIRECT(_xlfn.TEXTJOIN("",TRUE,A1369,"!",ADDRESS(19+(A1370-1)*J1369,6))),"")</f>
        <v/>
      </c>
      <c r="I1379" s="25" t="str">
        <f ca="1">_xlfn.IFNA(INDIRECT(_xlfn.TEXTJOIN("",TRUE,A1369,"!",ADDRESS(19+(A1370-1)*J1369,13))),"")</f>
        <v/>
      </c>
      <c r="J1379" s="25" t="str">
        <f ca="1">_xlfn.IFNA(INDIRECT(_xlfn.TEXTJOIN("",TRUE,A1369,"!",ADDRESS(19+(A1370-1)*J1369,14))),"")</f>
        <v/>
      </c>
    </row>
    <row r="1380" spans="1:10" ht="10.5" customHeight="1" x14ac:dyDescent="0.2">
      <c r="A1380" s="71" t="str">
        <f ca="1">IF(ISNA(A1370),"","Total Credits/ Total Grade Points")</f>
        <v/>
      </c>
      <c r="B1380" s="71"/>
      <c r="C1380" s="71"/>
      <c r="D1380" s="71"/>
      <c r="E1380" s="71"/>
      <c r="F1380" s="71"/>
      <c r="G1380" s="71"/>
      <c r="H1380" s="27" t="str">
        <f ca="1">IF(ISNA(A1370),"",SUM(H1372:H1379))</f>
        <v/>
      </c>
      <c r="I1380" s="26" t="str">
        <f ca="1">IF(ISNA(A1370),"","-")</f>
        <v/>
      </c>
      <c r="J1380" s="27" t="str">
        <f ca="1">IF(ISNA(A1370),"",SUMPRODUCT(J1372:J1379,H1372:H1379))</f>
        <v/>
      </c>
    </row>
    <row r="1381" spans="1:10" ht="10.5" customHeight="1" x14ac:dyDescent="0.2">
      <c r="A1381" s="75" t="s">
        <v>137</v>
      </c>
      <c r="B1381" s="75"/>
      <c r="C1381" s="75"/>
      <c r="D1381" s="75"/>
      <c r="E1381" s="75"/>
      <c r="F1381" s="76" t="s">
        <v>138</v>
      </c>
      <c r="G1381" s="76"/>
      <c r="H1381" s="76"/>
      <c r="I1381" s="76"/>
      <c r="J1381" s="76"/>
    </row>
    <row r="1382" spans="1:10" ht="10.5" customHeight="1" x14ac:dyDescent="0.2">
      <c r="A1382" s="43" t="s">
        <v>139</v>
      </c>
      <c r="B1382" s="43"/>
      <c r="C1382" s="43"/>
      <c r="D1382" s="43"/>
      <c r="E1382" s="43"/>
      <c r="F1382" s="43"/>
      <c r="G1382" s="43"/>
      <c r="H1382" s="43"/>
      <c r="I1382" s="43"/>
      <c r="J1382" s="43"/>
    </row>
    <row r="1383" spans="1:10" ht="10.5" customHeight="1" x14ac:dyDescent="0.2">
      <c r="A1383" s="10"/>
      <c r="B1383" s="26"/>
      <c r="C1383" s="26" t="s">
        <v>140</v>
      </c>
      <c r="D1383" s="26" t="s">
        <v>141</v>
      </c>
      <c r="E1383" s="26" t="s">
        <v>142</v>
      </c>
      <c r="F1383" s="26" t="s">
        <v>143</v>
      </c>
      <c r="G1383" s="26" t="s">
        <v>144</v>
      </c>
      <c r="H1383" s="79" t="s">
        <v>145</v>
      </c>
      <c r="I1383" s="79"/>
      <c r="J1383" s="30"/>
    </row>
    <row r="1384" spans="1:10" ht="10.5" customHeight="1" x14ac:dyDescent="0.2">
      <c r="A1384" s="10"/>
      <c r="B1384" s="80" t="s">
        <v>146</v>
      </c>
      <c r="C1384" s="73">
        <f ca="1">J1340/H1340</f>
        <v>5.916666666666667</v>
      </c>
      <c r="D1384" s="73" t="e">
        <f ca="1">J1355/H1355</f>
        <v>#VALUE!</v>
      </c>
      <c r="E1384" s="73" t="str">
        <f ca="1">IFERROR(J1368/H1368,"")</f>
        <v/>
      </c>
      <c r="F1384" s="73" t="str">
        <f ca="1">IFERROR(J1380/H1380,"")</f>
        <v/>
      </c>
      <c r="G1384" s="82">
        <f ca="1">F1386</f>
        <v>5.916666666666667</v>
      </c>
      <c r="H1384" s="83" t="e">
        <f ca="1">IF(TC_IV!N309&lt;96,_xlfn.TEXTJOIN(" ",TRUE,"CARRY OVER",TC_I!V464,TC_II!V384,TC_III!V327,TC_IV!V308),IF(G1384&gt;=8,"First Division with Distinction",IF(G1384&gt;=6.5,"First Division",IF(G1384&gt;=5,"Second Division",IF(G1384&gt;=4,"Third Division","Fail")))))</f>
        <v>#N/A</v>
      </c>
      <c r="I1384" s="83"/>
      <c r="J1384" s="30"/>
    </row>
    <row r="1385" spans="1:10" ht="10.5" customHeight="1" x14ac:dyDescent="0.2">
      <c r="B1385" s="81"/>
      <c r="C1385" s="74"/>
      <c r="D1385" s="74"/>
      <c r="E1385" s="74"/>
      <c r="F1385" s="74"/>
      <c r="G1385" s="82"/>
      <c r="H1385" s="83"/>
      <c r="I1385" s="83"/>
    </row>
    <row r="1386" spans="1:10" ht="10.5" customHeight="1" x14ac:dyDescent="0.2">
      <c r="B1386" s="80" t="s">
        <v>48</v>
      </c>
      <c r="C1386" s="73">
        <f ca="1">J1340/H1340</f>
        <v>5.916666666666667</v>
      </c>
      <c r="D1386" s="73">
        <f ca="1">SUM(J1355,J1340)/SUM(H1355,H1340)</f>
        <v>5.916666666666667</v>
      </c>
      <c r="E1386" s="73">
        <f ca="1">SUM(J1368,J1355,J1340)/SUM(H1368,H1355,H1340)</f>
        <v>5.916666666666667</v>
      </c>
      <c r="F1386" s="73">
        <f ca="1">SUM(J1380,J1368,J1355,J1340)/SUM(H1340,H1355,H1368,H1380)</f>
        <v>5.916666666666667</v>
      </c>
      <c r="G1386" s="82"/>
      <c r="H1386" s="83"/>
      <c r="I1386" s="83"/>
    </row>
    <row r="1387" spans="1:10" ht="10.5" customHeight="1" x14ac:dyDescent="0.2">
      <c r="B1387" s="81"/>
      <c r="C1387" s="74"/>
      <c r="D1387" s="74"/>
      <c r="E1387" s="74"/>
      <c r="F1387" s="74"/>
      <c r="G1387" s="82"/>
      <c r="H1387" s="83"/>
      <c r="I1387" s="83"/>
    </row>
    <row r="1389" spans="1:10" ht="10.5" customHeight="1" x14ac:dyDescent="0.2">
      <c r="A1389" s="56" t="s">
        <v>24</v>
      </c>
      <c r="B1389" s="56"/>
      <c r="C1389" s="56" t="str">
        <f ca="1">INDIRECT(_xlfn.TEXTJOIN("",TRUE,A1391,"!",ADDRESS(9+(A1392-1)*J1391,2)))</f>
        <v/>
      </c>
      <c r="D1389" s="56"/>
      <c r="E1389" s="56"/>
      <c r="F1389" s="56" t="s">
        <v>135</v>
      </c>
      <c r="G1389" s="56"/>
      <c r="H1389" s="62" t="str">
        <f ca="1">INDIRECT(_xlfn.TEXTJOIN("",TRUE,A1391,"!",ADDRESS(9+(A1392-1)*J1391,9)))</f>
        <v/>
      </c>
      <c r="I1389" s="56"/>
      <c r="J1389" s="56"/>
    </row>
    <row r="1390" spans="1:10" ht="10.5" customHeight="1" x14ac:dyDescent="0.2">
      <c r="A1390" s="56" t="s">
        <v>25</v>
      </c>
      <c r="B1390" s="56"/>
      <c r="C1390" s="56" t="str">
        <f ca="1">INDIRECT(_xlfn.TEXTJOIN("",TRUE,A1391,"!",ADDRESS(9+(A1392-1)*J1391,5)))</f>
        <v/>
      </c>
      <c r="D1390" s="56"/>
      <c r="E1390" s="56"/>
      <c r="F1390" s="47" t="s">
        <v>136</v>
      </c>
      <c r="G1390" s="47"/>
      <c r="H1390" s="62" t="str">
        <f ca="1">INDIRECT(_xlfn.TEXTJOIN("",TRUE,A1391,"!",ADDRESS(9+(A1392-1)*J1391,13)))</f>
        <v/>
      </c>
      <c r="I1390" s="56"/>
      <c r="J1390" s="56"/>
    </row>
    <row r="1391" spans="1:10" ht="10.5" customHeight="1" x14ac:dyDescent="0.2">
      <c r="A1391" s="24" t="s">
        <v>53</v>
      </c>
      <c r="B1391" s="43" t="s">
        <v>148</v>
      </c>
      <c r="C1391" s="43"/>
      <c r="D1391" s="43"/>
      <c r="E1391" s="43"/>
      <c r="F1391" s="43"/>
      <c r="G1391" s="43"/>
      <c r="H1391" s="43"/>
      <c r="I1391" s="43"/>
      <c r="J1391" s="24">
        <f>ROWS(A1395:B1408)+9</f>
        <v>23</v>
      </c>
    </row>
    <row r="1392" spans="1:10" ht="10.5" customHeight="1" x14ac:dyDescent="0.2">
      <c r="A1392" s="24">
        <f>A1323+1</f>
        <v>21</v>
      </c>
      <c r="B1392" s="63"/>
      <c r="C1392" s="63"/>
      <c r="D1392" s="63"/>
      <c r="E1392" s="63"/>
      <c r="F1392" s="63"/>
      <c r="G1392" s="63"/>
      <c r="H1392" s="63"/>
      <c r="I1392" s="63"/>
      <c r="J1392" s="29"/>
    </row>
    <row r="1393" spans="1:10" ht="10.5" customHeight="1" x14ac:dyDescent="0.2">
      <c r="A1393" s="64" t="s">
        <v>28</v>
      </c>
      <c r="B1393" s="64"/>
      <c r="C1393" s="64" t="s">
        <v>29</v>
      </c>
      <c r="D1393" s="64"/>
      <c r="E1393" s="64"/>
      <c r="F1393" s="64"/>
      <c r="G1393" s="64"/>
      <c r="H1393" s="64" t="s">
        <v>30</v>
      </c>
      <c r="I1393" s="64" t="s">
        <v>9</v>
      </c>
      <c r="J1393" s="64" t="s">
        <v>34</v>
      </c>
    </row>
    <row r="1394" spans="1:10" ht="14.5" customHeight="1" x14ac:dyDescent="0.2">
      <c r="A1394" s="64"/>
      <c r="B1394" s="64"/>
      <c r="C1394" s="64"/>
      <c r="D1394" s="64"/>
      <c r="E1394" s="64"/>
      <c r="F1394" s="64"/>
      <c r="G1394" s="64"/>
      <c r="H1394" s="64"/>
      <c r="I1394" s="64"/>
      <c r="J1394" s="64"/>
    </row>
    <row r="1395" spans="1:10" ht="10.5" customHeight="1" x14ac:dyDescent="0.2">
      <c r="A1395" s="65" t="str">
        <f ca="1">INDIRECT(_xlfn.TEXTJOIN("",TRUE,A1391,"!",ADDRESS(13+(A1392-1)*J1391,1)))</f>
        <v/>
      </c>
      <c r="B1395" s="65"/>
      <c r="C1395" s="66" t="str">
        <f ca="1">INDIRECT(_xlfn.TEXTJOIN("",TRUE,A1391,"!",ADDRESS(13+(A1392-1)*J1391,2)))</f>
        <v/>
      </c>
      <c r="D1395" s="66"/>
      <c r="E1395" s="66"/>
      <c r="F1395" s="66"/>
      <c r="G1395" s="66"/>
      <c r="H1395" s="25" t="str">
        <f ca="1">INDIRECT(_xlfn.TEXTJOIN("",TRUE,A1391,"!",ADDRESS(13+(A1392-1)*J1391,6)))</f>
        <v/>
      </c>
      <c r="I1395" s="25" t="str">
        <f ca="1">INDIRECT(_xlfn.TEXTJOIN("",TRUE,A1391,"!",ADDRESS(13+(A1392-1)*J1391,13)))</f>
        <v/>
      </c>
      <c r="J1395" s="25" t="e">
        <f ca="1">INDIRECT(_xlfn.TEXTJOIN("",TRUE,A1391,"!",ADDRESS(13+(A1392-1)*J1391,14)))</f>
        <v>#N/A</v>
      </c>
    </row>
    <row r="1396" spans="1:10" ht="10.5" customHeight="1" x14ac:dyDescent="0.2">
      <c r="A1396" s="65" t="str">
        <f ca="1">INDIRECT(_xlfn.TEXTJOIN("",TRUE,A1391,"!",ADDRESS(14+(A1392-1)*J1391,1)))</f>
        <v/>
      </c>
      <c r="B1396" s="65"/>
      <c r="C1396" s="66" t="str">
        <f ca="1">INDIRECT(_xlfn.TEXTJOIN("",TRUE,A1391,"!",ADDRESS(14+(A1392-1)*J1391,2)))</f>
        <v/>
      </c>
      <c r="D1396" s="66"/>
      <c r="E1396" s="66"/>
      <c r="F1396" s="66"/>
      <c r="G1396" s="66"/>
      <c r="H1396" s="25" t="str">
        <f ca="1">INDIRECT(_xlfn.TEXTJOIN("",TRUE,A1391,"!",ADDRESS(14+(A1392-1)*J1391,6)))</f>
        <v/>
      </c>
      <c r="I1396" s="25" t="str">
        <f ca="1">INDIRECT(_xlfn.TEXTJOIN("",TRUE,A1391,"!",ADDRESS(14+(A1392-1)*J1391,13)))</f>
        <v/>
      </c>
      <c r="J1396" s="25" t="e">
        <f ca="1">INDIRECT(_xlfn.TEXTJOIN("",TRUE,A1391,"!",ADDRESS(14+(A1392-1)*J1391,14)))</f>
        <v>#N/A</v>
      </c>
    </row>
    <row r="1397" spans="1:10" ht="10.5" customHeight="1" x14ac:dyDescent="0.2">
      <c r="A1397" s="65" t="str">
        <f ca="1">INDIRECT(_xlfn.TEXTJOIN("",TRUE,A1391,"!",ADDRESS(15+(A1392-1)*J1391,1)))</f>
        <v/>
      </c>
      <c r="B1397" s="65"/>
      <c r="C1397" s="66" t="str">
        <f ca="1">INDIRECT(_xlfn.TEXTJOIN("",TRUE,A1391,"!",ADDRESS(15+(A1392-1)*J1391,2)))</f>
        <v/>
      </c>
      <c r="D1397" s="66"/>
      <c r="E1397" s="66"/>
      <c r="F1397" s="66"/>
      <c r="G1397" s="66"/>
      <c r="H1397" s="25" t="str">
        <f ca="1">INDIRECT(_xlfn.TEXTJOIN("",TRUE,A1391,"!",ADDRESS(15+(A1392-1)*J1391,6)))</f>
        <v/>
      </c>
      <c r="I1397" s="25" t="str">
        <f ca="1">INDIRECT(_xlfn.TEXTJOIN("",TRUE,A1391,"!",ADDRESS(15+(A1392-1)*J1391,13)))</f>
        <v/>
      </c>
      <c r="J1397" s="25" t="e">
        <f ca="1">INDIRECT(_xlfn.TEXTJOIN("",TRUE,A1391,"!",ADDRESS(15+(A1392-1)*J1391,14)))</f>
        <v>#N/A</v>
      </c>
    </row>
    <row r="1398" spans="1:10" ht="10.5" customHeight="1" x14ac:dyDescent="0.2">
      <c r="A1398" s="65" t="str">
        <f ca="1">INDIRECT(_xlfn.TEXTJOIN("",TRUE,A1391,"!",ADDRESS(16+(A1392-1)*J1391,1)))</f>
        <v/>
      </c>
      <c r="B1398" s="65"/>
      <c r="C1398" s="66" t="str">
        <f ca="1">INDIRECT(_xlfn.TEXTJOIN("",TRUE,A1391,"!",ADDRESS(16+(A1392-1)*J1391,2)))</f>
        <v/>
      </c>
      <c r="D1398" s="66"/>
      <c r="E1398" s="66"/>
      <c r="F1398" s="66"/>
      <c r="G1398" s="66"/>
      <c r="H1398" s="25" t="str">
        <f ca="1">INDIRECT(_xlfn.TEXTJOIN("",TRUE,A1391,"!",ADDRESS(16+(A1392-1)*J1391,6)))</f>
        <v/>
      </c>
      <c r="I1398" s="25" t="str">
        <f ca="1">INDIRECT(_xlfn.TEXTJOIN("",TRUE,A1391,"!",ADDRESS(16+(A1392-1)*J1391,13)))</f>
        <v/>
      </c>
      <c r="J1398" s="25" t="e">
        <f ca="1">INDIRECT(_xlfn.TEXTJOIN("",TRUE,A1391,"!",ADDRESS(16+(A1392-1)*J1391,14)))</f>
        <v>#N/A</v>
      </c>
    </row>
    <row r="1399" spans="1:10" ht="10.5" customHeight="1" x14ac:dyDescent="0.2">
      <c r="A1399" s="65" t="str">
        <f ca="1">INDIRECT(_xlfn.TEXTJOIN("",TRUE,A1391,"!",ADDRESS(17+(A1392-1)*J1391,1)))</f>
        <v/>
      </c>
      <c r="B1399" s="65"/>
      <c r="C1399" s="66" t="str">
        <f ca="1">INDIRECT(_xlfn.TEXTJOIN("",TRUE,A1391,"!",ADDRESS(17+(A1392-1)*J1391,2)))</f>
        <v/>
      </c>
      <c r="D1399" s="66"/>
      <c r="E1399" s="66"/>
      <c r="F1399" s="66"/>
      <c r="G1399" s="66"/>
      <c r="H1399" s="25" t="str">
        <f ca="1">INDIRECT(_xlfn.TEXTJOIN("",TRUE,A1391,"!",ADDRESS(17+(A1392-1)*J1391,6)))</f>
        <v/>
      </c>
      <c r="I1399" s="25" t="str">
        <f ca="1">INDIRECT(_xlfn.TEXTJOIN("",TRUE,A1391,"!",ADDRESS(17+(A1392-1)*J1391,13)))</f>
        <v/>
      </c>
      <c r="J1399" s="25" t="e">
        <f ca="1">INDIRECT(_xlfn.TEXTJOIN("",TRUE,A1391,"!",ADDRESS(17+(A1392-1)*J1391,14)))</f>
        <v>#N/A</v>
      </c>
    </row>
    <row r="1400" spans="1:10" ht="10.5" customHeight="1" x14ac:dyDescent="0.2">
      <c r="A1400" s="65" t="str">
        <f ca="1">INDIRECT(_xlfn.TEXTJOIN("",TRUE,A1391,"!",ADDRESS(18+(A1392-1)*J1391,1)))</f>
        <v/>
      </c>
      <c r="B1400" s="65"/>
      <c r="C1400" s="66" t="str">
        <f ca="1">INDIRECT(_xlfn.TEXTJOIN("",TRUE,A1391,"!",ADDRESS(18+(A1392-1)*J1391,2)))</f>
        <v/>
      </c>
      <c r="D1400" s="66"/>
      <c r="E1400" s="66"/>
      <c r="F1400" s="66"/>
      <c r="G1400" s="66"/>
      <c r="H1400" s="25" t="str">
        <f ca="1">INDIRECT(_xlfn.TEXTJOIN("",TRUE,A1391,"!",ADDRESS(18+(A1392-1)*J1391,6)))</f>
        <v/>
      </c>
      <c r="I1400" s="25" t="str">
        <f ca="1">INDIRECT(_xlfn.TEXTJOIN("",TRUE,A1391,"!",ADDRESS(18+(A1392-1)*J1391,13)))</f>
        <v/>
      </c>
      <c r="J1400" s="25" t="e">
        <f ca="1">INDIRECT(_xlfn.TEXTJOIN("",TRUE,A1391,"!",ADDRESS(18+(A1392-1)*J1391,14)))</f>
        <v>#N/A</v>
      </c>
    </row>
    <row r="1401" spans="1:10" ht="10.5" customHeight="1" x14ac:dyDescent="0.2">
      <c r="A1401" s="60" t="str">
        <f ca="1">INDIRECT(_xlfn.TEXTJOIN("",TRUE,A1391,"!",ADDRESS(19+(A1392-1)*J1391,1)))</f>
        <v/>
      </c>
      <c r="B1401" s="61"/>
      <c r="C1401" s="57" t="str">
        <f ca="1">INDIRECT(_xlfn.TEXTJOIN("",TRUE,A1391,"!",ADDRESS(19+(A1392-1)*J1391,2)))</f>
        <v/>
      </c>
      <c r="D1401" s="58"/>
      <c r="E1401" s="58"/>
      <c r="F1401" s="58"/>
      <c r="G1401" s="59"/>
      <c r="H1401" s="25" t="str">
        <f ca="1">INDIRECT(_xlfn.TEXTJOIN("",TRUE,A1391,"!",ADDRESS(19+(A1392-1)*J1391,6)))</f>
        <v/>
      </c>
      <c r="I1401" s="25" t="str">
        <f ca="1">INDIRECT(_xlfn.TEXTJOIN("",TRUE,A1391,"!",ADDRESS(19+(A1392-1)*J1391,13)))</f>
        <v/>
      </c>
      <c r="J1401" s="25" t="e">
        <f ca="1">INDIRECT(_xlfn.TEXTJOIN("",TRUE,A1391,"!",ADDRESS(19+(A1392-1)*J1391,14)))</f>
        <v>#N/A</v>
      </c>
    </row>
    <row r="1402" spans="1:10" ht="10.5" customHeight="1" x14ac:dyDescent="0.2">
      <c r="A1402" s="65" t="str">
        <f ca="1">INDIRECT(_xlfn.TEXTJOIN("",TRUE,A1391,"!",ADDRESS(20+(A1392-1)*J1391,1)))</f>
        <v/>
      </c>
      <c r="B1402" s="65"/>
      <c r="C1402" s="66" t="str">
        <f ca="1">INDIRECT(_xlfn.TEXTJOIN("",TRUE,A1391,"!",ADDRESS(20+(A1392-1)*J1391,2)))</f>
        <v/>
      </c>
      <c r="D1402" s="66"/>
      <c r="E1402" s="66"/>
      <c r="F1402" s="66"/>
      <c r="G1402" s="66"/>
      <c r="H1402" s="25" t="str">
        <f ca="1">INDIRECT(_xlfn.TEXTJOIN("",TRUE,A1391,"!",ADDRESS(20+(A1392-1)*J1391,6)))</f>
        <v/>
      </c>
      <c r="I1402" s="25" t="str">
        <f ca="1">INDIRECT(_xlfn.TEXTJOIN("",TRUE,A1391,"!",ADDRESS(20+(A1392-1)*J1391,13)))</f>
        <v/>
      </c>
      <c r="J1402" s="25" t="e">
        <f ca="1">INDIRECT(_xlfn.TEXTJOIN("",TRUE,A1391,"!",ADDRESS(20+(A1392-1)*J1391,14)))</f>
        <v>#N/A</v>
      </c>
    </row>
    <row r="1403" spans="1:10" ht="10.5" customHeight="1" x14ac:dyDescent="0.2">
      <c r="A1403" s="65" t="str">
        <f ca="1">INDIRECT(_xlfn.TEXTJOIN("",TRUE,A1391,"!",ADDRESS(21+(A1392-1)*J1391,1)))</f>
        <v/>
      </c>
      <c r="B1403" s="65"/>
      <c r="C1403" s="66" t="str">
        <f ca="1">INDIRECT(_xlfn.TEXTJOIN("",TRUE,A1391,"!",ADDRESS(21+(A1392-1)*J1391,2)))</f>
        <v/>
      </c>
      <c r="D1403" s="66"/>
      <c r="E1403" s="66"/>
      <c r="F1403" s="66"/>
      <c r="G1403" s="66"/>
      <c r="H1403" s="25" t="str">
        <f ca="1">INDIRECT(_xlfn.TEXTJOIN("",TRUE,A1391,"!",ADDRESS(21+(A1392-1)*J1391,6)))</f>
        <v/>
      </c>
      <c r="I1403" s="25" t="str">
        <f ca="1">INDIRECT(_xlfn.TEXTJOIN("",TRUE,A1391,"!",ADDRESS(21+(A1392-1)*J1391,13)))</f>
        <v/>
      </c>
      <c r="J1403" s="25" t="e">
        <f ca="1">INDIRECT(_xlfn.TEXTJOIN("",TRUE,A1391,"!",ADDRESS(21+(A1392-1)*J1391,14)))</f>
        <v>#N/A</v>
      </c>
    </row>
    <row r="1404" spans="1:10" ht="10.5" customHeight="1" x14ac:dyDescent="0.2">
      <c r="A1404" s="65" t="str">
        <f ca="1">INDIRECT(_xlfn.TEXTJOIN("",TRUE,A1391,"!",ADDRESS(22+(A1392-1)*J1391,1)))</f>
        <v/>
      </c>
      <c r="B1404" s="65"/>
      <c r="C1404" s="66" t="str">
        <f ca="1">INDIRECT(_xlfn.TEXTJOIN("",TRUE,A1391,"!",ADDRESS(22+(A1392-1)*J1391,2)))</f>
        <v/>
      </c>
      <c r="D1404" s="66"/>
      <c r="E1404" s="66"/>
      <c r="F1404" s="66"/>
      <c r="G1404" s="66"/>
      <c r="H1404" s="25" t="str">
        <f ca="1">INDIRECT(_xlfn.TEXTJOIN("",TRUE,A1391,"!",ADDRESS(22+(A1392-1)*J1391,6)))</f>
        <v/>
      </c>
      <c r="I1404" s="25" t="str">
        <f ca="1">INDIRECT(_xlfn.TEXTJOIN("",TRUE,A1391,"!",ADDRESS(22+(A1392-1)*J1391,13)))</f>
        <v/>
      </c>
      <c r="J1404" s="25" t="e">
        <f ca="1">INDIRECT(_xlfn.TEXTJOIN("",TRUE,A1391,"!",ADDRESS(22+(A1392-1)*J1391,14)))</f>
        <v>#N/A</v>
      </c>
    </row>
    <row r="1405" spans="1:10" ht="10.5" customHeight="1" x14ac:dyDescent="0.2">
      <c r="A1405" s="65" t="str">
        <f ca="1">INDIRECT(_xlfn.TEXTJOIN("",TRUE,A1391,"!",ADDRESS(23+(A1392-1)*J1391,1)))</f>
        <v/>
      </c>
      <c r="B1405" s="65"/>
      <c r="C1405" s="66" t="str">
        <f ca="1">INDIRECT(_xlfn.TEXTJOIN("",TRUE,A1391,"!",ADDRESS(23+(A1392-1)*J1391,2)))</f>
        <v/>
      </c>
      <c r="D1405" s="66"/>
      <c r="E1405" s="66"/>
      <c r="F1405" s="66"/>
      <c r="G1405" s="66"/>
      <c r="H1405" s="25" t="str">
        <f ca="1">INDIRECT(_xlfn.TEXTJOIN("",TRUE,A1391,"!",ADDRESS(23+(A1392-1)*J1391,6)))</f>
        <v/>
      </c>
      <c r="I1405" s="25" t="str">
        <f ca="1">INDIRECT(_xlfn.TEXTJOIN("",TRUE,A1391,"!",ADDRESS(23+(A1392-1)*J1391,13)))</f>
        <v/>
      </c>
      <c r="J1405" s="25" t="e">
        <f ca="1">INDIRECT(_xlfn.TEXTJOIN("",TRUE,A1391,"!",ADDRESS(23+(A1392-1)*J1391,14)))</f>
        <v>#N/A</v>
      </c>
    </row>
    <row r="1406" spans="1:10" ht="10.5" customHeight="1" x14ac:dyDescent="0.2">
      <c r="A1406" s="65" t="str">
        <f ca="1">INDIRECT(_xlfn.TEXTJOIN("",TRUE,A1391,"!",ADDRESS(24+(A1392-1)*J1391,1)))</f>
        <v/>
      </c>
      <c r="B1406" s="65"/>
      <c r="C1406" s="66" t="str">
        <f ca="1">INDIRECT(_xlfn.TEXTJOIN("",TRUE,A1391,"!",ADDRESS(24+(A1392-1)*J1391,2)))</f>
        <v/>
      </c>
      <c r="D1406" s="66"/>
      <c r="E1406" s="66"/>
      <c r="F1406" s="66"/>
      <c r="G1406" s="66"/>
      <c r="H1406" s="25" t="str">
        <f ca="1">INDIRECT(_xlfn.TEXTJOIN("",TRUE,A1391,"!",ADDRESS(24+(A1392-1)*J1391,6)))</f>
        <v/>
      </c>
      <c r="I1406" s="25" t="str">
        <f ca="1">INDIRECT(_xlfn.TEXTJOIN("",TRUE,A1391,"!",ADDRESS(24+(A1392-1)*J1391,13)))</f>
        <v/>
      </c>
      <c r="J1406" s="25" t="e">
        <f ca="1">INDIRECT(_xlfn.TEXTJOIN("",TRUE,A1391,"!",ADDRESS(24+(A1392-1)*J1391,14)))</f>
        <v>#N/A</v>
      </c>
    </row>
    <row r="1407" spans="1:10" ht="10.5" customHeight="1" x14ac:dyDescent="0.2">
      <c r="A1407" s="65" t="str">
        <f ca="1">INDIRECT(_xlfn.TEXTJOIN("",TRUE,A1391,"!",ADDRESS(25+(A1392-1)*J1391,1)))</f>
        <v/>
      </c>
      <c r="B1407" s="65"/>
      <c r="C1407" s="66" t="str">
        <f ca="1">INDIRECT(_xlfn.TEXTJOIN("",TRUE,A1391,"!",ADDRESS(25+(A1392-1)*J1391,2)))</f>
        <v/>
      </c>
      <c r="D1407" s="66"/>
      <c r="E1407" s="66"/>
      <c r="F1407" s="66"/>
      <c r="G1407" s="66"/>
      <c r="H1407" s="25" t="str">
        <f ca="1">INDIRECT(_xlfn.TEXTJOIN("",TRUE,A1391,"!",ADDRESS(25+(A1392-1)*J1391,6)))</f>
        <v/>
      </c>
      <c r="I1407" s="25" t="str">
        <f ca="1">INDIRECT(_xlfn.TEXTJOIN("",TRUE,A1391,"!",ADDRESS(25+(A1392-1)*J1391,13)))</f>
        <v/>
      </c>
      <c r="J1407" s="25" t="e">
        <f ca="1">INDIRECT(_xlfn.TEXTJOIN("",TRUE,A1391,"!",ADDRESS(25+(A1392-1)*J1391,14)))</f>
        <v>#N/A</v>
      </c>
    </row>
    <row r="1408" spans="1:10" s="35" customFormat="1" ht="10.5" customHeight="1" x14ac:dyDescent="0.2">
      <c r="A1408" s="77" t="str">
        <f ca="1">INDIRECT(_xlfn.TEXTJOIN("",TRUE,A1391,"!",ADDRESS(26+(A1392-1)*J1391,1)))</f>
        <v/>
      </c>
      <c r="B1408" s="77"/>
      <c r="C1408" s="78" t="str">
        <f ca="1">INDIRECT(_xlfn.TEXTJOIN("",TRUE,A1391,"!",ADDRESS(26+(A1392-1)*J1391,2)))</f>
        <v/>
      </c>
      <c r="D1408" s="78"/>
      <c r="E1408" s="78"/>
      <c r="F1408" s="78"/>
      <c r="G1408" s="78"/>
      <c r="H1408" s="34" t="str">
        <f ca="1">INDIRECT(_xlfn.TEXTJOIN("",TRUE,A1391,"!",ADDRESS(26+(A1392-1)*J1391,6)))</f>
        <v/>
      </c>
      <c r="I1408" s="34" t="b">
        <f ca="1">INDIRECT(_xlfn.TEXTJOIN("",TRUE,A1391,"!",ADDRESS(26+(A1392-1)*J1391,13)))</f>
        <v>0</v>
      </c>
      <c r="J1408" s="34" t="e">
        <f ca="1">INDIRECT(_xlfn.TEXTJOIN("",TRUE,A1391,"!",ADDRESS(26+(A1392-1)*J1391,14)))</f>
        <v>#N/A</v>
      </c>
    </row>
    <row r="1409" spans="1:10" ht="10.5" customHeight="1" x14ac:dyDescent="0.2">
      <c r="A1409" s="71" t="s">
        <v>52</v>
      </c>
      <c r="B1409" s="71"/>
      <c r="C1409" s="71"/>
      <c r="D1409" s="71"/>
      <c r="E1409" s="71"/>
      <c r="F1409" s="71"/>
      <c r="G1409" s="71"/>
      <c r="H1409" s="27">
        <f ca="1">SUM(H1395:H1408)</f>
        <v>0</v>
      </c>
      <c r="I1409" s="26" t="s">
        <v>44</v>
      </c>
      <c r="J1409" s="27" t="e">
        <f ca="1">SUMPRODUCT(J1395:J1407,H1395:H1407)</f>
        <v>#N/A</v>
      </c>
    </row>
    <row r="1410" spans="1:10" ht="10.5" customHeight="1" x14ac:dyDescent="0.2">
      <c r="A1410" s="24" t="s">
        <v>57</v>
      </c>
      <c r="B1410" s="72" t="str">
        <f ca="1">IF(ISNA(A1411),"","Semester II (Spring Semester 2022-23)")</f>
        <v/>
      </c>
      <c r="C1410" s="72"/>
      <c r="D1410" s="72"/>
      <c r="E1410" s="72"/>
      <c r="F1410" s="72"/>
      <c r="G1410" s="72"/>
      <c r="H1410" s="72"/>
      <c r="I1410" s="72"/>
      <c r="J1410" s="24">
        <f>ROWS(A1414:B1423)+9</f>
        <v>19</v>
      </c>
    </row>
    <row r="1411" spans="1:10" ht="10.5" customHeight="1" x14ac:dyDescent="0.2">
      <c r="A1411" s="24" t="e">
        <f ca="1">INDEX(SEM_II!$A$6:$A$45,Marksheets!J1411)</f>
        <v>#N/A</v>
      </c>
      <c r="B1411" s="63"/>
      <c r="C1411" s="63"/>
      <c r="D1411" s="63"/>
      <c r="E1411" s="63"/>
      <c r="F1411" s="63"/>
      <c r="G1411" s="63"/>
      <c r="H1411" s="63"/>
      <c r="I1411" s="63"/>
      <c r="J1411" s="24" t="e">
        <f ca="1">MATCH(H1389,SEM_II!$B$6:$B$45,0)</f>
        <v>#N/A</v>
      </c>
    </row>
    <row r="1412" spans="1:10" ht="10.5" customHeight="1" x14ac:dyDescent="0.2">
      <c r="A1412" s="64" t="str">
        <f ca="1">IF(ISNA(A1411),"","Subject Code")</f>
        <v/>
      </c>
      <c r="B1412" s="64"/>
      <c r="C1412" s="64" t="str">
        <f ca="1">IF(ISNA(A1411),"","Subject Name")</f>
        <v/>
      </c>
      <c r="D1412" s="64"/>
      <c r="E1412" s="64"/>
      <c r="F1412" s="64"/>
      <c r="G1412" s="64"/>
      <c r="H1412" s="64" t="str">
        <f ca="1">IF(ISNA(A1411),"","Credits")</f>
        <v/>
      </c>
      <c r="I1412" s="64" t="str">
        <f ca="1">IF(ISNA(A1411),"","Grade")</f>
        <v/>
      </c>
      <c r="J1412" s="64" t="str">
        <f ca="1">IF(ISNA(A1411),"","Grade Points")</f>
        <v/>
      </c>
    </row>
    <row r="1413" spans="1:10" ht="14" customHeight="1" x14ac:dyDescent="0.2">
      <c r="A1413" s="64"/>
      <c r="B1413" s="64"/>
      <c r="C1413" s="64"/>
      <c r="D1413" s="64"/>
      <c r="E1413" s="64"/>
      <c r="F1413" s="64"/>
      <c r="G1413" s="64"/>
      <c r="H1413" s="64"/>
      <c r="I1413" s="64"/>
      <c r="J1413" s="64"/>
    </row>
    <row r="1414" spans="1:10" ht="10.5" customHeight="1" x14ac:dyDescent="0.2">
      <c r="A1414" s="65" t="str">
        <f ca="1">_xlfn.IFNA(INDIRECT(_xlfn.TEXTJOIN("",TRUE,A1410,"!",ADDRESS(13+(A1411-1)*J1410,1))),"")</f>
        <v/>
      </c>
      <c r="B1414" s="65"/>
      <c r="C1414" s="66" t="str">
        <f ca="1">_xlfn.IFNA(INDIRECT(_xlfn.TEXTJOIN("",TRUE,A1410,"!",ADDRESS(13+(A1411-1)*J1410,2))),"")</f>
        <v/>
      </c>
      <c r="D1414" s="66"/>
      <c r="E1414" s="66"/>
      <c r="F1414" s="66"/>
      <c r="G1414" s="66"/>
      <c r="H1414" s="25" t="str">
        <f ca="1">_xlfn.IFNA(INDIRECT(_xlfn.TEXTJOIN("",TRUE,A1410,"!",ADDRESS(13+(A1411-1)*J1410,6))),"")</f>
        <v/>
      </c>
      <c r="I1414" s="25" t="str">
        <f ca="1">_xlfn.IFNA(INDIRECT(_xlfn.TEXTJOIN("",TRUE,A1410,"!",ADDRESS(13+(A1411-1)*J1410,13))),"")</f>
        <v/>
      </c>
      <c r="J1414" s="25" t="str">
        <f ca="1">_xlfn.IFNA(INDIRECT(_xlfn.TEXTJOIN("",TRUE,A1410,"!",ADDRESS(13+(A1411-1)*J1410,14))),"")</f>
        <v/>
      </c>
    </row>
    <row r="1415" spans="1:10" ht="10.5" customHeight="1" x14ac:dyDescent="0.2">
      <c r="A1415" s="65" t="str">
        <f ca="1">_xlfn.IFNA(INDIRECT(_xlfn.TEXTJOIN("",TRUE,A1410,"!",ADDRESS(14+(A1411-1)*J1410,1))),"")</f>
        <v/>
      </c>
      <c r="B1415" s="65"/>
      <c r="C1415" s="66" t="str">
        <f ca="1">_xlfn.IFNA(INDIRECT(_xlfn.TEXTJOIN("",TRUE,A1410,"!",ADDRESS(14+(A1411-1)*J1410,2))),"")</f>
        <v/>
      </c>
      <c r="D1415" s="66"/>
      <c r="E1415" s="66"/>
      <c r="F1415" s="66"/>
      <c r="G1415" s="66"/>
      <c r="H1415" s="25" t="str">
        <f ca="1">_xlfn.IFNA(INDIRECT(_xlfn.TEXTJOIN("",TRUE,A1410,"!",ADDRESS(14+(A1411-1)*J1410,6))),"")</f>
        <v/>
      </c>
      <c r="I1415" s="25" t="str">
        <f ca="1">_xlfn.IFNA(INDIRECT(_xlfn.TEXTJOIN("",TRUE,A1410,"!",ADDRESS(14+(A1411-1)*J1410,13))),"")</f>
        <v/>
      </c>
      <c r="J1415" s="25" t="str">
        <f ca="1">_xlfn.IFNA(INDIRECT(_xlfn.TEXTJOIN("",TRUE,A1410,"!",ADDRESS(14+(A1411-1)*J1410,14))),"")</f>
        <v/>
      </c>
    </row>
    <row r="1416" spans="1:10" ht="10.5" customHeight="1" x14ac:dyDescent="0.2">
      <c r="A1416" s="65" t="str">
        <f ca="1">_xlfn.IFNA(INDIRECT(_xlfn.TEXTJOIN("",TRUE,A1410,"!",ADDRESS(15+(A1411-1)*J1410,1))),"")</f>
        <v/>
      </c>
      <c r="B1416" s="65"/>
      <c r="C1416" s="66" t="str">
        <f ca="1">_xlfn.IFNA(INDIRECT(_xlfn.TEXTJOIN("",TRUE,A1410,"!",ADDRESS(15+(A1411-1)*J1410,2))),"")</f>
        <v/>
      </c>
      <c r="D1416" s="66"/>
      <c r="E1416" s="66"/>
      <c r="F1416" s="66"/>
      <c r="G1416" s="66"/>
      <c r="H1416" s="25" t="str">
        <f ca="1">_xlfn.IFNA(INDIRECT(_xlfn.TEXTJOIN("",TRUE,A1410,"!",ADDRESS(15+(A1411-1)*J1410,6))),"")</f>
        <v/>
      </c>
      <c r="I1416" s="25" t="str">
        <f ca="1">_xlfn.IFNA(INDIRECT(_xlfn.TEXTJOIN("",TRUE,A1410,"!",ADDRESS(15+(A1411-1)*J1410,13))),"")</f>
        <v/>
      </c>
      <c r="J1416" s="25" t="str">
        <f ca="1">_xlfn.IFNA(INDIRECT(_xlfn.TEXTJOIN("",TRUE,A1410,"!",ADDRESS(15+(A1411-1)*J1410,14))),"")</f>
        <v/>
      </c>
    </row>
    <row r="1417" spans="1:10" ht="10.5" customHeight="1" x14ac:dyDescent="0.2">
      <c r="A1417" s="65" t="str">
        <f ca="1">_xlfn.IFNA(INDIRECT(_xlfn.TEXTJOIN("",TRUE,A1410,"!",ADDRESS(16+(A1411-1)*J1410,1))),"")</f>
        <v/>
      </c>
      <c r="B1417" s="65"/>
      <c r="C1417" s="66" t="str">
        <f ca="1">_xlfn.IFNA(INDIRECT(_xlfn.TEXTJOIN("",TRUE,A1410,"!",ADDRESS(16+(A1411-1)*J1410,2))),"")</f>
        <v/>
      </c>
      <c r="D1417" s="66"/>
      <c r="E1417" s="66"/>
      <c r="F1417" s="66"/>
      <c r="G1417" s="66"/>
      <c r="H1417" s="25" t="str">
        <f ca="1">_xlfn.IFNA(INDIRECT(_xlfn.TEXTJOIN("",TRUE,A1410,"!",ADDRESS(16+(A1411-1)*J1410,6))),"")</f>
        <v/>
      </c>
      <c r="I1417" s="25" t="str">
        <f ca="1">_xlfn.IFNA(INDIRECT(_xlfn.TEXTJOIN("",TRUE,A1410,"!",ADDRESS(16+(A1411-1)*J1410,13))),"")</f>
        <v/>
      </c>
      <c r="J1417" s="25" t="str">
        <f ca="1">_xlfn.IFNA(INDIRECT(_xlfn.TEXTJOIN("",TRUE,A1410,"!",ADDRESS(16+(A1411-1)*J1410,14))),"")</f>
        <v/>
      </c>
    </row>
    <row r="1418" spans="1:10" ht="10.5" customHeight="1" x14ac:dyDescent="0.2">
      <c r="A1418" s="65" t="str">
        <f ca="1">_xlfn.IFNA(INDIRECT(_xlfn.TEXTJOIN("",TRUE,A1410,"!",ADDRESS(17+(A1411-1)*J1410,1))),"")</f>
        <v/>
      </c>
      <c r="B1418" s="65"/>
      <c r="C1418" s="66" t="str">
        <f ca="1">_xlfn.IFNA(INDIRECT(_xlfn.TEXTJOIN("",TRUE,A1410,"!",ADDRESS(17+(A1411-1)*J1410,2))),"")</f>
        <v/>
      </c>
      <c r="D1418" s="66"/>
      <c r="E1418" s="66"/>
      <c r="F1418" s="66"/>
      <c r="G1418" s="66"/>
      <c r="H1418" s="25" t="str">
        <f ca="1">_xlfn.IFNA(INDIRECT(_xlfn.TEXTJOIN("",TRUE,A1410,"!",ADDRESS(17+(A1411-1)*J1410,6))),"")</f>
        <v/>
      </c>
      <c r="I1418" s="25" t="str">
        <f ca="1">_xlfn.IFNA(INDIRECT(_xlfn.TEXTJOIN("",TRUE,A1410,"!",ADDRESS(17+(A1411-1)*J1410,13))),"")</f>
        <v/>
      </c>
      <c r="J1418" s="25" t="str">
        <f ca="1">_xlfn.IFNA(INDIRECT(_xlfn.TEXTJOIN("",TRUE,A1410,"!",ADDRESS(17+(A1411-1)*J1410,14))),"")</f>
        <v/>
      </c>
    </row>
    <row r="1419" spans="1:10" ht="10.5" customHeight="1" x14ac:dyDescent="0.2">
      <c r="A1419" s="65" t="str">
        <f ca="1">_xlfn.IFNA(INDIRECT(_xlfn.TEXTJOIN("",TRUE,A1410,"!",ADDRESS(18+(A1411-1)*J1410,1))),"")</f>
        <v/>
      </c>
      <c r="B1419" s="65"/>
      <c r="C1419" s="66" t="str">
        <f ca="1">_xlfn.IFNA(INDIRECT(_xlfn.TEXTJOIN("",TRUE,A1410,"!",ADDRESS(18+(A1411-1)*J1410,2))),"")</f>
        <v/>
      </c>
      <c r="D1419" s="66"/>
      <c r="E1419" s="66"/>
      <c r="F1419" s="66"/>
      <c r="G1419" s="66"/>
      <c r="H1419" s="25" t="str">
        <f ca="1">_xlfn.IFNA(INDIRECT(_xlfn.TEXTJOIN("",TRUE,A1410,"!",ADDRESS(18+(A1411-1)*J1410,6))),"")</f>
        <v/>
      </c>
      <c r="I1419" s="25" t="str">
        <f ca="1">_xlfn.IFNA(INDIRECT(_xlfn.TEXTJOIN("",TRUE,A1410,"!",ADDRESS(18+(A1411-1)*J1410,13))),"")</f>
        <v/>
      </c>
      <c r="J1419" s="25" t="str">
        <f ca="1">_xlfn.IFNA(INDIRECT(_xlfn.TEXTJOIN("",TRUE,A1410,"!",ADDRESS(18+(A1411-1)*J1410,14))),"")</f>
        <v/>
      </c>
    </row>
    <row r="1420" spans="1:10" ht="10.5" customHeight="1" x14ac:dyDescent="0.2">
      <c r="A1420" s="60" t="str">
        <f ca="1">_xlfn.IFNA(INDIRECT(_xlfn.TEXTJOIN("",TRUE,A1410,"!",ADDRESS(19+(A1411-1)*J1410,1))),"")</f>
        <v/>
      </c>
      <c r="B1420" s="61"/>
      <c r="C1420" s="57" t="str">
        <f ca="1">_xlfn.IFNA(INDIRECT(_xlfn.TEXTJOIN("",TRUE,A1410,"!",ADDRESS(19+(A1411-1)*J1410,2))),"")</f>
        <v/>
      </c>
      <c r="D1420" s="58"/>
      <c r="E1420" s="58"/>
      <c r="F1420" s="58"/>
      <c r="G1420" s="59"/>
      <c r="H1420" s="25" t="str">
        <f ca="1">_xlfn.IFNA(INDIRECT(_xlfn.TEXTJOIN("",TRUE,A1410,"!",ADDRESS(19+(A1411-1)*J1410,6))),"")</f>
        <v/>
      </c>
      <c r="I1420" s="25" t="str">
        <f ca="1">_xlfn.IFNA(INDIRECT(_xlfn.TEXTJOIN("",TRUE,A1410,"!",ADDRESS(19+(A1411-1)*J1410,13))),"")</f>
        <v/>
      </c>
      <c r="J1420" s="25" t="str">
        <f ca="1">_xlfn.IFNA(INDIRECT(_xlfn.TEXTJOIN("",TRUE,A1410,"!",ADDRESS(19+(A1411-1)*J1410,14))),"")</f>
        <v/>
      </c>
    </row>
    <row r="1421" spans="1:10" ht="10.5" customHeight="1" x14ac:dyDescent="0.2">
      <c r="A1421" s="65" t="str">
        <f ca="1">_xlfn.IFNA(INDIRECT(_xlfn.TEXTJOIN("",TRUE,A1410,"!",ADDRESS(20+(A1411-1)*J1410,1))),"")</f>
        <v/>
      </c>
      <c r="B1421" s="65"/>
      <c r="C1421" s="66" t="str">
        <f ca="1">_xlfn.IFNA(INDIRECT(_xlfn.TEXTJOIN("",TRUE,A1410,"!",ADDRESS(20+(A1411-1)*J1410,2))),"")</f>
        <v/>
      </c>
      <c r="D1421" s="66"/>
      <c r="E1421" s="66"/>
      <c r="F1421" s="66"/>
      <c r="G1421" s="66"/>
      <c r="H1421" s="25" t="str">
        <f ca="1">_xlfn.IFNA(INDIRECT(_xlfn.TEXTJOIN("",TRUE,A1410,"!",ADDRESS(20+(A1411-1)*J1410,6))),"")</f>
        <v/>
      </c>
      <c r="I1421" s="25" t="str">
        <f ca="1">_xlfn.IFNA(INDIRECT(_xlfn.TEXTJOIN("",TRUE,A1410,"!",ADDRESS(20+(A1411-1)*J1410,13))),"")</f>
        <v/>
      </c>
      <c r="J1421" s="25" t="str">
        <f ca="1">_xlfn.IFNA(INDIRECT(_xlfn.TEXTJOIN("",TRUE,A1410,"!",ADDRESS(20+(A1411-1)*J1410,14))),"")</f>
        <v/>
      </c>
    </row>
    <row r="1422" spans="1:10" ht="10.5" customHeight="1" x14ac:dyDescent="0.2">
      <c r="A1422" s="65" t="str">
        <f ca="1">_xlfn.IFNA(INDIRECT(_xlfn.TEXTJOIN("",TRUE,A1410,"!",ADDRESS(21+(A1411-1)*J1410,1))),"")</f>
        <v/>
      </c>
      <c r="B1422" s="65"/>
      <c r="C1422" s="66" t="str">
        <f ca="1">_xlfn.IFNA(INDIRECT(_xlfn.TEXTJOIN("",TRUE,A1410,"!",ADDRESS(21+(A1411-1)*J1410,2))),"")</f>
        <v/>
      </c>
      <c r="D1422" s="66"/>
      <c r="E1422" s="66"/>
      <c r="F1422" s="66"/>
      <c r="G1422" s="66"/>
      <c r="H1422" s="25" t="str">
        <f ca="1">_xlfn.IFNA(INDIRECT(_xlfn.TEXTJOIN("",TRUE,A1410,"!",ADDRESS(21+(A1411-1)*J1410,6))),"")</f>
        <v/>
      </c>
      <c r="I1422" s="25" t="str">
        <f ca="1">_xlfn.IFNA(INDIRECT(_xlfn.TEXTJOIN("",TRUE,A1410,"!",ADDRESS(21+(A1411-1)*J1410,13))),"")</f>
        <v/>
      </c>
      <c r="J1422" s="25" t="str">
        <f ca="1">_xlfn.IFNA(INDIRECT(_xlfn.TEXTJOIN("",TRUE,A1410,"!",ADDRESS(21+(A1411-1)*J1410,14))),"")</f>
        <v/>
      </c>
    </row>
    <row r="1423" spans="1:10" ht="10.5" customHeight="1" x14ac:dyDescent="0.2">
      <c r="A1423" s="65" t="str">
        <f ca="1">_xlfn.IFNA(INDIRECT(_xlfn.TEXTJOIN("",TRUE,A1410,"!",ADDRESS(22+(A1411-1)*J1410,1))),"")</f>
        <v/>
      </c>
      <c r="B1423" s="65"/>
      <c r="C1423" s="66" t="str">
        <f ca="1">_xlfn.IFNA(INDIRECT(_xlfn.TEXTJOIN("",TRUE,A1410,"!",ADDRESS(22+(A1411-1)*J1410,2))),"")</f>
        <v/>
      </c>
      <c r="D1423" s="66"/>
      <c r="E1423" s="66"/>
      <c r="F1423" s="66"/>
      <c r="G1423" s="66"/>
      <c r="H1423" s="25" t="str">
        <f ca="1">_xlfn.IFNA(INDIRECT(_xlfn.TEXTJOIN("",TRUE,A1410,"!",ADDRESS(22+(A1411-1)*J1410,6))),"")</f>
        <v/>
      </c>
      <c r="I1423" s="25" t="str">
        <f ca="1">_xlfn.IFNA(INDIRECT(_xlfn.TEXTJOIN("",TRUE,A1410,"!",ADDRESS(22+(A1411-1)*J1410,13))),"")</f>
        <v/>
      </c>
      <c r="J1423" s="25" t="str">
        <f ca="1">_xlfn.IFNA(INDIRECT(_xlfn.TEXTJOIN("",TRUE,A1410,"!",ADDRESS(22+(A1411-1)*J1410,14))),"")</f>
        <v/>
      </c>
    </row>
    <row r="1424" spans="1:10" ht="10.5" customHeight="1" x14ac:dyDescent="0.2">
      <c r="A1424" s="71" t="str">
        <f ca="1">IF(ISNA(A1411),"","Total Credits/ Total Grade Points")</f>
        <v/>
      </c>
      <c r="B1424" s="71"/>
      <c r="C1424" s="71"/>
      <c r="D1424" s="71"/>
      <c r="E1424" s="71"/>
      <c r="F1424" s="71"/>
      <c r="G1424" s="71"/>
      <c r="H1424" s="27" t="str">
        <f ca="1">IF(ISNA(A1411),"",SUM(H1414:H1423))</f>
        <v/>
      </c>
      <c r="I1424" s="26" t="str">
        <f ca="1">IF(ISNA(A1411),"","-")</f>
        <v/>
      </c>
      <c r="J1424" s="27" t="str">
        <f ca="1">IF(ISNA(A1411),"",SUMPRODUCT(J1414:J1423,H1414:H1423))</f>
        <v/>
      </c>
    </row>
    <row r="1425" spans="1:10" ht="10.5" customHeight="1" x14ac:dyDescent="0.2">
      <c r="A1425" s="24" t="s">
        <v>60</v>
      </c>
      <c r="B1425" s="72" t="str">
        <f ca="1">IF(ISNA(A1426),"","Semester III (Autumn Semester 2023-24)")</f>
        <v/>
      </c>
      <c r="C1425" s="72"/>
      <c r="D1425" s="72"/>
      <c r="E1425" s="72"/>
      <c r="F1425" s="72"/>
      <c r="G1425" s="72"/>
      <c r="H1425" s="72"/>
      <c r="I1425" s="72"/>
      <c r="J1425" s="24">
        <f>ROWS(A1429:B1436)+9</f>
        <v>17</v>
      </c>
    </row>
    <row r="1426" spans="1:10" ht="10.5" customHeight="1" x14ac:dyDescent="0.2">
      <c r="A1426" s="24" t="e">
        <f ca="1">INDEX(SEM_III!$A$6:$A$43,Marksheets!J1426)</f>
        <v>#N/A</v>
      </c>
      <c r="B1426" s="63"/>
      <c r="C1426" s="63"/>
      <c r="D1426" s="63"/>
      <c r="E1426" s="63"/>
      <c r="F1426" s="63"/>
      <c r="G1426" s="63"/>
      <c r="H1426" s="63"/>
      <c r="I1426" s="63"/>
      <c r="J1426" s="24" t="e">
        <f ca="1">MATCH(H1389,SEM_III!$B$6:$B$43,0)</f>
        <v>#N/A</v>
      </c>
    </row>
    <row r="1427" spans="1:10" ht="10.5" customHeight="1" x14ac:dyDescent="0.2">
      <c r="A1427" s="64" t="str">
        <f ca="1">IF(ISNA(A1426),"","Subject Code")</f>
        <v/>
      </c>
      <c r="B1427" s="64"/>
      <c r="C1427" s="64" t="str">
        <f ca="1">IF(ISNA(A1426),"","Subject Name")</f>
        <v/>
      </c>
      <c r="D1427" s="64"/>
      <c r="E1427" s="64"/>
      <c r="F1427" s="64"/>
      <c r="G1427" s="64"/>
      <c r="H1427" s="64" t="str">
        <f ca="1">IF(ISNA(A1426),"","Credits")</f>
        <v/>
      </c>
      <c r="I1427" s="64" t="str">
        <f ca="1">IF(ISNA(A1426),"","Grade")</f>
        <v/>
      </c>
      <c r="J1427" s="64" t="str">
        <f ca="1">IF(ISNA(A1426),"","Grade Points")</f>
        <v/>
      </c>
    </row>
    <row r="1428" spans="1:10" ht="13.5" customHeight="1" x14ac:dyDescent="0.2">
      <c r="A1428" s="64"/>
      <c r="B1428" s="64"/>
      <c r="C1428" s="64"/>
      <c r="D1428" s="64"/>
      <c r="E1428" s="64"/>
      <c r="F1428" s="64"/>
      <c r="G1428" s="64"/>
      <c r="H1428" s="64"/>
      <c r="I1428" s="64"/>
      <c r="J1428" s="64"/>
    </row>
    <row r="1429" spans="1:10" ht="10.5" customHeight="1" x14ac:dyDescent="0.2">
      <c r="A1429" s="65" t="str">
        <f ca="1">_xlfn.IFNA(INDIRECT(_xlfn.TEXTJOIN("",TRUE,A1425,"!",ADDRESS(13+(A1426-1)*J1425,1))),"")</f>
        <v/>
      </c>
      <c r="B1429" s="65"/>
      <c r="C1429" s="66" t="str">
        <f ca="1">_xlfn.IFNA(INDIRECT(_xlfn.TEXTJOIN("",TRUE,A1425,"!",ADDRESS(13+(A1426-1)*J1425,2))),"")</f>
        <v/>
      </c>
      <c r="D1429" s="66"/>
      <c r="E1429" s="66"/>
      <c r="F1429" s="66"/>
      <c r="G1429" s="66"/>
      <c r="H1429" s="25" t="str">
        <f ca="1">_xlfn.IFNA(INDIRECT(_xlfn.TEXTJOIN("",TRUE,A1425,"!",ADDRESS(13+(A1426-1)*J1425,6))),"")</f>
        <v/>
      </c>
      <c r="I1429" s="25" t="str">
        <f ca="1">_xlfn.IFNA(INDIRECT(_xlfn.TEXTJOIN("",TRUE,A1425,"!",ADDRESS(13+(A1426-1)*J1425,13))),"")</f>
        <v/>
      </c>
      <c r="J1429" s="25" t="str">
        <f ca="1">_xlfn.IFNA(INDIRECT(_xlfn.TEXTJOIN("",TRUE,A1425,"!",ADDRESS(13+(A1426-1)*J1425,14))),"")</f>
        <v/>
      </c>
    </row>
    <row r="1430" spans="1:10" ht="10.5" customHeight="1" x14ac:dyDescent="0.2">
      <c r="A1430" s="65" t="str">
        <f ca="1">_xlfn.IFNA(INDIRECT(_xlfn.TEXTJOIN("",TRUE,A1425,"!",ADDRESS(14+(A1426-1)*J1425,1))),"")</f>
        <v/>
      </c>
      <c r="B1430" s="65"/>
      <c r="C1430" s="66" t="str">
        <f ca="1">_xlfn.IFNA(INDIRECT(_xlfn.TEXTJOIN("",TRUE,A1425,"!",ADDRESS(14+(A1426-1)*J1425,2))),"")</f>
        <v/>
      </c>
      <c r="D1430" s="66"/>
      <c r="E1430" s="66"/>
      <c r="F1430" s="66"/>
      <c r="G1430" s="66"/>
      <c r="H1430" s="25" t="str">
        <f ca="1">_xlfn.IFNA(INDIRECT(_xlfn.TEXTJOIN("",TRUE,A1425,"!",ADDRESS(14+(A1426-1)*J1425,6))),"")</f>
        <v/>
      </c>
      <c r="I1430" s="25" t="str">
        <f ca="1">_xlfn.IFNA(INDIRECT(_xlfn.TEXTJOIN("",TRUE,A1425,"!",ADDRESS(14+(A1426-1)*J1425,13))),"")</f>
        <v/>
      </c>
      <c r="J1430" s="25" t="str">
        <f ca="1">_xlfn.IFNA(INDIRECT(_xlfn.TEXTJOIN("",TRUE,A1425,"!",ADDRESS(14+(A1426-1)*J1425,14))),"")</f>
        <v/>
      </c>
    </row>
    <row r="1431" spans="1:10" ht="10.5" customHeight="1" x14ac:dyDescent="0.2">
      <c r="A1431" s="65" t="str">
        <f ca="1">_xlfn.IFNA(INDIRECT(_xlfn.TEXTJOIN("",TRUE,A1425,"!",ADDRESS(15+(A1426-1)*J1425,1))),"")</f>
        <v/>
      </c>
      <c r="B1431" s="65"/>
      <c r="C1431" s="66" t="str">
        <f ca="1">_xlfn.IFNA(INDIRECT(_xlfn.TEXTJOIN("",TRUE,A1425,"!",ADDRESS(15+(A1426-1)*J1425,2))),"")</f>
        <v/>
      </c>
      <c r="D1431" s="66"/>
      <c r="E1431" s="66"/>
      <c r="F1431" s="66"/>
      <c r="G1431" s="66"/>
      <c r="H1431" s="25" t="str">
        <f ca="1">_xlfn.IFNA(INDIRECT(_xlfn.TEXTJOIN("",TRUE,A1425,"!",ADDRESS(15+(A1426-1)*J1425,6))),"")</f>
        <v/>
      </c>
      <c r="I1431" s="25" t="str">
        <f ca="1">_xlfn.IFNA(INDIRECT(_xlfn.TEXTJOIN("",TRUE,A1425,"!",ADDRESS(15+(A1426-1)*J1425,13))),"")</f>
        <v/>
      </c>
      <c r="J1431" s="25" t="str">
        <f ca="1">_xlfn.IFNA(INDIRECT(_xlfn.TEXTJOIN("",TRUE,A1425,"!",ADDRESS(15+(A1426-1)*J1425,14))),"")</f>
        <v/>
      </c>
    </row>
    <row r="1432" spans="1:10" ht="10.5" customHeight="1" x14ac:dyDescent="0.2">
      <c r="A1432" s="65" t="str">
        <f ca="1">_xlfn.IFNA(INDIRECT(_xlfn.TEXTJOIN("",TRUE,A1425,"!",ADDRESS(16+(A1426-1)*J1425,1))),"")</f>
        <v/>
      </c>
      <c r="B1432" s="65"/>
      <c r="C1432" s="66" t="str">
        <f ca="1">_xlfn.IFNA(INDIRECT(_xlfn.TEXTJOIN("",TRUE,A1425,"!",ADDRESS(16+(A1426-1)*J1425,2))),"")</f>
        <v/>
      </c>
      <c r="D1432" s="66"/>
      <c r="E1432" s="66"/>
      <c r="F1432" s="66"/>
      <c r="G1432" s="66"/>
      <c r="H1432" s="25" t="str">
        <f ca="1">_xlfn.IFNA(INDIRECT(_xlfn.TEXTJOIN("",TRUE,A1425,"!",ADDRESS(16+(A1426-1)*J1425,6))),"")</f>
        <v/>
      </c>
      <c r="I1432" s="25" t="str">
        <f ca="1">_xlfn.IFNA(INDIRECT(_xlfn.TEXTJOIN("",TRUE,A1425,"!",ADDRESS(16+(A1426-1)*J1425,13))),"")</f>
        <v/>
      </c>
      <c r="J1432" s="25" t="str">
        <f ca="1">_xlfn.IFNA(INDIRECT(_xlfn.TEXTJOIN("",TRUE,A1425,"!",ADDRESS(16+(A1426-1)*J1425,14))),"")</f>
        <v/>
      </c>
    </row>
    <row r="1433" spans="1:10" ht="10.5" customHeight="1" x14ac:dyDescent="0.2">
      <c r="A1433" s="65" t="str">
        <f ca="1">_xlfn.IFNA(INDIRECT(_xlfn.TEXTJOIN("",TRUE,A1425,"!",ADDRESS(17+(A1426-1)*J1425,1))),"")</f>
        <v/>
      </c>
      <c r="B1433" s="65"/>
      <c r="C1433" s="66" t="str">
        <f ca="1">_xlfn.IFNA(INDIRECT(_xlfn.TEXTJOIN("",TRUE,A1425,"!",ADDRESS(17+(A1426-1)*J1425,2))),"")</f>
        <v/>
      </c>
      <c r="D1433" s="66"/>
      <c r="E1433" s="66"/>
      <c r="F1433" s="66"/>
      <c r="G1433" s="66"/>
      <c r="H1433" s="25" t="str">
        <f ca="1">_xlfn.IFNA(INDIRECT(_xlfn.TEXTJOIN("",TRUE,A1425,"!",ADDRESS(17+(A1426-1)*J1425,6))),"")</f>
        <v/>
      </c>
      <c r="I1433" s="25" t="str">
        <f ca="1">_xlfn.IFNA(INDIRECT(_xlfn.TEXTJOIN("",TRUE,A1425,"!",ADDRESS(17+(A1426-1)*J1425,13))),"")</f>
        <v/>
      </c>
      <c r="J1433" s="25" t="str">
        <f ca="1">_xlfn.IFNA(INDIRECT(_xlfn.TEXTJOIN("",TRUE,A1425,"!",ADDRESS(17+(A1426-1)*J1425,14))),"")</f>
        <v/>
      </c>
    </row>
    <row r="1434" spans="1:10" ht="10.5" customHeight="1" x14ac:dyDescent="0.2">
      <c r="A1434" s="65" t="str">
        <f ca="1">_xlfn.IFNA(INDIRECT(_xlfn.TEXTJOIN("",TRUE,A1425,"!",ADDRESS(18+(A1426-1)*J1425,1))),"")</f>
        <v/>
      </c>
      <c r="B1434" s="65"/>
      <c r="C1434" s="66" t="str">
        <f ca="1">_xlfn.IFNA(INDIRECT(_xlfn.TEXTJOIN("",TRUE,A1425,"!",ADDRESS(18+(A1426-1)*J1425,2))),"")</f>
        <v/>
      </c>
      <c r="D1434" s="66"/>
      <c r="E1434" s="66"/>
      <c r="F1434" s="66"/>
      <c r="G1434" s="66"/>
      <c r="H1434" s="25" t="str">
        <f ca="1">_xlfn.IFNA(INDIRECT(_xlfn.TEXTJOIN("",TRUE,A1425,"!",ADDRESS(18+(A1426-1)*J1425,6))),"")</f>
        <v/>
      </c>
      <c r="I1434" s="25" t="str">
        <f ca="1">_xlfn.IFNA(INDIRECT(_xlfn.TEXTJOIN("",TRUE,A1425,"!",ADDRESS(18+(A1426-1)*J1425,13))),"")</f>
        <v/>
      </c>
      <c r="J1434" s="25" t="str">
        <f ca="1">_xlfn.IFNA(INDIRECT(_xlfn.TEXTJOIN("",TRUE,A1425,"!",ADDRESS(18+(A1426-1)*J1425,14))),"")</f>
        <v/>
      </c>
    </row>
    <row r="1435" spans="1:10" ht="10.5" customHeight="1" x14ac:dyDescent="0.2">
      <c r="A1435" s="60" t="str">
        <f ca="1">_xlfn.IFNA(INDIRECT(_xlfn.TEXTJOIN("",TRUE,A1425,"!",ADDRESS(19+(A1426-1)*J1425,1))),"")</f>
        <v/>
      </c>
      <c r="B1435" s="61"/>
      <c r="C1435" s="57" t="str">
        <f ca="1">_xlfn.IFNA(INDIRECT(_xlfn.TEXTJOIN("",TRUE,A1425,"!",ADDRESS(19+(A1426-1)*J1425,2))),"")</f>
        <v/>
      </c>
      <c r="D1435" s="58"/>
      <c r="E1435" s="58"/>
      <c r="F1435" s="58"/>
      <c r="G1435" s="59"/>
      <c r="H1435" s="25" t="str">
        <f ca="1">_xlfn.IFNA(INDIRECT(_xlfn.TEXTJOIN("",TRUE,A1425,"!",ADDRESS(19+(A1426-1)*J1425,6))),"")</f>
        <v/>
      </c>
      <c r="I1435" s="25" t="str">
        <f ca="1">_xlfn.IFNA(INDIRECT(_xlfn.TEXTJOIN("",TRUE,A1425,"!",ADDRESS(19+(A1426-1)*J1425,13))),"")</f>
        <v/>
      </c>
      <c r="J1435" s="25" t="str">
        <f ca="1">_xlfn.IFNA(INDIRECT(_xlfn.TEXTJOIN("",TRUE,A1425,"!",ADDRESS(19+(A1426-1)*J1425,14))),"")</f>
        <v/>
      </c>
    </row>
    <row r="1436" spans="1:10" ht="10.5" customHeight="1" x14ac:dyDescent="0.2">
      <c r="A1436" s="65" t="str">
        <f ca="1">_xlfn.IFNA(INDIRECT(_xlfn.TEXTJOIN("",TRUE,A1425,"!",ADDRESS(20+(A1426-1)*J1425,1))),"")</f>
        <v/>
      </c>
      <c r="B1436" s="65"/>
      <c r="C1436" s="66" t="str">
        <f ca="1">_xlfn.IFNA(INDIRECT(_xlfn.TEXTJOIN("",TRUE,A1425,"!",ADDRESS(20+(A1426-1)*J1425,2))),"")</f>
        <v/>
      </c>
      <c r="D1436" s="66"/>
      <c r="E1436" s="66"/>
      <c r="F1436" s="66"/>
      <c r="G1436" s="66"/>
      <c r="H1436" s="25" t="str">
        <f ca="1">_xlfn.IFNA(INDIRECT(_xlfn.TEXTJOIN("",TRUE,A1425,"!",ADDRESS(20+(A1426-1)*J1425,6))),"")</f>
        <v/>
      </c>
      <c r="I1436" s="25" t="str">
        <f ca="1">_xlfn.IFNA(INDIRECT(_xlfn.TEXTJOIN("",TRUE,A1425,"!",ADDRESS(20+(A1426-1)*J1425,13))),"")</f>
        <v/>
      </c>
      <c r="J1436" s="25" t="str">
        <f ca="1">_xlfn.IFNA(INDIRECT(_xlfn.TEXTJOIN("",TRUE,A1425,"!",ADDRESS(20+(A1426-1)*J1425,14))),"")</f>
        <v/>
      </c>
    </row>
    <row r="1437" spans="1:10" ht="10.5" customHeight="1" x14ac:dyDescent="0.2">
      <c r="A1437" s="71" t="str">
        <f ca="1">IF(ISNA(A1426),"","Total Credits/ Total Grade Points")</f>
        <v/>
      </c>
      <c r="B1437" s="71"/>
      <c r="C1437" s="71"/>
      <c r="D1437" s="71"/>
      <c r="E1437" s="71"/>
      <c r="F1437" s="71"/>
      <c r="G1437" s="71"/>
      <c r="H1437" s="27" t="str">
        <f ca="1">IF(ISNA(A1426),"",SUM(H1429:H1436))</f>
        <v/>
      </c>
      <c r="I1437" s="26" t="str">
        <f ca="1">IF(ISNA(A1426),"","-")</f>
        <v/>
      </c>
      <c r="J1437" s="27" t="str">
        <f ca="1">IF(ISNA(A1426),"",SUMPRODUCT(J1429:J1436,H1429:H1436))</f>
        <v/>
      </c>
    </row>
    <row r="1438" spans="1:10" ht="10.5" customHeight="1" x14ac:dyDescent="0.2">
      <c r="A1438" s="24" t="s">
        <v>133</v>
      </c>
      <c r="B1438" s="72" t="str">
        <f ca="1">IF(ISNA(A1439),"","Semester IV (Spring Semester 2023-24)")</f>
        <v/>
      </c>
      <c r="C1438" s="72"/>
      <c r="D1438" s="72"/>
      <c r="E1438" s="72"/>
      <c r="F1438" s="72"/>
      <c r="G1438" s="72"/>
      <c r="H1438" s="72"/>
      <c r="I1438" s="72"/>
      <c r="J1438" s="24">
        <f>ROWS(A1442:B1448)+9</f>
        <v>16</v>
      </c>
    </row>
    <row r="1439" spans="1:10" ht="10.5" customHeight="1" x14ac:dyDescent="0.2">
      <c r="A1439" s="24" t="e">
        <f ca="1">INDEX(SEM_IV!$A$6:$A$43,Marksheets!J1439)</f>
        <v>#N/A</v>
      </c>
      <c r="B1439" s="63"/>
      <c r="C1439" s="63"/>
      <c r="D1439" s="63"/>
      <c r="E1439" s="63"/>
      <c r="F1439" s="63"/>
      <c r="G1439" s="63"/>
      <c r="H1439" s="63"/>
      <c r="I1439" s="63"/>
      <c r="J1439" s="24" t="e">
        <f ca="1">MATCH(H1389,SEM_IV!$B$6:$B$43,0)</f>
        <v>#N/A</v>
      </c>
    </row>
    <row r="1440" spans="1:10" ht="10.5" customHeight="1" x14ac:dyDescent="0.2">
      <c r="A1440" s="64" t="str">
        <f ca="1">IF(ISNA(A1439),"","Subject Code")</f>
        <v/>
      </c>
      <c r="B1440" s="64"/>
      <c r="C1440" s="64" t="str">
        <f ca="1">IF(ISNA(A1439),"","Subject Name")</f>
        <v/>
      </c>
      <c r="D1440" s="64"/>
      <c r="E1440" s="64"/>
      <c r="F1440" s="64"/>
      <c r="G1440" s="64"/>
      <c r="H1440" s="64" t="str">
        <f ca="1">IF(ISNA(A1439),"","Credits")</f>
        <v/>
      </c>
      <c r="I1440" s="64" t="str">
        <f ca="1">IF(ISNA(A1439),"","Grade")</f>
        <v/>
      </c>
      <c r="J1440" s="64" t="str">
        <f ca="1">IF(ISNA(A1439),"","Grade Points")</f>
        <v/>
      </c>
    </row>
    <row r="1441" spans="1:10" ht="13.5" customHeight="1" x14ac:dyDescent="0.2">
      <c r="A1441" s="64"/>
      <c r="B1441" s="64"/>
      <c r="C1441" s="64"/>
      <c r="D1441" s="64"/>
      <c r="E1441" s="64"/>
      <c r="F1441" s="64"/>
      <c r="G1441" s="64"/>
      <c r="H1441" s="64"/>
      <c r="I1441" s="64"/>
      <c r="J1441" s="64"/>
    </row>
    <row r="1442" spans="1:10" ht="10.5" customHeight="1" x14ac:dyDescent="0.2">
      <c r="A1442" s="65" t="str">
        <f ca="1">_xlfn.IFNA(INDIRECT(_xlfn.TEXTJOIN("",TRUE,A1438,"!",ADDRESS(13+(A1439-1)*J1438,1))),"")</f>
        <v/>
      </c>
      <c r="B1442" s="65"/>
      <c r="C1442" s="66" t="str">
        <f ca="1">_xlfn.IFNA(INDIRECT(_xlfn.TEXTJOIN("",TRUE,A1438,"!",ADDRESS(13+(A1439-1)*J1438,2))),"")</f>
        <v/>
      </c>
      <c r="D1442" s="66"/>
      <c r="E1442" s="66"/>
      <c r="F1442" s="66"/>
      <c r="G1442" s="66"/>
      <c r="H1442" s="25" t="str">
        <f ca="1">_xlfn.IFNA(INDIRECT(_xlfn.TEXTJOIN("",TRUE,A1438,"!",ADDRESS(13+(A1439-1)*J1438,6))),"")</f>
        <v/>
      </c>
      <c r="I1442" s="25" t="str">
        <f ca="1">_xlfn.IFNA(INDIRECT(_xlfn.TEXTJOIN("",TRUE,A1438,"!",ADDRESS(13+(A1439-1)*J1438,13))),"")</f>
        <v/>
      </c>
      <c r="J1442" s="25" t="str">
        <f ca="1">_xlfn.IFNA(INDIRECT(_xlfn.TEXTJOIN("",TRUE,A1438,"!",ADDRESS(13+(A1439-1)*J1438,14))),"")</f>
        <v/>
      </c>
    </row>
    <row r="1443" spans="1:10" ht="10.5" customHeight="1" x14ac:dyDescent="0.2">
      <c r="A1443" s="65" t="str">
        <f ca="1">_xlfn.IFNA(INDIRECT(_xlfn.TEXTJOIN("",TRUE,A1438,"!",ADDRESS(14+(A1439-1)*J1438,1))),"")</f>
        <v/>
      </c>
      <c r="B1443" s="65"/>
      <c r="C1443" s="66" t="str">
        <f ca="1">_xlfn.IFNA(INDIRECT(_xlfn.TEXTJOIN("",TRUE,A1438,"!",ADDRESS(14+(A1439-1)*J1438,2))),"")</f>
        <v/>
      </c>
      <c r="D1443" s="66"/>
      <c r="E1443" s="66"/>
      <c r="F1443" s="66"/>
      <c r="G1443" s="66"/>
      <c r="H1443" s="25" t="str">
        <f ca="1">_xlfn.IFNA(INDIRECT(_xlfn.TEXTJOIN("",TRUE,A1438,"!",ADDRESS(14+(A1439-1)*J1438,6))),"")</f>
        <v/>
      </c>
      <c r="I1443" s="25" t="str">
        <f ca="1">_xlfn.IFNA(INDIRECT(_xlfn.TEXTJOIN("",TRUE,A1438,"!",ADDRESS(14+(A1439-1)*J1438,13))),"")</f>
        <v/>
      </c>
      <c r="J1443" s="25" t="str">
        <f ca="1">_xlfn.IFNA(INDIRECT(_xlfn.TEXTJOIN("",TRUE,A1438,"!",ADDRESS(14+(A1439-1)*J1438,14))),"")</f>
        <v/>
      </c>
    </row>
    <row r="1444" spans="1:10" ht="10.5" customHeight="1" x14ac:dyDescent="0.2">
      <c r="A1444" s="65" t="str">
        <f ca="1">_xlfn.IFNA(INDIRECT(_xlfn.TEXTJOIN("",TRUE,A1438,"!",ADDRESS(15+(A1439-1)*J1438,1))),"")</f>
        <v/>
      </c>
      <c r="B1444" s="65"/>
      <c r="C1444" s="66" t="str">
        <f ca="1">_xlfn.IFNA(INDIRECT(_xlfn.TEXTJOIN("",TRUE,A1438,"!",ADDRESS(15+(A1439-1)*J1438,2))),"")</f>
        <v/>
      </c>
      <c r="D1444" s="66"/>
      <c r="E1444" s="66"/>
      <c r="F1444" s="66"/>
      <c r="G1444" s="66"/>
      <c r="H1444" s="25" t="str">
        <f ca="1">_xlfn.IFNA(INDIRECT(_xlfn.TEXTJOIN("",TRUE,A1438,"!",ADDRESS(15+(A1439-1)*J1438,6))),"")</f>
        <v/>
      </c>
      <c r="I1444" s="25" t="str">
        <f ca="1">_xlfn.IFNA(INDIRECT(_xlfn.TEXTJOIN("",TRUE,A1438,"!",ADDRESS(15+(A1439-1)*J1438,13))),"")</f>
        <v/>
      </c>
      <c r="J1444" s="25" t="str">
        <f ca="1">_xlfn.IFNA(INDIRECT(_xlfn.TEXTJOIN("",TRUE,A1438,"!",ADDRESS(15+(A1439-1)*J1438,14))),"")</f>
        <v/>
      </c>
    </row>
    <row r="1445" spans="1:10" ht="10.5" customHeight="1" x14ac:dyDescent="0.2">
      <c r="A1445" s="65" t="str">
        <f ca="1">_xlfn.IFNA(INDIRECT(_xlfn.TEXTJOIN("",TRUE,A1438,"!",ADDRESS(16+(A1439-1)*J1438,1))),"")</f>
        <v/>
      </c>
      <c r="B1445" s="65"/>
      <c r="C1445" s="66" t="str">
        <f ca="1">_xlfn.IFNA(INDIRECT(_xlfn.TEXTJOIN("",TRUE,A1438,"!",ADDRESS(16+(A1439-1)*J1438,2))),"")</f>
        <v/>
      </c>
      <c r="D1445" s="66"/>
      <c r="E1445" s="66"/>
      <c r="F1445" s="66"/>
      <c r="G1445" s="66"/>
      <c r="H1445" s="25" t="str">
        <f ca="1">_xlfn.IFNA(INDIRECT(_xlfn.TEXTJOIN("",TRUE,A1438,"!",ADDRESS(16+(A1439-1)*J1438,6))),"")</f>
        <v/>
      </c>
      <c r="I1445" s="25" t="str">
        <f ca="1">_xlfn.IFNA(INDIRECT(_xlfn.TEXTJOIN("",TRUE,A1438,"!",ADDRESS(16+(A1439-1)*J1438,13))),"")</f>
        <v/>
      </c>
      <c r="J1445" s="25" t="str">
        <f ca="1">_xlfn.IFNA(INDIRECT(_xlfn.TEXTJOIN("",TRUE,A1438,"!",ADDRESS(16+(A1439-1)*J1438,14))),"")</f>
        <v/>
      </c>
    </row>
    <row r="1446" spans="1:10" ht="10.5" customHeight="1" x14ac:dyDescent="0.2">
      <c r="A1446" s="65" t="str">
        <f ca="1">_xlfn.IFNA(INDIRECT(_xlfn.TEXTJOIN("",TRUE,A1438,"!",ADDRESS(17+(A1439-1)*J1438,1))),"")</f>
        <v/>
      </c>
      <c r="B1446" s="65"/>
      <c r="C1446" s="66" t="str">
        <f ca="1">_xlfn.IFNA(INDIRECT(_xlfn.TEXTJOIN("",TRUE,A1438,"!",ADDRESS(17+(A1439-1)*J1438,2))),"")</f>
        <v/>
      </c>
      <c r="D1446" s="66"/>
      <c r="E1446" s="66"/>
      <c r="F1446" s="66"/>
      <c r="G1446" s="66"/>
      <c r="H1446" s="25" t="str">
        <f ca="1">_xlfn.IFNA(INDIRECT(_xlfn.TEXTJOIN("",TRUE,A1438,"!",ADDRESS(17+(A1439-1)*J1438,6))),"")</f>
        <v/>
      </c>
      <c r="I1446" s="25" t="str">
        <f ca="1">_xlfn.IFNA(INDIRECT(_xlfn.TEXTJOIN("",TRUE,A1438,"!",ADDRESS(17+(A1439-1)*J1438,13))),"")</f>
        <v/>
      </c>
      <c r="J1446" s="25" t="str">
        <f ca="1">_xlfn.IFNA(INDIRECT(_xlfn.TEXTJOIN("",TRUE,A1438,"!",ADDRESS(17+(A1439-1)*J1438,14))),"")</f>
        <v/>
      </c>
    </row>
    <row r="1447" spans="1:10" ht="10.5" customHeight="1" x14ac:dyDescent="0.2">
      <c r="A1447" s="65" t="str">
        <f ca="1">_xlfn.IFNA(INDIRECT(_xlfn.TEXTJOIN("",TRUE,A1438,"!",ADDRESS(18+(A1439-1)*J1438,1))),"")</f>
        <v/>
      </c>
      <c r="B1447" s="65"/>
      <c r="C1447" s="66" t="str">
        <f ca="1">_xlfn.IFNA(INDIRECT(_xlfn.TEXTJOIN("",TRUE,A1438,"!",ADDRESS(18+(A1439-1)*J1438,2))),"")</f>
        <v/>
      </c>
      <c r="D1447" s="66"/>
      <c r="E1447" s="66"/>
      <c r="F1447" s="66"/>
      <c r="G1447" s="66"/>
      <c r="H1447" s="25" t="str">
        <f ca="1">_xlfn.IFNA(INDIRECT(_xlfn.TEXTJOIN("",TRUE,A1438,"!",ADDRESS(18+(A1439-1)*J1438,6))),"")</f>
        <v/>
      </c>
      <c r="I1447" s="25" t="str">
        <f ca="1">_xlfn.IFNA(INDIRECT(_xlfn.TEXTJOIN("",TRUE,A1438,"!",ADDRESS(18+(A1439-1)*J1438,13))),"")</f>
        <v/>
      </c>
      <c r="J1447" s="25" t="str">
        <f ca="1">_xlfn.IFNA(INDIRECT(_xlfn.TEXTJOIN("",TRUE,A1438,"!",ADDRESS(18+(A1439-1)*J1438,14))),"")</f>
        <v/>
      </c>
    </row>
    <row r="1448" spans="1:10" ht="10.5" customHeight="1" x14ac:dyDescent="0.2">
      <c r="A1448" s="60" t="str">
        <f ca="1">_xlfn.IFNA(INDIRECT(_xlfn.TEXTJOIN("",TRUE,A1438,"!",ADDRESS(19+(A1439-1)*J1438,1))),"")</f>
        <v/>
      </c>
      <c r="B1448" s="61"/>
      <c r="C1448" s="57" t="str">
        <f ca="1">_xlfn.IFNA(INDIRECT(_xlfn.TEXTJOIN("",TRUE,A1438,"!",ADDRESS(19+(A1439-1)*J1438,2))),"")</f>
        <v/>
      </c>
      <c r="D1448" s="58"/>
      <c r="E1448" s="58"/>
      <c r="F1448" s="58"/>
      <c r="G1448" s="59"/>
      <c r="H1448" s="25" t="str">
        <f ca="1">_xlfn.IFNA(INDIRECT(_xlfn.TEXTJOIN("",TRUE,A1438,"!",ADDRESS(19+(A1439-1)*J1438,6))),"")</f>
        <v/>
      </c>
      <c r="I1448" s="25" t="str">
        <f ca="1">_xlfn.IFNA(INDIRECT(_xlfn.TEXTJOIN("",TRUE,A1438,"!",ADDRESS(19+(A1439-1)*J1438,13))),"")</f>
        <v/>
      </c>
      <c r="J1448" s="25" t="str">
        <f ca="1">_xlfn.IFNA(INDIRECT(_xlfn.TEXTJOIN("",TRUE,A1438,"!",ADDRESS(19+(A1439-1)*J1438,14))),"")</f>
        <v/>
      </c>
    </row>
    <row r="1449" spans="1:10" ht="10.5" customHeight="1" x14ac:dyDescent="0.2">
      <c r="A1449" s="71" t="str">
        <f ca="1">IF(ISNA(A1439),"","Total Credits/ Total Grade Points")</f>
        <v/>
      </c>
      <c r="B1449" s="71"/>
      <c r="C1449" s="71"/>
      <c r="D1449" s="71"/>
      <c r="E1449" s="71"/>
      <c r="F1449" s="71"/>
      <c r="G1449" s="71"/>
      <c r="H1449" s="27" t="str">
        <f ca="1">IF(ISNA(A1439),"",SUM(H1441:H1448))</f>
        <v/>
      </c>
      <c r="I1449" s="26" t="str">
        <f ca="1">IF(ISNA(A1439),"","-")</f>
        <v/>
      </c>
      <c r="J1449" s="27" t="str">
        <f ca="1">IF(ISNA(A1439),"",SUMPRODUCT(J1441:J1448,H1441:H1448))</f>
        <v/>
      </c>
    </row>
    <row r="1450" spans="1:10" ht="10.5" customHeight="1" x14ac:dyDescent="0.2">
      <c r="A1450" s="75" t="s">
        <v>137</v>
      </c>
      <c r="B1450" s="75"/>
      <c r="C1450" s="75"/>
      <c r="D1450" s="75"/>
      <c r="E1450" s="75"/>
      <c r="F1450" s="76" t="s">
        <v>138</v>
      </c>
      <c r="G1450" s="76"/>
      <c r="H1450" s="76"/>
      <c r="I1450" s="76"/>
      <c r="J1450" s="76"/>
    </row>
    <row r="1451" spans="1:10" ht="10.5" customHeight="1" x14ac:dyDescent="0.2">
      <c r="A1451" s="43" t="s">
        <v>139</v>
      </c>
      <c r="B1451" s="43"/>
      <c r="C1451" s="43"/>
      <c r="D1451" s="43"/>
      <c r="E1451" s="43"/>
      <c r="F1451" s="43"/>
      <c r="G1451" s="43"/>
      <c r="H1451" s="43"/>
      <c r="I1451" s="43"/>
      <c r="J1451" s="43"/>
    </row>
    <row r="1452" spans="1:10" ht="10.5" customHeight="1" x14ac:dyDescent="0.2">
      <c r="A1452" s="10"/>
      <c r="B1452" s="26"/>
      <c r="C1452" s="26" t="s">
        <v>140</v>
      </c>
      <c r="D1452" s="26" t="s">
        <v>141</v>
      </c>
      <c r="E1452" s="26" t="s">
        <v>142</v>
      </c>
      <c r="F1452" s="26" t="s">
        <v>143</v>
      </c>
      <c r="G1452" s="26" t="s">
        <v>144</v>
      </c>
      <c r="H1452" s="79" t="s">
        <v>145</v>
      </c>
      <c r="I1452" s="79"/>
      <c r="J1452" s="30"/>
    </row>
    <row r="1453" spans="1:10" ht="10.5" customHeight="1" x14ac:dyDescent="0.2">
      <c r="A1453" s="10"/>
      <c r="B1453" s="80" t="s">
        <v>146</v>
      </c>
      <c r="C1453" s="73" t="e">
        <f ca="1">J1409/H1409</f>
        <v>#N/A</v>
      </c>
      <c r="D1453" s="73" t="e">
        <f ca="1">J1424/H1424</f>
        <v>#VALUE!</v>
      </c>
      <c r="E1453" s="73" t="str">
        <f ca="1">IFERROR(J1437/H1437,"")</f>
        <v/>
      </c>
      <c r="F1453" s="73" t="str">
        <f ca="1">IFERROR(J1449/H1449,"")</f>
        <v/>
      </c>
      <c r="G1453" s="82" t="e">
        <f ca="1">F1455</f>
        <v>#N/A</v>
      </c>
      <c r="H1453" s="83" t="e">
        <f ca="1">IF(TC_IV!N325&lt;96,_xlfn.TEXTJOIN(" ",TRUE,"CARRY OVER",TC_I!V487,TC_II!V403,TC_III!V344,TC_IV!V324),IF(G1453&gt;=8,"First Division with Distinction",IF(G1453&gt;=6.5,"First Division",IF(G1453&gt;=5,"Second Division",IF(G1453&gt;=4,"Third Division","Fail")))))</f>
        <v>#N/A</v>
      </c>
      <c r="I1453" s="83"/>
      <c r="J1453" s="30"/>
    </row>
    <row r="1454" spans="1:10" ht="10.5" customHeight="1" x14ac:dyDescent="0.2">
      <c r="B1454" s="81"/>
      <c r="C1454" s="74"/>
      <c r="D1454" s="74"/>
      <c r="E1454" s="74"/>
      <c r="F1454" s="74"/>
      <c r="G1454" s="82"/>
      <c r="H1454" s="83"/>
      <c r="I1454" s="83"/>
    </row>
    <row r="1455" spans="1:10" ht="10.5" customHeight="1" x14ac:dyDescent="0.2">
      <c r="B1455" s="80" t="s">
        <v>48</v>
      </c>
      <c r="C1455" s="73" t="e">
        <f ca="1">J1409/H1409</f>
        <v>#N/A</v>
      </c>
      <c r="D1455" s="73" t="e">
        <f ca="1">SUM(J1424,J1409)/SUM(H1424,H1409)</f>
        <v>#N/A</v>
      </c>
      <c r="E1455" s="73" t="e">
        <f ca="1">SUM(J1437,J1424,J1409)/SUM(H1437,H1424,H1409)</f>
        <v>#N/A</v>
      </c>
      <c r="F1455" s="73" t="e">
        <f ca="1">SUM(J1449,J1437,J1424,J1409)/SUM(H1409,H1424,H1437,H1449)</f>
        <v>#N/A</v>
      </c>
      <c r="G1455" s="82"/>
      <c r="H1455" s="83"/>
      <c r="I1455" s="83"/>
    </row>
    <row r="1456" spans="1:10" ht="10.5" customHeight="1" x14ac:dyDescent="0.2">
      <c r="B1456" s="81"/>
      <c r="C1456" s="74"/>
      <c r="D1456" s="74"/>
      <c r="E1456" s="74"/>
      <c r="F1456" s="74"/>
      <c r="G1456" s="82"/>
      <c r="H1456" s="83"/>
      <c r="I1456" s="83"/>
    </row>
    <row r="1458" spans="1:10" ht="10.5" customHeight="1" x14ac:dyDescent="0.2">
      <c r="A1458" s="56" t="s">
        <v>24</v>
      </c>
      <c r="B1458" s="56"/>
      <c r="C1458" s="56" t="str">
        <f ca="1">INDIRECT(_xlfn.TEXTJOIN("",TRUE,A1460,"!",ADDRESS(9+(A1461-1)*J1460,2)))</f>
        <v/>
      </c>
      <c r="D1458" s="56"/>
      <c r="E1458" s="56"/>
      <c r="F1458" s="56" t="s">
        <v>135</v>
      </c>
      <c r="G1458" s="56"/>
      <c r="H1458" s="62" t="str">
        <f ca="1">INDIRECT(_xlfn.TEXTJOIN("",TRUE,A1460,"!",ADDRESS(9+(A1461-1)*J1460,9)))</f>
        <v/>
      </c>
      <c r="I1458" s="56"/>
      <c r="J1458" s="56"/>
    </row>
    <row r="1459" spans="1:10" ht="10.5" customHeight="1" x14ac:dyDescent="0.2">
      <c r="A1459" s="56" t="s">
        <v>25</v>
      </c>
      <c r="B1459" s="56"/>
      <c r="C1459" s="56" t="str">
        <f ca="1">INDIRECT(_xlfn.TEXTJOIN("",TRUE,A1460,"!",ADDRESS(9+(A1461-1)*J1460,5)))</f>
        <v/>
      </c>
      <c r="D1459" s="56"/>
      <c r="E1459" s="56"/>
      <c r="F1459" s="47" t="s">
        <v>136</v>
      </c>
      <c r="G1459" s="47"/>
      <c r="H1459" s="62" t="str">
        <f ca="1">INDIRECT(_xlfn.TEXTJOIN("",TRUE,A1460,"!",ADDRESS(9+(A1461-1)*J1460,13)))</f>
        <v/>
      </c>
      <c r="I1459" s="56"/>
      <c r="J1459" s="56"/>
    </row>
    <row r="1460" spans="1:10" ht="10.5" customHeight="1" x14ac:dyDescent="0.2">
      <c r="A1460" s="24" t="s">
        <v>53</v>
      </c>
      <c r="B1460" s="43" t="s">
        <v>148</v>
      </c>
      <c r="C1460" s="43"/>
      <c r="D1460" s="43"/>
      <c r="E1460" s="43"/>
      <c r="F1460" s="43"/>
      <c r="G1460" s="43"/>
      <c r="H1460" s="43"/>
      <c r="I1460" s="43"/>
      <c r="J1460" s="24">
        <f>ROWS(A1464:B1477)+9</f>
        <v>23</v>
      </c>
    </row>
    <row r="1461" spans="1:10" ht="10.5" customHeight="1" x14ac:dyDescent="0.2">
      <c r="A1461" s="24">
        <f>A1392+1</f>
        <v>22</v>
      </c>
      <c r="B1461" s="63"/>
      <c r="C1461" s="63"/>
      <c r="D1461" s="63"/>
      <c r="E1461" s="63"/>
      <c r="F1461" s="63"/>
      <c r="G1461" s="63"/>
      <c r="H1461" s="63"/>
      <c r="I1461" s="63"/>
      <c r="J1461" s="29"/>
    </row>
    <row r="1462" spans="1:10" ht="10.5" customHeight="1" x14ac:dyDescent="0.2">
      <c r="A1462" s="64" t="s">
        <v>28</v>
      </c>
      <c r="B1462" s="64"/>
      <c r="C1462" s="64" t="s">
        <v>29</v>
      </c>
      <c r="D1462" s="64"/>
      <c r="E1462" s="64"/>
      <c r="F1462" s="64"/>
      <c r="G1462" s="64"/>
      <c r="H1462" s="64" t="s">
        <v>30</v>
      </c>
      <c r="I1462" s="64" t="s">
        <v>9</v>
      </c>
      <c r="J1462" s="64" t="s">
        <v>34</v>
      </c>
    </row>
    <row r="1463" spans="1:10" ht="12.5" customHeight="1" x14ac:dyDescent="0.2">
      <c r="A1463" s="64"/>
      <c r="B1463" s="64"/>
      <c r="C1463" s="64"/>
      <c r="D1463" s="64"/>
      <c r="E1463" s="64"/>
      <c r="F1463" s="64"/>
      <c r="G1463" s="64"/>
      <c r="H1463" s="64"/>
      <c r="I1463" s="64"/>
      <c r="J1463" s="64"/>
    </row>
    <row r="1464" spans="1:10" ht="10.5" customHeight="1" x14ac:dyDescent="0.2">
      <c r="A1464" s="65" t="str">
        <f ca="1">INDIRECT(_xlfn.TEXTJOIN("",TRUE,A1460,"!",ADDRESS(13+(A1461-1)*J1460,1)))</f>
        <v/>
      </c>
      <c r="B1464" s="65"/>
      <c r="C1464" s="66" t="str">
        <f ca="1">INDIRECT(_xlfn.TEXTJOIN("",TRUE,A1460,"!",ADDRESS(13+(A1461-1)*J1460,2)))</f>
        <v/>
      </c>
      <c r="D1464" s="66"/>
      <c r="E1464" s="66"/>
      <c r="F1464" s="66"/>
      <c r="G1464" s="66"/>
      <c r="H1464" s="25" t="str">
        <f ca="1">INDIRECT(_xlfn.TEXTJOIN("",TRUE,A1460,"!",ADDRESS(13+(A1461-1)*J1460,6)))</f>
        <v/>
      </c>
      <c r="I1464" s="25" t="str">
        <f ca="1">INDIRECT(_xlfn.TEXTJOIN("",TRUE,A1460,"!",ADDRESS(13+(A1461-1)*J1460,13)))</f>
        <v/>
      </c>
      <c r="J1464" s="25" t="e">
        <f ca="1">INDIRECT(_xlfn.TEXTJOIN("",TRUE,A1460,"!",ADDRESS(13+(A1461-1)*J1460,14)))</f>
        <v>#N/A</v>
      </c>
    </row>
    <row r="1465" spans="1:10" ht="10.5" customHeight="1" x14ac:dyDescent="0.2">
      <c r="A1465" s="65" t="str">
        <f ca="1">INDIRECT(_xlfn.TEXTJOIN("",TRUE,A1460,"!",ADDRESS(14+(A1461-1)*J1460,1)))</f>
        <v/>
      </c>
      <c r="B1465" s="65"/>
      <c r="C1465" s="66" t="str">
        <f ca="1">INDIRECT(_xlfn.TEXTJOIN("",TRUE,A1460,"!",ADDRESS(14+(A1461-1)*J1460,2)))</f>
        <v/>
      </c>
      <c r="D1465" s="66"/>
      <c r="E1465" s="66"/>
      <c r="F1465" s="66"/>
      <c r="G1465" s="66"/>
      <c r="H1465" s="25" t="str">
        <f ca="1">INDIRECT(_xlfn.TEXTJOIN("",TRUE,A1460,"!",ADDRESS(14+(A1461-1)*J1460,6)))</f>
        <v/>
      </c>
      <c r="I1465" s="25" t="str">
        <f ca="1">INDIRECT(_xlfn.TEXTJOIN("",TRUE,A1460,"!",ADDRESS(14+(A1461-1)*J1460,13)))</f>
        <v/>
      </c>
      <c r="J1465" s="25" t="e">
        <f ca="1">INDIRECT(_xlfn.TEXTJOIN("",TRUE,A1460,"!",ADDRESS(14+(A1461-1)*J1460,14)))</f>
        <v>#N/A</v>
      </c>
    </row>
    <row r="1466" spans="1:10" ht="10.5" customHeight="1" x14ac:dyDescent="0.2">
      <c r="A1466" s="65" t="str">
        <f ca="1">INDIRECT(_xlfn.TEXTJOIN("",TRUE,A1460,"!",ADDRESS(15+(A1461-1)*J1460,1)))</f>
        <v/>
      </c>
      <c r="B1466" s="65"/>
      <c r="C1466" s="66" t="str">
        <f ca="1">INDIRECT(_xlfn.TEXTJOIN("",TRUE,A1460,"!",ADDRESS(15+(A1461-1)*J1460,2)))</f>
        <v/>
      </c>
      <c r="D1466" s="66"/>
      <c r="E1466" s="66"/>
      <c r="F1466" s="66"/>
      <c r="G1466" s="66"/>
      <c r="H1466" s="25" t="str">
        <f ca="1">INDIRECT(_xlfn.TEXTJOIN("",TRUE,A1460,"!",ADDRESS(15+(A1461-1)*J1460,6)))</f>
        <v/>
      </c>
      <c r="I1466" s="25" t="str">
        <f ca="1">INDIRECT(_xlfn.TEXTJOIN("",TRUE,A1460,"!",ADDRESS(15+(A1461-1)*J1460,13)))</f>
        <v/>
      </c>
      <c r="J1466" s="25" t="e">
        <f ca="1">INDIRECT(_xlfn.TEXTJOIN("",TRUE,A1460,"!",ADDRESS(15+(A1461-1)*J1460,14)))</f>
        <v>#N/A</v>
      </c>
    </row>
    <row r="1467" spans="1:10" ht="10.5" customHeight="1" x14ac:dyDescent="0.2">
      <c r="A1467" s="65" t="str">
        <f ca="1">INDIRECT(_xlfn.TEXTJOIN("",TRUE,A1460,"!",ADDRESS(16+(A1461-1)*J1460,1)))</f>
        <v/>
      </c>
      <c r="B1467" s="65"/>
      <c r="C1467" s="66" t="str">
        <f ca="1">INDIRECT(_xlfn.TEXTJOIN("",TRUE,A1460,"!",ADDRESS(16+(A1461-1)*J1460,2)))</f>
        <v/>
      </c>
      <c r="D1467" s="66"/>
      <c r="E1467" s="66"/>
      <c r="F1467" s="66"/>
      <c r="G1467" s="66"/>
      <c r="H1467" s="25" t="str">
        <f ca="1">INDIRECT(_xlfn.TEXTJOIN("",TRUE,A1460,"!",ADDRESS(16+(A1461-1)*J1460,6)))</f>
        <v/>
      </c>
      <c r="I1467" s="25" t="str">
        <f ca="1">INDIRECT(_xlfn.TEXTJOIN("",TRUE,A1460,"!",ADDRESS(16+(A1461-1)*J1460,13)))</f>
        <v/>
      </c>
      <c r="J1467" s="25" t="e">
        <f ca="1">INDIRECT(_xlfn.TEXTJOIN("",TRUE,A1460,"!",ADDRESS(16+(A1461-1)*J1460,14)))</f>
        <v>#N/A</v>
      </c>
    </row>
    <row r="1468" spans="1:10" ht="10.5" customHeight="1" x14ac:dyDescent="0.2">
      <c r="A1468" s="65" t="str">
        <f ca="1">INDIRECT(_xlfn.TEXTJOIN("",TRUE,A1460,"!",ADDRESS(17+(A1461-1)*J1460,1)))</f>
        <v/>
      </c>
      <c r="B1468" s="65"/>
      <c r="C1468" s="66" t="str">
        <f ca="1">INDIRECT(_xlfn.TEXTJOIN("",TRUE,A1460,"!",ADDRESS(17+(A1461-1)*J1460,2)))</f>
        <v/>
      </c>
      <c r="D1468" s="66"/>
      <c r="E1468" s="66"/>
      <c r="F1468" s="66"/>
      <c r="G1468" s="66"/>
      <c r="H1468" s="25" t="str">
        <f ca="1">INDIRECT(_xlfn.TEXTJOIN("",TRUE,A1460,"!",ADDRESS(17+(A1461-1)*J1460,6)))</f>
        <v/>
      </c>
      <c r="I1468" s="25" t="str">
        <f ca="1">INDIRECT(_xlfn.TEXTJOIN("",TRUE,A1460,"!",ADDRESS(17+(A1461-1)*J1460,13)))</f>
        <v/>
      </c>
      <c r="J1468" s="25" t="e">
        <f ca="1">INDIRECT(_xlfn.TEXTJOIN("",TRUE,A1460,"!",ADDRESS(17+(A1461-1)*J1460,14)))</f>
        <v>#N/A</v>
      </c>
    </row>
    <row r="1469" spans="1:10" ht="10.5" customHeight="1" x14ac:dyDescent="0.2">
      <c r="A1469" s="65" t="str">
        <f ca="1">INDIRECT(_xlfn.TEXTJOIN("",TRUE,A1460,"!",ADDRESS(18+(A1461-1)*J1460,1)))</f>
        <v/>
      </c>
      <c r="B1469" s="65"/>
      <c r="C1469" s="66" t="str">
        <f ca="1">INDIRECT(_xlfn.TEXTJOIN("",TRUE,A1460,"!",ADDRESS(18+(A1461-1)*J1460,2)))</f>
        <v/>
      </c>
      <c r="D1469" s="66"/>
      <c r="E1469" s="66"/>
      <c r="F1469" s="66"/>
      <c r="G1469" s="66"/>
      <c r="H1469" s="25" t="str">
        <f ca="1">INDIRECT(_xlfn.TEXTJOIN("",TRUE,A1460,"!",ADDRESS(18+(A1461-1)*J1460,6)))</f>
        <v/>
      </c>
      <c r="I1469" s="25" t="str">
        <f ca="1">INDIRECT(_xlfn.TEXTJOIN("",TRUE,A1460,"!",ADDRESS(18+(A1461-1)*J1460,13)))</f>
        <v/>
      </c>
      <c r="J1469" s="25" t="e">
        <f ca="1">INDIRECT(_xlfn.TEXTJOIN("",TRUE,A1460,"!",ADDRESS(18+(A1461-1)*J1460,14)))</f>
        <v>#N/A</v>
      </c>
    </row>
    <row r="1470" spans="1:10" ht="10.5" customHeight="1" x14ac:dyDescent="0.2">
      <c r="A1470" s="60" t="str">
        <f ca="1">INDIRECT(_xlfn.TEXTJOIN("",TRUE,A1460,"!",ADDRESS(19+(A1461-1)*J1460,1)))</f>
        <v/>
      </c>
      <c r="B1470" s="61"/>
      <c r="C1470" s="57" t="str">
        <f ca="1">INDIRECT(_xlfn.TEXTJOIN("",TRUE,A1460,"!",ADDRESS(19+(A1461-1)*J1460,2)))</f>
        <v/>
      </c>
      <c r="D1470" s="58"/>
      <c r="E1470" s="58"/>
      <c r="F1470" s="58"/>
      <c r="G1470" s="59"/>
      <c r="H1470" s="25" t="str">
        <f ca="1">INDIRECT(_xlfn.TEXTJOIN("",TRUE,A1460,"!",ADDRESS(19+(A1461-1)*J1460,6)))</f>
        <v/>
      </c>
      <c r="I1470" s="25" t="str">
        <f ca="1">INDIRECT(_xlfn.TEXTJOIN("",TRUE,A1460,"!",ADDRESS(19+(A1461-1)*J1460,13)))</f>
        <v/>
      </c>
      <c r="J1470" s="25" t="e">
        <f ca="1">INDIRECT(_xlfn.TEXTJOIN("",TRUE,A1460,"!",ADDRESS(19+(A1461-1)*J1460,14)))</f>
        <v>#N/A</v>
      </c>
    </row>
    <row r="1471" spans="1:10" ht="10.5" customHeight="1" x14ac:dyDescent="0.2">
      <c r="A1471" s="65" t="str">
        <f ca="1">INDIRECT(_xlfn.TEXTJOIN("",TRUE,A1460,"!",ADDRESS(20+(A1461-1)*J1460,1)))</f>
        <v/>
      </c>
      <c r="B1471" s="65"/>
      <c r="C1471" s="66" t="str">
        <f ca="1">INDIRECT(_xlfn.TEXTJOIN("",TRUE,A1460,"!",ADDRESS(20+(A1461-1)*J1460,2)))</f>
        <v/>
      </c>
      <c r="D1471" s="66"/>
      <c r="E1471" s="66"/>
      <c r="F1471" s="66"/>
      <c r="G1471" s="66"/>
      <c r="H1471" s="25" t="str">
        <f ca="1">INDIRECT(_xlfn.TEXTJOIN("",TRUE,A1460,"!",ADDRESS(20+(A1461-1)*J1460,6)))</f>
        <v/>
      </c>
      <c r="I1471" s="25" t="str">
        <f ca="1">INDIRECT(_xlfn.TEXTJOIN("",TRUE,A1460,"!",ADDRESS(20+(A1461-1)*J1460,13)))</f>
        <v/>
      </c>
      <c r="J1471" s="25" t="e">
        <f ca="1">INDIRECT(_xlfn.TEXTJOIN("",TRUE,A1460,"!",ADDRESS(20+(A1461-1)*J1460,14)))</f>
        <v>#N/A</v>
      </c>
    </row>
    <row r="1472" spans="1:10" ht="10.5" customHeight="1" x14ac:dyDescent="0.2">
      <c r="A1472" s="65" t="str">
        <f ca="1">INDIRECT(_xlfn.TEXTJOIN("",TRUE,A1460,"!",ADDRESS(21+(A1461-1)*J1460,1)))</f>
        <v/>
      </c>
      <c r="B1472" s="65"/>
      <c r="C1472" s="66" t="str">
        <f ca="1">INDIRECT(_xlfn.TEXTJOIN("",TRUE,A1460,"!",ADDRESS(21+(A1461-1)*J1460,2)))</f>
        <v/>
      </c>
      <c r="D1472" s="66"/>
      <c r="E1472" s="66"/>
      <c r="F1472" s="66"/>
      <c r="G1472" s="66"/>
      <c r="H1472" s="25" t="str">
        <f ca="1">INDIRECT(_xlfn.TEXTJOIN("",TRUE,A1460,"!",ADDRESS(21+(A1461-1)*J1460,6)))</f>
        <v/>
      </c>
      <c r="I1472" s="25" t="str">
        <f ca="1">INDIRECT(_xlfn.TEXTJOIN("",TRUE,A1460,"!",ADDRESS(21+(A1461-1)*J1460,13)))</f>
        <v/>
      </c>
      <c r="J1472" s="25" t="e">
        <f ca="1">INDIRECT(_xlfn.TEXTJOIN("",TRUE,A1460,"!",ADDRESS(21+(A1461-1)*J1460,14)))</f>
        <v>#N/A</v>
      </c>
    </row>
    <row r="1473" spans="1:10" ht="10.5" customHeight="1" x14ac:dyDescent="0.2">
      <c r="A1473" s="65" t="str">
        <f ca="1">INDIRECT(_xlfn.TEXTJOIN("",TRUE,A1460,"!",ADDRESS(22+(A1461-1)*J1460,1)))</f>
        <v/>
      </c>
      <c r="B1473" s="65"/>
      <c r="C1473" s="66" t="str">
        <f ca="1">INDIRECT(_xlfn.TEXTJOIN("",TRUE,A1460,"!",ADDRESS(22+(A1461-1)*J1460,2)))</f>
        <v/>
      </c>
      <c r="D1473" s="66"/>
      <c r="E1473" s="66"/>
      <c r="F1473" s="66"/>
      <c r="G1473" s="66"/>
      <c r="H1473" s="25" t="str">
        <f ca="1">INDIRECT(_xlfn.TEXTJOIN("",TRUE,A1460,"!",ADDRESS(22+(A1461-1)*J1460,6)))</f>
        <v/>
      </c>
      <c r="I1473" s="25" t="str">
        <f ca="1">INDIRECT(_xlfn.TEXTJOIN("",TRUE,A1460,"!",ADDRESS(22+(A1461-1)*J1460,13)))</f>
        <v/>
      </c>
      <c r="J1473" s="25" t="e">
        <f ca="1">INDIRECT(_xlfn.TEXTJOIN("",TRUE,A1460,"!",ADDRESS(22+(A1461-1)*J1460,14)))</f>
        <v>#N/A</v>
      </c>
    </row>
    <row r="1474" spans="1:10" ht="10.5" customHeight="1" x14ac:dyDescent="0.2">
      <c r="A1474" s="65" t="str">
        <f ca="1">INDIRECT(_xlfn.TEXTJOIN("",TRUE,A1460,"!",ADDRESS(23+(A1461-1)*J1460,1)))</f>
        <v/>
      </c>
      <c r="B1474" s="65"/>
      <c r="C1474" s="66" t="str">
        <f ca="1">INDIRECT(_xlfn.TEXTJOIN("",TRUE,A1460,"!",ADDRESS(23+(A1461-1)*J1460,2)))</f>
        <v/>
      </c>
      <c r="D1474" s="66"/>
      <c r="E1474" s="66"/>
      <c r="F1474" s="66"/>
      <c r="G1474" s="66"/>
      <c r="H1474" s="25" t="str">
        <f ca="1">INDIRECT(_xlfn.TEXTJOIN("",TRUE,A1460,"!",ADDRESS(23+(A1461-1)*J1460,6)))</f>
        <v/>
      </c>
      <c r="I1474" s="25" t="str">
        <f ca="1">INDIRECT(_xlfn.TEXTJOIN("",TRUE,A1460,"!",ADDRESS(23+(A1461-1)*J1460,13)))</f>
        <v/>
      </c>
      <c r="J1474" s="25" t="e">
        <f ca="1">INDIRECT(_xlfn.TEXTJOIN("",TRUE,A1460,"!",ADDRESS(23+(A1461-1)*J1460,14)))</f>
        <v>#N/A</v>
      </c>
    </row>
    <row r="1475" spans="1:10" ht="10.5" customHeight="1" x14ac:dyDescent="0.2">
      <c r="A1475" s="65" t="str">
        <f ca="1">INDIRECT(_xlfn.TEXTJOIN("",TRUE,A1460,"!",ADDRESS(24+(A1461-1)*J1460,1)))</f>
        <v/>
      </c>
      <c r="B1475" s="65"/>
      <c r="C1475" s="66" t="str">
        <f ca="1">INDIRECT(_xlfn.TEXTJOIN("",TRUE,A1460,"!",ADDRESS(24+(A1461-1)*J1460,2)))</f>
        <v/>
      </c>
      <c r="D1475" s="66"/>
      <c r="E1475" s="66"/>
      <c r="F1475" s="66"/>
      <c r="G1475" s="66"/>
      <c r="H1475" s="25" t="str">
        <f ca="1">INDIRECT(_xlfn.TEXTJOIN("",TRUE,A1460,"!",ADDRESS(24+(A1461-1)*J1460,6)))</f>
        <v/>
      </c>
      <c r="I1475" s="25" t="str">
        <f ca="1">INDIRECT(_xlfn.TEXTJOIN("",TRUE,A1460,"!",ADDRESS(24+(A1461-1)*J1460,13)))</f>
        <v/>
      </c>
      <c r="J1475" s="25" t="e">
        <f ca="1">INDIRECT(_xlfn.TEXTJOIN("",TRUE,A1460,"!",ADDRESS(24+(A1461-1)*J1460,14)))</f>
        <v>#N/A</v>
      </c>
    </row>
    <row r="1476" spans="1:10" ht="10.5" customHeight="1" x14ac:dyDescent="0.2">
      <c r="A1476" s="65" t="str">
        <f ca="1">INDIRECT(_xlfn.TEXTJOIN("",TRUE,A1460,"!",ADDRESS(25+(A1461-1)*J1460,1)))</f>
        <v/>
      </c>
      <c r="B1476" s="65"/>
      <c r="C1476" s="66" t="str">
        <f ca="1">INDIRECT(_xlfn.TEXTJOIN("",TRUE,A1460,"!",ADDRESS(25+(A1461-1)*J1460,2)))</f>
        <v/>
      </c>
      <c r="D1476" s="66"/>
      <c r="E1476" s="66"/>
      <c r="F1476" s="66"/>
      <c r="G1476" s="66"/>
      <c r="H1476" s="25" t="str">
        <f ca="1">INDIRECT(_xlfn.TEXTJOIN("",TRUE,A1460,"!",ADDRESS(25+(A1461-1)*J1460,6)))</f>
        <v/>
      </c>
      <c r="I1476" s="25" t="str">
        <f ca="1">INDIRECT(_xlfn.TEXTJOIN("",TRUE,A1460,"!",ADDRESS(25+(A1461-1)*J1460,13)))</f>
        <v/>
      </c>
      <c r="J1476" s="25" t="e">
        <f ca="1">INDIRECT(_xlfn.TEXTJOIN("",TRUE,A1460,"!",ADDRESS(25+(A1461-1)*J1460,14)))</f>
        <v>#N/A</v>
      </c>
    </row>
    <row r="1477" spans="1:10" s="35" customFormat="1" ht="10.5" customHeight="1" x14ac:dyDescent="0.2">
      <c r="A1477" s="77" t="str">
        <f ca="1">INDIRECT(_xlfn.TEXTJOIN("",TRUE,A1460,"!",ADDRESS(26+(A1461-1)*J1460,1)))</f>
        <v/>
      </c>
      <c r="B1477" s="77"/>
      <c r="C1477" s="78" t="str">
        <f ca="1">INDIRECT(_xlfn.TEXTJOIN("",TRUE,A1460,"!",ADDRESS(26+(A1461-1)*J1460,2)))</f>
        <v/>
      </c>
      <c r="D1477" s="78"/>
      <c r="E1477" s="78"/>
      <c r="F1477" s="78"/>
      <c r="G1477" s="78"/>
      <c r="H1477" s="34" t="str">
        <f ca="1">INDIRECT(_xlfn.TEXTJOIN("",TRUE,A1460,"!",ADDRESS(26+(A1461-1)*J1460,6)))</f>
        <v/>
      </c>
      <c r="I1477" s="34" t="b">
        <f ca="1">INDIRECT(_xlfn.TEXTJOIN("",TRUE,A1460,"!",ADDRESS(26+(A1461-1)*J1460,13)))</f>
        <v>0</v>
      </c>
      <c r="J1477" s="34" t="e">
        <f ca="1">INDIRECT(_xlfn.TEXTJOIN("",TRUE,A1460,"!",ADDRESS(26+(A1461-1)*J1460,14)))</f>
        <v>#N/A</v>
      </c>
    </row>
    <row r="1478" spans="1:10" ht="10.5" customHeight="1" x14ac:dyDescent="0.2">
      <c r="A1478" s="71" t="s">
        <v>52</v>
      </c>
      <c r="B1478" s="71"/>
      <c r="C1478" s="71"/>
      <c r="D1478" s="71"/>
      <c r="E1478" s="71"/>
      <c r="F1478" s="71"/>
      <c r="G1478" s="71"/>
      <c r="H1478" s="27">
        <f ca="1">SUM(H1464:H1477)</f>
        <v>0</v>
      </c>
      <c r="I1478" s="26" t="s">
        <v>44</v>
      </c>
      <c r="J1478" s="27" t="e">
        <f ca="1">SUMPRODUCT(J1464:J1476,H1464:H1476)</f>
        <v>#N/A</v>
      </c>
    </row>
    <row r="1479" spans="1:10" ht="10.5" customHeight="1" x14ac:dyDescent="0.2">
      <c r="A1479" s="24" t="s">
        <v>57</v>
      </c>
      <c r="B1479" s="72" t="str">
        <f ca="1">IF(ISNA(A1480),"","Semester II (Spring Semester 2022-23)")</f>
        <v/>
      </c>
      <c r="C1479" s="72"/>
      <c r="D1479" s="72"/>
      <c r="E1479" s="72"/>
      <c r="F1479" s="72"/>
      <c r="G1479" s="72"/>
      <c r="H1479" s="72"/>
      <c r="I1479" s="72"/>
      <c r="J1479" s="24">
        <f>ROWS(A1483:B1492)+9</f>
        <v>19</v>
      </c>
    </row>
    <row r="1480" spans="1:10" ht="10.5" customHeight="1" x14ac:dyDescent="0.2">
      <c r="A1480" s="24" t="e">
        <f ca="1">INDEX(SEM_II!$A$6:$A$45,Marksheets!J1480)</f>
        <v>#N/A</v>
      </c>
      <c r="B1480" s="63"/>
      <c r="C1480" s="63"/>
      <c r="D1480" s="63"/>
      <c r="E1480" s="63"/>
      <c r="F1480" s="63"/>
      <c r="G1480" s="63"/>
      <c r="H1480" s="63"/>
      <c r="I1480" s="63"/>
      <c r="J1480" s="24" t="e">
        <f ca="1">MATCH(H1458,SEM_II!$B$6:$B$45,0)</f>
        <v>#N/A</v>
      </c>
    </row>
    <row r="1481" spans="1:10" ht="10.5" customHeight="1" x14ac:dyDescent="0.2">
      <c r="A1481" s="64" t="str">
        <f ca="1">IF(ISNA(A1480),"","Subject Code")</f>
        <v/>
      </c>
      <c r="B1481" s="64"/>
      <c r="C1481" s="64" t="str">
        <f ca="1">IF(ISNA(A1480),"","Subject Name")</f>
        <v/>
      </c>
      <c r="D1481" s="64"/>
      <c r="E1481" s="64"/>
      <c r="F1481" s="64"/>
      <c r="G1481" s="64"/>
      <c r="H1481" s="64" t="str">
        <f ca="1">IF(ISNA(A1480),"","Credits")</f>
        <v/>
      </c>
      <c r="I1481" s="64" t="str">
        <f ca="1">IF(ISNA(A1480),"","Grade")</f>
        <v/>
      </c>
      <c r="J1481" s="64" t="str">
        <f ca="1">IF(ISNA(A1480),"","Grade Points")</f>
        <v/>
      </c>
    </row>
    <row r="1482" spans="1:10" ht="12" customHeight="1" x14ac:dyDescent="0.2">
      <c r="A1482" s="64"/>
      <c r="B1482" s="64"/>
      <c r="C1482" s="64"/>
      <c r="D1482" s="64"/>
      <c r="E1482" s="64"/>
      <c r="F1482" s="64"/>
      <c r="G1482" s="64"/>
      <c r="H1482" s="64"/>
      <c r="I1482" s="64"/>
      <c r="J1482" s="64"/>
    </row>
    <row r="1483" spans="1:10" ht="10.5" customHeight="1" x14ac:dyDescent="0.2">
      <c r="A1483" s="65" t="str">
        <f ca="1">_xlfn.IFNA(INDIRECT(_xlfn.TEXTJOIN("",TRUE,A1479,"!",ADDRESS(13+(A1480-1)*J1479,1))),"")</f>
        <v/>
      </c>
      <c r="B1483" s="65"/>
      <c r="C1483" s="66" t="str">
        <f ca="1">_xlfn.IFNA(INDIRECT(_xlfn.TEXTJOIN("",TRUE,A1479,"!",ADDRESS(13+(A1480-1)*J1479,2))),"")</f>
        <v/>
      </c>
      <c r="D1483" s="66"/>
      <c r="E1483" s="66"/>
      <c r="F1483" s="66"/>
      <c r="G1483" s="66"/>
      <c r="H1483" s="25" t="str">
        <f ca="1">_xlfn.IFNA(INDIRECT(_xlfn.TEXTJOIN("",TRUE,A1479,"!",ADDRESS(13+(A1480-1)*J1479,6))),"")</f>
        <v/>
      </c>
      <c r="I1483" s="25" t="str">
        <f ca="1">_xlfn.IFNA(INDIRECT(_xlfn.TEXTJOIN("",TRUE,A1479,"!",ADDRESS(13+(A1480-1)*J1479,13))),"")</f>
        <v/>
      </c>
      <c r="J1483" s="25" t="str">
        <f ca="1">_xlfn.IFNA(INDIRECT(_xlfn.TEXTJOIN("",TRUE,A1479,"!",ADDRESS(13+(A1480-1)*J1479,14))),"")</f>
        <v/>
      </c>
    </row>
    <row r="1484" spans="1:10" ht="10.5" customHeight="1" x14ac:dyDescent="0.2">
      <c r="A1484" s="65" t="str">
        <f ca="1">_xlfn.IFNA(INDIRECT(_xlfn.TEXTJOIN("",TRUE,A1479,"!",ADDRESS(14+(A1480-1)*J1479,1))),"")</f>
        <v/>
      </c>
      <c r="B1484" s="65"/>
      <c r="C1484" s="66" t="str">
        <f ca="1">_xlfn.IFNA(INDIRECT(_xlfn.TEXTJOIN("",TRUE,A1479,"!",ADDRESS(14+(A1480-1)*J1479,2))),"")</f>
        <v/>
      </c>
      <c r="D1484" s="66"/>
      <c r="E1484" s="66"/>
      <c r="F1484" s="66"/>
      <c r="G1484" s="66"/>
      <c r="H1484" s="25" t="str">
        <f ca="1">_xlfn.IFNA(INDIRECT(_xlfn.TEXTJOIN("",TRUE,A1479,"!",ADDRESS(14+(A1480-1)*J1479,6))),"")</f>
        <v/>
      </c>
      <c r="I1484" s="25" t="str">
        <f ca="1">_xlfn.IFNA(INDIRECT(_xlfn.TEXTJOIN("",TRUE,A1479,"!",ADDRESS(14+(A1480-1)*J1479,13))),"")</f>
        <v/>
      </c>
      <c r="J1484" s="25" t="str">
        <f ca="1">_xlfn.IFNA(INDIRECT(_xlfn.TEXTJOIN("",TRUE,A1479,"!",ADDRESS(14+(A1480-1)*J1479,14))),"")</f>
        <v/>
      </c>
    </row>
    <row r="1485" spans="1:10" ht="10.5" customHeight="1" x14ac:dyDescent="0.2">
      <c r="A1485" s="65" t="str">
        <f ca="1">_xlfn.IFNA(INDIRECT(_xlfn.TEXTJOIN("",TRUE,A1479,"!",ADDRESS(15+(A1480-1)*J1479,1))),"")</f>
        <v/>
      </c>
      <c r="B1485" s="65"/>
      <c r="C1485" s="66" t="str">
        <f ca="1">_xlfn.IFNA(INDIRECT(_xlfn.TEXTJOIN("",TRUE,A1479,"!",ADDRESS(15+(A1480-1)*J1479,2))),"")</f>
        <v/>
      </c>
      <c r="D1485" s="66"/>
      <c r="E1485" s="66"/>
      <c r="F1485" s="66"/>
      <c r="G1485" s="66"/>
      <c r="H1485" s="25" t="str">
        <f ca="1">_xlfn.IFNA(INDIRECT(_xlfn.TEXTJOIN("",TRUE,A1479,"!",ADDRESS(15+(A1480-1)*J1479,6))),"")</f>
        <v/>
      </c>
      <c r="I1485" s="25" t="str">
        <f ca="1">_xlfn.IFNA(INDIRECT(_xlfn.TEXTJOIN("",TRUE,A1479,"!",ADDRESS(15+(A1480-1)*J1479,13))),"")</f>
        <v/>
      </c>
      <c r="J1485" s="25" t="str">
        <f ca="1">_xlfn.IFNA(INDIRECT(_xlfn.TEXTJOIN("",TRUE,A1479,"!",ADDRESS(15+(A1480-1)*J1479,14))),"")</f>
        <v/>
      </c>
    </row>
    <row r="1486" spans="1:10" ht="10.5" customHeight="1" x14ac:dyDescent="0.2">
      <c r="A1486" s="65" t="str">
        <f ca="1">_xlfn.IFNA(INDIRECT(_xlfn.TEXTJOIN("",TRUE,A1479,"!",ADDRESS(16+(A1480-1)*J1479,1))),"")</f>
        <v/>
      </c>
      <c r="B1486" s="65"/>
      <c r="C1486" s="66" t="str">
        <f ca="1">_xlfn.IFNA(INDIRECT(_xlfn.TEXTJOIN("",TRUE,A1479,"!",ADDRESS(16+(A1480-1)*J1479,2))),"")</f>
        <v/>
      </c>
      <c r="D1486" s="66"/>
      <c r="E1486" s="66"/>
      <c r="F1486" s="66"/>
      <c r="G1486" s="66"/>
      <c r="H1486" s="25" t="str">
        <f ca="1">_xlfn.IFNA(INDIRECT(_xlfn.TEXTJOIN("",TRUE,A1479,"!",ADDRESS(16+(A1480-1)*J1479,6))),"")</f>
        <v/>
      </c>
      <c r="I1486" s="25" t="str">
        <f ca="1">_xlfn.IFNA(INDIRECT(_xlfn.TEXTJOIN("",TRUE,A1479,"!",ADDRESS(16+(A1480-1)*J1479,13))),"")</f>
        <v/>
      </c>
      <c r="J1486" s="25" t="str">
        <f ca="1">_xlfn.IFNA(INDIRECT(_xlfn.TEXTJOIN("",TRUE,A1479,"!",ADDRESS(16+(A1480-1)*J1479,14))),"")</f>
        <v/>
      </c>
    </row>
    <row r="1487" spans="1:10" ht="10.5" customHeight="1" x14ac:dyDescent="0.2">
      <c r="A1487" s="65" t="str">
        <f ca="1">_xlfn.IFNA(INDIRECT(_xlfn.TEXTJOIN("",TRUE,A1479,"!",ADDRESS(17+(A1480-1)*J1479,1))),"")</f>
        <v/>
      </c>
      <c r="B1487" s="65"/>
      <c r="C1487" s="66" t="str">
        <f ca="1">_xlfn.IFNA(INDIRECT(_xlfn.TEXTJOIN("",TRUE,A1479,"!",ADDRESS(17+(A1480-1)*J1479,2))),"")</f>
        <v/>
      </c>
      <c r="D1487" s="66"/>
      <c r="E1487" s="66"/>
      <c r="F1487" s="66"/>
      <c r="G1487" s="66"/>
      <c r="H1487" s="25" t="str">
        <f ca="1">_xlfn.IFNA(INDIRECT(_xlfn.TEXTJOIN("",TRUE,A1479,"!",ADDRESS(17+(A1480-1)*J1479,6))),"")</f>
        <v/>
      </c>
      <c r="I1487" s="25" t="str">
        <f ca="1">_xlfn.IFNA(INDIRECT(_xlfn.TEXTJOIN("",TRUE,A1479,"!",ADDRESS(17+(A1480-1)*J1479,13))),"")</f>
        <v/>
      </c>
      <c r="J1487" s="25" t="str">
        <f ca="1">_xlfn.IFNA(INDIRECT(_xlfn.TEXTJOIN("",TRUE,A1479,"!",ADDRESS(17+(A1480-1)*J1479,14))),"")</f>
        <v/>
      </c>
    </row>
    <row r="1488" spans="1:10" ht="10.5" customHeight="1" x14ac:dyDescent="0.2">
      <c r="A1488" s="65" t="str">
        <f ca="1">_xlfn.IFNA(INDIRECT(_xlfn.TEXTJOIN("",TRUE,A1479,"!",ADDRESS(18+(A1480-1)*J1479,1))),"")</f>
        <v/>
      </c>
      <c r="B1488" s="65"/>
      <c r="C1488" s="66" t="str">
        <f ca="1">_xlfn.IFNA(INDIRECT(_xlfn.TEXTJOIN("",TRUE,A1479,"!",ADDRESS(18+(A1480-1)*J1479,2))),"")</f>
        <v/>
      </c>
      <c r="D1488" s="66"/>
      <c r="E1488" s="66"/>
      <c r="F1488" s="66"/>
      <c r="G1488" s="66"/>
      <c r="H1488" s="25" t="str">
        <f ca="1">_xlfn.IFNA(INDIRECT(_xlfn.TEXTJOIN("",TRUE,A1479,"!",ADDRESS(18+(A1480-1)*J1479,6))),"")</f>
        <v/>
      </c>
      <c r="I1488" s="25" t="str">
        <f ca="1">_xlfn.IFNA(INDIRECT(_xlfn.TEXTJOIN("",TRUE,A1479,"!",ADDRESS(18+(A1480-1)*J1479,13))),"")</f>
        <v/>
      </c>
      <c r="J1488" s="25" t="str">
        <f ca="1">_xlfn.IFNA(INDIRECT(_xlfn.TEXTJOIN("",TRUE,A1479,"!",ADDRESS(18+(A1480-1)*J1479,14))),"")</f>
        <v/>
      </c>
    </row>
    <row r="1489" spans="1:10" ht="10.5" customHeight="1" x14ac:dyDescent="0.2">
      <c r="A1489" s="60" t="str">
        <f ca="1">_xlfn.IFNA(INDIRECT(_xlfn.TEXTJOIN("",TRUE,A1479,"!",ADDRESS(19+(A1480-1)*J1479,1))),"")</f>
        <v/>
      </c>
      <c r="B1489" s="61"/>
      <c r="C1489" s="57" t="str">
        <f ca="1">_xlfn.IFNA(INDIRECT(_xlfn.TEXTJOIN("",TRUE,A1479,"!",ADDRESS(19+(A1480-1)*J1479,2))),"")</f>
        <v/>
      </c>
      <c r="D1489" s="58"/>
      <c r="E1489" s="58"/>
      <c r="F1489" s="58"/>
      <c r="G1489" s="59"/>
      <c r="H1489" s="25" t="str">
        <f ca="1">_xlfn.IFNA(INDIRECT(_xlfn.TEXTJOIN("",TRUE,A1479,"!",ADDRESS(19+(A1480-1)*J1479,6))),"")</f>
        <v/>
      </c>
      <c r="I1489" s="25" t="str">
        <f ca="1">_xlfn.IFNA(INDIRECT(_xlfn.TEXTJOIN("",TRUE,A1479,"!",ADDRESS(19+(A1480-1)*J1479,13))),"")</f>
        <v/>
      </c>
      <c r="J1489" s="25" t="str">
        <f ca="1">_xlfn.IFNA(INDIRECT(_xlfn.TEXTJOIN("",TRUE,A1479,"!",ADDRESS(19+(A1480-1)*J1479,14))),"")</f>
        <v/>
      </c>
    </row>
    <row r="1490" spans="1:10" ht="10.5" customHeight="1" x14ac:dyDescent="0.2">
      <c r="A1490" s="65" t="str">
        <f ca="1">_xlfn.IFNA(INDIRECT(_xlfn.TEXTJOIN("",TRUE,A1479,"!",ADDRESS(20+(A1480-1)*J1479,1))),"")</f>
        <v/>
      </c>
      <c r="B1490" s="65"/>
      <c r="C1490" s="66" t="str">
        <f ca="1">_xlfn.IFNA(INDIRECT(_xlfn.TEXTJOIN("",TRUE,A1479,"!",ADDRESS(20+(A1480-1)*J1479,2))),"")</f>
        <v/>
      </c>
      <c r="D1490" s="66"/>
      <c r="E1490" s="66"/>
      <c r="F1490" s="66"/>
      <c r="G1490" s="66"/>
      <c r="H1490" s="25" t="str">
        <f ca="1">_xlfn.IFNA(INDIRECT(_xlfn.TEXTJOIN("",TRUE,A1479,"!",ADDRESS(20+(A1480-1)*J1479,6))),"")</f>
        <v/>
      </c>
      <c r="I1490" s="25" t="str">
        <f ca="1">_xlfn.IFNA(INDIRECT(_xlfn.TEXTJOIN("",TRUE,A1479,"!",ADDRESS(20+(A1480-1)*J1479,13))),"")</f>
        <v/>
      </c>
      <c r="J1490" s="25" t="str">
        <f ca="1">_xlfn.IFNA(INDIRECT(_xlfn.TEXTJOIN("",TRUE,A1479,"!",ADDRESS(20+(A1480-1)*J1479,14))),"")</f>
        <v/>
      </c>
    </row>
    <row r="1491" spans="1:10" ht="10.5" customHeight="1" x14ac:dyDescent="0.2">
      <c r="A1491" s="65" t="str">
        <f ca="1">_xlfn.IFNA(INDIRECT(_xlfn.TEXTJOIN("",TRUE,A1479,"!",ADDRESS(21+(A1480-1)*J1479,1))),"")</f>
        <v/>
      </c>
      <c r="B1491" s="65"/>
      <c r="C1491" s="66" t="str">
        <f ca="1">_xlfn.IFNA(INDIRECT(_xlfn.TEXTJOIN("",TRUE,A1479,"!",ADDRESS(21+(A1480-1)*J1479,2))),"")</f>
        <v/>
      </c>
      <c r="D1491" s="66"/>
      <c r="E1491" s="66"/>
      <c r="F1491" s="66"/>
      <c r="G1491" s="66"/>
      <c r="H1491" s="25" t="str">
        <f ca="1">_xlfn.IFNA(INDIRECT(_xlfn.TEXTJOIN("",TRUE,A1479,"!",ADDRESS(21+(A1480-1)*J1479,6))),"")</f>
        <v/>
      </c>
      <c r="I1491" s="25" t="str">
        <f ca="1">_xlfn.IFNA(INDIRECT(_xlfn.TEXTJOIN("",TRUE,A1479,"!",ADDRESS(21+(A1480-1)*J1479,13))),"")</f>
        <v/>
      </c>
      <c r="J1491" s="25" t="str">
        <f ca="1">_xlfn.IFNA(INDIRECT(_xlfn.TEXTJOIN("",TRUE,A1479,"!",ADDRESS(21+(A1480-1)*J1479,14))),"")</f>
        <v/>
      </c>
    </row>
    <row r="1492" spans="1:10" ht="10.5" customHeight="1" x14ac:dyDescent="0.2">
      <c r="A1492" s="65" t="str">
        <f ca="1">_xlfn.IFNA(INDIRECT(_xlfn.TEXTJOIN("",TRUE,A1479,"!",ADDRESS(22+(A1480-1)*J1479,1))),"")</f>
        <v/>
      </c>
      <c r="B1492" s="65"/>
      <c r="C1492" s="66" t="str">
        <f ca="1">_xlfn.IFNA(INDIRECT(_xlfn.TEXTJOIN("",TRUE,A1479,"!",ADDRESS(22+(A1480-1)*J1479,2))),"")</f>
        <v/>
      </c>
      <c r="D1492" s="66"/>
      <c r="E1492" s="66"/>
      <c r="F1492" s="66"/>
      <c r="G1492" s="66"/>
      <c r="H1492" s="25" t="str">
        <f ca="1">_xlfn.IFNA(INDIRECT(_xlfn.TEXTJOIN("",TRUE,A1479,"!",ADDRESS(22+(A1480-1)*J1479,6))),"")</f>
        <v/>
      </c>
      <c r="I1492" s="25" t="str">
        <f ca="1">_xlfn.IFNA(INDIRECT(_xlfn.TEXTJOIN("",TRUE,A1479,"!",ADDRESS(22+(A1480-1)*J1479,13))),"")</f>
        <v/>
      </c>
      <c r="J1492" s="25" t="str">
        <f ca="1">_xlfn.IFNA(INDIRECT(_xlfn.TEXTJOIN("",TRUE,A1479,"!",ADDRESS(22+(A1480-1)*J1479,14))),"")</f>
        <v/>
      </c>
    </row>
    <row r="1493" spans="1:10" ht="10.5" customHeight="1" x14ac:dyDescent="0.2">
      <c r="A1493" s="71" t="str">
        <f ca="1">IF(ISNA(A1480),"","Total Credits/ Total Grade Points")</f>
        <v/>
      </c>
      <c r="B1493" s="71"/>
      <c r="C1493" s="71"/>
      <c r="D1493" s="71"/>
      <c r="E1493" s="71"/>
      <c r="F1493" s="71"/>
      <c r="G1493" s="71"/>
      <c r="H1493" s="27" t="str">
        <f ca="1">IF(ISNA(A1480),"",SUM(H1483:H1492))</f>
        <v/>
      </c>
      <c r="I1493" s="26" t="str">
        <f ca="1">IF(ISNA(A1480),"","-")</f>
        <v/>
      </c>
      <c r="J1493" s="27" t="str">
        <f ca="1">IF(ISNA(A1480),"",SUMPRODUCT(J1483:J1492,H1483:H1492))</f>
        <v/>
      </c>
    </row>
    <row r="1494" spans="1:10" ht="10.5" customHeight="1" x14ac:dyDescent="0.2">
      <c r="A1494" s="24" t="s">
        <v>60</v>
      </c>
      <c r="B1494" s="72" t="str">
        <f ca="1">IF(ISNA(A1495),"","Semester III (Autumn Semester 2023-24)")</f>
        <v/>
      </c>
      <c r="C1494" s="72"/>
      <c r="D1494" s="72"/>
      <c r="E1494" s="72"/>
      <c r="F1494" s="72"/>
      <c r="G1494" s="72"/>
      <c r="H1494" s="72"/>
      <c r="I1494" s="72"/>
      <c r="J1494" s="24">
        <f>ROWS(A1498:B1505)+9</f>
        <v>17</v>
      </c>
    </row>
    <row r="1495" spans="1:10" ht="10.5" customHeight="1" x14ac:dyDescent="0.2">
      <c r="A1495" s="24" t="e">
        <f ca="1">INDEX(SEM_III!$A$6:$A$43,Marksheets!J1495)</f>
        <v>#N/A</v>
      </c>
      <c r="B1495" s="63"/>
      <c r="C1495" s="63"/>
      <c r="D1495" s="63"/>
      <c r="E1495" s="63"/>
      <c r="F1495" s="63"/>
      <c r="G1495" s="63"/>
      <c r="H1495" s="63"/>
      <c r="I1495" s="63"/>
      <c r="J1495" s="24" t="e">
        <f ca="1">MATCH(H1458,SEM_III!$B$6:$B$43,0)</f>
        <v>#N/A</v>
      </c>
    </row>
    <row r="1496" spans="1:10" ht="10.5" customHeight="1" x14ac:dyDescent="0.2">
      <c r="A1496" s="64" t="str">
        <f ca="1">IF(ISNA(A1495),"","Subject Code")</f>
        <v/>
      </c>
      <c r="B1496" s="64"/>
      <c r="C1496" s="64" t="str">
        <f ca="1">IF(ISNA(A1495),"","Subject Name")</f>
        <v/>
      </c>
      <c r="D1496" s="64"/>
      <c r="E1496" s="64"/>
      <c r="F1496" s="64"/>
      <c r="G1496" s="64"/>
      <c r="H1496" s="64" t="str">
        <f ca="1">IF(ISNA(A1495),"","Credits")</f>
        <v/>
      </c>
      <c r="I1496" s="64" t="str">
        <f ca="1">IF(ISNA(A1495),"","Grade")</f>
        <v/>
      </c>
      <c r="J1496" s="64" t="str">
        <f ca="1">IF(ISNA(A1495),"","Grade Points")</f>
        <v/>
      </c>
    </row>
    <row r="1497" spans="1:10" ht="13" customHeight="1" x14ac:dyDescent="0.2">
      <c r="A1497" s="64"/>
      <c r="B1497" s="64"/>
      <c r="C1497" s="64"/>
      <c r="D1497" s="64"/>
      <c r="E1497" s="64"/>
      <c r="F1497" s="64"/>
      <c r="G1497" s="64"/>
      <c r="H1497" s="64"/>
      <c r="I1497" s="64"/>
      <c r="J1497" s="64"/>
    </row>
    <row r="1498" spans="1:10" ht="10.5" customHeight="1" x14ac:dyDescent="0.2">
      <c r="A1498" s="65" t="str">
        <f ca="1">_xlfn.IFNA(INDIRECT(_xlfn.TEXTJOIN("",TRUE,A1494,"!",ADDRESS(13+(A1495-1)*J1494,1))),"")</f>
        <v/>
      </c>
      <c r="B1498" s="65"/>
      <c r="C1498" s="66" t="str">
        <f ca="1">_xlfn.IFNA(INDIRECT(_xlfn.TEXTJOIN("",TRUE,A1494,"!",ADDRESS(13+(A1495-1)*J1494,2))),"")</f>
        <v/>
      </c>
      <c r="D1498" s="66"/>
      <c r="E1498" s="66"/>
      <c r="F1498" s="66"/>
      <c r="G1498" s="66"/>
      <c r="H1498" s="25" t="str">
        <f ca="1">_xlfn.IFNA(INDIRECT(_xlfn.TEXTJOIN("",TRUE,A1494,"!",ADDRESS(13+(A1495-1)*J1494,6))),"")</f>
        <v/>
      </c>
      <c r="I1498" s="25" t="str">
        <f ca="1">_xlfn.IFNA(INDIRECT(_xlfn.TEXTJOIN("",TRUE,A1494,"!",ADDRESS(13+(A1495-1)*J1494,13))),"")</f>
        <v/>
      </c>
      <c r="J1498" s="25" t="str">
        <f ca="1">_xlfn.IFNA(INDIRECT(_xlfn.TEXTJOIN("",TRUE,A1494,"!",ADDRESS(13+(A1495-1)*J1494,14))),"")</f>
        <v/>
      </c>
    </row>
    <row r="1499" spans="1:10" ht="10.5" customHeight="1" x14ac:dyDescent="0.2">
      <c r="A1499" s="65" t="str">
        <f ca="1">_xlfn.IFNA(INDIRECT(_xlfn.TEXTJOIN("",TRUE,A1494,"!",ADDRESS(14+(A1495-1)*J1494,1))),"")</f>
        <v/>
      </c>
      <c r="B1499" s="65"/>
      <c r="C1499" s="66" t="str">
        <f ca="1">_xlfn.IFNA(INDIRECT(_xlfn.TEXTJOIN("",TRUE,A1494,"!",ADDRESS(14+(A1495-1)*J1494,2))),"")</f>
        <v/>
      </c>
      <c r="D1499" s="66"/>
      <c r="E1499" s="66"/>
      <c r="F1499" s="66"/>
      <c r="G1499" s="66"/>
      <c r="H1499" s="25" t="str">
        <f ca="1">_xlfn.IFNA(INDIRECT(_xlfn.TEXTJOIN("",TRUE,A1494,"!",ADDRESS(14+(A1495-1)*J1494,6))),"")</f>
        <v/>
      </c>
      <c r="I1499" s="25" t="str">
        <f ca="1">_xlfn.IFNA(INDIRECT(_xlfn.TEXTJOIN("",TRUE,A1494,"!",ADDRESS(14+(A1495-1)*J1494,13))),"")</f>
        <v/>
      </c>
      <c r="J1499" s="25" t="str">
        <f ca="1">_xlfn.IFNA(INDIRECT(_xlfn.TEXTJOIN("",TRUE,A1494,"!",ADDRESS(14+(A1495-1)*J1494,14))),"")</f>
        <v/>
      </c>
    </row>
    <row r="1500" spans="1:10" ht="10.5" customHeight="1" x14ac:dyDescent="0.2">
      <c r="A1500" s="65" t="str">
        <f ca="1">_xlfn.IFNA(INDIRECT(_xlfn.TEXTJOIN("",TRUE,A1494,"!",ADDRESS(15+(A1495-1)*J1494,1))),"")</f>
        <v/>
      </c>
      <c r="B1500" s="65"/>
      <c r="C1500" s="66" t="str">
        <f ca="1">_xlfn.IFNA(INDIRECT(_xlfn.TEXTJOIN("",TRUE,A1494,"!",ADDRESS(15+(A1495-1)*J1494,2))),"")</f>
        <v/>
      </c>
      <c r="D1500" s="66"/>
      <c r="E1500" s="66"/>
      <c r="F1500" s="66"/>
      <c r="G1500" s="66"/>
      <c r="H1500" s="25" t="str">
        <f ca="1">_xlfn.IFNA(INDIRECT(_xlfn.TEXTJOIN("",TRUE,A1494,"!",ADDRESS(15+(A1495-1)*J1494,6))),"")</f>
        <v/>
      </c>
      <c r="I1500" s="25" t="str">
        <f ca="1">_xlfn.IFNA(INDIRECT(_xlfn.TEXTJOIN("",TRUE,A1494,"!",ADDRESS(15+(A1495-1)*J1494,13))),"")</f>
        <v/>
      </c>
      <c r="J1500" s="25" t="str">
        <f ca="1">_xlfn.IFNA(INDIRECT(_xlfn.TEXTJOIN("",TRUE,A1494,"!",ADDRESS(15+(A1495-1)*J1494,14))),"")</f>
        <v/>
      </c>
    </row>
    <row r="1501" spans="1:10" ht="10.5" customHeight="1" x14ac:dyDescent="0.2">
      <c r="A1501" s="65" t="str">
        <f ca="1">_xlfn.IFNA(INDIRECT(_xlfn.TEXTJOIN("",TRUE,A1494,"!",ADDRESS(16+(A1495-1)*J1494,1))),"")</f>
        <v/>
      </c>
      <c r="B1501" s="65"/>
      <c r="C1501" s="66" t="str">
        <f ca="1">_xlfn.IFNA(INDIRECT(_xlfn.TEXTJOIN("",TRUE,A1494,"!",ADDRESS(16+(A1495-1)*J1494,2))),"")</f>
        <v/>
      </c>
      <c r="D1501" s="66"/>
      <c r="E1501" s="66"/>
      <c r="F1501" s="66"/>
      <c r="G1501" s="66"/>
      <c r="H1501" s="25" t="str">
        <f ca="1">_xlfn.IFNA(INDIRECT(_xlfn.TEXTJOIN("",TRUE,A1494,"!",ADDRESS(16+(A1495-1)*J1494,6))),"")</f>
        <v/>
      </c>
      <c r="I1501" s="25" t="str">
        <f ca="1">_xlfn.IFNA(INDIRECT(_xlfn.TEXTJOIN("",TRUE,A1494,"!",ADDRESS(16+(A1495-1)*J1494,13))),"")</f>
        <v/>
      </c>
      <c r="J1501" s="25" t="str">
        <f ca="1">_xlfn.IFNA(INDIRECT(_xlfn.TEXTJOIN("",TRUE,A1494,"!",ADDRESS(16+(A1495-1)*J1494,14))),"")</f>
        <v/>
      </c>
    </row>
    <row r="1502" spans="1:10" ht="10.5" customHeight="1" x14ac:dyDescent="0.2">
      <c r="A1502" s="65" t="str">
        <f ca="1">_xlfn.IFNA(INDIRECT(_xlfn.TEXTJOIN("",TRUE,A1494,"!",ADDRESS(17+(A1495-1)*J1494,1))),"")</f>
        <v/>
      </c>
      <c r="B1502" s="65"/>
      <c r="C1502" s="66" t="str">
        <f ca="1">_xlfn.IFNA(INDIRECT(_xlfn.TEXTJOIN("",TRUE,A1494,"!",ADDRESS(17+(A1495-1)*J1494,2))),"")</f>
        <v/>
      </c>
      <c r="D1502" s="66"/>
      <c r="E1502" s="66"/>
      <c r="F1502" s="66"/>
      <c r="G1502" s="66"/>
      <c r="H1502" s="25" t="str">
        <f ca="1">_xlfn.IFNA(INDIRECT(_xlfn.TEXTJOIN("",TRUE,A1494,"!",ADDRESS(17+(A1495-1)*J1494,6))),"")</f>
        <v/>
      </c>
      <c r="I1502" s="25" t="str">
        <f ca="1">_xlfn.IFNA(INDIRECT(_xlfn.TEXTJOIN("",TRUE,A1494,"!",ADDRESS(17+(A1495-1)*J1494,13))),"")</f>
        <v/>
      </c>
      <c r="J1502" s="25" t="str">
        <f ca="1">_xlfn.IFNA(INDIRECT(_xlfn.TEXTJOIN("",TRUE,A1494,"!",ADDRESS(17+(A1495-1)*J1494,14))),"")</f>
        <v/>
      </c>
    </row>
    <row r="1503" spans="1:10" ht="10.5" customHeight="1" x14ac:dyDescent="0.2">
      <c r="A1503" s="65" t="str">
        <f ca="1">_xlfn.IFNA(INDIRECT(_xlfn.TEXTJOIN("",TRUE,A1494,"!",ADDRESS(18+(A1495-1)*J1494,1))),"")</f>
        <v/>
      </c>
      <c r="B1503" s="65"/>
      <c r="C1503" s="66" t="str">
        <f ca="1">_xlfn.IFNA(INDIRECT(_xlfn.TEXTJOIN("",TRUE,A1494,"!",ADDRESS(18+(A1495-1)*J1494,2))),"")</f>
        <v/>
      </c>
      <c r="D1503" s="66"/>
      <c r="E1503" s="66"/>
      <c r="F1503" s="66"/>
      <c r="G1503" s="66"/>
      <c r="H1503" s="25" t="str">
        <f ca="1">_xlfn.IFNA(INDIRECT(_xlfn.TEXTJOIN("",TRUE,A1494,"!",ADDRESS(18+(A1495-1)*J1494,6))),"")</f>
        <v/>
      </c>
      <c r="I1503" s="25" t="str">
        <f ca="1">_xlfn.IFNA(INDIRECT(_xlfn.TEXTJOIN("",TRUE,A1494,"!",ADDRESS(18+(A1495-1)*J1494,13))),"")</f>
        <v/>
      </c>
      <c r="J1503" s="25" t="str">
        <f ca="1">_xlfn.IFNA(INDIRECT(_xlfn.TEXTJOIN("",TRUE,A1494,"!",ADDRESS(18+(A1495-1)*J1494,14))),"")</f>
        <v/>
      </c>
    </row>
    <row r="1504" spans="1:10" ht="10.5" customHeight="1" x14ac:dyDescent="0.2">
      <c r="A1504" s="60" t="str">
        <f ca="1">_xlfn.IFNA(INDIRECT(_xlfn.TEXTJOIN("",TRUE,A1494,"!",ADDRESS(19+(A1495-1)*J1494,1))),"")</f>
        <v/>
      </c>
      <c r="B1504" s="61"/>
      <c r="C1504" s="57" t="str">
        <f ca="1">_xlfn.IFNA(INDIRECT(_xlfn.TEXTJOIN("",TRUE,A1494,"!",ADDRESS(19+(A1495-1)*J1494,2))),"")</f>
        <v/>
      </c>
      <c r="D1504" s="58"/>
      <c r="E1504" s="58"/>
      <c r="F1504" s="58"/>
      <c r="G1504" s="59"/>
      <c r="H1504" s="25" t="str">
        <f ca="1">_xlfn.IFNA(INDIRECT(_xlfn.TEXTJOIN("",TRUE,A1494,"!",ADDRESS(19+(A1495-1)*J1494,6))),"")</f>
        <v/>
      </c>
      <c r="I1504" s="25" t="str">
        <f ca="1">_xlfn.IFNA(INDIRECT(_xlfn.TEXTJOIN("",TRUE,A1494,"!",ADDRESS(19+(A1495-1)*J1494,13))),"")</f>
        <v/>
      </c>
      <c r="J1504" s="25" t="str">
        <f ca="1">_xlfn.IFNA(INDIRECT(_xlfn.TEXTJOIN("",TRUE,A1494,"!",ADDRESS(19+(A1495-1)*J1494,14))),"")</f>
        <v/>
      </c>
    </row>
    <row r="1505" spans="1:10" ht="10.5" customHeight="1" x14ac:dyDescent="0.2">
      <c r="A1505" s="65" t="str">
        <f ca="1">_xlfn.IFNA(INDIRECT(_xlfn.TEXTJOIN("",TRUE,A1494,"!",ADDRESS(20+(A1495-1)*J1494,1))),"")</f>
        <v/>
      </c>
      <c r="B1505" s="65"/>
      <c r="C1505" s="66" t="str">
        <f ca="1">_xlfn.IFNA(INDIRECT(_xlfn.TEXTJOIN("",TRUE,A1494,"!",ADDRESS(20+(A1495-1)*J1494,2))),"")</f>
        <v/>
      </c>
      <c r="D1505" s="66"/>
      <c r="E1505" s="66"/>
      <c r="F1505" s="66"/>
      <c r="G1505" s="66"/>
      <c r="H1505" s="25" t="str">
        <f ca="1">_xlfn.IFNA(INDIRECT(_xlfn.TEXTJOIN("",TRUE,A1494,"!",ADDRESS(20+(A1495-1)*J1494,6))),"")</f>
        <v/>
      </c>
      <c r="I1505" s="25" t="str">
        <f ca="1">_xlfn.IFNA(INDIRECT(_xlfn.TEXTJOIN("",TRUE,A1494,"!",ADDRESS(20+(A1495-1)*J1494,13))),"")</f>
        <v/>
      </c>
      <c r="J1505" s="25" t="str">
        <f ca="1">_xlfn.IFNA(INDIRECT(_xlfn.TEXTJOIN("",TRUE,A1494,"!",ADDRESS(20+(A1495-1)*J1494,14))),"")</f>
        <v/>
      </c>
    </row>
    <row r="1506" spans="1:10" ht="10.5" customHeight="1" x14ac:dyDescent="0.2">
      <c r="A1506" s="71" t="str">
        <f ca="1">IF(ISNA(A1495),"","Total Credits/ Total Grade Points")</f>
        <v/>
      </c>
      <c r="B1506" s="71"/>
      <c r="C1506" s="71"/>
      <c r="D1506" s="71"/>
      <c r="E1506" s="71"/>
      <c r="F1506" s="71"/>
      <c r="G1506" s="71"/>
      <c r="H1506" s="27" t="str">
        <f ca="1">IF(ISNA(A1495),"",SUM(H1498:H1505))</f>
        <v/>
      </c>
      <c r="I1506" s="26" t="str">
        <f ca="1">IF(ISNA(A1495),"","-")</f>
        <v/>
      </c>
      <c r="J1506" s="27" t="str">
        <f ca="1">IF(ISNA(A1495),"",SUMPRODUCT(J1498:J1505,H1498:H1505))</f>
        <v/>
      </c>
    </row>
    <row r="1507" spans="1:10" ht="10.5" customHeight="1" x14ac:dyDescent="0.2">
      <c r="A1507" s="24" t="s">
        <v>133</v>
      </c>
      <c r="B1507" s="72" t="str">
        <f ca="1">IF(ISNA(A1508),"","Semester IV (Spring Semester 2023-24)")</f>
        <v/>
      </c>
      <c r="C1507" s="72"/>
      <c r="D1507" s="72"/>
      <c r="E1507" s="72"/>
      <c r="F1507" s="72"/>
      <c r="G1507" s="72"/>
      <c r="H1507" s="72"/>
      <c r="I1507" s="72"/>
      <c r="J1507" s="24">
        <f>ROWS(A1511:B1517)+9</f>
        <v>16</v>
      </c>
    </row>
    <row r="1508" spans="1:10" ht="10.5" customHeight="1" x14ac:dyDescent="0.2">
      <c r="A1508" s="24" t="e">
        <f ca="1">INDEX(SEM_IV!$A$6:$A$43,Marksheets!J1508)</f>
        <v>#N/A</v>
      </c>
      <c r="B1508" s="63"/>
      <c r="C1508" s="63"/>
      <c r="D1508" s="63"/>
      <c r="E1508" s="63"/>
      <c r="F1508" s="63"/>
      <c r="G1508" s="63"/>
      <c r="H1508" s="63"/>
      <c r="I1508" s="63"/>
      <c r="J1508" s="24" t="e">
        <f ca="1">MATCH(H1458,SEM_IV!$B$6:$B$43,0)</f>
        <v>#N/A</v>
      </c>
    </row>
    <row r="1509" spans="1:10" ht="10.5" customHeight="1" x14ac:dyDescent="0.2">
      <c r="A1509" s="64" t="str">
        <f ca="1">IF(ISNA(A1508),"","Subject Code")</f>
        <v/>
      </c>
      <c r="B1509" s="64"/>
      <c r="C1509" s="64" t="str">
        <f ca="1">IF(ISNA(A1508),"","Subject Name")</f>
        <v/>
      </c>
      <c r="D1509" s="64"/>
      <c r="E1509" s="64"/>
      <c r="F1509" s="64"/>
      <c r="G1509" s="64"/>
      <c r="H1509" s="64" t="str">
        <f ca="1">IF(ISNA(A1508),"","Credits")</f>
        <v/>
      </c>
      <c r="I1509" s="64" t="str">
        <f ca="1">IF(ISNA(A1508),"","Grade")</f>
        <v/>
      </c>
      <c r="J1509" s="64" t="str">
        <f ca="1">IF(ISNA(A1508),"","Grade Points")</f>
        <v/>
      </c>
    </row>
    <row r="1510" spans="1:10" ht="12.5" customHeight="1" x14ac:dyDescent="0.2">
      <c r="A1510" s="64"/>
      <c r="B1510" s="64"/>
      <c r="C1510" s="64"/>
      <c r="D1510" s="64"/>
      <c r="E1510" s="64"/>
      <c r="F1510" s="64"/>
      <c r="G1510" s="64"/>
      <c r="H1510" s="64"/>
      <c r="I1510" s="64"/>
      <c r="J1510" s="64"/>
    </row>
    <row r="1511" spans="1:10" ht="10.5" customHeight="1" x14ac:dyDescent="0.2">
      <c r="A1511" s="65" t="str">
        <f ca="1">_xlfn.IFNA(INDIRECT(_xlfn.TEXTJOIN("",TRUE,A1507,"!",ADDRESS(13+(A1508-1)*J1507,1))),"")</f>
        <v/>
      </c>
      <c r="B1511" s="65"/>
      <c r="C1511" s="66" t="str">
        <f ca="1">_xlfn.IFNA(INDIRECT(_xlfn.TEXTJOIN("",TRUE,A1507,"!",ADDRESS(13+(A1508-1)*J1507,2))),"")</f>
        <v/>
      </c>
      <c r="D1511" s="66"/>
      <c r="E1511" s="66"/>
      <c r="F1511" s="66"/>
      <c r="G1511" s="66"/>
      <c r="H1511" s="25" t="str">
        <f ca="1">_xlfn.IFNA(INDIRECT(_xlfn.TEXTJOIN("",TRUE,A1507,"!",ADDRESS(13+(A1508-1)*J1507,6))),"")</f>
        <v/>
      </c>
      <c r="I1511" s="25" t="str">
        <f ca="1">_xlfn.IFNA(INDIRECT(_xlfn.TEXTJOIN("",TRUE,A1507,"!",ADDRESS(13+(A1508-1)*J1507,13))),"")</f>
        <v/>
      </c>
      <c r="J1511" s="25" t="str">
        <f ca="1">_xlfn.IFNA(INDIRECT(_xlfn.TEXTJOIN("",TRUE,A1507,"!",ADDRESS(13+(A1508-1)*J1507,14))),"")</f>
        <v/>
      </c>
    </row>
    <row r="1512" spans="1:10" ht="10.5" customHeight="1" x14ac:dyDescent="0.2">
      <c r="A1512" s="65" t="str">
        <f ca="1">_xlfn.IFNA(INDIRECT(_xlfn.TEXTJOIN("",TRUE,A1507,"!",ADDRESS(14+(A1508-1)*J1507,1))),"")</f>
        <v/>
      </c>
      <c r="B1512" s="65"/>
      <c r="C1512" s="66" t="str">
        <f ca="1">_xlfn.IFNA(INDIRECT(_xlfn.TEXTJOIN("",TRUE,A1507,"!",ADDRESS(14+(A1508-1)*J1507,2))),"")</f>
        <v/>
      </c>
      <c r="D1512" s="66"/>
      <c r="E1512" s="66"/>
      <c r="F1512" s="66"/>
      <c r="G1512" s="66"/>
      <c r="H1512" s="25" t="str">
        <f ca="1">_xlfn.IFNA(INDIRECT(_xlfn.TEXTJOIN("",TRUE,A1507,"!",ADDRESS(14+(A1508-1)*J1507,6))),"")</f>
        <v/>
      </c>
      <c r="I1512" s="25" t="str">
        <f ca="1">_xlfn.IFNA(INDIRECT(_xlfn.TEXTJOIN("",TRUE,A1507,"!",ADDRESS(14+(A1508-1)*J1507,13))),"")</f>
        <v/>
      </c>
      <c r="J1512" s="25" t="str">
        <f ca="1">_xlfn.IFNA(INDIRECT(_xlfn.TEXTJOIN("",TRUE,A1507,"!",ADDRESS(14+(A1508-1)*J1507,14))),"")</f>
        <v/>
      </c>
    </row>
    <row r="1513" spans="1:10" ht="10.5" customHeight="1" x14ac:dyDescent="0.2">
      <c r="A1513" s="65" t="str">
        <f ca="1">_xlfn.IFNA(INDIRECT(_xlfn.TEXTJOIN("",TRUE,A1507,"!",ADDRESS(15+(A1508-1)*J1507,1))),"")</f>
        <v/>
      </c>
      <c r="B1513" s="65"/>
      <c r="C1513" s="66" t="str">
        <f ca="1">_xlfn.IFNA(INDIRECT(_xlfn.TEXTJOIN("",TRUE,A1507,"!",ADDRESS(15+(A1508-1)*J1507,2))),"")</f>
        <v/>
      </c>
      <c r="D1513" s="66"/>
      <c r="E1513" s="66"/>
      <c r="F1513" s="66"/>
      <c r="G1513" s="66"/>
      <c r="H1513" s="25" t="str">
        <f ca="1">_xlfn.IFNA(INDIRECT(_xlfn.TEXTJOIN("",TRUE,A1507,"!",ADDRESS(15+(A1508-1)*J1507,6))),"")</f>
        <v/>
      </c>
      <c r="I1513" s="25" t="str">
        <f ca="1">_xlfn.IFNA(INDIRECT(_xlfn.TEXTJOIN("",TRUE,A1507,"!",ADDRESS(15+(A1508-1)*J1507,13))),"")</f>
        <v/>
      </c>
      <c r="J1513" s="25" t="str">
        <f ca="1">_xlfn.IFNA(INDIRECT(_xlfn.TEXTJOIN("",TRUE,A1507,"!",ADDRESS(15+(A1508-1)*J1507,14))),"")</f>
        <v/>
      </c>
    </row>
    <row r="1514" spans="1:10" ht="10.5" customHeight="1" x14ac:dyDescent="0.2">
      <c r="A1514" s="65" t="str">
        <f ca="1">_xlfn.IFNA(INDIRECT(_xlfn.TEXTJOIN("",TRUE,A1507,"!",ADDRESS(16+(A1508-1)*J1507,1))),"")</f>
        <v/>
      </c>
      <c r="B1514" s="65"/>
      <c r="C1514" s="66" t="str">
        <f ca="1">_xlfn.IFNA(INDIRECT(_xlfn.TEXTJOIN("",TRUE,A1507,"!",ADDRESS(16+(A1508-1)*J1507,2))),"")</f>
        <v/>
      </c>
      <c r="D1514" s="66"/>
      <c r="E1514" s="66"/>
      <c r="F1514" s="66"/>
      <c r="G1514" s="66"/>
      <c r="H1514" s="25" t="str">
        <f ca="1">_xlfn.IFNA(INDIRECT(_xlfn.TEXTJOIN("",TRUE,A1507,"!",ADDRESS(16+(A1508-1)*J1507,6))),"")</f>
        <v/>
      </c>
      <c r="I1514" s="25" t="str">
        <f ca="1">_xlfn.IFNA(INDIRECT(_xlfn.TEXTJOIN("",TRUE,A1507,"!",ADDRESS(16+(A1508-1)*J1507,13))),"")</f>
        <v/>
      </c>
      <c r="J1514" s="25" t="str">
        <f ca="1">_xlfn.IFNA(INDIRECT(_xlfn.TEXTJOIN("",TRUE,A1507,"!",ADDRESS(16+(A1508-1)*J1507,14))),"")</f>
        <v/>
      </c>
    </row>
    <row r="1515" spans="1:10" ht="10.5" customHeight="1" x14ac:dyDescent="0.2">
      <c r="A1515" s="65" t="str">
        <f ca="1">_xlfn.IFNA(INDIRECT(_xlfn.TEXTJOIN("",TRUE,A1507,"!",ADDRESS(17+(A1508-1)*J1507,1))),"")</f>
        <v/>
      </c>
      <c r="B1515" s="65"/>
      <c r="C1515" s="66" t="str">
        <f ca="1">_xlfn.IFNA(INDIRECT(_xlfn.TEXTJOIN("",TRUE,A1507,"!",ADDRESS(17+(A1508-1)*J1507,2))),"")</f>
        <v/>
      </c>
      <c r="D1515" s="66"/>
      <c r="E1515" s="66"/>
      <c r="F1515" s="66"/>
      <c r="G1515" s="66"/>
      <c r="H1515" s="25" t="str">
        <f ca="1">_xlfn.IFNA(INDIRECT(_xlfn.TEXTJOIN("",TRUE,A1507,"!",ADDRESS(17+(A1508-1)*J1507,6))),"")</f>
        <v/>
      </c>
      <c r="I1515" s="25" t="str">
        <f ca="1">_xlfn.IFNA(INDIRECT(_xlfn.TEXTJOIN("",TRUE,A1507,"!",ADDRESS(17+(A1508-1)*J1507,13))),"")</f>
        <v/>
      </c>
      <c r="J1515" s="25" t="str">
        <f ca="1">_xlfn.IFNA(INDIRECT(_xlfn.TEXTJOIN("",TRUE,A1507,"!",ADDRESS(17+(A1508-1)*J1507,14))),"")</f>
        <v/>
      </c>
    </row>
    <row r="1516" spans="1:10" ht="10.5" customHeight="1" x14ac:dyDescent="0.2">
      <c r="A1516" s="65" t="str">
        <f ca="1">_xlfn.IFNA(INDIRECT(_xlfn.TEXTJOIN("",TRUE,A1507,"!",ADDRESS(18+(A1508-1)*J1507,1))),"")</f>
        <v/>
      </c>
      <c r="B1516" s="65"/>
      <c r="C1516" s="66" t="str">
        <f ca="1">_xlfn.IFNA(INDIRECT(_xlfn.TEXTJOIN("",TRUE,A1507,"!",ADDRESS(18+(A1508-1)*J1507,2))),"")</f>
        <v/>
      </c>
      <c r="D1516" s="66"/>
      <c r="E1516" s="66"/>
      <c r="F1516" s="66"/>
      <c r="G1516" s="66"/>
      <c r="H1516" s="25" t="str">
        <f ca="1">_xlfn.IFNA(INDIRECT(_xlfn.TEXTJOIN("",TRUE,A1507,"!",ADDRESS(18+(A1508-1)*J1507,6))),"")</f>
        <v/>
      </c>
      <c r="I1516" s="25" t="str">
        <f ca="1">_xlfn.IFNA(INDIRECT(_xlfn.TEXTJOIN("",TRUE,A1507,"!",ADDRESS(18+(A1508-1)*J1507,13))),"")</f>
        <v/>
      </c>
      <c r="J1516" s="25" t="str">
        <f ca="1">_xlfn.IFNA(INDIRECT(_xlfn.TEXTJOIN("",TRUE,A1507,"!",ADDRESS(18+(A1508-1)*J1507,14))),"")</f>
        <v/>
      </c>
    </row>
    <row r="1517" spans="1:10" ht="10.5" customHeight="1" x14ac:dyDescent="0.2">
      <c r="A1517" s="60" t="str">
        <f ca="1">_xlfn.IFNA(INDIRECT(_xlfn.TEXTJOIN("",TRUE,A1507,"!",ADDRESS(19+(A1508-1)*J1507,1))),"")</f>
        <v/>
      </c>
      <c r="B1517" s="61"/>
      <c r="C1517" s="57" t="str">
        <f ca="1">_xlfn.IFNA(INDIRECT(_xlfn.TEXTJOIN("",TRUE,A1507,"!",ADDRESS(19+(A1508-1)*J1507,2))),"")</f>
        <v/>
      </c>
      <c r="D1517" s="58"/>
      <c r="E1517" s="58"/>
      <c r="F1517" s="58"/>
      <c r="G1517" s="59"/>
      <c r="H1517" s="25" t="str">
        <f ca="1">_xlfn.IFNA(INDIRECT(_xlfn.TEXTJOIN("",TRUE,A1507,"!",ADDRESS(19+(A1508-1)*J1507,6))),"")</f>
        <v/>
      </c>
      <c r="I1517" s="25" t="str">
        <f ca="1">_xlfn.IFNA(INDIRECT(_xlfn.TEXTJOIN("",TRUE,A1507,"!",ADDRESS(19+(A1508-1)*J1507,13))),"")</f>
        <v/>
      </c>
      <c r="J1517" s="25" t="str">
        <f ca="1">_xlfn.IFNA(INDIRECT(_xlfn.TEXTJOIN("",TRUE,A1507,"!",ADDRESS(19+(A1508-1)*J1507,14))),"")</f>
        <v/>
      </c>
    </row>
    <row r="1518" spans="1:10" ht="10.5" customHeight="1" x14ac:dyDescent="0.2">
      <c r="A1518" s="71" t="str">
        <f ca="1">IF(ISNA(A1508),"","Total Credits/ Total Grade Points")</f>
        <v/>
      </c>
      <c r="B1518" s="71"/>
      <c r="C1518" s="71"/>
      <c r="D1518" s="71"/>
      <c r="E1518" s="71"/>
      <c r="F1518" s="71"/>
      <c r="G1518" s="71"/>
      <c r="H1518" s="27" t="str">
        <f ca="1">IF(ISNA(A1508),"",SUM(H1510:H1517))</f>
        <v/>
      </c>
      <c r="I1518" s="26" t="str">
        <f ca="1">IF(ISNA(A1508),"","-")</f>
        <v/>
      </c>
      <c r="J1518" s="27" t="str">
        <f ca="1">IF(ISNA(A1508),"",SUMPRODUCT(J1510:J1517,H1510:H1517))</f>
        <v/>
      </c>
    </row>
    <row r="1519" spans="1:10" ht="10.5" customHeight="1" x14ac:dyDescent="0.2">
      <c r="A1519" s="75" t="s">
        <v>137</v>
      </c>
      <c r="B1519" s="75"/>
      <c r="C1519" s="75"/>
      <c r="D1519" s="75"/>
      <c r="E1519" s="75"/>
      <c r="F1519" s="76" t="s">
        <v>138</v>
      </c>
      <c r="G1519" s="76"/>
      <c r="H1519" s="76"/>
      <c r="I1519" s="76"/>
      <c r="J1519" s="76"/>
    </row>
    <row r="1520" spans="1:10" ht="10.5" customHeight="1" x14ac:dyDescent="0.2">
      <c r="A1520" s="43" t="s">
        <v>139</v>
      </c>
      <c r="B1520" s="43"/>
      <c r="C1520" s="43"/>
      <c r="D1520" s="43"/>
      <c r="E1520" s="43"/>
      <c r="F1520" s="43"/>
      <c r="G1520" s="43"/>
      <c r="H1520" s="43"/>
      <c r="I1520" s="43"/>
      <c r="J1520" s="43"/>
    </row>
    <row r="1521" spans="1:10" ht="10.5" customHeight="1" x14ac:dyDescent="0.2">
      <c r="A1521" s="10"/>
      <c r="B1521" s="26"/>
      <c r="C1521" s="26" t="s">
        <v>140</v>
      </c>
      <c r="D1521" s="26" t="s">
        <v>141</v>
      </c>
      <c r="E1521" s="26" t="s">
        <v>142</v>
      </c>
      <c r="F1521" s="26" t="s">
        <v>143</v>
      </c>
      <c r="G1521" s="26" t="s">
        <v>144</v>
      </c>
      <c r="H1521" s="79" t="s">
        <v>145</v>
      </c>
      <c r="I1521" s="79"/>
      <c r="J1521" s="30"/>
    </row>
    <row r="1522" spans="1:10" ht="10.5" customHeight="1" x14ac:dyDescent="0.2">
      <c r="A1522" s="10"/>
      <c r="B1522" s="80" t="s">
        <v>146</v>
      </c>
      <c r="C1522" s="73" t="e">
        <f ca="1">J1478/H1478</f>
        <v>#N/A</v>
      </c>
      <c r="D1522" s="73" t="e">
        <f ca="1">J1493/H1493</f>
        <v>#VALUE!</v>
      </c>
      <c r="E1522" s="73" t="str">
        <f ca="1">IFERROR(J1506/H1506,"")</f>
        <v/>
      </c>
      <c r="F1522" s="73" t="str">
        <f ca="1">IFERROR(J1518/H1518,"")</f>
        <v/>
      </c>
      <c r="G1522" s="82" t="e">
        <f ca="1">F1524</f>
        <v>#N/A</v>
      </c>
      <c r="H1522" s="83" t="e">
        <f ca="1">IF(TC_IV!N341&lt;96,_xlfn.TEXTJOIN(" ",TRUE,"CARRY OVER",TC_I!V510,TC_II!V422,TC_III!V361,TC_IV!V340),IF(G1522&gt;=8,"First Division with Distinction",IF(G1522&gt;=6.5,"First Division",IF(G1522&gt;=5,"Second Division",IF(G1522&gt;=4,"Third Division","Fail")))))</f>
        <v>#N/A</v>
      </c>
      <c r="I1522" s="83"/>
      <c r="J1522" s="30"/>
    </row>
    <row r="1523" spans="1:10" ht="10.5" customHeight="1" x14ac:dyDescent="0.2">
      <c r="B1523" s="81"/>
      <c r="C1523" s="74"/>
      <c r="D1523" s="74"/>
      <c r="E1523" s="74"/>
      <c r="F1523" s="74"/>
      <c r="G1523" s="82"/>
      <c r="H1523" s="83"/>
      <c r="I1523" s="83"/>
    </row>
    <row r="1524" spans="1:10" ht="10.5" customHeight="1" x14ac:dyDescent="0.2">
      <c r="B1524" s="80" t="s">
        <v>48</v>
      </c>
      <c r="C1524" s="73" t="e">
        <f ca="1">J1478/H1478</f>
        <v>#N/A</v>
      </c>
      <c r="D1524" s="73" t="e">
        <f ca="1">SUM(J1493,J1478)/SUM(H1493,H1478)</f>
        <v>#N/A</v>
      </c>
      <c r="E1524" s="73" t="e">
        <f ca="1">SUM(J1506,J1493,J1478)/SUM(H1506,H1493,H1478)</f>
        <v>#N/A</v>
      </c>
      <c r="F1524" s="73" t="e">
        <f ca="1">SUM(J1518,J1506,J1493,J1478)/SUM(H1478,H1493,H1506,H1518)</f>
        <v>#N/A</v>
      </c>
      <c r="G1524" s="82"/>
      <c r="H1524" s="83"/>
      <c r="I1524" s="83"/>
    </row>
    <row r="1525" spans="1:10" ht="10.5" customHeight="1" x14ac:dyDescent="0.2">
      <c r="B1525" s="81"/>
      <c r="C1525" s="74"/>
      <c r="D1525" s="74"/>
      <c r="E1525" s="74"/>
      <c r="F1525" s="74"/>
      <c r="G1525" s="82"/>
      <c r="H1525" s="83"/>
      <c r="I1525" s="83"/>
    </row>
    <row r="1527" spans="1:10" ht="10.5" customHeight="1" x14ac:dyDescent="0.2">
      <c r="A1527" s="56" t="s">
        <v>24</v>
      </c>
      <c r="B1527" s="56"/>
      <c r="C1527" s="56" t="str">
        <f ca="1">INDIRECT(_xlfn.TEXTJOIN("",TRUE,A1529,"!",ADDRESS(9+(A1530-1)*J1529,2)))</f>
        <v/>
      </c>
      <c r="D1527" s="56"/>
      <c r="E1527" s="56"/>
      <c r="F1527" s="56" t="s">
        <v>135</v>
      </c>
      <c r="G1527" s="56"/>
      <c r="H1527" s="62" t="str">
        <f ca="1">INDIRECT(_xlfn.TEXTJOIN("",TRUE,A1529,"!",ADDRESS(9+(A1530-1)*J1529,9)))</f>
        <v/>
      </c>
      <c r="I1527" s="56"/>
      <c r="J1527" s="56"/>
    </row>
    <row r="1528" spans="1:10" ht="10.5" customHeight="1" x14ac:dyDescent="0.2">
      <c r="A1528" s="56" t="s">
        <v>25</v>
      </c>
      <c r="B1528" s="56"/>
      <c r="C1528" s="56" t="str">
        <f ca="1">INDIRECT(_xlfn.TEXTJOIN("",TRUE,A1529,"!",ADDRESS(9+(A1530-1)*J1529,5)))</f>
        <v/>
      </c>
      <c r="D1528" s="56"/>
      <c r="E1528" s="56"/>
      <c r="F1528" s="47" t="s">
        <v>136</v>
      </c>
      <c r="G1528" s="47"/>
      <c r="H1528" s="62" t="str">
        <f ca="1">INDIRECT(_xlfn.TEXTJOIN("",TRUE,A1529,"!",ADDRESS(9+(A1530-1)*J1529,13)))</f>
        <v/>
      </c>
      <c r="I1528" s="56"/>
      <c r="J1528" s="56"/>
    </row>
    <row r="1529" spans="1:10" ht="10.5" customHeight="1" x14ac:dyDescent="0.2">
      <c r="A1529" s="24" t="s">
        <v>53</v>
      </c>
      <c r="B1529" s="43" t="s">
        <v>148</v>
      </c>
      <c r="C1529" s="43"/>
      <c r="D1529" s="43"/>
      <c r="E1529" s="43"/>
      <c r="F1529" s="43"/>
      <c r="G1529" s="43"/>
      <c r="H1529" s="43"/>
      <c r="I1529" s="43"/>
      <c r="J1529" s="24">
        <f>ROWS(A1533:B1546)+9</f>
        <v>23</v>
      </c>
    </row>
    <row r="1530" spans="1:10" ht="10.5" customHeight="1" x14ac:dyDescent="0.2">
      <c r="A1530" s="24">
        <f>A1461+1</f>
        <v>23</v>
      </c>
      <c r="B1530" s="63"/>
      <c r="C1530" s="63"/>
      <c r="D1530" s="63"/>
      <c r="E1530" s="63"/>
      <c r="F1530" s="63"/>
      <c r="G1530" s="63"/>
      <c r="H1530" s="63"/>
      <c r="I1530" s="63"/>
      <c r="J1530" s="29"/>
    </row>
    <row r="1531" spans="1:10" ht="10.5" customHeight="1" x14ac:dyDescent="0.2">
      <c r="A1531" s="64" t="s">
        <v>28</v>
      </c>
      <c r="B1531" s="64"/>
      <c r="C1531" s="64" t="s">
        <v>29</v>
      </c>
      <c r="D1531" s="64"/>
      <c r="E1531" s="64"/>
      <c r="F1531" s="64"/>
      <c r="G1531" s="64"/>
      <c r="H1531" s="64" t="s">
        <v>30</v>
      </c>
      <c r="I1531" s="64" t="s">
        <v>9</v>
      </c>
      <c r="J1531" s="64" t="s">
        <v>34</v>
      </c>
    </row>
    <row r="1532" spans="1:10" ht="14" customHeight="1" x14ac:dyDescent="0.2">
      <c r="A1532" s="64"/>
      <c r="B1532" s="64"/>
      <c r="C1532" s="64"/>
      <c r="D1532" s="64"/>
      <c r="E1532" s="64"/>
      <c r="F1532" s="64"/>
      <c r="G1532" s="64"/>
      <c r="H1532" s="64"/>
      <c r="I1532" s="64"/>
      <c r="J1532" s="64"/>
    </row>
    <row r="1533" spans="1:10" ht="10.5" customHeight="1" x14ac:dyDescent="0.2">
      <c r="A1533" s="65" t="str">
        <f ca="1">INDIRECT(_xlfn.TEXTJOIN("",TRUE,A1529,"!",ADDRESS(13+(A1530-1)*J1529,1)))</f>
        <v/>
      </c>
      <c r="B1533" s="65"/>
      <c r="C1533" s="66" t="str">
        <f ca="1">INDIRECT(_xlfn.TEXTJOIN("",TRUE,A1529,"!",ADDRESS(13+(A1530-1)*J1529,2)))</f>
        <v/>
      </c>
      <c r="D1533" s="66"/>
      <c r="E1533" s="66"/>
      <c r="F1533" s="66"/>
      <c r="G1533" s="66"/>
      <c r="H1533" s="25" t="str">
        <f ca="1">INDIRECT(_xlfn.TEXTJOIN("",TRUE,A1529,"!",ADDRESS(13+(A1530-1)*J1529,6)))</f>
        <v/>
      </c>
      <c r="I1533" s="25" t="str">
        <f ca="1">INDIRECT(_xlfn.TEXTJOIN("",TRUE,A1529,"!",ADDRESS(13+(A1530-1)*J1529,13)))</f>
        <v/>
      </c>
      <c r="J1533" s="25" t="e">
        <f ca="1">INDIRECT(_xlfn.TEXTJOIN("",TRUE,A1529,"!",ADDRESS(13+(A1530-1)*J1529,14)))</f>
        <v>#N/A</v>
      </c>
    </row>
    <row r="1534" spans="1:10" ht="10.5" customHeight="1" x14ac:dyDescent="0.2">
      <c r="A1534" s="65" t="str">
        <f ca="1">INDIRECT(_xlfn.TEXTJOIN("",TRUE,A1529,"!",ADDRESS(14+(A1530-1)*J1529,1)))</f>
        <v/>
      </c>
      <c r="B1534" s="65"/>
      <c r="C1534" s="66" t="str">
        <f ca="1">INDIRECT(_xlfn.TEXTJOIN("",TRUE,A1529,"!",ADDRESS(14+(A1530-1)*J1529,2)))</f>
        <v/>
      </c>
      <c r="D1534" s="66"/>
      <c r="E1534" s="66"/>
      <c r="F1534" s="66"/>
      <c r="G1534" s="66"/>
      <c r="H1534" s="25" t="str">
        <f ca="1">INDIRECT(_xlfn.TEXTJOIN("",TRUE,A1529,"!",ADDRESS(14+(A1530-1)*J1529,6)))</f>
        <v/>
      </c>
      <c r="I1534" s="25" t="str">
        <f ca="1">INDIRECT(_xlfn.TEXTJOIN("",TRUE,A1529,"!",ADDRESS(14+(A1530-1)*J1529,13)))</f>
        <v/>
      </c>
      <c r="J1534" s="25" t="e">
        <f ca="1">INDIRECT(_xlfn.TEXTJOIN("",TRUE,A1529,"!",ADDRESS(14+(A1530-1)*J1529,14)))</f>
        <v>#N/A</v>
      </c>
    </row>
    <row r="1535" spans="1:10" ht="10.5" customHeight="1" x14ac:dyDescent="0.2">
      <c r="A1535" s="65" t="str">
        <f ca="1">INDIRECT(_xlfn.TEXTJOIN("",TRUE,A1529,"!",ADDRESS(15+(A1530-1)*J1529,1)))</f>
        <v/>
      </c>
      <c r="B1535" s="65"/>
      <c r="C1535" s="66" t="str">
        <f ca="1">INDIRECT(_xlfn.TEXTJOIN("",TRUE,A1529,"!",ADDRESS(15+(A1530-1)*J1529,2)))</f>
        <v/>
      </c>
      <c r="D1535" s="66"/>
      <c r="E1535" s="66"/>
      <c r="F1535" s="66"/>
      <c r="G1535" s="66"/>
      <c r="H1535" s="25" t="str">
        <f ca="1">INDIRECT(_xlfn.TEXTJOIN("",TRUE,A1529,"!",ADDRESS(15+(A1530-1)*J1529,6)))</f>
        <v/>
      </c>
      <c r="I1535" s="25" t="str">
        <f ca="1">INDIRECT(_xlfn.TEXTJOIN("",TRUE,A1529,"!",ADDRESS(15+(A1530-1)*J1529,13)))</f>
        <v/>
      </c>
      <c r="J1535" s="25" t="e">
        <f ca="1">INDIRECT(_xlfn.TEXTJOIN("",TRUE,A1529,"!",ADDRESS(15+(A1530-1)*J1529,14)))</f>
        <v>#N/A</v>
      </c>
    </row>
    <row r="1536" spans="1:10" ht="10.5" customHeight="1" x14ac:dyDescent="0.2">
      <c r="A1536" s="65" t="str">
        <f ca="1">INDIRECT(_xlfn.TEXTJOIN("",TRUE,A1529,"!",ADDRESS(16+(A1530-1)*J1529,1)))</f>
        <v/>
      </c>
      <c r="B1536" s="65"/>
      <c r="C1536" s="66" t="str">
        <f ca="1">INDIRECT(_xlfn.TEXTJOIN("",TRUE,A1529,"!",ADDRESS(16+(A1530-1)*J1529,2)))</f>
        <v/>
      </c>
      <c r="D1536" s="66"/>
      <c r="E1536" s="66"/>
      <c r="F1536" s="66"/>
      <c r="G1536" s="66"/>
      <c r="H1536" s="25" t="str">
        <f ca="1">INDIRECT(_xlfn.TEXTJOIN("",TRUE,A1529,"!",ADDRESS(16+(A1530-1)*J1529,6)))</f>
        <v/>
      </c>
      <c r="I1536" s="25" t="str">
        <f ca="1">INDIRECT(_xlfn.TEXTJOIN("",TRUE,A1529,"!",ADDRESS(16+(A1530-1)*J1529,13)))</f>
        <v/>
      </c>
      <c r="J1536" s="25" t="e">
        <f ca="1">INDIRECT(_xlfn.TEXTJOIN("",TRUE,A1529,"!",ADDRESS(16+(A1530-1)*J1529,14)))</f>
        <v>#N/A</v>
      </c>
    </row>
    <row r="1537" spans="1:10" ht="10.5" customHeight="1" x14ac:dyDescent="0.2">
      <c r="A1537" s="65" t="str">
        <f ca="1">INDIRECT(_xlfn.TEXTJOIN("",TRUE,A1529,"!",ADDRESS(17+(A1530-1)*J1529,1)))</f>
        <v/>
      </c>
      <c r="B1537" s="65"/>
      <c r="C1537" s="66" t="str">
        <f ca="1">INDIRECT(_xlfn.TEXTJOIN("",TRUE,A1529,"!",ADDRESS(17+(A1530-1)*J1529,2)))</f>
        <v/>
      </c>
      <c r="D1537" s="66"/>
      <c r="E1537" s="66"/>
      <c r="F1537" s="66"/>
      <c r="G1537" s="66"/>
      <c r="H1537" s="25" t="str">
        <f ca="1">INDIRECT(_xlfn.TEXTJOIN("",TRUE,A1529,"!",ADDRESS(17+(A1530-1)*J1529,6)))</f>
        <v/>
      </c>
      <c r="I1537" s="25" t="str">
        <f ca="1">INDIRECT(_xlfn.TEXTJOIN("",TRUE,A1529,"!",ADDRESS(17+(A1530-1)*J1529,13)))</f>
        <v/>
      </c>
      <c r="J1537" s="25" t="e">
        <f ca="1">INDIRECT(_xlfn.TEXTJOIN("",TRUE,A1529,"!",ADDRESS(17+(A1530-1)*J1529,14)))</f>
        <v>#N/A</v>
      </c>
    </row>
    <row r="1538" spans="1:10" ht="10.5" customHeight="1" x14ac:dyDescent="0.2">
      <c r="A1538" s="65" t="str">
        <f ca="1">INDIRECT(_xlfn.TEXTJOIN("",TRUE,A1529,"!",ADDRESS(18+(A1530-1)*J1529,1)))</f>
        <v/>
      </c>
      <c r="B1538" s="65"/>
      <c r="C1538" s="66" t="str">
        <f ca="1">INDIRECT(_xlfn.TEXTJOIN("",TRUE,A1529,"!",ADDRESS(18+(A1530-1)*J1529,2)))</f>
        <v/>
      </c>
      <c r="D1538" s="66"/>
      <c r="E1538" s="66"/>
      <c r="F1538" s="66"/>
      <c r="G1538" s="66"/>
      <c r="H1538" s="25" t="str">
        <f ca="1">INDIRECT(_xlfn.TEXTJOIN("",TRUE,A1529,"!",ADDRESS(18+(A1530-1)*J1529,6)))</f>
        <v/>
      </c>
      <c r="I1538" s="25" t="str">
        <f ca="1">INDIRECT(_xlfn.TEXTJOIN("",TRUE,A1529,"!",ADDRESS(18+(A1530-1)*J1529,13)))</f>
        <v/>
      </c>
      <c r="J1538" s="25" t="e">
        <f ca="1">INDIRECT(_xlfn.TEXTJOIN("",TRUE,A1529,"!",ADDRESS(18+(A1530-1)*J1529,14)))</f>
        <v>#N/A</v>
      </c>
    </row>
    <row r="1539" spans="1:10" ht="10.5" customHeight="1" x14ac:dyDescent="0.2">
      <c r="A1539" s="60" t="str">
        <f ca="1">INDIRECT(_xlfn.TEXTJOIN("",TRUE,A1529,"!",ADDRESS(19+(A1530-1)*J1529,1)))</f>
        <v/>
      </c>
      <c r="B1539" s="61"/>
      <c r="C1539" s="57" t="str">
        <f ca="1">INDIRECT(_xlfn.TEXTJOIN("",TRUE,A1529,"!",ADDRESS(19+(A1530-1)*J1529,2)))</f>
        <v/>
      </c>
      <c r="D1539" s="58"/>
      <c r="E1539" s="58"/>
      <c r="F1539" s="58"/>
      <c r="G1539" s="59"/>
      <c r="H1539" s="25" t="str">
        <f ca="1">INDIRECT(_xlfn.TEXTJOIN("",TRUE,A1529,"!",ADDRESS(19+(A1530-1)*J1529,6)))</f>
        <v/>
      </c>
      <c r="I1539" s="25" t="str">
        <f ca="1">INDIRECT(_xlfn.TEXTJOIN("",TRUE,A1529,"!",ADDRESS(19+(A1530-1)*J1529,13)))</f>
        <v/>
      </c>
      <c r="J1539" s="25" t="e">
        <f ca="1">INDIRECT(_xlfn.TEXTJOIN("",TRUE,A1529,"!",ADDRESS(19+(A1530-1)*J1529,14)))</f>
        <v>#N/A</v>
      </c>
    </row>
    <row r="1540" spans="1:10" ht="10.5" customHeight="1" x14ac:dyDescent="0.2">
      <c r="A1540" s="65" t="str">
        <f ca="1">INDIRECT(_xlfn.TEXTJOIN("",TRUE,A1529,"!",ADDRESS(20+(A1530-1)*J1529,1)))</f>
        <v/>
      </c>
      <c r="B1540" s="65"/>
      <c r="C1540" s="66" t="str">
        <f ca="1">INDIRECT(_xlfn.TEXTJOIN("",TRUE,A1529,"!",ADDRESS(20+(A1530-1)*J1529,2)))</f>
        <v/>
      </c>
      <c r="D1540" s="66"/>
      <c r="E1540" s="66"/>
      <c r="F1540" s="66"/>
      <c r="G1540" s="66"/>
      <c r="H1540" s="25" t="str">
        <f ca="1">INDIRECT(_xlfn.TEXTJOIN("",TRUE,A1529,"!",ADDRESS(20+(A1530-1)*J1529,6)))</f>
        <v/>
      </c>
      <c r="I1540" s="25" t="str">
        <f ca="1">INDIRECT(_xlfn.TEXTJOIN("",TRUE,A1529,"!",ADDRESS(20+(A1530-1)*J1529,13)))</f>
        <v/>
      </c>
      <c r="J1540" s="25" t="e">
        <f ca="1">INDIRECT(_xlfn.TEXTJOIN("",TRUE,A1529,"!",ADDRESS(20+(A1530-1)*J1529,14)))</f>
        <v>#N/A</v>
      </c>
    </row>
    <row r="1541" spans="1:10" ht="10.5" customHeight="1" x14ac:dyDescent="0.2">
      <c r="A1541" s="65" t="str">
        <f ca="1">INDIRECT(_xlfn.TEXTJOIN("",TRUE,A1529,"!",ADDRESS(21+(A1530-1)*J1529,1)))</f>
        <v/>
      </c>
      <c r="B1541" s="65"/>
      <c r="C1541" s="66" t="str">
        <f ca="1">INDIRECT(_xlfn.TEXTJOIN("",TRUE,A1529,"!",ADDRESS(21+(A1530-1)*J1529,2)))</f>
        <v/>
      </c>
      <c r="D1541" s="66"/>
      <c r="E1541" s="66"/>
      <c r="F1541" s="66"/>
      <c r="G1541" s="66"/>
      <c r="H1541" s="25" t="str">
        <f ca="1">INDIRECT(_xlfn.TEXTJOIN("",TRUE,A1529,"!",ADDRESS(21+(A1530-1)*J1529,6)))</f>
        <v/>
      </c>
      <c r="I1541" s="25" t="str">
        <f ca="1">INDIRECT(_xlfn.TEXTJOIN("",TRUE,A1529,"!",ADDRESS(21+(A1530-1)*J1529,13)))</f>
        <v/>
      </c>
      <c r="J1541" s="25" t="e">
        <f ca="1">INDIRECT(_xlfn.TEXTJOIN("",TRUE,A1529,"!",ADDRESS(21+(A1530-1)*J1529,14)))</f>
        <v>#N/A</v>
      </c>
    </row>
    <row r="1542" spans="1:10" ht="10.5" customHeight="1" x14ac:dyDescent="0.2">
      <c r="A1542" s="65" t="str">
        <f ca="1">INDIRECT(_xlfn.TEXTJOIN("",TRUE,A1529,"!",ADDRESS(22+(A1530-1)*J1529,1)))</f>
        <v/>
      </c>
      <c r="B1542" s="65"/>
      <c r="C1542" s="66" t="str">
        <f ca="1">INDIRECT(_xlfn.TEXTJOIN("",TRUE,A1529,"!",ADDRESS(22+(A1530-1)*J1529,2)))</f>
        <v/>
      </c>
      <c r="D1542" s="66"/>
      <c r="E1542" s="66"/>
      <c r="F1542" s="66"/>
      <c r="G1542" s="66"/>
      <c r="H1542" s="25" t="str">
        <f ca="1">INDIRECT(_xlfn.TEXTJOIN("",TRUE,A1529,"!",ADDRESS(22+(A1530-1)*J1529,6)))</f>
        <v/>
      </c>
      <c r="I1542" s="25" t="str">
        <f ca="1">INDIRECT(_xlfn.TEXTJOIN("",TRUE,A1529,"!",ADDRESS(22+(A1530-1)*J1529,13)))</f>
        <v/>
      </c>
      <c r="J1542" s="25" t="e">
        <f ca="1">INDIRECT(_xlfn.TEXTJOIN("",TRUE,A1529,"!",ADDRESS(22+(A1530-1)*J1529,14)))</f>
        <v>#N/A</v>
      </c>
    </row>
    <row r="1543" spans="1:10" ht="10.5" customHeight="1" x14ac:dyDescent="0.2">
      <c r="A1543" s="65" t="str">
        <f ca="1">INDIRECT(_xlfn.TEXTJOIN("",TRUE,A1529,"!",ADDRESS(23+(A1530-1)*J1529,1)))</f>
        <v/>
      </c>
      <c r="B1543" s="65"/>
      <c r="C1543" s="66" t="str">
        <f ca="1">INDIRECT(_xlfn.TEXTJOIN("",TRUE,A1529,"!",ADDRESS(23+(A1530-1)*J1529,2)))</f>
        <v/>
      </c>
      <c r="D1543" s="66"/>
      <c r="E1543" s="66"/>
      <c r="F1543" s="66"/>
      <c r="G1543" s="66"/>
      <c r="H1543" s="25" t="str">
        <f ca="1">INDIRECT(_xlfn.TEXTJOIN("",TRUE,A1529,"!",ADDRESS(23+(A1530-1)*J1529,6)))</f>
        <v/>
      </c>
      <c r="I1543" s="25" t="str">
        <f ca="1">INDIRECT(_xlfn.TEXTJOIN("",TRUE,A1529,"!",ADDRESS(23+(A1530-1)*J1529,13)))</f>
        <v/>
      </c>
      <c r="J1543" s="25" t="e">
        <f ca="1">INDIRECT(_xlfn.TEXTJOIN("",TRUE,A1529,"!",ADDRESS(23+(A1530-1)*J1529,14)))</f>
        <v>#N/A</v>
      </c>
    </row>
    <row r="1544" spans="1:10" ht="10.5" customHeight="1" x14ac:dyDescent="0.2">
      <c r="A1544" s="65" t="str">
        <f ca="1">INDIRECT(_xlfn.TEXTJOIN("",TRUE,A1529,"!",ADDRESS(24+(A1530-1)*J1529,1)))</f>
        <v/>
      </c>
      <c r="B1544" s="65"/>
      <c r="C1544" s="66" t="str">
        <f ca="1">INDIRECT(_xlfn.TEXTJOIN("",TRUE,A1529,"!",ADDRESS(24+(A1530-1)*J1529,2)))</f>
        <v/>
      </c>
      <c r="D1544" s="66"/>
      <c r="E1544" s="66"/>
      <c r="F1544" s="66"/>
      <c r="G1544" s="66"/>
      <c r="H1544" s="25" t="str">
        <f ca="1">INDIRECT(_xlfn.TEXTJOIN("",TRUE,A1529,"!",ADDRESS(24+(A1530-1)*J1529,6)))</f>
        <v/>
      </c>
      <c r="I1544" s="25" t="str">
        <f ca="1">INDIRECT(_xlfn.TEXTJOIN("",TRUE,A1529,"!",ADDRESS(24+(A1530-1)*J1529,13)))</f>
        <v/>
      </c>
      <c r="J1544" s="25" t="e">
        <f ca="1">INDIRECT(_xlfn.TEXTJOIN("",TRUE,A1529,"!",ADDRESS(24+(A1530-1)*J1529,14)))</f>
        <v>#N/A</v>
      </c>
    </row>
    <row r="1545" spans="1:10" ht="10.5" customHeight="1" x14ac:dyDescent="0.2">
      <c r="A1545" s="65" t="str">
        <f ca="1">INDIRECT(_xlfn.TEXTJOIN("",TRUE,A1529,"!",ADDRESS(25+(A1530-1)*J1529,1)))</f>
        <v/>
      </c>
      <c r="B1545" s="65"/>
      <c r="C1545" s="66" t="str">
        <f ca="1">INDIRECT(_xlfn.TEXTJOIN("",TRUE,A1529,"!",ADDRESS(25+(A1530-1)*J1529,2)))</f>
        <v/>
      </c>
      <c r="D1545" s="66"/>
      <c r="E1545" s="66"/>
      <c r="F1545" s="66"/>
      <c r="G1545" s="66"/>
      <c r="H1545" s="25" t="str">
        <f ca="1">INDIRECT(_xlfn.TEXTJOIN("",TRUE,A1529,"!",ADDRESS(25+(A1530-1)*J1529,6)))</f>
        <v/>
      </c>
      <c r="I1545" s="25" t="str">
        <f ca="1">INDIRECT(_xlfn.TEXTJOIN("",TRUE,A1529,"!",ADDRESS(25+(A1530-1)*J1529,13)))</f>
        <v/>
      </c>
      <c r="J1545" s="25" t="e">
        <f ca="1">INDIRECT(_xlfn.TEXTJOIN("",TRUE,A1529,"!",ADDRESS(25+(A1530-1)*J1529,14)))</f>
        <v>#N/A</v>
      </c>
    </row>
    <row r="1546" spans="1:10" s="35" customFormat="1" ht="10.5" customHeight="1" x14ac:dyDescent="0.2">
      <c r="A1546" s="77" t="str">
        <f ca="1">INDIRECT(_xlfn.TEXTJOIN("",TRUE,A1529,"!",ADDRESS(26+(A1530-1)*J1529,1)))</f>
        <v/>
      </c>
      <c r="B1546" s="77"/>
      <c r="C1546" s="78" t="str">
        <f ca="1">INDIRECT(_xlfn.TEXTJOIN("",TRUE,A1529,"!",ADDRESS(26+(A1530-1)*J1529,2)))</f>
        <v/>
      </c>
      <c r="D1546" s="78"/>
      <c r="E1546" s="78"/>
      <c r="F1546" s="78"/>
      <c r="G1546" s="78"/>
      <c r="H1546" s="34" t="str">
        <f ca="1">INDIRECT(_xlfn.TEXTJOIN("",TRUE,A1529,"!",ADDRESS(26+(A1530-1)*J1529,6)))</f>
        <v/>
      </c>
      <c r="I1546" s="34" t="b">
        <f ca="1">INDIRECT(_xlfn.TEXTJOIN("",TRUE,A1529,"!",ADDRESS(26+(A1530-1)*J1529,13)))</f>
        <v>0</v>
      </c>
      <c r="J1546" s="34" t="e">
        <f ca="1">INDIRECT(_xlfn.TEXTJOIN("",TRUE,A1529,"!",ADDRESS(26+(A1530-1)*J1529,14)))</f>
        <v>#N/A</v>
      </c>
    </row>
    <row r="1547" spans="1:10" ht="10.5" customHeight="1" x14ac:dyDescent="0.2">
      <c r="A1547" s="71" t="s">
        <v>52</v>
      </c>
      <c r="B1547" s="71"/>
      <c r="C1547" s="71"/>
      <c r="D1547" s="71"/>
      <c r="E1547" s="71"/>
      <c r="F1547" s="71"/>
      <c r="G1547" s="71"/>
      <c r="H1547" s="27">
        <f ca="1">SUM(H1533:H1546)</f>
        <v>0</v>
      </c>
      <c r="I1547" s="26" t="s">
        <v>44</v>
      </c>
      <c r="J1547" s="27" t="e">
        <f ca="1">SUMPRODUCT(J1533:J1545,H1533:H1545)</f>
        <v>#N/A</v>
      </c>
    </row>
    <row r="1548" spans="1:10" ht="10.5" customHeight="1" x14ac:dyDescent="0.2">
      <c r="A1548" s="24" t="s">
        <v>57</v>
      </c>
      <c r="B1548" s="72" t="str">
        <f ca="1">IF(ISNA(A1549),"","Semester II (Spring Semester 2022-23)")</f>
        <v/>
      </c>
      <c r="C1548" s="72"/>
      <c r="D1548" s="72"/>
      <c r="E1548" s="72"/>
      <c r="F1548" s="72"/>
      <c r="G1548" s="72"/>
      <c r="H1548" s="72"/>
      <c r="I1548" s="72"/>
      <c r="J1548" s="24">
        <f>ROWS(A1552:B1561)+9</f>
        <v>19</v>
      </c>
    </row>
    <row r="1549" spans="1:10" ht="10.5" customHeight="1" x14ac:dyDescent="0.2">
      <c r="A1549" s="24" t="e">
        <f ca="1">INDEX(SEM_II!$A$6:$A$45,Marksheets!J1549)</f>
        <v>#N/A</v>
      </c>
      <c r="B1549" s="63"/>
      <c r="C1549" s="63"/>
      <c r="D1549" s="63"/>
      <c r="E1549" s="63"/>
      <c r="F1549" s="63"/>
      <c r="G1549" s="63"/>
      <c r="H1549" s="63"/>
      <c r="I1549" s="63"/>
      <c r="J1549" s="24" t="e">
        <f ca="1">MATCH(H1527,SEM_II!$B$6:$B$45,0)</f>
        <v>#N/A</v>
      </c>
    </row>
    <row r="1550" spans="1:10" ht="10.5" customHeight="1" x14ac:dyDescent="0.2">
      <c r="A1550" s="64" t="str">
        <f ca="1">IF(ISNA(A1549),"","Subject Code")</f>
        <v/>
      </c>
      <c r="B1550" s="64"/>
      <c r="C1550" s="64" t="str">
        <f ca="1">IF(ISNA(A1549),"","Subject Name")</f>
        <v/>
      </c>
      <c r="D1550" s="64"/>
      <c r="E1550" s="64"/>
      <c r="F1550" s="64"/>
      <c r="G1550" s="64"/>
      <c r="H1550" s="64" t="str">
        <f ca="1">IF(ISNA(A1549),"","Credits")</f>
        <v/>
      </c>
      <c r="I1550" s="64" t="str">
        <f ca="1">IF(ISNA(A1549),"","Grade")</f>
        <v/>
      </c>
      <c r="J1550" s="64" t="str">
        <f ca="1">IF(ISNA(A1549),"","Grade Points")</f>
        <v/>
      </c>
    </row>
    <row r="1551" spans="1:10" ht="13" customHeight="1" x14ac:dyDescent="0.2">
      <c r="A1551" s="64"/>
      <c r="B1551" s="64"/>
      <c r="C1551" s="64"/>
      <c r="D1551" s="64"/>
      <c r="E1551" s="64"/>
      <c r="F1551" s="64"/>
      <c r="G1551" s="64"/>
      <c r="H1551" s="64"/>
      <c r="I1551" s="64"/>
      <c r="J1551" s="64"/>
    </row>
    <row r="1552" spans="1:10" ht="10.5" customHeight="1" x14ac:dyDescent="0.2">
      <c r="A1552" s="65" t="str">
        <f ca="1">_xlfn.IFNA(INDIRECT(_xlfn.TEXTJOIN("",TRUE,A1548,"!",ADDRESS(13+(A1549-1)*J1548,1))),"")</f>
        <v/>
      </c>
      <c r="B1552" s="65"/>
      <c r="C1552" s="66" t="str">
        <f ca="1">_xlfn.IFNA(INDIRECT(_xlfn.TEXTJOIN("",TRUE,A1548,"!",ADDRESS(13+(A1549-1)*J1548,2))),"")</f>
        <v/>
      </c>
      <c r="D1552" s="66"/>
      <c r="E1552" s="66"/>
      <c r="F1552" s="66"/>
      <c r="G1552" s="66"/>
      <c r="H1552" s="25" t="str">
        <f ca="1">_xlfn.IFNA(INDIRECT(_xlfn.TEXTJOIN("",TRUE,A1548,"!",ADDRESS(13+(A1549-1)*J1548,6))),"")</f>
        <v/>
      </c>
      <c r="I1552" s="25" t="str">
        <f ca="1">_xlfn.IFNA(INDIRECT(_xlfn.TEXTJOIN("",TRUE,A1548,"!",ADDRESS(13+(A1549-1)*J1548,13))),"")</f>
        <v/>
      </c>
      <c r="J1552" s="25" t="str">
        <f ca="1">_xlfn.IFNA(INDIRECT(_xlfn.TEXTJOIN("",TRUE,A1548,"!",ADDRESS(13+(A1549-1)*J1548,14))),"")</f>
        <v/>
      </c>
    </row>
    <row r="1553" spans="1:10" ht="10.5" customHeight="1" x14ac:dyDescent="0.2">
      <c r="A1553" s="65" t="str">
        <f ca="1">_xlfn.IFNA(INDIRECT(_xlfn.TEXTJOIN("",TRUE,A1548,"!",ADDRESS(14+(A1549-1)*J1548,1))),"")</f>
        <v/>
      </c>
      <c r="B1553" s="65"/>
      <c r="C1553" s="66" t="str">
        <f ca="1">_xlfn.IFNA(INDIRECT(_xlfn.TEXTJOIN("",TRUE,A1548,"!",ADDRESS(14+(A1549-1)*J1548,2))),"")</f>
        <v/>
      </c>
      <c r="D1553" s="66"/>
      <c r="E1553" s="66"/>
      <c r="F1553" s="66"/>
      <c r="G1553" s="66"/>
      <c r="H1553" s="25" t="str">
        <f ca="1">_xlfn.IFNA(INDIRECT(_xlfn.TEXTJOIN("",TRUE,A1548,"!",ADDRESS(14+(A1549-1)*J1548,6))),"")</f>
        <v/>
      </c>
      <c r="I1553" s="25" t="str">
        <f ca="1">_xlfn.IFNA(INDIRECT(_xlfn.TEXTJOIN("",TRUE,A1548,"!",ADDRESS(14+(A1549-1)*J1548,13))),"")</f>
        <v/>
      </c>
      <c r="J1553" s="25" t="str">
        <f ca="1">_xlfn.IFNA(INDIRECT(_xlfn.TEXTJOIN("",TRUE,A1548,"!",ADDRESS(14+(A1549-1)*J1548,14))),"")</f>
        <v/>
      </c>
    </row>
    <row r="1554" spans="1:10" ht="10.5" customHeight="1" x14ac:dyDescent="0.2">
      <c r="A1554" s="65" t="str">
        <f ca="1">_xlfn.IFNA(INDIRECT(_xlfn.TEXTJOIN("",TRUE,A1548,"!",ADDRESS(15+(A1549-1)*J1548,1))),"")</f>
        <v/>
      </c>
      <c r="B1554" s="65"/>
      <c r="C1554" s="66" t="str">
        <f ca="1">_xlfn.IFNA(INDIRECT(_xlfn.TEXTJOIN("",TRUE,A1548,"!",ADDRESS(15+(A1549-1)*J1548,2))),"")</f>
        <v/>
      </c>
      <c r="D1554" s="66"/>
      <c r="E1554" s="66"/>
      <c r="F1554" s="66"/>
      <c r="G1554" s="66"/>
      <c r="H1554" s="25" t="str">
        <f ca="1">_xlfn.IFNA(INDIRECT(_xlfn.TEXTJOIN("",TRUE,A1548,"!",ADDRESS(15+(A1549-1)*J1548,6))),"")</f>
        <v/>
      </c>
      <c r="I1554" s="25" t="str">
        <f ca="1">_xlfn.IFNA(INDIRECT(_xlfn.TEXTJOIN("",TRUE,A1548,"!",ADDRESS(15+(A1549-1)*J1548,13))),"")</f>
        <v/>
      </c>
      <c r="J1554" s="25" t="str">
        <f ca="1">_xlfn.IFNA(INDIRECT(_xlfn.TEXTJOIN("",TRUE,A1548,"!",ADDRESS(15+(A1549-1)*J1548,14))),"")</f>
        <v/>
      </c>
    </row>
    <row r="1555" spans="1:10" ht="10.5" customHeight="1" x14ac:dyDescent="0.2">
      <c r="A1555" s="65" t="str">
        <f ca="1">_xlfn.IFNA(INDIRECT(_xlfn.TEXTJOIN("",TRUE,A1548,"!",ADDRESS(16+(A1549-1)*J1548,1))),"")</f>
        <v/>
      </c>
      <c r="B1555" s="65"/>
      <c r="C1555" s="66" t="str">
        <f ca="1">_xlfn.IFNA(INDIRECT(_xlfn.TEXTJOIN("",TRUE,A1548,"!",ADDRESS(16+(A1549-1)*J1548,2))),"")</f>
        <v/>
      </c>
      <c r="D1555" s="66"/>
      <c r="E1555" s="66"/>
      <c r="F1555" s="66"/>
      <c r="G1555" s="66"/>
      <c r="H1555" s="25" t="str">
        <f ca="1">_xlfn.IFNA(INDIRECT(_xlfn.TEXTJOIN("",TRUE,A1548,"!",ADDRESS(16+(A1549-1)*J1548,6))),"")</f>
        <v/>
      </c>
      <c r="I1555" s="25" t="str">
        <f ca="1">_xlfn.IFNA(INDIRECT(_xlfn.TEXTJOIN("",TRUE,A1548,"!",ADDRESS(16+(A1549-1)*J1548,13))),"")</f>
        <v/>
      </c>
      <c r="J1555" s="25" t="str">
        <f ca="1">_xlfn.IFNA(INDIRECT(_xlfn.TEXTJOIN("",TRUE,A1548,"!",ADDRESS(16+(A1549-1)*J1548,14))),"")</f>
        <v/>
      </c>
    </row>
    <row r="1556" spans="1:10" ht="10.5" customHeight="1" x14ac:dyDescent="0.2">
      <c r="A1556" s="65" t="str">
        <f ca="1">_xlfn.IFNA(INDIRECT(_xlfn.TEXTJOIN("",TRUE,A1548,"!",ADDRESS(17+(A1549-1)*J1548,1))),"")</f>
        <v/>
      </c>
      <c r="B1556" s="65"/>
      <c r="C1556" s="66" t="str">
        <f ca="1">_xlfn.IFNA(INDIRECT(_xlfn.TEXTJOIN("",TRUE,A1548,"!",ADDRESS(17+(A1549-1)*J1548,2))),"")</f>
        <v/>
      </c>
      <c r="D1556" s="66"/>
      <c r="E1556" s="66"/>
      <c r="F1556" s="66"/>
      <c r="G1556" s="66"/>
      <c r="H1556" s="25" t="str">
        <f ca="1">_xlfn.IFNA(INDIRECT(_xlfn.TEXTJOIN("",TRUE,A1548,"!",ADDRESS(17+(A1549-1)*J1548,6))),"")</f>
        <v/>
      </c>
      <c r="I1556" s="25" t="str">
        <f ca="1">_xlfn.IFNA(INDIRECT(_xlfn.TEXTJOIN("",TRUE,A1548,"!",ADDRESS(17+(A1549-1)*J1548,13))),"")</f>
        <v/>
      </c>
      <c r="J1556" s="25" t="str">
        <f ca="1">_xlfn.IFNA(INDIRECT(_xlfn.TEXTJOIN("",TRUE,A1548,"!",ADDRESS(17+(A1549-1)*J1548,14))),"")</f>
        <v/>
      </c>
    </row>
    <row r="1557" spans="1:10" ht="10.5" customHeight="1" x14ac:dyDescent="0.2">
      <c r="A1557" s="65" t="str">
        <f ca="1">_xlfn.IFNA(INDIRECT(_xlfn.TEXTJOIN("",TRUE,A1548,"!",ADDRESS(18+(A1549-1)*J1548,1))),"")</f>
        <v/>
      </c>
      <c r="B1557" s="65"/>
      <c r="C1557" s="66" t="str">
        <f ca="1">_xlfn.IFNA(INDIRECT(_xlfn.TEXTJOIN("",TRUE,A1548,"!",ADDRESS(18+(A1549-1)*J1548,2))),"")</f>
        <v/>
      </c>
      <c r="D1557" s="66"/>
      <c r="E1557" s="66"/>
      <c r="F1557" s="66"/>
      <c r="G1557" s="66"/>
      <c r="H1557" s="25" t="str">
        <f ca="1">_xlfn.IFNA(INDIRECT(_xlfn.TEXTJOIN("",TRUE,A1548,"!",ADDRESS(18+(A1549-1)*J1548,6))),"")</f>
        <v/>
      </c>
      <c r="I1557" s="25" t="str">
        <f ca="1">_xlfn.IFNA(INDIRECT(_xlfn.TEXTJOIN("",TRUE,A1548,"!",ADDRESS(18+(A1549-1)*J1548,13))),"")</f>
        <v/>
      </c>
      <c r="J1557" s="25" t="str">
        <f ca="1">_xlfn.IFNA(INDIRECT(_xlfn.TEXTJOIN("",TRUE,A1548,"!",ADDRESS(18+(A1549-1)*J1548,14))),"")</f>
        <v/>
      </c>
    </row>
    <row r="1558" spans="1:10" ht="10.5" customHeight="1" x14ac:dyDescent="0.2">
      <c r="A1558" s="60" t="str">
        <f ca="1">_xlfn.IFNA(INDIRECT(_xlfn.TEXTJOIN("",TRUE,A1548,"!",ADDRESS(19+(A1549-1)*J1548,1))),"")</f>
        <v/>
      </c>
      <c r="B1558" s="61"/>
      <c r="C1558" s="57" t="str">
        <f ca="1">_xlfn.IFNA(INDIRECT(_xlfn.TEXTJOIN("",TRUE,A1548,"!",ADDRESS(19+(A1549-1)*J1548,2))),"")</f>
        <v/>
      </c>
      <c r="D1558" s="58"/>
      <c r="E1558" s="58"/>
      <c r="F1558" s="58"/>
      <c r="G1558" s="59"/>
      <c r="H1558" s="25" t="str">
        <f ca="1">_xlfn.IFNA(INDIRECT(_xlfn.TEXTJOIN("",TRUE,A1548,"!",ADDRESS(19+(A1549-1)*J1548,6))),"")</f>
        <v/>
      </c>
      <c r="I1558" s="25" t="str">
        <f ca="1">_xlfn.IFNA(INDIRECT(_xlfn.TEXTJOIN("",TRUE,A1548,"!",ADDRESS(19+(A1549-1)*J1548,13))),"")</f>
        <v/>
      </c>
      <c r="J1558" s="25" t="str">
        <f ca="1">_xlfn.IFNA(INDIRECT(_xlfn.TEXTJOIN("",TRUE,A1548,"!",ADDRESS(19+(A1549-1)*J1548,14))),"")</f>
        <v/>
      </c>
    </row>
    <row r="1559" spans="1:10" ht="10.5" customHeight="1" x14ac:dyDescent="0.2">
      <c r="A1559" s="65" t="str">
        <f ca="1">_xlfn.IFNA(INDIRECT(_xlfn.TEXTJOIN("",TRUE,A1548,"!",ADDRESS(20+(A1549-1)*J1548,1))),"")</f>
        <v/>
      </c>
      <c r="B1559" s="65"/>
      <c r="C1559" s="66" t="str">
        <f ca="1">_xlfn.IFNA(INDIRECT(_xlfn.TEXTJOIN("",TRUE,A1548,"!",ADDRESS(20+(A1549-1)*J1548,2))),"")</f>
        <v/>
      </c>
      <c r="D1559" s="66"/>
      <c r="E1559" s="66"/>
      <c r="F1559" s="66"/>
      <c r="G1559" s="66"/>
      <c r="H1559" s="25" t="str">
        <f ca="1">_xlfn.IFNA(INDIRECT(_xlfn.TEXTJOIN("",TRUE,A1548,"!",ADDRESS(20+(A1549-1)*J1548,6))),"")</f>
        <v/>
      </c>
      <c r="I1559" s="25" t="str">
        <f ca="1">_xlfn.IFNA(INDIRECT(_xlfn.TEXTJOIN("",TRUE,A1548,"!",ADDRESS(20+(A1549-1)*J1548,13))),"")</f>
        <v/>
      </c>
      <c r="J1559" s="25" t="str">
        <f ca="1">_xlfn.IFNA(INDIRECT(_xlfn.TEXTJOIN("",TRUE,A1548,"!",ADDRESS(20+(A1549-1)*J1548,14))),"")</f>
        <v/>
      </c>
    </row>
    <row r="1560" spans="1:10" ht="10.5" customHeight="1" x14ac:dyDescent="0.2">
      <c r="A1560" s="65" t="str">
        <f ca="1">_xlfn.IFNA(INDIRECT(_xlfn.TEXTJOIN("",TRUE,A1548,"!",ADDRESS(21+(A1549-1)*J1548,1))),"")</f>
        <v/>
      </c>
      <c r="B1560" s="65"/>
      <c r="C1560" s="66" t="str">
        <f ca="1">_xlfn.IFNA(INDIRECT(_xlfn.TEXTJOIN("",TRUE,A1548,"!",ADDRESS(21+(A1549-1)*J1548,2))),"")</f>
        <v/>
      </c>
      <c r="D1560" s="66"/>
      <c r="E1560" s="66"/>
      <c r="F1560" s="66"/>
      <c r="G1560" s="66"/>
      <c r="H1560" s="25" t="str">
        <f ca="1">_xlfn.IFNA(INDIRECT(_xlfn.TEXTJOIN("",TRUE,A1548,"!",ADDRESS(21+(A1549-1)*J1548,6))),"")</f>
        <v/>
      </c>
      <c r="I1560" s="25" t="str">
        <f ca="1">_xlfn.IFNA(INDIRECT(_xlfn.TEXTJOIN("",TRUE,A1548,"!",ADDRESS(21+(A1549-1)*J1548,13))),"")</f>
        <v/>
      </c>
      <c r="J1560" s="25" t="str">
        <f ca="1">_xlfn.IFNA(INDIRECT(_xlfn.TEXTJOIN("",TRUE,A1548,"!",ADDRESS(21+(A1549-1)*J1548,14))),"")</f>
        <v/>
      </c>
    </row>
    <row r="1561" spans="1:10" ht="10.5" customHeight="1" x14ac:dyDescent="0.2">
      <c r="A1561" s="65" t="str">
        <f ca="1">_xlfn.IFNA(INDIRECT(_xlfn.TEXTJOIN("",TRUE,A1548,"!",ADDRESS(22+(A1549-1)*J1548,1))),"")</f>
        <v/>
      </c>
      <c r="B1561" s="65"/>
      <c r="C1561" s="66" t="str">
        <f ca="1">_xlfn.IFNA(INDIRECT(_xlfn.TEXTJOIN("",TRUE,A1548,"!",ADDRESS(22+(A1549-1)*J1548,2))),"")</f>
        <v/>
      </c>
      <c r="D1561" s="66"/>
      <c r="E1561" s="66"/>
      <c r="F1561" s="66"/>
      <c r="G1561" s="66"/>
      <c r="H1561" s="25" t="str">
        <f ca="1">_xlfn.IFNA(INDIRECT(_xlfn.TEXTJOIN("",TRUE,A1548,"!",ADDRESS(22+(A1549-1)*J1548,6))),"")</f>
        <v/>
      </c>
      <c r="I1561" s="25" t="str">
        <f ca="1">_xlfn.IFNA(INDIRECT(_xlfn.TEXTJOIN("",TRUE,A1548,"!",ADDRESS(22+(A1549-1)*J1548,13))),"")</f>
        <v/>
      </c>
      <c r="J1561" s="25" t="str">
        <f ca="1">_xlfn.IFNA(INDIRECT(_xlfn.TEXTJOIN("",TRUE,A1548,"!",ADDRESS(22+(A1549-1)*J1548,14))),"")</f>
        <v/>
      </c>
    </row>
    <row r="1562" spans="1:10" ht="10.5" customHeight="1" x14ac:dyDescent="0.2">
      <c r="A1562" s="71" t="str">
        <f ca="1">IF(ISNA(A1549),"","Total Credits/ Total Grade Points")</f>
        <v/>
      </c>
      <c r="B1562" s="71"/>
      <c r="C1562" s="71"/>
      <c r="D1562" s="71"/>
      <c r="E1562" s="71"/>
      <c r="F1562" s="71"/>
      <c r="G1562" s="71"/>
      <c r="H1562" s="27" t="str">
        <f ca="1">IF(ISNA(A1549),"",SUM(H1552:H1561))</f>
        <v/>
      </c>
      <c r="I1562" s="26" t="str">
        <f ca="1">IF(ISNA(A1549),"","-")</f>
        <v/>
      </c>
      <c r="J1562" s="27" t="str">
        <f ca="1">IF(ISNA(A1549),"",SUMPRODUCT(J1552:J1561,H1552:H1561))</f>
        <v/>
      </c>
    </row>
    <row r="1563" spans="1:10" ht="10.5" customHeight="1" x14ac:dyDescent="0.2">
      <c r="A1563" s="24" t="s">
        <v>60</v>
      </c>
      <c r="B1563" s="72" t="str">
        <f ca="1">IF(ISNA(A1564),"","Semester III (Autumn Semester 2023-24)")</f>
        <v/>
      </c>
      <c r="C1563" s="72"/>
      <c r="D1563" s="72"/>
      <c r="E1563" s="72"/>
      <c r="F1563" s="72"/>
      <c r="G1563" s="72"/>
      <c r="H1563" s="72"/>
      <c r="I1563" s="72"/>
      <c r="J1563" s="24">
        <f>ROWS(A1567:B1574)+9</f>
        <v>17</v>
      </c>
    </row>
    <row r="1564" spans="1:10" ht="10.5" customHeight="1" x14ac:dyDescent="0.2">
      <c r="A1564" s="24" t="e">
        <f ca="1">INDEX(SEM_III!$A$6:$A$43,Marksheets!J1564)</f>
        <v>#N/A</v>
      </c>
      <c r="B1564" s="63"/>
      <c r="C1564" s="63"/>
      <c r="D1564" s="63"/>
      <c r="E1564" s="63"/>
      <c r="F1564" s="63"/>
      <c r="G1564" s="63"/>
      <c r="H1564" s="63"/>
      <c r="I1564" s="63"/>
      <c r="J1564" s="24" t="e">
        <f ca="1">MATCH(H1527,SEM_III!$B$6:$B$43,0)</f>
        <v>#N/A</v>
      </c>
    </row>
    <row r="1565" spans="1:10" ht="10.5" customHeight="1" x14ac:dyDescent="0.2">
      <c r="A1565" s="64" t="str">
        <f ca="1">IF(ISNA(A1564),"","Subject Code")</f>
        <v/>
      </c>
      <c r="B1565" s="64"/>
      <c r="C1565" s="64" t="str">
        <f ca="1">IF(ISNA(A1564),"","Subject Name")</f>
        <v/>
      </c>
      <c r="D1565" s="64"/>
      <c r="E1565" s="64"/>
      <c r="F1565" s="64"/>
      <c r="G1565" s="64"/>
      <c r="H1565" s="64" t="str">
        <f ca="1">IF(ISNA(A1564),"","Credits")</f>
        <v/>
      </c>
      <c r="I1565" s="64" t="str">
        <f ca="1">IF(ISNA(A1564),"","Grade")</f>
        <v/>
      </c>
      <c r="J1565" s="64" t="str">
        <f ca="1">IF(ISNA(A1564),"","Grade Points")</f>
        <v/>
      </c>
    </row>
    <row r="1566" spans="1:10" ht="12.5" customHeight="1" x14ac:dyDescent="0.2">
      <c r="A1566" s="64"/>
      <c r="B1566" s="64"/>
      <c r="C1566" s="64"/>
      <c r="D1566" s="64"/>
      <c r="E1566" s="64"/>
      <c r="F1566" s="64"/>
      <c r="G1566" s="64"/>
      <c r="H1566" s="64"/>
      <c r="I1566" s="64"/>
      <c r="J1566" s="64"/>
    </row>
    <row r="1567" spans="1:10" ht="10.5" customHeight="1" x14ac:dyDescent="0.2">
      <c r="A1567" s="65" t="str">
        <f ca="1">_xlfn.IFNA(INDIRECT(_xlfn.TEXTJOIN("",TRUE,A1563,"!",ADDRESS(13+(A1564-1)*J1563,1))),"")</f>
        <v/>
      </c>
      <c r="B1567" s="65"/>
      <c r="C1567" s="66" t="str">
        <f ca="1">_xlfn.IFNA(INDIRECT(_xlfn.TEXTJOIN("",TRUE,A1563,"!",ADDRESS(13+(A1564-1)*J1563,2))),"")</f>
        <v/>
      </c>
      <c r="D1567" s="66"/>
      <c r="E1567" s="66"/>
      <c r="F1567" s="66"/>
      <c r="G1567" s="66"/>
      <c r="H1567" s="25" t="str">
        <f ca="1">_xlfn.IFNA(INDIRECT(_xlfn.TEXTJOIN("",TRUE,A1563,"!",ADDRESS(13+(A1564-1)*J1563,6))),"")</f>
        <v/>
      </c>
      <c r="I1567" s="25" t="str">
        <f ca="1">_xlfn.IFNA(INDIRECT(_xlfn.TEXTJOIN("",TRUE,A1563,"!",ADDRESS(13+(A1564-1)*J1563,13))),"")</f>
        <v/>
      </c>
      <c r="J1567" s="25" t="str">
        <f ca="1">_xlfn.IFNA(INDIRECT(_xlfn.TEXTJOIN("",TRUE,A1563,"!",ADDRESS(13+(A1564-1)*J1563,14))),"")</f>
        <v/>
      </c>
    </row>
    <row r="1568" spans="1:10" ht="10.5" customHeight="1" x14ac:dyDescent="0.2">
      <c r="A1568" s="65" t="str">
        <f ca="1">_xlfn.IFNA(INDIRECT(_xlfn.TEXTJOIN("",TRUE,A1563,"!",ADDRESS(14+(A1564-1)*J1563,1))),"")</f>
        <v/>
      </c>
      <c r="B1568" s="65"/>
      <c r="C1568" s="66" t="str">
        <f ca="1">_xlfn.IFNA(INDIRECT(_xlfn.TEXTJOIN("",TRUE,A1563,"!",ADDRESS(14+(A1564-1)*J1563,2))),"")</f>
        <v/>
      </c>
      <c r="D1568" s="66"/>
      <c r="E1568" s="66"/>
      <c r="F1568" s="66"/>
      <c r="G1568" s="66"/>
      <c r="H1568" s="25" t="str">
        <f ca="1">_xlfn.IFNA(INDIRECT(_xlfn.TEXTJOIN("",TRUE,A1563,"!",ADDRESS(14+(A1564-1)*J1563,6))),"")</f>
        <v/>
      </c>
      <c r="I1568" s="25" t="str">
        <f ca="1">_xlfn.IFNA(INDIRECT(_xlfn.TEXTJOIN("",TRUE,A1563,"!",ADDRESS(14+(A1564-1)*J1563,13))),"")</f>
        <v/>
      </c>
      <c r="J1568" s="25" t="str">
        <f ca="1">_xlfn.IFNA(INDIRECT(_xlfn.TEXTJOIN("",TRUE,A1563,"!",ADDRESS(14+(A1564-1)*J1563,14))),"")</f>
        <v/>
      </c>
    </row>
    <row r="1569" spans="1:10" ht="10.5" customHeight="1" x14ac:dyDescent="0.2">
      <c r="A1569" s="65" t="str">
        <f ca="1">_xlfn.IFNA(INDIRECT(_xlfn.TEXTJOIN("",TRUE,A1563,"!",ADDRESS(15+(A1564-1)*J1563,1))),"")</f>
        <v/>
      </c>
      <c r="B1569" s="65"/>
      <c r="C1569" s="66" t="str">
        <f ca="1">_xlfn.IFNA(INDIRECT(_xlfn.TEXTJOIN("",TRUE,A1563,"!",ADDRESS(15+(A1564-1)*J1563,2))),"")</f>
        <v/>
      </c>
      <c r="D1569" s="66"/>
      <c r="E1569" s="66"/>
      <c r="F1569" s="66"/>
      <c r="G1569" s="66"/>
      <c r="H1569" s="25" t="str">
        <f ca="1">_xlfn.IFNA(INDIRECT(_xlfn.TEXTJOIN("",TRUE,A1563,"!",ADDRESS(15+(A1564-1)*J1563,6))),"")</f>
        <v/>
      </c>
      <c r="I1569" s="25" t="str">
        <f ca="1">_xlfn.IFNA(INDIRECT(_xlfn.TEXTJOIN("",TRUE,A1563,"!",ADDRESS(15+(A1564-1)*J1563,13))),"")</f>
        <v/>
      </c>
      <c r="J1569" s="25" t="str">
        <f ca="1">_xlfn.IFNA(INDIRECT(_xlfn.TEXTJOIN("",TRUE,A1563,"!",ADDRESS(15+(A1564-1)*J1563,14))),"")</f>
        <v/>
      </c>
    </row>
    <row r="1570" spans="1:10" ht="10.5" customHeight="1" x14ac:dyDescent="0.2">
      <c r="A1570" s="65" t="str">
        <f ca="1">_xlfn.IFNA(INDIRECT(_xlfn.TEXTJOIN("",TRUE,A1563,"!",ADDRESS(16+(A1564-1)*J1563,1))),"")</f>
        <v/>
      </c>
      <c r="B1570" s="65"/>
      <c r="C1570" s="66" t="str">
        <f ca="1">_xlfn.IFNA(INDIRECT(_xlfn.TEXTJOIN("",TRUE,A1563,"!",ADDRESS(16+(A1564-1)*J1563,2))),"")</f>
        <v/>
      </c>
      <c r="D1570" s="66"/>
      <c r="E1570" s="66"/>
      <c r="F1570" s="66"/>
      <c r="G1570" s="66"/>
      <c r="H1570" s="25" t="str">
        <f ca="1">_xlfn.IFNA(INDIRECT(_xlfn.TEXTJOIN("",TRUE,A1563,"!",ADDRESS(16+(A1564-1)*J1563,6))),"")</f>
        <v/>
      </c>
      <c r="I1570" s="25" t="str">
        <f ca="1">_xlfn.IFNA(INDIRECT(_xlfn.TEXTJOIN("",TRUE,A1563,"!",ADDRESS(16+(A1564-1)*J1563,13))),"")</f>
        <v/>
      </c>
      <c r="J1570" s="25" t="str">
        <f ca="1">_xlfn.IFNA(INDIRECT(_xlfn.TEXTJOIN("",TRUE,A1563,"!",ADDRESS(16+(A1564-1)*J1563,14))),"")</f>
        <v/>
      </c>
    </row>
    <row r="1571" spans="1:10" ht="10.5" customHeight="1" x14ac:dyDescent="0.2">
      <c r="A1571" s="65" t="str">
        <f ca="1">_xlfn.IFNA(INDIRECT(_xlfn.TEXTJOIN("",TRUE,A1563,"!",ADDRESS(17+(A1564-1)*J1563,1))),"")</f>
        <v/>
      </c>
      <c r="B1571" s="65"/>
      <c r="C1571" s="66" t="str">
        <f ca="1">_xlfn.IFNA(INDIRECT(_xlfn.TEXTJOIN("",TRUE,A1563,"!",ADDRESS(17+(A1564-1)*J1563,2))),"")</f>
        <v/>
      </c>
      <c r="D1571" s="66"/>
      <c r="E1571" s="66"/>
      <c r="F1571" s="66"/>
      <c r="G1571" s="66"/>
      <c r="H1571" s="25" t="str">
        <f ca="1">_xlfn.IFNA(INDIRECT(_xlfn.TEXTJOIN("",TRUE,A1563,"!",ADDRESS(17+(A1564-1)*J1563,6))),"")</f>
        <v/>
      </c>
      <c r="I1571" s="25" t="str">
        <f ca="1">_xlfn.IFNA(INDIRECT(_xlfn.TEXTJOIN("",TRUE,A1563,"!",ADDRESS(17+(A1564-1)*J1563,13))),"")</f>
        <v/>
      </c>
      <c r="J1571" s="25" t="str">
        <f ca="1">_xlfn.IFNA(INDIRECT(_xlfn.TEXTJOIN("",TRUE,A1563,"!",ADDRESS(17+(A1564-1)*J1563,14))),"")</f>
        <v/>
      </c>
    </row>
    <row r="1572" spans="1:10" ht="10.5" customHeight="1" x14ac:dyDescent="0.2">
      <c r="A1572" s="65" t="str">
        <f ca="1">_xlfn.IFNA(INDIRECT(_xlfn.TEXTJOIN("",TRUE,A1563,"!",ADDRESS(18+(A1564-1)*J1563,1))),"")</f>
        <v/>
      </c>
      <c r="B1572" s="65"/>
      <c r="C1572" s="66" t="str">
        <f ca="1">_xlfn.IFNA(INDIRECT(_xlfn.TEXTJOIN("",TRUE,A1563,"!",ADDRESS(18+(A1564-1)*J1563,2))),"")</f>
        <v/>
      </c>
      <c r="D1572" s="66"/>
      <c r="E1572" s="66"/>
      <c r="F1572" s="66"/>
      <c r="G1572" s="66"/>
      <c r="H1572" s="25" t="str">
        <f ca="1">_xlfn.IFNA(INDIRECT(_xlfn.TEXTJOIN("",TRUE,A1563,"!",ADDRESS(18+(A1564-1)*J1563,6))),"")</f>
        <v/>
      </c>
      <c r="I1572" s="25" t="str">
        <f ca="1">_xlfn.IFNA(INDIRECT(_xlfn.TEXTJOIN("",TRUE,A1563,"!",ADDRESS(18+(A1564-1)*J1563,13))),"")</f>
        <v/>
      </c>
      <c r="J1572" s="25" t="str">
        <f ca="1">_xlfn.IFNA(INDIRECT(_xlfn.TEXTJOIN("",TRUE,A1563,"!",ADDRESS(18+(A1564-1)*J1563,14))),"")</f>
        <v/>
      </c>
    </row>
    <row r="1573" spans="1:10" ht="10.5" customHeight="1" x14ac:dyDescent="0.2">
      <c r="A1573" s="60" t="str">
        <f ca="1">_xlfn.IFNA(INDIRECT(_xlfn.TEXTJOIN("",TRUE,A1563,"!",ADDRESS(19+(A1564-1)*J1563,1))),"")</f>
        <v/>
      </c>
      <c r="B1573" s="61"/>
      <c r="C1573" s="57" t="str">
        <f ca="1">_xlfn.IFNA(INDIRECT(_xlfn.TEXTJOIN("",TRUE,A1563,"!",ADDRESS(19+(A1564-1)*J1563,2))),"")</f>
        <v/>
      </c>
      <c r="D1573" s="58"/>
      <c r="E1573" s="58"/>
      <c r="F1573" s="58"/>
      <c r="G1573" s="59"/>
      <c r="H1573" s="25" t="str">
        <f ca="1">_xlfn.IFNA(INDIRECT(_xlfn.TEXTJOIN("",TRUE,A1563,"!",ADDRESS(19+(A1564-1)*J1563,6))),"")</f>
        <v/>
      </c>
      <c r="I1573" s="25" t="str">
        <f ca="1">_xlfn.IFNA(INDIRECT(_xlfn.TEXTJOIN("",TRUE,A1563,"!",ADDRESS(19+(A1564-1)*J1563,13))),"")</f>
        <v/>
      </c>
      <c r="J1573" s="25" t="str">
        <f ca="1">_xlfn.IFNA(INDIRECT(_xlfn.TEXTJOIN("",TRUE,A1563,"!",ADDRESS(19+(A1564-1)*J1563,14))),"")</f>
        <v/>
      </c>
    </row>
    <row r="1574" spans="1:10" ht="10.5" customHeight="1" x14ac:dyDescent="0.2">
      <c r="A1574" s="65" t="str">
        <f ca="1">_xlfn.IFNA(INDIRECT(_xlfn.TEXTJOIN("",TRUE,A1563,"!",ADDRESS(20+(A1564-1)*J1563,1))),"")</f>
        <v/>
      </c>
      <c r="B1574" s="65"/>
      <c r="C1574" s="66" t="str">
        <f ca="1">_xlfn.IFNA(INDIRECT(_xlfn.TEXTJOIN("",TRUE,A1563,"!",ADDRESS(20+(A1564-1)*J1563,2))),"")</f>
        <v/>
      </c>
      <c r="D1574" s="66"/>
      <c r="E1574" s="66"/>
      <c r="F1574" s="66"/>
      <c r="G1574" s="66"/>
      <c r="H1574" s="25" t="str">
        <f ca="1">_xlfn.IFNA(INDIRECT(_xlfn.TEXTJOIN("",TRUE,A1563,"!",ADDRESS(20+(A1564-1)*J1563,6))),"")</f>
        <v/>
      </c>
      <c r="I1574" s="25" t="str">
        <f ca="1">_xlfn.IFNA(INDIRECT(_xlfn.TEXTJOIN("",TRUE,A1563,"!",ADDRESS(20+(A1564-1)*J1563,13))),"")</f>
        <v/>
      </c>
      <c r="J1574" s="25" t="str">
        <f ca="1">_xlfn.IFNA(INDIRECT(_xlfn.TEXTJOIN("",TRUE,A1563,"!",ADDRESS(20+(A1564-1)*J1563,14))),"")</f>
        <v/>
      </c>
    </row>
    <row r="1575" spans="1:10" ht="10.5" customHeight="1" x14ac:dyDescent="0.2">
      <c r="A1575" s="71" t="str">
        <f ca="1">IF(ISNA(A1564),"","Total Credits/ Total Grade Points")</f>
        <v/>
      </c>
      <c r="B1575" s="71"/>
      <c r="C1575" s="71"/>
      <c r="D1575" s="71"/>
      <c r="E1575" s="71"/>
      <c r="F1575" s="71"/>
      <c r="G1575" s="71"/>
      <c r="H1575" s="27" t="str">
        <f ca="1">IF(ISNA(A1564),"",SUM(H1567:H1574))</f>
        <v/>
      </c>
      <c r="I1575" s="26" t="str">
        <f ca="1">IF(ISNA(A1564),"","-")</f>
        <v/>
      </c>
      <c r="J1575" s="27" t="str">
        <f ca="1">IF(ISNA(A1564),"",SUMPRODUCT(J1567:J1574,H1567:H1574))</f>
        <v/>
      </c>
    </row>
    <row r="1576" spans="1:10" ht="10.5" customHeight="1" x14ac:dyDescent="0.2">
      <c r="A1576" s="24" t="s">
        <v>133</v>
      </c>
      <c r="B1576" s="72" t="str">
        <f ca="1">IF(ISNA(A1577),"","Semester IV (Spring Semester 2023-24)")</f>
        <v/>
      </c>
      <c r="C1576" s="72"/>
      <c r="D1576" s="72"/>
      <c r="E1576" s="72"/>
      <c r="F1576" s="72"/>
      <c r="G1576" s="72"/>
      <c r="H1576" s="72"/>
      <c r="I1576" s="72"/>
      <c r="J1576" s="24">
        <f>ROWS(A1580:B1586)+9</f>
        <v>16</v>
      </c>
    </row>
    <row r="1577" spans="1:10" ht="10.5" customHeight="1" x14ac:dyDescent="0.2">
      <c r="A1577" s="24" t="e">
        <f ca="1">INDEX(SEM_IV!$A$6:$A$43,Marksheets!J1577)</f>
        <v>#N/A</v>
      </c>
      <c r="B1577" s="63"/>
      <c r="C1577" s="63"/>
      <c r="D1577" s="63"/>
      <c r="E1577" s="63"/>
      <c r="F1577" s="63"/>
      <c r="G1577" s="63"/>
      <c r="H1577" s="63"/>
      <c r="I1577" s="63"/>
      <c r="J1577" s="24" t="e">
        <f ca="1">MATCH(H1527,SEM_IV!$B$6:$B$43,0)</f>
        <v>#N/A</v>
      </c>
    </row>
    <row r="1578" spans="1:10" ht="10.5" customHeight="1" x14ac:dyDescent="0.2">
      <c r="A1578" s="64" t="str">
        <f ca="1">IF(ISNA(A1577),"","Subject Code")</f>
        <v/>
      </c>
      <c r="B1578" s="64"/>
      <c r="C1578" s="64" t="str">
        <f ca="1">IF(ISNA(A1577),"","Subject Name")</f>
        <v/>
      </c>
      <c r="D1578" s="64"/>
      <c r="E1578" s="64"/>
      <c r="F1578" s="64"/>
      <c r="G1578" s="64"/>
      <c r="H1578" s="64" t="str">
        <f ca="1">IF(ISNA(A1577),"","Credits")</f>
        <v/>
      </c>
      <c r="I1578" s="64" t="str">
        <f ca="1">IF(ISNA(A1577),"","Grade")</f>
        <v/>
      </c>
      <c r="J1578" s="64" t="str">
        <f ca="1">IF(ISNA(A1577),"","Grade Points")</f>
        <v/>
      </c>
    </row>
    <row r="1579" spans="1:10" ht="12.5" customHeight="1" x14ac:dyDescent="0.2">
      <c r="A1579" s="64"/>
      <c r="B1579" s="64"/>
      <c r="C1579" s="64"/>
      <c r="D1579" s="64"/>
      <c r="E1579" s="64"/>
      <c r="F1579" s="64"/>
      <c r="G1579" s="64"/>
      <c r="H1579" s="64"/>
      <c r="I1579" s="64"/>
      <c r="J1579" s="64"/>
    </row>
    <row r="1580" spans="1:10" ht="10.5" customHeight="1" x14ac:dyDescent="0.2">
      <c r="A1580" s="65" t="str">
        <f ca="1">_xlfn.IFNA(INDIRECT(_xlfn.TEXTJOIN("",TRUE,A1576,"!",ADDRESS(13+(A1577-1)*J1576,1))),"")</f>
        <v/>
      </c>
      <c r="B1580" s="65"/>
      <c r="C1580" s="66" t="str">
        <f ca="1">_xlfn.IFNA(INDIRECT(_xlfn.TEXTJOIN("",TRUE,A1576,"!",ADDRESS(13+(A1577-1)*J1576,2))),"")</f>
        <v/>
      </c>
      <c r="D1580" s="66"/>
      <c r="E1580" s="66"/>
      <c r="F1580" s="66"/>
      <c r="G1580" s="66"/>
      <c r="H1580" s="25" t="str">
        <f ca="1">_xlfn.IFNA(INDIRECT(_xlfn.TEXTJOIN("",TRUE,A1576,"!",ADDRESS(13+(A1577-1)*J1576,6))),"")</f>
        <v/>
      </c>
      <c r="I1580" s="25" t="str">
        <f ca="1">_xlfn.IFNA(INDIRECT(_xlfn.TEXTJOIN("",TRUE,A1576,"!",ADDRESS(13+(A1577-1)*J1576,13))),"")</f>
        <v/>
      </c>
      <c r="J1580" s="25" t="str">
        <f ca="1">_xlfn.IFNA(INDIRECT(_xlfn.TEXTJOIN("",TRUE,A1576,"!",ADDRESS(13+(A1577-1)*J1576,14))),"")</f>
        <v/>
      </c>
    </row>
    <row r="1581" spans="1:10" ht="10.5" customHeight="1" x14ac:dyDescent="0.2">
      <c r="A1581" s="65" t="str">
        <f ca="1">_xlfn.IFNA(INDIRECT(_xlfn.TEXTJOIN("",TRUE,A1576,"!",ADDRESS(14+(A1577-1)*J1576,1))),"")</f>
        <v/>
      </c>
      <c r="B1581" s="65"/>
      <c r="C1581" s="66" t="str">
        <f ca="1">_xlfn.IFNA(INDIRECT(_xlfn.TEXTJOIN("",TRUE,A1576,"!",ADDRESS(14+(A1577-1)*J1576,2))),"")</f>
        <v/>
      </c>
      <c r="D1581" s="66"/>
      <c r="E1581" s="66"/>
      <c r="F1581" s="66"/>
      <c r="G1581" s="66"/>
      <c r="H1581" s="25" t="str">
        <f ca="1">_xlfn.IFNA(INDIRECT(_xlfn.TEXTJOIN("",TRUE,A1576,"!",ADDRESS(14+(A1577-1)*J1576,6))),"")</f>
        <v/>
      </c>
      <c r="I1581" s="25" t="str">
        <f ca="1">_xlfn.IFNA(INDIRECT(_xlfn.TEXTJOIN("",TRUE,A1576,"!",ADDRESS(14+(A1577-1)*J1576,13))),"")</f>
        <v/>
      </c>
      <c r="J1581" s="25" t="str">
        <f ca="1">_xlfn.IFNA(INDIRECT(_xlfn.TEXTJOIN("",TRUE,A1576,"!",ADDRESS(14+(A1577-1)*J1576,14))),"")</f>
        <v/>
      </c>
    </row>
    <row r="1582" spans="1:10" ht="10.5" customHeight="1" x14ac:dyDescent="0.2">
      <c r="A1582" s="65" t="str">
        <f ca="1">_xlfn.IFNA(INDIRECT(_xlfn.TEXTJOIN("",TRUE,A1576,"!",ADDRESS(15+(A1577-1)*J1576,1))),"")</f>
        <v/>
      </c>
      <c r="B1582" s="65"/>
      <c r="C1582" s="66" t="str">
        <f ca="1">_xlfn.IFNA(INDIRECT(_xlfn.TEXTJOIN("",TRUE,A1576,"!",ADDRESS(15+(A1577-1)*J1576,2))),"")</f>
        <v/>
      </c>
      <c r="D1582" s="66"/>
      <c r="E1582" s="66"/>
      <c r="F1582" s="66"/>
      <c r="G1582" s="66"/>
      <c r="H1582" s="25" t="str">
        <f ca="1">_xlfn.IFNA(INDIRECT(_xlfn.TEXTJOIN("",TRUE,A1576,"!",ADDRESS(15+(A1577-1)*J1576,6))),"")</f>
        <v/>
      </c>
      <c r="I1582" s="25" t="str">
        <f ca="1">_xlfn.IFNA(INDIRECT(_xlfn.TEXTJOIN("",TRUE,A1576,"!",ADDRESS(15+(A1577-1)*J1576,13))),"")</f>
        <v/>
      </c>
      <c r="J1582" s="25" t="str">
        <f ca="1">_xlfn.IFNA(INDIRECT(_xlfn.TEXTJOIN("",TRUE,A1576,"!",ADDRESS(15+(A1577-1)*J1576,14))),"")</f>
        <v/>
      </c>
    </row>
    <row r="1583" spans="1:10" ht="10.5" customHeight="1" x14ac:dyDescent="0.2">
      <c r="A1583" s="65" t="str">
        <f ca="1">_xlfn.IFNA(INDIRECT(_xlfn.TEXTJOIN("",TRUE,A1576,"!",ADDRESS(16+(A1577-1)*J1576,1))),"")</f>
        <v/>
      </c>
      <c r="B1583" s="65"/>
      <c r="C1583" s="66" t="str">
        <f ca="1">_xlfn.IFNA(INDIRECT(_xlfn.TEXTJOIN("",TRUE,A1576,"!",ADDRESS(16+(A1577-1)*J1576,2))),"")</f>
        <v/>
      </c>
      <c r="D1583" s="66"/>
      <c r="E1583" s="66"/>
      <c r="F1583" s="66"/>
      <c r="G1583" s="66"/>
      <c r="H1583" s="25" t="str">
        <f ca="1">_xlfn.IFNA(INDIRECT(_xlfn.TEXTJOIN("",TRUE,A1576,"!",ADDRESS(16+(A1577-1)*J1576,6))),"")</f>
        <v/>
      </c>
      <c r="I1583" s="25" t="str">
        <f ca="1">_xlfn.IFNA(INDIRECT(_xlfn.TEXTJOIN("",TRUE,A1576,"!",ADDRESS(16+(A1577-1)*J1576,13))),"")</f>
        <v/>
      </c>
      <c r="J1583" s="25" t="str">
        <f ca="1">_xlfn.IFNA(INDIRECT(_xlfn.TEXTJOIN("",TRUE,A1576,"!",ADDRESS(16+(A1577-1)*J1576,14))),"")</f>
        <v/>
      </c>
    </row>
    <row r="1584" spans="1:10" ht="10.5" customHeight="1" x14ac:dyDescent="0.2">
      <c r="A1584" s="65" t="str">
        <f ca="1">_xlfn.IFNA(INDIRECT(_xlfn.TEXTJOIN("",TRUE,A1576,"!",ADDRESS(17+(A1577-1)*J1576,1))),"")</f>
        <v/>
      </c>
      <c r="B1584" s="65"/>
      <c r="C1584" s="66" t="str">
        <f ca="1">_xlfn.IFNA(INDIRECT(_xlfn.TEXTJOIN("",TRUE,A1576,"!",ADDRESS(17+(A1577-1)*J1576,2))),"")</f>
        <v/>
      </c>
      <c r="D1584" s="66"/>
      <c r="E1584" s="66"/>
      <c r="F1584" s="66"/>
      <c r="G1584" s="66"/>
      <c r="H1584" s="25" t="str">
        <f ca="1">_xlfn.IFNA(INDIRECT(_xlfn.TEXTJOIN("",TRUE,A1576,"!",ADDRESS(17+(A1577-1)*J1576,6))),"")</f>
        <v/>
      </c>
      <c r="I1584" s="25" t="str">
        <f ca="1">_xlfn.IFNA(INDIRECT(_xlfn.TEXTJOIN("",TRUE,A1576,"!",ADDRESS(17+(A1577-1)*J1576,13))),"")</f>
        <v/>
      </c>
      <c r="J1584" s="25" t="str">
        <f ca="1">_xlfn.IFNA(INDIRECT(_xlfn.TEXTJOIN("",TRUE,A1576,"!",ADDRESS(17+(A1577-1)*J1576,14))),"")</f>
        <v/>
      </c>
    </row>
    <row r="1585" spans="1:10" ht="10.5" customHeight="1" x14ac:dyDescent="0.2">
      <c r="A1585" s="65" t="str">
        <f ca="1">_xlfn.IFNA(INDIRECT(_xlfn.TEXTJOIN("",TRUE,A1576,"!",ADDRESS(18+(A1577-1)*J1576,1))),"")</f>
        <v/>
      </c>
      <c r="B1585" s="65"/>
      <c r="C1585" s="66" t="str">
        <f ca="1">_xlfn.IFNA(INDIRECT(_xlfn.TEXTJOIN("",TRUE,A1576,"!",ADDRESS(18+(A1577-1)*J1576,2))),"")</f>
        <v/>
      </c>
      <c r="D1585" s="66"/>
      <c r="E1585" s="66"/>
      <c r="F1585" s="66"/>
      <c r="G1585" s="66"/>
      <c r="H1585" s="25" t="str">
        <f ca="1">_xlfn.IFNA(INDIRECT(_xlfn.TEXTJOIN("",TRUE,A1576,"!",ADDRESS(18+(A1577-1)*J1576,6))),"")</f>
        <v/>
      </c>
      <c r="I1585" s="25" t="str">
        <f ca="1">_xlfn.IFNA(INDIRECT(_xlfn.TEXTJOIN("",TRUE,A1576,"!",ADDRESS(18+(A1577-1)*J1576,13))),"")</f>
        <v/>
      </c>
      <c r="J1585" s="25" t="str">
        <f ca="1">_xlfn.IFNA(INDIRECT(_xlfn.TEXTJOIN("",TRUE,A1576,"!",ADDRESS(18+(A1577-1)*J1576,14))),"")</f>
        <v/>
      </c>
    </row>
    <row r="1586" spans="1:10" ht="10.5" customHeight="1" x14ac:dyDescent="0.2">
      <c r="A1586" s="60" t="str">
        <f ca="1">_xlfn.IFNA(INDIRECT(_xlfn.TEXTJOIN("",TRUE,A1576,"!",ADDRESS(19+(A1577-1)*J1576,1))),"")</f>
        <v/>
      </c>
      <c r="B1586" s="61"/>
      <c r="C1586" s="57" t="str">
        <f ca="1">_xlfn.IFNA(INDIRECT(_xlfn.TEXTJOIN("",TRUE,A1576,"!",ADDRESS(19+(A1577-1)*J1576,2))),"")</f>
        <v/>
      </c>
      <c r="D1586" s="58"/>
      <c r="E1586" s="58"/>
      <c r="F1586" s="58"/>
      <c r="G1586" s="59"/>
      <c r="H1586" s="25" t="str">
        <f ca="1">_xlfn.IFNA(INDIRECT(_xlfn.TEXTJOIN("",TRUE,A1576,"!",ADDRESS(19+(A1577-1)*J1576,6))),"")</f>
        <v/>
      </c>
      <c r="I1586" s="25" t="str">
        <f ca="1">_xlfn.IFNA(INDIRECT(_xlfn.TEXTJOIN("",TRUE,A1576,"!",ADDRESS(19+(A1577-1)*J1576,13))),"")</f>
        <v/>
      </c>
      <c r="J1586" s="25" t="str">
        <f ca="1">_xlfn.IFNA(INDIRECT(_xlfn.TEXTJOIN("",TRUE,A1576,"!",ADDRESS(19+(A1577-1)*J1576,14))),"")</f>
        <v/>
      </c>
    </row>
    <row r="1587" spans="1:10" ht="10.5" customHeight="1" x14ac:dyDescent="0.2">
      <c r="A1587" s="71" t="str">
        <f ca="1">IF(ISNA(A1577),"","Total Credits/ Total Grade Points")</f>
        <v/>
      </c>
      <c r="B1587" s="71"/>
      <c r="C1587" s="71"/>
      <c r="D1587" s="71"/>
      <c r="E1587" s="71"/>
      <c r="F1587" s="71"/>
      <c r="G1587" s="71"/>
      <c r="H1587" s="27" t="str">
        <f ca="1">IF(ISNA(A1577),"",SUM(H1579:H1586))</f>
        <v/>
      </c>
      <c r="I1587" s="26" t="str">
        <f ca="1">IF(ISNA(A1577),"","-")</f>
        <v/>
      </c>
      <c r="J1587" s="27" t="str">
        <f ca="1">IF(ISNA(A1577),"",SUMPRODUCT(J1579:J1586,H1579:H1586))</f>
        <v/>
      </c>
    </row>
    <row r="1588" spans="1:10" ht="10.5" customHeight="1" x14ac:dyDescent="0.2">
      <c r="A1588" s="75" t="s">
        <v>137</v>
      </c>
      <c r="B1588" s="75"/>
      <c r="C1588" s="75"/>
      <c r="D1588" s="75"/>
      <c r="E1588" s="75"/>
      <c r="F1588" s="76" t="s">
        <v>138</v>
      </c>
      <c r="G1588" s="76"/>
      <c r="H1588" s="76"/>
      <c r="I1588" s="76"/>
      <c r="J1588" s="76"/>
    </row>
    <row r="1589" spans="1:10" ht="10.5" customHeight="1" x14ac:dyDescent="0.2">
      <c r="A1589" s="43" t="s">
        <v>139</v>
      </c>
      <c r="B1589" s="43"/>
      <c r="C1589" s="43"/>
      <c r="D1589" s="43"/>
      <c r="E1589" s="43"/>
      <c r="F1589" s="43"/>
      <c r="G1589" s="43"/>
      <c r="H1589" s="43"/>
      <c r="I1589" s="43"/>
      <c r="J1589" s="43"/>
    </row>
    <row r="1590" spans="1:10" ht="10.5" customHeight="1" x14ac:dyDescent="0.2">
      <c r="A1590" s="10"/>
      <c r="B1590" s="26"/>
      <c r="C1590" s="26" t="s">
        <v>140</v>
      </c>
      <c r="D1590" s="26" t="s">
        <v>141</v>
      </c>
      <c r="E1590" s="26" t="s">
        <v>142</v>
      </c>
      <c r="F1590" s="26" t="s">
        <v>143</v>
      </c>
      <c r="G1590" s="26" t="s">
        <v>144</v>
      </c>
      <c r="H1590" s="79" t="s">
        <v>145</v>
      </c>
      <c r="I1590" s="79"/>
      <c r="J1590" s="30"/>
    </row>
    <row r="1591" spans="1:10" ht="10.5" customHeight="1" x14ac:dyDescent="0.2">
      <c r="A1591" s="10"/>
      <c r="B1591" s="80" t="s">
        <v>146</v>
      </c>
      <c r="C1591" s="73" t="e">
        <f ca="1">J1547/H1547</f>
        <v>#N/A</v>
      </c>
      <c r="D1591" s="73" t="e">
        <f ca="1">J1562/H1562</f>
        <v>#VALUE!</v>
      </c>
      <c r="E1591" s="73" t="str">
        <f ca="1">IFERROR(J1575/H1575,"")</f>
        <v/>
      </c>
      <c r="F1591" s="73" t="str">
        <f ca="1">IFERROR(J1587/H1587,"")</f>
        <v/>
      </c>
      <c r="G1591" s="82" t="e">
        <f ca="1">F1593</f>
        <v>#N/A</v>
      </c>
      <c r="H1591" s="83" t="e">
        <f ca="1">IF(TC_IV!N357&lt;96,_xlfn.TEXTJOIN(" ",TRUE,"CARRY OVER",TC_I!V533,TC_II!V441,TC_III!V378,TC_IV!V356),IF(G1591&gt;=8,"First Division with Distinction",IF(G1591&gt;=6.5,"First Division",IF(G1591&gt;=5,"Second Division",IF(G1591&gt;=4,"Third Division","Fail")))))</f>
        <v>#N/A</v>
      </c>
      <c r="I1591" s="83"/>
      <c r="J1591" s="30"/>
    </row>
    <row r="1592" spans="1:10" ht="10.5" customHeight="1" x14ac:dyDescent="0.2">
      <c r="B1592" s="81"/>
      <c r="C1592" s="74"/>
      <c r="D1592" s="74"/>
      <c r="E1592" s="74"/>
      <c r="F1592" s="74"/>
      <c r="G1592" s="82"/>
      <c r="H1592" s="83"/>
      <c r="I1592" s="83"/>
    </row>
    <row r="1593" spans="1:10" ht="10.5" customHeight="1" x14ac:dyDescent="0.2">
      <c r="B1593" s="80" t="s">
        <v>48</v>
      </c>
      <c r="C1593" s="73" t="e">
        <f ca="1">J1547/H1547</f>
        <v>#N/A</v>
      </c>
      <c r="D1593" s="73" t="e">
        <f ca="1">SUM(J1562,J1547)/SUM(H1562,H1547)</f>
        <v>#N/A</v>
      </c>
      <c r="E1593" s="73" t="e">
        <f ca="1">SUM(J1575,J1562,J1547)/SUM(H1575,H1562,H1547)</f>
        <v>#N/A</v>
      </c>
      <c r="F1593" s="73" t="e">
        <f ca="1">SUM(J1587,J1575,J1562,J1547)/SUM(H1547,H1562,H1575,H1587)</f>
        <v>#N/A</v>
      </c>
      <c r="G1593" s="82"/>
      <c r="H1593" s="83"/>
      <c r="I1593" s="83"/>
    </row>
    <row r="1594" spans="1:10" ht="10.5" customHeight="1" x14ac:dyDescent="0.2">
      <c r="B1594" s="81"/>
      <c r="C1594" s="74"/>
      <c r="D1594" s="74"/>
      <c r="E1594" s="74"/>
      <c r="F1594" s="74"/>
      <c r="G1594" s="82"/>
      <c r="H1594" s="83"/>
      <c r="I1594" s="83"/>
    </row>
    <row r="1596" spans="1:10" ht="10.5" customHeight="1" x14ac:dyDescent="0.2">
      <c r="A1596" s="56" t="s">
        <v>24</v>
      </c>
      <c r="B1596" s="56"/>
      <c r="C1596" s="56" t="str">
        <f ca="1">INDIRECT(_xlfn.TEXTJOIN("",TRUE,A1598,"!",ADDRESS(9+(A1599-1)*J1598,2)))</f>
        <v/>
      </c>
      <c r="D1596" s="56"/>
      <c r="E1596" s="56"/>
      <c r="F1596" s="56" t="s">
        <v>135</v>
      </c>
      <c r="G1596" s="56"/>
      <c r="H1596" s="62" t="str">
        <f ca="1">INDIRECT(_xlfn.TEXTJOIN("",TRUE,A1598,"!",ADDRESS(9+(A1599-1)*J1598,9)))</f>
        <v/>
      </c>
      <c r="I1596" s="56"/>
      <c r="J1596" s="56"/>
    </row>
    <row r="1597" spans="1:10" ht="10.5" customHeight="1" x14ac:dyDescent="0.2">
      <c r="A1597" s="56" t="s">
        <v>25</v>
      </c>
      <c r="B1597" s="56"/>
      <c r="C1597" s="56" t="str">
        <f ca="1">INDIRECT(_xlfn.TEXTJOIN("",TRUE,A1598,"!",ADDRESS(9+(A1599-1)*J1598,5)))</f>
        <v/>
      </c>
      <c r="D1597" s="56"/>
      <c r="E1597" s="56"/>
      <c r="F1597" s="47" t="s">
        <v>136</v>
      </c>
      <c r="G1597" s="47"/>
      <c r="H1597" s="62" t="str">
        <f ca="1">INDIRECT(_xlfn.TEXTJOIN("",TRUE,A1598,"!",ADDRESS(9+(A1599-1)*J1598,13)))</f>
        <v/>
      </c>
      <c r="I1597" s="56"/>
      <c r="J1597" s="56"/>
    </row>
    <row r="1598" spans="1:10" ht="10.5" customHeight="1" x14ac:dyDescent="0.2">
      <c r="A1598" s="24" t="s">
        <v>53</v>
      </c>
      <c r="B1598" s="43" t="s">
        <v>148</v>
      </c>
      <c r="C1598" s="43"/>
      <c r="D1598" s="43"/>
      <c r="E1598" s="43"/>
      <c r="F1598" s="43"/>
      <c r="G1598" s="43"/>
      <c r="H1598" s="43"/>
      <c r="I1598" s="43"/>
      <c r="J1598" s="24">
        <f>ROWS(A1602:B1615)+9</f>
        <v>23</v>
      </c>
    </row>
    <row r="1599" spans="1:10" ht="10.5" customHeight="1" x14ac:dyDescent="0.2">
      <c r="A1599" s="24">
        <f>A1530+1</f>
        <v>24</v>
      </c>
      <c r="B1599" s="63"/>
      <c r="C1599" s="63"/>
      <c r="D1599" s="63"/>
      <c r="E1599" s="63"/>
      <c r="F1599" s="63"/>
      <c r="G1599" s="63"/>
      <c r="H1599" s="63"/>
      <c r="I1599" s="63"/>
      <c r="J1599" s="29"/>
    </row>
    <row r="1600" spans="1:10" ht="10.5" customHeight="1" x14ac:dyDescent="0.2">
      <c r="A1600" s="64" t="s">
        <v>28</v>
      </c>
      <c r="B1600" s="64"/>
      <c r="C1600" s="64" t="s">
        <v>29</v>
      </c>
      <c r="D1600" s="64"/>
      <c r="E1600" s="64"/>
      <c r="F1600" s="64"/>
      <c r="G1600" s="64"/>
      <c r="H1600" s="64" t="s">
        <v>30</v>
      </c>
      <c r="I1600" s="64" t="s">
        <v>9</v>
      </c>
      <c r="J1600" s="64" t="s">
        <v>34</v>
      </c>
    </row>
    <row r="1601" spans="1:10" ht="13.5" customHeight="1" x14ac:dyDescent="0.2">
      <c r="A1601" s="64"/>
      <c r="B1601" s="64"/>
      <c r="C1601" s="64"/>
      <c r="D1601" s="64"/>
      <c r="E1601" s="64"/>
      <c r="F1601" s="64"/>
      <c r="G1601" s="64"/>
      <c r="H1601" s="64"/>
      <c r="I1601" s="64"/>
      <c r="J1601" s="64"/>
    </row>
    <row r="1602" spans="1:10" ht="10.5" customHeight="1" x14ac:dyDescent="0.2">
      <c r="A1602" s="65" t="str">
        <f ca="1">INDIRECT(_xlfn.TEXTJOIN("",TRUE,A1598,"!",ADDRESS(13+(A1599-1)*J1598,1)))</f>
        <v/>
      </c>
      <c r="B1602" s="65"/>
      <c r="C1602" s="66" t="str">
        <f ca="1">INDIRECT(_xlfn.TEXTJOIN("",TRUE,A1598,"!",ADDRESS(13+(A1599-1)*J1598,2)))</f>
        <v/>
      </c>
      <c r="D1602" s="66"/>
      <c r="E1602" s="66"/>
      <c r="F1602" s="66"/>
      <c r="G1602" s="66"/>
      <c r="H1602" s="25" t="str">
        <f ca="1">INDIRECT(_xlfn.TEXTJOIN("",TRUE,A1598,"!",ADDRESS(13+(A1599-1)*J1598,6)))</f>
        <v/>
      </c>
      <c r="I1602" s="25" t="str">
        <f ca="1">INDIRECT(_xlfn.TEXTJOIN("",TRUE,A1598,"!",ADDRESS(13+(A1599-1)*J1598,13)))</f>
        <v/>
      </c>
      <c r="J1602" s="25" t="e">
        <f ca="1">INDIRECT(_xlfn.TEXTJOIN("",TRUE,A1598,"!",ADDRESS(13+(A1599-1)*J1598,14)))</f>
        <v>#N/A</v>
      </c>
    </row>
    <row r="1603" spans="1:10" ht="10.5" customHeight="1" x14ac:dyDescent="0.2">
      <c r="A1603" s="65" t="str">
        <f ca="1">INDIRECT(_xlfn.TEXTJOIN("",TRUE,A1598,"!",ADDRESS(14+(A1599-1)*J1598,1)))</f>
        <v/>
      </c>
      <c r="B1603" s="65"/>
      <c r="C1603" s="66" t="str">
        <f ca="1">INDIRECT(_xlfn.TEXTJOIN("",TRUE,A1598,"!",ADDRESS(14+(A1599-1)*J1598,2)))</f>
        <v/>
      </c>
      <c r="D1603" s="66"/>
      <c r="E1603" s="66"/>
      <c r="F1603" s="66"/>
      <c r="G1603" s="66"/>
      <c r="H1603" s="25" t="str">
        <f ca="1">INDIRECT(_xlfn.TEXTJOIN("",TRUE,A1598,"!",ADDRESS(14+(A1599-1)*J1598,6)))</f>
        <v/>
      </c>
      <c r="I1603" s="25" t="str">
        <f ca="1">INDIRECT(_xlfn.TEXTJOIN("",TRUE,A1598,"!",ADDRESS(14+(A1599-1)*J1598,13)))</f>
        <v/>
      </c>
      <c r="J1603" s="25" t="e">
        <f ca="1">INDIRECT(_xlfn.TEXTJOIN("",TRUE,A1598,"!",ADDRESS(14+(A1599-1)*J1598,14)))</f>
        <v>#N/A</v>
      </c>
    </row>
    <row r="1604" spans="1:10" ht="10.5" customHeight="1" x14ac:dyDescent="0.2">
      <c r="A1604" s="65" t="str">
        <f ca="1">INDIRECT(_xlfn.TEXTJOIN("",TRUE,A1598,"!",ADDRESS(15+(A1599-1)*J1598,1)))</f>
        <v/>
      </c>
      <c r="B1604" s="65"/>
      <c r="C1604" s="66" t="str">
        <f ca="1">INDIRECT(_xlfn.TEXTJOIN("",TRUE,A1598,"!",ADDRESS(15+(A1599-1)*J1598,2)))</f>
        <v/>
      </c>
      <c r="D1604" s="66"/>
      <c r="E1604" s="66"/>
      <c r="F1604" s="66"/>
      <c r="G1604" s="66"/>
      <c r="H1604" s="25" t="str">
        <f ca="1">INDIRECT(_xlfn.TEXTJOIN("",TRUE,A1598,"!",ADDRESS(15+(A1599-1)*J1598,6)))</f>
        <v/>
      </c>
      <c r="I1604" s="25" t="str">
        <f ca="1">INDIRECT(_xlfn.TEXTJOIN("",TRUE,A1598,"!",ADDRESS(15+(A1599-1)*J1598,13)))</f>
        <v/>
      </c>
      <c r="J1604" s="25" t="e">
        <f ca="1">INDIRECT(_xlfn.TEXTJOIN("",TRUE,A1598,"!",ADDRESS(15+(A1599-1)*J1598,14)))</f>
        <v>#N/A</v>
      </c>
    </row>
    <row r="1605" spans="1:10" ht="10.5" customHeight="1" x14ac:dyDescent="0.2">
      <c r="A1605" s="65" t="str">
        <f ca="1">INDIRECT(_xlfn.TEXTJOIN("",TRUE,A1598,"!",ADDRESS(16+(A1599-1)*J1598,1)))</f>
        <v/>
      </c>
      <c r="B1605" s="65"/>
      <c r="C1605" s="66" t="str">
        <f ca="1">INDIRECT(_xlfn.TEXTJOIN("",TRUE,A1598,"!",ADDRESS(16+(A1599-1)*J1598,2)))</f>
        <v/>
      </c>
      <c r="D1605" s="66"/>
      <c r="E1605" s="66"/>
      <c r="F1605" s="66"/>
      <c r="G1605" s="66"/>
      <c r="H1605" s="25" t="str">
        <f ca="1">INDIRECT(_xlfn.TEXTJOIN("",TRUE,A1598,"!",ADDRESS(16+(A1599-1)*J1598,6)))</f>
        <v/>
      </c>
      <c r="I1605" s="25" t="str">
        <f ca="1">INDIRECT(_xlfn.TEXTJOIN("",TRUE,A1598,"!",ADDRESS(16+(A1599-1)*J1598,13)))</f>
        <v/>
      </c>
      <c r="J1605" s="25" t="e">
        <f ca="1">INDIRECT(_xlfn.TEXTJOIN("",TRUE,A1598,"!",ADDRESS(16+(A1599-1)*J1598,14)))</f>
        <v>#N/A</v>
      </c>
    </row>
    <row r="1606" spans="1:10" ht="10.5" customHeight="1" x14ac:dyDescent="0.2">
      <c r="A1606" s="65" t="str">
        <f ca="1">INDIRECT(_xlfn.TEXTJOIN("",TRUE,A1598,"!",ADDRESS(17+(A1599-1)*J1598,1)))</f>
        <v/>
      </c>
      <c r="B1606" s="65"/>
      <c r="C1606" s="66" t="str">
        <f ca="1">INDIRECT(_xlfn.TEXTJOIN("",TRUE,A1598,"!",ADDRESS(17+(A1599-1)*J1598,2)))</f>
        <v/>
      </c>
      <c r="D1606" s="66"/>
      <c r="E1606" s="66"/>
      <c r="F1606" s="66"/>
      <c r="G1606" s="66"/>
      <c r="H1606" s="25" t="str">
        <f ca="1">INDIRECT(_xlfn.TEXTJOIN("",TRUE,A1598,"!",ADDRESS(17+(A1599-1)*J1598,6)))</f>
        <v/>
      </c>
      <c r="I1606" s="25" t="str">
        <f ca="1">INDIRECT(_xlfn.TEXTJOIN("",TRUE,A1598,"!",ADDRESS(17+(A1599-1)*J1598,13)))</f>
        <v/>
      </c>
      <c r="J1606" s="25" t="e">
        <f ca="1">INDIRECT(_xlfn.TEXTJOIN("",TRUE,A1598,"!",ADDRESS(17+(A1599-1)*J1598,14)))</f>
        <v>#N/A</v>
      </c>
    </row>
    <row r="1607" spans="1:10" ht="10.5" customHeight="1" x14ac:dyDescent="0.2">
      <c r="A1607" s="65" t="str">
        <f ca="1">INDIRECT(_xlfn.TEXTJOIN("",TRUE,A1598,"!",ADDRESS(18+(A1599-1)*J1598,1)))</f>
        <v/>
      </c>
      <c r="B1607" s="65"/>
      <c r="C1607" s="66" t="str">
        <f ca="1">INDIRECT(_xlfn.TEXTJOIN("",TRUE,A1598,"!",ADDRESS(18+(A1599-1)*J1598,2)))</f>
        <v/>
      </c>
      <c r="D1607" s="66"/>
      <c r="E1607" s="66"/>
      <c r="F1607" s="66"/>
      <c r="G1607" s="66"/>
      <c r="H1607" s="25" t="str">
        <f ca="1">INDIRECT(_xlfn.TEXTJOIN("",TRUE,A1598,"!",ADDRESS(18+(A1599-1)*J1598,6)))</f>
        <v/>
      </c>
      <c r="I1607" s="25" t="str">
        <f ca="1">INDIRECT(_xlfn.TEXTJOIN("",TRUE,A1598,"!",ADDRESS(18+(A1599-1)*J1598,13)))</f>
        <v/>
      </c>
      <c r="J1607" s="25" t="e">
        <f ca="1">INDIRECT(_xlfn.TEXTJOIN("",TRUE,A1598,"!",ADDRESS(18+(A1599-1)*J1598,14)))</f>
        <v>#N/A</v>
      </c>
    </row>
    <row r="1608" spans="1:10" ht="10.5" customHeight="1" x14ac:dyDescent="0.2">
      <c r="A1608" s="60" t="str">
        <f ca="1">INDIRECT(_xlfn.TEXTJOIN("",TRUE,A1598,"!",ADDRESS(19+(A1599-1)*J1598,1)))</f>
        <v/>
      </c>
      <c r="B1608" s="61"/>
      <c r="C1608" s="57" t="str">
        <f ca="1">INDIRECT(_xlfn.TEXTJOIN("",TRUE,A1598,"!",ADDRESS(19+(A1599-1)*J1598,2)))</f>
        <v/>
      </c>
      <c r="D1608" s="58"/>
      <c r="E1608" s="58"/>
      <c r="F1608" s="58"/>
      <c r="G1608" s="59"/>
      <c r="H1608" s="25" t="str">
        <f ca="1">INDIRECT(_xlfn.TEXTJOIN("",TRUE,A1598,"!",ADDRESS(19+(A1599-1)*J1598,6)))</f>
        <v/>
      </c>
      <c r="I1608" s="25" t="str">
        <f ca="1">INDIRECT(_xlfn.TEXTJOIN("",TRUE,A1598,"!",ADDRESS(19+(A1599-1)*J1598,13)))</f>
        <v/>
      </c>
      <c r="J1608" s="25" t="e">
        <f ca="1">INDIRECT(_xlfn.TEXTJOIN("",TRUE,A1598,"!",ADDRESS(19+(A1599-1)*J1598,14)))</f>
        <v>#N/A</v>
      </c>
    </row>
    <row r="1609" spans="1:10" ht="10.5" customHeight="1" x14ac:dyDescent="0.2">
      <c r="A1609" s="65" t="str">
        <f ca="1">INDIRECT(_xlfn.TEXTJOIN("",TRUE,A1598,"!",ADDRESS(20+(A1599-1)*J1598,1)))</f>
        <v/>
      </c>
      <c r="B1609" s="65"/>
      <c r="C1609" s="66" t="str">
        <f ca="1">INDIRECT(_xlfn.TEXTJOIN("",TRUE,A1598,"!",ADDRESS(20+(A1599-1)*J1598,2)))</f>
        <v/>
      </c>
      <c r="D1609" s="66"/>
      <c r="E1609" s="66"/>
      <c r="F1609" s="66"/>
      <c r="G1609" s="66"/>
      <c r="H1609" s="25" t="str">
        <f ca="1">INDIRECT(_xlfn.TEXTJOIN("",TRUE,A1598,"!",ADDRESS(20+(A1599-1)*J1598,6)))</f>
        <v/>
      </c>
      <c r="I1609" s="25" t="str">
        <f ca="1">INDIRECT(_xlfn.TEXTJOIN("",TRUE,A1598,"!",ADDRESS(20+(A1599-1)*J1598,13)))</f>
        <v/>
      </c>
      <c r="J1609" s="25" t="e">
        <f ca="1">INDIRECT(_xlfn.TEXTJOIN("",TRUE,A1598,"!",ADDRESS(20+(A1599-1)*J1598,14)))</f>
        <v>#N/A</v>
      </c>
    </row>
    <row r="1610" spans="1:10" ht="10.5" customHeight="1" x14ac:dyDescent="0.2">
      <c r="A1610" s="65" t="str">
        <f ca="1">INDIRECT(_xlfn.TEXTJOIN("",TRUE,A1598,"!",ADDRESS(21+(A1599-1)*J1598,1)))</f>
        <v/>
      </c>
      <c r="B1610" s="65"/>
      <c r="C1610" s="66" t="str">
        <f ca="1">INDIRECT(_xlfn.TEXTJOIN("",TRUE,A1598,"!",ADDRESS(21+(A1599-1)*J1598,2)))</f>
        <v/>
      </c>
      <c r="D1610" s="66"/>
      <c r="E1610" s="66"/>
      <c r="F1610" s="66"/>
      <c r="G1610" s="66"/>
      <c r="H1610" s="25" t="str">
        <f ca="1">INDIRECT(_xlfn.TEXTJOIN("",TRUE,A1598,"!",ADDRESS(21+(A1599-1)*J1598,6)))</f>
        <v/>
      </c>
      <c r="I1610" s="25" t="str">
        <f ca="1">INDIRECT(_xlfn.TEXTJOIN("",TRUE,A1598,"!",ADDRESS(21+(A1599-1)*J1598,13)))</f>
        <v/>
      </c>
      <c r="J1610" s="25" t="e">
        <f ca="1">INDIRECT(_xlfn.TEXTJOIN("",TRUE,A1598,"!",ADDRESS(21+(A1599-1)*J1598,14)))</f>
        <v>#N/A</v>
      </c>
    </row>
    <row r="1611" spans="1:10" ht="10.5" customHeight="1" x14ac:dyDescent="0.2">
      <c r="A1611" s="65" t="str">
        <f ca="1">INDIRECT(_xlfn.TEXTJOIN("",TRUE,A1598,"!",ADDRESS(22+(A1599-1)*J1598,1)))</f>
        <v/>
      </c>
      <c r="B1611" s="65"/>
      <c r="C1611" s="66" t="str">
        <f ca="1">INDIRECT(_xlfn.TEXTJOIN("",TRUE,A1598,"!",ADDRESS(22+(A1599-1)*J1598,2)))</f>
        <v/>
      </c>
      <c r="D1611" s="66"/>
      <c r="E1611" s="66"/>
      <c r="F1611" s="66"/>
      <c r="G1611" s="66"/>
      <c r="H1611" s="25" t="str">
        <f ca="1">INDIRECT(_xlfn.TEXTJOIN("",TRUE,A1598,"!",ADDRESS(22+(A1599-1)*J1598,6)))</f>
        <v/>
      </c>
      <c r="I1611" s="25" t="str">
        <f ca="1">INDIRECT(_xlfn.TEXTJOIN("",TRUE,A1598,"!",ADDRESS(22+(A1599-1)*J1598,13)))</f>
        <v/>
      </c>
      <c r="J1611" s="25" t="e">
        <f ca="1">INDIRECT(_xlfn.TEXTJOIN("",TRUE,A1598,"!",ADDRESS(22+(A1599-1)*J1598,14)))</f>
        <v>#N/A</v>
      </c>
    </row>
    <row r="1612" spans="1:10" ht="10.5" customHeight="1" x14ac:dyDescent="0.2">
      <c r="A1612" s="65" t="str">
        <f ca="1">INDIRECT(_xlfn.TEXTJOIN("",TRUE,A1598,"!",ADDRESS(23+(A1599-1)*J1598,1)))</f>
        <v/>
      </c>
      <c r="B1612" s="65"/>
      <c r="C1612" s="66" t="str">
        <f ca="1">INDIRECT(_xlfn.TEXTJOIN("",TRUE,A1598,"!",ADDRESS(23+(A1599-1)*J1598,2)))</f>
        <v/>
      </c>
      <c r="D1612" s="66"/>
      <c r="E1612" s="66"/>
      <c r="F1612" s="66"/>
      <c r="G1612" s="66"/>
      <c r="H1612" s="25" t="str">
        <f ca="1">INDIRECT(_xlfn.TEXTJOIN("",TRUE,A1598,"!",ADDRESS(23+(A1599-1)*J1598,6)))</f>
        <v/>
      </c>
      <c r="I1612" s="25" t="str">
        <f ca="1">INDIRECT(_xlfn.TEXTJOIN("",TRUE,A1598,"!",ADDRESS(23+(A1599-1)*J1598,13)))</f>
        <v/>
      </c>
      <c r="J1612" s="25" t="e">
        <f ca="1">INDIRECT(_xlfn.TEXTJOIN("",TRUE,A1598,"!",ADDRESS(23+(A1599-1)*J1598,14)))</f>
        <v>#N/A</v>
      </c>
    </row>
    <row r="1613" spans="1:10" ht="10.5" customHeight="1" x14ac:dyDescent="0.2">
      <c r="A1613" s="65" t="str">
        <f ca="1">INDIRECT(_xlfn.TEXTJOIN("",TRUE,A1598,"!",ADDRESS(24+(A1599-1)*J1598,1)))</f>
        <v/>
      </c>
      <c r="B1613" s="65"/>
      <c r="C1613" s="66" t="str">
        <f ca="1">INDIRECT(_xlfn.TEXTJOIN("",TRUE,A1598,"!",ADDRESS(24+(A1599-1)*J1598,2)))</f>
        <v/>
      </c>
      <c r="D1613" s="66"/>
      <c r="E1613" s="66"/>
      <c r="F1613" s="66"/>
      <c r="G1613" s="66"/>
      <c r="H1613" s="25" t="str">
        <f ca="1">INDIRECT(_xlfn.TEXTJOIN("",TRUE,A1598,"!",ADDRESS(24+(A1599-1)*J1598,6)))</f>
        <v/>
      </c>
      <c r="I1613" s="25" t="str">
        <f ca="1">INDIRECT(_xlfn.TEXTJOIN("",TRUE,A1598,"!",ADDRESS(24+(A1599-1)*J1598,13)))</f>
        <v/>
      </c>
      <c r="J1613" s="25" t="e">
        <f ca="1">INDIRECT(_xlfn.TEXTJOIN("",TRUE,A1598,"!",ADDRESS(24+(A1599-1)*J1598,14)))</f>
        <v>#N/A</v>
      </c>
    </row>
    <row r="1614" spans="1:10" ht="10.5" customHeight="1" x14ac:dyDescent="0.2">
      <c r="A1614" s="65" t="str">
        <f ca="1">INDIRECT(_xlfn.TEXTJOIN("",TRUE,A1598,"!",ADDRESS(25+(A1599-1)*J1598,1)))</f>
        <v/>
      </c>
      <c r="B1614" s="65"/>
      <c r="C1614" s="66" t="str">
        <f ca="1">INDIRECT(_xlfn.TEXTJOIN("",TRUE,A1598,"!",ADDRESS(25+(A1599-1)*J1598,2)))</f>
        <v/>
      </c>
      <c r="D1614" s="66"/>
      <c r="E1614" s="66"/>
      <c r="F1614" s="66"/>
      <c r="G1614" s="66"/>
      <c r="H1614" s="25" t="str">
        <f ca="1">INDIRECT(_xlfn.TEXTJOIN("",TRUE,A1598,"!",ADDRESS(25+(A1599-1)*J1598,6)))</f>
        <v/>
      </c>
      <c r="I1614" s="25" t="str">
        <f ca="1">INDIRECT(_xlfn.TEXTJOIN("",TRUE,A1598,"!",ADDRESS(25+(A1599-1)*J1598,13)))</f>
        <v/>
      </c>
      <c r="J1614" s="25" t="e">
        <f ca="1">INDIRECT(_xlfn.TEXTJOIN("",TRUE,A1598,"!",ADDRESS(25+(A1599-1)*J1598,14)))</f>
        <v>#N/A</v>
      </c>
    </row>
    <row r="1615" spans="1:10" s="35" customFormat="1" ht="10.5" customHeight="1" x14ac:dyDescent="0.2">
      <c r="A1615" s="77" t="str">
        <f ca="1">INDIRECT(_xlfn.TEXTJOIN("",TRUE,A1598,"!",ADDRESS(26+(A1599-1)*J1598,1)))</f>
        <v/>
      </c>
      <c r="B1615" s="77"/>
      <c r="C1615" s="78" t="str">
        <f ca="1">INDIRECT(_xlfn.TEXTJOIN("",TRUE,A1598,"!",ADDRESS(26+(A1599-1)*J1598,2)))</f>
        <v/>
      </c>
      <c r="D1615" s="78"/>
      <c r="E1615" s="78"/>
      <c r="F1615" s="78"/>
      <c r="G1615" s="78"/>
      <c r="H1615" s="34" t="str">
        <f ca="1">INDIRECT(_xlfn.TEXTJOIN("",TRUE,A1598,"!",ADDRESS(26+(A1599-1)*J1598,6)))</f>
        <v/>
      </c>
      <c r="I1615" s="34" t="b">
        <f ca="1">INDIRECT(_xlfn.TEXTJOIN("",TRUE,A1598,"!",ADDRESS(26+(A1599-1)*J1598,13)))</f>
        <v>0</v>
      </c>
      <c r="J1615" s="34" t="e">
        <f ca="1">INDIRECT(_xlfn.TEXTJOIN("",TRUE,A1598,"!",ADDRESS(26+(A1599-1)*J1598,14)))</f>
        <v>#N/A</v>
      </c>
    </row>
    <row r="1616" spans="1:10" ht="10.5" customHeight="1" x14ac:dyDescent="0.2">
      <c r="A1616" s="71" t="s">
        <v>52</v>
      </c>
      <c r="B1616" s="71"/>
      <c r="C1616" s="71"/>
      <c r="D1616" s="71"/>
      <c r="E1616" s="71"/>
      <c r="F1616" s="71"/>
      <c r="G1616" s="71"/>
      <c r="H1616" s="27">
        <f ca="1">SUM(H1602:H1615)</f>
        <v>0</v>
      </c>
      <c r="I1616" s="26" t="s">
        <v>44</v>
      </c>
      <c r="J1616" s="27" t="e">
        <f ca="1">SUMPRODUCT(J1602:J1614,H1602:H1614)</f>
        <v>#N/A</v>
      </c>
    </row>
    <row r="1617" spans="1:10" ht="10.5" customHeight="1" x14ac:dyDescent="0.2">
      <c r="A1617" s="24" t="s">
        <v>57</v>
      </c>
      <c r="B1617" s="72" t="str">
        <f ca="1">IF(ISNA(A1618),"","Semester II (Spring Semester 2022-23)")</f>
        <v/>
      </c>
      <c r="C1617" s="72"/>
      <c r="D1617" s="72"/>
      <c r="E1617" s="72"/>
      <c r="F1617" s="72"/>
      <c r="G1617" s="72"/>
      <c r="H1617" s="72"/>
      <c r="I1617" s="72"/>
      <c r="J1617" s="24">
        <f>ROWS(A1621:B1630)+9</f>
        <v>19</v>
      </c>
    </row>
    <row r="1618" spans="1:10" ht="10.5" customHeight="1" x14ac:dyDescent="0.2">
      <c r="A1618" s="24" t="e">
        <f ca="1">INDEX(SEM_II!$A$6:$A$45,Marksheets!J1618)</f>
        <v>#N/A</v>
      </c>
      <c r="B1618" s="63"/>
      <c r="C1618" s="63"/>
      <c r="D1618" s="63"/>
      <c r="E1618" s="63"/>
      <c r="F1618" s="63"/>
      <c r="G1618" s="63"/>
      <c r="H1618" s="63"/>
      <c r="I1618" s="63"/>
      <c r="J1618" s="24" t="e">
        <f ca="1">MATCH(H1596,SEM_II!$B$6:$B$45,0)</f>
        <v>#N/A</v>
      </c>
    </row>
    <row r="1619" spans="1:10" ht="10.5" customHeight="1" x14ac:dyDescent="0.2">
      <c r="A1619" s="64" t="str">
        <f ca="1">IF(ISNA(A1618),"","Subject Code")</f>
        <v/>
      </c>
      <c r="B1619" s="64"/>
      <c r="C1619" s="64" t="str">
        <f ca="1">IF(ISNA(A1618),"","Subject Name")</f>
        <v/>
      </c>
      <c r="D1619" s="64"/>
      <c r="E1619" s="64"/>
      <c r="F1619" s="64"/>
      <c r="G1619" s="64"/>
      <c r="H1619" s="64" t="str">
        <f ca="1">IF(ISNA(A1618),"","Credits")</f>
        <v/>
      </c>
      <c r="I1619" s="64" t="str">
        <f ca="1">IF(ISNA(A1618),"","Grade")</f>
        <v/>
      </c>
      <c r="J1619" s="64" t="str">
        <f ca="1">IF(ISNA(A1618),"","Grade Points")</f>
        <v/>
      </c>
    </row>
    <row r="1620" spans="1:10" ht="14" customHeight="1" x14ac:dyDescent="0.2">
      <c r="A1620" s="64"/>
      <c r="B1620" s="64"/>
      <c r="C1620" s="64"/>
      <c r="D1620" s="64"/>
      <c r="E1620" s="64"/>
      <c r="F1620" s="64"/>
      <c r="G1620" s="64"/>
      <c r="H1620" s="64"/>
      <c r="I1620" s="64"/>
      <c r="J1620" s="64"/>
    </row>
    <row r="1621" spans="1:10" ht="10.5" customHeight="1" x14ac:dyDescent="0.2">
      <c r="A1621" s="65" t="str">
        <f ca="1">_xlfn.IFNA(INDIRECT(_xlfn.TEXTJOIN("",TRUE,A1617,"!",ADDRESS(13+(A1618-1)*J1617,1))),"")</f>
        <v/>
      </c>
      <c r="B1621" s="65"/>
      <c r="C1621" s="66" t="str">
        <f ca="1">_xlfn.IFNA(INDIRECT(_xlfn.TEXTJOIN("",TRUE,A1617,"!",ADDRESS(13+(A1618-1)*J1617,2))),"")</f>
        <v/>
      </c>
      <c r="D1621" s="66"/>
      <c r="E1621" s="66"/>
      <c r="F1621" s="66"/>
      <c r="G1621" s="66"/>
      <c r="H1621" s="25" t="str">
        <f ca="1">_xlfn.IFNA(INDIRECT(_xlfn.TEXTJOIN("",TRUE,A1617,"!",ADDRESS(13+(A1618-1)*J1617,6))),"")</f>
        <v/>
      </c>
      <c r="I1621" s="25" t="str">
        <f ca="1">_xlfn.IFNA(INDIRECT(_xlfn.TEXTJOIN("",TRUE,A1617,"!",ADDRESS(13+(A1618-1)*J1617,13))),"")</f>
        <v/>
      </c>
      <c r="J1621" s="25" t="str">
        <f ca="1">_xlfn.IFNA(INDIRECT(_xlfn.TEXTJOIN("",TRUE,A1617,"!",ADDRESS(13+(A1618-1)*J1617,14))),"")</f>
        <v/>
      </c>
    </row>
    <row r="1622" spans="1:10" ht="10.5" customHeight="1" x14ac:dyDescent="0.2">
      <c r="A1622" s="65" t="str">
        <f ca="1">_xlfn.IFNA(INDIRECT(_xlfn.TEXTJOIN("",TRUE,A1617,"!",ADDRESS(14+(A1618-1)*J1617,1))),"")</f>
        <v/>
      </c>
      <c r="B1622" s="65"/>
      <c r="C1622" s="66" t="str">
        <f ca="1">_xlfn.IFNA(INDIRECT(_xlfn.TEXTJOIN("",TRUE,A1617,"!",ADDRESS(14+(A1618-1)*J1617,2))),"")</f>
        <v/>
      </c>
      <c r="D1622" s="66"/>
      <c r="E1622" s="66"/>
      <c r="F1622" s="66"/>
      <c r="G1622" s="66"/>
      <c r="H1622" s="25" t="str">
        <f ca="1">_xlfn.IFNA(INDIRECT(_xlfn.TEXTJOIN("",TRUE,A1617,"!",ADDRESS(14+(A1618-1)*J1617,6))),"")</f>
        <v/>
      </c>
      <c r="I1622" s="25" t="str">
        <f ca="1">_xlfn.IFNA(INDIRECT(_xlfn.TEXTJOIN("",TRUE,A1617,"!",ADDRESS(14+(A1618-1)*J1617,13))),"")</f>
        <v/>
      </c>
      <c r="J1622" s="25" t="str">
        <f ca="1">_xlfn.IFNA(INDIRECT(_xlfn.TEXTJOIN("",TRUE,A1617,"!",ADDRESS(14+(A1618-1)*J1617,14))),"")</f>
        <v/>
      </c>
    </row>
    <row r="1623" spans="1:10" ht="10.5" customHeight="1" x14ac:dyDescent="0.2">
      <c r="A1623" s="65" t="str">
        <f ca="1">_xlfn.IFNA(INDIRECT(_xlfn.TEXTJOIN("",TRUE,A1617,"!",ADDRESS(15+(A1618-1)*J1617,1))),"")</f>
        <v/>
      </c>
      <c r="B1623" s="65"/>
      <c r="C1623" s="66" t="str">
        <f ca="1">_xlfn.IFNA(INDIRECT(_xlfn.TEXTJOIN("",TRUE,A1617,"!",ADDRESS(15+(A1618-1)*J1617,2))),"")</f>
        <v/>
      </c>
      <c r="D1623" s="66"/>
      <c r="E1623" s="66"/>
      <c r="F1623" s="66"/>
      <c r="G1623" s="66"/>
      <c r="H1623" s="25" t="str">
        <f ca="1">_xlfn.IFNA(INDIRECT(_xlfn.TEXTJOIN("",TRUE,A1617,"!",ADDRESS(15+(A1618-1)*J1617,6))),"")</f>
        <v/>
      </c>
      <c r="I1623" s="25" t="str">
        <f ca="1">_xlfn.IFNA(INDIRECT(_xlfn.TEXTJOIN("",TRUE,A1617,"!",ADDRESS(15+(A1618-1)*J1617,13))),"")</f>
        <v/>
      </c>
      <c r="J1623" s="25" t="str">
        <f ca="1">_xlfn.IFNA(INDIRECT(_xlfn.TEXTJOIN("",TRUE,A1617,"!",ADDRESS(15+(A1618-1)*J1617,14))),"")</f>
        <v/>
      </c>
    </row>
    <row r="1624" spans="1:10" ht="10.5" customHeight="1" x14ac:dyDescent="0.2">
      <c r="A1624" s="65" t="str">
        <f ca="1">_xlfn.IFNA(INDIRECT(_xlfn.TEXTJOIN("",TRUE,A1617,"!",ADDRESS(16+(A1618-1)*J1617,1))),"")</f>
        <v/>
      </c>
      <c r="B1624" s="65"/>
      <c r="C1624" s="66" t="str">
        <f ca="1">_xlfn.IFNA(INDIRECT(_xlfn.TEXTJOIN("",TRUE,A1617,"!",ADDRESS(16+(A1618-1)*J1617,2))),"")</f>
        <v/>
      </c>
      <c r="D1624" s="66"/>
      <c r="E1624" s="66"/>
      <c r="F1624" s="66"/>
      <c r="G1624" s="66"/>
      <c r="H1624" s="25" t="str">
        <f ca="1">_xlfn.IFNA(INDIRECT(_xlfn.TEXTJOIN("",TRUE,A1617,"!",ADDRESS(16+(A1618-1)*J1617,6))),"")</f>
        <v/>
      </c>
      <c r="I1624" s="25" t="str">
        <f ca="1">_xlfn.IFNA(INDIRECT(_xlfn.TEXTJOIN("",TRUE,A1617,"!",ADDRESS(16+(A1618-1)*J1617,13))),"")</f>
        <v/>
      </c>
      <c r="J1624" s="25" t="str">
        <f ca="1">_xlfn.IFNA(INDIRECT(_xlfn.TEXTJOIN("",TRUE,A1617,"!",ADDRESS(16+(A1618-1)*J1617,14))),"")</f>
        <v/>
      </c>
    </row>
    <row r="1625" spans="1:10" ht="10.5" customHeight="1" x14ac:dyDescent="0.2">
      <c r="A1625" s="65" t="str">
        <f ca="1">_xlfn.IFNA(INDIRECT(_xlfn.TEXTJOIN("",TRUE,A1617,"!",ADDRESS(17+(A1618-1)*J1617,1))),"")</f>
        <v/>
      </c>
      <c r="B1625" s="65"/>
      <c r="C1625" s="66" t="str">
        <f ca="1">_xlfn.IFNA(INDIRECT(_xlfn.TEXTJOIN("",TRUE,A1617,"!",ADDRESS(17+(A1618-1)*J1617,2))),"")</f>
        <v/>
      </c>
      <c r="D1625" s="66"/>
      <c r="E1625" s="66"/>
      <c r="F1625" s="66"/>
      <c r="G1625" s="66"/>
      <c r="H1625" s="25" t="str">
        <f ca="1">_xlfn.IFNA(INDIRECT(_xlfn.TEXTJOIN("",TRUE,A1617,"!",ADDRESS(17+(A1618-1)*J1617,6))),"")</f>
        <v/>
      </c>
      <c r="I1625" s="25" t="str">
        <f ca="1">_xlfn.IFNA(INDIRECT(_xlfn.TEXTJOIN("",TRUE,A1617,"!",ADDRESS(17+(A1618-1)*J1617,13))),"")</f>
        <v/>
      </c>
      <c r="J1625" s="25" t="str">
        <f ca="1">_xlfn.IFNA(INDIRECT(_xlfn.TEXTJOIN("",TRUE,A1617,"!",ADDRESS(17+(A1618-1)*J1617,14))),"")</f>
        <v/>
      </c>
    </row>
    <row r="1626" spans="1:10" ht="10.5" customHeight="1" x14ac:dyDescent="0.2">
      <c r="A1626" s="65" t="str">
        <f ca="1">_xlfn.IFNA(INDIRECT(_xlfn.TEXTJOIN("",TRUE,A1617,"!",ADDRESS(18+(A1618-1)*J1617,1))),"")</f>
        <v/>
      </c>
      <c r="B1626" s="65"/>
      <c r="C1626" s="66" t="str">
        <f ca="1">_xlfn.IFNA(INDIRECT(_xlfn.TEXTJOIN("",TRUE,A1617,"!",ADDRESS(18+(A1618-1)*J1617,2))),"")</f>
        <v/>
      </c>
      <c r="D1626" s="66"/>
      <c r="E1626" s="66"/>
      <c r="F1626" s="66"/>
      <c r="G1626" s="66"/>
      <c r="H1626" s="25" t="str">
        <f ca="1">_xlfn.IFNA(INDIRECT(_xlfn.TEXTJOIN("",TRUE,A1617,"!",ADDRESS(18+(A1618-1)*J1617,6))),"")</f>
        <v/>
      </c>
      <c r="I1626" s="25" t="str">
        <f ca="1">_xlfn.IFNA(INDIRECT(_xlfn.TEXTJOIN("",TRUE,A1617,"!",ADDRESS(18+(A1618-1)*J1617,13))),"")</f>
        <v/>
      </c>
      <c r="J1626" s="25" t="str">
        <f ca="1">_xlfn.IFNA(INDIRECT(_xlfn.TEXTJOIN("",TRUE,A1617,"!",ADDRESS(18+(A1618-1)*J1617,14))),"")</f>
        <v/>
      </c>
    </row>
    <row r="1627" spans="1:10" ht="10.5" customHeight="1" x14ac:dyDescent="0.2">
      <c r="A1627" s="60" t="str">
        <f ca="1">_xlfn.IFNA(INDIRECT(_xlfn.TEXTJOIN("",TRUE,A1617,"!",ADDRESS(19+(A1618-1)*J1617,1))),"")</f>
        <v/>
      </c>
      <c r="B1627" s="61"/>
      <c r="C1627" s="57" t="str">
        <f ca="1">_xlfn.IFNA(INDIRECT(_xlfn.TEXTJOIN("",TRUE,A1617,"!",ADDRESS(19+(A1618-1)*J1617,2))),"")</f>
        <v/>
      </c>
      <c r="D1627" s="58"/>
      <c r="E1627" s="58"/>
      <c r="F1627" s="58"/>
      <c r="G1627" s="59"/>
      <c r="H1627" s="25" t="str">
        <f ca="1">_xlfn.IFNA(INDIRECT(_xlfn.TEXTJOIN("",TRUE,A1617,"!",ADDRESS(19+(A1618-1)*J1617,6))),"")</f>
        <v/>
      </c>
      <c r="I1627" s="25" t="str">
        <f ca="1">_xlfn.IFNA(INDIRECT(_xlfn.TEXTJOIN("",TRUE,A1617,"!",ADDRESS(19+(A1618-1)*J1617,13))),"")</f>
        <v/>
      </c>
      <c r="J1627" s="25" t="str">
        <f ca="1">_xlfn.IFNA(INDIRECT(_xlfn.TEXTJOIN("",TRUE,A1617,"!",ADDRESS(19+(A1618-1)*J1617,14))),"")</f>
        <v/>
      </c>
    </row>
    <row r="1628" spans="1:10" ht="10.5" customHeight="1" x14ac:dyDescent="0.2">
      <c r="A1628" s="65" t="str">
        <f ca="1">_xlfn.IFNA(INDIRECT(_xlfn.TEXTJOIN("",TRUE,A1617,"!",ADDRESS(20+(A1618-1)*J1617,1))),"")</f>
        <v/>
      </c>
      <c r="B1628" s="65"/>
      <c r="C1628" s="66" t="str">
        <f ca="1">_xlfn.IFNA(INDIRECT(_xlfn.TEXTJOIN("",TRUE,A1617,"!",ADDRESS(20+(A1618-1)*J1617,2))),"")</f>
        <v/>
      </c>
      <c r="D1628" s="66"/>
      <c r="E1628" s="66"/>
      <c r="F1628" s="66"/>
      <c r="G1628" s="66"/>
      <c r="H1628" s="25" t="str">
        <f ca="1">_xlfn.IFNA(INDIRECT(_xlfn.TEXTJOIN("",TRUE,A1617,"!",ADDRESS(20+(A1618-1)*J1617,6))),"")</f>
        <v/>
      </c>
      <c r="I1628" s="25" t="str">
        <f ca="1">_xlfn.IFNA(INDIRECT(_xlfn.TEXTJOIN("",TRUE,A1617,"!",ADDRESS(20+(A1618-1)*J1617,13))),"")</f>
        <v/>
      </c>
      <c r="J1628" s="25" t="str">
        <f ca="1">_xlfn.IFNA(INDIRECT(_xlfn.TEXTJOIN("",TRUE,A1617,"!",ADDRESS(20+(A1618-1)*J1617,14))),"")</f>
        <v/>
      </c>
    </row>
    <row r="1629" spans="1:10" ht="10.5" customHeight="1" x14ac:dyDescent="0.2">
      <c r="A1629" s="65" t="str">
        <f ca="1">_xlfn.IFNA(INDIRECT(_xlfn.TEXTJOIN("",TRUE,A1617,"!",ADDRESS(21+(A1618-1)*J1617,1))),"")</f>
        <v/>
      </c>
      <c r="B1629" s="65"/>
      <c r="C1629" s="66" t="str">
        <f ca="1">_xlfn.IFNA(INDIRECT(_xlfn.TEXTJOIN("",TRUE,A1617,"!",ADDRESS(21+(A1618-1)*J1617,2))),"")</f>
        <v/>
      </c>
      <c r="D1629" s="66"/>
      <c r="E1629" s="66"/>
      <c r="F1629" s="66"/>
      <c r="G1629" s="66"/>
      <c r="H1629" s="25" t="str">
        <f ca="1">_xlfn.IFNA(INDIRECT(_xlfn.TEXTJOIN("",TRUE,A1617,"!",ADDRESS(21+(A1618-1)*J1617,6))),"")</f>
        <v/>
      </c>
      <c r="I1629" s="25" t="str">
        <f ca="1">_xlfn.IFNA(INDIRECT(_xlfn.TEXTJOIN("",TRUE,A1617,"!",ADDRESS(21+(A1618-1)*J1617,13))),"")</f>
        <v/>
      </c>
      <c r="J1629" s="25" t="str">
        <f ca="1">_xlfn.IFNA(INDIRECT(_xlfn.TEXTJOIN("",TRUE,A1617,"!",ADDRESS(21+(A1618-1)*J1617,14))),"")</f>
        <v/>
      </c>
    </row>
    <row r="1630" spans="1:10" ht="10.5" customHeight="1" x14ac:dyDescent="0.2">
      <c r="A1630" s="65" t="str">
        <f ca="1">_xlfn.IFNA(INDIRECT(_xlfn.TEXTJOIN("",TRUE,A1617,"!",ADDRESS(22+(A1618-1)*J1617,1))),"")</f>
        <v/>
      </c>
      <c r="B1630" s="65"/>
      <c r="C1630" s="66" t="str">
        <f ca="1">_xlfn.IFNA(INDIRECT(_xlfn.TEXTJOIN("",TRUE,A1617,"!",ADDRESS(22+(A1618-1)*J1617,2))),"")</f>
        <v/>
      </c>
      <c r="D1630" s="66"/>
      <c r="E1630" s="66"/>
      <c r="F1630" s="66"/>
      <c r="G1630" s="66"/>
      <c r="H1630" s="25" t="str">
        <f ca="1">_xlfn.IFNA(INDIRECT(_xlfn.TEXTJOIN("",TRUE,A1617,"!",ADDRESS(22+(A1618-1)*J1617,6))),"")</f>
        <v/>
      </c>
      <c r="I1630" s="25" t="str">
        <f ca="1">_xlfn.IFNA(INDIRECT(_xlfn.TEXTJOIN("",TRUE,A1617,"!",ADDRESS(22+(A1618-1)*J1617,13))),"")</f>
        <v/>
      </c>
      <c r="J1630" s="25" t="str">
        <f ca="1">_xlfn.IFNA(INDIRECT(_xlfn.TEXTJOIN("",TRUE,A1617,"!",ADDRESS(22+(A1618-1)*J1617,14))),"")</f>
        <v/>
      </c>
    </row>
    <row r="1631" spans="1:10" ht="10.5" customHeight="1" x14ac:dyDescent="0.2">
      <c r="A1631" s="71" t="str">
        <f ca="1">IF(ISNA(A1618),"","Total Credits/ Total Grade Points")</f>
        <v/>
      </c>
      <c r="B1631" s="71"/>
      <c r="C1631" s="71"/>
      <c r="D1631" s="71"/>
      <c r="E1631" s="71"/>
      <c r="F1631" s="71"/>
      <c r="G1631" s="71"/>
      <c r="H1631" s="27" t="str">
        <f ca="1">IF(ISNA(A1618),"",SUM(H1621:H1630))</f>
        <v/>
      </c>
      <c r="I1631" s="26" t="str">
        <f ca="1">IF(ISNA(A1618),"","-")</f>
        <v/>
      </c>
      <c r="J1631" s="27" t="str">
        <f ca="1">IF(ISNA(A1618),"",SUMPRODUCT(J1621:J1630,H1621:H1630))</f>
        <v/>
      </c>
    </row>
    <row r="1632" spans="1:10" ht="10.5" customHeight="1" x14ac:dyDescent="0.2">
      <c r="A1632" s="24" t="s">
        <v>60</v>
      </c>
      <c r="B1632" s="72" t="str">
        <f ca="1">IF(ISNA(A1633),"","Semester III (Autumn Semester 2023-24)")</f>
        <v/>
      </c>
      <c r="C1632" s="72"/>
      <c r="D1632" s="72"/>
      <c r="E1632" s="72"/>
      <c r="F1632" s="72"/>
      <c r="G1632" s="72"/>
      <c r="H1632" s="72"/>
      <c r="I1632" s="72"/>
      <c r="J1632" s="24">
        <f>ROWS(A1636:B1643)+9</f>
        <v>17</v>
      </c>
    </row>
    <row r="1633" spans="1:10" ht="10.5" customHeight="1" x14ac:dyDescent="0.2">
      <c r="A1633" s="24" t="e">
        <f ca="1">INDEX(SEM_III!$A$6:$A$43,Marksheets!J1633)</f>
        <v>#N/A</v>
      </c>
      <c r="B1633" s="63"/>
      <c r="C1633" s="63"/>
      <c r="D1633" s="63"/>
      <c r="E1633" s="63"/>
      <c r="F1633" s="63"/>
      <c r="G1633" s="63"/>
      <c r="H1633" s="63"/>
      <c r="I1633" s="63"/>
      <c r="J1633" s="24" t="e">
        <f ca="1">MATCH(H1596,SEM_III!$B$6:$B$43,0)</f>
        <v>#N/A</v>
      </c>
    </row>
    <row r="1634" spans="1:10" ht="10.5" customHeight="1" x14ac:dyDescent="0.2">
      <c r="A1634" s="64" t="str">
        <f ca="1">IF(ISNA(A1633),"","Subject Code")</f>
        <v/>
      </c>
      <c r="B1634" s="64"/>
      <c r="C1634" s="64" t="str">
        <f ca="1">IF(ISNA(A1633),"","Subject Name")</f>
        <v/>
      </c>
      <c r="D1634" s="64"/>
      <c r="E1634" s="64"/>
      <c r="F1634" s="64"/>
      <c r="G1634" s="64"/>
      <c r="H1634" s="64" t="str">
        <f ca="1">IF(ISNA(A1633),"","Credits")</f>
        <v/>
      </c>
      <c r="I1634" s="64" t="str">
        <f ca="1">IF(ISNA(A1633),"","Grade")</f>
        <v/>
      </c>
      <c r="J1634" s="64" t="str">
        <f ca="1">IF(ISNA(A1633),"","Grade Points")</f>
        <v/>
      </c>
    </row>
    <row r="1635" spans="1:10" ht="12" customHeight="1" x14ac:dyDescent="0.2">
      <c r="A1635" s="64"/>
      <c r="B1635" s="64"/>
      <c r="C1635" s="64"/>
      <c r="D1635" s="64"/>
      <c r="E1635" s="64"/>
      <c r="F1635" s="64"/>
      <c r="G1635" s="64"/>
      <c r="H1635" s="64"/>
      <c r="I1635" s="64"/>
      <c r="J1635" s="64"/>
    </row>
    <row r="1636" spans="1:10" ht="10.5" customHeight="1" x14ac:dyDescent="0.2">
      <c r="A1636" s="65" t="str">
        <f ca="1">_xlfn.IFNA(INDIRECT(_xlfn.TEXTJOIN("",TRUE,A1632,"!",ADDRESS(13+(A1633-1)*J1632,1))),"")</f>
        <v/>
      </c>
      <c r="B1636" s="65"/>
      <c r="C1636" s="66" t="str">
        <f ca="1">_xlfn.IFNA(INDIRECT(_xlfn.TEXTJOIN("",TRUE,A1632,"!",ADDRESS(13+(A1633-1)*J1632,2))),"")</f>
        <v/>
      </c>
      <c r="D1636" s="66"/>
      <c r="E1636" s="66"/>
      <c r="F1636" s="66"/>
      <c r="G1636" s="66"/>
      <c r="H1636" s="25" t="str">
        <f ca="1">_xlfn.IFNA(INDIRECT(_xlfn.TEXTJOIN("",TRUE,A1632,"!",ADDRESS(13+(A1633-1)*J1632,6))),"")</f>
        <v/>
      </c>
      <c r="I1636" s="25" t="str">
        <f ca="1">_xlfn.IFNA(INDIRECT(_xlfn.TEXTJOIN("",TRUE,A1632,"!",ADDRESS(13+(A1633-1)*J1632,13))),"")</f>
        <v/>
      </c>
      <c r="J1636" s="25" t="str">
        <f ca="1">_xlfn.IFNA(INDIRECT(_xlfn.TEXTJOIN("",TRUE,A1632,"!",ADDRESS(13+(A1633-1)*J1632,14))),"")</f>
        <v/>
      </c>
    </row>
    <row r="1637" spans="1:10" ht="10.5" customHeight="1" x14ac:dyDescent="0.2">
      <c r="A1637" s="65" t="str">
        <f ca="1">_xlfn.IFNA(INDIRECT(_xlfn.TEXTJOIN("",TRUE,A1632,"!",ADDRESS(14+(A1633-1)*J1632,1))),"")</f>
        <v/>
      </c>
      <c r="B1637" s="65"/>
      <c r="C1637" s="66" t="str">
        <f ca="1">_xlfn.IFNA(INDIRECT(_xlfn.TEXTJOIN("",TRUE,A1632,"!",ADDRESS(14+(A1633-1)*J1632,2))),"")</f>
        <v/>
      </c>
      <c r="D1637" s="66"/>
      <c r="E1637" s="66"/>
      <c r="F1637" s="66"/>
      <c r="G1637" s="66"/>
      <c r="H1637" s="25" t="str">
        <f ca="1">_xlfn.IFNA(INDIRECT(_xlfn.TEXTJOIN("",TRUE,A1632,"!",ADDRESS(14+(A1633-1)*J1632,6))),"")</f>
        <v/>
      </c>
      <c r="I1637" s="25" t="str">
        <f ca="1">_xlfn.IFNA(INDIRECT(_xlfn.TEXTJOIN("",TRUE,A1632,"!",ADDRESS(14+(A1633-1)*J1632,13))),"")</f>
        <v/>
      </c>
      <c r="J1637" s="25" t="str">
        <f ca="1">_xlfn.IFNA(INDIRECT(_xlfn.TEXTJOIN("",TRUE,A1632,"!",ADDRESS(14+(A1633-1)*J1632,14))),"")</f>
        <v/>
      </c>
    </row>
    <row r="1638" spans="1:10" ht="10.5" customHeight="1" x14ac:dyDescent="0.2">
      <c r="A1638" s="65" t="str">
        <f ca="1">_xlfn.IFNA(INDIRECT(_xlfn.TEXTJOIN("",TRUE,A1632,"!",ADDRESS(15+(A1633-1)*J1632,1))),"")</f>
        <v/>
      </c>
      <c r="B1638" s="65"/>
      <c r="C1638" s="66" t="str">
        <f ca="1">_xlfn.IFNA(INDIRECT(_xlfn.TEXTJOIN("",TRUE,A1632,"!",ADDRESS(15+(A1633-1)*J1632,2))),"")</f>
        <v/>
      </c>
      <c r="D1638" s="66"/>
      <c r="E1638" s="66"/>
      <c r="F1638" s="66"/>
      <c r="G1638" s="66"/>
      <c r="H1638" s="25" t="str">
        <f ca="1">_xlfn.IFNA(INDIRECT(_xlfn.TEXTJOIN("",TRUE,A1632,"!",ADDRESS(15+(A1633-1)*J1632,6))),"")</f>
        <v/>
      </c>
      <c r="I1638" s="25" t="str">
        <f ca="1">_xlfn.IFNA(INDIRECT(_xlfn.TEXTJOIN("",TRUE,A1632,"!",ADDRESS(15+(A1633-1)*J1632,13))),"")</f>
        <v/>
      </c>
      <c r="J1638" s="25" t="str">
        <f ca="1">_xlfn.IFNA(INDIRECT(_xlfn.TEXTJOIN("",TRUE,A1632,"!",ADDRESS(15+(A1633-1)*J1632,14))),"")</f>
        <v/>
      </c>
    </row>
    <row r="1639" spans="1:10" ht="10.5" customHeight="1" x14ac:dyDescent="0.2">
      <c r="A1639" s="65" t="str">
        <f ca="1">_xlfn.IFNA(INDIRECT(_xlfn.TEXTJOIN("",TRUE,A1632,"!",ADDRESS(16+(A1633-1)*J1632,1))),"")</f>
        <v/>
      </c>
      <c r="B1639" s="65"/>
      <c r="C1639" s="66" t="str">
        <f ca="1">_xlfn.IFNA(INDIRECT(_xlfn.TEXTJOIN("",TRUE,A1632,"!",ADDRESS(16+(A1633-1)*J1632,2))),"")</f>
        <v/>
      </c>
      <c r="D1639" s="66"/>
      <c r="E1639" s="66"/>
      <c r="F1639" s="66"/>
      <c r="G1639" s="66"/>
      <c r="H1639" s="25" t="str">
        <f ca="1">_xlfn.IFNA(INDIRECT(_xlfn.TEXTJOIN("",TRUE,A1632,"!",ADDRESS(16+(A1633-1)*J1632,6))),"")</f>
        <v/>
      </c>
      <c r="I1639" s="25" t="str">
        <f ca="1">_xlfn.IFNA(INDIRECT(_xlfn.TEXTJOIN("",TRUE,A1632,"!",ADDRESS(16+(A1633-1)*J1632,13))),"")</f>
        <v/>
      </c>
      <c r="J1639" s="25" t="str">
        <f ca="1">_xlfn.IFNA(INDIRECT(_xlfn.TEXTJOIN("",TRUE,A1632,"!",ADDRESS(16+(A1633-1)*J1632,14))),"")</f>
        <v/>
      </c>
    </row>
    <row r="1640" spans="1:10" ht="10.5" customHeight="1" x14ac:dyDescent="0.2">
      <c r="A1640" s="65" t="str">
        <f ca="1">_xlfn.IFNA(INDIRECT(_xlfn.TEXTJOIN("",TRUE,A1632,"!",ADDRESS(17+(A1633-1)*J1632,1))),"")</f>
        <v/>
      </c>
      <c r="B1640" s="65"/>
      <c r="C1640" s="66" t="str">
        <f ca="1">_xlfn.IFNA(INDIRECT(_xlfn.TEXTJOIN("",TRUE,A1632,"!",ADDRESS(17+(A1633-1)*J1632,2))),"")</f>
        <v/>
      </c>
      <c r="D1640" s="66"/>
      <c r="E1640" s="66"/>
      <c r="F1640" s="66"/>
      <c r="G1640" s="66"/>
      <c r="H1640" s="25" t="str">
        <f ca="1">_xlfn.IFNA(INDIRECT(_xlfn.TEXTJOIN("",TRUE,A1632,"!",ADDRESS(17+(A1633-1)*J1632,6))),"")</f>
        <v/>
      </c>
      <c r="I1640" s="25" t="str">
        <f ca="1">_xlfn.IFNA(INDIRECT(_xlfn.TEXTJOIN("",TRUE,A1632,"!",ADDRESS(17+(A1633-1)*J1632,13))),"")</f>
        <v/>
      </c>
      <c r="J1640" s="25" t="str">
        <f ca="1">_xlfn.IFNA(INDIRECT(_xlfn.TEXTJOIN("",TRUE,A1632,"!",ADDRESS(17+(A1633-1)*J1632,14))),"")</f>
        <v/>
      </c>
    </row>
    <row r="1641" spans="1:10" ht="10.5" customHeight="1" x14ac:dyDescent="0.2">
      <c r="A1641" s="65" t="str">
        <f ca="1">_xlfn.IFNA(INDIRECT(_xlfn.TEXTJOIN("",TRUE,A1632,"!",ADDRESS(18+(A1633-1)*J1632,1))),"")</f>
        <v/>
      </c>
      <c r="B1641" s="65"/>
      <c r="C1641" s="66" t="str">
        <f ca="1">_xlfn.IFNA(INDIRECT(_xlfn.TEXTJOIN("",TRUE,A1632,"!",ADDRESS(18+(A1633-1)*J1632,2))),"")</f>
        <v/>
      </c>
      <c r="D1641" s="66"/>
      <c r="E1641" s="66"/>
      <c r="F1641" s="66"/>
      <c r="G1641" s="66"/>
      <c r="H1641" s="25" t="str">
        <f ca="1">_xlfn.IFNA(INDIRECT(_xlfn.TEXTJOIN("",TRUE,A1632,"!",ADDRESS(18+(A1633-1)*J1632,6))),"")</f>
        <v/>
      </c>
      <c r="I1641" s="25" t="str">
        <f ca="1">_xlfn.IFNA(INDIRECT(_xlfn.TEXTJOIN("",TRUE,A1632,"!",ADDRESS(18+(A1633-1)*J1632,13))),"")</f>
        <v/>
      </c>
      <c r="J1641" s="25" t="str">
        <f ca="1">_xlfn.IFNA(INDIRECT(_xlfn.TEXTJOIN("",TRUE,A1632,"!",ADDRESS(18+(A1633-1)*J1632,14))),"")</f>
        <v/>
      </c>
    </row>
    <row r="1642" spans="1:10" ht="10.5" customHeight="1" x14ac:dyDescent="0.2">
      <c r="A1642" s="60" t="str">
        <f ca="1">_xlfn.IFNA(INDIRECT(_xlfn.TEXTJOIN("",TRUE,A1632,"!",ADDRESS(19+(A1633-1)*J1632,1))),"")</f>
        <v/>
      </c>
      <c r="B1642" s="61"/>
      <c r="C1642" s="57" t="str">
        <f ca="1">_xlfn.IFNA(INDIRECT(_xlfn.TEXTJOIN("",TRUE,A1632,"!",ADDRESS(19+(A1633-1)*J1632,2))),"")</f>
        <v/>
      </c>
      <c r="D1642" s="58"/>
      <c r="E1642" s="58"/>
      <c r="F1642" s="58"/>
      <c r="G1642" s="59"/>
      <c r="H1642" s="25" t="str">
        <f ca="1">_xlfn.IFNA(INDIRECT(_xlfn.TEXTJOIN("",TRUE,A1632,"!",ADDRESS(19+(A1633-1)*J1632,6))),"")</f>
        <v/>
      </c>
      <c r="I1642" s="25" t="str">
        <f ca="1">_xlfn.IFNA(INDIRECT(_xlfn.TEXTJOIN("",TRUE,A1632,"!",ADDRESS(19+(A1633-1)*J1632,13))),"")</f>
        <v/>
      </c>
      <c r="J1642" s="25" t="str">
        <f ca="1">_xlfn.IFNA(INDIRECT(_xlfn.TEXTJOIN("",TRUE,A1632,"!",ADDRESS(19+(A1633-1)*J1632,14))),"")</f>
        <v/>
      </c>
    </row>
    <row r="1643" spans="1:10" ht="10.5" customHeight="1" x14ac:dyDescent="0.2">
      <c r="A1643" s="65" t="str">
        <f ca="1">_xlfn.IFNA(INDIRECT(_xlfn.TEXTJOIN("",TRUE,A1632,"!",ADDRESS(20+(A1633-1)*J1632,1))),"")</f>
        <v/>
      </c>
      <c r="B1643" s="65"/>
      <c r="C1643" s="66" t="str">
        <f ca="1">_xlfn.IFNA(INDIRECT(_xlfn.TEXTJOIN("",TRUE,A1632,"!",ADDRESS(20+(A1633-1)*J1632,2))),"")</f>
        <v/>
      </c>
      <c r="D1643" s="66"/>
      <c r="E1643" s="66"/>
      <c r="F1643" s="66"/>
      <c r="G1643" s="66"/>
      <c r="H1643" s="25" t="str">
        <f ca="1">_xlfn.IFNA(INDIRECT(_xlfn.TEXTJOIN("",TRUE,A1632,"!",ADDRESS(20+(A1633-1)*J1632,6))),"")</f>
        <v/>
      </c>
      <c r="I1643" s="25" t="str">
        <f ca="1">_xlfn.IFNA(INDIRECT(_xlfn.TEXTJOIN("",TRUE,A1632,"!",ADDRESS(20+(A1633-1)*J1632,13))),"")</f>
        <v/>
      </c>
      <c r="J1643" s="25" t="str">
        <f ca="1">_xlfn.IFNA(INDIRECT(_xlfn.TEXTJOIN("",TRUE,A1632,"!",ADDRESS(20+(A1633-1)*J1632,14))),"")</f>
        <v/>
      </c>
    </row>
    <row r="1644" spans="1:10" ht="10.5" customHeight="1" x14ac:dyDescent="0.2">
      <c r="A1644" s="71" t="str">
        <f ca="1">IF(ISNA(A1633),"","Total Credits/ Total Grade Points")</f>
        <v/>
      </c>
      <c r="B1644" s="71"/>
      <c r="C1644" s="71"/>
      <c r="D1644" s="71"/>
      <c r="E1644" s="71"/>
      <c r="F1644" s="71"/>
      <c r="G1644" s="71"/>
      <c r="H1644" s="27" t="str">
        <f ca="1">IF(ISNA(A1633),"",SUM(H1636:H1643))</f>
        <v/>
      </c>
      <c r="I1644" s="26" t="str">
        <f ca="1">IF(ISNA(A1633),"","-")</f>
        <v/>
      </c>
      <c r="J1644" s="27" t="str">
        <f ca="1">IF(ISNA(A1633),"",SUMPRODUCT(J1636:J1643,H1636:H1643))</f>
        <v/>
      </c>
    </row>
    <row r="1645" spans="1:10" ht="10.5" customHeight="1" x14ac:dyDescent="0.2">
      <c r="A1645" s="24" t="s">
        <v>133</v>
      </c>
      <c r="B1645" s="72" t="str">
        <f ca="1">IF(ISNA(A1646),"","Semester IV (Spring Semester 2023-24)")</f>
        <v/>
      </c>
      <c r="C1645" s="72"/>
      <c r="D1645" s="72"/>
      <c r="E1645" s="72"/>
      <c r="F1645" s="72"/>
      <c r="G1645" s="72"/>
      <c r="H1645" s="72"/>
      <c r="I1645" s="72"/>
      <c r="J1645" s="24">
        <f>ROWS(A1649:B1655)+9</f>
        <v>16</v>
      </c>
    </row>
    <row r="1646" spans="1:10" ht="10.5" customHeight="1" x14ac:dyDescent="0.2">
      <c r="A1646" s="24" t="e">
        <f ca="1">INDEX(SEM_IV!$A$6:$A$43,Marksheets!J1646)</f>
        <v>#N/A</v>
      </c>
      <c r="B1646" s="63"/>
      <c r="C1646" s="63"/>
      <c r="D1646" s="63"/>
      <c r="E1646" s="63"/>
      <c r="F1646" s="63"/>
      <c r="G1646" s="63"/>
      <c r="H1646" s="63"/>
      <c r="I1646" s="63"/>
      <c r="J1646" s="24" t="e">
        <f ca="1">MATCH(H1596,SEM_IV!$B$6:$B$43,0)</f>
        <v>#N/A</v>
      </c>
    </row>
    <row r="1647" spans="1:10" ht="10.5" customHeight="1" x14ac:dyDescent="0.2">
      <c r="A1647" s="64" t="str">
        <f ca="1">IF(ISNA(A1646),"","Subject Code")</f>
        <v/>
      </c>
      <c r="B1647" s="64"/>
      <c r="C1647" s="64" t="str">
        <f ca="1">IF(ISNA(A1646),"","Subject Name")</f>
        <v/>
      </c>
      <c r="D1647" s="64"/>
      <c r="E1647" s="64"/>
      <c r="F1647" s="64"/>
      <c r="G1647" s="64"/>
      <c r="H1647" s="64" t="str">
        <f ca="1">IF(ISNA(A1646),"","Credits")</f>
        <v/>
      </c>
      <c r="I1647" s="64" t="str">
        <f ca="1">IF(ISNA(A1646),"","Grade")</f>
        <v/>
      </c>
      <c r="J1647" s="64" t="str">
        <f ca="1">IF(ISNA(A1646),"","Grade Points")</f>
        <v/>
      </c>
    </row>
    <row r="1648" spans="1:10" ht="15" customHeight="1" x14ac:dyDescent="0.2">
      <c r="A1648" s="64"/>
      <c r="B1648" s="64"/>
      <c r="C1648" s="64"/>
      <c r="D1648" s="64"/>
      <c r="E1648" s="64"/>
      <c r="F1648" s="64"/>
      <c r="G1648" s="64"/>
      <c r="H1648" s="64"/>
      <c r="I1648" s="64"/>
      <c r="J1648" s="64"/>
    </row>
    <row r="1649" spans="1:10" ht="10.5" customHeight="1" x14ac:dyDescent="0.2">
      <c r="A1649" s="65" t="str">
        <f ca="1">_xlfn.IFNA(INDIRECT(_xlfn.TEXTJOIN("",TRUE,A1645,"!",ADDRESS(13+(A1646-1)*J1645,1))),"")</f>
        <v/>
      </c>
      <c r="B1649" s="65"/>
      <c r="C1649" s="66" t="str">
        <f ca="1">_xlfn.IFNA(INDIRECT(_xlfn.TEXTJOIN("",TRUE,A1645,"!",ADDRESS(13+(A1646-1)*J1645,2))),"")</f>
        <v/>
      </c>
      <c r="D1649" s="66"/>
      <c r="E1649" s="66"/>
      <c r="F1649" s="66"/>
      <c r="G1649" s="66"/>
      <c r="H1649" s="25" t="str">
        <f ca="1">_xlfn.IFNA(INDIRECT(_xlfn.TEXTJOIN("",TRUE,A1645,"!",ADDRESS(13+(A1646-1)*J1645,6))),"")</f>
        <v/>
      </c>
      <c r="I1649" s="25" t="str">
        <f ca="1">_xlfn.IFNA(INDIRECT(_xlfn.TEXTJOIN("",TRUE,A1645,"!",ADDRESS(13+(A1646-1)*J1645,13))),"")</f>
        <v/>
      </c>
      <c r="J1649" s="25" t="str">
        <f ca="1">_xlfn.IFNA(INDIRECT(_xlfn.TEXTJOIN("",TRUE,A1645,"!",ADDRESS(13+(A1646-1)*J1645,14))),"")</f>
        <v/>
      </c>
    </row>
    <row r="1650" spans="1:10" ht="10.5" customHeight="1" x14ac:dyDescent="0.2">
      <c r="A1650" s="65" t="str">
        <f ca="1">_xlfn.IFNA(INDIRECT(_xlfn.TEXTJOIN("",TRUE,A1645,"!",ADDRESS(14+(A1646-1)*J1645,1))),"")</f>
        <v/>
      </c>
      <c r="B1650" s="65"/>
      <c r="C1650" s="66" t="str">
        <f ca="1">_xlfn.IFNA(INDIRECT(_xlfn.TEXTJOIN("",TRUE,A1645,"!",ADDRESS(14+(A1646-1)*J1645,2))),"")</f>
        <v/>
      </c>
      <c r="D1650" s="66"/>
      <c r="E1650" s="66"/>
      <c r="F1650" s="66"/>
      <c r="G1650" s="66"/>
      <c r="H1650" s="25" t="str">
        <f ca="1">_xlfn.IFNA(INDIRECT(_xlfn.TEXTJOIN("",TRUE,A1645,"!",ADDRESS(14+(A1646-1)*J1645,6))),"")</f>
        <v/>
      </c>
      <c r="I1650" s="25" t="str">
        <f ca="1">_xlfn.IFNA(INDIRECT(_xlfn.TEXTJOIN("",TRUE,A1645,"!",ADDRESS(14+(A1646-1)*J1645,13))),"")</f>
        <v/>
      </c>
      <c r="J1650" s="25" t="str">
        <f ca="1">_xlfn.IFNA(INDIRECT(_xlfn.TEXTJOIN("",TRUE,A1645,"!",ADDRESS(14+(A1646-1)*J1645,14))),"")</f>
        <v/>
      </c>
    </row>
    <row r="1651" spans="1:10" ht="10.5" customHeight="1" x14ac:dyDescent="0.2">
      <c r="A1651" s="65" t="str">
        <f ca="1">_xlfn.IFNA(INDIRECT(_xlfn.TEXTJOIN("",TRUE,A1645,"!",ADDRESS(15+(A1646-1)*J1645,1))),"")</f>
        <v/>
      </c>
      <c r="B1651" s="65"/>
      <c r="C1651" s="66" t="str">
        <f ca="1">_xlfn.IFNA(INDIRECT(_xlfn.TEXTJOIN("",TRUE,A1645,"!",ADDRESS(15+(A1646-1)*J1645,2))),"")</f>
        <v/>
      </c>
      <c r="D1651" s="66"/>
      <c r="E1651" s="66"/>
      <c r="F1651" s="66"/>
      <c r="G1651" s="66"/>
      <c r="H1651" s="25" t="str">
        <f ca="1">_xlfn.IFNA(INDIRECT(_xlfn.TEXTJOIN("",TRUE,A1645,"!",ADDRESS(15+(A1646-1)*J1645,6))),"")</f>
        <v/>
      </c>
      <c r="I1651" s="25" t="str">
        <f ca="1">_xlfn.IFNA(INDIRECT(_xlfn.TEXTJOIN("",TRUE,A1645,"!",ADDRESS(15+(A1646-1)*J1645,13))),"")</f>
        <v/>
      </c>
      <c r="J1651" s="25" t="str">
        <f ca="1">_xlfn.IFNA(INDIRECT(_xlfn.TEXTJOIN("",TRUE,A1645,"!",ADDRESS(15+(A1646-1)*J1645,14))),"")</f>
        <v/>
      </c>
    </row>
    <row r="1652" spans="1:10" ht="10.5" customHeight="1" x14ac:dyDescent="0.2">
      <c r="A1652" s="65" t="str">
        <f ca="1">_xlfn.IFNA(INDIRECT(_xlfn.TEXTJOIN("",TRUE,A1645,"!",ADDRESS(16+(A1646-1)*J1645,1))),"")</f>
        <v/>
      </c>
      <c r="B1652" s="65"/>
      <c r="C1652" s="66" t="str">
        <f ca="1">_xlfn.IFNA(INDIRECT(_xlfn.TEXTJOIN("",TRUE,A1645,"!",ADDRESS(16+(A1646-1)*J1645,2))),"")</f>
        <v/>
      </c>
      <c r="D1652" s="66"/>
      <c r="E1652" s="66"/>
      <c r="F1652" s="66"/>
      <c r="G1652" s="66"/>
      <c r="H1652" s="25" t="str">
        <f ca="1">_xlfn.IFNA(INDIRECT(_xlfn.TEXTJOIN("",TRUE,A1645,"!",ADDRESS(16+(A1646-1)*J1645,6))),"")</f>
        <v/>
      </c>
      <c r="I1652" s="25" t="str">
        <f ca="1">_xlfn.IFNA(INDIRECT(_xlfn.TEXTJOIN("",TRUE,A1645,"!",ADDRESS(16+(A1646-1)*J1645,13))),"")</f>
        <v/>
      </c>
      <c r="J1652" s="25" t="str">
        <f ca="1">_xlfn.IFNA(INDIRECT(_xlfn.TEXTJOIN("",TRUE,A1645,"!",ADDRESS(16+(A1646-1)*J1645,14))),"")</f>
        <v/>
      </c>
    </row>
    <row r="1653" spans="1:10" ht="10.5" customHeight="1" x14ac:dyDescent="0.2">
      <c r="A1653" s="65" t="str">
        <f ca="1">_xlfn.IFNA(INDIRECT(_xlfn.TEXTJOIN("",TRUE,A1645,"!",ADDRESS(17+(A1646-1)*J1645,1))),"")</f>
        <v/>
      </c>
      <c r="B1653" s="65"/>
      <c r="C1653" s="66" t="str">
        <f ca="1">_xlfn.IFNA(INDIRECT(_xlfn.TEXTJOIN("",TRUE,A1645,"!",ADDRESS(17+(A1646-1)*J1645,2))),"")</f>
        <v/>
      </c>
      <c r="D1653" s="66"/>
      <c r="E1653" s="66"/>
      <c r="F1653" s="66"/>
      <c r="G1653" s="66"/>
      <c r="H1653" s="25" t="str">
        <f ca="1">_xlfn.IFNA(INDIRECT(_xlfn.TEXTJOIN("",TRUE,A1645,"!",ADDRESS(17+(A1646-1)*J1645,6))),"")</f>
        <v/>
      </c>
      <c r="I1653" s="25" t="str">
        <f ca="1">_xlfn.IFNA(INDIRECT(_xlfn.TEXTJOIN("",TRUE,A1645,"!",ADDRESS(17+(A1646-1)*J1645,13))),"")</f>
        <v/>
      </c>
      <c r="J1653" s="25" t="str">
        <f ca="1">_xlfn.IFNA(INDIRECT(_xlfn.TEXTJOIN("",TRUE,A1645,"!",ADDRESS(17+(A1646-1)*J1645,14))),"")</f>
        <v/>
      </c>
    </row>
    <row r="1654" spans="1:10" ht="10.5" customHeight="1" x14ac:dyDescent="0.2">
      <c r="A1654" s="65" t="str">
        <f ca="1">_xlfn.IFNA(INDIRECT(_xlfn.TEXTJOIN("",TRUE,A1645,"!",ADDRESS(18+(A1646-1)*J1645,1))),"")</f>
        <v/>
      </c>
      <c r="B1654" s="65"/>
      <c r="C1654" s="66" t="str">
        <f ca="1">_xlfn.IFNA(INDIRECT(_xlfn.TEXTJOIN("",TRUE,A1645,"!",ADDRESS(18+(A1646-1)*J1645,2))),"")</f>
        <v/>
      </c>
      <c r="D1654" s="66"/>
      <c r="E1654" s="66"/>
      <c r="F1654" s="66"/>
      <c r="G1654" s="66"/>
      <c r="H1654" s="25" t="str">
        <f ca="1">_xlfn.IFNA(INDIRECT(_xlfn.TEXTJOIN("",TRUE,A1645,"!",ADDRESS(18+(A1646-1)*J1645,6))),"")</f>
        <v/>
      </c>
      <c r="I1654" s="25" t="str">
        <f ca="1">_xlfn.IFNA(INDIRECT(_xlfn.TEXTJOIN("",TRUE,A1645,"!",ADDRESS(18+(A1646-1)*J1645,13))),"")</f>
        <v/>
      </c>
      <c r="J1654" s="25" t="str">
        <f ca="1">_xlfn.IFNA(INDIRECT(_xlfn.TEXTJOIN("",TRUE,A1645,"!",ADDRESS(18+(A1646-1)*J1645,14))),"")</f>
        <v/>
      </c>
    </row>
    <row r="1655" spans="1:10" ht="10.5" customHeight="1" x14ac:dyDescent="0.2">
      <c r="A1655" s="60" t="str">
        <f ca="1">_xlfn.IFNA(INDIRECT(_xlfn.TEXTJOIN("",TRUE,A1645,"!",ADDRESS(19+(A1646-1)*J1645,1))),"")</f>
        <v/>
      </c>
      <c r="B1655" s="61"/>
      <c r="C1655" s="57" t="str">
        <f ca="1">_xlfn.IFNA(INDIRECT(_xlfn.TEXTJOIN("",TRUE,A1645,"!",ADDRESS(19+(A1646-1)*J1645,2))),"")</f>
        <v/>
      </c>
      <c r="D1655" s="58"/>
      <c r="E1655" s="58"/>
      <c r="F1655" s="58"/>
      <c r="G1655" s="59"/>
      <c r="H1655" s="25" t="str">
        <f ca="1">_xlfn.IFNA(INDIRECT(_xlfn.TEXTJOIN("",TRUE,A1645,"!",ADDRESS(19+(A1646-1)*J1645,6))),"")</f>
        <v/>
      </c>
      <c r="I1655" s="25" t="str">
        <f ca="1">_xlfn.IFNA(INDIRECT(_xlfn.TEXTJOIN("",TRUE,A1645,"!",ADDRESS(19+(A1646-1)*J1645,13))),"")</f>
        <v/>
      </c>
      <c r="J1655" s="25" t="str">
        <f ca="1">_xlfn.IFNA(INDIRECT(_xlfn.TEXTJOIN("",TRUE,A1645,"!",ADDRESS(19+(A1646-1)*J1645,14))),"")</f>
        <v/>
      </c>
    </row>
    <row r="1656" spans="1:10" ht="10.5" customHeight="1" x14ac:dyDescent="0.2">
      <c r="A1656" s="71" t="str">
        <f ca="1">IF(ISNA(A1646),"","Total Credits/ Total Grade Points")</f>
        <v/>
      </c>
      <c r="B1656" s="71"/>
      <c r="C1656" s="71"/>
      <c r="D1656" s="71"/>
      <c r="E1656" s="71"/>
      <c r="F1656" s="71"/>
      <c r="G1656" s="71"/>
      <c r="H1656" s="27" t="str">
        <f ca="1">IF(ISNA(A1646),"",SUM(H1648:H1655))</f>
        <v/>
      </c>
      <c r="I1656" s="26" t="str">
        <f ca="1">IF(ISNA(A1646),"","-")</f>
        <v/>
      </c>
      <c r="J1656" s="27" t="str">
        <f ca="1">IF(ISNA(A1646),"",SUMPRODUCT(J1648:J1655,H1648:H1655))</f>
        <v/>
      </c>
    </row>
    <row r="1657" spans="1:10" ht="10.5" customHeight="1" x14ac:dyDescent="0.2">
      <c r="A1657" s="75" t="s">
        <v>137</v>
      </c>
      <c r="B1657" s="75"/>
      <c r="C1657" s="75"/>
      <c r="D1657" s="75"/>
      <c r="E1657" s="75"/>
      <c r="F1657" s="76" t="s">
        <v>138</v>
      </c>
      <c r="G1657" s="76"/>
      <c r="H1657" s="76"/>
      <c r="I1657" s="76"/>
      <c r="J1657" s="76"/>
    </row>
    <row r="1658" spans="1:10" ht="10.5" customHeight="1" x14ac:dyDescent="0.2">
      <c r="A1658" s="43" t="s">
        <v>139</v>
      </c>
      <c r="B1658" s="43"/>
      <c r="C1658" s="43"/>
      <c r="D1658" s="43"/>
      <c r="E1658" s="43"/>
      <c r="F1658" s="43"/>
      <c r="G1658" s="43"/>
      <c r="H1658" s="43"/>
      <c r="I1658" s="43"/>
      <c r="J1658" s="43"/>
    </row>
    <row r="1659" spans="1:10" ht="10.5" customHeight="1" x14ac:dyDescent="0.2">
      <c r="A1659" s="10"/>
      <c r="B1659" s="26"/>
      <c r="C1659" s="26" t="s">
        <v>140</v>
      </c>
      <c r="D1659" s="26" t="s">
        <v>141</v>
      </c>
      <c r="E1659" s="26" t="s">
        <v>142</v>
      </c>
      <c r="F1659" s="26" t="s">
        <v>143</v>
      </c>
      <c r="G1659" s="26" t="s">
        <v>144</v>
      </c>
      <c r="H1659" s="79" t="s">
        <v>145</v>
      </c>
      <c r="I1659" s="79"/>
      <c r="J1659" s="30"/>
    </row>
    <row r="1660" spans="1:10" ht="10.5" customHeight="1" x14ac:dyDescent="0.2">
      <c r="A1660" s="10"/>
      <c r="B1660" s="80" t="s">
        <v>146</v>
      </c>
      <c r="C1660" s="73" t="e">
        <f ca="1">J1616/H1616</f>
        <v>#N/A</v>
      </c>
      <c r="D1660" s="73" t="e">
        <f ca="1">J1631/H1631</f>
        <v>#VALUE!</v>
      </c>
      <c r="E1660" s="73" t="str">
        <f ca="1">IFERROR(J1644/H1644,"")</f>
        <v/>
      </c>
      <c r="F1660" s="73" t="str">
        <f ca="1">IFERROR(J1656/H1656,"")</f>
        <v/>
      </c>
      <c r="G1660" s="82" t="e">
        <f ca="1">F1662</f>
        <v>#N/A</v>
      </c>
      <c r="H1660" s="83" t="e">
        <f ca="1">IF(TC_IV!N373&lt;96,_xlfn.TEXTJOIN(" ",TRUE,"CARRY OVER",TC_I!V556,TC_II!V460,TC_III!V395,TC_IV!V372),IF(G1660&gt;=8,"First Division with Distinction",IF(G1660&gt;=6.5,"First Division",IF(G1660&gt;=5,"Second Division",IF(G1660&gt;=4,"Third Division","Fail")))))</f>
        <v>#N/A</v>
      </c>
      <c r="I1660" s="83"/>
      <c r="J1660" s="30"/>
    </row>
    <row r="1661" spans="1:10" ht="10.5" customHeight="1" x14ac:dyDescent="0.2">
      <c r="B1661" s="81"/>
      <c r="C1661" s="74"/>
      <c r="D1661" s="74"/>
      <c r="E1661" s="74"/>
      <c r="F1661" s="74"/>
      <c r="G1661" s="82"/>
      <c r="H1661" s="83"/>
      <c r="I1661" s="83"/>
    </row>
    <row r="1662" spans="1:10" ht="10.5" customHeight="1" x14ac:dyDescent="0.2">
      <c r="B1662" s="80" t="s">
        <v>48</v>
      </c>
      <c r="C1662" s="73" t="e">
        <f ca="1">J1616/H1616</f>
        <v>#N/A</v>
      </c>
      <c r="D1662" s="73" t="e">
        <f ca="1">SUM(J1631,J1616)/SUM(H1631,H1616)</f>
        <v>#N/A</v>
      </c>
      <c r="E1662" s="73" t="e">
        <f ca="1">SUM(J1644,J1631,J1616)/SUM(H1644,H1631,H1616)</f>
        <v>#N/A</v>
      </c>
      <c r="F1662" s="73" t="e">
        <f ca="1">SUM(J1656,J1644,J1631,J1616)/SUM(H1616,H1631,H1644,H1656)</f>
        <v>#N/A</v>
      </c>
      <c r="G1662" s="82"/>
      <c r="H1662" s="83"/>
      <c r="I1662" s="83"/>
    </row>
    <row r="1663" spans="1:10" ht="10.5" customHeight="1" x14ac:dyDescent="0.2">
      <c r="B1663" s="81"/>
      <c r="C1663" s="74"/>
      <c r="D1663" s="74"/>
      <c r="E1663" s="74"/>
      <c r="F1663" s="74"/>
      <c r="G1663" s="82"/>
      <c r="H1663" s="83"/>
      <c r="I1663" s="83"/>
    </row>
    <row r="1665" spans="1:10" ht="10.5" customHeight="1" x14ac:dyDescent="0.2">
      <c r="A1665" s="56" t="s">
        <v>24</v>
      </c>
      <c r="B1665" s="56"/>
      <c r="C1665" s="56" t="str">
        <f ca="1">INDIRECT(_xlfn.TEXTJOIN("",TRUE,A1667,"!",ADDRESS(9+(A1668-1)*J1667,2)))</f>
        <v/>
      </c>
      <c r="D1665" s="56"/>
      <c r="E1665" s="56"/>
      <c r="F1665" s="56" t="s">
        <v>135</v>
      </c>
      <c r="G1665" s="56"/>
      <c r="H1665" s="62" t="str">
        <f ca="1">INDIRECT(_xlfn.TEXTJOIN("",TRUE,A1667,"!",ADDRESS(9+(A1668-1)*J1667,9)))</f>
        <v/>
      </c>
      <c r="I1665" s="56"/>
      <c r="J1665" s="56"/>
    </row>
    <row r="1666" spans="1:10" ht="10.5" customHeight="1" x14ac:dyDescent="0.2">
      <c r="A1666" s="56" t="s">
        <v>25</v>
      </c>
      <c r="B1666" s="56"/>
      <c r="C1666" s="56" t="str">
        <f ca="1">INDIRECT(_xlfn.TEXTJOIN("",TRUE,A1667,"!",ADDRESS(9+(A1668-1)*J1667,5)))</f>
        <v/>
      </c>
      <c r="D1666" s="56"/>
      <c r="E1666" s="56"/>
      <c r="F1666" s="47" t="s">
        <v>136</v>
      </c>
      <c r="G1666" s="47"/>
      <c r="H1666" s="62" t="str">
        <f ca="1">INDIRECT(_xlfn.TEXTJOIN("",TRUE,A1667,"!",ADDRESS(9+(A1668-1)*J1667,13)))</f>
        <v/>
      </c>
      <c r="I1666" s="56"/>
      <c r="J1666" s="56"/>
    </row>
    <row r="1667" spans="1:10" ht="10.5" customHeight="1" x14ac:dyDescent="0.2">
      <c r="A1667" s="24" t="s">
        <v>53</v>
      </c>
      <c r="B1667" s="43" t="s">
        <v>148</v>
      </c>
      <c r="C1667" s="43"/>
      <c r="D1667" s="43"/>
      <c r="E1667" s="43"/>
      <c r="F1667" s="43"/>
      <c r="G1667" s="43"/>
      <c r="H1667" s="43"/>
      <c r="I1667" s="43"/>
      <c r="J1667" s="24">
        <f>ROWS(A1671:B1684)+9</f>
        <v>23</v>
      </c>
    </row>
    <row r="1668" spans="1:10" ht="10.5" customHeight="1" x14ac:dyDescent="0.2">
      <c r="A1668" s="24">
        <f>A1599+1</f>
        <v>25</v>
      </c>
      <c r="B1668" s="63"/>
      <c r="C1668" s="63"/>
      <c r="D1668" s="63"/>
      <c r="E1668" s="63"/>
      <c r="F1668" s="63"/>
      <c r="G1668" s="63"/>
      <c r="H1668" s="63"/>
      <c r="I1668" s="63"/>
      <c r="J1668" s="29"/>
    </row>
    <row r="1669" spans="1:10" ht="10.5" customHeight="1" x14ac:dyDescent="0.2">
      <c r="A1669" s="64" t="s">
        <v>28</v>
      </c>
      <c r="B1669" s="64"/>
      <c r="C1669" s="64" t="s">
        <v>29</v>
      </c>
      <c r="D1669" s="64"/>
      <c r="E1669" s="64"/>
      <c r="F1669" s="64"/>
      <c r="G1669" s="64"/>
      <c r="H1669" s="64" t="s">
        <v>30</v>
      </c>
      <c r="I1669" s="64" t="s">
        <v>9</v>
      </c>
      <c r="J1669" s="64" t="s">
        <v>34</v>
      </c>
    </row>
    <row r="1670" spans="1:10" ht="12" customHeight="1" x14ac:dyDescent="0.2">
      <c r="A1670" s="64"/>
      <c r="B1670" s="64"/>
      <c r="C1670" s="64"/>
      <c r="D1670" s="64"/>
      <c r="E1670" s="64"/>
      <c r="F1670" s="64"/>
      <c r="G1670" s="64"/>
      <c r="H1670" s="64"/>
      <c r="I1670" s="64"/>
      <c r="J1670" s="64"/>
    </row>
    <row r="1671" spans="1:10" ht="10.5" customHeight="1" x14ac:dyDescent="0.2">
      <c r="A1671" s="65" t="str">
        <f ca="1">INDIRECT(_xlfn.TEXTJOIN("",TRUE,A1667,"!",ADDRESS(13+(A1668-1)*J1667,1)))</f>
        <v/>
      </c>
      <c r="B1671" s="65"/>
      <c r="C1671" s="66" t="str">
        <f ca="1">INDIRECT(_xlfn.TEXTJOIN("",TRUE,A1667,"!",ADDRESS(13+(A1668-1)*J1667,2)))</f>
        <v/>
      </c>
      <c r="D1671" s="66"/>
      <c r="E1671" s="66"/>
      <c r="F1671" s="66"/>
      <c r="G1671" s="66"/>
      <c r="H1671" s="25" t="str">
        <f ca="1">INDIRECT(_xlfn.TEXTJOIN("",TRUE,A1667,"!",ADDRESS(13+(A1668-1)*J1667,6)))</f>
        <v/>
      </c>
      <c r="I1671" s="25" t="str">
        <f ca="1">INDIRECT(_xlfn.TEXTJOIN("",TRUE,A1667,"!",ADDRESS(13+(A1668-1)*J1667,13)))</f>
        <v/>
      </c>
      <c r="J1671" s="25" t="e">
        <f ca="1">INDIRECT(_xlfn.TEXTJOIN("",TRUE,A1667,"!",ADDRESS(13+(A1668-1)*J1667,14)))</f>
        <v>#N/A</v>
      </c>
    </row>
    <row r="1672" spans="1:10" ht="10.5" customHeight="1" x14ac:dyDescent="0.2">
      <c r="A1672" s="65" t="str">
        <f ca="1">INDIRECT(_xlfn.TEXTJOIN("",TRUE,A1667,"!",ADDRESS(14+(A1668-1)*J1667,1)))</f>
        <v/>
      </c>
      <c r="B1672" s="65"/>
      <c r="C1672" s="66" t="str">
        <f ca="1">INDIRECT(_xlfn.TEXTJOIN("",TRUE,A1667,"!",ADDRESS(14+(A1668-1)*J1667,2)))</f>
        <v/>
      </c>
      <c r="D1672" s="66"/>
      <c r="E1672" s="66"/>
      <c r="F1672" s="66"/>
      <c r="G1672" s="66"/>
      <c r="H1672" s="25" t="str">
        <f ca="1">INDIRECT(_xlfn.TEXTJOIN("",TRUE,A1667,"!",ADDRESS(14+(A1668-1)*J1667,6)))</f>
        <v/>
      </c>
      <c r="I1672" s="25" t="str">
        <f ca="1">INDIRECT(_xlfn.TEXTJOIN("",TRUE,A1667,"!",ADDRESS(14+(A1668-1)*J1667,13)))</f>
        <v/>
      </c>
      <c r="J1672" s="25" t="e">
        <f ca="1">INDIRECT(_xlfn.TEXTJOIN("",TRUE,A1667,"!",ADDRESS(14+(A1668-1)*J1667,14)))</f>
        <v>#N/A</v>
      </c>
    </row>
    <row r="1673" spans="1:10" ht="10.5" customHeight="1" x14ac:dyDescent="0.2">
      <c r="A1673" s="65" t="str">
        <f ca="1">INDIRECT(_xlfn.TEXTJOIN("",TRUE,A1667,"!",ADDRESS(15+(A1668-1)*J1667,1)))</f>
        <v/>
      </c>
      <c r="B1673" s="65"/>
      <c r="C1673" s="66" t="str">
        <f ca="1">INDIRECT(_xlfn.TEXTJOIN("",TRUE,A1667,"!",ADDRESS(15+(A1668-1)*J1667,2)))</f>
        <v/>
      </c>
      <c r="D1673" s="66"/>
      <c r="E1673" s="66"/>
      <c r="F1673" s="66"/>
      <c r="G1673" s="66"/>
      <c r="H1673" s="25" t="str">
        <f ca="1">INDIRECT(_xlfn.TEXTJOIN("",TRUE,A1667,"!",ADDRESS(15+(A1668-1)*J1667,6)))</f>
        <v/>
      </c>
      <c r="I1673" s="25" t="str">
        <f ca="1">INDIRECT(_xlfn.TEXTJOIN("",TRUE,A1667,"!",ADDRESS(15+(A1668-1)*J1667,13)))</f>
        <v/>
      </c>
      <c r="J1673" s="25" t="e">
        <f ca="1">INDIRECT(_xlfn.TEXTJOIN("",TRUE,A1667,"!",ADDRESS(15+(A1668-1)*J1667,14)))</f>
        <v>#N/A</v>
      </c>
    </row>
    <row r="1674" spans="1:10" ht="10.5" customHeight="1" x14ac:dyDescent="0.2">
      <c r="A1674" s="65" t="str">
        <f ca="1">INDIRECT(_xlfn.TEXTJOIN("",TRUE,A1667,"!",ADDRESS(16+(A1668-1)*J1667,1)))</f>
        <v/>
      </c>
      <c r="B1674" s="65"/>
      <c r="C1674" s="66" t="str">
        <f ca="1">INDIRECT(_xlfn.TEXTJOIN("",TRUE,A1667,"!",ADDRESS(16+(A1668-1)*J1667,2)))</f>
        <v/>
      </c>
      <c r="D1674" s="66"/>
      <c r="E1674" s="66"/>
      <c r="F1674" s="66"/>
      <c r="G1674" s="66"/>
      <c r="H1674" s="25" t="str">
        <f ca="1">INDIRECT(_xlfn.TEXTJOIN("",TRUE,A1667,"!",ADDRESS(16+(A1668-1)*J1667,6)))</f>
        <v/>
      </c>
      <c r="I1674" s="25" t="str">
        <f ca="1">INDIRECT(_xlfn.TEXTJOIN("",TRUE,A1667,"!",ADDRESS(16+(A1668-1)*J1667,13)))</f>
        <v/>
      </c>
      <c r="J1674" s="25" t="e">
        <f ca="1">INDIRECT(_xlfn.TEXTJOIN("",TRUE,A1667,"!",ADDRESS(16+(A1668-1)*J1667,14)))</f>
        <v>#N/A</v>
      </c>
    </row>
    <row r="1675" spans="1:10" ht="10.5" customHeight="1" x14ac:dyDescent="0.2">
      <c r="A1675" s="65" t="str">
        <f ca="1">INDIRECT(_xlfn.TEXTJOIN("",TRUE,A1667,"!",ADDRESS(17+(A1668-1)*J1667,1)))</f>
        <v/>
      </c>
      <c r="B1675" s="65"/>
      <c r="C1675" s="66" t="str">
        <f ca="1">INDIRECT(_xlfn.TEXTJOIN("",TRUE,A1667,"!",ADDRESS(17+(A1668-1)*J1667,2)))</f>
        <v/>
      </c>
      <c r="D1675" s="66"/>
      <c r="E1675" s="66"/>
      <c r="F1675" s="66"/>
      <c r="G1675" s="66"/>
      <c r="H1675" s="25" t="str">
        <f ca="1">INDIRECT(_xlfn.TEXTJOIN("",TRUE,A1667,"!",ADDRESS(17+(A1668-1)*J1667,6)))</f>
        <v/>
      </c>
      <c r="I1675" s="25" t="str">
        <f ca="1">INDIRECT(_xlfn.TEXTJOIN("",TRUE,A1667,"!",ADDRESS(17+(A1668-1)*J1667,13)))</f>
        <v/>
      </c>
      <c r="J1675" s="25" t="e">
        <f ca="1">INDIRECT(_xlfn.TEXTJOIN("",TRUE,A1667,"!",ADDRESS(17+(A1668-1)*J1667,14)))</f>
        <v>#N/A</v>
      </c>
    </row>
    <row r="1676" spans="1:10" ht="10.5" customHeight="1" x14ac:dyDescent="0.2">
      <c r="A1676" s="65" t="str">
        <f ca="1">INDIRECT(_xlfn.TEXTJOIN("",TRUE,A1667,"!",ADDRESS(18+(A1668-1)*J1667,1)))</f>
        <v/>
      </c>
      <c r="B1676" s="65"/>
      <c r="C1676" s="66" t="str">
        <f ca="1">INDIRECT(_xlfn.TEXTJOIN("",TRUE,A1667,"!",ADDRESS(18+(A1668-1)*J1667,2)))</f>
        <v/>
      </c>
      <c r="D1676" s="66"/>
      <c r="E1676" s="66"/>
      <c r="F1676" s="66"/>
      <c r="G1676" s="66"/>
      <c r="H1676" s="25" t="str">
        <f ca="1">INDIRECT(_xlfn.TEXTJOIN("",TRUE,A1667,"!",ADDRESS(18+(A1668-1)*J1667,6)))</f>
        <v/>
      </c>
      <c r="I1676" s="25" t="str">
        <f ca="1">INDIRECT(_xlfn.TEXTJOIN("",TRUE,A1667,"!",ADDRESS(18+(A1668-1)*J1667,13)))</f>
        <v/>
      </c>
      <c r="J1676" s="25" t="e">
        <f ca="1">INDIRECT(_xlfn.TEXTJOIN("",TRUE,A1667,"!",ADDRESS(18+(A1668-1)*J1667,14)))</f>
        <v>#N/A</v>
      </c>
    </row>
    <row r="1677" spans="1:10" ht="10.5" customHeight="1" x14ac:dyDescent="0.2">
      <c r="A1677" s="60" t="str">
        <f ca="1">INDIRECT(_xlfn.TEXTJOIN("",TRUE,A1667,"!",ADDRESS(19+(A1668-1)*J1667,1)))</f>
        <v/>
      </c>
      <c r="B1677" s="61"/>
      <c r="C1677" s="57" t="str">
        <f ca="1">INDIRECT(_xlfn.TEXTJOIN("",TRUE,A1667,"!",ADDRESS(19+(A1668-1)*J1667,2)))</f>
        <v/>
      </c>
      <c r="D1677" s="58"/>
      <c r="E1677" s="58"/>
      <c r="F1677" s="58"/>
      <c r="G1677" s="59"/>
      <c r="H1677" s="25" t="str">
        <f ca="1">INDIRECT(_xlfn.TEXTJOIN("",TRUE,A1667,"!",ADDRESS(19+(A1668-1)*J1667,6)))</f>
        <v/>
      </c>
      <c r="I1677" s="25" t="str">
        <f ca="1">INDIRECT(_xlfn.TEXTJOIN("",TRUE,A1667,"!",ADDRESS(19+(A1668-1)*J1667,13)))</f>
        <v/>
      </c>
      <c r="J1677" s="25" t="e">
        <f ca="1">INDIRECT(_xlfn.TEXTJOIN("",TRUE,A1667,"!",ADDRESS(19+(A1668-1)*J1667,14)))</f>
        <v>#N/A</v>
      </c>
    </row>
    <row r="1678" spans="1:10" ht="10.5" customHeight="1" x14ac:dyDescent="0.2">
      <c r="A1678" s="65" t="str">
        <f ca="1">INDIRECT(_xlfn.TEXTJOIN("",TRUE,A1667,"!",ADDRESS(20+(A1668-1)*J1667,1)))</f>
        <v/>
      </c>
      <c r="B1678" s="65"/>
      <c r="C1678" s="66" t="str">
        <f ca="1">INDIRECT(_xlfn.TEXTJOIN("",TRUE,A1667,"!",ADDRESS(20+(A1668-1)*J1667,2)))</f>
        <v/>
      </c>
      <c r="D1678" s="66"/>
      <c r="E1678" s="66"/>
      <c r="F1678" s="66"/>
      <c r="G1678" s="66"/>
      <c r="H1678" s="25" t="str">
        <f ca="1">INDIRECT(_xlfn.TEXTJOIN("",TRUE,A1667,"!",ADDRESS(20+(A1668-1)*J1667,6)))</f>
        <v/>
      </c>
      <c r="I1678" s="25" t="str">
        <f ca="1">INDIRECT(_xlfn.TEXTJOIN("",TRUE,A1667,"!",ADDRESS(20+(A1668-1)*J1667,13)))</f>
        <v/>
      </c>
      <c r="J1678" s="25" t="e">
        <f ca="1">INDIRECT(_xlfn.TEXTJOIN("",TRUE,A1667,"!",ADDRESS(20+(A1668-1)*J1667,14)))</f>
        <v>#N/A</v>
      </c>
    </row>
    <row r="1679" spans="1:10" ht="10.5" customHeight="1" x14ac:dyDescent="0.2">
      <c r="A1679" s="65" t="str">
        <f ca="1">INDIRECT(_xlfn.TEXTJOIN("",TRUE,A1667,"!",ADDRESS(21+(A1668-1)*J1667,1)))</f>
        <v/>
      </c>
      <c r="B1679" s="65"/>
      <c r="C1679" s="66" t="str">
        <f ca="1">INDIRECT(_xlfn.TEXTJOIN("",TRUE,A1667,"!",ADDRESS(21+(A1668-1)*J1667,2)))</f>
        <v/>
      </c>
      <c r="D1679" s="66"/>
      <c r="E1679" s="66"/>
      <c r="F1679" s="66"/>
      <c r="G1679" s="66"/>
      <c r="H1679" s="25" t="str">
        <f ca="1">INDIRECT(_xlfn.TEXTJOIN("",TRUE,A1667,"!",ADDRESS(21+(A1668-1)*J1667,6)))</f>
        <v/>
      </c>
      <c r="I1679" s="25" t="str">
        <f ca="1">INDIRECT(_xlfn.TEXTJOIN("",TRUE,A1667,"!",ADDRESS(21+(A1668-1)*J1667,13)))</f>
        <v/>
      </c>
      <c r="J1679" s="25" t="e">
        <f ca="1">INDIRECT(_xlfn.TEXTJOIN("",TRUE,A1667,"!",ADDRESS(21+(A1668-1)*J1667,14)))</f>
        <v>#N/A</v>
      </c>
    </row>
    <row r="1680" spans="1:10" ht="10.5" customHeight="1" x14ac:dyDescent="0.2">
      <c r="A1680" s="65" t="str">
        <f ca="1">INDIRECT(_xlfn.TEXTJOIN("",TRUE,A1667,"!",ADDRESS(22+(A1668-1)*J1667,1)))</f>
        <v/>
      </c>
      <c r="B1680" s="65"/>
      <c r="C1680" s="66" t="str">
        <f ca="1">INDIRECT(_xlfn.TEXTJOIN("",TRUE,A1667,"!",ADDRESS(22+(A1668-1)*J1667,2)))</f>
        <v/>
      </c>
      <c r="D1680" s="66"/>
      <c r="E1680" s="66"/>
      <c r="F1680" s="66"/>
      <c r="G1680" s="66"/>
      <c r="H1680" s="25" t="str">
        <f ca="1">INDIRECT(_xlfn.TEXTJOIN("",TRUE,A1667,"!",ADDRESS(22+(A1668-1)*J1667,6)))</f>
        <v/>
      </c>
      <c r="I1680" s="25" t="str">
        <f ca="1">INDIRECT(_xlfn.TEXTJOIN("",TRUE,A1667,"!",ADDRESS(22+(A1668-1)*J1667,13)))</f>
        <v/>
      </c>
      <c r="J1680" s="25" t="e">
        <f ca="1">INDIRECT(_xlfn.TEXTJOIN("",TRUE,A1667,"!",ADDRESS(22+(A1668-1)*J1667,14)))</f>
        <v>#N/A</v>
      </c>
    </row>
    <row r="1681" spans="1:10" ht="10.5" customHeight="1" x14ac:dyDescent="0.2">
      <c r="A1681" s="65" t="str">
        <f ca="1">INDIRECT(_xlfn.TEXTJOIN("",TRUE,A1667,"!",ADDRESS(23+(A1668-1)*J1667,1)))</f>
        <v/>
      </c>
      <c r="B1681" s="65"/>
      <c r="C1681" s="66" t="str">
        <f ca="1">INDIRECT(_xlfn.TEXTJOIN("",TRUE,A1667,"!",ADDRESS(23+(A1668-1)*J1667,2)))</f>
        <v/>
      </c>
      <c r="D1681" s="66"/>
      <c r="E1681" s="66"/>
      <c r="F1681" s="66"/>
      <c r="G1681" s="66"/>
      <c r="H1681" s="25" t="str">
        <f ca="1">INDIRECT(_xlfn.TEXTJOIN("",TRUE,A1667,"!",ADDRESS(23+(A1668-1)*J1667,6)))</f>
        <v/>
      </c>
      <c r="I1681" s="25" t="str">
        <f ca="1">INDIRECT(_xlfn.TEXTJOIN("",TRUE,A1667,"!",ADDRESS(23+(A1668-1)*J1667,13)))</f>
        <v/>
      </c>
      <c r="J1681" s="25" t="e">
        <f ca="1">INDIRECT(_xlfn.TEXTJOIN("",TRUE,A1667,"!",ADDRESS(23+(A1668-1)*J1667,14)))</f>
        <v>#N/A</v>
      </c>
    </row>
    <row r="1682" spans="1:10" ht="10.5" customHeight="1" x14ac:dyDescent="0.2">
      <c r="A1682" s="65" t="str">
        <f ca="1">INDIRECT(_xlfn.TEXTJOIN("",TRUE,A1667,"!",ADDRESS(24+(A1668-1)*J1667,1)))</f>
        <v/>
      </c>
      <c r="B1682" s="65"/>
      <c r="C1682" s="66" t="str">
        <f ca="1">INDIRECT(_xlfn.TEXTJOIN("",TRUE,A1667,"!",ADDRESS(24+(A1668-1)*J1667,2)))</f>
        <v/>
      </c>
      <c r="D1682" s="66"/>
      <c r="E1682" s="66"/>
      <c r="F1682" s="66"/>
      <c r="G1682" s="66"/>
      <c r="H1682" s="25" t="str">
        <f ca="1">INDIRECT(_xlfn.TEXTJOIN("",TRUE,A1667,"!",ADDRESS(24+(A1668-1)*J1667,6)))</f>
        <v/>
      </c>
      <c r="I1682" s="25" t="str">
        <f ca="1">INDIRECT(_xlfn.TEXTJOIN("",TRUE,A1667,"!",ADDRESS(24+(A1668-1)*J1667,13)))</f>
        <v/>
      </c>
      <c r="J1682" s="25" t="e">
        <f ca="1">INDIRECT(_xlfn.TEXTJOIN("",TRUE,A1667,"!",ADDRESS(24+(A1668-1)*J1667,14)))</f>
        <v>#N/A</v>
      </c>
    </row>
    <row r="1683" spans="1:10" ht="10.5" customHeight="1" x14ac:dyDescent="0.2">
      <c r="A1683" s="65" t="str">
        <f ca="1">INDIRECT(_xlfn.TEXTJOIN("",TRUE,A1667,"!",ADDRESS(25+(A1668-1)*J1667,1)))</f>
        <v/>
      </c>
      <c r="B1683" s="65"/>
      <c r="C1683" s="66" t="str">
        <f ca="1">INDIRECT(_xlfn.TEXTJOIN("",TRUE,A1667,"!",ADDRESS(25+(A1668-1)*J1667,2)))</f>
        <v/>
      </c>
      <c r="D1683" s="66"/>
      <c r="E1683" s="66"/>
      <c r="F1683" s="66"/>
      <c r="G1683" s="66"/>
      <c r="H1683" s="25" t="str">
        <f ca="1">INDIRECT(_xlfn.TEXTJOIN("",TRUE,A1667,"!",ADDRESS(25+(A1668-1)*J1667,6)))</f>
        <v/>
      </c>
      <c r="I1683" s="25" t="str">
        <f ca="1">INDIRECT(_xlfn.TEXTJOIN("",TRUE,A1667,"!",ADDRESS(25+(A1668-1)*J1667,13)))</f>
        <v/>
      </c>
      <c r="J1683" s="25" t="e">
        <f ca="1">INDIRECT(_xlfn.TEXTJOIN("",TRUE,A1667,"!",ADDRESS(25+(A1668-1)*J1667,14)))</f>
        <v>#N/A</v>
      </c>
    </row>
    <row r="1684" spans="1:10" s="35" customFormat="1" ht="10.5" customHeight="1" x14ac:dyDescent="0.2">
      <c r="A1684" s="77" t="str">
        <f ca="1">INDIRECT(_xlfn.TEXTJOIN("",TRUE,A1667,"!",ADDRESS(26+(A1668-1)*J1667,1)))</f>
        <v/>
      </c>
      <c r="B1684" s="77"/>
      <c r="C1684" s="78" t="str">
        <f ca="1">INDIRECT(_xlfn.TEXTJOIN("",TRUE,A1667,"!",ADDRESS(26+(A1668-1)*J1667,2)))</f>
        <v/>
      </c>
      <c r="D1684" s="78"/>
      <c r="E1684" s="78"/>
      <c r="F1684" s="78"/>
      <c r="G1684" s="78"/>
      <c r="H1684" s="34" t="str">
        <f ca="1">INDIRECT(_xlfn.TEXTJOIN("",TRUE,A1667,"!",ADDRESS(26+(A1668-1)*J1667,6)))</f>
        <v/>
      </c>
      <c r="I1684" s="34" t="b">
        <f ca="1">INDIRECT(_xlfn.TEXTJOIN("",TRUE,A1667,"!",ADDRESS(26+(A1668-1)*J1667,13)))</f>
        <v>0</v>
      </c>
      <c r="J1684" s="34" t="e">
        <f ca="1">INDIRECT(_xlfn.TEXTJOIN("",TRUE,A1667,"!",ADDRESS(26+(A1668-1)*J1667,14)))</f>
        <v>#N/A</v>
      </c>
    </row>
    <row r="1685" spans="1:10" ht="10.5" customHeight="1" x14ac:dyDescent="0.2">
      <c r="A1685" s="71" t="s">
        <v>52</v>
      </c>
      <c r="B1685" s="71"/>
      <c r="C1685" s="71"/>
      <c r="D1685" s="71"/>
      <c r="E1685" s="71"/>
      <c r="F1685" s="71"/>
      <c r="G1685" s="71"/>
      <c r="H1685" s="27">
        <f ca="1">SUM(H1671:H1684)</f>
        <v>0</v>
      </c>
      <c r="I1685" s="26" t="s">
        <v>44</v>
      </c>
      <c r="J1685" s="27" t="e">
        <f ca="1">SUMPRODUCT(J1671:J1683,H1671:H1683)</f>
        <v>#N/A</v>
      </c>
    </row>
    <row r="1686" spans="1:10" ht="10.5" customHeight="1" x14ac:dyDescent="0.2">
      <c r="A1686" s="24" t="s">
        <v>57</v>
      </c>
      <c r="B1686" s="72" t="str">
        <f ca="1">IF(ISNA(A1687),"","Semester II (Spring Semester 2022-23)")</f>
        <v/>
      </c>
      <c r="C1686" s="72"/>
      <c r="D1686" s="72"/>
      <c r="E1686" s="72"/>
      <c r="F1686" s="72"/>
      <c r="G1686" s="72"/>
      <c r="H1686" s="72"/>
      <c r="I1686" s="72"/>
      <c r="J1686" s="24">
        <f>ROWS(A1690:B1699)+9</f>
        <v>19</v>
      </c>
    </row>
    <row r="1687" spans="1:10" ht="10.5" customHeight="1" x14ac:dyDescent="0.2">
      <c r="A1687" s="24" t="e">
        <f ca="1">INDEX(SEM_II!$A$6:$A$45,Marksheets!J1687)</f>
        <v>#N/A</v>
      </c>
      <c r="B1687" s="63"/>
      <c r="C1687" s="63"/>
      <c r="D1687" s="63"/>
      <c r="E1687" s="63"/>
      <c r="F1687" s="63"/>
      <c r="G1687" s="63"/>
      <c r="H1687" s="63"/>
      <c r="I1687" s="63"/>
      <c r="J1687" s="24" t="e">
        <f ca="1">MATCH(H1665,SEM_II!$B$6:$B$45,0)</f>
        <v>#N/A</v>
      </c>
    </row>
    <row r="1688" spans="1:10" ht="10.5" customHeight="1" x14ac:dyDescent="0.2">
      <c r="A1688" s="64" t="str">
        <f ca="1">IF(ISNA(A1687),"","Subject Code")</f>
        <v/>
      </c>
      <c r="B1688" s="64"/>
      <c r="C1688" s="64" t="str">
        <f ca="1">IF(ISNA(A1687),"","Subject Name")</f>
        <v/>
      </c>
      <c r="D1688" s="64"/>
      <c r="E1688" s="64"/>
      <c r="F1688" s="64"/>
      <c r="G1688" s="64"/>
      <c r="H1688" s="64" t="str">
        <f ca="1">IF(ISNA(A1687),"","Credits")</f>
        <v/>
      </c>
      <c r="I1688" s="64" t="str">
        <f ca="1">IF(ISNA(A1687),"","Grade")</f>
        <v/>
      </c>
      <c r="J1688" s="64" t="str">
        <f ca="1">IF(ISNA(A1687),"","Grade Points")</f>
        <v/>
      </c>
    </row>
    <row r="1689" spans="1:10" ht="14.5" customHeight="1" x14ac:dyDescent="0.2">
      <c r="A1689" s="64"/>
      <c r="B1689" s="64"/>
      <c r="C1689" s="64"/>
      <c r="D1689" s="64"/>
      <c r="E1689" s="64"/>
      <c r="F1689" s="64"/>
      <c r="G1689" s="64"/>
      <c r="H1689" s="64"/>
      <c r="I1689" s="64"/>
      <c r="J1689" s="64"/>
    </row>
    <row r="1690" spans="1:10" ht="10.5" customHeight="1" x14ac:dyDescent="0.2">
      <c r="A1690" s="65" t="str">
        <f ca="1">_xlfn.IFNA(INDIRECT(_xlfn.TEXTJOIN("",TRUE,A1686,"!",ADDRESS(13+(A1687-1)*J1686,1))),"")</f>
        <v/>
      </c>
      <c r="B1690" s="65"/>
      <c r="C1690" s="66" t="str">
        <f ca="1">_xlfn.IFNA(INDIRECT(_xlfn.TEXTJOIN("",TRUE,A1686,"!",ADDRESS(13+(A1687-1)*J1686,2))),"")</f>
        <v/>
      </c>
      <c r="D1690" s="66"/>
      <c r="E1690" s="66"/>
      <c r="F1690" s="66"/>
      <c r="G1690" s="66"/>
      <c r="H1690" s="25" t="str">
        <f ca="1">_xlfn.IFNA(INDIRECT(_xlfn.TEXTJOIN("",TRUE,A1686,"!",ADDRESS(13+(A1687-1)*J1686,6))),"")</f>
        <v/>
      </c>
      <c r="I1690" s="25" t="str">
        <f ca="1">_xlfn.IFNA(INDIRECT(_xlfn.TEXTJOIN("",TRUE,A1686,"!",ADDRESS(13+(A1687-1)*J1686,13))),"")</f>
        <v/>
      </c>
      <c r="J1690" s="25" t="str">
        <f ca="1">_xlfn.IFNA(INDIRECT(_xlfn.TEXTJOIN("",TRUE,A1686,"!",ADDRESS(13+(A1687-1)*J1686,14))),"")</f>
        <v/>
      </c>
    </row>
    <row r="1691" spans="1:10" ht="10.5" customHeight="1" x14ac:dyDescent="0.2">
      <c r="A1691" s="65" t="str">
        <f ca="1">_xlfn.IFNA(INDIRECT(_xlfn.TEXTJOIN("",TRUE,A1686,"!",ADDRESS(14+(A1687-1)*J1686,1))),"")</f>
        <v/>
      </c>
      <c r="B1691" s="65"/>
      <c r="C1691" s="66" t="str">
        <f ca="1">_xlfn.IFNA(INDIRECT(_xlfn.TEXTJOIN("",TRUE,A1686,"!",ADDRESS(14+(A1687-1)*J1686,2))),"")</f>
        <v/>
      </c>
      <c r="D1691" s="66"/>
      <c r="E1691" s="66"/>
      <c r="F1691" s="66"/>
      <c r="G1691" s="66"/>
      <c r="H1691" s="25" t="str">
        <f ca="1">_xlfn.IFNA(INDIRECT(_xlfn.TEXTJOIN("",TRUE,A1686,"!",ADDRESS(14+(A1687-1)*J1686,6))),"")</f>
        <v/>
      </c>
      <c r="I1691" s="25" t="str">
        <f ca="1">_xlfn.IFNA(INDIRECT(_xlfn.TEXTJOIN("",TRUE,A1686,"!",ADDRESS(14+(A1687-1)*J1686,13))),"")</f>
        <v/>
      </c>
      <c r="J1691" s="25" t="str">
        <f ca="1">_xlfn.IFNA(INDIRECT(_xlfn.TEXTJOIN("",TRUE,A1686,"!",ADDRESS(14+(A1687-1)*J1686,14))),"")</f>
        <v/>
      </c>
    </row>
    <row r="1692" spans="1:10" ht="10.5" customHeight="1" x14ac:dyDescent="0.2">
      <c r="A1692" s="65" t="str">
        <f ca="1">_xlfn.IFNA(INDIRECT(_xlfn.TEXTJOIN("",TRUE,A1686,"!",ADDRESS(15+(A1687-1)*J1686,1))),"")</f>
        <v/>
      </c>
      <c r="B1692" s="65"/>
      <c r="C1692" s="66" t="str">
        <f ca="1">_xlfn.IFNA(INDIRECT(_xlfn.TEXTJOIN("",TRUE,A1686,"!",ADDRESS(15+(A1687-1)*J1686,2))),"")</f>
        <v/>
      </c>
      <c r="D1692" s="66"/>
      <c r="E1692" s="66"/>
      <c r="F1692" s="66"/>
      <c r="G1692" s="66"/>
      <c r="H1692" s="25" t="str">
        <f ca="1">_xlfn.IFNA(INDIRECT(_xlfn.TEXTJOIN("",TRUE,A1686,"!",ADDRESS(15+(A1687-1)*J1686,6))),"")</f>
        <v/>
      </c>
      <c r="I1692" s="25" t="str">
        <f ca="1">_xlfn.IFNA(INDIRECT(_xlfn.TEXTJOIN("",TRUE,A1686,"!",ADDRESS(15+(A1687-1)*J1686,13))),"")</f>
        <v/>
      </c>
      <c r="J1692" s="25" t="str">
        <f ca="1">_xlfn.IFNA(INDIRECT(_xlfn.TEXTJOIN("",TRUE,A1686,"!",ADDRESS(15+(A1687-1)*J1686,14))),"")</f>
        <v/>
      </c>
    </row>
    <row r="1693" spans="1:10" ht="10.5" customHeight="1" x14ac:dyDescent="0.2">
      <c r="A1693" s="65" t="str">
        <f ca="1">_xlfn.IFNA(INDIRECT(_xlfn.TEXTJOIN("",TRUE,A1686,"!",ADDRESS(16+(A1687-1)*J1686,1))),"")</f>
        <v/>
      </c>
      <c r="B1693" s="65"/>
      <c r="C1693" s="66" t="str">
        <f ca="1">_xlfn.IFNA(INDIRECT(_xlfn.TEXTJOIN("",TRUE,A1686,"!",ADDRESS(16+(A1687-1)*J1686,2))),"")</f>
        <v/>
      </c>
      <c r="D1693" s="66"/>
      <c r="E1693" s="66"/>
      <c r="F1693" s="66"/>
      <c r="G1693" s="66"/>
      <c r="H1693" s="25" t="str">
        <f ca="1">_xlfn.IFNA(INDIRECT(_xlfn.TEXTJOIN("",TRUE,A1686,"!",ADDRESS(16+(A1687-1)*J1686,6))),"")</f>
        <v/>
      </c>
      <c r="I1693" s="25" t="str">
        <f ca="1">_xlfn.IFNA(INDIRECT(_xlfn.TEXTJOIN("",TRUE,A1686,"!",ADDRESS(16+(A1687-1)*J1686,13))),"")</f>
        <v/>
      </c>
      <c r="J1693" s="25" t="str">
        <f ca="1">_xlfn.IFNA(INDIRECT(_xlfn.TEXTJOIN("",TRUE,A1686,"!",ADDRESS(16+(A1687-1)*J1686,14))),"")</f>
        <v/>
      </c>
    </row>
    <row r="1694" spans="1:10" ht="10.5" customHeight="1" x14ac:dyDescent="0.2">
      <c r="A1694" s="65" t="str">
        <f ca="1">_xlfn.IFNA(INDIRECT(_xlfn.TEXTJOIN("",TRUE,A1686,"!",ADDRESS(17+(A1687-1)*J1686,1))),"")</f>
        <v/>
      </c>
      <c r="B1694" s="65"/>
      <c r="C1694" s="66" t="str">
        <f ca="1">_xlfn.IFNA(INDIRECT(_xlfn.TEXTJOIN("",TRUE,A1686,"!",ADDRESS(17+(A1687-1)*J1686,2))),"")</f>
        <v/>
      </c>
      <c r="D1694" s="66"/>
      <c r="E1694" s="66"/>
      <c r="F1694" s="66"/>
      <c r="G1694" s="66"/>
      <c r="H1694" s="25" t="str">
        <f ca="1">_xlfn.IFNA(INDIRECT(_xlfn.TEXTJOIN("",TRUE,A1686,"!",ADDRESS(17+(A1687-1)*J1686,6))),"")</f>
        <v/>
      </c>
      <c r="I1694" s="25" t="str">
        <f ca="1">_xlfn.IFNA(INDIRECT(_xlfn.TEXTJOIN("",TRUE,A1686,"!",ADDRESS(17+(A1687-1)*J1686,13))),"")</f>
        <v/>
      </c>
      <c r="J1694" s="25" t="str">
        <f ca="1">_xlfn.IFNA(INDIRECT(_xlfn.TEXTJOIN("",TRUE,A1686,"!",ADDRESS(17+(A1687-1)*J1686,14))),"")</f>
        <v/>
      </c>
    </row>
    <row r="1695" spans="1:10" ht="10.5" customHeight="1" x14ac:dyDescent="0.2">
      <c r="A1695" s="65" t="str">
        <f ca="1">_xlfn.IFNA(INDIRECT(_xlfn.TEXTJOIN("",TRUE,A1686,"!",ADDRESS(18+(A1687-1)*J1686,1))),"")</f>
        <v/>
      </c>
      <c r="B1695" s="65"/>
      <c r="C1695" s="66" t="str">
        <f ca="1">_xlfn.IFNA(INDIRECT(_xlfn.TEXTJOIN("",TRUE,A1686,"!",ADDRESS(18+(A1687-1)*J1686,2))),"")</f>
        <v/>
      </c>
      <c r="D1695" s="66"/>
      <c r="E1695" s="66"/>
      <c r="F1695" s="66"/>
      <c r="G1695" s="66"/>
      <c r="H1695" s="25" t="str">
        <f ca="1">_xlfn.IFNA(INDIRECT(_xlfn.TEXTJOIN("",TRUE,A1686,"!",ADDRESS(18+(A1687-1)*J1686,6))),"")</f>
        <v/>
      </c>
      <c r="I1695" s="25" t="str">
        <f ca="1">_xlfn.IFNA(INDIRECT(_xlfn.TEXTJOIN("",TRUE,A1686,"!",ADDRESS(18+(A1687-1)*J1686,13))),"")</f>
        <v/>
      </c>
      <c r="J1695" s="25" t="str">
        <f ca="1">_xlfn.IFNA(INDIRECT(_xlfn.TEXTJOIN("",TRUE,A1686,"!",ADDRESS(18+(A1687-1)*J1686,14))),"")</f>
        <v/>
      </c>
    </row>
    <row r="1696" spans="1:10" ht="10.5" customHeight="1" x14ac:dyDescent="0.2">
      <c r="A1696" s="60" t="str">
        <f ca="1">_xlfn.IFNA(INDIRECT(_xlfn.TEXTJOIN("",TRUE,A1686,"!",ADDRESS(19+(A1687-1)*J1686,1))),"")</f>
        <v/>
      </c>
      <c r="B1696" s="61"/>
      <c r="C1696" s="57" t="str">
        <f ca="1">_xlfn.IFNA(INDIRECT(_xlfn.TEXTJOIN("",TRUE,A1686,"!",ADDRESS(19+(A1687-1)*J1686,2))),"")</f>
        <v/>
      </c>
      <c r="D1696" s="58"/>
      <c r="E1696" s="58"/>
      <c r="F1696" s="58"/>
      <c r="G1696" s="59"/>
      <c r="H1696" s="25" t="str">
        <f ca="1">_xlfn.IFNA(INDIRECT(_xlfn.TEXTJOIN("",TRUE,A1686,"!",ADDRESS(19+(A1687-1)*J1686,6))),"")</f>
        <v/>
      </c>
      <c r="I1696" s="25" t="str">
        <f ca="1">_xlfn.IFNA(INDIRECT(_xlfn.TEXTJOIN("",TRUE,A1686,"!",ADDRESS(19+(A1687-1)*J1686,13))),"")</f>
        <v/>
      </c>
      <c r="J1696" s="25" t="str">
        <f ca="1">_xlfn.IFNA(INDIRECT(_xlfn.TEXTJOIN("",TRUE,A1686,"!",ADDRESS(19+(A1687-1)*J1686,14))),"")</f>
        <v/>
      </c>
    </row>
    <row r="1697" spans="1:10" ht="10.5" customHeight="1" x14ac:dyDescent="0.2">
      <c r="A1697" s="65" t="str">
        <f ca="1">_xlfn.IFNA(INDIRECT(_xlfn.TEXTJOIN("",TRUE,A1686,"!",ADDRESS(20+(A1687-1)*J1686,1))),"")</f>
        <v/>
      </c>
      <c r="B1697" s="65"/>
      <c r="C1697" s="66" t="str">
        <f ca="1">_xlfn.IFNA(INDIRECT(_xlfn.TEXTJOIN("",TRUE,A1686,"!",ADDRESS(20+(A1687-1)*J1686,2))),"")</f>
        <v/>
      </c>
      <c r="D1697" s="66"/>
      <c r="E1697" s="66"/>
      <c r="F1697" s="66"/>
      <c r="G1697" s="66"/>
      <c r="H1697" s="25" t="str">
        <f ca="1">_xlfn.IFNA(INDIRECT(_xlfn.TEXTJOIN("",TRUE,A1686,"!",ADDRESS(20+(A1687-1)*J1686,6))),"")</f>
        <v/>
      </c>
      <c r="I1697" s="25" t="str">
        <f ca="1">_xlfn.IFNA(INDIRECT(_xlfn.TEXTJOIN("",TRUE,A1686,"!",ADDRESS(20+(A1687-1)*J1686,13))),"")</f>
        <v/>
      </c>
      <c r="J1697" s="25" t="str">
        <f ca="1">_xlfn.IFNA(INDIRECT(_xlfn.TEXTJOIN("",TRUE,A1686,"!",ADDRESS(20+(A1687-1)*J1686,14))),"")</f>
        <v/>
      </c>
    </row>
    <row r="1698" spans="1:10" ht="10.5" customHeight="1" x14ac:dyDescent="0.2">
      <c r="A1698" s="65" t="str">
        <f ca="1">_xlfn.IFNA(INDIRECT(_xlfn.TEXTJOIN("",TRUE,A1686,"!",ADDRESS(21+(A1687-1)*J1686,1))),"")</f>
        <v/>
      </c>
      <c r="B1698" s="65"/>
      <c r="C1698" s="66" t="str">
        <f ca="1">_xlfn.IFNA(INDIRECT(_xlfn.TEXTJOIN("",TRUE,A1686,"!",ADDRESS(21+(A1687-1)*J1686,2))),"")</f>
        <v/>
      </c>
      <c r="D1698" s="66"/>
      <c r="E1698" s="66"/>
      <c r="F1698" s="66"/>
      <c r="G1698" s="66"/>
      <c r="H1698" s="25" t="str">
        <f ca="1">_xlfn.IFNA(INDIRECT(_xlfn.TEXTJOIN("",TRUE,A1686,"!",ADDRESS(21+(A1687-1)*J1686,6))),"")</f>
        <v/>
      </c>
      <c r="I1698" s="25" t="str">
        <f ca="1">_xlfn.IFNA(INDIRECT(_xlfn.TEXTJOIN("",TRUE,A1686,"!",ADDRESS(21+(A1687-1)*J1686,13))),"")</f>
        <v/>
      </c>
      <c r="J1698" s="25" t="str">
        <f ca="1">_xlfn.IFNA(INDIRECT(_xlfn.TEXTJOIN("",TRUE,A1686,"!",ADDRESS(21+(A1687-1)*J1686,14))),"")</f>
        <v/>
      </c>
    </row>
    <row r="1699" spans="1:10" ht="10.5" customHeight="1" x14ac:dyDescent="0.2">
      <c r="A1699" s="65" t="str">
        <f ca="1">_xlfn.IFNA(INDIRECT(_xlfn.TEXTJOIN("",TRUE,A1686,"!",ADDRESS(22+(A1687-1)*J1686,1))),"")</f>
        <v/>
      </c>
      <c r="B1699" s="65"/>
      <c r="C1699" s="66" t="str">
        <f ca="1">_xlfn.IFNA(INDIRECT(_xlfn.TEXTJOIN("",TRUE,A1686,"!",ADDRESS(22+(A1687-1)*J1686,2))),"")</f>
        <v/>
      </c>
      <c r="D1699" s="66"/>
      <c r="E1699" s="66"/>
      <c r="F1699" s="66"/>
      <c r="G1699" s="66"/>
      <c r="H1699" s="25" t="str">
        <f ca="1">_xlfn.IFNA(INDIRECT(_xlfn.TEXTJOIN("",TRUE,A1686,"!",ADDRESS(22+(A1687-1)*J1686,6))),"")</f>
        <v/>
      </c>
      <c r="I1699" s="25" t="str">
        <f ca="1">_xlfn.IFNA(INDIRECT(_xlfn.TEXTJOIN("",TRUE,A1686,"!",ADDRESS(22+(A1687-1)*J1686,13))),"")</f>
        <v/>
      </c>
      <c r="J1699" s="25" t="str">
        <f ca="1">_xlfn.IFNA(INDIRECT(_xlfn.TEXTJOIN("",TRUE,A1686,"!",ADDRESS(22+(A1687-1)*J1686,14))),"")</f>
        <v/>
      </c>
    </row>
    <row r="1700" spans="1:10" ht="10.5" customHeight="1" x14ac:dyDescent="0.2">
      <c r="A1700" s="71" t="str">
        <f ca="1">IF(ISNA(A1687),"","Total Credits/ Total Grade Points")</f>
        <v/>
      </c>
      <c r="B1700" s="71"/>
      <c r="C1700" s="71"/>
      <c r="D1700" s="71"/>
      <c r="E1700" s="71"/>
      <c r="F1700" s="71"/>
      <c r="G1700" s="71"/>
      <c r="H1700" s="27" t="str">
        <f ca="1">IF(ISNA(A1687),"",SUM(H1690:H1699))</f>
        <v/>
      </c>
      <c r="I1700" s="26" t="str">
        <f ca="1">IF(ISNA(A1687),"","-")</f>
        <v/>
      </c>
      <c r="J1700" s="27" t="str">
        <f ca="1">IF(ISNA(A1687),"",SUMPRODUCT(J1690:J1699,H1690:H1699))</f>
        <v/>
      </c>
    </row>
    <row r="1701" spans="1:10" ht="10.5" customHeight="1" x14ac:dyDescent="0.2">
      <c r="A1701" s="24" t="s">
        <v>60</v>
      </c>
      <c r="B1701" s="72" t="str">
        <f ca="1">IF(ISNA(A1702),"","Semester III (Autumn Semester 2023-24)")</f>
        <v/>
      </c>
      <c r="C1701" s="72"/>
      <c r="D1701" s="72"/>
      <c r="E1701" s="72"/>
      <c r="F1701" s="72"/>
      <c r="G1701" s="72"/>
      <c r="H1701" s="72"/>
      <c r="I1701" s="72"/>
      <c r="J1701" s="24">
        <f>ROWS(A1705:B1712)+9</f>
        <v>17</v>
      </c>
    </row>
    <row r="1702" spans="1:10" ht="10.5" customHeight="1" x14ac:dyDescent="0.2">
      <c r="A1702" s="24" t="e">
        <f ca="1">INDEX(SEM_III!$A$6:$A$43,Marksheets!J1702)</f>
        <v>#N/A</v>
      </c>
      <c r="B1702" s="63"/>
      <c r="C1702" s="63"/>
      <c r="D1702" s="63"/>
      <c r="E1702" s="63"/>
      <c r="F1702" s="63"/>
      <c r="G1702" s="63"/>
      <c r="H1702" s="63"/>
      <c r="I1702" s="63"/>
      <c r="J1702" s="24" t="e">
        <f ca="1">MATCH(H1665,SEM_III!$B$6:$B$43,0)</f>
        <v>#N/A</v>
      </c>
    </row>
    <row r="1703" spans="1:10" ht="10.5" customHeight="1" x14ac:dyDescent="0.2">
      <c r="A1703" s="64" t="str">
        <f ca="1">IF(ISNA(A1702),"","Subject Code")</f>
        <v/>
      </c>
      <c r="B1703" s="64"/>
      <c r="C1703" s="64" t="str">
        <f ca="1">IF(ISNA(A1702),"","Subject Name")</f>
        <v/>
      </c>
      <c r="D1703" s="64"/>
      <c r="E1703" s="64"/>
      <c r="F1703" s="64"/>
      <c r="G1703" s="64"/>
      <c r="H1703" s="64" t="str">
        <f ca="1">IF(ISNA(A1702),"","Credits")</f>
        <v/>
      </c>
      <c r="I1703" s="64" t="str">
        <f ca="1">IF(ISNA(A1702),"","Grade")</f>
        <v/>
      </c>
      <c r="J1703" s="64" t="str">
        <f ca="1">IF(ISNA(A1702),"","Grade Points")</f>
        <v/>
      </c>
    </row>
    <row r="1704" spans="1:10" ht="13.5" customHeight="1" x14ac:dyDescent="0.2">
      <c r="A1704" s="64"/>
      <c r="B1704" s="64"/>
      <c r="C1704" s="64"/>
      <c r="D1704" s="64"/>
      <c r="E1704" s="64"/>
      <c r="F1704" s="64"/>
      <c r="G1704" s="64"/>
      <c r="H1704" s="64"/>
      <c r="I1704" s="64"/>
      <c r="J1704" s="64"/>
    </row>
    <row r="1705" spans="1:10" ht="10.5" customHeight="1" x14ac:dyDescent="0.2">
      <c r="A1705" s="65" t="str">
        <f ca="1">_xlfn.IFNA(INDIRECT(_xlfn.TEXTJOIN("",TRUE,A1701,"!",ADDRESS(13+(A1702-1)*J1701,1))),"")</f>
        <v/>
      </c>
      <c r="B1705" s="65"/>
      <c r="C1705" s="66" t="str">
        <f ca="1">_xlfn.IFNA(INDIRECT(_xlfn.TEXTJOIN("",TRUE,A1701,"!",ADDRESS(13+(A1702-1)*J1701,2))),"")</f>
        <v/>
      </c>
      <c r="D1705" s="66"/>
      <c r="E1705" s="66"/>
      <c r="F1705" s="66"/>
      <c r="G1705" s="66"/>
      <c r="H1705" s="25" t="str">
        <f ca="1">_xlfn.IFNA(INDIRECT(_xlfn.TEXTJOIN("",TRUE,A1701,"!",ADDRESS(13+(A1702-1)*J1701,6))),"")</f>
        <v/>
      </c>
      <c r="I1705" s="25" t="str">
        <f ca="1">_xlfn.IFNA(INDIRECT(_xlfn.TEXTJOIN("",TRUE,A1701,"!",ADDRESS(13+(A1702-1)*J1701,13))),"")</f>
        <v/>
      </c>
      <c r="J1705" s="25" t="str">
        <f ca="1">_xlfn.IFNA(INDIRECT(_xlfn.TEXTJOIN("",TRUE,A1701,"!",ADDRESS(13+(A1702-1)*J1701,14))),"")</f>
        <v/>
      </c>
    </row>
    <row r="1706" spans="1:10" ht="10.5" customHeight="1" x14ac:dyDescent="0.2">
      <c r="A1706" s="65" t="str">
        <f ca="1">_xlfn.IFNA(INDIRECT(_xlfn.TEXTJOIN("",TRUE,A1701,"!",ADDRESS(14+(A1702-1)*J1701,1))),"")</f>
        <v/>
      </c>
      <c r="B1706" s="65"/>
      <c r="C1706" s="66" t="str">
        <f ca="1">_xlfn.IFNA(INDIRECT(_xlfn.TEXTJOIN("",TRUE,A1701,"!",ADDRESS(14+(A1702-1)*J1701,2))),"")</f>
        <v/>
      </c>
      <c r="D1706" s="66"/>
      <c r="E1706" s="66"/>
      <c r="F1706" s="66"/>
      <c r="G1706" s="66"/>
      <c r="H1706" s="25" t="str">
        <f ca="1">_xlfn.IFNA(INDIRECT(_xlfn.TEXTJOIN("",TRUE,A1701,"!",ADDRESS(14+(A1702-1)*J1701,6))),"")</f>
        <v/>
      </c>
      <c r="I1706" s="25" t="str">
        <f ca="1">_xlfn.IFNA(INDIRECT(_xlfn.TEXTJOIN("",TRUE,A1701,"!",ADDRESS(14+(A1702-1)*J1701,13))),"")</f>
        <v/>
      </c>
      <c r="J1706" s="25" t="str">
        <f ca="1">_xlfn.IFNA(INDIRECT(_xlfn.TEXTJOIN("",TRUE,A1701,"!",ADDRESS(14+(A1702-1)*J1701,14))),"")</f>
        <v/>
      </c>
    </row>
    <row r="1707" spans="1:10" ht="10.5" customHeight="1" x14ac:dyDescent="0.2">
      <c r="A1707" s="65" t="str">
        <f ca="1">_xlfn.IFNA(INDIRECT(_xlfn.TEXTJOIN("",TRUE,A1701,"!",ADDRESS(15+(A1702-1)*J1701,1))),"")</f>
        <v/>
      </c>
      <c r="B1707" s="65"/>
      <c r="C1707" s="66" t="str">
        <f ca="1">_xlfn.IFNA(INDIRECT(_xlfn.TEXTJOIN("",TRUE,A1701,"!",ADDRESS(15+(A1702-1)*J1701,2))),"")</f>
        <v/>
      </c>
      <c r="D1707" s="66"/>
      <c r="E1707" s="66"/>
      <c r="F1707" s="66"/>
      <c r="G1707" s="66"/>
      <c r="H1707" s="25" t="str">
        <f ca="1">_xlfn.IFNA(INDIRECT(_xlfn.TEXTJOIN("",TRUE,A1701,"!",ADDRESS(15+(A1702-1)*J1701,6))),"")</f>
        <v/>
      </c>
      <c r="I1707" s="25" t="str">
        <f ca="1">_xlfn.IFNA(INDIRECT(_xlfn.TEXTJOIN("",TRUE,A1701,"!",ADDRESS(15+(A1702-1)*J1701,13))),"")</f>
        <v/>
      </c>
      <c r="J1707" s="25" t="str">
        <f ca="1">_xlfn.IFNA(INDIRECT(_xlfn.TEXTJOIN("",TRUE,A1701,"!",ADDRESS(15+(A1702-1)*J1701,14))),"")</f>
        <v/>
      </c>
    </row>
    <row r="1708" spans="1:10" ht="10.5" customHeight="1" x14ac:dyDescent="0.2">
      <c r="A1708" s="65" t="str">
        <f ca="1">_xlfn.IFNA(INDIRECT(_xlfn.TEXTJOIN("",TRUE,A1701,"!",ADDRESS(16+(A1702-1)*J1701,1))),"")</f>
        <v/>
      </c>
      <c r="B1708" s="65"/>
      <c r="C1708" s="66" t="str">
        <f ca="1">_xlfn.IFNA(INDIRECT(_xlfn.TEXTJOIN("",TRUE,A1701,"!",ADDRESS(16+(A1702-1)*J1701,2))),"")</f>
        <v/>
      </c>
      <c r="D1708" s="66"/>
      <c r="E1708" s="66"/>
      <c r="F1708" s="66"/>
      <c r="G1708" s="66"/>
      <c r="H1708" s="25" t="str">
        <f ca="1">_xlfn.IFNA(INDIRECT(_xlfn.TEXTJOIN("",TRUE,A1701,"!",ADDRESS(16+(A1702-1)*J1701,6))),"")</f>
        <v/>
      </c>
      <c r="I1708" s="25" t="str">
        <f ca="1">_xlfn.IFNA(INDIRECT(_xlfn.TEXTJOIN("",TRUE,A1701,"!",ADDRESS(16+(A1702-1)*J1701,13))),"")</f>
        <v/>
      </c>
      <c r="J1708" s="25" t="str">
        <f ca="1">_xlfn.IFNA(INDIRECT(_xlfn.TEXTJOIN("",TRUE,A1701,"!",ADDRESS(16+(A1702-1)*J1701,14))),"")</f>
        <v/>
      </c>
    </row>
    <row r="1709" spans="1:10" ht="10.5" customHeight="1" x14ac:dyDescent="0.2">
      <c r="A1709" s="65" t="str">
        <f ca="1">_xlfn.IFNA(INDIRECT(_xlfn.TEXTJOIN("",TRUE,A1701,"!",ADDRESS(17+(A1702-1)*J1701,1))),"")</f>
        <v/>
      </c>
      <c r="B1709" s="65"/>
      <c r="C1709" s="66" t="str">
        <f ca="1">_xlfn.IFNA(INDIRECT(_xlfn.TEXTJOIN("",TRUE,A1701,"!",ADDRESS(17+(A1702-1)*J1701,2))),"")</f>
        <v/>
      </c>
      <c r="D1709" s="66"/>
      <c r="E1709" s="66"/>
      <c r="F1709" s="66"/>
      <c r="G1709" s="66"/>
      <c r="H1709" s="25" t="str">
        <f ca="1">_xlfn.IFNA(INDIRECT(_xlfn.TEXTJOIN("",TRUE,A1701,"!",ADDRESS(17+(A1702-1)*J1701,6))),"")</f>
        <v/>
      </c>
      <c r="I1709" s="25" t="str">
        <f ca="1">_xlfn.IFNA(INDIRECT(_xlfn.TEXTJOIN("",TRUE,A1701,"!",ADDRESS(17+(A1702-1)*J1701,13))),"")</f>
        <v/>
      </c>
      <c r="J1709" s="25" t="str">
        <f ca="1">_xlfn.IFNA(INDIRECT(_xlfn.TEXTJOIN("",TRUE,A1701,"!",ADDRESS(17+(A1702-1)*J1701,14))),"")</f>
        <v/>
      </c>
    </row>
    <row r="1710" spans="1:10" ht="10.5" customHeight="1" x14ac:dyDescent="0.2">
      <c r="A1710" s="65" t="str">
        <f ca="1">_xlfn.IFNA(INDIRECT(_xlfn.TEXTJOIN("",TRUE,A1701,"!",ADDRESS(18+(A1702-1)*J1701,1))),"")</f>
        <v/>
      </c>
      <c r="B1710" s="65"/>
      <c r="C1710" s="66" t="str">
        <f ca="1">_xlfn.IFNA(INDIRECT(_xlfn.TEXTJOIN("",TRUE,A1701,"!",ADDRESS(18+(A1702-1)*J1701,2))),"")</f>
        <v/>
      </c>
      <c r="D1710" s="66"/>
      <c r="E1710" s="66"/>
      <c r="F1710" s="66"/>
      <c r="G1710" s="66"/>
      <c r="H1710" s="25" t="str">
        <f ca="1">_xlfn.IFNA(INDIRECT(_xlfn.TEXTJOIN("",TRUE,A1701,"!",ADDRESS(18+(A1702-1)*J1701,6))),"")</f>
        <v/>
      </c>
      <c r="I1710" s="25" t="str">
        <f ca="1">_xlfn.IFNA(INDIRECT(_xlfn.TEXTJOIN("",TRUE,A1701,"!",ADDRESS(18+(A1702-1)*J1701,13))),"")</f>
        <v/>
      </c>
      <c r="J1710" s="25" t="str">
        <f ca="1">_xlfn.IFNA(INDIRECT(_xlfn.TEXTJOIN("",TRUE,A1701,"!",ADDRESS(18+(A1702-1)*J1701,14))),"")</f>
        <v/>
      </c>
    </row>
    <row r="1711" spans="1:10" ht="10.5" customHeight="1" x14ac:dyDescent="0.2">
      <c r="A1711" s="60" t="str">
        <f ca="1">_xlfn.IFNA(INDIRECT(_xlfn.TEXTJOIN("",TRUE,A1701,"!",ADDRESS(19+(A1702-1)*J1701,1))),"")</f>
        <v/>
      </c>
      <c r="B1711" s="61"/>
      <c r="C1711" s="57" t="str">
        <f ca="1">_xlfn.IFNA(INDIRECT(_xlfn.TEXTJOIN("",TRUE,A1701,"!",ADDRESS(19+(A1702-1)*J1701,2))),"")</f>
        <v/>
      </c>
      <c r="D1711" s="58"/>
      <c r="E1711" s="58"/>
      <c r="F1711" s="58"/>
      <c r="G1711" s="59"/>
      <c r="H1711" s="25" t="str">
        <f ca="1">_xlfn.IFNA(INDIRECT(_xlfn.TEXTJOIN("",TRUE,A1701,"!",ADDRESS(19+(A1702-1)*J1701,6))),"")</f>
        <v/>
      </c>
      <c r="I1711" s="25" t="str">
        <f ca="1">_xlfn.IFNA(INDIRECT(_xlfn.TEXTJOIN("",TRUE,A1701,"!",ADDRESS(19+(A1702-1)*J1701,13))),"")</f>
        <v/>
      </c>
      <c r="J1711" s="25" t="str">
        <f ca="1">_xlfn.IFNA(INDIRECT(_xlfn.TEXTJOIN("",TRUE,A1701,"!",ADDRESS(19+(A1702-1)*J1701,14))),"")</f>
        <v/>
      </c>
    </row>
    <row r="1712" spans="1:10" ht="10.5" customHeight="1" x14ac:dyDescent="0.2">
      <c r="A1712" s="65" t="str">
        <f ca="1">_xlfn.IFNA(INDIRECT(_xlfn.TEXTJOIN("",TRUE,A1701,"!",ADDRESS(20+(A1702-1)*J1701,1))),"")</f>
        <v/>
      </c>
      <c r="B1712" s="65"/>
      <c r="C1712" s="66" t="str">
        <f ca="1">_xlfn.IFNA(INDIRECT(_xlfn.TEXTJOIN("",TRUE,A1701,"!",ADDRESS(20+(A1702-1)*J1701,2))),"")</f>
        <v/>
      </c>
      <c r="D1712" s="66"/>
      <c r="E1712" s="66"/>
      <c r="F1712" s="66"/>
      <c r="G1712" s="66"/>
      <c r="H1712" s="25" t="str">
        <f ca="1">_xlfn.IFNA(INDIRECT(_xlfn.TEXTJOIN("",TRUE,A1701,"!",ADDRESS(20+(A1702-1)*J1701,6))),"")</f>
        <v/>
      </c>
      <c r="I1712" s="25" t="str">
        <f ca="1">_xlfn.IFNA(INDIRECT(_xlfn.TEXTJOIN("",TRUE,A1701,"!",ADDRESS(20+(A1702-1)*J1701,13))),"")</f>
        <v/>
      </c>
      <c r="J1712" s="25" t="str">
        <f ca="1">_xlfn.IFNA(INDIRECT(_xlfn.TEXTJOIN("",TRUE,A1701,"!",ADDRESS(20+(A1702-1)*J1701,14))),"")</f>
        <v/>
      </c>
    </row>
    <row r="1713" spans="1:10" ht="10.5" customHeight="1" x14ac:dyDescent="0.2">
      <c r="A1713" s="71" t="str">
        <f ca="1">IF(ISNA(A1702),"","Total Credits/ Total Grade Points")</f>
        <v/>
      </c>
      <c r="B1713" s="71"/>
      <c r="C1713" s="71"/>
      <c r="D1713" s="71"/>
      <c r="E1713" s="71"/>
      <c r="F1713" s="71"/>
      <c r="G1713" s="71"/>
      <c r="H1713" s="27" t="str">
        <f ca="1">IF(ISNA(A1702),"",SUM(H1705:H1712))</f>
        <v/>
      </c>
      <c r="I1713" s="26" t="str">
        <f ca="1">IF(ISNA(A1702),"","-")</f>
        <v/>
      </c>
      <c r="J1713" s="27" t="str">
        <f ca="1">IF(ISNA(A1702),"",SUMPRODUCT(J1705:J1712,H1705:H1712))</f>
        <v/>
      </c>
    </row>
    <row r="1714" spans="1:10" ht="10.5" customHeight="1" x14ac:dyDescent="0.2">
      <c r="A1714" s="24" t="s">
        <v>133</v>
      </c>
      <c r="B1714" s="72" t="str">
        <f ca="1">IF(ISNA(A1715),"","Semester IV (Spring Semester 2023-24)")</f>
        <v/>
      </c>
      <c r="C1714" s="72"/>
      <c r="D1714" s="72"/>
      <c r="E1714" s="72"/>
      <c r="F1714" s="72"/>
      <c r="G1714" s="72"/>
      <c r="H1714" s="72"/>
      <c r="I1714" s="72"/>
      <c r="J1714" s="24">
        <f>ROWS(A1718:B1724)+9</f>
        <v>16</v>
      </c>
    </row>
    <row r="1715" spans="1:10" ht="10.5" customHeight="1" x14ac:dyDescent="0.2">
      <c r="A1715" s="24" t="e">
        <f ca="1">INDEX(SEM_IV!$A$6:$A$43,Marksheets!J1715)</f>
        <v>#N/A</v>
      </c>
      <c r="B1715" s="63"/>
      <c r="C1715" s="63"/>
      <c r="D1715" s="63"/>
      <c r="E1715" s="63"/>
      <c r="F1715" s="63"/>
      <c r="G1715" s="63"/>
      <c r="H1715" s="63"/>
      <c r="I1715" s="63"/>
      <c r="J1715" s="24" t="e">
        <f ca="1">MATCH(H1665,SEM_IV!$B$6:$B$43,0)</f>
        <v>#N/A</v>
      </c>
    </row>
    <row r="1716" spans="1:10" ht="10.5" customHeight="1" x14ac:dyDescent="0.2">
      <c r="A1716" s="64" t="str">
        <f ca="1">IF(ISNA(A1715),"","Subject Code")</f>
        <v/>
      </c>
      <c r="B1716" s="64"/>
      <c r="C1716" s="64" t="str">
        <f ca="1">IF(ISNA(A1715),"","Subject Name")</f>
        <v/>
      </c>
      <c r="D1716" s="64"/>
      <c r="E1716" s="64"/>
      <c r="F1716" s="64"/>
      <c r="G1716" s="64"/>
      <c r="H1716" s="64" t="str">
        <f ca="1">IF(ISNA(A1715),"","Credits")</f>
        <v/>
      </c>
      <c r="I1716" s="64" t="str">
        <f ca="1">IF(ISNA(A1715),"","Grade")</f>
        <v/>
      </c>
      <c r="J1716" s="64" t="str">
        <f ca="1">IF(ISNA(A1715),"","Grade Points")</f>
        <v/>
      </c>
    </row>
    <row r="1717" spans="1:10" ht="12.5" customHeight="1" x14ac:dyDescent="0.2">
      <c r="A1717" s="64"/>
      <c r="B1717" s="64"/>
      <c r="C1717" s="64"/>
      <c r="D1717" s="64"/>
      <c r="E1717" s="64"/>
      <c r="F1717" s="64"/>
      <c r="G1717" s="64"/>
      <c r="H1717" s="64"/>
      <c r="I1717" s="64"/>
      <c r="J1717" s="64"/>
    </row>
    <row r="1718" spans="1:10" ht="10.5" customHeight="1" x14ac:dyDescent="0.2">
      <c r="A1718" s="65" t="str">
        <f ca="1">_xlfn.IFNA(INDIRECT(_xlfn.TEXTJOIN("",TRUE,A1714,"!",ADDRESS(13+(A1715-1)*J1714,1))),"")</f>
        <v/>
      </c>
      <c r="B1718" s="65"/>
      <c r="C1718" s="66" t="str">
        <f ca="1">_xlfn.IFNA(INDIRECT(_xlfn.TEXTJOIN("",TRUE,A1714,"!",ADDRESS(13+(A1715-1)*J1714,2))),"")</f>
        <v/>
      </c>
      <c r="D1718" s="66"/>
      <c r="E1718" s="66"/>
      <c r="F1718" s="66"/>
      <c r="G1718" s="66"/>
      <c r="H1718" s="25" t="str">
        <f ca="1">_xlfn.IFNA(INDIRECT(_xlfn.TEXTJOIN("",TRUE,A1714,"!",ADDRESS(13+(A1715-1)*J1714,6))),"")</f>
        <v/>
      </c>
      <c r="I1718" s="25" t="str">
        <f ca="1">_xlfn.IFNA(INDIRECT(_xlfn.TEXTJOIN("",TRUE,A1714,"!",ADDRESS(13+(A1715-1)*J1714,13))),"")</f>
        <v/>
      </c>
      <c r="J1718" s="25" t="str">
        <f ca="1">_xlfn.IFNA(INDIRECT(_xlfn.TEXTJOIN("",TRUE,A1714,"!",ADDRESS(13+(A1715-1)*J1714,14))),"")</f>
        <v/>
      </c>
    </row>
    <row r="1719" spans="1:10" ht="10.5" customHeight="1" x14ac:dyDescent="0.2">
      <c r="A1719" s="65" t="str">
        <f ca="1">_xlfn.IFNA(INDIRECT(_xlfn.TEXTJOIN("",TRUE,A1714,"!",ADDRESS(14+(A1715-1)*J1714,1))),"")</f>
        <v/>
      </c>
      <c r="B1719" s="65"/>
      <c r="C1719" s="66" t="str">
        <f ca="1">_xlfn.IFNA(INDIRECT(_xlfn.TEXTJOIN("",TRUE,A1714,"!",ADDRESS(14+(A1715-1)*J1714,2))),"")</f>
        <v/>
      </c>
      <c r="D1719" s="66"/>
      <c r="E1719" s="66"/>
      <c r="F1719" s="66"/>
      <c r="G1719" s="66"/>
      <c r="H1719" s="25" t="str">
        <f ca="1">_xlfn.IFNA(INDIRECT(_xlfn.TEXTJOIN("",TRUE,A1714,"!",ADDRESS(14+(A1715-1)*J1714,6))),"")</f>
        <v/>
      </c>
      <c r="I1719" s="25" t="str">
        <f ca="1">_xlfn.IFNA(INDIRECT(_xlfn.TEXTJOIN("",TRUE,A1714,"!",ADDRESS(14+(A1715-1)*J1714,13))),"")</f>
        <v/>
      </c>
      <c r="J1719" s="25" t="str">
        <f ca="1">_xlfn.IFNA(INDIRECT(_xlfn.TEXTJOIN("",TRUE,A1714,"!",ADDRESS(14+(A1715-1)*J1714,14))),"")</f>
        <v/>
      </c>
    </row>
    <row r="1720" spans="1:10" ht="10.5" customHeight="1" x14ac:dyDescent="0.2">
      <c r="A1720" s="65" t="str">
        <f ca="1">_xlfn.IFNA(INDIRECT(_xlfn.TEXTJOIN("",TRUE,A1714,"!",ADDRESS(15+(A1715-1)*J1714,1))),"")</f>
        <v/>
      </c>
      <c r="B1720" s="65"/>
      <c r="C1720" s="66" t="str">
        <f ca="1">_xlfn.IFNA(INDIRECT(_xlfn.TEXTJOIN("",TRUE,A1714,"!",ADDRESS(15+(A1715-1)*J1714,2))),"")</f>
        <v/>
      </c>
      <c r="D1720" s="66"/>
      <c r="E1720" s="66"/>
      <c r="F1720" s="66"/>
      <c r="G1720" s="66"/>
      <c r="H1720" s="25" t="str">
        <f ca="1">_xlfn.IFNA(INDIRECT(_xlfn.TEXTJOIN("",TRUE,A1714,"!",ADDRESS(15+(A1715-1)*J1714,6))),"")</f>
        <v/>
      </c>
      <c r="I1720" s="25" t="str">
        <f ca="1">_xlfn.IFNA(INDIRECT(_xlfn.TEXTJOIN("",TRUE,A1714,"!",ADDRESS(15+(A1715-1)*J1714,13))),"")</f>
        <v/>
      </c>
      <c r="J1720" s="25" t="str">
        <f ca="1">_xlfn.IFNA(INDIRECT(_xlfn.TEXTJOIN("",TRUE,A1714,"!",ADDRESS(15+(A1715-1)*J1714,14))),"")</f>
        <v/>
      </c>
    </row>
    <row r="1721" spans="1:10" ht="10.5" customHeight="1" x14ac:dyDescent="0.2">
      <c r="A1721" s="65" t="str">
        <f ca="1">_xlfn.IFNA(INDIRECT(_xlfn.TEXTJOIN("",TRUE,A1714,"!",ADDRESS(16+(A1715-1)*J1714,1))),"")</f>
        <v/>
      </c>
      <c r="B1721" s="65"/>
      <c r="C1721" s="66" t="str">
        <f ca="1">_xlfn.IFNA(INDIRECT(_xlfn.TEXTJOIN("",TRUE,A1714,"!",ADDRESS(16+(A1715-1)*J1714,2))),"")</f>
        <v/>
      </c>
      <c r="D1721" s="66"/>
      <c r="E1721" s="66"/>
      <c r="F1721" s="66"/>
      <c r="G1721" s="66"/>
      <c r="H1721" s="25" t="str">
        <f ca="1">_xlfn.IFNA(INDIRECT(_xlfn.TEXTJOIN("",TRUE,A1714,"!",ADDRESS(16+(A1715-1)*J1714,6))),"")</f>
        <v/>
      </c>
      <c r="I1721" s="25" t="str">
        <f ca="1">_xlfn.IFNA(INDIRECT(_xlfn.TEXTJOIN("",TRUE,A1714,"!",ADDRESS(16+(A1715-1)*J1714,13))),"")</f>
        <v/>
      </c>
      <c r="J1721" s="25" t="str">
        <f ca="1">_xlfn.IFNA(INDIRECT(_xlfn.TEXTJOIN("",TRUE,A1714,"!",ADDRESS(16+(A1715-1)*J1714,14))),"")</f>
        <v/>
      </c>
    </row>
    <row r="1722" spans="1:10" ht="10.5" customHeight="1" x14ac:dyDescent="0.2">
      <c r="A1722" s="65" t="str">
        <f ca="1">_xlfn.IFNA(INDIRECT(_xlfn.TEXTJOIN("",TRUE,A1714,"!",ADDRESS(17+(A1715-1)*J1714,1))),"")</f>
        <v/>
      </c>
      <c r="B1722" s="65"/>
      <c r="C1722" s="66" t="str">
        <f ca="1">_xlfn.IFNA(INDIRECT(_xlfn.TEXTJOIN("",TRUE,A1714,"!",ADDRESS(17+(A1715-1)*J1714,2))),"")</f>
        <v/>
      </c>
      <c r="D1722" s="66"/>
      <c r="E1722" s="66"/>
      <c r="F1722" s="66"/>
      <c r="G1722" s="66"/>
      <c r="H1722" s="25" t="str">
        <f ca="1">_xlfn.IFNA(INDIRECT(_xlfn.TEXTJOIN("",TRUE,A1714,"!",ADDRESS(17+(A1715-1)*J1714,6))),"")</f>
        <v/>
      </c>
      <c r="I1722" s="25" t="str">
        <f ca="1">_xlfn.IFNA(INDIRECT(_xlfn.TEXTJOIN("",TRUE,A1714,"!",ADDRESS(17+(A1715-1)*J1714,13))),"")</f>
        <v/>
      </c>
      <c r="J1722" s="25" t="str">
        <f ca="1">_xlfn.IFNA(INDIRECT(_xlfn.TEXTJOIN("",TRUE,A1714,"!",ADDRESS(17+(A1715-1)*J1714,14))),"")</f>
        <v/>
      </c>
    </row>
    <row r="1723" spans="1:10" ht="10.5" customHeight="1" x14ac:dyDescent="0.2">
      <c r="A1723" s="65" t="str">
        <f ca="1">_xlfn.IFNA(INDIRECT(_xlfn.TEXTJOIN("",TRUE,A1714,"!",ADDRESS(18+(A1715-1)*J1714,1))),"")</f>
        <v/>
      </c>
      <c r="B1723" s="65"/>
      <c r="C1723" s="66" t="str">
        <f ca="1">_xlfn.IFNA(INDIRECT(_xlfn.TEXTJOIN("",TRUE,A1714,"!",ADDRESS(18+(A1715-1)*J1714,2))),"")</f>
        <v/>
      </c>
      <c r="D1723" s="66"/>
      <c r="E1723" s="66"/>
      <c r="F1723" s="66"/>
      <c r="G1723" s="66"/>
      <c r="H1723" s="25" t="str">
        <f ca="1">_xlfn.IFNA(INDIRECT(_xlfn.TEXTJOIN("",TRUE,A1714,"!",ADDRESS(18+(A1715-1)*J1714,6))),"")</f>
        <v/>
      </c>
      <c r="I1723" s="25" t="str">
        <f ca="1">_xlfn.IFNA(INDIRECT(_xlfn.TEXTJOIN("",TRUE,A1714,"!",ADDRESS(18+(A1715-1)*J1714,13))),"")</f>
        <v/>
      </c>
      <c r="J1723" s="25" t="str">
        <f ca="1">_xlfn.IFNA(INDIRECT(_xlfn.TEXTJOIN("",TRUE,A1714,"!",ADDRESS(18+(A1715-1)*J1714,14))),"")</f>
        <v/>
      </c>
    </row>
    <row r="1724" spans="1:10" ht="10.5" customHeight="1" x14ac:dyDescent="0.2">
      <c r="A1724" s="60" t="str">
        <f ca="1">_xlfn.IFNA(INDIRECT(_xlfn.TEXTJOIN("",TRUE,A1714,"!",ADDRESS(19+(A1715-1)*J1714,1))),"")</f>
        <v/>
      </c>
      <c r="B1724" s="61"/>
      <c r="C1724" s="57" t="str">
        <f ca="1">_xlfn.IFNA(INDIRECT(_xlfn.TEXTJOIN("",TRUE,A1714,"!",ADDRESS(19+(A1715-1)*J1714,2))),"")</f>
        <v/>
      </c>
      <c r="D1724" s="58"/>
      <c r="E1724" s="58"/>
      <c r="F1724" s="58"/>
      <c r="G1724" s="59"/>
      <c r="H1724" s="25" t="str">
        <f ca="1">_xlfn.IFNA(INDIRECT(_xlfn.TEXTJOIN("",TRUE,A1714,"!",ADDRESS(19+(A1715-1)*J1714,6))),"")</f>
        <v/>
      </c>
      <c r="I1724" s="25" t="str">
        <f ca="1">_xlfn.IFNA(INDIRECT(_xlfn.TEXTJOIN("",TRUE,A1714,"!",ADDRESS(19+(A1715-1)*J1714,13))),"")</f>
        <v/>
      </c>
      <c r="J1724" s="25" t="str">
        <f ca="1">_xlfn.IFNA(INDIRECT(_xlfn.TEXTJOIN("",TRUE,A1714,"!",ADDRESS(19+(A1715-1)*J1714,14))),"")</f>
        <v/>
      </c>
    </row>
    <row r="1725" spans="1:10" ht="10.5" customHeight="1" x14ac:dyDescent="0.2">
      <c r="A1725" s="71" t="str">
        <f ca="1">IF(ISNA(A1715),"","Total Credits/ Total Grade Points")</f>
        <v/>
      </c>
      <c r="B1725" s="71"/>
      <c r="C1725" s="71"/>
      <c r="D1725" s="71"/>
      <c r="E1725" s="71"/>
      <c r="F1725" s="71"/>
      <c r="G1725" s="71"/>
      <c r="H1725" s="27" t="str">
        <f ca="1">IF(ISNA(A1715),"",SUM(H1717:H1724))</f>
        <v/>
      </c>
      <c r="I1725" s="26" t="str">
        <f ca="1">IF(ISNA(A1715),"","-")</f>
        <v/>
      </c>
      <c r="J1725" s="27" t="str">
        <f ca="1">IF(ISNA(A1715),"",SUMPRODUCT(J1717:J1724,H1717:H1724))</f>
        <v/>
      </c>
    </row>
    <row r="1726" spans="1:10" ht="10.5" customHeight="1" x14ac:dyDescent="0.2">
      <c r="A1726" s="75" t="s">
        <v>137</v>
      </c>
      <c r="B1726" s="75"/>
      <c r="C1726" s="75"/>
      <c r="D1726" s="75"/>
      <c r="E1726" s="75"/>
      <c r="F1726" s="76" t="s">
        <v>138</v>
      </c>
      <c r="G1726" s="76"/>
      <c r="H1726" s="76"/>
      <c r="I1726" s="76"/>
      <c r="J1726" s="76"/>
    </row>
    <row r="1727" spans="1:10" ht="10.5" customHeight="1" x14ac:dyDescent="0.2">
      <c r="A1727" s="43" t="s">
        <v>139</v>
      </c>
      <c r="B1727" s="43"/>
      <c r="C1727" s="43"/>
      <c r="D1727" s="43"/>
      <c r="E1727" s="43"/>
      <c r="F1727" s="43"/>
      <c r="G1727" s="43"/>
      <c r="H1727" s="43"/>
      <c r="I1727" s="43"/>
      <c r="J1727" s="43"/>
    </row>
    <row r="1728" spans="1:10" ht="10.5" customHeight="1" x14ac:dyDescent="0.2">
      <c r="A1728" s="10"/>
      <c r="B1728" s="26"/>
      <c r="C1728" s="26" t="s">
        <v>140</v>
      </c>
      <c r="D1728" s="26" t="s">
        <v>141</v>
      </c>
      <c r="E1728" s="26" t="s">
        <v>142</v>
      </c>
      <c r="F1728" s="26" t="s">
        <v>143</v>
      </c>
      <c r="G1728" s="26" t="s">
        <v>144</v>
      </c>
      <c r="H1728" s="79" t="s">
        <v>145</v>
      </c>
      <c r="I1728" s="79"/>
      <c r="J1728" s="30"/>
    </row>
    <row r="1729" spans="1:10" ht="10.5" customHeight="1" x14ac:dyDescent="0.2">
      <c r="A1729" s="10"/>
      <c r="B1729" s="80" t="s">
        <v>146</v>
      </c>
      <c r="C1729" s="73" t="e">
        <f ca="1">J1685/H1685</f>
        <v>#N/A</v>
      </c>
      <c r="D1729" s="73" t="e">
        <f ca="1">J1700/H1700</f>
        <v>#VALUE!</v>
      </c>
      <c r="E1729" s="73" t="str">
        <f ca="1">IFERROR(J1713/H1713,"")</f>
        <v/>
      </c>
      <c r="F1729" s="73" t="str">
        <f ca="1">IFERROR(J1725/H1725,"")</f>
        <v/>
      </c>
      <c r="G1729" s="82" t="e">
        <f ca="1">F1731</f>
        <v>#N/A</v>
      </c>
      <c r="H1729" s="83" t="e">
        <f ca="1">IF(TC_IV!N389&lt;96,_xlfn.TEXTJOIN(" ",TRUE,"CARRY OVER",TC_I!V579,TC_II!V479,TC_III!V412,TC_IV!V388),IF(G1729&gt;=8,"First Division with Distinction",IF(G1729&gt;=6.5,"First Division",IF(G1729&gt;=5,"Second Division",IF(G1729&gt;=4,"Third Division","Fail")))))</f>
        <v>#N/A</v>
      </c>
      <c r="I1729" s="83"/>
      <c r="J1729" s="30"/>
    </row>
    <row r="1730" spans="1:10" ht="10.5" customHeight="1" x14ac:dyDescent="0.2">
      <c r="B1730" s="81"/>
      <c r="C1730" s="74"/>
      <c r="D1730" s="74"/>
      <c r="E1730" s="74"/>
      <c r="F1730" s="74"/>
      <c r="G1730" s="82"/>
      <c r="H1730" s="83"/>
      <c r="I1730" s="83"/>
    </row>
    <row r="1731" spans="1:10" ht="10.5" customHeight="1" x14ac:dyDescent="0.2">
      <c r="B1731" s="80" t="s">
        <v>48</v>
      </c>
      <c r="C1731" s="73" t="e">
        <f ca="1">J1685/H1685</f>
        <v>#N/A</v>
      </c>
      <c r="D1731" s="73" t="e">
        <f ca="1">SUM(J1700,J1685)/SUM(H1700,H1685)</f>
        <v>#N/A</v>
      </c>
      <c r="E1731" s="73" t="e">
        <f ca="1">SUM(J1713,J1700,J1685)/SUM(H1713,H1700,H1685)</f>
        <v>#N/A</v>
      </c>
      <c r="F1731" s="73" t="e">
        <f ca="1">SUM(J1725,J1713,J1700,J1685)/SUM(H1685,H1700,H1713,H1725)</f>
        <v>#N/A</v>
      </c>
      <c r="G1731" s="82"/>
      <c r="H1731" s="83"/>
      <c r="I1731" s="83"/>
    </row>
    <row r="1732" spans="1:10" ht="10.5" customHeight="1" x14ac:dyDescent="0.2">
      <c r="B1732" s="81"/>
      <c r="C1732" s="74"/>
      <c r="D1732" s="74"/>
      <c r="E1732" s="74"/>
      <c r="F1732" s="74"/>
      <c r="G1732" s="82"/>
      <c r="H1732" s="83"/>
      <c r="I1732" s="83"/>
    </row>
    <row r="1734" spans="1:10" ht="10.5" customHeight="1" x14ac:dyDescent="0.2">
      <c r="A1734" s="56" t="s">
        <v>24</v>
      </c>
      <c r="B1734" s="56"/>
      <c r="C1734" s="56" t="str">
        <f ca="1">INDIRECT(_xlfn.TEXTJOIN("",TRUE,A1736,"!",ADDRESS(9+(A1737-1)*J1736,2)))</f>
        <v/>
      </c>
      <c r="D1734" s="56"/>
      <c r="E1734" s="56"/>
      <c r="F1734" s="56" t="s">
        <v>135</v>
      </c>
      <c r="G1734" s="56"/>
      <c r="H1734" s="62" t="str">
        <f ca="1">INDIRECT(_xlfn.TEXTJOIN("",TRUE,A1736,"!",ADDRESS(9+(A1737-1)*J1736,9)))</f>
        <v/>
      </c>
      <c r="I1734" s="56"/>
      <c r="J1734" s="56"/>
    </row>
    <row r="1735" spans="1:10" ht="10.5" customHeight="1" x14ac:dyDescent="0.2">
      <c r="A1735" s="56" t="s">
        <v>25</v>
      </c>
      <c r="B1735" s="56"/>
      <c r="C1735" s="56" t="str">
        <f ca="1">INDIRECT(_xlfn.TEXTJOIN("",TRUE,A1736,"!",ADDRESS(9+(A1737-1)*J1736,5)))</f>
        <v/>
      </c>
      <c r="D1735" s="56"/>
      <c r="E1735" s="56"/>
      <c r="F1735" s="47" t="s">
        <v>136</v>
      </c>
      <c r="G1735" s="47"/>
      <c r="H1735" s="62" t="str">
        <f ca="1">INDIRECT(_xlfn.TEXTJOIN("",TRUE,A1736,"!",ADDRESS(9+(A1737-1)*J1736,13)))</f>
        <v/>
      </c>
      <c r="I1735" s="56"/>
      <c r="J1735" s="56"/>
    </row>
    <row r="1736" spans="1:10" ht="10.5" customHeight="1" x14ac:dyDescent="0.2">
      <c r="A1736" s="24" t="s">
        <v>53</v>
      </c>
      <c r="B1736" s="43" t="s">
        <v>148</v>
      </c>
      <c r="C1736" s="43"/>
      <c r="D1736" s="43"/>
      <c r="E1736" s="43"/>
      <c r="F1736" s="43"/>
      <c r="G1736" s="43"/>
      <c r="H1736" s="43"/>
      <c r="I1736" s="43"/>
      <c r="J1736" s="24">
        <f>ROWS(A1740:B1753)+9</f>
        <v>23</v>
      </c>
    </row>
    <row r="1737" spans="1:10" ht="10.5" customHeight="1" x14ac:dyDescent="0.2">
      <c r="A1737" s="24">
        <f>A1668+1</f>
        <v>26</v>
      </c>
      <c r="B1737" s="63"/>
      <c r="C1737" s="63"/>
      <c r="D1737" s="63"/>
      <c r="E1737" s="63"/>
      <c r="F1737" s="63"/>
      <c r="G1737" s="63"/>
      <c r="H1737" s="63"/>
      <c r="I1737" s="63"/>
      <c r="J1737" s="29"/>
    </row>
    <row r="1738" spans="1:10" ht="10.5" customHeight="1" x14ac:dyDescent="0.2">
      <c r="A1738" s="64" t="s">
        <v>28</v>
      </c>
      <c r="B1738" s="64"/>
      <c r="C1738" s="64" t="s">
        <v>29</v>
      </c>
      <c r="D1738" s="64"/>
      <c r="E1738" s="64"/>
      <c r="F1738" s="64"/>
      <c r="G1738" s="64"/>
      <c r="H1738" s="64" t="s">
        <v>30</v>
      </c>
      <c r="I1738" s="64" t="s">
        <v>9</v>
      </c>
      <c r="J1738" s="64" t="s">
        <v>34</v>
      </c>
    </row>
    <row r="1739" spans="1:10" ht="13" customHeight="1" x14ac:dyDescent="0.2">
      <c r="A1739" s="64"/>
      <c r="B1739" s="64"/>
      <c r="C1739" s="64"/>
      <c r="D1739" s="64"/>
      <c r="E1739" s="64"/>
      <c r="F1739" s="64"/>
      <c r="G1739" s="64"/>
      <c r="H1739" s="64"/>
      <c r="I1739" s="64"/>
      <c r="J1739" s="64"/>
    </row>
    <row r="1740" spans="1:10" ht="10.5" customHeight="1" x14ac:dyDescent="0.2">
      <c r="A1740" s="65" t="str">
        <f ca="1">INDIRECT(_xlfn.TEXTJOIN("",TRUE,A1736,"!",ADDRESS(13+(A1737-1)*J1736,1)))</f>
        <v/>
      </c>
      <c r="B1740" s="65"/>
      <c r="C1740" s="66" t="str">
        <f ca="1">INDIRECT(_xlfn.TEXTJOIN("",TRUE,A1736,"!",ADDRESS(13+(A1737-1)*J1736,2)))</f>
        <v/>
      </c>
      <c r="D1740" s="66"/>
      <c r="E1740" s="66"/>
      <c r="F1740" s="66"/>
      <c r="G1740" s="66"/>
      <c r="H1740" s="25" t="str">
        <f ca="1">INDIRECT(_xlfn.TEXTJOIN("",TRUE,A1736,"!",ADDRESS(13+(A1737-1)*J1736,6)))</f>
        <v/>
      </c>
      <c r="I1740" s="25" t="str">
        <f ca="1">INDIRECT(_xlfn.TEXTJOIN("",TRUE,A1736,"!",ADDRESS(13+(A1737-1)*J1736,13)))</f>
        <v/>
      </c>
      <c r="J1740" s="25" t="e">
        <f ca="1">INDIRECT(_xlfn.TEXTJOIN("",TRUE,A1736,"!",ADDRESS(13+(A1737-1)*J1736,14)))</f>
        <v>#N/A</v>
      </c>
    </row>
    <row r="1741" spans="1:10" ht="10.5" customHeight="1" x14ac:dyDescent="0.2">
      <c r="A1741" s="65" t="str">
        <f ca="1">INDIRECT(_xlfn.TEXTJOIN("",TRUE,A1736,"!",ADDRESS(14+(A1737-1)*J1736,1)))</f>
        <v/>
      </c>
      <c r="B1741" s="65"/>
      <c r="C1741" s="66" t="str">
        <f ca="1">INDIRECT(_xlfn.TEXTJOIN("",TRUE,A1736,"!",ADDRESS(14+(A1737-1)*J1736,2)))</f>
        <v/>
      </c>
      <c r="D1741" s="66"/>
      <c r="E1741" s="66"/>
      <c r="F1741" s="66"/>
      <c r="G1741" s="66"/>
      <c r="H1741" s="25" t="str">
        <f ca="1">INDIRECT(_xlfn.TEXTJOIN("",TRUE,A1736,"!",ADDRESS(14+(A1737-1)*J1736,6)))</f>
        <v/>
      </c>
      <c r="I1741" s="25" t="str">
        <f ca="1">INDIRECT(_xlfn.TEXTJOIN("",TRUE,A1736,"!",ADDRESS(14+(A1737-1)*J1736,13)))</f>
        <v/>
      </c>
      <c r="J1741" s="25" t="e">
        <f ca="1">INDIRECT(_xlfn.TEXTJOIN("",TRUE,A1736,"!",ADDRESS(14+(A1737-1)*J1736,14)))</f>
        <v>#N/A</v>
      </c>
    </row>
    <row r="1742" spans="1:10" ht="10.5" customHeight="1" x14ac:dyDescent="0.2">
      <c r="A1742" s="65" t="str">
        <f ca="1">INDIRECT(_xlfn.TEXTJOIN("",TRUE,A1736,"!",ADDRESS(15+(A1737-1)*J1736,1)))</f>
        <v/>
      </c>
      <c r="B1742" s="65"/>
      <c r="C1742" s="66" t="str">
        <f ca="1">INDIRECT(_xlfn.TEXTJOIN("",TRUE,A1736,"!",ADDRESS(15+(A1737-1)*J1736,2)))</f>
        <v/>
      </c>
      <c r="D1742" s="66"/>
      <c r="E1742" s="66"/>
      <c r="F1742" s="66"/>
      <c r="G1742" s="66"/>
      <c r="H1742" s="25" t="str">
        <f ca="1">INDIRECT(_xlfn.TEXTJOIN("",TRUE,A1736,"!",ADDRESS(15+(A1737-1)*J1736,6)))</f>
        <v/>
      </c>
      <c r="I1742" s="25" t="str">
        <f ca="1">INDIRECT(_xlfn.TEXTJOIN("",TRUE,A1736,"!",ADDRESS(15+(A1737-1)*J1736,13)))</f>
        <v/>
      </c>
      <c r="J1742" s="25" t="e">
        <f ca="1">INDIRECT(_xlfn.TEXTJOIN("",TRUE,A1736,"!",ADDRESS(15+(A1737-1)*J1736,14)))</f>
        <v>#N/A</v>
      </c>
    </row>
    <row r="1743" spans="1:10" ht="10.5" customHeight="1" x14ac:dyDescent="0.2">
      <c r="A1743" s="65" t="str">
        <f ca="1">INDIRECT(_xlfn.TEXTJOIN("",TRUE,A1736,"!",ADDRESS(16+(A1737-1)*J1736,1)))</f>
        <v/>
      </c>
      <c r="B1743" s="65"/>
      <c r="C1743" s="66" t="str">
        <f ca="1">INDIRECT(_xlfn.TEXTJOIN("",TRUE,A1736,"!",ADDRESS(16+(A1737-1)*J1736,2)))</f>
        <v/>
      </c>
      <c r="D1743" s="66"/>
      <c r="E1743" s="66"/>
      <c r="F1743" s="66"/>
      <c r="G1743" s="66"/>
      <c r="H1743" s="25" t="str">
        <f ca="1">INDIRECT(_xlfn.TEXTJOIN("",TRUE,A1736,"!",ADDRESS(16+(A1737-1)*J1736,6)))</f>
        <v/>
      </c>
      <c r="I1743" s="25" t="str">
        <f ca="1">INDIRECT(_xlfn.TEXTJOIN("",TRUE,A1736,"!",ADDRESS(16+(A1737-1)*J1736,13)))</f>
        <v/>
      </c>
      <c r="J1743" s="25" t="e">
        <f ca="1">INDIRECT(_xlfn.TEXTJOIN("",TRUE,A1736,"!",ADDRESS(16+(A1737-1)*J1736,14)))</f>
        <v>#N/A</v>
      </c>
    </row>
    <row r="1744" spans="1:10" ht="10.5" customHeight="1" x14ac:dyDescent="0.2">
      <c r="A1744" s="65" t="str">
        <f ca="1">INDIRECT(_xlfn.TEXTJOIN("",TRUE,A1736,"!",ADDRESS(17+(A1737-1)*J1736,1)))</f>
        <v/>
      </c>
      <c r="B1744" s="65"/>
      <c r="C1744" s="66" t="str">
        <f ca="1">INDIRECT(_xlfn.TEXTJOIN("",TRUE,A1736,"!",ADDRESS(17+(A1737-1)*J1736,2)))</f>
        <v/>
      </c>
      <c r="D1744" s="66"/>
      <c r="E1744" s="66"/>
      <c r="F1744" s="66"/>
      <c r="G1744" s="66"/>
      <c r="H1744" s="25" t="str">
        <f ca="1">INDIRECT(_xlfn.TEXTJOIN("",TRUE,A1736,"!",ADDRESS(17+(A1737-1)*J1736,6)))</f>
        <v/>
      </c>
      <c r="I1744" s="25" t="str">
        <f ca="1">INDIRECT(_xlfn.TEXTJOIN("",TRUE,A1736,"!",ADDRESS(17+(A1737-1)*J1736,13)))</f>
        <v/>
      </c>
      <c r="J1744" s="25" t="e">
        <f ca="1">INDIRECT(_xlfn.TEXTJOIN("",TRUE,A1736,"!",ADDRESS(17+(A1737-1)*J1736,14)))</f>
        <v>#N/A</v>
      </c>
    </row>
    <row r="1745" spans="1:10" ht="10.5" customHeight="1" x14ac:dyDescent="0.2">
      <c r="A1745" s="65" t="str">
        <f ca="1">INDIRECT(_xlfn.TEXTJOIN("",TRUE,A1736,"!",ADDRESS(18+(A1737-1)*J1736,1)))</f>
        <v/>
      </c>
      <c r="B1745" s="65"/>
      <c r="C1745" s="66" t="str">
        <f ca="1">INDIRECT(_xlfn.TEXTJOIN("",TRUE,A1736,"!",ADDRESS(18+(A1737-1)*J1736,2)))</f>
        <v/>
      </c>
      <c r="D1745" s="66"/>
      <c r="E1745" s="66"/>
      <c r="F1745" s="66"/>
      <c r="G1745" s="66"/>
      <c r="H1745" s="25" t="str">
        <f ca="1">INDIRECT(_xlfn.TEXTJOIN("",TRUE,A1736,"!",ADDRESS(18+(A1737-1)*J1736,6)))</f>
        <v/>
      </c>
      <c r="I1745" s="25" t="str">
        <f ca="1">INDIRECT(_xlfn.TEXTJOIN("",TRUE,A1736,"!",ADDRESS(18+(A1737-1)*J1736,13)))</f>
        <v/>
      </c>
      <c r="J1745" s="25" t="e">
        <f ca="1">INDIRECT(_xlfn.TEXTJOIN("",TRUE,A1736,"!",ADDRESS(18+(A1737-1)*J1736,14)))</f>
        <v>#N/A</v>
      </c>
    </row>
    <row r="1746" spans="1:10" ht="10.5" customHeight="1" x14ac:dyDescent="0.2">
      <c r="A1746" s="60" t="str">
        <f ca="1">INDIRECT(_xlfn.TEXTJOIN("",TRUE,A1736,"!",ADDRESS(19+(A1737-1)*J1736,1)))</f>
        <v/>
      </c>
      <c r="B1746" s="61"/>
      <c r="C1746" s="57" t="str">
        <f ca="1">INDIRECT(_xlfn.TEXTJOIN("",TRUE,A1736,"!",ADDRESS(19+(A1737-1)*J1736,2)))</f>
        <v/>
      </c>
      <c r="D1746" s="58"/>
      <c r="E1746" s="58"/>
      <c r="F1746" s="58"/>
      <c r="G1746" s="59"/>
      <c r="H1746" s="25" t="str">
        <f ca="1">INDIRECT(_xlfn.TEXTJOIN("",TRUE,A1736,"!",ADDRESS(19+(A1737-1)*J1736,6)))</f>
        <v/>
      </c>
      <c r="I1746" s="25" t="str">
        <f ca="1">INDIRECT(_xlfn.TEXTJOIN("",TRUE,A1736,"!",ADDRESS(19+(A1737-1)*J1736,13)))</f>
        <v/>
      </c>
      <c r="J1746" s="25" t="e">
        <f ca="1">INDIRECT(_xlfn.TEXTJOIN("",TRUE,A1736,"!",ADDRESS(19+(A1737-1)*J1736,14)))</f>
        <v>#N/A</v>
      </c>
    </row>
    <row r="1747" spans="1:10" ht="10.5" customHeight="1" x14ac:dyDescent="0.2">
      <c r="A1747" s="65" t="str">
        <f ca="1">INDIRECT(_xlfn.TEXTJOIN("",TRUE,A1736,"!",ADDRESS(20+(A1737-1)*J1736,1)))</f>
        <v/>
      </c>
      <c r="B1747" s="65"/>
      <c r="C1747" s="66" t="str">
        <f ca="1">INDIRECT(_xlfn.TEXTJOIN("",TRUE,A1736,"!",ADDRESS(20+(A1737-1)*J1736,2)))</f>
        <v/>
      </c>
      <c r="D1747" s="66"/>
      <c r="E1747" s="66"/>
      <c r="F1747" s="66"/>
      <c r="G1747" s="66"/>
      <c r="H1747" s="25" t="str">
        <f ca="1">INDIRECT(_xlfn.TEXTJOIN("",TRUE,A1736,"!",ADDRESS(20+(A1737-1)*J1736,6)))</f>
        <v/>
      </c>
      <c r="I1747" s="25" t="str">
        <f ca="1">INDIRECT(_xlfn.TEXTJOIN("",TRUE,A1736,"!",ADDRESS(20+(A1737-1)*J1736,13)))</f>
        <v/>
      </c>
      <c r="J1747" s="25" t="e">
        <f ca="1">INDIRECT(_xlfn.TEXTJOIN("",TRUE,A1736,"!",ADDRESS(20+(A1737-1)*J1736,14)))</f>
        <v>#N/A</v>
      </c>
    </row>
    <row r="1748" spans="1:10" ht="10.5" customHeight="1" x14ac:dyDescent="0.2">
      <c r="A1748" s="65" t="str">
        <f ca="1">INDIRECT(_xlfn.TEXTJOIN("",TRUE,A1736,"!",ADDRESS(21+(A1737-1)*J1736,1)))</f>
        <v/>
      </c>
      <c r="B1748" s="65"/>
      <c r="C1748" s="66" t="str">
        <f ca="1">INDIRECT(_xlfn.TEXTJOIN("",TRUE,A1736,"!",ADDRESS(21+(A1737-1)*J1736,2)))</f>
        <v/>
      </c>
      <c r="D1748" s="66"/>
      <c r="E1748" s="66"/>
      <c r="F1748" s="66"/>
      <c r="G1748" s="66"/>
      <c r="H1748" s="25" t="str">
        <f ca="1">INDIRECT(_xlfn.TEXTJOIN("",TRUE,A1736,"!",ADDRESS(21+(A1737-1)*J1736,6)))</f>
        <v/>
      </c>
      <c r="I1748" s="25" t="str">
        <f ca="1">INDIRECT(_xlfn.TEXTJOIN("",TRUE,A1736,"!",ADDRESS(21+(A1737-1)*J1736,13)))</f>
        <v/>
      </c>
      <c r="J1748" s="25" t="e">
        <f ca="1">INDIRECT(_xlfn.TEXTJOIN("",TRUE,A1736,"!",ADDRESS(21+(A1737-1)*J1736,14)))</f>
        <v>#N/A</v>
      </c>
    </row>
    <row r="1749" spans="1:10" ht="10.5" customHeight="1" x14ac:dyDescent="0.2">
      <c r="A1749" s="65" t="str">
        <f ca="1">INDIRECT(_xlfn.TEXTJOIN("",TRUE,A1736,"!",ADDRESS(22+(A1737-1)*J1736,1)))</f>
        <v/>
      </c>
      <c r="B1749" s="65"/>
      <c r="C1749" s="66" t="str">
        <f ca="1">INDIRECT(_xlfn.TEXTJOIN("",TRUE,A1736,"!",ADDRESS(22+(A1737-1)*J1736,2)))</f>
        <v/>
      </c>
      <c r="D1749" s="66"/>
      <c r="E1749" s="66"/>
      <c r="F1749" s="66"/>
      <c r="G1749" s="66"/>
      <c r="H1749" s="25" t="str">
        <f ca="1">INDIRECT(_xlfn.TEXTJOIN("",TRUE,A1736,"!",ADDRESS(22+(A1737-1)*J1736,6)))</f>
        <v/>
      </c>
      <c r="I1749" s="25" t="str">
        <f ca="1">INDIRECT(_xlfn.TEXTJOIN("",TRUE,A1736,"!",ADDRESS(22+(A1737-1)*J1736,13)))</f>
        <v/>
      </c>
      <c r="J1749" s="25" t="e">
        <f ca="1">INDIRECT(_xlfn.TEXTJOIN("",TRUE,A1736,"!",ADDRESS(22+(A1737-1)*J1736,14)))</f>
        <v>#N/A</v>
      </c>
    </row>
    <row r="1750" spans="1:10" ht="10.5" customHeight="1" x14ac:dyDescent="0.2">
      <c r="A1750" s="65" t="str">
        <f ca="1">INDIRECT(_xlfn.TEXTJOIN("",TRUE,A1736,"!",ADDRESS(23+(A1737-1)*J1736,1)))</f>
        <v/>
      </c>
      <c r="B1750" s="65"/>
      <c r="C1750" s="66" t="str">
        <f ca="1">INDIRECT(_xlfn.TEXTJOIN("",TRUE,A1736,"!",ADDRESS(23+(A1737-1)*J1736,2)))</f>
        <v/>
      </c>
      <c r="D1750" s="66"/>
      <c r="E1750" s="66"/>
      <c r="F1750" s="66"/>
      <c r="G1750" s="66"/>
      <c r="H1750" s="25" t="str">
        <f ca="1">INDIRECT(_xlfn.TEXTJOIN("",TRUE,A1736,"!",ADDRESS(23+(A1737-1)*J1736,6)))</f>
        <v/>
      </c>
      <c r="I1750" s="25" t="str">
        <f ca="1">INDIRECT(_xlfn.TEXTJOIN("",TRUE,A1736,"!",ADDRESS(23+(A1737-1)*J1736,13)))</f>
        <v/>
      </c>
      <c r="J1750" s="25" t="e">
        <f ca="1">INDIRECT(_xlfn.TEXTJOIN("",TRUE,A1736,"!",ADDRESS(23+(A1737-1)*J1736,14)))</f>
        <v>#N/A</v>
      </c>
    </row>
    <row r="1751" spans="1:10" ht="10.5" customHeight="1" x14ac:dyDescent="0.2">
      <c r="A1751" s="65" t="str">
        <f ca="1">INDIRECT(_xlfn.TEXTJOIN("",TRUE,A1736,"!",ADDRESS(24+(A1737-1)*J1736,1)))</f>
        <v/>
      </c>
      <c r="B1751" s="65"/>
      <c r="C1751" s="66" t="str">
        <f ca="1">INDIRECT(_xlfn.TEXTJOIN("",TRUE,A1736,"!",ADDRESS(24+(A1737-1)*J1736,2)))</f>
        <v/>
      </c>
      <c r="D1751" s="66"/>
      <c r="E1751" s="66"/>
      <c r="F1751" s="66"/>
      <c r="G1751" s="66"/>
      <c r="H1751" s="25" t="str">
        <f ca="1">INDIRECT(_xlfn.TEXTJOIN("",TRUE,A1736,"!",ADDRESS(24+(A1737-1)*J1736,6)))</f>
        <v/>
      </c>
      <c r="I1751" s="25" t="str">
        <f ca="1">INDIRECT(_xlfn.TEXTJOIN("",TRUE,A1736,"!",ADDRESS(24+(A1737-1)*J1736,13)))</f>
        <v/>
      </c>
      <c r="J1751" s="25" t="e">
        <f ca="1">INDIRECT(_xlfn.TEXTJOIN("",TRUE,A1736,"!",ADDRESS(24+(A1737-1)*J1736,14)))</f>
        <v>#N/A</v>
      </c>
    </row>
    <row r="1752" spans="1:10" ht="10.5" customHeight="1" x14ac:dyDescent="0.2">
      <c r="A1752" s="65" t="str">
        <f ca="1">INDIRECT(_xlfn.TEXTJOIN("",TRUE,A1736,"!",ADDRESS(25+(A1737-1)*J1736,1)))</f>
        <v/>
      </c>
      <c r="B1752" s="65"/>
      <c r="C1752" s="66" t="str">
        <f ca="1">INDIRECT(_xlfn.TEXTJOIN("",TRUE,A1736,"!",ADDRESS(25+(A1737-1)*J1736,2)))</f>
        <v/>
      </c>
      <c r="D1752" s="66"/>
      <c r="E1752" s="66"/>
      <c r="F1752" s="66"/>
      <c r="G1752" s="66"/>
      <c r="H1752" s="25" t="str">
        <f ca="1">INDIRECT(_xlfn.TEXTJOIN("",TRUE,A1736,"!",ADDRESS(25+(A1737-1)*J1736,6)))</f>
        <v/>
      </c>
      <c r="I1752" s="25" t="str">
        <f ca="1">INDIRECT(_xlfn.TEXTJOIN("",TRUE,A1736,"!",ADDRESS(25+(A1737-1)*J1736,13)))</f>
        <v/>
      </c>
      <c r="J1752" s="25" t="e">
        <f ca="1">INDIRECT(_xlfn.TEXTJOIN("",TRUE,A1736,"!",ADDRESS(25+(A1737-1)*J1736,14)))</f>
        <v>#N/A</v>
      </c>
    </row>
    <row r="1753" spans="1:10" s="35" customFormat="1" ht="10.5" customHeight="1" x14ac:dyDescent="0.2">
      <c r="A1753" s="77" t="str">
        <f ca="1">INDIRECT(_xlfn.TEXTJOIN("",TRUE,A1736,"!",ADDRESS(26+(A1737-1)*J1736,1)))</f>
        <v/>
      </c>
      <c r="B1753" s="77"/>
      <c r="C1753" s="78" t="str">
        <f ca="1">INDIRECT(_xlfn.TEXTJOIN("",TRUE,A1736,"!",ADDRESS(26+(A1737-1)*J1736,2)))</f>
        <v/>
      </c>
      <c r="D1753" s="78"/>
      <c r="E1753" s="78"/>
      <c r="F1753" s="78"/>
      <c r="G1753" s="78"/>
      <c r="H1753" s="34" t="str">
        <f ca="1">INDIRECT(_xlfn.TEXTJOIN("",TRUE,A1736,"!",ADDRESS(26+(A1737-1)*J1736,6)))</f>
        <v/>
      </c>
      <c r="I1753" s="34" t="b">
        <f ca="1">INDIRECT(_xlfn.TEXTJOIN("",TRUE,A1736,"!",ADDRESS(26+(A1737-1)*J1736,13)))</f>
        <v>0</v>
      </c>
      <c r="J1753" s="34" t="e">
        <f ca="1">INDIRECT(_xlfn.TEXTJOIN("",TRUE,A1736,"!",ADDRESS(26+(A1737-1)*J1736,14)))</f>
        <v>#N/A</v>
      </c>
    </row>
    <row r="1754" spans="1:10" ht="10.5" customHeight="1" x14ac:dyDescent="0.2">
      <c r="A1754" s="71" t="s">
        <v>52</v>
      </c>
      <c r="B1754" s="71"/>
      <c r="C1754" s="71"/>
      <c r="D1754" s="71"/>
      <c r="E1754" s="71"/>
      <c r="F1754" s="71"/>
      <c r="G1754" s="71"/>
      <c r="H1754" s="27">
        <f ca="1">SUM(H1740:H1753)</f>
        <v>0</v>
      </c>
      <c r="I1754" s="26" t="s">
        <v>44</v>
      </c>
      <c r="J1754" s="27" t="e">
        <f ca="1">SUMPRODUCT(J1740:J1752,H1740:H1752)</f>
        <v>#N/A</v>
      </c>
    </row>
    <row r="1755" spans="1:10" ht="10.5" customHeight="1" x14ac:dyDescent="0.2">
      <c r="A1755" s="24" t="s">
        <v>57</v>
      </c>
      <c r="B1755" s="72" t="str">
        <f ca="1">IF(ISNA(A1756),"","Semester II (Spring Semester 2022-23)")</f>
        <v/>
      </c>
      <c r="C1755" s="72"/>
      <c r="D1755" s="72"/>
      <c r="E1755" s="72"/>
      <c r="F1755" s="72"/>
      <c r="G1755" s="72"/>
      <c r="H1755" s="72"/>
      <c r="I1755" s="72"/>
      <c r="J1755" s="24">
        <f>ROWS(A1759:B1768)+9</f>
        <v>19</v>
      </c>
    </row>
    <row r="1756" spans="1:10" ht="10.5" customHeight="1" x14ac:dyDescent="0.2">
      <c r="A1756" s="24" t="e">
        <f ca="1">INDEX(SEM_II!$A$6:$A$45,Marksheets!J1756)</f>
        <v>#N/A</v>
      </c>
      <c r="B1756" s="63"/>
      <c r="C1756" s="63"/>
      <c r="D1756" s="63"/>
      <c r="E1756" s="63"/>
      <c r="F1756" s="63"/>
      <c r="G1756" s="63"/>
      <c r="H1756" s="63"/>
      <c r="I1756" s="63"/>
      <c r="J1756" s="24" t="e">
        <f ca="1">MATCH(H1734,SEM_II!$B$6:$B$45,0)</f>
        <v>#N/A</v>
      </c>
    </row>
    <row r="1757" spans="1:10" ht="10.5" customHeight="1" x14ac:dyDescent="0.2">
      <c r="A1757" s="64" t="str">
        <f ca="1">IF(ISNA(A1756),"","Subject Code")</f>
        <v/>
      </c>
      <c r="B1757" s="64"/>
      <c r="C1757" s="64" t="str">
        <f ca="1">IF(ISNA(A1756),"","Subject Name")</f>
        <v/>
      </c>
      <c r="D1757" s="64"/>
      <c r="E1757" s="64"/>
      <c r="F1757" s="64"/>
      <c r="G1757" s="64"/>
      <c r="H1757" s="64" t="str">
        <f ca="1">IF(ISNA(A1756),"","Credits")</f>
        <v/>
      </c>
      <c r="I1757" s="64" t="str">
        <f ca="1">IF(ISNA(A1756),"","Grade")</f>
        <v/>
      </c>
      <c r="J1757" s="64" t="str">
        <f ca="1">IF(ISNA(A1756),"","Grade Points")</f>
        <v/>
      </c>
    </row>
    <row r="1758" spans="1:10" ht="15" customHeight="1" x14ac:dyDescent="0.2">
      <c r="A1758" s="64"/>
      <c r="B1758" s="64"/>
      <c r="C1758" s="64"/>
      <c r="D1758" s="64"/>
      <c r="E1758" s="64"/>
      <c r="F1758" s="64"/>
      <c r="G1758" s="64"/>
      <c r="H1758" s="64"/>
      <c r="I1758" s="64"/>
      <c r="J1758" s="64"/>
    </row>
    <row r="1759" spans="1:10" ht="10.5" customHeight="1" x14ac:dyDescent="0.2">
      <c r="A1759" s="65" t="str">
        <f ca="1">_xlfn.IFNA(INDIRECT(_xlfn.TEXTJOIN("",TRUE,A1755,"!",ADDRESS(13+(A1756-1)*J1755,1))),"")</f>
        <v/>
      </c>
      <c r="B1759" s="65"/>
      <c r="C1759" s="66" t="str">
        <f ca="1">_xlfn.IFNA(INDIRECT(_xlfn.TEXTJOIN("",TRUE,A1755,"!",ADDRESS(13+(A1756-1)*J1755,2))),"")</f>
        <v/>
      </c>
      <c r="D1759" s="66"/>
      <c r="E1759" s="66"/>
      <c r="F1759" s="66"/>
      <c r="G1759" s="66"/>
      <c r="H1759" s="25" t="str">
        <f ca="1">_xlfn.IFNA(INDIRECT(_xlfn.TEXTJOIN("",TRUE,A1755,"!",ADDRESS(13+(A1756-1)*J1755,6))),"")</f>
        <v/>
      </c>
      <c r="I1759" s="25" t="str">
        <f ca="1">_xlfn.IFNA(INDIRECT(_xlfn.TEXTJOIN("",TRUE,A1755,"!",ADDRESS(13+(A1756-1)*J1755,13))),"")</f>
        <v/>
      </c>
      <c r="J1759" s="25" t="str">
        <f ca="1">_xlfn.IFNA(INDIRECT(_xlfn.TEXTJOIN("",TRUE,A1755,"!",ADDRESS(13+(A1756-1)*J1755,14))),"")</f>
        <v/>
      </c>
    </row>
    <row r="1760" spans="1:10" ht="10.5" customHeight="1" x14ac:dyDescent="0.2">
      <c r="A1760" s="65" t="str">
        <f ca="1">_xlfn.IFNA(INDIRECT(_xlfn.TEXTJOIN("",TRUE,A1755,"!",ADDRESS(14+(A1756-1)*J1755,1))),"")</f>
        <v/>
      </c>
      <c r="B1760" s="65"/>
      <c r="C1760" s="66" t="str">
        <f ca="1">_xlfn.IFNA(INDIRECT(_xlfn.TEXTJOIN("",TRUE,A1755,"!",ADDRESS(14+(A1756-1)*J1755,2))),"")</f>
        <v/>
      </c>
      <c r="D1760" s="66"/>
      <c r="E1760" s="66"/>
      <c r="F1760" s="66"/>
      <c r="G1760" s="66"/>
      <c r="H1760" s="25" t="str">
        <f ca="1">_xlfn.IFNA(INDIRECT(_xlfn.TEXTJOIN("",TRUE,A1755,"!",ADDRESS(14+(A1756-1)*J1755,6))),"")</f>
        <v/>
      </c>
      <c r="I1760" s="25" t="str">
        <f ca="1">_xlfn.IFNA(INDIRECT(_xlfn.TEXTJOIN("",TRUE,A1755,"!",ADDRESS(14+(A1756-1)*J1755,13))),"")</f>
        <v/>
      </c>
      <c r="J1760" s="25" t="str">
        <f ca="1">_xlfn.IFNA(INDIRECT(_xlfn.TEXTJOIN("",TRUE,A1755,"!",ADDRESS(14+(A1756-1)*J1755,14))),"")</f>
        <v/>
      </c>
    </row>
    <row r="1761" spans="1:10" ht="10.5" customHeight="1" x14ac:dyDescent="0.2">
      <c r="A1761" s="65" t="str">
        <f ca="1">_xlfn.IFNA(INDIRECT(_xlfn.TEXTJOIN("",TRUE,A1755,"!",ADDRESS(15+(A1756-1)*J1755,1))),"")</f>
        <v/>
      </c>
      <c r="B1761" s="65"/>
      <c r="C1761" s="66" t="str">
        <f ca="1">_xlfn.IFNA(INDIRECT(_xlfn.TEXTJOIN("",TRUE,A1755,"!",ADDRESS(15+(A1756-1)*J1755,2))),"")</f>
        <v/>
      </c>
      <c r="D1761" s="66"/>
      <c r="E1761" s="66"/>
      <c r="F1761" s="66"/>
      <c r="G1761" s="66"/>
      <c r="H1761" s="25" t="str">
        <f ca="1">_xlfn.IFNA(INDIRECT(_xlfn.TEXTJOIN("",TRUE,A1755,"!",ADDRESS(15+(A1756-1)*J1755,6))),"")</f>
        <v/>
      </c>
      <c r="I1761" s="25" t="str">
        <f ca="1">_xlfn.IFNA(INDIRECT(_xlfn.TEXTJOIN("",TRUE,A1755,"!",ADDRESS(15+(A1756-1)*J1755,13))),"")</f>
        <v/>
      </c>
      <c r="J1761" s="25" t="str">
        <f ca="1">_xlfn.IFNA(INDIRECT(_xlfn.TEXTJOIN("",TRUE,A1755,"!",ADDRESS(15+(A1756-1)*J1755,14))),"")</f>
        <v/>
      </c>
    </row>
    <row r="1762" spans="1:10" ht="10.5" customHeight="1" x14ac:dyDescent="0.2">
      <c r="A1762" s="65" t="str">
        <f ca="1">_xlfn.IFNA(INDIRECT(_xlfn.TEXTJOIN("",TRUE,A1755,"!",ADDRESS(16+(A1756-1)*J1755,1))),"")</f>
        <v/>
      </c>
      <c r="B1762" s="65"/>
      <c r="C1762" s="66" t="str">
        <f ca="1">_xlfn.IFNA(INDIRECT(_xlfn.TEXTJOIN("",TRUE,A1755,"!",ADDRESS(16+(A1756-1)*J1755,2))),"")</f>
        <v/>
      </c>
      <c r="D1762" s="66"/>
      <c r="E1762" s="66"/>
      <c r="F1762" s="66"/>
      <c r="G1762" s="66"/>
      <c r="H1762" s="25" t="str">
        <f ca="1">_xlfn.IFNA(INDIRECT(_xlfn.TEXTJOIN("",TRUE,A1755,"!",ADDRESS(16+(A1756-1)*J1755,6))),"")</f>
        <v/>
      </c>
      <c r="I1762" s="25" t="str">
        <f ca="1">_xlfn.IFNA(INDIRECT(_xlfn.TEXTJOIN("",TRUE,A1755,"!",ADDRESS(16+(A1756-1)*J1755,13))),"")</f>
        <v/>
      </c>
      <c r="J1762" s="25" t="str">
        <f ca="1">_xlfn.IFNA(INDIRECT(_xlfn.TEXTJOIN("",TRUE,A1755,"!",ADDRESS(16+(A1756-1)*J1755,14))),"")</f>
        <v/>
      </c>
    </row>
    <row r="1763" spans="1:10" ht="10.5" customHeight="1" x14ac:dyDescent="0.2">
      <c r="A1763" s="65" t="str">
        <f ca="1">_xlfn.IFNA(INDIRECT(_xlfn.TEXTJOIN("",TRUE,A1755,"!",ADDRESS(17+(A1756-1)*J1755,1))),"")</f>
        <v/>
      </c>
      <c r="B1763" s="65"/>
      <c r="C1763" s="66" t="str">
        <f ca="1">_xlfn.IFNA(INDIRECT(_xlfn.TEXTJOIN("",TRUE,A1755,"!",ADDRESS(17+(A1756-1)*J1755,2))),"")</f>
        <v/>
      </c>
      <c r="D1763" s="66"/>
      <c r="E1763" s="66"/>
      <c r="F1763" s="66"/>
      <c r="G1763" s="66"/>
      <c r="H1763" s="25" t="str">
        <f ca="1">_xlfn.IFNA(INDIRECT(_xlfn.TEXTJOIN("",TRUE,A1755,"!",ADDRESS(17+(A1756-1)*J1755,6))),"")</f>
        <v/>
      </c>
      <c r="I1763" s="25" t="str">
        <f ca="1">_xlfn.IFNA(INDIRECT(_xlfn.TEXTJOIN("",TRUE,A1755,"!",ADDRESS(17+(A1756-1)*J1755,13))),"")</f>
        <v/>
      </c>
      <c r="J1763" s="25" t="str">
        <f ca="1">_xlfn.IFNA(INDIRECT(_xlfn.TEXTJOIN("",TRUE,A1755,"!",ADDRESS(17+(A1756-1)*J1755,14))),"")</f>
        <v/>
      </c>
    </row>
    <row r="1764" spans="1:10" ht="10.5" customHeight="1" x14ac:dyDescent="0.2">
      <c r="A1764" s="65" t="str">
        <f ca="1">_xlfn.IFNA(INDIRECT(_xlfn.TEXTJOIN("",TRUE,A1755,"!",ADDRESS(18+(A1756-1)*J1755,1))),"")</f>
        <v/>
      </c>
      <c r="B1764" s="65"/>
      <c r="C1764" s="66" t="str">
        <f ca="1">_xlfn.IFNA(INDIRECT(_xlfn.TEXTJOIN("",TRUE,A1755,"!",ADDRESS(18+(A1756-1)*J1755,2))),"")</f>
        <v/>
      </c>
      <c r="D1764" s="66"/>
      <c r="E1764" s="66"/>
      <c r="F1764" s="66"/>
      <c r="G1764" s="66"/>
      <c r="H1764" s="25" t="str">
        <f ca="1">_xlfn.IFNA(INDIRECT(_xlfn.TEXTJOIN("",TRUE,A1755,"!",ADDRESS(18+(A1756-1)*J1755,6))),"")</f>
        <v/>
      </c>
      <c r="I1764" s="25" t="str">
        <f ca="1">_xlfn.IFNA(INDIRECT(_xlfn.TEXTJOIN("",TRUE,A1755,"!",ADDRESS(18+(A1756-1)*J1755,13))),"")</f>
        <v/>
      </c>
      <c r="J1764" s="25" t="str">
        <f ca="1">_xlfn.IFNA(INDIRECT(_xlfn.TEXTJOIN("",TRUE,A1755,"!",ADDRESS(18+(A1756-1)*J1755,14))),"")</f>
        <v/>
      </c>
    </row>
    <row r="1765" spans="1:10" ht="10.5" customHeight="1" x14ac:dyDescent="0.2">
      <c r="A1765" s="60" t="str">
        <f ca="1">_xlfn.IFNA(INDIRECT(_xlfn.TEXTJOIN("",TRUE,A1755,"!",ADDRESS(19+(A1756-1)*J1755,1))),"")</f>
        <v/>
      </c>
      <c r="B1765" s="61"/>
      <c r="C1765" s="57" t="str">
        <f ca="1">_xlfn.IFNA(INDIRECT(_xlfn.TEXTJOIN("",TRUE,A1755,"!",ADDRESS(19+(A1756-1)*J1755,2))),"")</f>
        <v/>
      </c>
      <c r="D1765" s="58"/>
      <c r="E1765" s="58"/>
      <c r="F1765" s="58"/>
      <c r="G1765" s="59"/>
      <c r="H1765" s="25" t="str">
        <f ca="1">_xlfn.IFNA(INDIRECT(_xlfn.TEXTJOIN("",TRUE,A1755,"!",ADDRESS(19+(A1756-1)*J1755,6))),"")</f>
        <v/>
      </c>
      <c r="I1765" s="25" t="str">
        <f ca="1">_xlfn.IFNA(INDIRECT(_xlfn.TEXTJOIN("",TRUE,A1755,"!",ADDRESS(19+(A1756-1)*J1755,13))),"")</f>
        <v/>
      </c>
      <c r="J1765" s="25" t="str">
        <f ca="1">_xlfn.IFNA(INDIRECT(_xlfn.TEXTJOIN("",TRUE,A1755,"!",ADDRESS(19+(A1756-1)*J1755,14))),"")</f>
        <v/>
      </c>
    </row>
    <row r="1766" spans="1:10" ht="10.5" customHeight="1" x14ac:dyDescent="0.2">
      <c r="A1766" s="65" t="str">
        <f ca="1">_xlfn.IFNA(INDIRECT(_xlfn.TEXTJOIN("",TRUE,A1755,"!",ADDRESS(20+(A1756-1)*J1755,1))),"")</f>
        <v/>
      </c>
      <c r="B1766" s="65"/>
      <c r="C1766" s="66" t="str">
        <f ca="1">_xlfn.IFNA(INDIRECT(_xlfn.TEXTJOIN("",TRUE,A1755,"!",ADDRESS(20+(A1756-1)*J1755,2))),"")</f>
        <v/>
      </c>
      <c r="D1766" s="66"/>
      <c r="E1766" s="66"/>
      <c r="F1766" s="66"/>
      <c r="G1766" s="66"/>
      <c r="H1766" s="25" t="str">
        <f ca="1">_xlfn.IFNA(INDIRECT(_xlfn.TEXTJOIN("",TRUE,A1755,"!",ADDRESS(20+(A1756-1)*J1755,6))),"")</f>
        <v/>
      </c>
      <c r="I1766" s="25" t="str">
        <f ca="1">_xlfn.IFNA(INDIRECT(_xlfn.TEXTJOIN("",TRUE,A1755,"!",ADDRESS(20+(A1756-1)*J1755,13))),"")</f>
        <v/>
      </c>
      <c r="J1766" s="25" t="str">
        <f ca="1">_xlfn.IFNA(INDIRECT(_xlfn.TEXTJOIN("",TRUE,A1755,"!",ADDRESS(20+(A1756-1)*J1755,14))),"")</f>
        <v/>
      </c>
    </row>
    <row r="1767" spans="1:10" ht="10.5" customHeight="1" x14ac:dyDescent="0.2">
      <c r="A1767" s="65" t="str">
        <f ca="1">_xlfn.IFNA(INDIRECT(_xlfn.TEXTJOIN("",TRUE,A1755,"!",ADDRESS(21+(A1756-1)*J1755,1))),"")</f>
        <v/>
      </c>
      <c r="B1767" s="65"/>
      <c r="C1767" s="66" t="str">
        <f ca="1">_xlfn.IFNA(INDIRECT(_xlfn.TEXTJOIN("",TRUE,A1755,"!",ADDRESS(21+(A1756-1)*J1755,2))),"")</f>
        <v/>
      </c>
      <c r="D1767" s="66"/>
      <c r="E1767" s="66"/>
      <c r="F1767" s="66"/>
      <c r="G1767" s="66"/>
      <c r="H1767" s="25" t="str">
        <f ca="1">_xlfn.IFNA(INDIRECT(_xlfn.TEXTJOIN("",TRUE,A1755,"!",ADDRESS(21+(A1756-1)*J1755,6))),"")</f>
        <v/>
      </c>
      <c r="I1767" s="25" t="str">
        <f ca="1">_xlfn.IFNA(INDIRECT(_xlfn.TEXTJOIN("",TRUE,A1755,"!",ADDRESS(21+(A1756-1)*J1755,13))),"")</f>
        <v/>
      </c>
      <c r="J1767" s="25" t="str">
        <f ca="1">_xlfn.IFNA(INDIRECT(_xlfn.TEXTJOIN("",TRUE,A1755,"!",ADDRESS(21+(A1756-1)*J1755,14))),"")</f>
        <v/>
      </c>
    </row>
    <row r="1768" spans="1:10" ht="10.5" customHeight="1" x14ac:dyDescent="0.2">
      <c r="A1768" s="65" t="str">
        <f ca="1">_xlfn.IFNA(INDIRECT(_xlfn.TEXTJOIN("",TRUE,A1755,"!",ADDRESS(22+(A1756-1)*J1755,1))),"")</f>
        <v/>
      </c>
      <c r="B1768" s="65"/>
      <c r="C1768" s="66" t="str">
        <f ca="1">_xlfn.IFNA(INDIRECT(_xlfn.TEXTJOIN("",TRUE,A1755,"!",ADDRESS(22+(A1756-1)*J1755,2))),"")</f>
        <v/>
      </c>
      <c r="D1768" s="66"/>
      <c r="E1768" s="66"/>
      <c r="F1768" s="66"/>
      <c r="G1768" s="66"/>
      <c r="H1768" s="25" t="str">
        <f ca="1">_xlfn.IFNA(INDIRECT(_xlfn.TEXTJOIN("",TRUE,A1755,"!",ADDRESS(22+(A1756-1)*J1755,6))),"")</f>
        <v/>
      </c>
      <c r="I1768" s="25" t="str">
        <f ca="1">_xlfn.IFNA(INDIRECT(_xlfn.TEXTJOIN("",TRUE,A1755,"!",ADDRESS(22+(A1756-1)*J1755,13))),"")</f>
        <v/>
      </c>
      <c r="J1768" s="25" t="str">
        <f ca="1">_xlfn.IFNA(INDIRECT(_xlfn.TEXTJOIN("",TRUE,A1755,"!",ADDRESS(22+(A1756-1)*J1755,14))),"")</f>
        <v/>
      </c>
    </row>
    <row r="1769" spans="1:10" ht="10.5" customHeight="1" x14ac:dyDescent="0.2">
      <c r="A1769" s="71" t="str">
        <f ca="1">IF(ISNA(A1756),"","Total Credits/ Total Grade Points")</f>
        <v/>
      </c>
      <c r="B1769" s="71"/>
      <c r="C1769" s="71"/>
      <c r="D1769" s="71"/>
      <c r="E1769" s="71"/>
      <c r="F1769" s="71"/>
      <c r="G1769" s="71"/>
      <c r="H1769" s="27" t="str">
        <f ca="1">IF(ISNA(A1756),"",SUM(H1759:H1768))</f>
        <v/>
      </c>
      <c r="I1769" s="26" t="str">
        <f ca="1">IF(ISNA(A1756),"","-")</f>
        <v/>
      </c>
      <c r="J1769" s="27" t="str">
        <f ca="1">IF(ISNA(A1756),"",SUMPRODUCT(J1759:J1768,H1759:H1768))</f>
        <v/>
      </c>
    </row>
    <row r="1770" spans="1:10" ht="10.5" customHeight="1" x14ac:dyDescent="0.2">
      <c r="A1770" s="24" t="s">
        <v>60</v>
      </c>
      <c r="B1770" s="72" t="str">
        <f ca="1">IF(ISNA(A1771),"","Semester III (Autumn Semester 2023-24)")</f>
        <v/>
      </c>
      <c r="C1770" s="72"/>
      <c r="D1770" s="72"/>
      <c r="E1770" s="72"/>
      <c r="F1770" s="72"/>
      <c r="G1770" s="72"/>
      <c r="H1770" s="72"/>
      <c r="I1770" s="72"/>
      <c r="J1770" s="24">
        <f>ROWS(A1774:B1781)+9</f>
        <v>17</v>
      </c>
    </row>
    <row r="1771" spans="1:10" ht="10.5" customHeight="1" x14ac:dyDescent="0.2">
      <c r="A1771" s="24" t="e">
        <f ca="1">INDEX(SEM_III!$A$6:$A$43,Marksheets!J1771)</f>
        <v>#N/A</v>
      </c>
      <c r="B1771" s="63"/>
      <c r="C1771" s="63"/>
      <c r="D1771" s="63"/>
      <c r="E1771" s="63"/>
      <c r="F1771" s="63"/>
      <c r="G1771" s="63"/>
      <c r="H1771" s="63"/>
      <c r="I1771" s="63"/>
      <c r="J1771" s="24" t="e">
        <f ca="1">MATCH(H1734,SEM_III!$B$6:$B$43,0)</f>
        <v>#N/A</v>
      </c>
    </row>
    <row r="1772" spans="1:10" ht="10.5" customHeight="1" x14ac:dyDescent="0.2">
      <c r="A1772" s="64" t="str">
        <f ca="1">IF(ISNA(A1771),"","Subject Code")</f>
        <v/>
      </c>
      <c r="B1772" s="64"/>
      <c r="C1772" s="64" t="str">
        <f ca="1">IF(ISNA(A1771),"","Subject Name")</f>
        <v/>
      </c>
      <c r="D1772" s="64"/>
      <c r="E1772" s="64"/>
      <c r="F1772" s="64"/>
      <c r="G1772" s="64"/>
      <c r="H1772" s="64" t="str">
        <f ca="1">IF(ISNA(A1771),"","Credits")</f>
        <v/>
      </c>
      <c r="I1772" s="64" t="str">
        <f ca="1">IF(ISNA(A1771),"","Grade")</f>
        <v/>
      </c>
      <c r="J1772" s="64" t="str">
        <f ca="1">IF(ISNA(A1771),"","Grade Points")</f>
        <v/>
      </c>
    </row>
    <row r="1773" spans="1:10" ht="13" customHeight="1" x14ac:dyDescent="0.2">
      <c r="A1773" s="64"/>
      <c r="B1773" s="64"/>
      <c r="C1773" s="64"/>
      <c r="D1773" s="64"/>
      <c r="E1773" s="64"/>
      <c r="F1773" s="64"/>
      <c r="G1773" s="64"/>
      <c r="H1773" s="64"/>
      <c r="I1773" s="64"/>
      <c r="J1773" s="64"/>
    </row>
    <row r="1774" spans="1:10" ht="10.5" customHeight="1" x14ac:dyDescent="0.2">
      <c r="A1774" s="65" t="str">
        <f ca="1">_xlfn.IFNA(INDIRECT(_xlfn.TEXTJOIN("",TRUE,A1770,"!",ADDRESS(13+(A1771-1)*J1770,1))),"")</f>
        <v/>
      </c>
      <c r="B1774" s="65"/>
      <c r="C1774" s="66" t="str">
        <f ca="1">_xlfn.IFNA(INDIRECT(_xlfn.TEXTJOIN("",TRUE,A1770,"!",ADDRESS(13+(A1771-1)*J1770,2))),"")</f>
        <v/>
      </c>
      <c r="D1774" s="66"/>
      <c r="E1774" s="66"/>
      <c r="F1774" s="66"/>
      <c r="G1774" s="66"/>
      <c r="H1774" s="25" t="str">
        <f ca="1">_xlfn.IFNA(INDIRECT(_xlfn.TEXTJOIN("",TRUE,A1770,"!",ADDRESS(13+(A1771-1)*J1770,6))),"")</f>
        <v/>
      </c>
      <c r="I1774" s="25" t="str">
        <f ca="1">_xlfn.IFNA(INDIRECT(_xlfn.TEXTJOIN("",TRUE,A1770,"!",ADDRESS(13+(A1771-1)*J1770,13))),"")</f>
        <v/>
      </c>
      <c r="J1774" s="25" t="str">
        <f ca="1">_xlfn.IFNA(INDIRECT(_xlfn.TEXTJOIN("",TRUE,A1770,"!",ADDRESS(13+(A1771-1)*J1770,14))),"")</f>
        <v/>
      </c>
    </row>
    <row r="1775" spans="1:10" ht="10.5" customHeight="1" x14ac:dyDescent="0.2">
      <c r="A1775" s="65" t="str">
        <f ca="1">_xlfn.IFNA(INDIRECT(_xlfn.TEXTJOIN("",TRUE,A1770,"!",ADDRESS(14+(A1771-1)*J1770,1))),"")</f>
        <v/>
      </c>
      <c r="B1775" s="65"/>
      <c r="C1775" s="66" t="str">
        <f ca="1">_xlfn.IFNA(INDIRECT(_xlfn.TEXTJOIN("",TRUE,A1770,"!",ADDRESS(14+(A1771-1)*J1770,2))),"")</f>
        <v/>
      </c>
      <c r="D1775" s="66"/>
      <c r="E1775" s="66"/>
      <c r="F1775" s="66"/>
      <c r="G1775" s="66"/>
      <c r="H1775" s="25" t="str">
        <f ca="1">_xlfn.IFNA(INDIRECT(_xlfn.TEXTJOIN("",TRUE,A1770,"!",ADDRESS(14+(A1771-1)*J1770,6))),"")</f>
        <v/>
      </c>
      <c r="I1775" s="25" t="str">
        <f ca="1">_xlfn.IFNA(INDIRECT(_xlfn.TEXTJOIN("",TRUE,A1770,"!",ADDRESS(14+(A1771-1)*J1770,13))),"")</f>
        <v/>
      </c>
      <c r="J1775" s="25" t="str">
        <f ca="1">_xlfn.IFNA(INDIRECT(_xlfn.TEXTJOIN("",TRUE,A1770,"!",ADDRESS(14+(A1771-1)*J1770,14))),"")</f>
        <v/>
      </c>
    </row>
    <row r="1776" spans="1:10" ht="10.5" customHeight="1" x14ac:dyDescent="0.2">
      <c r="A1776" s="65" t="str">
        <f ca="1">_xlfn.IFNA(INDIRECT(_xlfn.TEXTJOIN("",TRUE,A1770,"!",ADDRESS(15+(A1771-1)*J1770,1))),"")</f>
        <v/>
      </c>
      <c r="B1776" s="65"/>
      <c r="C1776" s="66" t="str">
        <f ca="1">_xlfn.IFNA(INDIRECT(_xlfn.TEXTJOIN("",TRUE,A1770,"!",ADDRESS(15+(A1771-1)*J1770,2))),"")</f>
        <v/>
      </c>
      <c r="D1776" s="66"/>
      <c r="E1776" s="66"/>
      <c r="F1776" s="66"/>
      <c r="G1776" s="66"/>
      <c r="H1776" s="25" t="str">
        <f ca="1">_xlfn.IFNA(INDIRECT(_xlfn.TEXTJOIN("",TRUE,A1770,"!",ADDRESS(15+(A1771-1)*J1770,6))),"")</f>
        <v/>
      </c>
      <c r="I1776" s="25" t="str">
        <f ca="1">_xlfn.IFNA(INDIRECT(_xlfn.TEXTJOIN("",TRUE,A1770,"!",ADDRESS(15+(A1771-1)*J1770,13))),"")</f>
        <v/>
      </c>
      <c r="J1776" s="25" t="str">
        <f ca="1">_xlfn.IFNA(INDIRECT(_xlfn.TEXTJOIN("",TRUE,A1770,"!",ADDRESS(15+(A1771-1)*J1770,14))),"")</f>
        <v/>
      </c>
    </row>
    <row r="1777" spans="1:10" ht="10.5" customHeight="1" x14ac:dyDescent="0.2">
      <c r="A1777" s="65" t="str">
        <f ca="1">_xlfn.IFNA(INDIRECT(_xlfn.TEXTJOIN("",TRUE,A1770,"!",ADDRESS(16+(A1771-1)*J1770,1))),"")</f>
        <v/>
      </c>
      <c r="B1777" s="65"/>
      <c r="C1777" s="66" t="str">
        <f ca="1">_xlfn.IFNA(INDIRECT(_xlfn.TEXTJOIN("",TRUE,A1770,"!",ADDRESS(16+(A1771-1)*J1770,2))),"")</f>
        <v/>
      </c>
      <c r="D1777" s="66"/>
      <c r="E1777" s="66"/>
      <c r="F1777" s="66"/>
      <c r="G1777" s="66"/>
      <c r="H1777" s="25" t="str">
        <f ca="1">_xlfn.IFNA(INDIRECT(_xlfn.TEXTJOIN("",TRUE,A1770,"!",ADDRESS(16+(A1771-1)*J1770,6))),"")</f>
        <v/>
      </c>
      <c r="I1777" s="25" t="str">
        <f ca="1">_xlfn.IFNA(INDIRECT(_xlfn.TEXTJOIN("",TRUE,A1770,"!",ADDRESS(16+(A1771-1)*J1770,13))),"")</f>
        <v/>
      </c>
      <c r="J1777" s="25" t="str">
        <f ca="1">_xlfn.IFNA(INDIRECT(_xlfn.TEXTJOIN("",TRUE,A1770,"!",ADDRESS(16+(A1771-1)*J1770,14))),"")</f>
        <v/>
      </c>
    </row>
    <row r="1778" spans="1:10" ht="10.5" customHeight="1" x14ac:dyDescent="0.2">
      <c r="A1778" s="65" t="str">
        <f ca="1">_xlfn.IFNA(INDIRECT(_xlfn.TEXTJOIN("",TRUE,A1770,"!",ADDRESS(17+(A1771-1)*J1770,1))),"")</f>
        <v/>
      </c>
      <c r="B1778" s="65"/>
      <c r="C1778" s="66" t="str">
        <f ca="1">_xlfn.IFNA(INDIRECT(_xlfn.TEXTJOIN("",TRUE,A1770,"!",ADDRESS(17+(A1771-1)*J1770,2))),"")</f>
        <v/>
      </c>
      <c r="D1778" s="66"/>
      <c r="E1778" s="66"/>
      <c r="F1778" s="66"/>
      <c r="G1778" s="66"/>
      <c r="H1778" s="25" t="str">
        <f ca="1">_xlfn.IFNA(INDIRECT(_xlfn.TEXTJOIN("",TRUE,A1770,"!",ADDRESS(17+(A1771-1)*J1770,6))),"")</f>
        <v/>
      </c>
      <c r="I1778" s="25" t="str">
        <f ca="1">_xlfn.IFNA(INDIRECT(_xlfn.TEXTJOIN("",TRUE,A1770,"!",ADDRESS(17+(A1771-1)*J1770,13))),"")</f>
        <v/>
      </c>
      <c r="J1778" s="25" t="str">
        <f ca="1">_xlfn.IFNA(INDIRECT(_xlfn.TEXTJOIN("",TRUE,A1770,"!",ADDRESS(17+(A1771-1)*J1770,14))),"")</f>
        <v/>
      </c>
    </row>
    <row r="1779" spans="1:10" ht="10.5" customHeight="1" x14ac:dyDescent="0.2">
      <c r="A1779" s="65" t="str">
        <f ca="1">_xlfn.IFNA(INDIRECT(_xlfn.TEXTJOIN("",TRUE,A1770,"!",ADDRESS(18+(A1771-1)*J1770,1))),"")</f>
        <v/>
      </c>
      <c r="B1779" s="65"/>
      <c r="C1779" s="66" t="str">
        <f ca="1">_xlfn.IFNA(INDIRECT(_xlfn.TEXTJOIN("",TRUE,A1770,"!",ADDRESS(18+(A1771-1)*J1770,2))),"")</f>
        <v/>
      </c>
      <c r="D1779" s="66"/>
      <c r="E1779" s="66"/>
      <c r="F1779" s="66"/>
      <c r="G1779" s="66"/>
      <c r="H1779" s="25" t="str">
        <f ca="1">_xlfn.IFNA(INDIRECT(_xlfn.TEXTJOIN("",TRUE,A1770,"!",ADDRESS(18+(A1771-1)*J1770,6))),"")</f>
        <v/>
      </c>
      <c r="I1779" s="25" t="str">
        <f ca="1">_xlfn.IFNA(INDIRECT(_xlfn.TEXTJOIN("",TRUE,A1770,"!",ADDRESS(18+(A1771-1)*J1770,13))),"")</f>
        <v/>
      </c>
      <c r="J1779" s="25" t="str">
        <f ca="1">_xlfn.IFNA(INDIRECT(_xlfn.TEXTJOIN("",TRUE,A1770,"!",ADDRESS(18+(A1771-1)*J1770,14))),"")</f>
        <v/>
      </c>
    </row>
    <row r="1780" spans="1:10" ht="10.5" customHeight="1" x14ac:dyDescent="0.2">
      <c r="A1780" s="60" t="str">
        <f ca="1">_xlfn.IFNA(INDIRECT(_xlfn.TEXTJOIN("",TRUE,A1770,"!",ADDRESS(19+(A1771-1)*J1770,1))),"")</f>
        <v/>
      </c>
      <c r="B1780" s="61"/>
      <c r="C1780" s="57" t="str">
        <f ca="1">_xlfn.IFNA(INDIRECT(_xlfn.TEXTJOIN("",TRUE,A1770,"!",ADDRESS(19+(A1771-1)*J1770,2))),"")</f>
        <v/>
      </c>
      <c r="D1780" s="58"/>
      <c r="E1780" s="58"/>
      <c r="F1780" s="58"/>
      <c r="G1780" s="59"/>
      <c r="H1780" s="25" t="str">
        <f ca="1">_xlfn.IFNA(INDIRECT(_xlfn.TEXTJOIN("",TRUE,A1770,"!",ADDRESS(19+(A1771-1)*J1770,6))),"")</f>
        <v/>
      </c>
      <c r="I1780" s="25" t="str">
        <f ca="1">_xlfn.IFNA(INDIRECT(_xlfn.TEXTJOIN("",TRUE,A1770,"!",ADDRESS(19+(A1771-1)*J1770,13))),"")</f>
        <v/>
      </c>
      <c r="J1780" s="25" t="str">
        <f ca="1">_xlfn.IFNA(INDIRECT(_xlfn.TEXTJOIN("",TRUE,A1770,"!",ADDRESS(19+(A1771-1)*J1770,14))),"")</f>
        <v/>
      </c>
    </row>
    <row r="1781" spans="1:10" ht="10.5" customHeight="1" x14ac:dyDescent="0.2">
      <c r="A1781" s="65" t="str">
        <f ca="1">_xlfn.IFNA(INDIRECT(_xlfn.TEXTJOIN("",TRUE,A1770,"!",ADDRESS(20+(A1771-1)*J1770,1))),"")</f>
        <v/>
      </c>
      <c r="B1781" s="65"/>
      <c r="C1781" s="66" t="str">
        <f ca="1">_xlfn.IFNA(INDIRECT(_xlfn.TEXTJOIN("",TRUE,A1770,"!",ADDRESS(20+(A1771-1)*J1770,2))),"")</f>
        <v/>
      </c>
      <c r="D1781" s="66"/>
      <c r="E1781" s="66"/>
      <c r="F1781" s="66"/>
      <c r="G1781" s="66"/>
      <c r="H1781" s="25" t="str">
        <f ca="1">_xlfn.IFNA(INDIRECT(_xlfn.TEXTJOIN("",TRUE,A1770,"!",ADDRESS(20+(A1771-1)*J1770,6))),"")</f>
        <v/>
      </c>
      <c r="I1781" s="25" t="str">
        <f ca="1">_xlfn.IFNA(INDIRECT(_xlfn.TEXTJOIN("",TRUE,A1770,"!",ADDRESS(20+(A1771-1)*J1770,13))),"")</f>
        <v/>
      </c>
      <c r="J1781" s="25" t="str">
        <f ca="1">_xlfn.IFNA(INDIRECT(_xlfn.TEXTJOIN("",TRUE,A1770,"!",ADDRESS(20+(A1771-1)*J1770,14))),"")</f>
        <v/>
      </c>
    </row>
    <row r="1782" spans="1:10" ht="10.5" customHeight="1" x14ac:dyDescent="0.2">
      <c r="A1782" s="71" t="str">
        <f ca="1">IF(ISNA(A1771),"","Total Credits/ Total Grade Points")</f>
        <v/>
      </c>
      <c r="B1782" s="71"/>
      <c r="C1782" s="71"/>
      <c r="D1782" s="71"/>
      <c r="E1782" s="71"/>
      <c r="F1782" s="71"/>
      <c r="G1782" s="71"/>
      <c r="H1782" s="27" t="str">
        <f ca="1">IF(ISNA(A1771),"",SUM(H1774:H1781))</f>
        <v/>
      </c>
      <c r="I1782" s="26" t="str">
        <f ca="1">IF(ISNA(A1771),"","-")</f>
        <v/>
      </c>
      <c r="J1782" s="27" t="str">
        <f ca="1">IF(ISNA(A1771),"",SUMPRODUCT(J1774:J1781,H1774:H1781))</f>
        <v/>
      </c>
    </row>
    <row r="1783" spans="1:10" ht="10.5" customHeight="1" x14ac:dyDescent="0.2">
      <c r="A1783" s="24" t="s">
        <v>133</v>
      </c>
      <c r="B1783" s="72" t="str">
        <f ca="1">IF(ISNA(A1784),"","Semester IV (Spring Semester 2023-24)")</f>
        <v/>
      </c>
      <c r="C1783" s="72"/>
      <c r="D1783" s="72"/>
      <c r="E1783" s="72"/>
      <c r="F1783" s="72"/>
      <c r="G1783" s="72"/>
      <c r="H1783" s="72"/>
      <c r="I1783" s="72"/>
      <c r="J1783" s="24">
        <f>ROWS(A1787:B1793)+9</f>
        <v>16</v>
      </c>
    </row>
    <row r="1784" spans="1:10" ht="10.5" customHeight="1" x14ac:dyDescent="0.2">
      <c r="A1784" s="24" t="e">
        <f ca="1">INDEX(SEM_IV!$A$6:$A$43,Marksheets!J1784)</f>
        <v>#N/A</v>
      </c>
      <c r="B1784" s="63"/>
      <c r="C1784" s="63"/>
      <c r="D1784" s="63"/>
      <c r="E1784" s="63"/>
      <c r="F1784" s="63"/>
      <c r="G1784" s="63"/>
      <c r="H1784" s="63"/>
      <c r="I1784" s="63"/>
      <c r="J1784" s="24" t="e">
        <f ca="1">MATCH(H1734,SEM_IV!$B$6:$B$43,0)</f>
        <v>#N/A</v>
      </c>
    </row>
    <row r="1785" spans="1:10" ht="10.5" customHeight="1" x14ac:dyDescent="0.2">
      <c r="A1785" s="64" t="str">
        <f ca="1">IF(ISNA(A1784),"","Subject Code")</f>
        <v/>
      </c>
      <c r="B1785" s="64"/>
      <c r="C1785" s="64" t="str">
        <f ca="1">IF(ISNA(A1784),"","Subject Name")</f>
        <v/>
      </c>
      <c r="D1785" s="64"/>
      <c r="E1785" s="64"/>
      <c r="F1785" s="64"/>
      <c r="G1785" s="64"/>
      <c r="H1785" s="64" t="str">
        <f ca="1">IF(ISNA(A1784),"","Credits")</f>
        <v/>
      </c>
      <c r="I1785" s="64" t="str">
        <f ca="1">IF(ISNA(A1784),"","Grade")</f>
        <v/>
      </c>
      <c r="J1785" s="64" t="str">
        <f ca="1">IF(ISNA(A1784),"","Grade Points")</f>
        <v/>
      </c>
    </row>
    <row r="1786" spans="1:10" ht="12.5" customHeight="1" x14ac:dyDescent="0.2">
      <c r="A1786" s="64"/>
      <c r="B1786" s="64"/>
      <c r="C1786" s="64"/>
      <c r="D1786" s="64"/>
      <c r="E1786" s="64"/>
      <c r="F1786" s="64"/>
      <c r="G1786" s="64"/>
      <c r="H1786" s="64"/>
      <c r="I1786" s="64"/>
      <c r="J1786" s="64"/>
    </row>
    <row r="1787" spans="1:10" ht="10.5" customHeight="1" x14ac:dyDescent="0.2">
      <c r="A1787" s="65" t="str">
        <f ca="1">_xlfn.IFNA(INDIRECT(_xlfn.TEXTJOIN("",TRUE,A1783,"!",ADDRESS(13+(A1784-1)*J1783,1))),"")</f>
        <v/>
      </c>
      <c r="B1787" s="65"/>
      <c r="C1787" s="66" t="str">
        <f ca="1">_xlfn.IFNA(INDIRECT(_xlfn.TEXTJOIN("",TRUE,A1783,"!",ADDRESS(13+(A1784-1)*J1783,2))),"")</f>
        <v/>
      </c>
      <c r="D1787" s="66"/>
      <c r="E1787" s="66"/>
      <c r="F1787" s="66"/>
      <c r="G1787" s="66"/>
      <c r="H1787" s="25" t="str">
        <f ca="1">_xlfn.IFNA(INDIRECT(_xlfn.TEXTJOIN("",TRUE,A1783,"!",ADDRESS(13+(A1784-1)*J1783,6))),"")</f>
        <v/>
      </c>
      <c r="I1787" s="25" t="str">
        <f ca="1">_xlfn.IFNA(INDIRECT(_xlfn.TEXTJOIN("",TRUE,A1783,"!",ADDRESS(13+(A1784-1)*J1783,13))),"")</f>
        <v/>
      </c>
      <c r="J1787" s="25" t="str">
        <f ca="1">_xlfn.IFNA(INDIRECT(_xlfn.TEXTJOIN("",TRUE,A1783,"!",ADDRESS(13+(A1784-1)*J1783,14))),"")</f>
        <v/>
      </c>
    </row>
    <row r="1788" spans="1:10" ht="10.5" customHeight="1" x14ac:dyDescent="0.2">
      <c r="A1788" s="65" t="str">
        <f ca="1">_xlfn.IFNA(INDIRECT(_xlfn.TEXTJOIN("",TRUE,A1783,"!",ADDRESS(14+(A1784-1)*J1783,1))),"")</f>
        <v/>
      </c>
      <c r="B1788" s="65"/>
      <c r="C1788" s="66" t="str">
        <f ca="1">_xlfn.IFNA(INDIRECT(_xlfn.TEXTJOIN("",TRUE,A1783,"!",ADDRESS(14+(A1784-1)*J1783,2))),"")</f>
        <v/>
      </c>
      <c r="D1788" s="66"/>
      <c r="E1788" s="66"/>
      <c r="F1788" s="66"/>
      <c r="G1788" s="66"/>
      <c r="H1788" s="25" t="str">
        <f ca="1">_xlfn.IFNA(INDIRECT(_xlfn.TEXTJOIN("",TRUE,A1783,"!",ADDRESS(14+(A1784-1)*J1783,6))),"")</f>
        <v/>
      </c>
      <c r="I1788" s="25" t="str">
        <f ca="1">_xlfn.IFNA(INDIRECT(_xlfn.TEXTJOIN("",TRUE,A1783,"!",ADDRESS(14+(A1784-1)*J1783,13))),"")</f>
        <v/>
      </c>
      <c r="J1788" s="25" t="str">
        <f ca="1">_xlfn.IFNA(INDIRECT(_xlfn.TEXTJOIN("",TRUE,A1783,"!",ADDRESS(14+(A1784-1)*J1783,14))),"")</f>
        <v/>
      </c>
    </row>
    <row r="1789" spans="1:10" ht="10.5" customHeight="1" x14ac:dyDescent="0.2">
      <c r="A1789" s="65" t="str">
        <f ca="1">_xlfn.IFNA(INDIRECT(_xlfn.TEXTJOIN("",TRUE,A1783,"!",ADDRESS(15+(A1784-1)*J1783,1))),"")</f>
        <v/>
      </c>
      <c r="B1789" s="65"/>
      <c r="C1789" s="66" t="str">
        <f ca="1">_xlfn.IFNA(INDIRECT(_xlfn.TEXTJOIN("",TRUE,A1783,"!",ADDRESS(15+(A1784-1)*J1783,2))),"")</f>
        <v/>
      </c>
      <c r="D1789" s="66"/>
      <c r="E1789" s="66"/>
      <c r="F1789" s="66"/>
      <c r="G1789" s="66"/>
      <c r="H1789" s="25" t="str">
        <f ca="1">_xlfn.IFNA(INDIRECT(_xlfn.TEXTJOIN("",TRUE,A1783,"!",ADDRESS(15+(A1784-1)*J1783,6))),"")</f>
        <v/>
      </c>
      <c r="I1789" s="25" t="str">
        <f ca="1">_xlfn.IFNA(INDIRECT(_xlfn.TEXTJOIN("",TRUE,A1783,"!",ADDRESS(15+(A1784-1)*J1783,13))),"")</f>
        <v/>
      </c>
      <c r="J1789" s="25" t="str">
        <f ca="1">_xlfn.IFNA(INDIRECT(_xlfn.TEXTJOIN("",TRUE,A1783,"!",ADDRESS(15+(A1784-1)*J1783,14))),"")</f>
        <v/>
      </c>
    </row>
    <row r="1790" spans="1:10" ht="10.5" customHeight="1" x14ac:dyDescent="0.2">
      <c r="A1790" s="65" t="str">
        <f ca="1">_xlfn.IFNA(INDIRECT(_xlfn.TEXTJOIN("",TRUE,A1783,"!",ADDRESS(16+(A1784-1)*J1783,1))),"")</f>
        <v/>
      </c>
      <c r="B1790" s="65"/>
      <c r="C1790" s="66" t="str">
        <f ca="1">_xlfn.IFNA(INDIRECT(_xlfn.TEXTJOIN("",TRUE,A1783,"!",ADDRESS(16+(A1784-1)*J1783,2))),"")</f>
        <v/>
      </c>
      <c r="D1790" s="66"/>
      <c r="E1790" s="66"/>
      <c r="F1790" s="66"/>
      <c r="G1790" s="66"/>
      <c r="H1790" s="25" t="str">
        <f ca="1">_xlfn.IFNA(INDIRECT(_xlfn.TEXTJOIN("",TRUE,A1783,"!",ADDRESS(16+(A1784-1)*J1783,6))),"")</f>
        <v/>
      </c>
      <c r="I1790" s="25" t="str">
        <f ca="1">_xlfn.IFNA(INDIRECT(_xlfn.TEXTJOIN("",TRUE,A1783,"!",ADDRESS(16+(A1784-1)*J1783,13))),"")</f>
        <v/>
      </c>
      <c r="J1790" s="25" t="str">
        <f ca="1">_xlfn.IFNA(INDIRECT(_xlfn.TEXTJOIN("",TRUE,A1783,"!",ADDRESS(16+(A1784-1)*J1783,14))),"")</f>
        <v/>
      </c>
    </row>
    <row r="1791" spans="1:10" ht="10.5" customHeight="1" x14ac:dyDescent="0.2">
      <c r="A1791" s="65" t="str">
        <f ca="1">_xlfn.IFNA(INDIRECT(_xlfn.TEXTJOIN("",TRUE,A1783,"!",ADDRESS(17+(A1784-1)*J1783,1))),"")</f>
        <v/>
      </c>
      <c r="B1791" s="65"/>
      <c r="C1791" s="66" t="str">
        <f ca="1">_xlfn.IFNA(INDIRECT(_xlfn.TEXTJOIN("",TRUE,A1783,"!",ADDRESS(17+(A1784-1)*J1783,2))),"")</f>
        <v/>
      </c>
      <c r="D1791" s="66"/>
      <c r="E1791" s="66"/>
      <c r="F1791" s="66"/>
      <c r="G1791" s="66"/>
      <c r="H1791" s="25" t="str">
        <f ca="1">_xlfn.IFNA(INDIRECT(_xlfn.TEXTJOIN("",TRUE,A1783,"!",ADDRESS(17+(A1784-1)*J1783,6))),"")</f>
        <v/>
      </c>
      <c r="I1791" s="25" t="str">
        <f ca="1">_xlfn.IFNA(INDIRECT(_xlfn.TEXTJOIN("",TRUE,A1783,"!",ADDRESS(17+(A1784-1)*J1783,13))),"")</f>
        <v/>
      </c>
      <c r="J1791" s="25" t="str">
        <f ca="1">_xlfn.IFNA(INDIRECT(_xlfn.TEXTJOIN("",TRUE,A1783,"!",ADDRESS(17+(A1784-1)*J1783,14))),"")</f>
        <v/>
      </c>
    </row>
    <row r="1792" spans="1:10" ht="10.5" customHeight="1" x14ac:dyDescent="0.2">
      <c r="A1792" s="65" t="str">
        <f ca="1">_xlfn.IFNA(INDIRECT(_xlfn.TEXTJOIN("",TRUE,A1783,"!",ADDRESS(18+(A1784-1)*J1783,1))),"")</f>
        <v/>
      </c>
      <c r="B1792" s="65"/>
      <c r="C1792" s="66" t="str">
        <f ca="1">_xlfn.IFNA(INDIRECT(_xlfn.TEXTJOIN("",TRUE,A1783,"!",ADDRESS(18+(A1784-1)*J1783,2))),"")</f>
        <v/>
      </c>
      <c r="D1792" s="66"/>
      <c r="E1792" s="66"/>
      <c r="F1792" s="66"/>
      <c r="G1792" s="66"/>
      <c r="H1792" s="25" t="str">
        <f ca="1">_xlfn.IFNA(INDIRECT(_xlfn.TEXTJOIN("",TRUE,A1783,"!",ADDRESS(18+(A1784-1)*J1783,6))),"")</f>
        <v/>
      </c>
      <c r="I1792" s="25" t="str">
        <f ca="1">_xlfn.IFNA(INDIRECT(_xlfn.TEXTJOIN("",TRUE,A1783,"!",ADDRESS(18+(A1784-1)*J1783,13))),"")</f>
        <v/>
      </c>
      <c r="J1792" s="25" t="str">
        <f ca="1">_xlfn.IFNA(INDIRECT(_xlfn.TEXTJOIN("",TRUE,A1783,"!",ADDRESS(18+(A1784-1)*J1783,14))),"")</f>
        <v/>
      </c>
    </row>
    <row r="1793" spans="1:10" ht="10.5" customHeight="1" x14ac:dyDescent="0.2">
      <c r="A1793" s="60" t="str">
        <f ca="1">_xlfn.IFNA(INDIRECT(_xlfn.TEXTJOIN("",TRUE,A1783,"!",ADDRESS(19+(A1784-1)*J1783,1))),"")</f>
        <v/>
      </c>
      <c r="B1793" s="61"/>
      <c r="C1793" s="57" t="str">
        <f ca="1">_xlfn.IFNA(INDIRECT(_xlfn.TEXTJOIN("",TRUE,A1783,"!",ADDRESS(19+(A1784-1)*J1783,2))),"")</f>
        <v/>
      </c>
      <c r="D1793" s="58"/>
      <c r="E1793" s="58"/>
      <c r="F1793" s="58"/>
      <c r="G1793" s="59"/>
      <c r="H1793" s="25" t="str">
        <f ca="1">_xlfn.IFNA(INDIRECT(_xlfn.TEXTJOIN("",TRUE,A1783,"!",ADDRESS(19+(A1784-1)*J1783,6))),"")</f>
        <v/>
      </c>
      <c r="I1793" s="25" t="str">
        <f ca="1">_xlfn.IFNA(INDIRECT(_xlfn.TEXTJOIN("",TRUE,A1783,"!",ADDRESS(19+(A1784-1)*J1783,13))),"")</f>
        <v/>
      </c>
      <c r="J1793" s="25" t="str">
        <f ca="1">_xlfn.IFNA(INDIRECT(_xlfn.TEXTJOIN("",TRUE,A1783,"!",ADDRESS(19+(A1784-1)*J1783,14))),"")</f>
        <v/>
      </c>
    </row>
    <row r="1794" spans="1:10" ht="10.5" customHeight="1" x14ac:dyDescent="0.2">
      <c r="A1794" s="71" t="str">
        <f ca="1">IF(ISNA(A1784),"","Total Credits/ Total Grade Points")</f>
        <v/>
      </c>
      <c r="B1794" s="71"/>
      <c r="C1794" s="71"/>
      <c r="D1794" s="71"/>
      <c r="E1794" s="71"/>
      <c r="F1794" s="71"/>
      <c r="G1794" s="71"/>
      <c r="H1794" s="27" t="str">
        <f ca="1">IF(ISNA(A1784),"",SUM(H1786:H1793))</f>
        <v/>
      </c>
      <c r="I1794" s="26" t="str">
        <f ca="1">IF(ISNA(A1784),"","-")</f>
        <v/>
      </c>
      <c r="J1794" s="27" t="str">
        <f ca="1">IF(ISNA(A1784),"",SUMPRODUCT(J1786:J1793,H1786:H1793))</f>
        <v/>
      </c>
    </row>
    <row r="1795" spans="1:10" ht="10.5" customHeight="1" x14ac:dyDescent="0.2">
      <c r="A1795" s="75" t="s">
        <v>137</v>
      </c>
      <c r="B1795" s="75"/>
      <c r="C1795" s="75"/>
      <c r="D1795" s="75"/>
      <c r="E1795" s="75"/>
      <c r="F1795" s="76" t="s">
        <v>138</v>
      </c>
      <c r="G1795" s="76"/>
      <c r="H1795" s="76"/>
      <c r="I1795" s="76"/>
      <c r="J1795" s="76"/>
    </row>
    <row r="1796" spans="1:10" ht="10.5" customHeight="1" x14ac:dyDescent="0.2">
      <c r="A1796" s="43" t="s">
        <v>139</v>
      </c>
      <c r="B1796" s="43"/>
      <c r="C1796" s="43"/>
      <c r="D1796" s="43"/>
      <c r="E1796" s="43"/>
      <c r="F1796" s="43"/>
      <c r="G1796" s="43"/>
      <c r="H1796" s="43"/>
      <c r="I1796" s="43"/>
      <c r="J1796" s="43"/>
    </row>
    <row r="1797" spans="1:10" ht="10.5" customHeight="1" x14ac:dyDescent="0.2">
      <c r="A1797" s="10"/>
      <c r="B1797" s="26"/>
      <c r="C1797" s="26" t="s">
        <v>140</v>
      </c>
      <c r="D1797" s="26" t="s">
        <v>141</v>
      </c>
      <c r="E1797" s="26" t="s">
        <v>142</v>
      </c>
      <c r="F1797" s="26" t="s">
        <v>143</v>
      </c>
      <c r="G1797" s="26" t="s">
        <v>144</v>
      </c>
      <c r="H1797" s="79" t="s">
        <v>145</v>
      </c>
      <c r="I1797" s="79"/>
      <c r="J1797" s="30"/>
    </row>
    <row r="1798" spans="1:10" ht="10.5" customHeight="1" x14ac:dyDescent="0.2">
      <c r="A1798" s="10"/>
      <c r="B1798" s="80" t="s">
        <v>146</v>
      </c>
      <c r="C1798" s="73" t="e">
        <f ca="1">J1754/H1754</f>
        <v>#N/A</v>
      </c>
      <c r="D1798" s="73" t="e">
        <f ca="1">J1769/H1769</f>
        <v>#VALUE!</v>
      </c>
      <c r="E1798" s="73" t="str">
        <f ca="1">IFERROR(J1782/H1782,"")</f>
        <v/>
      </c>
      <c r="F1798" s="73" t="str">
        <f ca="1">IFERROR(J1794/H1794,"")</f>
        <v/>
      </c>
      <c r="G1798" s="82" t="e">
        <f ca="1">F1800</f>
        <v>#N/A</v>
      </c>
      <c r="H1798" s="83" t="e">
        <f ca="1">IF(TC_IV!N405&lt;96,_xlfn.TEXTJOIN(" ",TRUE,"CARRY OVER",TC_I!V602,TC_II!V498,TC_III!V429,TC_IV!V404),IF(G1798&gt;=8,"First Division with Distinction",IF(G1798&gt;=6.5,"First Division",IF(G1798&gt;=5,"Second Division",IF(G1798&gt;=4,"Third Division","Fail")))))</f>
        <v>#N/A</v>
      </c>
      <c r="I1798" s="83"/>
      <c r="J1798" s="30"/>
    </row>
    <row r="1799" spans="1:10" ht="10.5" customHeight="1" x14ac:dyDescent="0.2">
      <c r="B1799" s="81"/>
      <c r="C1799" s="74"/>
      <c r="D1799" s="74"/>
      <c r="E1799" s="74"/>
      <c r="F1799" s="74"/>
      <c r="G1799" s="82"/>
      <c r="H1799" s="83"/>
      <c r="I1799" s="83"/>
    </row>
    <row r="1800" spans="1:10" ht="10.5" customHeight="1" x14ac:dyDescent="0.2">
      <c r="B1800" s="80" t="s">
        <v>48</v>
      </c>
      <c r="C1800" s="73" t="e">
        <f ca="1">J1754/H1754</f>
        <v>#N/A</v>
      </c>
      <c r="D1800" s="73" t="e">
        <f ca="1">SUM(J1769,J1754)/SUM(H1769,H1754)</f>
        <v>#N/A</v>
      </c>
      <c r="E1800" s="73" t="e">
        <f ca="1">SUM(J1782,J1769,J1754)/SUM(H1782,H1769,H1754)</f>
        <v>#N/A</v>
      </c>
      <c r="F1800" s="73" t="e">
        <f ca="1">SUM(J1794,J1782,J1769,J1754)/SUM(H1754,H1769,H1782,H1794)</f>
        <v>#N/A</v>
      </c>
      <c r="G1800" s="82"/>
      <c r="H1800" s="83"/>
      <c r="I1800" s="83"/>
    </row>
    <row r="1801" spans="1:10" ht="10.5" customHeight="1" x14ac:dyDescent="0.2">
      <c r="B1801" s="81"/>
      <c r="C1801" s="74"/>
      <c r="D1801" s="74"/>
      <c r="E1801" s="74"/>
      <c r="F1801" s="74"/>
      <c r="G1801" s="82"/>
      <c r="H1801" s="83"/>
      <c r="I1801" s="83"/>
    </row>
    <row r="1803" spans="1:10" ht="10.5" customHeight="1" x14ac:dyDescent="0.2">
      <c r="A1803" s="56" t="s">
        <v>24</v>
      </c>
      <c r="B1803" s="56"/>
      <c r="C1803" s="56" t="str">
        <f ca="1">INDIRECT(_xlfn.TEXTJOIN("",TRUE,A1805,"!",ADDRESS(9+(A1806-1)*J1805,2)))</f>
        <v/>
      </c>
      <c r="D1803" s="56"/>
      <c r="E1803" s="56"/>
      <c r="F1803" s="56" t="s">
        <v>135</v>
      </c>
      <c r="G1803" s="56"/>
      <c r="H1803" s="62" t="str">
        <f ca="1">INDIRECT(_xlfn.TEXTJOIN("",TRUE,A1805,"!",ADDRESS(9+(A1806-1)*J1805,9)))</f>
        <v/>
      </c>
      <c r="I1803" s="56"/>
      <c r="J1803" s="56"/>
    </row>
    <row r="1804" spans="1:10" ht="10.5" customHeight="1" x14ac:dyDescent="0.2">
      <c r="A1804" s="56" t="s">
        <v>25</v>
      </c>
      <c r="B1804" s="56"/>
      <c r="C1804" s="56" t="str">
        <f ca="1">INDIRECT(_xlfn.TEXTJOIN("",TRUE,A1805,"!",ADDRESS(9+(A1806-1)*J1805,5)))</f>
        <v/>
      </c>
      <c r="D1804" s="56"/>
      <c r="E1804" s="56"/>
      <c r="F1804" s="47" t="s">
        <v>136</v>
      </c>
      <c r="G1804" s="47"/>
      <c r="H1804" s="62" t="str">
        <f ca="1">INDIRECT(_xlfn.TEXTJOIN("",TRUE,A1805,"!",ADDRESS(9+(A1806-1)*J1805,13)))</f>
        <v/>
      </c>
      <c r="I1804" s="56"/>
      <c r="J1804" s="56"/>
    </row>
    <row r="1805" spans="1:10" ht="10.5" customHeight="1" x14ac:dyDescent="0.2">
      <c r="A1805" s="24" t="s">
        <v>53</v>
      </c>
      <c r="B1805" s="43" t="s">
        <v>148</v>
      </c>
      <c r="C1805" s="43"/>
      <c r="D1805" s="43"/>
      <c r="E1805" s="43"/>
      <c r="F1805" s="43"/>
      <c r="G1805" s="43"/>
      <c r="H1805" s="43"/>
      <c r="I1805" s="43"/>
      <c r="J1805" s="24">
        <f>ROWS(A1809:B1822)+9</f>
        <v>23</v>
      </c>
    </row>
    <row r="1806" spans="1:10" ht="10.5" customHeight="1" x14ac:dyDescent="0.2">
      <c r="A1806" s="24">
        <f>A1737+1</f>
        <v>27</v>
      </c>
      <c r="B1806" s="63"/>
      <c r="C1806" s="63"/>
      <c r="D1806" s="63"/>
      <c r="E1806" s="63"/>
      <c r="F1806" s="63"/>
      <c r="G1806" s="63"/>
      <c r="H1806" s="63"/>
      <c r="I1806" s="63"/>
      <c r="J1806" s="29"/>
    </row>
    <row r="1807" spans="1:10" ht="10.5" customHeight="1" x14ac:dyDescent="0.2">
      <c r="A1807" s="64" t="s">
        <v>28</v>
      </c>
      <c r="B1807" s="64"/>
      <c r="C1807" s="64" t="s">
        <v>29</v>
      </c>
      <c r="D1807" s="64"/>
      <c r="E1807" s="64"/>
      <c r="F1807" s="64"/>
      <c r="G1807" s="64"/>
      <c r="H1807" s="64" t="s">
        <v>30</v>
      </c>
      <c r="I1807" s="64" t="s">
        <v>9</v>
      </c>
      <c r="J1807" s="64" t="s">
        <v>34</v>
      </c>
    </row>
    <row r="1808" spans="1:10" ht="16" customHeight="1" x14ac:dyDescent="0.2">
      <c r="A1808" s="64"/>
      <c r="B1808" s="64"/>
      <c r="C1808" s="64"/>
      <c r="D1808" s="64"/>
      <c r="E1808" s="64"/>
      <c r="F1808" s="64"/>
      <c r="G1808" s="64"/>
      <c r="H1808" s="64"/>
      <c r="I1808" s="64"/>
      <c r="J1808" s="64"/>
    </row>
    <row r="1809" spans="1:10" ht="10.5" customHeight="1" x14ac:dyDescent="0.2">
      <c r="A1809" s="65" t="str">
        <f ca="1">INDIRECT(_xlfn.TEXTJOIN("",TRUE,A1805,"!",ADDRESS(13+(A1806-1)*J1805,1)))</f>
        <v/>
      </c>
      <c r="B1809" s="65"/>
      <c r="C1809" s="66" t="str">
        <f ca="1">INDIRECT(_xlfn.TEXTJOIN("",TRUE,A1805,"!",ADDRESS(13+(A1806-1)*J1805,2)))</f>
        <v/>
      </c>
      <c r="D1809" s="66"/>
      <c r="E1809" s="66"/>
      <c r="F1809" s="66"/>
      <c r="G1809" s="66"/>
      <c r="H1809" s="25" t="str">
        <f ca="1">INDIRECT(_xlfn.TEXTJOIN("",TRUE,A1805,"!",ADDRESS(13+(A1806-1)*J1805,6)))</f>
        <v/>
      </c>
      <c r="I1809" s="25" t="str">
        <f ca="1">INDIRECT(_xlfn.TEXTJOIN("",TRUE,A1805,"!",ADDRESS(13+(A1806-1)*J1805,13)))</f>
        <v/>
      </c>
      <c r="J1809" s="25" t="e">
        <f ca="1">INDIRECT(_xlfn.TEXTJOIN("",TRUE,A1805,"!",ADDRESS(13+(A1806-1)*J1805,14)))</f>
        <v>#N/A</v>
      </c>
    </row>
    <row r="1810" spans="1:10" ht="10.5" customHeight="1" x14ac:dyDescent="0.2">
      <c r="A1810" s="65" t="str">
        <f ca="1">INDIRECT(_xlfn.TEXTJOIN("",TRUE,A1805,"!",ADDRESS(14+(A1806-1)*J1805,1)))</f>
        <v/>
      </c>
      <c r="B1810" s="65"/>
      <c r="C1810" s="66" t="str">
        <f ca="1">INDIRECT(_xlfn.TEXTJOIN("",TRUE,A1805,"!",ADDRESS(14+(A1806-1)*J1805,2)))</f>
        <v/>
      </c>
      <c r="D1810" s="66"/>
      <c r="E1810" s="66"/>
      <c r="F1810" s="66"/>
      <c r="G1810" s="66"/>
      <c r="H1810" s="25" t="str">
        <f ca="1">INDIRECT(_xlfn.TEXTJOIN("",TRUE,A1805,"!",ADDRESS(14+(A1806-1)*J1805,6)))</f>
        <v/>
      </c>
      <c r="I1810" s="25" t="str">
        <f ca="1">INDIRECT(_xlfn.TEXTJOIN("",TRUE,A1805,"!",ADDRESS(14+(A1806-1)*J1805,13)))</f>
        <v/>
      </c>
      <c r="J1810" s="25" t="e">
        <f ca="1">INDIRECT(_xlfn.TEXTJOIN("",TRUE,A1805,"!",ADDRESS(14+(A1806-1)*J1805,14)))</f>
        <v>#N/A</v>
      </c>
    </row>
    <row r="1811" spans="1:10" ht="10.5" customHeight="1" x14ac:dyDescent="0.2">
      <c r="A1811" s="65" t="str">
        <f ca="1">INDIRECT(_xlfn.TEXTJOIN("",TRUE,A1805,"!",ADDRESS(15+(A1806-1)*J1805,1)))</f>
        <v/>
      </c>
      <c r="B1811" s="65"/>
      <c r="C1811" s="66" t="str">
        <f ca="1">INDIRECT(_xlfn.TEXTJOIN("",TRUE,A1805,"!",ADDRESS(15+(A1806-1)*J1805,2)))</f>
        <v/>
      </c>
      <c r="D1811" s="66"/>
      <c r="E1811" s="66"/>
      <c r="F1811" s="66"/>
      <c r="G1811" s="66"/>
      <c r="H1811" s="25" t="str">
        <f ca="1">INDIRECT(_xlfn.TEXTJOIN("",TRUE,A1805,"!",ADDRESS(15+(A1806-1)*J1805,6)))</f>
        <v/>
      </c>
      <c r="I1811" s="25" t="str">
        <f ca="1">INDIRECT(_xlfn.TEXTJOIN("",TRUE,A1805,"!",ADDRESS(15+(A1806-1)*J1805,13)))</f>
        <v/>
      </c>
      <c r="J1811" s="25" t="e">
        <f ca="1">INDIRECT(_xlfn.TEXTJOIN("",TRUE,A1805,"!",ADDRESS(15+(A1806-1)*J1805,14)))</f>
        <v>#N/A</v>
      </c>
    </row>
    <row r="1812" spans="1:10" ht="10.5" customHeight="1" x14ac:dyDescent="0.2">
      <c r="A1812" s="65" t="str">
        <f ca="1">INDIRECT(_xlfn.TEXTJOIN("",TRUE,A1805,"!",ADDRESS(16+(A1806-1)*J1805,1)))</f>
        <v/>
      </c>
      <c r="B1812" s="65"/>
      <c r="C1812" s="66" t="str">
        <f ca="1">INDIRECT(_xlfn.TEXTJOIN("",TRUE,A1805,"!",ADDRESS(16+(A1806-1)*J1805,2)))</f>
        <v/>
      </c>
      <c r="D1812" s="66"/>
      <c r="E1812" s="66"/>
      <c r="F1812" s="66"/>
      <c r="G1812" s="66"/>
      <c r="H1812" s="25" t="str">
        <f ca="1">INDIRECT(_xlfn.TEXTJOIN("",TRUE,A1805,"!",ADDRESS(16+(A1806-1)*J1805,6)))</f>
        <v/>
      </c>
      <c r="I1812" s="25" t="str">
        <f ca="1">INDIRECT(_xlfn.TEXTJOIN("",TRUE,A1805,"!",ADDRESS(16+(A1806-1)*J1805,13)))</f>
        <v/>
      </c>
      <c r="J1812" s="25" t="e">
        <f ca="1">INDIRECT(_xlfn.TEXTJOIN("",TRUE,A1805,"!",ADDRESS(16+(A1806-1)*J1805,14)))</f>
        <v>#N/A</v>
      </c>
    </row>
    <row r="1813" spans="1:10" ht="10.5" customHeight="1" x14ac:dyDescent="0.2">
      <c r="A1813" s="65" t="str">
        <f ca="1">INDIRECT(_xlfn.TEXTJOIN("",TRUE,A1805,"!",ADDRESS(17+(A1806-1)*J1805,1)))</f>
        <v/>
      </c>
      <c r="B1813" s="65"/>
      <c r="C1813" s="66" t="str">
        <f ca="1">INDIRECT(_xlfn.TEXTJOIN("",TRUE,A1805,"!",ADDRESS(17+(A1806-1)*J1805,2)))</f>
        <v/>
      </c>
      <c r="D1813" s="66"/>
      <c r="E1813" s="66"/>
      <c r="F1813" s="66"/>
      <c r="G1813" s="66"/>
      <c r="H1813" s="25" t="str">
        <f ca="1">INDIRECT(_xlfn.TEXTJOIN("",TRUE,A1805,"!",ADDRESS(17+(A1806-1)*J1805,6)))</f>
        <v/>
      </c>
      <c r="I1813" s="25" t="str">
        <f ca="1">INDIRECT(_xlfn.TEXTJOIN("",TRUE,A1805,"!",ADDRESS(17+(A1806-1)*J1805,13)))</f>
        <v/>
      </c>
      <c r="J1813" s="25" t="e">
        <f ca="1">INDIRECT(_xlfn.TEXTJOIN("",TRUE,A1805,"!",ADDRESS(17+(A1806-1)*J1805,14)))</f>
        <v>#N/A</v>
      </c>
    </row>
    <row r="1814" spans="1:10" ht="10.5" customHeight="1" x14ac:dyDescent="0.2">
      <c r="A1814" s="65" t="str">
        <f ca="1">INDIRECT(_xlfn.TEXTJOIN("",TRUE,A1805,"!",ADDRESS(18+(A1806-1)*J1805,1)))</f>
        <v/>
      </c>
      <c r="B1814" s="65"/>
      <c r="C1814" s="66" t="str">
        <f ca="1">INDIRECT(_xlfn.TEXTJOIN("",TRUE,A1805,"!",ADDRESS(18+(A1806-1)*J1805,2)))</f>
        <v/>
      </c>
      <c r="D1814" s="66"/>
      <c r="E1814" s="66"/>
      <c r="F1814" s="66"/>
      <c r="G1814" s="66"/>
      <c r="H1814" s="25" t="str">
        <f ca="1">INDIRECT(_xlfn.TEXTJOIN("",TRUE,A1805,"!",ADDRESS(18+(A1806-1)*J1805,6)))</f>
        <v/>
      </c>
      <c r="I1814" s="25" t="str">
        <f ca="1">INDIRECT(_xlfn.TEXTJOIN("",TRUE,A1805,"!",ADDRESS(18+(A1806-1)*J1805,13)))</f>
        <v/>
      </c>
      <c r="J1814" s="25" t="e">
        <f ca="1">INDIRECT(_xlfn.TEXTJOIN("",TRUE,A1805,"!",ADDRESS(18+(A1806-1)*J1805,14)))</f>
        <v>#N/A</v>
      </c>
    </row>
    <row r="1815" spans="1:10" ht="10.5" customHeight="1" x14ac:dyDescent="0.2">
      <c r="A1815" s="60" t="str">
        <f ca="1">INDIRECT(_xlfn.TEXTJOIN("",TRUE,A1805,"!",ADDRESS(19+(A1806-1)*J1805,1)))</f>
        <v/>
      </c>
      <c r="B1815" s="61"/>
      <c r="C1815" s="57" t="str">
        <f ca="1">INDIRECT(_xlfn.TEXTJOIN("",TRUE,A1805,"!",ADDRESS(19+(A1806-1)*J1805,2)))</f>
        <v/>
      </c>
      <c r="D1815" s="58"/>
      <c r="E1815" s="58"/>
      <c r="F1815" s="58"/>
      <c r="G1815" s="59"/>
      <c r="H1815" s="25" t="str">
        <f ca="1">INDIRECT(_xlfn.TEXTJOIN("",TRUE,A1805,"!",ADDRESS(19+(A1806-1)*J1805,6)))</f>
        <v/>
      </c>
      <c r="I1815" s="25" t="str">
        <f ca="1">INDIRECT(_xlfn.TEXTJOIN("",TRUE,A1805,"!",ADDRESS(19+(A1806-1)*J1805,13)))</f>
        <v/>
      </c>
      <c r="J1815" s="25" t="e">
        <f ca="1">INDIRECT(_xlfn.TEXTJOIN("",TRUE,A1805,"!",ADDRESS(19+(A1806-1)*J1805,14)))</f>
        <v>#N/A</v>
      </c>
    </row>
    <row r="1816" spans="1:10" ht="10.5" customHeight="1" x14ac:dyDescent="0.2">
      <c r="A1816" s="65" t="str">
        <f ca="1">INDIRECT(_xlfn.TEXTJOIN("",TRUE,A1805,"!",ADDRESS(20+(A1806-1)*J1805,1)))</f>
        <v/>
      </c>
      <c r="B1816" s="65"/>
      <c r="C1816" s="66" t="str">
        <f ca="1">INDIRECT(_xlfn.TEXTJOIN("",TRUE,A1805,"!",ADDRESS(20+(A1806-1)*J1805,2)))</f>
        <v/>
      </c>
      <c r="D1816" s="66"/>
      <c r="E1816" s="66"/>
      <c r="F1816" s="66"/>
      <c r="G1816" s="66"/>
      <c r="H1816" s="25" t="str">
        <f ca="1">INDIRECT(_xlfn.TEXTJOIN("",TRUE,A1805,"!",ADDRESS(20+(A1806-1)*J1805,6)))</f>
        <v/>
      </c>
      <c r="I1816" s="25" t="str">
        <f ca="1">INDIRECT(_xlfn.TEXTJOIN("",TRUE,A1805,"!",ADDRESS(20+(A1806-1)*J1805,13)))</f>
        <v/>
      </c>
      <c r="J1816" s="25" t="e">
        <f ca="1">INDIRECT(_xlfn.TEXTJOIN("",TRUE,A1805,"!",ADDRESS(20+(A1806-1)*J1805,14)))</f>
        <v>#N/A</v>
      </c>
    </row>
    <row r="1817" spans="1:10" ht="10.5" customHeight="1" x14ac:dyDescent="0.2">
      <c r="A1817" s="65" t="str">
        <f ca="1">INDIRECT(_xlfn.TEXTJOIN("",TRUE,A1805,"!",ADDRESS(21+(A1806-1)*J1805,1)))</f>
        <v/>
      </c>
      <c r="B1817" s="65"/>
      <c r="C1817" s="66" t="str">
        <f ca="1">INDIRECT(_xlfn.TEXTJOIN("",TRUE,A1805,"!",ADDRESS(21+(A1806-1)*J1805,2)))</f>
        <v/>
      </c>
      <c r="D1817" s="66"/>
      <c r="E1817" s="66"/>
      <c r="F1817" s="66"/>
      <c r="G1817" s="66"/>
      <c r="H1817" s="25" t="str">
        <f ca="1">INDIRECT(_xlfn.TEXTJOIN("",TRUE,A1805,"!",ADDRESS(21+(A1806-1)*J1805,6)))</f>
        <v/>
      </c>
      <c r="I1817" s="25" t="str">
        <f ca="1">INDIRECT(_xlfn.TEXTJOIN("",TRUE,A1805,"!",ADDRESS(21+(A1806-1)*J1805,13)))</f>
        <v/>
      </c>
      <c r="J1817" s="25" t="e">
        <f ca="1">INDIRECT(_xlfn.TEXTJOIN("",TRUE,A1805,"!",ADDRESS(21+(A1806-1)*J1805,14)))</f>
        <v>#N/A</v>
      </c>
    </row>
    <row r="1818" spans="1:10" ht="10.5" customHeight="1" x14ac:dyDescent="0.2">
      <c r="A1818" s="65" t="str">
        <f ca="1">INDIRECT(_xlfn.TEXTJOIN("",TRUE,A1805,"!",ADDRESS(22+(A1806-1)*J1805,1)))</f>
        <v/>
      </c>
      <c r="B1818" s="65"/>
      <c r="C1818" s="66" t="str">
        <f ca="1">INDIRECT(_xlfn.TEXTJOIN("",TRUE,A1805,"!",ADDRESS(22+(A1806-1)*J1805,2)))</f>
        <v/>
      </c>
      <c r="D1818" s="66"/>
      <c r="E1818" s="66"/>
      <c r="F1818" s="66"/>
      <c r="G1818" s="66"/>
      <c r="H1818" s="25" t="str">
        <f ca="1">INDIRECT(_xlfn.TEXTJOIN("",TRUE,A1805,"!",ADDRESS(22+(A1806-1)*J1805,6)))</f>
        <v/>
      </c>
      <c r="I1818" s="25" t="str">
        <f ca="1">INDIRECT(_xlfn.TEXTJOIN("",TRUE,A1805,"!",ADDRESS(22+(A1806-1)*J1805,13)))</f>
        <v/>
      </c>
      <c r="J1818" s="25" t="e">
        <f ca="1">INDIRECT(_xlfn.TEXTJOIN("",TRUE,A1805,"!",ADDRESS(22+(A1806-1)*J1805,14)))</f>
        <v>#N/A</v>
      </c>
    </row>
    <row r="1819" spans="1:10" ht="10.5" customHeight="1" x14ac:dyDescent="0.2">
      <c r="A1819" s="65" t="str">
        <f ca="1">INDIRECT(_xlfn.TEXTJOIN("",TRUE,A1805,"!",ADDRESS(23+(A1806-1)*J1805,1)))</f>
        <v/>
      </c>
      <c r="B1819" s="65"/>
      <c r="C1819" s="66" t="str">
        <f ca="1">INDIRECT(_xlfn.TEXTJOIN("",TRUE,A1805,"!",ADDRESS(23+(A1806-1)*J1805,2)))</f>
        <v/>
      </c>
      <c r="D1819" s="66"/>
      <c r="E1819" s="66"/>
      <c r="F1819" s="66"/>
      <c r="G1819" s="66"/>
      <c r="H1819" s="25" t="str">
        <f ca="1">INDIRECT(_xlfn.TEXTJOIN("",TRUE,A1805,"!",ADDRESS(23+(A1806-1)*J1805,6)))</f>
        <v/>
      </c>
      <c r="I1819" s="25" t="str">
        <f ca="1">INDIRECT(_xlfn.TEXTJOIN("",TRUE,A1805,"!",ADDRESS(23+(A1806-1)*J1805,13)))</f>
        <v/>
      </c>
      <c r="J1819" s="25" t="e">
        <f ca="1">INDIRECT(_xlfn.TEXTJOIN("",TRUE,A1805,"!",ADDRESS(23+(A1806-1)*J1805,14)))</f>
        <v>#N/A</v>
      </c>
    </row>
    <row r="1820" spans="1:10" ht="10.5" customHeight="1" x14ac:dyDescent="0.2">
      <c r="A1820" s="65" t="str">
        <f ca="1">INDIRECT(_xlfn.TEXTJOIN("",TRUE,A1805,"!",ADDRESS(24+(A1806-1)*J1805,1)))</f>
        <v/>
      </c>
      <c r="B1820" s="65"/>
      <c r="C1820" s="66" t="str">
        <f ca="1">INDIRECT(_xlfn.TEXTJOIN("",TRUE,A1805,"!",ADDRESS(24+(A1806-1)*J1805,2)))</f>
        <v/>
      </c>
      <c r="D1820" s="66"/>
      <c r="E1820" s="66"/>
      <c r="F1820" s="66"/>
      <c r="G1820" s="66"/>
      <c r="H1820" s="25" t="str">
        <f ca="1">INDIRECT(_xlfn.TEXTJOIN("",TRUE,A1805,"!",ADDRESS(24+(A1806-1)*J1805,6)))</f>
        <v/>
      </c>
      <c r="I1820" s="25" t="str">
        <f ca="1">INDIRECT(_xlfn.TEXTJOIN("",TRUE,A1805,"!",ADDRESS(24+(A1806-1)*J1805,13)))</f>
        <v/>
      </c>
      <c r="J1820" s="25" t="e">
        <f ca="1">INDIRECT(_xlfn.TEXTJOIN("",TRUE,A1805,"!",ADDRESS(24+(A1806-1)*J1805,14)))</f>
        <v>#N/A</v>
      </c>
    </row>
    <row r="1821" spans="1:10" ht="10.5" customHeight="1" x14ac:dyDescent="0.2">
      <c r="A1821" s="65" t="str">
        <f ca="1">INDIRECT(_xlfn.TEXTJOIN("",TRUE,A1805,"!",ADDRESS(25+(A1806-1)*J1805,1)))</f>
        <v/>
      </c>
      <c r="B1821" s="65"/>
      <c r="C1821" s="66" t="str">
        <f ca="1">INDIRECT(_xlfn.TEXTJOIN("",TRUE,A1805,"!",ADDRESS(25+(A1806-1)*J1805,2)))</f>
        <v/>
      </c>
      <c r="D1821" s="66"/>
      <c r="E1821" s="66"/>
      <c r="F1821" s="66"/>
      <c r="G1821" s="66"/>
      <c r="H1821" s="25" t="str">
        <f ca="1">INDIRECT(_xlfn.TEXTJOIN("",TRUE,A1805,"!",ADDRESS(25+(A1806-1)*J1805,6)))</f>
        <v/>
      </c>
      <c r="I1821" s="25" t="str">
        <f ca="1">INDIRECT(_xlfn.TEXTJOIN("",TRUE,A1805,"!",ADDRESS(25+(A1806-1)*J1805,13)))</f>
        <v/>
      </c>
      <c r="J1821" s="25" t="e">
        <f ca="1">INDIRECT(_xlfn.TEXTJOIN("",TRUE,A1805,"!",ADDRESS(25+(A1806-1)*J1805,14)))</f>
        <v>#N/A</v>
      </c>
    </row>
    <row r="1822" spans="1:10" s="35" customFormat="1" ht="10.5" customHeight="1" x14ac:dyDescent="0.2">
      <c r="A1822" s="77" t="str">
        <f ca="1">INDIRECT(_xlfn.TEXTJOIN("",TRUE,A1805,"!",ADDRESS(26+(A1806-1)*J1805,1)))</f>
        <v/>
      </c>
      <c r="B1822" s="77"/>
      <c r="C1822" s="78" t="str">
        <f ca="1">INDIRECT(_xlfn.TEXTJOIN("",TRUE,A1805,"!",ADDRESS(26+(A1806-1)*J1805,2)))</f>
        <v/>
      </c>
      <c r="D1822" s="78"/>
      <c r="E1822" s="78"/>
      <c r="F1822" s="78"/>
      <c r="G1822" s="78"/>
      <c r="H1822" s="34" t="str">
        <f ca="1">INDIRECT(_xlfn.TEXTJOIN("",TRUE,A1805,"!",ADDRESS(26+(A1806-1)*J1805,6)))</f>
        <v/>
      </c>
      <c r="I1822" s="34" t="b">
        <f ca="1">INDIRECT(_xlfn.TEXTJOIN("",TRUE,A1805,"!",ADDRESS(26+(A1806-1)*J1805,13)))</f>
        <v>0</v>
      </c>
      <c r="J1822" s="34" t="e">
        <f ca="1">INDIRECT(_xlfn.TEXTJOIN("",TRUE,A1805,"!",ADDRESS(26+(A1806-1)*J1805,14)))</f>
        <v>#N/A</v>
      </c>
    </row>
    <row r="1823" spans="1:10" ht="10.5" customHeight="1" x14ac:dyDescent="0.2">
      <c r="A1823" s="71" t="s">
        <v>52</v>
      </c>
      <c r="B1823" s="71"/>
      <c r="C1823" s="71"/>
      <c r="D1823" s="71"/>
      <c r="E1823" s="71"/>
      <c r="F1823" s="71"/>
      <c r="G1823" s="71"/>
      <c r="H1823" s="27">
        <f ca="1">SUM(H1809:H1822)</f>
        <v>0</v>
      </c>
      <c r="I1823" s="26" t="s">
        <v>44</v>
      </c>
      <c r="J1823" s="27" t="e">
        <f ca="1">SUMPRODUCT(J1809:J1821,H1809:H1821)</f>
        <v>#N/A</v>
      </c>
    </row>
    <row r="1824" spans="1:10" ht="10.5" customHeight="1" x14ac:dyDescent="0.2">
      <c r="A1824" s="24" t="s">
        <v>57</v>
      </c>
      <c r="B1824" s="72" t="str">
        <f ca="1">IF(ISNA(A1825),"","Semester II (Spring Semester 2022-23)")</f>
        <v/>
      </c>
      <c r="C1824" s="72"/>
      <c r="D1824" s="72"/>
      <c r="E1824" s="72"/>
      <c r="F1824" s="72"/>
      <c r="G1824" s="72"/>
      <c r="H1824" s="72"/>
      <c r="I1824" s="72"/>
      <c r="J1824" s="24">
        <f>ROWS(A1828:B1837)+9</f>
        <v>19</v>
      </c>
    </row>
    <row r="1825" spans="1:10" ht="10.5" customHeight="1" x14ac:dyDescent="0.2">
      <c r="A1825" s="24" t="e">
        <f ca="1">INDEX(SEM_II!$A$6:$A$45,Marksheets!J1825)</f>
        <v>#N/A</v>
      </c>
      <c r="B1825" s="63"/>
      <c r="C1825" s="63"/>
      <c r="D1825" s="63"/>
      <c r="E1825" s="63"/>
      <c r="F1825" s="63"/>
      <c r="G1825" s="63"/>
      <c r="H1825" s="63"/>
      <c r="I1825" s="63"/>
      <c r="J1825" s="24" t="e">
        <f ca="1">MATCH(H1803,SEM_II!$B$6:$B$45,0)</f>
        <v>#N/A</v>
      </c>
    </row>
    <row r="1826" spans="1:10" ht="10.5" customHeight="1" x14ac:dyDescent="0.2">
      <c r="A1826" s="64" t="str">
        <f ca="1">IF(ISNA(A1825),"","Subject Code")</f>
        <v/>
      </c>
      <c r="B1826" s="64"/>
      <c r="C1826" s="64" t="str">
        <f ca="1">IF(ISNA(A1825),"","Subject Name")</f>
        <v/>
      </c>
      <c r="D1826" s="64"/>
      <c r="E1826" s="64"/>
      <c r="F1826" s="64"/>
      <c r="G1826" s="64"/>
      <c r="H1826" s="64" t="str">
        <f ca="1">IF(ISNA(A1825),"","Credits")</f>
        <v/>
      </c>
      <c r="I1826" s="64" t="str">
        <f ca="1">IF(ISNA(A1825),"","Grade")</f>
        <v/>
      </c>
      <c r="J1826" s="64" t="str">
        <f ca="1">IF(ISNA(A1825),"","Grade Points")</f>
        <v/>
      </c>
    </row>
    <row r="1827" spans="1:10" ht="14" customHeight="1" x14ac:dyDescent="0.2">
      <c r="A1827" s="64"/>
      <c r="B1827" s="64"/>
      <c r="C1827" s="64"/>
      <c r="D1827" s="64"/>
      <c r="E1827" s="64"/>
      <c r="F1827" s="64"/>
      <c r="G1827" s="64"/>
      <c r="H1827" s="64"/>
      <c r="I1827" s="64"/>
      <c r="J1827" s="64"/>
    </row>
    <row r="1828" spans="1:10" ht="10.5" customHeight="1" x14ac:dyDescent="0.2">
      <c r="A1828" s="65" t="str">
        <f ca="1">_xlfn.IFNA(INDIRECT(_xlfn.TEXTJOIN("",TRUE,A1824,"!",ADDRESS(13+(A1825-1)*J1824,1))),"")</f>
        <v/>
      </c>
      <c r="B1828" s="65"/>
      <c r="C1828" s="66" t="str">
        <f ca="1">_xlfn.IFNA(INDIRECT(_xlfn.TEXTJOIN("",TRUE,A1824,"!",ADDRESS(13+(A1825-1)*J1824,2))),"")</f>
        <v/>
      </c>
      <c r="D1828" s="66"/>
      <c r="E1828" s="66"/>
      <c r="F1828" s="66"/>
      <c r="G1828" s="66"/>
      <c r="H1828" s="25" t="str">
        <f ca="1">_xlfn.IFNA(INDIRECT(_xlfn.TEXTJOIN("",TRUE,A1824,"!",ADDRESS(13+(A1825-1)*J1824,6))),"")</f>
        <v/>
      </c>
      <c r="I1828" s="25" t="str">
        <f ca="1">_xlfn.IFNA(INDIRECT(_xlfn.TEXTJOIN("",TRUE,A1824,"!",ADDRESS(13+(A1825-1)*J1824,13))),"")</f>
        <v/>
      </c>
      <c r="J1828" s="25" t="str">
        <f ca="1">_xlfn.IFNA(INDIRECT(_xlfn.TEXTJOIN("",TRUE,A1824,"!",ADDRESS(13+(A1825-1)*J1824,14))),"")</f>
        <v/>
      </c>
    </row>
    <row r="1829" spans="1:10" ht="10.5" customHeight="1" x14ac:dyDescent="0.2">
      <c r="A1829" s="65" t="str">
        <f ca="1">_xlfn.IFNA(INDIRECT(_xlfn.TEXTJOIN("",TRUE,A1824,"!",ADDRESS(14+(A1825-1)*J1824,1))),"")</f>
        <v/>
      </c>
      <c r="B1829" s="65"/>
      <c r="C1829" s="66" t="str">
        <f ca="1">_xlfn.IFNA(INDIRECT(_xlfn.TEXTJOIN("",TRUE,A1824,"!",ADDRESS(14+(A1825-1)*J1824,2))),"")</f>
        <v/>
      </c>
      <c r="D1829" s="66"/>
      <c r="E1829" s="66"/>
      <c r="F1829" s="66"/>
      <c r="G1829" s="66"/>
      <c r="H1829" s="25" t="str">
        <f ca="1">_xlfn.IFNA(INDIRECT(_xlfn.TEXTJOIN("",TRUE,A1824,"!",ADDRESS(14+(A1825-1)*J1824,6))),"")</f>
        <v/>
      </c>
      <c r="I1829" s="25" t="str">
        <f ca="1">_xlfn.IFNA(INDIRECT(_xlfn.TEXTJOIN("",TRUE,A1824,"!",ADDRESS(14+(A1825-1)*J1824,13))),"")</f>
        <v/>
      </c>
      <c r="J1829" s="25" t="str">
        <f ca="1">_xlfn.IFNA(INDIRECT(_xlfn.TEXTJOIN("",TRUE,A1824,"!",ADDRESS(14+(A1825-1)*J1824,14))),"")</f>
        <v/>
      </c>
    </row>
    <row r="1830" spans="1:10" ht="10.5" customHeight="1" x14ac:dyDescent="0.2">
      <c r="A1830" s="65" t="str">
        <f ca="1">_xlfn.IFNA(INDIRECT(_xlfn.TEXTJOIN("",TRUE,A1824,"!",ADDRESS(15+(A1825-1)*J1824,1))),"")</f>
        <v/>
      </c>
      <c r="B1830" s="65"/>
      <c r="C1830" s="66" t="str">
        <f ca="1">_xlfn.IFNA(INDIRECT(_xlfn.TEXTJOIN("",TRUE,A1824,"!",ADDRESS(15+(A1825-1)*J1824,2))),"")</f>
        <v/>
      </c>
      <c r="D1830" s="66"/>
      <c r="E1830" s="66"/>
      <c r="F1830" s="66"/>
      <c r="G1830" s="66"/>
      <c r="H1830" s="25" t="str">
        <f ca="1">_xlfn.IFNA(INDIRECT(_xlfn.TEXTJOIN("",TRUE,A1824,"!",ADDRESS(15+(A1825-1)*J1824,6))),"")</f>
        <v/>
      </c>
      <c r="I1830" s="25" t="str">
        <f ca="1">_xlfn.IFNA(INDIRECT(_xlfn.TEXTJOIN("",TRUE,A1824,"!",ADDRESS(15+(A1825-1)*J1824,13))),"")</f>
        <v/>
      </c>
      <c r="J1830" s="25" t="str">
        <f ca="1">_xlfn.IFNA(INDIRECT(_xlfn.TEXTJOIN("",TRUE,A1824,"!",ADDRESS(15+(A1825-1)*J1824,14))),"")</f>
        <v/>
      </c>
    </row>
    <row r="1831" spans="1:10" ht="10.5" customHeight="1" x14ac:dyDescent="0.2">
      <c r="A1831" s="65" t="str">
        <f ca="1">_xlfn.IFNA(INDIRECT(_xlfn.TEXTJOIN("",TRUE,A1824,"!",ADDRESS(16+(A1825-1)*J1824,1))),"")</f>
        <v/>
      </c>
      <c r="B1831" s="65"/>
      <c r="C1831" s="66" t="str">
        <f ca="1">_xlfn.IFNA(INDIRECT(_xlfn.TEXTJOIN("",TRUE,A1824,"!",ADDRESS(16+(A1825-1)*J1824,2))),"")</f>
        <v/>
      </c>
      <c r="D1831" s="66"/>
      <c r="E1831" s="66"/>
      <c r="F1831" s="66"/>
      <c r="G1831" s="66"/>
      <c r="H1831" s="25" t="str">
        <f ca="1">_xlfn.IFNA(INDIRECT(_xlfn.TEXTJOIN("",TRUE,A1824,"!",ADDRESS(16+(A1825-1)*J1824,6))),"")</f>
        <v/>
      </c>
      <c r="I1831" s="25" t="str">
        <f ca="1">_xlfn.IFNA(INDIRECT(_xlfn.TEXTJOIN("",TRUE,A1824,"!",ADDRESS(16+(A1825-1)*J1824,13))),"")</f>
        <v/>
      </c>
      <c r="J1831" s="25" t="str">
        <f ca="1">_xlfn.IFNA(INDIRECT(_xlfn.TEXTJOIN("",TRUE,A1824,"!",ADDRESS(16+(A1825-1)*J1824,14))),"")</f>
        <v/>
      </c>
    </row>
    <row r="1832" spans="1:10" ht="10.5" customHeight="1" x14ac:dyDescent="0.2">
      <c r="A1832" s="65" t="str">
        <f ca="1">_xlfn.IFNA(INDIRECT(_xlfn.TEXTJOIN("",TRUE,A1824,"!",ADDRESS(17+(A1825-1)*J1824,1))),"")</f>
        <v/>
      </c>
      <c r="B1832" s="65"/>
      <c r="C1832" s="66" t="str">
        <f ca="1">_xlfn.IFNA(INDIRECT(_xlfn.TEXTJOIN("",TRUE,A1824,"!",ADDRESS(17+(A1825-1)*J1824,2))),"")</f>
        <v/>
      </c>
      <c r="D1832" s="66"/>
      <c r="E1832" s="66"/>
      <c r="F1832" s="66"/>
      <c r="G1832" s="66"/>
      <c r="H1832" s="25" t="str">
        <f ca="1">_xlfn.IFNA(INDIRECT(_xlfn.TEXTJOIN("",TRUE,A1824,"!",ADDRESS(17+(A1825-1)*J1824,6))),"")</f>
        <v/>
      </c>
      <c r="I1832" s="25" t="str">
        <f ca="1">_xlfn.IFNA(INDIRECT(_xlfn.TEXTJOIN("",TRUE,A1824,"!",ADDRESS(17+(A1825-1)*J1824,13))),"")</f>
        <v/>
      </c>
      <c r="J1832" s="25" t="str">
        <f ca="1">_xlfn.IFNA(INDIRECT(_xlfn.TEXTJOIN("",TRUE,A1824,"!",ADDRESS(17+(A1825-1)*J1824,14))),"")</f>
        <v/>
      </c>
    </row>
    <row r="1833" spans="1:10" ht="10.5" customHeight="1" x14ac:dyDescent="0.2">
      <c r="A1833" s="65" t="str">
        <f ca="1">_xlfn.IFNA(INDIRECT(_xlfn.TEXTJOIN("",TRUE,A1824,"!",ADDRESS(18+(A1825-1)*J1824,1))),"")</f>
        <v/>
      </c>
      <c r="B1833" s="65"/>
      <c r="C1833" s="66" t="str">
        <f ca="1">_xlfn.IFNA(INDIRECT(_xlfn.TEXTJOIN("",TRUE,A1824,"!",ADDRESS(18+(A1825-1)*J1824,2))),"")</f>
        <v/>
      </c>
      <c r="D1833" s="66"/>
      <c r="E1833" s="66"/>
      <c r="F1833" s="66"/>
      <c r="G1833" s="66"/>
      <c r="H1833" s="25" t="str">
        <f ca="1">_xlfn.IFNA(INDIRECT(_xlfn.TEXTJOIN("",TRUE,A1824,"!",ADDRESS(18+(A1825-1)*J1824,6))),"")</f>
        <v/>
      </c>
      <c r="I1833" s="25" t="str">
        <f ca="1">_xlfn.IFNA(INDIRECT(_xlfn.TEXTJOIN("",TRUE,A1824,"!",ADDRESS(18+(A1825-1)*J1824,13))),"")</f>
        <v/>
      </c>
      <c r="J1833" s="25" t="str">
        <f ca="1">_xlfn.IFNA(INDIRECT(_xlfn.TEXTJOIN("",TRUE,A1824,"!",ADDRESS(18+(A1825-1)*J1824,14))),"")</f>
        <v/>
      </c>
    </row>
    <row r="1834" spans="1:10" ht="10.5" customHeight="1" x14ac:dyDescent="0.2">
      <c r="A1834" s="60" t="str">
        <f ca="1">_xlfn.IFNA(INDIRECT(_xlfn.TEXTJOIN("",TRUE,A1824,"!",ADDRESS(19+(A1825-1)*J1824,1))),"")</f>
        <v/>
      </c>
      <c r="B1834" s="61"/>
      <c r="C1834" s="57" t="str">
        <f ca="1">_xlfn.IFNA(INDIRECT(_xlfn.TEXTJOIN("",TRUE,A1824,"!",ADDRESS(19+(A1825-1)*J1824,2))),"")</f>
        <v/>
      </c>
      <c r="D1834" s="58"/>
      <c r="E1834" s="58"/>
      <c r="F1834" s="58"/>
      <c r="G1834" s="59"/>
      <c r="H1834" s="25" t="str">
        <f ca="1">_xlfn.IFNA(INDIRECT(_xlfn.TEXTJOIN("",TRUE,A1824,"!",ADDRESS(19+(A1825-1)*J1824,6))),"")</f>
        <v/>
      </c>
      <c r="I1834" s="25" t="str">
        <f ca="1">_xlfn.IFNA(INDIRECT(_xlfn.TEXTJOIN("",TRUE,A1824,"!",ADDRESS(19+(A1825-1)*J1824,13))),"")</f>
        <v/>
      </c>
      <c r="J1834" s="25" t="str">
        <f ca="1">_xlfn.IFNA(INDIRECT(_xlfn.TEXTJOIN("",TRUE,A1824,"!",ADDRESS(19+(A1825-1)*J1824,14))),"")</f>
        <v/>
      </c>
    </row>
    <row r="1835" spans="1:10" ht="10.5" customHeight="1" x14ac:dyDescent="0.2">
      <c r="A1835" s="65" t="str">
        <f ca="1">_xlfn.IFNA(INDIRECT(_xlfn.TEXTJOIN("",TRUE,A1824,"!",ADDRESS(20+(A1825-1)*J1824,1))),"")</f>
        <v/>
      </c>
      <c r="B1835" s="65"/>
      <c r="C1835" s="66" t="str">
        <f ca="1">_xlfn.IFNA(INDIRECT(_xlfn.TEXTJOIN("",TRUE,A1824,"!",ADDRESS(20+(A1825-1)*J1824,2))),"")</f>
        <v/>
      </c>
      <c r="D1835" s="66"/>
      <c r="E1835" s="66"/>
      <c r="F1835" s="66"/>
      <c r="G1835" s="66"/>
      <c r="H1835" s="25" t="str">
        <f ca="1">_xlfn.IFNA(INDIRECT(_xlfn.TEXTJOIN("",TRUE,A1824,"!",ADDRESS(20+(A1825-1)*J1824,6))),"")</f>
        <v/>
      </c>
      <c r="I1835" s="25" t="str">
        <f ca="1">_xlfn.IFNA(INDIRECT(_xlfn.TEXTJOIN("",TRUE,A1824,"!",ADDRESS(20+(A1825-1)*J1824,13))),"")</f>
        <v/>
      </c>
      <c r="J1835" s="25" t="str">
        <f ca="1">_xlfn.IFNA(INDIRECT(_xlfn.TEXTJOIN("",TRUE,A1824,"!",ADDRESS(20+(A1825-1)*J1824,14))),"")</f>
        <v/>
      </c>
    </row>
    <row r="1836" spans="1:10" ht="10.5" customHeight="1" x14ac:dyDescent="0.2">
      <c r="A1836" s="65" t="str">
        <f ca="1">_xlfn.IFNA(INDIRECT(_xlfn.TEXTJOIN("",TRUE,A1824,"!",ADDRESS(21+(A1825-1)*J1824,1))),"")</f>
        <v/>
      </c>
      <c r="B1836" s="65"/>
      <c r="C1836" s="66" t="str">
        <f ca="1">_xlfn.IFNA(INDIRECT(_xlfn.TEXTJOIN("",TRUE,A1824,"!",ADDRESS(21+(A1825-1)*J1824,2))),"")</f>
        <v/>
      </c>
      <c r="D1836" s="66"/>
      <c r="E1836" s="66"/>
      <c r="F1836" s="66"/>
      <c r="G1836" s="66"/>
      <c r="H1836" s="25" t="str">
        <f ca="1">_xlfn.IFNA(INDIRECT(_xlfn.TEXTJOIN("",TRUE,A1824,"!",ADDRESS(21+(A1825-1)*J1824,6))),"")</f>
        <v/>
      </c>
      <c r="I1836" s="25" t="str">
        <f ca="1">_xlfn.IFNA(INDIRECT(_xlfn.TEXTJOIN("",TRUE,A1824,"!",ADDRESS(21+(A1825-1)*J1824,13))),"")</f>
        <v/>
      </c>
      <c r="J1836" s="25" t="str">
        <f ca="1">_xlfn.IFNA(INDIRECT(_xlfn.TEXTJOIN("",TRUE,A1824,"!",ADDRESS(21+(A1825-1)*J1824,14))),"")</f>
        <v/>
      </c>
    </row>
    <row r="1837" spans="1:10" ht="10.5" customHeight="1" x14ac:dyDescent="0.2">
      <c r="A1837" s="65" t="str">
        <f ca="1">_xlfn.IFNA(INDIRECT(_xlfn.TEXTJOIN("",TRUE,A1824,"!",ADDRESS(22+(A1825-1)*J1824,1))),"")</f>
        <v/>
      </c>
      <c r="B1837" s="65"/>
      <c r="C1837" s="66" t="str">
        <f ca="1">_xlfn.IFNA(INDIRECT(_xlfn.TEXTJOIN("",TRUE,A1824,"!",ADDRESS(22+(A1825-1)*J1824,2))),"")</f>
        <v/>
      </c>
      <c r="D1837" s="66"/>
      <c r="E1837" s="66"/>
      <c r="F1837" s="66"/>
      <c r="G1837" s="66"/>
      <c r="H1837" s="25" t="str">
        <f ca="1">_xlfn.IFNA(INDIRECT(_xlfn.TEXTJOIN("",TRUE,A1824,"!",ADDRESS(22+(A1825-1)*J1824,6))),"")</f>
        <v/>
      </c>
      <c r="I1837" s="25" t="str">
        <f ca="1">_xlfn.IFNA(INDIRECT(_xlfn.TEXTJOIN("",TRUE,A1824,"!",ADDRESS(22+(A1825-1)*J1824,13))),"")</f>
        <v/>
      </c>
      <c r="J1837" s="25" t="str">
        <f ca="1">_xlfn.IFNA(INDIRECT(_xlfn.TEXTJOIN("",TRUE,A1824,"!",ADDRESS(22+(A1825-1)*J1824,14))),"")</f>
        <v/>
      </c>
    </row>
    <row r="1838" spans="1:10" ht="10.5" customHeight="1" x14ac:dyDescent="0.2">
      <c r="A1838" s="71" t="str">
        <f ca="1">IF(ISNA(A1825),"","Total Credits/ Total Grade Points")</f>
        <v/>
      </c>
      <c r="B1838" s="71"/>
      <c r="C1838" s="71"/>
      <c r="D1838" s="71"/>
      <c r="E1838" s="71"/>
      <c r="F1838" s="71"/>
      <c r="G1838" s="71"/>
      <c r="H1838" s="27" t="str">
        <f ca="1">IF(ISNA(A1825),"",SUM(H1828:H1837))</f>
        <v/>
      </c>
      <c r="I1838" s="26" t="str">
        <f ca="1">IF(ISNA(A1825),"","-")</f>
        <v/>
      </c>
      <c r="J1838" s="27" t="str">
        <f ca="1">IF(ISNA(A1825),"",SUMPRODUCT(J1828:J1837,H1828:H1837))</f>
        <v/>
      </c>
    </row>
    <row r="1839" spans="1:10" ht="10.5" customHeight="1" x14ac:dyDescent="0.2">
      <c r="A1839" s="24" t="s">
        <v>60</v>
      </c>
      <c r="B1839" s="72" t="str">
        <f ca="1">IF(ISNA(A1840),"","Semester III (Autumn Semester 2023-24)")</f>
        <v/>
      </c>
      <c r="C1839" s="72"/>
      <c r="D1839" s="72"/>
      <c r="E1839" s="72"/>
      <c r="F1839" s="72"/>
      <c r="G1839" s="72"/>
      <c r="H1839" s="72"/>
      <c r="I1839" s="72"/>
      <c r="J1839" s="24">
        <f>ROWS(A1843:B1850)+9</f>
        <v>17</v>
      </c>
    </row>
    <row r="1840" spans="1:10" ht="10.5" customHeight="1" x14ac:dyDescent="0.2">
      <c r="A1840" s="24" t="e">
        <f ca="1">INDEX(SEM_III!$A$6:$A$43,Marksheets!J1840)</f>
        <v>#N/A</v>
      </c>
      <c r="B1840" s="63"/>
      <c r="C1840" s="63"/>
      <c r="D1840" s="63"/>
      <c r="E1840" s="63"/>
      <c r="F1840" s="63"/>
      <c r="G1840" s="63"/>
      <c r="H1840" s="63"/>
      <c r="I1840" s="63"/>
      <c r="J1840" s="24" t="e">
        <f ca="1">MATCH(H1803,SEM_III!$B$6:$B$43,0)</f>
        <v>#N/A</v>
      </c>
    </row>
    <row r="1841" spans="1:10" ht="10.5" customHeight="1" x14ac:dyDescent="0.2">
      <c r="A1841" s="64" t="str">
        <f ca="1">IF(ISNA(A1840),"","Subject Code")</f>
        <v/>
      </c>
      <c r="B1841" s="64"/>
      <c r="C1841" s="64" t="str">
        <f ca="1">IF(ISNA(A1840),"","Subject Name")</f>
        <v/>
      </c>
      <c r="D1841" s="64"/>
      <c r="E1841" s="64"/>
      <c r="F1841" s="64"/>
      <c r="G1841" s="64"/>
      <c r="H1841" s="64" t="str">
        <f ca="1">IF(ISNA(A1840),"","Credits")</f>
        <v/>
      </c>
      <c r="I1841" s="64" t="str">
        <f ca="1">IF(ISNA(A1840),"","Grade")</f>
        <v/>
      </c>
      <c r="J1841" s="64" t="str">
        <f ca="1">IF(ISNA(A1840),"","Grade Points")</f>
        <v/>
      </c>
    </row>
    <row r="1842" spans="1:10" ht="13" customHeight="1" x14ac:dyDescent="0.2">
      <c r="A1842" s="64"/>
      <c r="B1842" s="64"/>
      <c r="C1842" s="64"/>
      <c r="D1842" s="64"/>
      <c r="E1842" s="64"/>
      <c r="F1842" s="64"/>
      <c r="G1842" s="64"/>
      <c r="H1842" s="64"/>
      <c r="I1842" s="64"/>
      <c r="J1842" s="64"/>
    </row>
    <row r="1843" spans="1:10" ht="10.5" customHeight="1" x14ac:dyDescent="0.2">
      <c r="A1843" s="65" t="str">
        <f ca="1">_xlfn.IFNA(INDIRECT(_xlfn.TEXTJOIN("",TRUE,A1839,"!",ADDRESS(13+(A1840-1)*J1839,1))),"")</f>
        <v/>
      </c>
      <c r="B1843" s="65"/>
      <c r="C1843" s="66" t="str">
        <f ca="1">_xlfn.IFNA(INDIRECT(_xlfn.TEXTJOIN("",TRUE,A1839,"!",ADDRESS(13+(A1840-1)*J1839,2))),"")</f>
        <v/>
      </c>
      <c r="D1843" s="66"/>
      <c r="E1843" s="66"/>
      <c r="F1843" s="66"/>
      <c r="G1843" s="66"/>
      <c r="H1843" s="25" t="str">
        <f ca="1">_xlfn.IFNA(INDIRECT(_xlfn.TEXTJOIN("",TRUE,A1839,"!",ADDRESS(13+(A1840-1)*J1839,6))),"")</f>
        <v/>
      </c>
      <c r="I1843" s="25" t="str">
        <f ca="1">_xlfn.IFNA(INDIRECT(_xlfn.TEXTJOIN("",TRUE,A1839,"!",ADDRESS(13+(A1840-1)*J1839,13))),"")</f>
        <v/>
      </c>
      <c r="J1843" s="25" t="str">
        <f ca="1">_xlfn.IFNA(INDIRECT(_xlfn.TEXTJOIN("",TRUE,A1839,"!",ADDRESS(13+(A1840-1)*J1839,14))),"")</f>
        <v/>
      </c>
    </row>
    <row r="1844" spans="1:10" ht="10.5" customHeight="1" x14ac:dyDescent="0.2">
      <c r="A1844" s="65" t="str">
        <f ca="1">_xlfn.IFNA(INDIRECT(_xlfn.TEXTJOIN("",TRUE,A1839,"!",ADDRESS(14+(A1840-1)*J1839,1))),"")</f>
        <v/>
      </c>
      <c r="B1844" s="65"/>
      <c r="C1844" s="66" t="str">
        <f ca="1">_xlfn.IFNA(INDIRECT(_xlfn.TEXTJOIN("",TRUE,A1839,"!",ADDRESS(14+(A1840-1)*J1839,2))),"")</f>
        <v/>
      </c>
      <c r="D1844" s="66"/>
      <c r="E1844" s="66"/>
      <c r="F1844" s="66"/>
      <c r="G1844" s="66"/>
      <c r="H1844" s="25" t="str">
        <f ca="1">_xlfn.IFNA(INDIRECT(_xlfn.TEXTJOIN("",TRUE,A1839,"!",ADDRESS(14+(A1840-1)*J1839,6))),"")</f>
        <v/>
      </c>
      <c r="I1844" s="25" t="str">
        <f ca="1">_xlfn.IFNA(INDIRECT(_xlfn.TEXTJOIN("",TRUE,A1839,"!",ADDRESS(14+(A1840-1)*J1839,13))),"")</f>
        <v/>
      </c>
      <c r="J1844" s="25" t="str">
        <f ca="1">_xlfn.IFNA(INDIRECT(_xlfn.TEXTJOIN("",TRUE,A1839,"!",ADDRESS(14+(A1840-1)*J1839,14))),"")</f>
        <v/>
      </c>
    </row>
    <row r="1845" spans="1:10" ht="10.5" customHeight="1" x14ac:dyDescent="0.2">
      <c r="A1845" s="65" t="str">
        <f ca="1">_xlfn.IFNA(INDIRECT(_xlfn.TEXTJOIN("",TRUE,A1839,"!",ADDRESS(15+(A1840-1)*J1839,1))),"")</f>
        <v/>
      </c>
      <c r="B1845" s="65"/>
      <c r="C1845" s="66" t="str">
        <f ca="1">_xlfn.IFNA(INDIRECT(_xlfn.TEXTJOIN("",TRUE,A1839,"!",ADDRESS(15+(A1840-1)*J1839,2))),"")</f>
        <v/>
      </c>
      <c r="D1845" s="66"/>
      <c r="E1845" s="66"/>
      <c r="F1845" s="66"/>
      <c r="G1845" s="66"/>
      <c r="H1845" s="25" t="str">
        <f ca="1">_xlfn.IFNA(INDIRECT(_xlfn.TEXTJOIN("",TRUE,A1839,"!",ADDRESS(15+(A1840-1)*J1839,6))),"")</f>
        <v/>
      </c>
      <c r="I1845" s="25" t="str">
        <f ca="1">_xlfn.IFNA(INDIRECT(_xlfn.TEXTJOIN("",TRUE,A1839,"!",ADDRESS(15+(A1840-1)*J1839,13))),"")</f>
        <v/>
      </c>
      <c r="J1845" s="25" t="str">
        <f ca="1">_xlfn.IFNA(INDIRECT(_xlfn.TEXTJOIN("",TRUE,A1839,"!",ADDRESS(15+(A1840-1)*J1839,14))),"")</f>
        <v/>
      </c>
    </row>
    <row r="1846" spans="1:10" ht="10.5" customHeight="1" x14ac:dyDescent="0.2">
      <c r="A1846" s="65" t="str">
        <f ca="1">_xlfn.IFNA(INDIRECT(_xlfn.TEXTJOIN("",TRUE,A1839,"!",ADDRESS(16+(A1840-1)*J1839,1))),"")</f>
        <v/>
      </c>
      <c r="B1846" s="65"/>
      <c r="C1846" s="66" t="str">
        <f ca="1">_xlfn.IFNA(INDIRECT(_xlfn.TEXTJOIN("",TRUE,A1839,"!",ADDRESS(16+(A1840-1)*J1839,2))),"")</f>
        <v/>
      </c>
      <c r="D1846" s="66"/>
      <c r="E1846" s="66"/>
      <c r="F1846" s="66"/>
      <c r="G1846" s="66"/>
      <c r="H1846" s="25" t="str">
        <f ca="1">_xlfn.IFNA(INDIRECT(_xlfn.TEXTJOIN("",TRUE,A1839,"!",ADDRESS(16+(A1840-1)*J1839,6))),"")</f>
        <v/>
      </c>
      <c r="I1846" s="25" t="str">
        <f ca="1">_xlfn.IFNA(INDIRECT(_xlfn.TEXTJOIN("",TRUE,A1839,"!",ADDRESS(16+(A1840-1)*J1839,13))),"")</f>
        <v/>
      </c>
      <c r="J1846" s="25" t="str">
        <f ca="1">_xlfn.IFNA(INDIRECT(_xlfn.TEXTJOIN("",TRUE,A1839,"!",ADDRESS(16+(A1840-1)*J1839,14))),"")</f>
        <v/>
      </c>
    </row>
    <row r="1847" spans="1:10" ht="10.5" customHeight="1" x14ac:dyDescent="0.2">
      <c r="A1847" s="65" t="str">
        <f ca="1">_xlfn.IFNA(INDIRECT(_xlfn.TEXTJOIN("",TRUE,A1839,"!",ADDRESS(17+(A1840-1)*J1839,1))),"")</f>
        <v/>
      </c>
      <c r="B1847" s="65"/>
      <c r="C1847" s="66" t="str">
        <f ca="1">_xlfn.IFNA(INDIRECT(_xlfn.TEXTJOIN("",TRUE,A1839,"!",ADDRESS(17+(A1840-1)*J1839,2))),"")</f>
        <v/>
      </c>
      <c r="D1847" s="66"/>
      <c r="E1847" s="66"/>
      <c r="F1847" s="66"/>
      <c r="G1847" s="66"/>
      <c r="H1847" s="25" t="str">
        <f ca="1">_xlfn.IFNA(INDIRECT(_xlfn.TEXTJOIN("",TRUE,A1839,"!",ADDRESS(17+(A1840-1)*J1839,6))),"")</f>
        <v/>
      </c>
      <c r="I1847" s="25" t="str">
        <f ca="1">_xlfn.IFNA(INDIRECT(_xlfn.TEXTJOIN("",TRUE,A1839,"!",ADDRESS(17+(A1840-1)*J1839,13))),"")</f>
        <v/>
      </c>
      <c r="J1847" s="25" t="str">
        <f ca="1">_xlfn.IFNA(INDIRECT(_xlfn.TEXTJOIN("",TRUE,A1839,"!",ADDRESS(17+(A1840-1)*J1839,14))),"")</f>
        <v/>
      </c>
    </row>
    <row r="1848" spans="1:10" ht="10.5" customHeight="1" x14ac:dyDescent="0.2">
      <c r="A1848" s="65" t="str">
        <f ca="1">_xlfn.IFNA(INDIRECT(_xlfn.TEXTJOIN("",TRUE,A1839,"!",ADDRESS(18+(A1840-1)*J1839,1))),"")</f>
        <v/>
      </c>
      <c r="B1848" s="65"/>
      <c r="C1848" s="66" t="str">
        <f ca="1">_xlfn.IFNA(INDIRECT(_xlfn.TEXTJOIN("",TRUE,A1839,"!",ADDRESS(18+(A1840-1)*J1839,2))),"")</f>
        <v/>
      </c>
      <c r="D1848" s="66"/>
      <c r="E1848" s="66"/>
      <c r="F1848" s="66"/>
      <c r="G1848" s="66"/>
      <c r="H1848" s="25" t="str">
        <f ca="1">_xlfn.IFNA(INDIRECT(_xlfn.TEXTJOIN("",TRUE,A1839,"!",ADDRESS(18+(A1840-1)*J1839,6))),"")</f>
        <v/>
      </c>
      <c r="I1848" s="25" t="str">
        <f ca="1">_xlfn.IFNA(INDIRECT(_xlfn.TEXTJOIN("",TRUE,A1839,"!",ADDRESS(18+(A1840-1)*J1839,13))),"")</f>
        <v/>
      </c>
      <c r="J1848" s="25" t="str">
        <f ca="1">_xlfn.IFNA(INDIRECT(_xlfn.TEXTJOIN("",TRUE,A1839,"!",ADDRESS(18+(A1840-1)*J1839,14))),"")</f>
        <v/>
      </c>
    </row>
    <row r="1849" spans="1:10" ht="10.5" customHeight="1" x14ac:dyDescent="0.2">
      <c r="A1849" s="60" t="str">
        <f ca="1">_xlfn.IFNA(INDIRECT(_xlfn.TEXTJOIN("",TRUE,A1839,"!",ADDRESS(19+(A1840-1)*J1839,1))),"")</f>
        <v/>
      </c>
      <c r="B1849" s="61"/>
      <c r="C1849" s="57" t="str">
        <f ca="1">_xlfn.IFNA(INDIRECT(_xlfn.TEXTJOIN("",TRUE,A1839,"!",ADDRESS(19+(A1840-1)*J1839,2))),"")</f>
        <v/>
      </c>
      <c r="D1849" s="58"/>
      <c r="E1849" s="58"/>
      <c r="F1849" s="58"/>
      <c r="G1849" s="59"/>
      <c r="H1849" s="25" t="str">
        <f ca="1">_xlfn.IFNA(INDIRECT(_xlfn.TEXTJOIN("",TRUE,A1839,"!",ADDRESS(19+(A1840-1)*J1839,6))),"")</f>
        <v/>
      </c>
      <c r="I1849" s="25" t="str">
        <f ca="1">_xlfn.IFNA(INDIRECT(_xlfn.TEXTJOIN("",TRUE,A1839,"!",ADDRESS(19+(A1840-1)*J1839,13))),"")</f>
        <v/>
      </c>
      <c r="J1849" s="25" t="str">
        <f ca="1">_xlfn.IFNA(INDIRECT(_xlfn.TEXTJOIN("",TRUE,A1839,"!",ADDRESS(19+(A1840-1)*J1839,14))),"")</f>
        <v/>
      </c>
    </row>
    <row r="1850" spans="1:10" ht="10.5" customHeight="1" x14ac:dyDescent="0.2">
      <c r="A1850" s="65" t="str">
        <f ca="1">_xlfn.IFNA(INDIRECT(_xlfn.TEXTJOIN("",TRUE,A1839,"!",ADDRESS(20+(A1840-1)*J1839,1))),"")</f>
        <v/>
      </c>
      <c r="B1850" s="65"/>
      <c r="C1850" s="66" t="str">
        <f ca="1">_xlfn.IFNA(INDIRECT(_xlfn.TEXTJOIN("",TRUE,A1839,"!",ADDRESS(20+(A1840-1)*J1839,2))),"")</f>
        <v/>
      </c>
      <c r="D1850" s="66"/>
      <c r="E1850" s="66"/>
      <c r="F1850" s="66"/>
      <c r="G1850" s="66"/>
      <c r="H1850" s="25" t="str">
        <f ca="1">_xlfn.IFNA(INDIRECT(_xlfn.TEXTJOIN("",TRUE,A1839,"!",ADDRESS(20+(A1840-1)*J1839,6))),"")</f>
        <v/>
      </c>
      <c r="I1850" s="25" t="str">
        <f ca="1">_xlfn.IFNA(INDIRECT(_xlfn.TEXTJOIN("",TRUE,A1839,"!",ADDRESS(20+(A1840-1)*J1839,13))),"")</f>
        <v/>
      </c>
      <c r="J1850" s="25" t="str">
        <f ca="1">_xlfn.IFNA(INDIRECT(_xlfn.TEXTJOIN("",TRUE,A1839,"!",ADDRESS(20+(A1840-1)*J1839,14))),"")</f>
        <v/>
      </c>
    </row>
    <row r="1851" spans="1:10" ht="10.5" customHeight="1" x14ac:dyDescent="0.2">
      <c r="A1851" s="71" t="str">
        <f ca="1">IF(ISNA(A1840),"","Total Credits/ Total Grade Points")</f>
        <v/>
      </c>
      <c r="B1851" s="71"/>
      <c r="C1851" s="71"/>
      <c r="D1851" s="71"/>
      <c r="E1851" s="71"/>
      <c r="F1851" s="71"/>
      <c r="G1851" s="71"/>
      <c r="H1851" s="27" t="str">
        <f ca="1">IF(ISNA(A1840),"",SUM(H1843:H1850))</f>
        <v/>
      </c>
      <c r="I1851" s="26" t="str">
        <f ca="1">IF(ISNA(A1840),"","-")</f>
        <v/>
      </c>
      <c r="J1851" s="27" t="str">
        <f ca="1">IF(ISNA(A1840),"",SUMPRODUCT(J1843:J1850,H1843:H1850))</f>
        <v/>
      </c>
    </row>
    <row r="1852" spans="1:10" ht="10.5" customHeight="1" x14ac:dyDescent="0.2">
      <c r="A1852" s="24" t="s">
        <v>133</v>
      </c>
      <c r="B1852" s="72" t="str">
        <f ca="1">IF(ISNA(A1853),"","Semester IV (Spring Semester 2023-24)")</f>
        <v/>
      </c>
      <c r="C1852" s="72"/>
      <c r="D1852" s="72"/>
      <c r="E1852" s="72"/>
      <c r="F1852" s="72"/>
      <c r="G1852" s="72"/>
      <c r="H1852" s="72"/>
      <c r="I1852" s="72"/>
      <c r="J1852" s="24">
        <f>ROWS(A1856:B1862)+9</f>
        <v>16</v>
      </c>
    </row>
    <row r="1853" spans="1:10" ht="10.5" customHeight="1" x14ac:dyDescent="0.2">
      <c r="A1853" s="24" t="e">
        <f ca="1">INDEX(SEM_IV!$A$6:$A$43,Marksheets!J1853)</f>
        <v>#N/A</v>
      </c>
      <c r="B1853" s="63"/>
      <c r="C1853" s="63"/>
      <c r="D1853" s="63"/>
      <c r="E1853" s="63"/>
      <c r="F1853" s="63"/>
      <c r="G1853" s="63"/>
      <c r="H1853" s="63"/>
      <c r="I1853" s="63"/>
      <c r="J1853" s="24" t="e">
        <f ca="1">MATCH(H1803,SEM_IV!$B$6:$B$43,0)</f>
        <v>#N/A</v>
      </c>
    </row>
    <row r="1854" spans="1:10" ht="10.5" customHeight="1" x14ac:dyDescent="0.2">
      <c r="A1854" s="64" t="str">
        <f ca="1">IF(ISNA(A1853),"","Subject Code")</f>
        <v/>
      </c>
      <c r="B1854" s="64"/>
      <c r="C1854" s="64" t="str">
        <f ca="1">IF(ISNA(A1853),"","Subject Name")</f>
        <v/>
      </c>
      <c r="D1854" s="64"/>
      <c r="E1854" s="64"/>
      <c r="F1854" s="64"/>
      <c r="G1854" s="64"/>
      <c r="H1854" s="64" t="str">
        <f ca="1">IF(ISNA(A1853),"","Credits")</f>
        <v/>
      </c>
      <c r="I1854" s="64" t="str">
        <f ca="1">IF(ISNA(A1853),"","Grade")</f>
        <v/>
      </c>
      <c r="J1854" s="64" t="str">
        <f ca="1">IF(ISNA(A1853),"","Grade Points")</f>
        <v/>
      </c>
    </row>
    <row r="1855" spans="1:10" ht="16" customHeight="1" x14ac:dyDescent="0.2">
      <c r="A1855" s="64"/>
      <c r="B1855" s="64"/>
      <c r="C1855" s="64"/>
      <c r="D1855" s="64"/>
      <c r="E1855" s="64"/>
      <c r="F1855" s="64"/>
      <c r="G1855" s="64"/>
      <c r="H1855" s="64"/>
      <c r="I1855" s="64"/>
      <c r="J1855" s="64"/>
    </row>
    <row r="1856" spans="1:10" ht="10.5" customHeight="1" x14ac:dyDescent="0.2">
      <c r="A1856" s="65" t="str">
        <f ca="1">_xlfn.IFNA(INDIRECT(_xlfn.TEXTJOIN("",TRUE,A1852,"!",ADDRESS(13+(A1853-1)*J1852,1))),"")</f>
        <v/>
      </c>
      <c r="B1856" s="65"/>
      <c r="C1856" s="66" t="str">
        <f ca="1">_xlfn.IFNA(INDIRECT(_xlfn.TEXTJOIN("",TRUE,A1852,"!",ADDRESS(13+(A1853-1)*J1852,2))),"")</f>
        <v/>
      </c>
      <c r="D1856" s="66"/>
      <c r="E1856" s="66"/>
      <c r="F1856" s="66"/>
      <c r="G1856" s="66"/>
      <c r="H1856" s="25" t="str">
        <f ca="1">_xlfn.IFNA(INDIRECT(_xlfn.TEXTJOIN("",TRUE,A1852,"!",ADDRESS(13+(A1853-1)*J1852,6))),"")</f>
        <v/>
      </c>
      <c r="I1856" s="25" t="str">
        <f ca="1">_xlfn.IFNA(INDIRECT(_xlfn.TEXTJOIN("",TRUE,A1852,"!",ADDRESS(13+(A1853-1)*J1852,13))),"")</f>
        <v/>
      </c>
      <c r="J1856" s="25" t="str">
        <f ca="1">_xlfn.IFNA(INDIRECT(_xlfn.TEXTJOIN("",TRUE,A1852,"!",ADDRESS(13+(A1853-1)*J1852,14))),"")</f>
        <v/>
      </c>
    </row>
    <row r="1857" spans="1:10" ht="10.5" customHeight="1" x14ac:dyDescent="0.2">
      <c r="A1857" s="65" t="str">
        <f ca="1">_xlfn.IFNA(INDIRECT(_xlfn.TEXTJOIN("",TRUE,A1852,"!",ADDRESS(14+(A1853-1)*J1852,1))),"")</f>
        <v/>
      </c>
      <c r="B1857" s="65"/>
      <c r="C1857" s="66" t="str">
        <f ca="1">_xlfn.IFNA(INDIRECT(_xlfn.TEXTJOIN("",TRUE,A1852,"!",ADDRESS(14+(A1853-1)*J1852,2))),"")</f>
        <v/>
      </c>
      <c r="D1857" s="66"/>
      <c r="E1857" s="66"/>
      <c r="F1857" s="66"/>
      <c r="G1857" s="66"/>
      <c r="H1857" s="25" t="str">
        <f ca="1">_xlfn.IFNA(INDIRECT(_xlfn.TEXTJOIN("",TRUE,A1852,"!",ADDRESS(14+(A1853-1)*J1852,6))),"")</f>
        <v/>
      </c>
      <c r="I1857" s="25" t="str">
        <f ca="1">_xlfn.IFNA(INDIRECT(_xlfn.TEXTJOIN("",TRUE,A1852,"!",ADDRESS(14+(A1853-1)*J1852,13))),"")</f>
        <v/>
      </c>
      <c r="J1857" s="25" t="str">
        <f ca="1">_xlfn.IFNA(INDIRECT(_xlfn.TEXTJOIN("",TRUE,A1852,"!",ADDRESS(14+(A1853-1)*J1852,14))),"")</f>
        <v/>
      </c>
    </row>
    <row r="1858" spans="1:10" ht="10.5" customHeight="1" x14ac:dyDescent="0.2">
      <c r="A1858" s="65" t="str">
        <f ca="1">_xlfn.IFNA(INDIRECT(_xlfn.TEXTJOIN("",TRUE,A1852,"!",ADDRESS(15+(A1853-1)*J1852,1))),"")</f>
        <v/>
      </c>
      <c r="B1858" s="65"/>
      <c r="C1858" s="66" t="str">
        <f ca="1">_xlfn.IFNA(INDIRECT(_xlfn.TEXTJOIN("",TRUE,A1852,"!",ADDRESS(15+(A1853-1)*J1852,2))),"")</f>
        <v/>
      </c>
      <c r="D1858" s="66"/>
      <c r="E1858" s="66"/>
      <c r="F1858" s="66"/>
      <c r="G1858" s="66"/>
      <c r="H1858" s="25" t="str">
        <f ca="1">_xlfn.IFNA(INDIRECT(_xlfn.TEXTJOIN("",TRUE,A1852,"!",ADDRESS(15+(A1853-1)*J1852,6))),"")</f>
        <v/>
      </c>
      <c r="I1858" s="25" t="str">
        <f ca="1">_xlfn.IFNA(INDIRECT(_xlfn.TEXTJOIN("",TRUE,A1852,"!",ADDRESS(15+(A1853-1)*J1852,13))),"")</f>
        <v/>
      </c>
      <c r="J1858" s="25" t="str">
        <f ca="1">_xlfn.IFNA(INDIRECT(_xlfn.TEXTJOIN("",TRUE,A1852,"!",ADDRESS(15+(A1853-1)*J1852,14))),"")</f>
        <v/>
      </c>
    </row>
    <row r="1859" spans="1:10" ht="10.5" customHeight="1" x14ac:dyDescent="0.2">
      <c r="A1859" s="65" t="str">
        <f ca="1">_xlfn.IFNA(INDIRECT(_xlfn.TEXTJOIN("",TRUE,A1852,"!",ADDRESS(16+(A1853-1)*J1852,1))),"")</f>
        <v/>
      </c>
      <c r="B1859" s="65"/>
      <c r="C1859" s="66" t="str">
        <f ca="1">_xlfn.IFNA(INDIRECT(_xlfn.TEXTJOIN("",TRUE,A1852,"!",ADDRESS(16+(A1853-1)*J1852,2))),"")</f>
        <v/>
      </c>
      <c r="D1859" s="66"/>
      <c r="E1859" s="66"/>
      <c r="F1859" s="66"/>
      <c r="G1859" s="66"/>
      <c r="H1859" s="25" t="str">
        <f ca="1">_xlfn.IFNA(INDIRECT(_xlfn.TEXTJOIN("",TRUE,A1852,"!",ADDRESS(16+(A1853-1)*J1852,6))),"")</f>
        <v/>
      </c>
      <c r="I1859" s="25" t="str">
        <f ca="1">_xlfn.IFNA(INDIRECT(_xlfn.TEXTJOIN("",TRUE,A1852,"!",ADDRESS(16+(A1853-1)*J1852,13))),"")</f>
        <v/>
      </c>
      <c r="J1859" s="25" t="str">
        <f ca="1">_xlfn.IFNA(INDIRECT(_xlfn.TEXTJOIN("",TRUE,A1852,"!",ADDRESS(16+(A1853-1)*J1852,14))),"")</f>
        <v/>
      </c>
    </row>
    <row r="1860" spans="1:10" ht="10.5" customHeight="1" x14ac:dyDescent="0.2">
      <c r="A1860" s="65" t="str">
        <f ca="1">_xlfn.IFNA(INDIRECT(_xlfn.TEXTJOIN("",TRUE,A1852,"!",ADDRESS(17+(A1853-1)*J1852,1))),"")</f>
        <v/>
      </c>
      <c r="B1860" s="65"/>
      <c r="C1860" s="66" t="str">
        <f ca="1">_xlfn.IFNA(INDIRECT(_xlfn.TEXTJOIN("",TRUE,A1852,"!",ADDRESS(17+(A1853-1)*J1852,2))),"")</f>
        <v/>
      </c>
      <c r="D1860" s="66"/>
      <c r="E1860" s="66"/>
      <c r="F1860" s="66"/>
      <c r="G1860" s="66"/>
      <c r="H1860" s="25" t="str">
        <f ca="1">_xlfn.IFNA(INDIRECT(_xlfn.TEXTJOIN("",TRUE,A1852,"!",ADDRESS(17+(A1853-1)*J1852,6))),"")</f>
        <v/>
      </c>
      <c r="I1860" s="25" t="str">
        <f ca="1">_xlfn.IFNA(INDIRECT(_xlfn.TEXTJOIN("",TRUE,A1852,"!",ADDRESS(17+(A1853-1)*J1852,13))),"")</f>
        <v/>
      </c>
      <c r="J1860" s="25" t="str">
        <f ca="1">_xlfn.IFNA(INDIRECT(_xlfn.TEXTJOIN("",TRUE,A1852,"!",ADDRESS(17+(A1853-1)*J1852,14))),"")</f>
        <v/>
      </c>
    </row>
    <row r="1861" spans="1:10" ht="10.5" customHeight="1" x14ac:dyDescent="0.2">
      <c r="A1861" s="65" t="str">
        <f ca="1">_xlfn.IFNA(INDIRECT(_xlfn.TEXTJOIN("",TRUE,A1852,"!",ADDRESS(18+(A1853-1)*J1852,1))),"")</f>
        <v/>
      </c>
      <c r="B1861" s="65"/>
      <c r="C1861" s="66" t="str">
        <f ca="1">_xlfn.IFNA(INDIRECT(_xlfn.TEXTJOIN("",TRUE,A1852,"!",ADDRESS(18+(A1853-1)*J1852,2))),"")</f>
        <v/>
      </c>
      <c r="D1861" s="66"/>
      <c r="E1861" s="66"/>
      <c r="F1861" s="66"/>
      <c r="G1861" s="66"/>
      <c r="H1861" s="25" t="str">
        <f ca="1">_xlfn.IFNA(INDIRECT(_xlfn.TEXTJOIN("",TRUE,A1852,"!",ADDRESS(18+(A1853-1)*J1852,6))),"")</f>
        <v/>
      </c>
      <c r="I1861" s="25" t="str">
        <f ca="1">_xlfn.IFNA(INDIRECT(_xlfn.TEXTJOIN("",TRUE,A1852,"!",ADDRESS(18+(A1853-1)*J1852,13))),"")</f>
        <v/>
      </c>
      <c r="J1861" s="25" t="str">
        <f ca="1">_xlfn.IFNA(INDIRECT(_xlfn.TEXTJOIN("",TRUE,A1852,"!",ADDRESS(18+(A1853-1)*J1852,14))),"")</f>
        <v/>
      </c>
    </row>
    <row r="1862" spans="1:10" ht="10.5" customHeight="1" x14ac:dyDescent="0.2">
      <c r="A1862" s="60" t="str">
        <f ca="1">_xlfn.IFNA(INDIRECT(_xlfn.TEXTJOIN("",TRUE,A1852,"!",ADDRESS(19+(A1853-1)*J1852,1))),"")</f>
        <v/>
      </c>
      <c r="B1862" s="61"/>
      <c r="C1862" s="57" t="str">
        <f ca="1">_xlfn.IFNA(INDIRECT(_xlfn.TEXTJOIN("",TRUE,A1852,"!",ADDRESS(19+(A1853-1)*J1852,2))),"")</f>
        <v/>
      </c>
      <c r="D1862" s="58"/>
      <c r="E1862" s="58"/>
      <c r="F1862" s="58"/>
      <c r="G1862" s="59"/>
      <c r="H1862" s="25" t="str">
        <f ca="1">_xlfn.IFNA(INDIRECT(_xlfn.TEXTJOIN("",TRUE,A1852,"!",ADDRESS(19+(A1853-1)*J1852,6))),"")</f>
        <v/>
      </c>
      <c r="I1862" s="25" t="str">
        <f ca="1">_xlfn.IFNA(INDIRECT(_xlfn.TEXTJOIN("",TRUE,A1852,"!",ADDRESS(19+(A1853-1)*J1852,13))),"")</f>
        <v/>
      </c>
      <c r="J1862" s="25" t="str">
        <f ca="1">_xlfn.IFNA(INDIRECT(_xlfn.TEXTJOIN("",TRUE,A1852,"!",ADDRESS(19+(A1853-1)*J1852,14))),"")</f>
        <v/>
      </c>
    </row>
    <row r="1863" spans="1:10" ht="10.5" customHeight="1" x14ac:dyDescent="0.2">
      <c r="A1863" s="71" t="str">
        <f ca="1">IF(ISNA(A1853),"","Total Credits/ Total Grade Points")</f>
        <v/>
      </c>
      <c r="B1863" s="71"/>
      <c r="C1863" s="71"/>
      <c r="D1863" s="71"/>
      <c r="E1863" s="71"/>
      <c r="F1863" s="71"/>
      <c r="G1863" s="71"/>
      <c r="H1863" s="27" t="str">
        <f ca="1">IF(ISNA(A1853),"",SUM(H1855:H1862))</f>
        <v/>
      </c>
      <c r="I1863" s="26" t="str">
        <f ca="1">IF(ISNA(A1853),"","-")</f>
        <v/>
      </c>
      <c r="J1863" s="27" t="str">
        <f ca="1">IF(ISNA(A1853),"",SUMPRODUCT(J1855:J1862,H1855:H1862))</f>
        <v/>
      </c>
    </row>
    <row r="1864" spans="1:10" ht="10.5" customHeight="1" x14ac:dyDescent="0.2">
      <c r="A1864" s="75" t="s">
        <v>137</v>
      </c>
      <c r="B1864" s="75"/>
      <c r="C1864" s="75"/>
      <c r="D1864" s="75"/>
      <c r="E1864" s="75"/>
      <c r="F1864" s="76" t="s">
        <v>138</v>
      </c>
      <c r="G1864" s="76"/>
      <c r="H1864" s="76"/>
      <c r="I1864" s="76"/>
      <c r="J1864" s="76"/>
    </row>
    <row r="1865" spans="1:10" ht="10.5" customHeight="1" x14ac:dyDescent="0.2">
      <c r="A1865" s="43" t="s">
        <v>139</v>
      </c>
      <c r="B1865" s="43"/>
      <c r="C1865" s="43"/>
      <c r="D1865" s="43"/>
      <c r="E1865" s="43"/>
      <c r="F1865" s="43"/>
      <c r="G1865" s="43"/>
      <c r="H1865" s="43"/>
      <c r="I1865" s="43"/>
      <c r="J1865" s="43"/>
    </row>
    <row r="1866" spans="1:10" ht="10.5" customHeight="1" x14ac:dyDescent="0.2">
      <c r="A1866" s="10"/>
      <c r="B1866" s="26"/>
      <c r="C1866" s="26" t="s">
        <v>140</v>
      </c>
      <c r="D1866" s="26" t="s">
        <v>141</v>
      </c>
      <c r="E1866" s="26" t="s">
        <v>142</v>
      </c>
      <c r="F1866" s="26" t="s">
        <v>143</v>
      </c>
      <c r="G1866" s="26" t="s">
        <v>144</v>
      </c>
      <c r="H1866" s="79" t="s">
        <v>145</v>
      </c>
      <c r="I1866" s="79"/>
      <c r="J1866" s="30"/>
    </row>
    <row r="1867" spans="1:10" ht="10.5" customHeight="1" x14ac:dyDescent="0.2">
      <c r="A1867" s="10"/>
      <c r="B1867" s="80" t="s">
        <v>146</v>
      </c>
      <c r="C1867" s="73" t="e">
        <f ca="1">J1823/H1823</f>
        <v>#N/A</v>
      </c>
      <c r="D1867" s="73" t="e">
        <f ca="1">J1838/H1838</f>
        <v>#VALUE!</v>
      </c>
      <c r="E1867" s="73" t="str">
        <f ca="1">IFERROR(J1851/H1851,"")</f>
        <v/>
      </c>
      <c r="F1867" s="73" t="str">
        <f ca="1">IFERROR(J1863/H1863,"")</f>
        <v/>
      </c>
      <c r="G1867" s="82" t="e">
        <f ca="1">F1869</f>
        <v>#N/A</v>
      </c>
      <c r="H1867" s="83" t="e">
        <f ca="1">IF(TC_IV!N421&lt;96,_xlfn.TEXTJOIN(" ",TRUE,"CARRY OVER",TC_I!V625,TC_II!V517,TC_III!V446,TC_IV!V420),IF(G1867&gt;=8,"First Division with Distinction",IF(G1867&gt;=6.5,"First Division",IF(G1867&gt;=5,"Second Division",IF(G1867&gt;=4,"Third Division","Fail")))))</f>
        <v>#N/A</v>
      </c>
      <c r="I1867" s="83"/>
      <c r="J1867" s="30"/>
    </row>
    <row r="1868" spans="1:10" ht="10.5" customHeight="1" x14ac:dyDescent="0.2">
      <c r="B1868" s="81"/>
      <c r="C1868" s="74"/>
      <c r="D1868" s="74"/>
      <c r="E1868" s="74"/>
      <c r="F1868" s="74"/>
      <c r="G1868" s="82"/>
      <c r="H1868" s="83"/>
      <c r="I1868" s="83"/>
    </row>
    <row r="1869" spans="1:10" ht="10.5" customHeight="1" x14ac:dyDescent="0.2">
      <c r="B1869" s="80" t="s">
        <v>48</v>
      </c>
      <c r="C1869" s="73" t="e">
        <f ca="1">J1823/H1823</f>
        <v>#N/A</v>
      </c>
      <c r="D1869" s="73" t="e">
        <f ca="1">SUM(J1838,J1823)/SUM(H1838,H1823)</f>
        <v>#N/A</v>
      </c>
      <c r="E1869" s="73" t="e">
        <f ca="1">SUM(J1851,J1838,J1823)/SUM(H1851,H1838,H1823)</f>
        <v>#N/A</v>
      </c>
      <c r="F1869" s="73" t="e">
        <f ca="1">SUM(J1863,J1851,J1838,J1823)/SUM(H1823,H1838,H1851,H1863)</f>
        <v>#N/A</v>
      </c>
      <c r="G1869" s="82"/>
      <c r="H1869" s="83"/>
      <c r="I1869" s="83"/>
    </row>
    <row r="1870" spans="1:10" ht="10.5" customHeight="1" x14ac:dyDescent="0.2">
      <c r="B1870" s="81"/>
      <c r="C1870" s="74"/>
      <c r="D1870" s="74"/>
      <c r="E1870" s="74"/>
      <c r="F1870" s="74"/>
      <c r="G1870" s="82"/>
      <c r="H1870" s="83"/>
      <c r="I1870" s="83"/>
    </row>
    <row r="1872" spans="1:10" ht="10.5" customHeight="1" x14ac:dyDescent="0.2">
      <c r="A1872" s="56" t="s">
        <v>24</v>
      </c>
      <c r="B1872" s="56"/>
      <c r="C1872" s="56" t="str">
        <f ca="1">INDIRECT(_xlfn.TEXTJOIN("",TRUE,A1874,"!",ADDRESS(9+(A1875-1)*J1874,2)))</f>
        <v/>
      </c>
      <c r="D1872" s="56"/>
      <c r="E1872" s="56"/>
      <c r="F1872" s="56" t="s">
        <v>135</v>
      </c>
      <c r="G1872" s="56"/>
      <c r="H1872" s="62" t="str">
        <f ca="1">INDIRECT(_xlfn.TEXTJOIN("",TRUE,A1874,"!",ADDRESS(9+(A1875-1)*J1874,9)))</f>
        <v/>
      </c>
      <c r="I1872" s="56"/>
      <c r="J1872" s="56"/>
    </row>
    <row r="1873" spans="1:10" ht="10.5" customHeight="1" x14ac:dyDescent="0.2">
      <c r="A1873" s="56" t="s">
        <v>25</v>
      </c>
      <c r="B1873" s="56"/>
      <c r="C1873" s="56" t="str">
        <f ca="1">INDIRECT(_xlfn.TEXTJOIN("",TRUE,A1874,"!",ADDRESS(9+(A1875-1)*J1874,5)))</f>
        <v/>
      </c>
      <c r="D1873" s="56"/>
      <c r="E1873" s="56"/>
      <c r="F1873" s="47" t="s">
        <v>136</v>
      </c>
      <c r="G1873" s="47"/>
      <c r="H1873" s="62" t="str">
        <f ca="1">INDIRECT(_xlfn.TEXTJOIN("",TRUE,A1874,"!",ADDRESS(9+(A1875-1)*J1874,13)))</f>
        <v/>
      </c>
      <c r="I1873" s="56"/>
      <c r="J1873" s="56"/>
    </row>
    <row r="1874" spans="1:10" ht="10.5" customHeight="1" x14ac:dyDescent="0.2">
      <c r="A1874" s="24" t="s">
        <v>53</v>
      </c>
      <c r="B1874" s="43" t="s">
        <v>148</v>
      </c>
      <c r="C1874" s="43"/>
      <c r="D1874" s="43"/>
      <c r="E1874" s="43"/>
      <c r="F1874" s="43"/>
      <c r="G1874" s="43"/>
      <c r="H1874" s="43"/>
      <c r="I1874" s="43"/>
      <c r="J1874" s="24">
        <f>ROWS(A1878:B1891)+9</f>
        <v>23</v>
      </c>
    </row>
    <row r="1875" spans="1:10" ht="10.5" customHeight="1" x14ac:dyDescent="0.2">
      <c r="A1875" s="24">
        <f>A1806+1</f>
        <v>28</v>
      </c>
      <c r="B1875" s="63"/>
      <c r="C1875" s="63"/>
      <c r="D1875" s="63"/>
      <c r="E1875" s="63"/>
      <c r="F1875" s="63"/>
      <c r="G1875" s="63"/>
      <c r="H1875" s="63"/>
      <c r="I1875" s="63"/>
      <c r="J1875" s="29"/>
    </row>
    <row r="1876" spans="1:10" ht="10.5" customHeight="1" x14ac:dyDescent="0.2">
      <c r="A1876" s="64" t="s">
        <v>28</v>
      </c>
      <c r="B1876" s="64"/>
      <c r="C1876" s="64" t="s">
        <v>29</v>
      </c>
      <c r="D1876" s="64"/>
      <c r="E1876" s="64"/>
      <c r="F1876" s="64"/>
      <c r="G1876" s="64"/>
      <c r="H1876" s="64" t="s">
        <v>30</v>
      </c>
      <c r="I1876" s="64" t="s">
        <v>9</v>
      </c>
      <c r="J1876" s="64" t="s">
        <v>34</v>
      </c>
    </row>
    <row r="1877" spans="1:10" ht="16" customHeight="1" x14ac:dyDescent="0.2">
      <c r="A1877" s="64"/>
      <c r="B1877" s="64"/>
      <c r="C1877" s="64"/>
      <c r="D1877" s="64"/>
      <c r="E1877" s="64"/>
      <c r="F1877" s="64"/>
      <c r="G1877" s="64"/>
      <c r="H1877" s="64"/>
      <c r="I1877" s="64"/>
      <c r="J1877" s="64"/>
    </row>
    <row r="1878" spans="1:10" ht="10.5" customHeight="1" x14ac:dyDescent="0.2">
      <c r="A1878" s="65" t="str">
        <f ca="1">INDIRECT(_xlfn.TEXTJOIN("",TRUE,A1874,"!",ADDRESS(13+(A1875-1)*J1874,1)))</f>
        <v/>
      </c>
      <c r="B1878" s="65"/>
      <c r="C1878" s="66" t="str">
        <f ca="1">INDIRECT(_xlfn.TEXTJOIN("",TRUE,A1874,"!",ADDRESS(13+(A1875-1)*J1874,2)))</f>
        <v/>
      </c>
      <c r="D1878" s="66"/>
      <c r="E1878" s="66"/>
      <c r="F1878" s="66"/>
      <c r="G1878" s="66"/>
      <c r="H1878" s="25" t="str">
        <f ca="1">INDIRECT(_xlfn.TEXTJOIN("",TRUE,A1874,"!",ADDRESS(13+(A1875-1)*J1874,6)))</f>
        <v/>
      </c>
      <c r="I1878" s="25" t="str">
        <f ca="1">INDIRECT(_xlfn.TEXTJOIN("",TRUE,A1874,"!",ADDRESS(13+(A1875-1)*J1874,13)))</f>
        <v/>
      </c>
      <c r="J1878" s="25" t="e">
        <f ca="1">INDIRECT(_xlfn.TEXTJOIN("",TRUE,A1874,"!",ADDRESS(13+(A1875-1)*J1874,14)))</f>
        <v>#N/A</v>
      </c>
    </row>
    <row r="1879" spans="1:10" ht="10.5" customHeight="1" x14ac:dyDescent="0.2">
      <c r="A1879" s="65" t="str">
        <f ca="1">INDIRECT(_xlfn.TEXTJOIN("",TRUE,A1874,"!",ADDRESS(14+(A1875-1)*J1874,1)))</f>
        <v/>
      </c>
      <c r="B1879" s="65"/>
      <c r="C1879" s="66" t="str">
        <f ca="1">INDIRECT(_xlfn.TEXTJOIN("",TRUE,A1874,"!",ADDRESS(14+(A1875-1)*J1874,2)))</f>
        <v/>
      </c>
      <c r="D1879" s="66"/>
      <c r="E1879" s="66"/>
      <c r="F1879" s="66"/>
      <c r="G1879" s="66"/>
      <c r="H1879" s="25" t="str">
        <f ca="1">INDIRECT(_xlfn.TEXTJOIN("",TRUE,A1874,"!",ADDRESS(14+(A1875-1)*J1874,6)))</f>
        <v/>
      </c>
      <c r="I1879" s="25" t="str">
        <f ca="1">INDIRECT(_xlfn.TEXTJOIN("",TRUE,A1874,"!",ADDRESS(14+(A1875-1)*J1874,13)))</f>
        <v/>
      </c>
      <c r="J1879" s="25" t="e">
        <f ca="1">INDIRECT(_xlfn.TEXTJOIN("",TRUE,A1874,"!",ADDRESS(14+(A1875-1)*J1874,14)))</f>
        <v>#N/A</v>
      </c>
    </row>
    <row r="1880" spans="1:10" ht="10.5" customHeight="1" x14ac:dyDescent="0.2">
      <c r="A1880" s="65" t="str">
        <f ca="1">INDIRECT(_xlfn.TEXTJOIN("",TRUE,A1874,"!",ADDRESS(15+(A1875-1)*J1874,1)))</f>
        <v/>
      </c>
      <c r="B1880" s="65"/>
      <c r="C1880" s="66" t="str">
        <f ca="1">INDIRECT(_xlfn.TEXTJOIN("",TRUE,A1874,"!",ADDRESS(15+(A1875-1)*J1874,2)))</f>
        <v/>
      </c>
      <c r="D1880" s="66"/>
      <c r="E1880" s="66"/>
      <c r="F1880" s="66"/>
      <c r="G1880" s="66"/>
      <c r="H1880" s="25" t="str">
        <f ca="1">INDIRECT(_xlfn.TEXTJOIN("",TRUE,A1874,"!",ADDRESS(15+(A1875-1)*J1874,6)))</f>
        <v/>
      </c>
      <c r="I1880" s="25" t="str">
        <f ca="1">INDIRECT(_xlfn.TEXTJOIN("",TRUE,A1874,"!",ADDRESS(15+(A1875-1)*J1874,13)))</f>
        <v/>
      </c>
      <c r="J1880" s="25" t="e">
        <f ca="1">INDIRECT(_xlfn.TEXTJOIN("",TRUE,A1874,"!",ADDRESS(15+(A1875-1)*J1874,14)))</f>
        <v>#N/A</v>
      </c>
    </row>
    <row r="1881" spans="1:10" ht="10.5" customHeight="1" x14ac:dyDescent="0.2">
      <c r="A1881" s="65" t="str">
        <f ca="1">INDIRECT(_xlfn.TEXTJOIN("",TRUE,A1874,"!",ADDRESS(16+(A1875-1)*J1874,1)))</f>
        <v/>
      </c>
      <c r="B1881" s="65"/>
      <c r="C1881" s="66" t="str">
        <f ca="1">INDIRECT(_xlfn.TEXTJOIN("",TRUE,A1874,"!",ADDRESS(16+(A1875-1)*J1874,2)))</f>
        <v/>
      </c>
      <c r="D1881" s="66"/>
      <c r="E1881" s="66"/>
      <c r="F1881" s="66"/>
      <c r="G1881" s="66"/>
      <c r="H1881" s="25" t="str">
        <f ca="1">INDIRECT(_xlfn.TEXTJOIN("",TRUE,A1874,"!",ADDRESS(16+(A1875-1)*J1874,6)))</f>
        <v/>
      </c>
      <c r="I1881" s="25" t="str">
        <f ca="1">INDIRECT(_xlfn.TEXTJOIN("",TRUE,A1874,"!",ADDRESS(16+(A1875-1)*J1874,13)))</f>
        <v/>
      </c>
      <c r="J1881" s="25" t="e">
        <f ca="1">INDIRECT(_xlfn.TEXTJOIN("",TRUE,A1874,"!",ADDRESS(16+(A1875-1)*J1874,14)))</f>
        <v>#N/A</v>
      </c>
    </row>
    <row r="1882" spans="1:10" ht="10.5" customHeight="1" x14ac:dyDescent="0.2">
      <c r="A1882" s="65" t="str">
        <f ca="1">INDIRECT(_xlfn.TEXTJOIN("",TRUE,A1874,"!",ADDRESS(17+(A1875-1)*J1874,1)))</f>
        <v/>
      </c>
      <c r="B1882" s="65"/>
      <c r="C1882" s="66" t="str">
        <f ca="1">INDIRECT(_xlfn.TEXTJOIN("",TRUE,A1874,"!",ADDRESS(17+(A1875-1)*J1874,2)))</f>
        <v/>
      </c>
      <c r="D1882" s="66"/>
      <c r="E1882" s="66"/>
      <c r="F1882" s="66"/>
      <c r="G1882" s="66"/>
      <c r="H1882" s="25" t="str">
        <f ca="1">INDIRECT(_xlfn.TEXTJOIN("",TRUE,A1874,"!",ADDRESS(17+(A1875-1)*J1874,6)))</f>
        <v/>
      </c>
      <c r="I1882" s="25" t="str">
        <f ca="1">INDIRECT(_xlfn.TEXTJOIN("",TRUE,A1874,"!",ADDRESS(17+(A1875-1)*J1874,13)))</f>
        <v/>
      </c>
      <c r="J1882" s="25" t="e">
        <f ca="1">INDIRECT(_xlfn.TEXTJOIN("",TRUE,A1874,"!",ADDRESS(17+(A1875-1)*J1874,14)))</f>
        <v>#N/A</v>
      </c>
    </row>
    <row r="1883" spans="1:10" ht="10.5" customHeight="1" x14ac:dyDescent="0.2">
      <c r="A1883" s="65" t="str">
        <f ca="1">INDIRECT(_xlfn.TEXTJOIN("",TRUE,A1874,"!",ADDRESS(18+(A1875-1)*J1874,1)))</f>
        <v/>
      </c>
      <c r="B1883" s="65"/>
      <c r="C1883" s="66" t="str">
        <f ca="1">INDIRECT(_xlfn.TEXTJOIN("",TRUE,A1874,"!",ADDRESS(18+(A1875-1)*J1874,2)))</f>
        <v/>
      </c>
      <c r="D1883" s="66"/>
      <c r="E1883" s="66"/>
      <c r="F1883" s="66"/>
      <c r="G1883" s="66"/>
      <c r="H1883" s="25" t="str">
        <f ca="1">INDIRECT(_xlfn.TEXTJOIN("",TRUE,A1874,"!",ADDRESS(18+(A1875-1)*J1874,6)))</f>
        <v/>
      </c>
      <c r="I1883" s="25" t="str">
        <f ca="1">INDIRECT(_xlfn.TEXTJOIN("",TRUE,A1874,"!",ADDRESS(18+(A1875-1)*J1874,13)))</f>
        <v/>
      </c>
      <c r="J1883" s="25" t="e">
        <f ca="1">INDIRECT(_xlfn.TEXTJOIN("",TRUE,A1874,"!",ADDRESS(18+(A1875-1)*J1874,14)))</f>
        <v>#N/A</v>
      </c>
    </row>
    <row r="1884" spans="1:10" ht="10.5" customHeight="1" x14ac:dyDescent="0.2">
      <c r="A1884" s="60" t="str">
        <f ca="1">INDIRECT(_xlfn.TEXTJOIN("",TRUE,A1874,"!",ADDRESS(19+(A1875-1)*J1874,1)))</f>
        <v/>
      </c>
      <c r="B1884" s="61"/>
      <c r="C1884" s="57" t="str">
        <f ca="1">INDIRECT(_xlfn.TEXTJOIN("",TRUE,A1874,"!",ADDRESS(19+(A1875-1)*J1874,2)))</f>
        <v/>
      </c>
      <c r="D1884" s="58"/>
      <c r="E1884" s="58"/>
      <c r="F1884" s="58"/>
      <c r="G1884" s="59"/>
      <c r="H1884" s="25" t="str">
        <f ca="1">INDIRECT(_xlfn.TEXTJOIN("",TRUE,A1874,"!",ADDRESS(19+(A1875-1)*J1874,6)))</f>
        <v/>
      </c>
      <c r="I1884" s="25" t="str">
        <f ca="1">INDIRECT(_xlfn.TEXTJOIN("",TRUE,A1874,"!",ADDRESS(19+(A1875-1)*J1874,13)))</f>
        <v/>
      </c>
      <c r="J1884" s="25" t="e">
        <f ca="1">INDIRECT(_xlfn.TEXTJOIN("",TRUE,A1874,"!",ADDRESS(19+(A1875-1)*J1874,14)))</f>
        <v>#N/A</v>
      </c>
    </row>
    <row r="1885" spans="1:10" ht="10.5" customHeight="1" x14ac:dyDescent="0.2">
      <c r="A1885" s="65" t="str">
        <f ca="1">INDIRECT(_xlfn.TEXTJOIN("",TRUE,A1874,"!",ADDRESS(20+(A1875-1)*J1874,1)))</f>
        <v/>
      </c>
      <c r="B1885" s="65"/>
      <c r="C1885" s="66" t="str">
        <f ca="1">INDIRECT(_xlfn.TEXTJOIN("",TRUE,A1874,"!",ADDRESS(20+(A1875-1)*J1874,2)))</f>
        <v/>
      </c>
      <c r="D1885" s="66"/>
      <c r="E1885" s="66"/>
      <c r="F1885" s="66"/>
      <c r="G1885" s="66"/>
      <c r="H1885" s="25" t="str">
        <f ca="1">INDIRECT(_xlfn.TEXTJOIN("",TRUE,A1874,"!",ADDRESS(20+(A1875-1)*J1874,6)))</f>
        <v/>
      </c>
      <c r="I1885" s="25" t="str">
        <f ca="1">INDIRECT(_xlfn.TEXTJOIN("",TRUE,A1874,"!",ADDRESS(20+(A1875-1)*J1874,13)))</f>
        <v/>
      </c>
      <c r="J1885" s="25" t="e">
        <f ca="1">INDIRECT(_xlfn.TEXTJOIN("",TRUE,A1874,"!",ADDRESS(20+(A1875-1)*J1874,14)))</f>
        <v>#N/A</v>
      </c>
    </row>
    <row r="1886" spans="1:10" ht="10.5" customHeight="1" x14ac:dyDescent="0.2">
      <c r="A1886" s="65" t="str">
        <f ca="1">INDIRECT(_xlfn.TEXTJOIN("",TRUE,A1874,"!",ADDRESS(21+(A1875-1)*J1874,1)))</f>
        <v/>
      </c>
      <c r="B1886" s="65"/>
      <c r="C1886" s="66" t="str">
        <f ca="1">INDIRECT(_xlfn.TEXTJOIN("",TRUE,A1874,"!",ADDRESS(21+(A1875-1)*J1874,2)))</f>
        <v/>
      </c>
      <c r="D1886" s="66"/>
      <c r="E1886" s="66"/>
      <c r="F1886" s="66"/>
      <c r="G1886" s="66"/>
      <c r="H1886" s="25" t="str">
        <f ca="1">INDIRECT(_xlfn.TEXTJOIN("",TRUE,A1874,"!",ADDRESS(21+(A1875-1)*J1874,6)))</f>
        <v/>
      </c>
      <c r="I1886" s="25" t="str">
        <f ca="1">INDIRECT(_xlfn.TEXTJOIN("",TRUE,A1874,"!",ADDRESS(21+(A1875-1)*J1874,13)))</f>
        <v/>
      </c>
      <c r="J1886" s="25" t="e">
        <f ca="1">INDIRECT(_xlfn.TEXTJOIN("",TRUE,A1874,"!",ADDRESS(21+(A1875-1)*J1874,14)))</f>
        <v>#N/A</v>
      </c>
    </row>
    <row r="1887" spans="1:10" ht="10.5" customHeight="1" x14ac:dyDescent="0.2">
      <c r="A1887" s="65" t="str">
        <f ca="1">INDIRECT(_xlfn.TEXTJOIN("",TRUE,A1874,"!",ADDRESS(22+(A1875-1)*J1874,1)))</f>
        <v/>
      </c>
      <c r="B1887" s="65"/>
      <c r="C1887" s="66" t="str">
        <f ca="1">INDIRECT(_xlfn.TEXTJOIN("",TRUE,A1874,"!",ADDRESS(22+(A1875-1)*J1874,2)))</f>
        <v/>
      </c>
      <c r="D1887" s="66"/>
      <c r="E1887" s="66"/>
      <c r="F1887" s="66"/>
      <c r="G1887" s="66"/>
      <c r="H1887" s="25" t="str">
        <f ca="1">INDIRECT(_xlfn.TEXTJOIN("",TRUE,A1874,"!",ADDRESS(22+(A1875-1)*J1874,6)))</f>
        <v/>
      </c>
      <c r="I1887" s="25" t="str">
        <f ca="1">INDIRECT(_xlfn.TEXTJOIN("",TRUE,A1874,"!",ADDRESS(22+(A1875-1)*J1874,13)))</f>
        <v/>
      </c>
      <c r="J1887" s="25" t="e">
        <f ca="1">INDIRECT(_xlfn.TEXTJOIN("",TRUE,A1874,"!",ADDRESS(22+(A1875-1)*J1874,14)))</f>
        <v>#N/A</v>
      </c>
    </row>
    <row r="1888" spans="1:10" ht="10.5" customHeight="1" x14ac:dyDescent="0.2">
      <c r="A1888" s="65" t="str">
        <f ca="1">INDIRECT(_xlfn.TEXTJOIN("",TRUE,A1874,"!",ADDRESS(23+(A1875-1)*J1874,1)))</f>
        <v/>
      </c>
      <c r="B1888" s="65"/>
      <c r="C1888" s="66" t="str">
        <f ca="1">INDIRECT(_xlfn.TEXTJOIN("",TRUE,A1874,"!",ADDRESS(23+(A1875-1)*J1874,2)))</f>
        <v/>
      </c>
      <c r="D1888" s="66"/>
      <c r="E1888" s="66"/>
      <c r="F1888" s="66"/>
      <c r="G1888" s="66"/>
      <c r="H1888" s="25" t="str">
        <f ca="1">INDIRECT(_xlfn.TEXTJOIN("",TRUE,A1874,"!",ADDRESS(23+(A1875-1)*J1874,6)))</f>
        <v/>
      </c>
      <c r="I1888" s="25" t="str">
        <f ca="1">INDIRECT(_xlfn.TEXTJOIN("",TRUE,A1874,"!",ADDRESS(23+(A1875-1)*J1874,13)))</f>
        <v/>
      </c>
      <c r="J1888" s="25" t="e">
        <f ca="1">INDIRECT(_xlfn.TEXTJOIN("",TRUE,A1874,"!",ADDRESS(23+(A1875-1)*J1874,14)))</f>
        <v>#N/A</v>
      </c>
    </row>
    <row r="1889" spans="1:10" ht="10.5" customHeight="1" x14ac:dyDescent="0.2">
      <c r="A1889" s="65" t="str">
        <f ca="1">INDIRECT(_xlfn.TEXTJOIN("",TRUE,A1874,"!",ADDRESS(24+(A1875-1)*J1874,1)))</f>
        <v/>
      </c>
      <c r="B1889" s="65"/>
      <c r="C1889" s="66" t="str">
        <f ca="1">INDIRECT(_xlfn.TEXTJOIN("",TRUE,A1874,"!",ADDRESS(24+(A1875-1)*J1874,2)))</f>
        <v/>
      </c>
      <c r="D1889" s="66"/>
      <c r="E1889" s="66"/>
      <c r="F1889" s="66"/>
      <c r="G1889" s="66"/>
      <c r="H1889" s="25" t="str">
        <f ca="1">INDIRECT(_xlfn.TEXTJOIN("",TRUE,A1874,"!",ADDRESS(24+(A1875-1)*J1874,6)))</f>
        <v/>
      </c>
      <c r="I1889" s="25" t="str">
        <f ca="1">INDIRECT(_xlfn.TEXTJOIN("",TRUE,A1874,"!",ADDRESS(24+(A1875-1)*J1874,13)))</f>
        <v/>
      </c>
      <c r="J1889" s="25" t="e">
        <f ca="1">INDIRECT(_xlfn.TEXTJOIN("",TRUE,A1874,"!",ADDRESS(24+(A1875-1)*J1874,14)))</f>
        <v>#N/A</v>
      </c>
    </row>
    <row r="1890" spans="1:10" ht="10.5" customHeight="1" x14ac:dyDescent="0.2">
      <c r="A1890" s="65" t="str">
        <f ca="1">INDIRECT(_xlfn.TEXTJOIN("",TRUE,A1874,"!",ADDRESS(25+(A1875-1)*J1874,1)))</f>
        <v/>
      </c>
      <c r="B1890" s="65"/>
      <c r="C1890" s="66" t="str">
        <f ca="1">INDIRECT(_xlfn.TEXTJOIN("",TRUE,A1874,"!",ADDRESS(25+(A1875-1)*J1874,2)))</f>
        <v/>
      </c>
      <c r="D1890" s="66"/>
      <c r="E1890" s="66"/>
      <c r="F1890" s="66"/>
      <c r="G1890" s="66"/>
      <c r="H1890" s="25" t="str">
        <f ca="1">INDIRECT(_xlfn.TEXTJOIN("",TRUE,A1874,"!",ADDRESS(25+(A1875-1)*J1874,6)))</f>
        <v/>
      </c>
      <c r="I1890" s="25" t="str">
        <f ca="1">INDIRECT(_xlfn.TEXTJOIN("",TRUE,A1874,"!",ADDRESS(25+(A1875-1)*J1874,13)))</f>
        <v/>
      </c>
      <c r="J1890" s="25" t="e">
        <f ca="1">INDIRECT(_xlfn.TEXTJOIN("",TRUE,A1874,"!",ADDRESS(25+(A1875-1)*J1874,14)))</f>
        <v>#N/A</v>
      </c>
    </row>
    <row r="1891" spans="1:10" s="35" customFormat="1" ht="10.5" customHeight="1" x14ac:dyDescent="0.2">
      <c r="A1891" s="77" t="str">
        <f ca="1">INDIRECT(_xlfn.TEXTJOIN("",TRUE,A1874,"!",ADDRESS(26+(A1875-1)*J1874,1)))</f>
        <v/>
      </c>
      <c r="B1891" s="77"/>
      <c r="C1891" s="78" t="str">
        <f ca="1">INDIRECT(_xlfn.TEXTJOIN("",TRUE,A1874,"!",ADDRESS(26+(A1875-1)*J1874,2)))</f>
        <v/>
      </c>
      <c r="D1891" s="78"/>
      <c r="E1891" s="78"/>
      <c r="F1891" s="78"/>
      <c r="G1891" s="78"/>
      <c r="H1891" s="34" t="str">
        <f ca="1">INDIRECT(_xlfn.TEXTJOIN("",TRUE,A1874,"!",ADDRESS(26+(A1875-1)*J1874,6)))</f>
        <v/>
      </c>
      <c r="I1891" s="34" t="b">
        <f ca="1">INDIRECT(_xlfn.TEXTJOIN("",TRUE,A1874,"!",ADDRESS(26+(A1875-1)*J1874,13)))</f>
        <v>0</v>
      </c>
      <c r="J1891" s="34" t="e">
        <f ca="1">INDIRECT(_xlfn.TEXTJOIN("",TRUE,A1874,"!",ADDRESS(26+(A1875-1)*J1874,14)))</f>
        <v>#N/A</v>
      </c>
    </row>
    <row r="1892" spans="1:10" ht="10.5" customHeight="1" x14ac:dyDescent="0.2">
      <c r="A1892" s="71" t="s">
        <v>52</v>
      </c>
      <c r="B1892" s="71"/>
      <c r="C1892" s="71"/>
      <c r="D1892" s="71"/>
      <c r="E1892" s="71"/>
      <c r="F1892" s="71"/>
      <c r="G1892" s="71"/>
      <c r="H1892" s="27">
        <f ca="1">SUM(H1878:H1891)</f>
        <v>0</v>
      </c>
      <c r="I1892" s="26" t="s">
        <v>44</v>
      </c>
      <c r="J1892" s="27" t="e">
        <f ca="1">SUMPRODUCT(J1878:J1890,H1878:H1890)</f>
        <v>#N/A</v>
      </c>
    </row>
    <row r="1893" spans="1:10" ht="10.5" customHeight="1" x14ac:dyDescent="0.2">
      <c r="A1893" s="24" t="s">
        <v>57</v>
      </c>
      <c r="B1893" s="72" t="str">
        <f ca="1">IF(ISNA(A1894),"","Semester II (Spring Semester 2022-23)")</f>
        <v/>
      </c>
      <c r="C1893" s="72"/>
      <c r="D1893" s="72"/>
      <c r="E1893" s="72"/>
      <c r="F1893" s="72"/>
      <c r="G1893" s="72"/>
      <c r="H1893" s="72"/>
      <c r="I1893" s="72"/>
      <c r="J1893" s="24">
        <f>ROWS(A1897:B1906)+9</f>
        <v>19</v>
      </c>
    </row>
    <row r="1894" spans="1:10" ht="10.5" customHeight="1" x14ac:dyDescent="0.2">
      <c r="A1894" s="24" t="e">
        <f ca="1">INDEX(SEM_II!$A$6:$A$45,Marksheets!J1894)</f>
        <v>#N/A</v>
      </c>
      <c r="B1894" s="63"/>
      <c r="C1894" s="63"/>
      <c r="D1894" s="63"/>
      <c r="E1894" s="63"/>
      <c r="F1894" s="63"/>
      <c r="G1894" s="63"/>
      <c r="H1894" s="63"/>
      <c r="I1894" s="63"/>
      <c r="J1894" s="24" t="e">
        <f ca="1">MATCH(H1872,SEM_II!$B$6:$B$45,0)</f>
        <v>#N/A</v>
      </c>
    </row>
    <row r="1895" spans="1:10" ht="10.5" customHeight="1" x14ac:dyDescent="0.2">
      <c r="A1895" s="64" t="str">
        <f ca="1">IF(ISNA(A1894),"","Subject Code")</f>
        <v/>
      </c>
      <c r="B1895" s="64"/>
      <c r="C1895" s="64" t="str">
        <f ca="1">IF(ISNA(A1894),"","Subject Name")</f>
        <v/>
      </c>
      <c r="D1895" s="64"/>
      <c r="E1895" s="64"/>
      <c r="F1895" s="64"/>
      <c r="G1895" s="64"/>
      <c r="H1895" s="64" t="str">
        <f ca="1">IF(ISNA(A1894),"","Credits")</f>
        <v/>
      </c>
      <c r="I1895" s="64" t="str">
        <f ca="1">IF(ISNA(A1894),"","Grade")</f>
        <v/>
      </c>
      <c r="J1895" s="64" t="str">
        <f ca="1">IF(ISNA(A1894),"","Grade Points")</f>
        <v/>
      </c>
    </row>
    <row r="1896" spans="1:10" ht="16" customHeight="1" x14ac:dyDescent="0.2">
      <c r="A1896" s="64"/>
      <c r="B1896" s="64"/>
      <c r="C1896" s="64"/>
      <c r="D1896" s="64"/>
      <c r="E1896" s="64"/>
      <c r="F1896" s="64"/>
      <c r="G1896" s="64"/>
      <c r="H1896" s="64"/>
      <c r="I1896" s="64"/>
      <c r="J1896" s="64"/>
    </row>
    <row r="1897" spans="1:10" ht="10.5" customHeight="1" x14ac:dyDescent="0.2">
      <c r="A1897" s="65" t="str">
        <f ca="1">_xlfn.IFNA(INDIRECT(_xlfn.TEXTJOIN("",TRUE,A1893,"!",ADDRESS(13+(A1894-1)*J1893,1))),"")</f>
        <v/>
      </c>
      <c r="B1897" s="65"/>
      <c r="C1897" s="66" t="str">
        <f ca="1">_xlfn.IFNA(INDIRECT(_xlfn.TEXTJOIN("",TRUE,A1893,"!",ADDRESS(13+(A1894-1)*J1893,2))),"")</f>
        <v/>
      </c>
      <c r="D1897" s="66"/>
      <c r="E1897" s="66"/>
      <c r="F1897" s="66"/>
      <c r="G1897" s="66"/>
      <c r="H1897" s="25" t="str">
        <f ca="1">_xlfn.IFNA(INDIRECT(_xlfn.TEXTJOIN("",TRUE,A1893,"!",ADDRESS(13+(A1894-1)*J1893,6))),"")</f>
        <v/>
      </c>
      <c r="I1897" s="25" t="str">
        <f ca="1">_xlfn.IFNA(INDIRECT(_xlfn.TEXTJOIN("",TRUE,A1893,"!",ADDRESS(13+(A1894-1)*J1893,13))),"")</f>
        <v/>
      </c>
      <c r="J1897" s="25" t="str">
        <f ca="1">_xlfn.IFNA(INDIRECT(_xlfn.TEXTJOIN("",TRUE,A1893,"!",ADDRESS(13+(A1894-1)*J1893,14))),"")</f>
        <v/>
      </c>
    </row>
    <row r="1898" spans="1:10" ht="10.5" customHeight="1" x14ac:dyDescent="0.2">
      <c r="A1898" s="65" t="str">
        <f ca="1">_xlfn.IFNA(INDIRECT(_xlfn.TEXTJOIN("",TRUE,A1893,"!",ADDRESS(14+(A1894-1)*J1893,1))),"")</f>
        <v/>
      </c>
      <c r="B1898" s="65"/>
      <c r="C1898" s="66" t="str">
        <f ca="1">_xlfn.IFNA(INDIRECT(_xlfn.TEXTJOIN("",TRUE,A1893,"!",ADDRESS(14+(A1894-1)*J1893,2))),"")</f>
        <v/>
      </c>
      <c r="D1898" s="66"/>
      <c r="E1898" s="66"/>
      <c r="F1898" s="66"/>
      <c r="G1898" s="66"/>
      <c r="H1898" s="25" t="str">
        <f ca="1">_xlfn.IFNA(INDIRECT(_xlfn.TEXTJOIN("",TRUE,A1893,"!",ADDRESS(14+(A1894-1)*J1893,6))),"")</f>
        <v/>
      </c>
      <c r="I1898" s="25" t="str">
        <f ca="1">_xlfn.IFNA(INDIRECT(_xlfn.TEXTJOIN("",TRUE,A1893,"!",ADDRESS(14+(A1894-1)*J1893,13))),"")</f>
        <v/>
      </c>
      <c r="J1898" s="25" t="str">
        <f ca="1">_xlfn.IFNA(INDIRECT(_xlfn.TEXTJOIN("",TRUE,A1893,"!",ADDRESS(14+(A1894-1)*J1893,14))),"")</f>
        <v/>
      </c>
    </row>
    <row r="1899" spans="1:10" ht="10.5" customHeight="1" x14ac:dyDescent="0.2">
      <c r="A1899" s="65" t="str">
        <f ca="1">_xlfn.IFNA(INDIRECT(_xlfn.TEXTJOIN("",TRUE,A1893,"!",ADDRESS(15+(A1894-1)*J1893,1))),"")</f>
        <v/>
      </c>
      <c r="B1899" s="65"/>
      <c r="C1899" s="66" t="str">
        <f ca="1">_xlfn.IFNA(INDIRECT(_xlfn.TEXTJOIN("",TRUE,A1893,"!",ADDRESS(15+(A1894-1)*J1893,2))),"")</f>
        <v/>
      </c>
      <c r="D1899" s="66"/>
      <c r="E1899" s="66"/>
      <c r="F1899" s="66"/>
      <c r="G1899" s="66"/>
      <c r="H1899" s="25" t="str">
        <f ca="1">_xlfn.IFNA(INDIRECT(_xlfn.TEXTJOIN("",TRUE,A1893,"!",ADDRESS(15+(A1894-1)*J1893,6))),"")</f>
        <v/>
      </c>
      <c r="I1899" s="25" t="str">
        <f ca="1">_xlfn.IFNA(INDIRECT(_xlfn.TEXTJOIN("",TRUE,A1893,"!",ADDRESS(15+(A1894-1)*J1893,13))),"")</f>
        <v/>
      </c>
      <c r="J1899" s="25" t="str">
        <f ca="1">_xlfn.IFNA(INDIRECT(_xlfn.TEXTJOIN("",TRUE,A1893,"!",ADDRESS(15+(A1894-1)*J1893,14))),"")</f>
        <v/>
      </c>
    </row>
    <row r="1900" spans="1:10" ht="10.5" customHeight="1" x14ac:dyDescent="0.2">
      <c r="A1900" s="65" t="str">
        <f ca="1">_xlfn.IFNA(INDIRECT(_xlfn.TEXTJOIN("",TRUE,A1893,"!",ADDRESS(16+(A1894-1)*J1893,1))),"")</f>
        <v/>
      </c>
      <c r="B1900" s="65"/>
      <c r="C1900" s="66" t="str">
        <f ca="1">_xlfn.IFNA(INDIRECT(_xlfn.TEXTJOIN("",TRUE,A1893,"!",ADDRESS(16+(A1894-1)*J1893,2))),"")</f>
        <v/>
      </c>
      <c r="D1900" s="66"/>
      <c r="E1900" s="66"/>
      <c r="F1900" s="66"/>
      <c r="G1900" s="66"/>
      <c r="H1900" s="25" t="str">
        <f ca="1">_xlfn.IFNA(INDIRECT(_xlfn.TEXTJOIN("",TRUE,A1893,"!",ADDRESS(16+(A1894-1)*J1893,6))),"")</f>
        <v/>
      </c>
      <c r="I1900" s="25" t="str">
        <f ca="1">_xlfn.IFNA(INDIRECT(_xlfn.TEXTJOIN("",TRUE,A1893,"!",ADDRESS(16+(A1894-1)*J1893,13))),"")</f>
        <v/>
      </c>
      <c r="J1900" s="25" t="str">
        <f ca="1">_xlfn.IFNA(INDIRECT(_xlfn.TEXTJOIN("",TRUE,A1893,"!",ADDRESS(16+(A1894-1)*J1893,14))),"")</f>
        <v/>
      </c>
    </row>
    <row r="1901" spans="1:10" ht="10.5" customHeight="1" x14ac:dyDescent="0.2">
      <c r="A1901" s="65" t="str">
        <f ca="1">_xlfn.IFNA(INDIRECT(_xlfn.TEXTJOIN("",TRUE,A1893,"!",ADDRESS(17+(A1894-1)*J1893,1))),"")</f>
        <v/>
      </c>
      <c r="B1901" s="65"/>
      <c r="C1901" s="66" t="str">
        <f ca="1">_xlfn.IFNA(INDIRECT(_xlfn.TEXTJOIN("",TRUE,A1893,"!",ADDRESS(17+(A1894-1)*J1893,2))),"")</f>
        <v/>
      </c>
      <c r="D1901" s="66"/>
      <c r="E1901" s="66"/>
      <c r="F1901" s="66"/>
      <c r="G1901" s="66"/>
      <c r="H1901" s="25" t="str">
        <f ca="1">_xlfn.IFNA(INDIRECT(_xlfn.TEXTJOIN("",TRUE,A1893,"!",ADDRESS(17+(A1894-1)*J1893,6))),"")</f>
        <v/>
      </c>
      <c r="I1901" s="25" t="str">
        <f ca="1">_xlfn.IFNA(INDIRECT(_xlfn.TEXTJOIN("",TRUE,A1893,"!",ADDRESS(17+(A1894-1)*J1893,13))),"")</f>
        <v/>
      </c>
      <c r="J1901" s="25" t="str">
        <f ca="1">_xlfn.IFNA(INDIRECT(_xlfn.TEXTJOIN("",TRUE,A1893,"!",ADDRESS(17+(A1894-1)*J1893,14))),"")</f>
        <v/>
      </c>
    </row>
    <row r="1902" spans="1:10" ht="10.5" customHeight="1" x14ac:dyDescent="0.2">
      <c r="A1902" s="65" t="str">
        <f ca="1">_xlfn.IFNA(INDIRECT(_xlfn.TEXTJOIN("",TRUE,A1893,"!",ADDRESS(18+(A1894-1)*J1893,1))),"")</f>
        <v/>
      </c>
      <c r="B1902" s="65"/>
      <c r="C1902" s="66" t="str">
        <f ca="1">_xlfn.IFNA(INDIRECT(_xlfn.TEXTJOIN("",TRUE,A1893,"!",ADDRESS(18+(A1894-1)*J1893,2))),"")</f>
        <v/>
      </c>
      <c r="D1902" s="66"/>
      <c r="E1902" s="66"/>
      <c r="F1902" s="66"/>
      <c r="G1902" s="66"/>
      <c r="H1902" s="25" t="str">
        <f ca="1">_xlfn.IFNA(INDIRECT(_xlfn.TEXTJOIN("",TRUE,A1893,"!",ADDRESS(18+(A1894-1)*J1893,6))),"")</f>
        <v/>
      </c>
      <c r="I1902" s="25" t="str">
        <f ca="1">_xlfn.IFNA(INDIRECT(_xlfn.TEXTJOIN("",TRUE,A1893,"!",ADDRESS(18+(A1894-1)*J1893,13))),"")</f>
        <v/>
      </c>
      <c r="J1902" s="25" t="str">
        <f ca="1">_xlfn.IFNA(INDIRECT(_xlfn.TEXTJOIN("",TRUE,A1893,"!",ADDRESS(18+(A1894-1)*J1893,14))),"")</f>
        <v/>
      </c>
    </row>
    <row r="1903" spans="1:10" ht="10.5" customHeight="1" x14ac:dyDescent="0.2">
      <c r="A1903" s="60" t="str">
        <f ca="1">_xlfn.IFNA(INDIRECT(_xlfn.TEXTJOIN("",TRUE,A1893,"!",ADDRESS(19+(A1894-1)*J1893,1))),"")</f>
        <v/>
      </c>
      <c r="B1903" s="61"/>
      <c r="C1903" s="57" t="str">
        <f ca="1">_xlfn.IFNA(INDIRECT(_xlfn.TEXTJOIN("",TRUE,A1893,"!",ADDRESS(19+(A1894-1)*J1893,2))),"")</f>
        <v/>
      </c>
      <c r="D1903" s="58"/>
      <c r="E1903" s="58"/>
      <c r="F1903" s="58"/>
      <c r="G1903" s="59"/>
      <c r="H1903" s="25" t="str">
        <f ca="1">_xlfn.IFNA(INDIRECT(_xlfn.TEXTJOIN("",TRUE,A1893,"!",ADDRESS(19+(A1894-1)*J1893,6))),"")</f>
        <v/>
      </c>
      <c r="I1903" s="25" t="str">
        <f ca="1">_xlfn.IFNA(INDIRECT(_xlfn.TEXTJOIN("",TRUE,A1893,"!",ADDRESS(19+(A1894-1)*J1893,13))),"")</f>
        <v/>
      </c>
      <c r="J1903" s="25" t="str">
        <f ca="1">_xlfn.IFNA(INDIRECT(_xlfn.TEXTJOIN("",TRUE,A1893,"!",ADDRESS(19+(A1894-1)*J1893,14))),"")</f>
        <v/>
      </c>
    </row>
    <row r="1904" spans="1:10" ht="10.5" customHeight="1" x14ac:dyDescent="0.2">
      <c r="A1904" s="65" t="str">
        <f ca="1">_xlfn.IFNA(INDIRECT(_xlfn.TEXTJOIN("",TRUE,A1893,"!",ADDRESS(20+(A1894-1)*J1893,1))),"")</f>
        <v/>
      </c>
      <c r="B1904" s="65"/>
      <c r="C1904" s="66" t="str">
        <f ca="1">_xlfn.IFNA(INDIRECT(_xlfn.TEXTJOIN("",TRUE,A1893,"!",ADDRESS(20+(A1894-1)*J1893,2))),"")</f>
        <v/>
      </c>
      <c r="D1904" s="66"/>
      <c r="E1904" s="66"/>
      <c r="F1904" s="66"/>
      <c r="G1904" s="66"/>
      <c r="H1904" s="25" t="str">
        <f ca="1">_xlfn.IFNA(INDIRECT(_xlfn.TEXTJOIN("",TRUE,A1893,"!",ADDRESS(20+(A1894-1)*J1893,6))),"")</f>
        <v/>
      </c>
      <c r="I1904" s="25" t="str">
        <f ca="1">_xlfn.IFNA(INDIRECT(_xlfn.TEXTJOIN("",TRUE,A1893,"!",ADDRESS(20+(A1894-1)*J1893,13))),"")</f>
        <v/>
      </c>
      <c r="J1904" s="25" t="str">
        <f ca="1">_xlfn.IFNA(INDIRECT(_xlfn.TEXTJOIN("",TRUE,A1893,"!",ADDRESS(20+(A1894-1)*J1893,14))),"")</f>
        <v/>
      </c>
    </row>
    <row r="1905" spans="1:10" ht="10.5" customHeight="1" x14ac:dyDescent="0.2">
      <c r="A1905" s="65" t="str">
        <f ca="1">_xlfn.IFNA(INDIRECT(_xlfn.TEXTJOIN("",TRUE,A1893,"!",ADDRESS(21+(A1894-1)*J1893,1))),"")</f>
        <v/>
      </c>
      <c r="B1905" s="65"/>
      <c r="C1905" s="66" t="str">
        <f ca="1">_xlfn.IFNA(INDIRECT(_xlfn.TEXTJOIN("",TRUE,A1893,"!",ADDRESS(21+(A1894-1)*J1893,2))),"")</f>
        <v/>
      </c>
      <c r="D1905" s="66"/>
      <c r="E1905" s="66"/>
      <c r="F1905" s="66"/>
      <c r="G1905" s="66"/>
      <c r="H1905" s="25" t="str">
        <f ca="1">_xlfn.IFNA(INDIRECT(_xlfn.TEXTJOIN("",TRUE,A1893,"!",ADDRESS(21+(A1894-1)*J1893,6))),"")</f>
        <v/>
      </c>
      <c r="I1905" s="25" t="str">
        <f ca="1">_xlfn.IFNA(INDIRECT(_xlfn.TEXTJOIN("",TRUE,A1893,"!",ADDRESS(21+(A1894-1)*J1893,13))),"")</f>
        <v/>
      </c>
      <c r="J1905" s="25" t="str">
        <f ca="1">_xlfn.IFNA(INDIRECT(_xlfn.TEXTJOIN("",TRUE,A1893,"!",ADDRESS(21+(A1894-1)*J1893,14))),"")</f>
        <v/>
      </c>
    </row>
    <row r="1906" spans="1:10" ht="10.5" customHeight="1" x14ac:dyDescent="0.2">
      <c r="A1906" s="65" t="str">
        <f ca="1">_xlfn.IFNA(INDIRECT(_xlfn.TEXTJOIN("",TRUE,A1893,"!",ADDRESS(22+(A1894-1)*J1893,1))),"")</f>
        <v/>
      </c>
      <c r="B1906" s="65"/>
      <c r="C1906" s="66" t="str">
        <f ca="1">_xlfn.IFNA(INDIRECT(_xlfn.TEXTJOIN("",TRUE,A1893,"!",ADDRESS(22+(A1894-1)*J1893,2))),"")</f>
        <v/>
      </c>
      <c r="D1906" s="66"/>
      <c r="E1906" s="66"/>
      <c r="F1906" s="66"/>
      <c r="G1906" s="66"/>
      <c r="H1906" s="25" t="str">
        <f ca="1">_xlfn.IFNA(INDIRECT(_xlfn.TEXTJOIN("",TRUE,A1893,"!",ADDRESS(22+(A1894-1)*J1893,6))),"")</f>
        <v/>
      </c>
      <c r="I1906" s="25" t="str">
        <f ca="1">_xlfn.IFNA(INDIRECT(_xlfn.TEXTJOIN("",TRUE,A1893,"!",ADDRESS(22+(A1894-1)*J1893,13))),"")</f>
        <v/>
      </c>
      <c r="J1906" s="25" t="str">
        <f ca="1">_xlfn.IFNA(INDIRECT(_xlfn.TEXTJOIN("",TRUE,A1893,"!",ADDRESS(22+(A1894-1)*J1893,14))),"")</f>
        <v/>
      </c>
    </row>
    <row r="1907" spans="1:10" ht="10.5" customHeight="1" x14ac:dyDescent="0.2">
      <c r="A1907" s="71" t="str">
        <f ca="1">IF(ISNA(A1894),"","Total Credits/ Total Grade Points")</f>
        <v/>
      </c>
      <c r="B1907" s="71"/>
      <c r="C1907" s="71"/>
      <c r="D1907" s="71"/>
      <c r="E1907" s="71"/>
      <c r="F1907" s="71"/>
      <c r="G1907" s="71"/>
      <c r="H1907" s="27" t="str">
        <f ca="1">IF(ISNA(A1894),"",SUM(H1897:H1906))</f>
        <v/>
      </c>
      <c r="I1907" s="26" t="str">
        <f ca="1">IF(ISNA(A1894),"","-")</f>
        <v/>
      </c>
      <c r="J1907" s="27" t="str">
        <f ca="1">IF(ISNA(A1894),"",SUMPRODUCT(J1897:J1906,H1897:H1906))</f>
        <v/>
      </c>
    </row>
    <row r="1908" spans="1:10" ht="10.5" customHeight="1" x14ac:dyDescent="0.2">
      <c r="A1908" s="24" t="s">
        <v>60</v>
      </c>
      <c r="B1908" s="72" t="str">
        <f ca="1">IF(ISNA(A1909),"","Semester III (Autumn Semester 2023-24)")</f>
        <v/>
      </c>
      <c r="C1908" s="72"/>
      <c r="D1908" s="72"/>
      <c r="E1908" s="72"/>
      <c r="F1908" s="72"/>
      <c r="G1908" s="72"/>
      <c r="H1908" s="72"/>
      <c r="I1908" s="72"/>
      <c r="J1908" s="24">
        <f>ROWS(A1912:B1919)+9</f>
        <v>17</v>
      </c>
    </row>
    <row r="1909" spans="1:10" ht="10.5" customHeight="1" x14ac:dyDescent="0.2">
      <c r="A1909" s="24" t="e">
        <f ca="1">INDEX(SEM_III!$A$6:$A$43,Marksheets!J1909)</f>
        <v>#N/A</v>
      </c>
      <c r="B1909" s="63"/>
      <c r="C1909" s="63"/>
      <c r="D1909" s="63"/>
      <c r="E1909" s="63"/>
      <c r="F1909" s="63"/>
      <c r="G1909" s="63"/>
      <c r="H1909" s="63"/>
      <c r="I1909" s="63"/>
      <c r="J1909" s="24" t="e">
        <f ca="1">MATCH(H1872,SEM_III!$B$6:$B$43,0)</f>
        <v>#N/A</v>
      </c>
    </row>
    <row r="1910" spans="1:10" ht="10.5" customHeight="1" x14ac:dyDescent="0.2">
      <c r="A1910" s="64" t="str">
        <f ca="1">IF(ISNA(A1909),"","Subject Code")</f>
        <v/>
      </c>
      <c r="B1910" s="64"/>
      <c r="C1910" s="64" t="str">
        <f ca="1">IF(ISNA(A1909),"","Subject Name")</f>
        <v/>
      </c>
      <c r="D1910" s="64"/>
      <c r="E1910" s="64"/>
      <c r="F1910" s="64"/>
      <c r="G1910" s="64"/>
      <c r="H1910" s="64" t="str">
        <f ca="1">IF(ISNA(A1909),"","Credits")</f>
        <v/>
      </c>
      <c r="I1910" s="64" t="str">
        <f ca="1">IF(ISNA(A1909),"","Grade")</f>
        <v/>
      </c>
      <c r="J1910" s="64" t="str">
        <f ca="1">IF(ISNA(A1909),"","Grade Points")</f>
        <v/>
      </c>
    </row>
    <row r="1911" spans="1:10" ht="13.5" customHeight="1" x14ac:dyDescent="0.2">
      <c r="A1911" s="64"/>
      <c r="B1911" s="64"/>
      <c r="C1911" s="64"/>
      <c r="D1911" s="64"/>
      <c r="E1911" s="64"/>
      <c r="F1911" s="64"/>
      <c r="G1911" s="64"/>
      <c r="H1911" s="64"/>
      <c r="I1911" s="64"/>
      <c r="J1911" s="64"/>
    </row>
    <row r="1912" spans="1:10" ht="10.5" customHeight="1" x14ac:dyDescent="0.2">
      <c r="A1912" s="65" t="str">
        <f ca="1">_xlfn.IFNA(INDIRECT(_xlfn.TEXTJOIN("",TRUE,A1908,"!",ADDRESS(13+(A1909-1)*J1908,1))),"")</f>
        <v/>
      </c>
      <c r="B1912" s="65"/>
      <c r="C1912" s="66" t="str">
        <f ca="1">_xlfn.IFNA(INDIRECT(_xlfn.TEXTJOIN("",TRUE,A1908,"!",ADDRESS(13+(A1909-1)*J1908,2))),"")</f>
        <v/>
      </c>
      <c r="D1912" s="66"/>
      <c r="E1912" s="66"/>
      <c r="F1912" s="66"/>
      <c r="G1912" s="66"/>
      <c r="H1912" s="25" t="str">
        <f ca="1">_xlfn.IFNA(INDIRECT(_xlfn.TEXTJOIN("",TRUE,A1908,"!",ADDRESS(13+(A1909-1)*J1908,6))),"")</f>
        <v/>
      </c>
      <c r="I1912" s="25" t="str">
        <f ca="1">_xlfn.IFNA(INDIRECT(_xlfn.TEXTJOIN("",TRUE,A1908,"!",ADDRESS(13+(A1909-1)*J1908,13))),"")</f>
        <v/>
      </c>
      <c r="J1912" s="25" t="str">
        <f ca="1">_xlfn.IFNA(INDIRECT(_xlfn.TEXTJOIN("",TRUE,A1908,"!",ADDRESS(13+(A1909-1)*J1908,14))),"")</f>
        <v/>
      </c>
    </row>
    <row r="1913" spans="1:10" ht="10.5" customHeight="1" x14ac:dyDescent="0.2">
      <c r="A1913" s="65" t="str">
        <f ca="1">_xlfn.IFNA(INDIRECT(_xlfn.TEXTJOIN("",TRUE,A1908,"!",ADDRESS(14+(A1909-1)*J1908,1))),"")</f>
        <v/>
      </c>
      <c r="B1913" s="65"/>
      <c r="C1913" s="66" t="str">
        <f ca="1">_xlfn.IFNA(INDIRECT(_xlfn.TEXTJOIN("",TRUE,A1908,"!",ADDRESS(14+(A1909-1)*J1908,2))),"")</f>
        <v/>
      </c>
      <c r="D1913" s="66"/>
      <c r="E1913" s="66"/>
      <c r="F1913" s="66"/>
      <c r="G1913" s="66"/>
      <c r="H1913" s="25" t="str">
        <f ca="1">_xlfn.IFNA(INDIRECT(_xlfn.TEXTJOIN("",TRUE,A1908,"!",ADDRESS(14+(A1909-1)*J1908,6))),"")</f>
        <v/>
      </c>
      <c r="I1913" s="25" t="str">
        <f ca="1">_xlfn.IFNA(INDIRECT(_xlfn.TEXTJOIN("",TRUE,A1908,"!",ADDRESS(14+(A1909-1)*J1908,13))),"")</f>
        <v/>
      </c>
      <c r="J1913" s="25" t="str">
        <f ca="1">_xlfn.IFNA(INDIRECT(_xlfn.TEXTJOIN("",TRUE,A1908,"!",ADDRESS(14+(A1909-1)*J1908,14))),"")</f>
        <v/>
      </c>
    </row>
    <row r="1914" spans="1:10" ht="10.5" customHeight="1" x14ac:dyDescent="0.2">
      <c r="A1914" s="65" t="str">
        <f ca="1">_xlfn.IFNA(INDIRECT(_xlfn.TEXTJOIN("",TRUE,A1908,"!",ADDRESS(15+(A1909-1)*J1908,1))),"")</f>
        <v/>
      </c>
      <c r="B1914" s="65"/>
      <c r="C1914" s="66" t="str">
        <f ca="1">_xlfn.IFNA(INDIRECT(_xlfn.TEXTJOIN("",TRUE,A1908,"!",ADDRESS(15+(A1909-1)*J1908,2))),"")</f>
        <v/>
      </c>
      <c r="D1914" s="66"/>
      <c r="E1914" s="66"/>
      <c r="F1914" s="66"/>
      <c r="G1914" s="66"/>
      <c r="H1914" s="25" t="str">
        <f ca="1">_xlfn.IFNA(INDIRECT(_xlfn.TEXTJOIN("",TRUE,A1908,"!",ADDRESS(15+(A1909-1)*J1908,6))),"")</f>
        <v/>
      </c>
      <c r="I1914" s="25" t="str">
        <f ca="1">_xlfn.IFNA(INDIRECT(_xlfn.TEXTJOIN("",TRUE,A1908,"!",ADDRESS(15+(A1909-1)*J1908,13))),"")</f>
        <v/>
      </c>
      <c r="J1914" s="25" t="str">
        <f ca="1">_xlfn.IFNA(INDIRECT(_xlfn.TEXTJOIN("",TRUE,A1908,"!",ADDRESS(15+(A1909-1)*J1908,14))),"")</f>
        <v/>
      </c>
    </row>
    <row r="1915" spans="1:10" ht="10.5" customHeight="1" x14ac:dyDescent="0.2">
      <c r="A1915" s="65" t="str">
        <f ca="1">_xlfn.IFNA(INDIRECT(_xlfn.TEXTJOIN("",TRUE,A1908,"!",ADDRESS(16+(A1909-1)*J1908,1))),"")</f>
        <v/>
      </c>
      <c r="B1915" s="65"/>
      <c r="C1915" s="66" t="str">
        <f ca="1">_xlfn.IFNA(INDIRECT(_xlfn.TEXTJOIN("",TRUE,A1908,"!",ADDRESS(16+(A1909-1)*J1908,2))),"")</f>
        <v/>
      </c>
      <c r="D1915" s="66"/>
      <c r="E1915" s="66"/>
      <c r="F1915" s="66"/>
      <c r="G1915" s="66"/>
      <c r="H1915" s="25" t="str">
        <f ca="1">_xlfn.IFNA(INDIRECT(_xlfn.TEXTJOIN("",TRUE,A1908,"!",ADDRESS(16+(A1909-1)*J1908,6))),"")</f>
        <v/>
      </c>
      <c r="I1915" s="25" t="str">
        <f ca="1">_xlfn.IFNA(INDIRECT(_xlfn.TEXTJOIN("",TRUE,A1908,"!",ADDRESS(16+(A1909-1)*J1908,13))),"")</f>
        <v/>
      </c>
      <c r="J1915" s="25" t="str">
        <f ca="1">_xlfn.IFNA(INDIRECT(_xlfn.TEXTJOIN("",TRUE,A1908,"!",ADDRESS(16+(A1909-1)*J1908,14))),"")</f>
        <v/>
      </c>
    </row>
    <row r="1916" spans="1:10" ht="10.5" customHeight="1" x14ac:dyDescent="0.2">
      <c r="A1916" s="65" t="str">
        <f ca="1">_xlfn.IFNA(INDIRECT(_xlfn.TEXTJOIN("",TRUE,A1908,"!",ADDRESS(17+(A1909-1)*J1908,1))),"")</f>
        <v/>
      </c>
      <c r="B1916" s="65"/>
      <c r="C1916" s="66" t="str">
        <f ca="1">_xlfn.IFNA(INDIRECT(_xlfn.TEXTJOIN("",TRUE,A1908,"!",ADDRESS(17+(A1909-1)*J1908,2))),"")</f>
        <v/>
      </c>
      <c r="D1916" s="66"/>
      <c r="E1916" s="66"/>
      <c r="F1916" s="66"/>
      <c r="G1916" s="66"/>
      <c r="H1916" s="25" t="str">
        <f ca="1">_xlfn.IFNA(INDIRECT(_xlfn.TEXTJOIN("",TRUE,A1908,"!",ADDRESS(17+(A1909-1)*J1908,6))),"")</f>
        <v/>
      </c>
      <c r="I1916" s="25" t="str">
        <f ca="1">_xlfn.IFNA(INDIRECT(_xlfn.TEXTJOIN("",TRUE,A1908,"!",ADDRESS(17+(A1909-1)*J1908,13))),"")</f>
        <v/>
      </c>
      <c r="J1916" s="25" t="str">
        <f ca="1">_xlfn.IFNA(INDIRECT(_xlfn.TEXTJOIN("",TRUE,A1908,"!",ADDRESS(17+(A1909-1)*J1908,14))),"")</f>
        <v/>
      </c>
    </row>
    <row r="1917" spans="1:10" ht="10.5" customHeight="1" x14ac:dyDescent="0.2">
      <c r="A1917" s="65" t="str">
        <f ca="1">_xlfn.IFNA(INDIRECT(_xlfn.TEXTJOIN("",TRUE,A1908,"!",ADDRESS(18+(A1909-1)*J1908,1))),"")</f>
        <v/>
      </c>
      <c r="B1917" s="65"/>
      <c r="C1917" s="66" t="str">
        <f ca="1">_xlfn.IFNA(INDIRECT(_xlfn.TEXTJOIN("",TRUE,A1908,"!",ADDRESS(18+(A1909-1)*J1908,2))),"")</f>
        <v/>
      </c>
      <c r="D1917" s="66"/>
      <c r="E1917" s="66"/>
      <c r="F1917" s="66"/>
      <c r="G1917" s="66"/>
      <c r="H1917" s="25" t="str">
        <f ca="1">_xlfn.IFNA(INDIRECT(_xlfn.TEXTJOIN("",TRUE,A1908,"!",ADDRESS(18+(A1909-1)*J1908,6))),"")</f>
        <v/>
      </c>
      <c r="I1917" s="25" t="str">
        <f ca="1">_xlfn.IFNA(INDIRECT(_xlfn.TEXTJOIN("",TRUE,A1908,"!",ADDRESS(18+(A1909-1)*J1908,13))),"")</f>
        <v/>
      </c>
      <c r="J1917" s="25" t="str">
        <f ca="1">_xlfn.IFNA(INDIRECT(_xlfn.TEXTJOIN("",TRUE,A1908,"!",ADDRESS(18+(A1909-1)*J1908,14))),"")</f>
        <v/>
      </c>
    </row>
    <row r="1918" spans="1:10" ht="10.5" customHeight="1" x14ac:dyDescent="0.2">
      <c r="A1918" s="60" t="str">
        <f ca="1">_xlfn.IFNA(INDIRECT(_xlfn.TEXTJOIN("",TRUE,A1908,"!",ADDRESS(19+(A1909-1)*J1908,1))),"")</f>
        <v/>
      </c>
      <c r="B1918" s="61"/>
      <c r="C1918" s="57" t="str">
        <f ca="1">_xlfn.IFNA(INDIRECT(_xlfn.TEXTJOIN("",TRUE,A1908,"!",ADDRESS(19+(A1909-1)*J1908,2))),"")</f>
        <v/>
      </c>
      <c r="D1918" s="58"/>
      <c r="E1918" s="58"/>
      <c r="F1918" s="58"/>
      <c r="G1918" s="59"/>
      <c r="H1918" s="25" t="str">
        <f ca="1">_xlfn.IFNA(INDIRECT(_xlfn.TEXTJOIN("",TRUE,A1908,"!",ADDRESS(19+(A1909-1)*J1908,6))),"")</f>
        <v/>
      </c>
      <c r="I1918" s="25" t="str">
        <f ca="1">_xlfn.IFNA(INDIRECT(_xlfn.TEXTJOIN("",TRUE,A1908,"!",ADDRESS(19+(A1909-1)*J1908,13))),"")</f>
        <v/>
      </c>
      <c r="J1918" s="25" t="str">
        <f ca="1">_xlfn.IFNA(INDIRECT(_xlfn.TEXTJOIN("",TRUE,A1908,"!",ADDRESS(19+(A1909-1)*J1908,14))),"")</f>
        <v/>
      </c>
    </row>
    <row r="1919" spans="1:10" ht="10.5" customHeight="1" x14ac:dyDescent="0.2">
      <c r="A1919" s="65" t="str">
        <f ca="1">_xlfn.IFNA(INDIRECT(_xlfn.TEXTJOIN("",TRUE,A1908,"!",ADDRESS(20+(A1909-1)*J1908,1))),"")</f>
        <v/>
      </c>
      <c r="B1919" s="65"/>
      <c r="C1919" s="66" t="str">
        <f ca="1">_xlfn.IFNA(INDIRECT(_xlfn.TEXTJOIN("",TRUE,A1908,"!",ADDRESS(20+(A1909-1)*J1908,2))),"")</f>
        <v/>
      </c>
      <c r="D1919" s="66"/>
      <c r="E1919" s="66"/>
      <c r="F1919" s="66"/>
      <c r="G1919" s="66"/>
      <c r="H1919" s="25" t="str">
        <f ca="1">_xlfn.IFNA(INDIRECT(_xlfn.TEXTJOIN("",TRUE,A1908,"!",ADDRESS(20+(A1909-1)*J1908,6))),"")</f>
        <v/>
      </c>
      <c r="I1919" s="25" t="str">
        <f ca="1">_xlfn.IFNA(INDIRECT(_xlfn.TEXTJOIN("",TRUE,A1908,"!",ADDRESS(20+(A1909-1)*J1908,13))),"")</f>
        <v/>
      </c>
      <c r="J1919" s="25" t="str">
        <f ca="1">_xlfn.IFNA(INDIRECT(_xlfn.TEXTJOIN("",TRUE,A1908,"!",ADDRESS(20+(A1909-1)*J1908,14))),"")</f>
        <v/>
      </c>
    </row>
    <row r="1920" spans="1:10" ht="10.5" customHeight="1" x14ac:dyDescent="0.2">
      <c r="A1920" s="71" t="str">
        <f ca="1">IF(ISNA(A1909),"","Total Credits/ Total Grade Points")</f>
        <v/>
      </c>
      <c r="B1920" s="71"/>
      <c r="C1920" s="71"/>
      <c r="D1920" s="71"/>
      <c r="E1920" s="71"/>
      <c r="F1920" s="71"/>
      <c r="G1920" s="71"/>
      <c r="H1920" s="27" t="str">
        <f ca="1">IF(ISNA(A1909),"",SUM(H1912:H1919))</f>
        <v/>
      </c>
      <c r="I1920" s="26" t="str">
        <f ca="1">IF(ISNA(A1909),"","-")</f>
        <v/>
      </c>
      <c r="J1920" s="27" t="str">
        <f ca="1">IF(ISNA(A1909),"",SUMPRODUCT(J1912:J1919,H1912:H1919))</f>
        <v/>
      </c>
    </row>
    <row r="1921" spans="1:10" ht="10.5" customHeight="1" x14ac:dyDescent="0.2">
      <c r="A1921" s="24" t="s">
        <v>133</v>
      </c>
      <c r="B1921" s="72" t="str">
        <f ca="1">IF(ISNA(A1922),"","Semester IV (Spring Semester 2023-24)")</f>
        <v/>
      </c>
      <c r="C1921" s="72"/>
      <c r="D1921" s="72"/>
      <c r="E1921" s="72"/>
      <c r="F1921" s="72"/>
      <c r="G1921" s="72"/>
      <c r="H1921" s="72"/>
      <c r="I1921" s="72"/>
      <c r="J1921" s="24">
        <f>ROWS(A1925:B1931)+9</f>
        <v>16</v>
      </c>
    </row>
    <row r="1922" spans="1:10" ht="10.5" customHeight="1" x14ac:dyDescent="0.2">
      <c r="A1922" s="24" t="e">
        <f ca="1">INDEX(SEM_IV!$A$6:$A$43,Marksheets!J1922)</f>
        <v>#N/A</v>
      </c>
      <c r="B1922" s="63"/>
      <c r="C1922" s="63"/>
      <c r="D1922" s="63"/>
      <c r="E1922" s="63"/>
      <c r="F1922" s="63"/>
      <c r="G1922" s="63"/>
      <c r="H1922" s="63"/>
      <c r="I1922" s="63"/>
      <c r="J1922" s="24" t="e">
        <f ca="1">MATCH(H1872,SEM_IV!$B$6:$B$43,0)</f>
        <v>#N/A</v>
      </c>
    </row>
    <row r="1923" spans="1:10" ht="10.5" customHeight="1" x14ac:dyDescent="0.2">
      <c r="A1923" s="64" t="str">
        <f ca="1">IF(ISNA(A1922),"","Subject Code")</f>
        <v/>
      </c>
      <c r="B1923" s="64"/>
      <c r="C1923" s="64" t="str">
        <f ca="1">IF(ISNA(A1922),"","Subject Name")</f>
        <v/>
      </c>
      <c r="D1923" s="64"/>
      <c r="E1923" s="64"/>
      <c r="F1923" s="64"/>
      <c r="G1923" s="64"/>
      <c r="H1923" s="64" t="str">
        <f ca="1">IF(ISNA(A1922),"","Credits")</f>
        <v/>
      </c>
      <c r="I1923" s="64" t="str">
        <f ca="1">IF(ISNA(A1922),"","Grade")</f>
        <v/>
      </c>
      <c r="J1923" s="64" t="str">
        <f ca="1">IF(ISNA(A1922),"","Grade Points")</f>
        <v/>
      </c>
    </row>
    <row r="1924" spans="1:10" ht="12" customHeight="1" x14ac:dyDescent="0.2">
      <c r="A1924" s="64"/>
      <c r="B1924" s="64"/>
      <c r="C1924" s="64"/>
      <c r="D1924" s="64"/>
      <c r="E1924" s="64"/>
      <c r="F1924" s="64"/>
      <c r="G1924" s="64"/>
      <c r="H1924" s="64"/>
      <c r="I1924" s="64"/>
      <c r="J1924" s="64"/>
    </row>
    <row r="1925" spans="1:10" ht="10.5" customHeight="1" x14ac:dyDescent="0.2">
      <c r="A1925" s="65" t="str">
        <f ca="1">_xlfn.IFNA(INDIRECT(_xlfn.TEXTJOIN("",TRUE,A1921,"!",ADDRESS(13+(A1922-1)*J1921,1))),"")</f>
        <v/>
      </c>
      <c r="B1925" s="65"/>
      <c r="C1925" s="66" t="str">
        <f ca="1">_xlfn.IFNA(INDIRECT(_xlfn.TEXTJOIN("",TRUE,A1921,"!",ADDRESS(13+(A1922-1)*J1921,2))),"")</f>
        <v/>
      </c>
      <c r="D1925" s="66"/>
      <c r="E1925" s="66"/>
      <c r="F1925" s="66"/>
      <c r="G1925" s="66"/>
      <c r="H1925" s="25" t="str">
        <f ca="1">_xlfn.IFNA(INDIRECT(_xlfn.TEXTJOIN("",TRUE,A1921,"!",ADDRESS(13+(A1922-1)*J1921,6))),"")</f>
        <v/>
      </c>
      <c r="I1925" s="25" t="str">
        <f ca="1">_xlfn.IFNA(INDIRECT(_xlfn.TEXTJOIN("",TRUE,A1921,"!",ADDRESS(13+(A1922-1)*J1921,13))),"")</f>
        <v/>
      </c>
      <c r="J1925" s="25" t="str">
        <f ca="1">_xlfn.IFNA(INDIRECT(_xlfn.TEXTJOIN("",TRUE,A1921,"!",ADDRESS(13+(A1922-1)*J1921,14))),"")</f>
        <v/>
      </c>
    </row>
    <row r="1926" spans="1:10" ht="10.5" customHeight="1" x14ac:dyDescent="0.2">
      <c r="A1926" s="65" t="str">
        <f ca="1">_xlfn.IFNA(INDIRECT(_xlfn.TEXTJOIN("",TRUE,A1921,"!",ADDRESS(14+(A1922-1)*J1921,1))),"")</f>
        <v/>
      </c>
      <c r="B1926" s="65"/>
      <c r="C1926" s="66" t="str">
        <f ca="1">_xlfn.IFNA(INDIRECT(_xlfn.TEXTJOIN("",TRUE,A1921,"!",ADDRESS(14+(A1922-1)*J1921,2))),"")</f>
        <v/>
      </c>
      <c r="D1926" s="66"/>
      <c r="E1926" s="66"/>
      <c r="F1926" s="66"/>
      <c r="G1926" s="66"/>
      <c r="H1926" s="25" t="str">
        <f ca="1">_xlfn.IFNA(INDIRECT(_xlfn.TEXTJOIN("",TRUE,A1921,"!",ADDRESS(14+(A1922-1)*J1921,6))),"")</f>
        <v/>
      </c>
      <c r="I1926" s="25" t="str">
        <f ca="1">_xlfn.IFNA(INDIRECT(_xlfn.TEXTJOIN("",TRUE,A1921,"!",ADDRESS(14+(A1922-1)*J1921,13))),"")</f>
        <v/>
      </c>
      <c r="J1926" s="25" t="str">
        <f ca="1">_xlfn.IFNA(INDIRECT(_xlfn.TEXTJOIN("",TRUE,A1921,"!",ADDRESS(14+(A1922-1)*J1921,14))),"")</f>
        <v/>
      </c>
    </row>
    <row r="1927" spans="1:10" ht="10.5" customHeight="1" x14ac:dyDescent="0.2">
      <c r="A1927" s="65" t="str">
        <f ca="1">_xlfn.IFNA(INDIRECT(_xlfn.TEXTJOIN("",TRUE,A1921,"!",ADDRESS(15+(A1922-1)*J1921,1))),"")</f>
        <v/>
      </c>
      <c r="B1927" s="65"/>
      <c r="C1927" s="66" t="str">
        <f ca="1">_xlfn.IFNA(INDIRECT(_xlfn.TEXTJOIN("",TRUE,A1921,"!",ADDRESS(15+(A1922-1)*J1921,2))),"")</f>
        <v/>
      </c>
      <c r="D1927" s="66"/>
      <c r="E1927" s="66"/>
      <c r="F1927" s="66"/>
      <c r="G1927" s="66"/>
      <c r="H1927" s="25" t="str">
        <f ca="1">_xlfn.IFNA(INDIRECT(_xlfn.TEXTJOIN("",TRUE,A1921,"!",ADDRESS(15+(A1922-1)*J1921,6))),"")</f>
        <v/>
      </c>
      <c r="I1927" s="25" t="str">
        <f ca="1">_xlfn.IFNA(INDIRECT(_xlfn.TEXTJOIN("",TRUE,A1921,"!",ADDRESS(15+(A1922-1)*J1921,13))),"")</f>
        <v/>
      </c>
      <c r="J1927" s="25" t="str">
        <f ca="1">_xlfn.IFNA(INDIRECT(_xlfn.TEXTJOIN("",TRUE,A1921,"!",ADDRESS(15+(A1922-1)*J1921,14))),"")</f>
        <v/>
      </c>
    </row>
    <row r="1928" spans="1:10" ht="10.5" customHeight="1" x14ac:dyDescent="0.2">
      <c r="A1928" s="65" t="str">
        <f ca="1">_xlfn.IFNA(INDIRECT(_xlfn.TEXTJOIN("",TRUE,A1921,"!",ADDRESS(16+(A1922-1)*J1921,1))),"")</f>
        <v/>
      </c>
      <c r="B1928" s="65"/>
      <c r="C1928" s="66" t="str">
        <f ca="1">_xlfn.IFNA(INDIRECT(_xlfn.TEXTJOIN("",TRUE,A1921,"!",ADDRESS(16+(A1922-1)*J1921,2))),"")</f>
        <v/>
      </c>
      <c r="D1928" s="66"/>
      <c r="E1928" s="66"/>
      <c r="F1928" s="66"/>
      <c r="G1928" s="66"/>
      <c r="H1928" s="25" t="str">
        <f ca="1">_xlfn.IFNA(INDIRECT(_xlfn.TEXTJOIN("",TRUE,A1921,"!",ADDRESS(16+(A1922-1)*J1921,6))),"")</f>
        <v/>
      </c>
      <c r="I1928" s="25" t="str">
        <f ca="1">_xlfn.IFNA(INDIRECT(_xlfn.TEXTJOIN("",TRUE,A1921,"!",ADDRESS(16+(A1922-1)*J1921,13))),"")</f>
        <v/>
      </c>
      <c r="J1928" s="25" t="str">
        <f ca="1">_xlfn.IFNA(INDIRECT(_xlfn.TEXTJOIN("",TRUE,A1921,"!",ADDRESS(16+(A1922-1)*J1921,14))),"")</f>
        <v/>
      </c>
    </row>
    <row r="1929" spans="1:10" ht="10.5" customHeight="1" x14ac:dyDescent="0.2">
      <c r="A1929" s="65" t="str">
        <f ca="1">_xlfn.IFNA(INDIRECT(_xlfn.TEXTJOIN("",TRUE,A1921,"!",ADDRESS(17+(A1922-1)*J1921,1))),"")</f>
        <v/>
      </c>
      <c r="B1929" s="65"/>
      <c r="C1929" s="66" t="str">
        <f ca="1">_xlfn.IFNA(INDIRECT(_xlfn.TEXTJOIN("",TRUE,A1921,"!",ADDRESS(17+(A1922-1)*J1921,2))),"")</f>
        <v/>
      </c>
      <c r="D1929" s="66"/>
      <c r="E1929" s="66"/>
      <c r="F1929" s="66"/>
      <c r="G1929" s="66"/>
      <c r="H1929" s="25" t="str">
        <f ca="1">_xlfn.IFNA(INDIRECT(_xlfn.TEXTJOIN("",TRUE,A1921,"!",ADDRESS(17+(A1922-1)*J1921,6))),"")</f>
        <v/>
      </c>
      <c r="I1929" s="25" t="str">
        <f ca="1">_xlfn.IFNA(INDIRECT(_xlfn.TEXTJOIN("",TRUE,A1921,"!",ADDRESS(17+(A1922-1)*J1921,13))),"")</f>
        <v/>
      </c>
      <c r="J1929" s="25" t="str">
        <f ca="1">_xlfn.IFNA(INDIRECT(_xlfn.TEXTJOIN("",TRUE,A1921,"!",ADDRESS(17+(A1922-1)*J1921,14))),"")</f>
        <v/>
      </c>
    </row>
    <row r="1930" spans="1:10" ht="10.5" customHeight="1" x14ac:dyDescent="0.2">
      <c r="A1930" s="65" t="str">
        <f ca="1">_xlfn.IFNA(INDIRECT(_xlfn.TEXTJOIN("",TRUE,A1921,"!",ADDRESS(18+(A1922-1)*J1921,1))),"")</f>
        <v/>
      </c>
      <c r="B1930" s="65"/>
      <c r="C1930" s="66" t="str">
        <f ca="1">_xlfn.IFNA(INDIRECT(_xlfn.TEXTJOIN("",TRUE,A1921,"!",ADDRESS(18+(A1922-1)*J1921,2))),"")</f>
        <v/>
      </c>
      <c r="D1930" s="66"/>
      <c r="E1930" s="66"/>
      <c r="F1930" s="66"/>
      <c r="G1930" s="66"/>
      <c r="H1930" s="25" t="str">
        <f ca="1">_xlfn.IFNA(INDIRECT(_xlfn.TEXTJOIN("",TRUE,A1921,"!",ADDRESS(18+(A1922-1)*J1921,6))),"")</f>
        <v/>
      </c>
      <c r="I1930" s="25" t="str">
        <f ca="1">_xlfn.IFNA(INDIRECT(_xlfn.TEXTJOIN("",TRUE,A1921,"!",ADDRESS(18+(A1922-1)*J1921,13))),"")</f>
        <v/>
      </c>
      <c r="J1930" s="25" t="str">
        <f ca="1">_xlfn.IFNA(INDIRECT(_xlfn.TEXTJOIN("",TRUE,A1921,"!",ADDRESS(18+(A1922-1)*J1921,14))),"")</f>
        <v/>
      </c>
    </row>
    <row r="1931" spans="1:10" ht="10.5" customHeight="1" x14ac:dyDescent="0.2">
      <c r="A1931" s="60" t="str">
        <f ca="1">_xlfn.IFNA(INDIRECT(_xlfn.TEXTJOIN("",TRUE,A1921,"!",ADDRESS(19+(A1922-1)*J1921,1))),"")</f>
        <v/>
      </c>
      <c r="B1931" s="61"/>
      <c r="C1931" s="57" t="str">
        <f ca="1">_xlfn.IFNA(INDIRECT(_xlfn.TEXTJOIN("",TRUE,A1921,"!",ADDRESS(19+(A1922-1)*J1921,2))),"")</f>
        <v/>
      </c>
      <c r="D1931" s="58"/>
      <c r="E1931" s="58"/>
      <c r="F1931" s="58"/>
      <c r="G1931" s="59"/>
      <c r="H1931" s="25" t="str">
        <f ca="1">_xlfn.IFNA(INDIRECT(_xlfn.TEXTJOIN("",TRUE,A1921,"!",ADDRESS(19+(A1922-1)*J1921,6))),"")</f>
        <v/>
      </c>
      <c r="I1931" s="25" t="str">
        <f ca="1">_xlfn.IFNA(INDIRECT(_xlfn.TEXTJOIN("",TRUE,A1921,"!",ADDRESS(19+(A1922-1)*J1921,13))),"")</f>
        <v/>
      </c>
      <c r="J1931" s="25" t="str">
        <f ca="1">_xlfn.IFNA(INDIRECT(_xlfn.TEXTJOIN("",TRUE,A1921,"!",ADDRESS(19+(A1922-1)*J1921,14))),"")</f>
        <v/>
      </c>
    </row>
    <row r="1932" spans="1:10" ht="10.5" customHeight="1" x14ac:dyDescent="0.2">
      <c r="A1932" s="71" t="str">
        <f ca="1">IF(ISNA(A1922),"","Total Credits/ Total Grade Points")</f>
        <v/>
      </c>
      <c r="B1932" s="71"/>
      <c r="C1932" s="71"/>
      <c r="D1932" s="71"/>
      <c r="E1932" s="71"/>
      <c r="F1932" s="71"/>
      <c r="G1932" s="71"/>
      <c r="H1932" s="27" t="str">
        <f ca="1">IF(ISNA(A1922),"",SUM(H1924:H1931))</f>
        <v/>
      </c>
      <c r="I1932" s="26" t="str">
        <f ca="1">IF(ISNA(A1922),"","-")</f>
        <v/>
      </c>
      <c r="J1932" s="27" t="str">
        <f ca="1">IF(ISNA(A1922),"",SUMPRODUCT(J1924:J1931,H1924:H1931))</f>
        <v/>
      </c>
    </row>
    <row r="1933" spans="1:10" ht="10.5" customHeight="1" x14ac:dyDescent="0.2">
      <c r="A1933" s="75" t="s">
        <v>137</v>
      </c>
      <c r="B1933" s="75"/>
      <c r="C1933" s="75"/>
      <c r="D1933" s="75"/>
      <c r="E1933" s="75"/>
      <c r="F1933" s="76" t="s">
        <v>138</v>
      </c>
      <c r="G1933" s="76"/>
      <c r="H1933" s="76"/>
      <c r="I1933" s="76"/>
      <c r="J1933" s="76"/>
    </row>
    <row r="1934" spans="1:10" ht="10.5" customHeight="1" x14ac:dyDescent="0.2">
      <c r="A1934" s="43" t="s">
        <v>139</v>
      </c>
      <c r="B1934" s="43"/>
      <c r="C1934" s="43"/>
      <c r="D1934" s="43"/>
      <c r="E1934" s="43"/>
      <c r="F1934" s="43"/>
      <c r="G1934" s="43"/>
      <c r="H1934" s="43"/>
      <c r="I1934" s="43"/>
      <c r="J1934" s="43"/>
    </row>
    <row r="1935" spans="1:10" ht="10.5" customHeight="1" x14ac:dyDescent="0.2">
      <c r="A1935" s="10"/>
      <c r="B1935" s="26"/>
      <c r="C1935" s="26" t="s">
        <v>140</v>
      </c>
      <c r="D1935" s="26" t="s">
        <v>141</v>
      </c>
      <c r="E1935" s="26" t="s">
        <v>142</v>
      </c>
      <c r="F1935" s="26" t="s">
        <v>143</v>
      </c>
      <c r="G1935" s="26" t="s">
        <v>144</v>
      </c>
      <c r="H1935" s="79" t="s">
        <v>145</v>
      </c>
      <c r="I1935" s="79"/>
      <c r="J1935" s="30"/>
    </row>
    <row r="1936" spans="1:10" ht="10.5" customHeight="1" x14ac:dyDescent="0.2">
      <c r="A1936" s="10"/>
      <c r="B1936" s="80" t="s">
        <v>146</v>
      </c>
      <c r="C1936" s="73" t="e">
        <f ca="1">J1892/H1892</f>
        <v>#N/A</v>
      </c>
      <c r="D1936" s="73" t="e">
        <f ca="1">J1907/H1907</f>
        <v>#VALUE!</v>
      </c>
      <c r="E1936" s="73" t="str">
        <f ca="1">IFERROR(J1920/H1920,"")</f>
        <v/>
      </c>
      <c r="F1936" s="73" t="str">
        <f ca="1">IFERROR(J1932/H1932,"")</f>
        <v/>
      </c>
      <c r="G1936" s="82" t="e">
        <f ca="1">F1938</f>
        <v>#N/A</v>
      </c>
      <c r="H1936" s="83" t="e">
        <f ca="1">IF(TC_IV!N437&lt;96,_xlfn.TEXTJOIN(" ",TRUE,"CARRY OVER",TC_I!V648,TC_II!V536,TC_III!V463,TC_IV!V436),IF(G1936&gt;=8,"First Division with Distinction",IF(G1936&gt;=6.5,"First Division",IF(G1936&gt;=5,"Second Division",IF(G1936&gt;=4,"Third Division","Fail")))))</f>
        <v>#N/A</v>
      </c>
      <c r="I1936" s="83"/>
      <c r="J1936" s="30"/>
    </row>
    <row r="1937" spans="1:10" ht="10.5" customHeight="1" x14ac:dyDescent="0.2">
      <c r="B1937" s="81"/>
      <c r="C1937" s="74"/>
      <c r="D1937" s="74"/>
      <c r="E1937" s="74"/>
      <c r="F1937" s="74"/>
      <c r="G1937" s="82"/>
      <c r="H1937" s="83"/>
      <c r="I1937" s="83"/>
    </row>
    <row r="1938" spans="1:10" ht="10.5" customHeight="1" x14ac:dyDescent="0.2">
      <c r="B1938" s="80" t="s">
        <v>48</v>
      </c>
      <c r="C1938" s="73" t="e">
        <f ca="1">J1892/H1892</f>
        <v>#N/A</v>
      </c>
      <c r="D1938" s="73" t="e">
        <f ca="1">SUM(J1907,J1892)/SUM(H1907,H1892)</f>
        <v>#N/A</v>
      </c>
      <c r="E1938" s="73" t="e">
        <f ca="1">SUM(J1920,J1907,J1892)/SUM(H1920,H1907,H1892)</f>
        <v>#N/A</v>
      </c>
      <c r="F1938" s="73" t="e">
        <f ca="1">SUM(J1932,J1920,J1907,J1892)/SUM(H1892,H1907,H1920,H1932)</f>
        <v>#N/A</v>
      </c>
      <c r="G1938" s="82"/>
      <c r="H1938" s="83"/>
      <c r="I1938" s="83"/>
    </row>
    <row r="1939" spans="1:10" ht="10.5" customHeight="1" x14ac:dyDescent="0.2">
      <c r="B1939" s="81"/>
      <c r="C1939" s="74"/>
      <c r="D1939" s="74"/>
      <c r="E1939" s="74"/>
      <c r="F1939" s="74"/>
      <c r="G1939" s="82"/>
      <c r="H1939" s="83"/>
      <c r="I1939" s="83"/>
    </row>
    <row r="1941" spans="1:10" ht="10.5" customHeight="1" x14ac:dyDescent="0.2">
      <c r="A1941" s="56" t="s">
        <v>24</v>
      </c>
      <c r="B1941" s="56"/>
      <c r="C1941" s="56" t="str">
        <f ca="1">INDIRECT(_xlfn.TEXTJOIN("",TRUE,A1943,"!",ADDRESS(9+(A1944-1)*J1943,2)))</f>
        <v/>
      </c>
      <c r="D1941" s="56"/>
      <c r="E1941" s="56"/>
      <c r="F1941" s="56" t="s">
        <v>135</v>
      </c>
      <c r="G1941" s="56"/>
      <c r="H1941" s="62" t="str">
        <f ca="1">INDIRECT(_xlfn.TEXTJOIN("",TRUE,A1943,"!",ADDRESS(9+(A1944-1)*J1943,9)))</f>
        <v/>
      </c>
      <c r="I1941" s="56"/>
      <c r="J1941" s="56"/>
    </row>
    <row r="1942" spans="1:10" ht="10.5" customHeight="1" x14ac:dyDescent="0.2">
      <c r="A1942" s="56" t="s">
        <v>25</v>
      </c>
      <c r="B1942" s="56"/>
      <c r="C1942" s="56" t="str">
        <f ca="1">INDIRECT(_xlfn.TEXTJOIN("",TRUE,A1943,"!",ADDRESS(9+(A1944-1)*J1943,5)))</f>
        <v/>
      </c>
      <c r="D1942" s="56"/>
      <c r="E1942" s="56"/>
      <c r="F1942" s="47" t="s">
        <v>136</v>
      </c>
      <c r="G1942" s="47"/>
      <c r="H1942" s="62" t="str">
        <f ca="1">INDIRECT(_xlfn.TEXTJOIN("",TRUE,A1943,"!",ADDRESS(9+(A1944-1)*J1943,13)))</f>
        <v/>
      </c>
      <c r="I1942" s="56"/>
      <c r="J1942" s="56"/>
    </row>
    <row r="1943" spans="1:10" ht="10.5" customHeight="1" x14ac:dyDescent="0.2">
      <c r="A1943" s="24" t="s">
        <v>53</v>
      </c>
      <c r="B1943" s="43" t="s">
        <v>148</v>
      </c>
      <c r="C1943" s="43"/>
      <c r="D1943" s="43"/>
      <c r="E1943" s="43"/>
      <c r="F1943" s="43"/>
      <c r="G1943" s="43"/>
      <c r="H1943" s="43"/>
      <c r="I1943" s="43"/>
      <c r="J1943" s="24">
        <f>ROWS(A1947:B1960)+9</f>
        <v>23</v>
      </c>
    </row>
    <row r="1944" spans="1:10" ht="10.5" customHeight="1" x14ac:dyDescent="0.2">
      <c r="A1944" s="24">
        <f>A1875+1</f>
        <v>29</v>
      </c>
      <c r="B1944" s="63"/>
      <c r="C1944" s="63"/>
      <c r="D1944" s="63"/>
      <c r="E1944" s="63"/>
      <c r="F1944" s="63"/>
      <c r="G1944" s="63"/>
      <c r="H1944" s="63"/>
      <c r="I1944" s="63"/>
      <c r="J1944" s="29"/>
    </row>
    <row r="1945" spans="1:10" ht="10.5" customHeight="1" x14ac:dyDescent="0.2">
      <c r="A1945" s="64" t="s">
        <v>28</v>
      </c>
      <c r="B1945" s="64"/>
      <c r="C1945" s="64" t="s">
        <v>29</v>
      </c>
      <c r="D1945" s="64"/>
      <c r="E1945" s="64"/>
      <c r="F1945" s="64"/>
      <c r="G1945" s="64"/>
      <c r="H1945" s="64" t="s">
        <v>30</v>
      </c>
      <c r="I1945" s="64" t="s">
        <v>9</v>
      </c>
      <c r="J1945" s="64" t="s">
        <v>34</v>
      </c>
    </row>
    <row r="1946" spans="1:10" ht="16.5" customHeight="1" x14ac:dyDescent="0.2">
      <c r="A1946" s="64"/>
      <c r="B1946" s="64"/>
      <c r="C1946" s="64"/>
      <c r="D1946" s="64"/>
      <c r="E1946" s="64"/>
      <c r="F1946" s="64"/>
      <c r="G1946" s="64"/>
      <c r="H1946" s="64"/>
      <c r="I1946" s="64"/>
      <c r="J1946" s="64"/>
    </row>
    <row r="1947" spans="1:10" ht="10.5" customHeight="1" x14ac:dyDescent="0.2">
      <c r="A1947" s="65" t="str">
        <f ca="1">INDIRECT(_xlfn.TEXTJOIN("",TRUE,A1943,"!",ADDRESS(13+(A1944-1)*J1943,1)))</f>
        <v/>
      </c>
      <c r="B1947" s="65"/>
      <c r="C1947" s="66" t="str">
        <f ca="1">INDIRECT(_xlfn.TEXTJOIN("",TRUE,A1943,"!",ADDRESS(13+(A1944-1)*J1943,2)))</f>
        <v/>
      </c>
      <c r="D1947" s="66"/>
      <c r="E1947" s="66"/>
      <c r="F1947" s="66"/>
      <c r="G1947" s="66"/>
      <c r="H1947" s="25" t="str">
        <f ca="1">INDIRECT(_xlfn.TEXTJOIN("",TRUE,A1943,"!",ADDRESS(13+(A1944-1)*J1943,6)))</f>
        <v/>
      </c>
      <c r="I1947" s="25" t="str">
        <f ca="1">INDIRECT(_xlfn.TEXTJOIN("",TRUE,A1943,"!",ADDRESS(13+(A1944-1)*J1943,13)))</f>
        <v/>
      </c>
      <c r="J1947" s="25" t="e">
        <f ca="1">INDIRECT(_xlfn.TEXTJOIN("",TRUE,A1943,"!",ADDRESS(13+(A1944-1)*J1943,14)))</f>
        <v>#N/A</v>
      </c>
    </row>
    <row r="1948" spans="1:10" ht="10.5" customHeight="1" x14ac:dyDescent="0.2">
      <c r="A1948" s="65" t="str">
        <f ca="1">INDIRECT(_xlfn.TEXTJOIN("",TRUE,A1943,"!",ADDRESS(14+(A1944-1)*J1943,1)))</f>
        <v/>
      </c>
      <c r="B1948" s="65"/>
      <c r="C1948" s="66" t="str">
        <f ca="1">INDIRECT(_xlfn.TEXTJOIN("",TRUE,A1943,"!",ADDRESS(14+(A1944-1)*J1943,2)))</f>
        <v/>
      </c>
      <c r="D1948" s="66"/>
      <c r="E1948" s="66"/>
      <c r="F1948" s="66"/>
      <c r="G1948" s="66"/>
      <c r="H1948" s="25" t="str">
        <f ca="1">INDIRECT(_xlfn.TEXTJOIN("",TRUE,A1943,"!",ADDRESS(14+(A1944-1)*J1943,6)))</f>
        <v/>
      </c>
      <c r="I1948" s="25" t="str">
        <f ca="1">INDIRECT(_xlfn.TEXTJOIN("",TRUE,A1943,"!",ADDRESS(14+(A1944-1)*J1943,13)))</f>
        <v/>
      </c>
      <c r="J1948" s="25" t="e">
        <f ca="1">INDIRECT(_xlfn.TEXTJOIN("",TRUE,A1943,"!",ADDRESS(14+(A1944-1)*J1943,14)))</f>
        <v>#N/A</v>
      </c>
    </row>
    <row r="1949" spans="1:10" ht="10.5" customHeight="1" x14ac:dyDescent="0.2">
      <c r="A1949" s="65" t="str">
        <f ca="1">INDIRECT(_xlfn.TEXTJOIN("",TRUE,A1943,"!",ADDRESS(15+(A1944-1)*J1943,1)))</f>
        <v/>
      </c>
      <c r="B1949" s="65"/>
      <c r="C1949" s="66" t="str">
        <f ca="1">INDIRECT(_xlfn.TEXTJOIN("",TRUE,A1943,"!",ADDRESS(15+(A1944-1)*J1943,2)))</f>
        <v/>
      </c>
      <c r="D1949" s="66"/>
      <c r="E1949" s="66"/>
      <c r="F1949" s="66"/>
      <c r="G1949" s="66"/>
      <c r="H1949" s="25" t="str">
        <f ca="1">INDIRECT(_xlfn.TEXTJOIN("",TRUE,A1943,"!",ADDRESS(15+(A1944-1)*J1943,6)))</f>
        <v/>
      </c>
      <c r="I1949" s="25" t="str">
        <f ca="1">INDIRECT(_xlfn.TEXTJOIN("",TRUE,A1943,"!",ADDRESS(15+(A1944-1)*J1943,13)))</f>
        <v/>
      </c>
      <c r="J1949" s="25" t="e">
        <f ca="1">INDIRECT(_xlfn.TEXTJOIN("",TRUE,A1943,"!",ADDRESS(15+(A1944-1)*J1943,14)))</f>
        <v>#N/A</v>
      </c>
    </row>
    <row r="1950" spans="1:10" ht="10.5" customHeight="1" x14ac:dyDescent="0.2">
      <c r="A1950" s="65" t="str">
        <f ca="1">INDIRECT(_xlfn.TEXTJOIN("",TRUE,A1943,"!",ADDRESS(16+(A1944-1)*J1943,1)))</f>
        <v/>
      </c>
      <c r="B1950" s="65"/>
      <c r="C1950" s="66" t="str">
        <f ca="1">INDIRECT(_xlfn.TEXTJOIN("",TRUE,A1943,"!",ADDRESS(16+(A1944-1)*J1943,2)))</f>
        <v/>
      </c>
      <c r="D1950" s="66"/>
      <c r="E1950" s="66"/>
      <c r="F1950" s="66"/>
      <c r="G1950" s="66"/>
      <c r="H1950" s="25" t="str">
        <f ca="1">INDIRECT(_xlfn.TEXTJOIN("",TRUE,A1943,"!",ADDRESS(16+(A1944-1)*J1943,6)))</f>
        <v/>
      </c>
      <c r="I1950" s="25" t="str">
        <f ca="1">INDIRECT(_xlfn.TEXTJOIN("",TRUE,A1943,"!",ADDRESS(16+(A1944-1)*J1943,13)))</f>
        <v/>
      </c>
      <c r="J1950" s="25" t="e">
        <f ca="1">INDIRECT(_xlfn.TEXTJOIN("",TRUE,A1943,"!",ADDRESS(16+(A1944-1)*J1943,14)))</f>
        <v>#N/A</v>
      </c>
    </row>
    <row r="1951" spans="1:10" ht="10.5" customHeight="1" x14ac:dyDescent="0.2">
      <c r="A1951" s="65" t="str">
        <f ca="1">INDIRECT(_xlfn.TEXTJOIN("",TRUE,A1943,"!",ADDRESS(17+(A1944-1)*J1943,1)))</f>
        <v/>
      </c>
      <c r="B1951" s="65"/>
      <c r="C1951" s="66" t="str">
        <f ca="1">INDIRECT(_xlfn.TEXTJOIN("",TRUE,A1943,"!",ADDRESS(17+(A1944-1)*J1943,2)))</f>
        <v/>
      </c>
      <c r="D1951" s="66"/>
      <c r="E1951" s="66"/>
      <c r="F1951" s="66"/>
      <c r="G1951" s="66"/>
      <c r="H1951" s="25" t="str">
        <f ca="1">INDIRECT(_xlfn.TEXTJOIN("",TRUE,A1943,"!",ADDRESS(17+(A1944-1)*J1943,6)))</f>
        <v/>
      </c>
      <c r="I1951" s="25" t="str">
        <f ca="1">INDIRECT(_xlfn.TEXTJOIN("",TRUE,A1943,"!",ADDRESS(17+(A1944-1)*J1943,13)))</f>
        <v/>
      </c>
      <c r="J1951" s="25" t="e">
        <f ca="1">INDIRECT(_xlfn.TEXTJOIN("",TRUE,A1943,"!",ADDRESS(17+(A1944-1)*J1943,14)))</f>
        <v>#N/A</v>
      </c>
    </row>
    <row r="1952" spans="1:10" ht="10.5" customHeight="1" x14ac:dyDescent="0.2">
      <c r="A1952" s="65" t="str">
        <f ca="1">INDIRECT(_xlfn.TEXTJOIN("",TRUE,A1943,"!",ADDRESS(18+(A1944-1)*J1943,1)))</f>
        <v/>
      </c>
      <c r="B1952" s="65"/>
      <c r="C1952" s="66" t="str">
        <f ca="1">INDIRECT(_xlfn.TEXTJOIN("",TRUE,A1943,"!",ADDRESS(18+(A1944-1)*J1943,2)))</f>
        <v/>
      </c>
      <c r="D1952" s="66"/>
      <c r="E1952" s="66"/>
      <c r="F1952" s="66"/>
      <c r="G1952" s="66"/>
      <c r="H1952" s="25" t="str">
        <f ca="1">INDIRECT(_xlfn.TEXTJOIN("",TRUE,A1943,"!",ADDRESS(18+(A1944-1)*J1943,6)))</f>
        <v/>
      </c>
      <c r="I1952" s="25" t="str">
        <f ca="1">INDIRECT(_xlfn.TEXTJOIN("",TRUE,A1943,"!",ADDRESS(18+(A1944-1)*J1943,13)))</f>
        <v/>
      </c>
      <c r="J1952" s="25" t="e">
        <f ca="1">INDIRECT(_xlfn.TEXTJOIN("",TRUE,A1943,"!",ADDRESS(18+(A1944-1)*J1943,14)))</f>
        <v>#N/A</v>
      </c>
    </row>
    <row r="1953" spans="1:10" ht="10.5" customHeight="1" x14ac:dyDescent="0.2">
      <c r="A1953" s="60" t="str">
        <f ca="1">INDIRECT(_xlfn.TEXTJOIN("",TRUE,A1943,"!",ADDRESS(19+(A1944-1)*J1943,1)))</f>
        <v/>
      </c>
      <c r="B1953" s="61"/>
      <c r="C1953" s="57" t="str">
        <f ca="1">INDIRECT(_xlfn.TEXTJOIN("",TRUE,A1943,"!",ADDRESS(19+(A1944-1)*J1943,2)))</f>
        <v/>
      </c>
      <c r="D1953" s="58"/>
      <c r="E1953" s="58"/>
      <c r="F1953" s="58"/>
      <c r="G1953" s="59"/>
      <c r="H1953" s="25" t="str">
        <f ca="1">INDIRECT(_xlfn.TEXTJOIN("",TRUE,A1943,"!",ADDRESS(19+(A1944-1)*J1943,6)))</f>
        <v/>
      </c>
      <c r="I1953" s="25" t="str">
        <f ca="1">INDIRECT(_xlfn.TEXTJOIN("",TRUE,A1943,"!",ADDRESS(19+(A1944-1)*J1943,13)))</f>
        <v/>
      </c>
      <c r="J1953" s="25" t="e">
        <f ca="1">INDIRECT(_xlfn.TEXTJOIN("",TRUE,A1943,"!",ADDRESS(19+(A1944-1)*J1943,14)))</f>
        <v>#N/A</v>
      </c>
    </row>
    <row r="1954" spans="1:10" ht="10.5" customHeight="1" x14ac:dyDescent="0.2">
      <c r="A1954" s="65" t="str">
        <f ca="1">INDIRECT(_xlfn.TEXTJOIN("",TRUE,A1943,"!",ADDRESS(20+(A1944-1)*J1943,1)))</f>
        <v/>
      </c>
      <c r="B1954" s="65"/>
      <c r="C1954" s="66" t="str">
        <f ca="1">INDIRECT(_xlfn.TEXTJOIN("",TRUE,A1943,"!",ADDRESS(20+(A1944-1)*J1943,2)))</f>
        <v/>
      </c>
      <c r="D1954" s="66"/>
      <c r="E1954" s="66"/>
      <c r="F1954" s="66"/>
      <c r="G1954" s="66"/>
      <c r="H1954" s="25" t="str">
        <f ca="1">INDIRECT(_xlfn.TEXTJOIN("",TRUE,A1943,"!",ADDRESS(20+(A1944-1)*J1943,6)))</f>
        <v/>
      </c>
      <c r="I1954" s="25" t="str">
        <f ca="1">INDIRECT(_xlfn.TEXTJOIN("",TRUE,A1943,"!",ADDRESS(20+(A1944-1)*J1943,13)))</f>
        <v/>
      </c>
      <c r="J1954" s="25" t="e">
        <f ca="1">INDIRECT(_xlfn.TEXTJOIN("",TRUE,A1943,"!",ADDRESS(20+(A1944-1)*J1943,14)))</f>
        <v>#N/A</v>
      </c>
    </row>
    <row r="1955" spans="1:10" ht="10.5" customHeight="1" x14ac:dyDescent="0.2">
      <c r="A1955" s="65" t="str">
        <f ca="1">INDIRECT(_xlfn.TEXTJOIN("",TRUE,A1943,"!",ADDRESS(21+(A1944-1)*J1943,1)))</f>
        <v/>
      </c>
      <c r="B1955" s="65"/>
      <c r="C1955" s="66" t="str">
        <f ca="1">INDIRECT(_xlfn.TEXTJOIN("",TRUE,A1943,"!",ADDRESS(21+(A1944-1)*J1943,2)))</f>
        <v/>
      </c>
      <c r="D1955" s="66"/>
      <c r="E1955" s="66"/>
      <c r="F1955" s="66"/>
      <c r="G1955" s="66"/>
      <c r="H1955" s="25" t="str">
        <f ca="1">INDIRECT(_xlfn.TEXTJOIN("",TRUE,A1943,"!",ADDRESS(21+(A1944-1)*J1943,6)))</f>
        <v/>
      </c>
      <c r="I1955" s="25" t="str">
        <f ca="1">INDIRECT(_xlfn.TEXTJOIN("",TRUE,A1943,"!",ADDRESS(21+(A1944-1)*J1943,13)))</f>
        <v/>
      </c>
      <c r="J1955" s="25" t="e">
        <f ca="1">INDIRECT(_xlfn.TEXTJOIN("",TRUE,A1943,"!",ADDRESS(21+(A1944-1)*J1943,14)))</f>
        <v>#N/A</v>
      </c>
    </row>
    <row r="1956" spans="1:10" ht="10.5" customHeight="1" x14ac:dyDescent="0.2">
      <c r="A1956" s="65" t="str">
        <f ca="1">INDIRECT(_xlfn.TEXTJOIN("",TRUE,A1943,"!",ADDRESS(22+(A1944-1)*J1943,1)))</f>
        <v/>
      </c>
      <c r="B1956" s="65"/>
      <c r="C1956" s="66" t="str">
        <f ca="1">INDIRECT(_xlfn.TEXTJOIN("",TRUE,A1943,"!",ADDRESS(22+(A1944-1)*J1943,2)))</f>
        <v/>
      </c>
      <c r="D1956" s="66"/>
      <c r="E1956" s="66"/>
      <c r="F1956" s="66"/>
      <c r="G1956" s="66"/>
      <c r="H1956" s="25" t="str">
        <f ca="1">INDIRECT(_xlfn.TEXTJOIN("",TRUE,A1943,"!",ADDRESS(22+(A1944-1)*J1943,6)))</f>
        <v/>
      </c>
      <c r="I1956" s="25" t="str">
        <f ca="1">INDIRECT(_xlfn.TEXTJOIN("",TRUE,A1943,"!",ADDRESS(22+(A1944-1)*J1943,13)))</f>
        <v/>
      </c>
      <c r="J1956" s="25" t="e">
        <f ca="1">INDIRECT(_xlfn.TEXTJOIN("",TRUE,A1943,"!",ADDRESS(22+(A1944-1)*J1943,14)))</f>
        <v>#N/A</v>
      </c>
    </row>
    <row r="1957" spans="1:10" ht="10.5" customHeight="1" x14ac:dyDescent="0.2">
      <c r="A1957" s="65" t="str">
        <f ca="1">INDIRECT(_xlfn.TEXTJOIN("",TRUE,A1943,"!",ADDRESS(23+(A1944-1)*J1943,1)))</f>
        <v/>
      </c>
      <c r="B1957" s="65"/>
      <c r="C1957" s="66" t="str">
        <f ca="1">INDIRECT(_xlfn.TEXTJOIN("",TRUE,A1943,"!",ADDRESS(23+(A1944-1)*J1943,2)))</f>
        <v/>
      </c>
      <c r="D1957" s="66"/>
      <c r="E1957" s="66"/>
      <c r="F1957" s="66"/>
      <c r="G1957" s="66"/>
      <c r="H1957" s="25" t="str">
        <f ca="1">INDIRECT(_xlfn.TEXTJOIN("",TRUE,A1943,"!",ADDRESS(23+(A1944-1)*J1943,6)))</f>
        <v/>
      </c>
      <c r="I1957" s="25" t="str">
        <f ca="1">INDIRECT(_xlfn.TEXTJOIN("",TRUE,A1943,"!",ADDRESS(23+(A1944-1)*J1943,13)))</f>
        <v/>
      </c>
      <c r="J1957" s="25" t="e">
        <f ca="1">INDIRECT(_xlfn.TEXTJOIN("",TRUE,A1943,"!",ADDRESS(23+(A1944-1)*J1943,14)))</f>
        <v>#N/A</v>
      </c>
    </row>
    <row r="1958" spans="1:10" ht="10.5" customHeight="1" x14ac:dyDescent="0.2">
      <c r="A1958" s="65" t="str">
        <f ca="1">INDIRECT(_xlfn.TEXTJOIN("",TRUE,A1943,"!",ADDRESS(24+(A1944-1)*J1943,1)))</f>
        <v/>
      </c>
      <c r="B1958" s="65"/>
      <c r="C1958" s="66" t="str">
        <f ca="1">INDIRECT(_xlfn.TEXTJOIN("",TRUE,A1943,"!",ADDRESS(24+(A1944-1)*J1943,2)))</f>
        <v/>
      </c>
      <c r="D1958" s="66"/>
      <c r="E1958" s="66"/>
      <c r="F1958" s="66"/>
      <c r="G1958" s="66"/>
      <c r="H1958" s="25" t="str">
        <f ca="1">INDIRECT(_xlfn.TEXTJOIN("",TRUE,A1943,"!",ADDRESS(24+(A1944-1)*J1943,6)))</f>
        <v/>
      </c>
      <c r="I1958" s="25" t="str">
        <f ca="1">INDIRECT(_xlfn.TEXTJOIN("",TRUE,A1943,"!",ADDRESS(24+(A1944-1)*J1943,13)))</f>
        <v/>
      </c>
      <c r="J1958" s="25" t="e">
        <f ca="1">INDIRECT(_xlfn.TEXTJOIN("",TRUE,A1943,"!",ADDRESS(24+(A1944-1)*J1943,14)))</f>
        <v>#N/A</v>
      </c>
    </row>
    <row r="1959" spans="1:10" ht="10.5" customHeight="1" x14ac:dyDescent="0.2">
      <c r="A1959" s="65" t="str">
        <f ca="1">INDIRECT(_xlfn.TEXTJOIN("",TRUE,A1943,"!",ADDRESS(25+(A1944-1)*J1943,1)))</f>
        <v/>
      </c>
      <c r="B1959" s="65"/>
      <c r="C1959" s="66" t="str">
        <f ca="1">INDIRECT(_xlfn.TEXTJOIN("",TRUE,A1943,"!",ADDRESS(25+(A1944-1)*J1943,2)))</f>
        <v/>
      </c>
      <c r="D1959" s="66"/>
      <c r="E1959" s="66"/>
      <c r="F1959" s="66"/>
      <c r="G1959" s="66"/>
      <c r="H1959" s="25" t="str">
        <f ca="1">INDIRECT(_xlfn.TEXTJOIN("",TRUE,A1943,"!",ADDRESS(25+(A1944-1)*J1943,6)))</f>
        <v/>
      </c>
      <c r="I1959" s="25" t="str">
        <f ca="1">INDIRECT(_xlfn.TEXTJOIN("",TRUE,A1943,"!",ADDRESS(25+(A1944-1)*J1943,13)))</f>
        <v/>
      </c>
      <c r="J1959" s="25" t="e">
        <f ca="1">INDIRECT(_xlfn.TEXTJOIN("",TRUE,A1943,"!",ADDRESS(25+(A1944-1)*J1943,14)))</f>
        <v>#N/A</v>
      </c>
    </row>
    <row r="1960" spans="1:10" s="35" customFormat="1" ht="10.5" customHeight="1" x14ac:dyDescent="0.2">
      <c r="A1960" s="77" t="str">
        <f ca="1">INDIRECT(_xlfn.TEXTJOIN("",TRUE,A1943,"!",ADDRESS(26+(A1944-1)*J1943,1)))</f>
        <v/>
      </c>
      <c r="B1960" s="77"/>
      <c r="C1960" s="78" t="str">
        <f ca="1">INDIRECT(_xlfn.TEXTJOIN("",TRUE,A1943,"!",ADDRESS(26+(A1944-1)*J1943,2)))</f>
        <v/>
      </c>
      <c r="D1960" s="78"/>
      <c r="E1960" s="78"/>
      <c r="F1960" s="78"/>
      <c r="G1960" s="78"/>
      <c r="H1960" s="34" t="str">
        <f ca="1">INDIRECT(_xlfn.TEXTJOIN("",TRUE,A1943,"!",ADDRESS(26+(A1944-1)*J1943,6)))</f>
        <v/>
      </c>
      <c r="I1960" s="34" t="b">
        <f ca="1">INDIRECT(_xlfn.TEXTJOIN("",TRUE,A1943,"!",ADDRESS(26+(A1944-1)*J1943,13)))</f>
        <v>0</v>
      </c>
      <c r="J1960" s="34" t="e">
        <f ca="1">INDIRECT(_xlfn.TEXTJOIN("",TRUE,A1943,"!",ADDRESS(26+(A1944-1)*J1943,14)))</f>
        <v>#N/A</v>
      </c>
    </row>
    <row r="1961" spans="1:10" ht="10.5" customHeight="1" x14ac:dyDescent="0.2">
      <c r="A1961" s="71" t="s">
        <v>52</v>
      </c>
      <c r="B1961" s="71"/>
      <c r="C1961" s="71"/>
      <c r="D1961" s="71"/>
      <c r="E1961" s="71"/>
      <c r="F1961" s="71"/>
      <c r="G1961" s="71"/>
      <c r="H1961" s="27">
        <f ca="1">SUM(H1947:H1960)</f>
        <v>0</v>
      </c>
      <c r="I1961" s="26" t="s">
        <v>44</v>
      </c>
      <c r="J1961" s="27" t="e">
        <f ca="1">SUMPRODUCT(J1947:J1959,H1947:H1959)</f>
        <v>#N/A</v>
      </c>
    </row>
    <row r="1962" spans="1:10" ht="10.5" customHeight="1" x14ac:dyDescent="0.2">
      <c r="A1962" s="24" t="s">
        <v>57</v>
      </c>
      <c r="B1962" s="72" t="str">
        <f ca="1">IF(ISNA(A1963),"","Semester II (Spring Semester 2022-23)")</f>
        <v/>
      </c>
      <c r="C1962" s="72"/>
      <c r="D1962" s="72"/>
      <c r="E1962" s="72"/>
      <c r="F1962" s="72"/>
      <c r="G1962" s="72"/>
      <c r="H1962" s="72"/>
      <c r="I1962" s="72"/>
      <c r="J1962" s="24">
        <f>ROWS(A1966:B1975)+9</f>
        <v>19</v>
      </c>
    </row>
    <row r="1963" spans="1:10" ht="10.5" customHeight="1" x14ac:dyDescent="0.2">
      <c r="A1963" s="24" t="e">
        <f ca="1">INDEX(SEM_II!$A$6:$A$45,Marksheets!J1963)</f>
        <v>#N/A</v>
      </c>
      <c r="B1963" s="63"/>
      <c r="C1963" s="63"/>
      <c r="D1963" s="63"/>
      <c r="E1963" s="63"/>
      <c r="F1963" s="63"/>
      <c r="G1963" s="63"/>
      <c r="H1963" s="63"/>
      <c r="I1963" s="63"/>
      <c r="J1963" s="24" t="e">
        <f ca="1">MATCH(H1941,SEM_II!$B$6:$B$45,0)</f>
        <v>#N/A</v>
      </c>
    </row>
    <row r="1964" spans="1:10" ht="10.5" customHeight="1" x14ac:dyDescent="0.2">
      <c r="A1964" s="64" t="str">
        <f ca="1">IF(ISNA(A1963),"","Subject Code")</f>
        <v/>
      </c>
      <c r="B1964" s="64"/>
      <c r="C1964" s="64" t="str">
        <f ca="1">IF(ISNA(A1963),"","Subject Name")</f>
        <v/>
      </c>
      <c r="D1964" s="64"/>
      <c r="E1964" s="64"/>
      <c r="F1964" s="64"/>
      <c r="G1964" s="64"/>
      <c r="H1964" s="64" t="str">
        <f ca="1">IF(ISNA(A1963),"","Credits")</f>
        <v/>
      </c>
      <c r="I1964" s="64" t="str">
        <f ca="1">IF(ISNA(A1963),"","Grade")</f>
        <v/>
      </c>
      <c r="J1964" s="64" t="str">
        <f ca="1">IF(ISNA(A1963),"","Grade Points")</f>
        <v/>
      </c>
    </row>
    <row r="1965" spans="1:10" ht="14" customHeight="1" x14ac:dyDescent="0.2">
      <c r="A1965" s="64"/>
      <c r="B1965" s="64"/>
      <c r="C1965" s="64"/>
      <c r="D1965" s="64"/>
      <c r="E1965" s="64"/>
      <c r="F1965" s="64"/>
      <c r="G1965" s="64"/>
      <c r="H1965" s="64"/>
      <c r="I1965" s="64"/>
      <c r="J1965" s="64"/>
    </row>
    <row r="1966" spans="1:10" ht="10.5" customHeight="1" x14ac:dyDescent="0.2">
      <c r="A1966" s="65" t="str">
        <f ca="1">_xlfn.IFNA(INDIRECT(_xlfn.TEXTJOIN("",TRUE,A1962,"!",ADDRESS(13+(A1963-1)*J1962,1))),"")</f>
        <v/>
      </c>
      <c r="B1966" s="65"/>
      <c r="C1966" s="66" t="str">
        <f ca="1">_xlfn.IFNA(INDIRECT(_xlfn.TEXTJOIN("",TRUE,A1962,"!",ADDRESS(13+(A1963-1)*J1962,2))),"")</f>
        <v/>
      </c>
      <c r="D1966" s="66"/>
      <c r="E1966" s="66"/>
      <c r="F1966" s="66"/>
      <c r="G1966" s="66"/>
      <c r="H1966" s="25" t="str">
        <f ca="1">_xlfn.IFNA(INDIRECT(_xlfn.TEXTJOIN("",TRUE,A1962,"!",ADDRESS(13+(A1963-1)*J1962,6))),"")</f>
        <v/>
      </c>
      <c r="I1966" s="25" t="str">
        <f ca="1">_xlfn.IFNA(INDIRECT(_xlfn.TEXTJOIN("",TRUE,A1962,"!",ADDRESS(13+(A1963-1)*J1962,13))),"")</f>
        <v/>
      </c>
      <c r="J1966" s="25" t="str">
        <f ca="1">_xlfn.IFNA(INDIRECT(_xlfn.TEXTJOIN("",TRUE,A1962,"!",ADDRESS(13+(A1963-1)*J1962,14))),"")</f>
        <v/>
      </c>
    </row>
    <row r="1967" spans="1:10" ht="10.5" customHeight="1" x14ac:dyDescent="0.2">
      <c r="A1967" s="65" t="str">
        <f ca="1">_xlfn.IFNA(INDIRECT(_xlfn.TEXTJOIN("",TRUE,A1962,"!",ADDRESS(14+(A1963-1)*J1962,1))),"")</f>
        <v/>
      </c>
      <c r="B1967" s="65"/>
      <c r="C1967" s="66" t="str">
        <f ca="1">_xlfn.IFNA(INDIRECT(_xlfn.TEXTJOIN("",TRUE,A1962,"!",ADDRESS(14+(A1963-1)*J1962,2))),"")</f>
        <v/>
      </c>
      <c r="D1967" s="66"/>
      <c r="E1967" s="66"/>
      <c r="F1967" s="66"/>
      <c r="G1967" s="66"/>
      <c r="H1967" s="25" t="str">
        <f ca="1">_xlfn.IFNA(INDIRECT(_xlfn.TEXTJOIN("",TRUE,A1962,"!",ADDRESS(14+(A1963-1)*J1962,6))),"")</f>
        <v/>
      </c>
      <c r="I1967" s="25" t="str">
        <f ca="1">_xlfn.IFNA(INDIRECT(_xlfn.TEXTJOIN("",TRUE,A1962,"!",ADDRESS(14+(A1963-1)*J1962,13))),"")</f>
        <v/>
      </c>
      <c r="J1967" s="25" t="str">
        <f ca="1">_xlfn.IFNA(INDIRECT(_xlfn.TEXTJOIN("",TRUE,A1962,"!",ADDRESS(14+(A1963-1)*J1962,14))),"")</f>
        <v/>
      </c>
    </row>
    <row r="1968" spans="1:10" ht="10.5" customHeight="1" x14ac:dyDescent="0.2">
      <c r="A1968" s="65" t="str">
        <f ca="1">_xlfn.IFNA(INDIRECT(_xlfn.TEXTJOIN("",TRUE,A1962,"!",ADDRESS(15+(A1963-1)*J1962,1))),"")</f>
        <v/>
      </c>
      <c r="B1968" s="65"/>
      <c r="C1968" s="66" t="str">
        <f ca="1">_xlfn.IFNA(INDIRECT(_xlfn.TEXTJOIN("",TRUE,A1962,"!",ADDRESS(15+(A1963-1)*J1962,2))),"")</f>
        <v/>
      </c>
      <c r="D1968" s="66"/>
      <c r="E1968" s="66"/>
      <c r="F1968" s="66"/>
      <c r="G1968" s="66"/>
      <c r="H1968" s="25" t="str">
        <f ca="1">_xlfn.IFNA(INDIRECT(_xlfn.TEXTJOIN("",TRUE,A1962,"!",ADDRESS(15+(A1963-1)*J1962,6))),"")</f>
        <v/>
      </c>
      <c r="I1968" s="25" t="str">
        <f ca="1">_xlfn.IFNA(INDIRECT(_xlfn.TEXTJOIN("",TRUE,A1962,"!",ADDRESS(15+(A1963-1)*J1962,13))),"")</f>
        <v/>
      </c>
      <c r="J1968" s="25" t="str">
        <f ca="1">_xlfn.IFNA(INDIRECT(_xlfn.TEXTJOIN("",TRUE,A1962,"!",ADDRESS(15+(A1963-1)*J1962,14))),"")</f>
        <v/>
      </c>
    </row>
    <row r="1969" spans="1:10" ht="10.5" customHeight="1" x14ac:dyDescent="0.2">
      <c r="A1969" s="65" t="str">
        <f ca="1">_xlfn.IFNA(INDIRECT(_xlfn.TEXTJOIN("",TRUE,A1962,"!",ADDRESS(16+(A1963-1)*J1962,1))),"")</f>
        <v/>
      </c>
      <c r="B1969" s="65"/>
      <c r="C1969" s="66" t="str">
        <f ca="1">_xlfn.IFNA(INDIRECT(_xlfn.TEXTJOIN("",TRUE,A1962,"!",ADDRESS(16+(A1963-1)*J1962,2))),"")</f>
        <v/>
      </c>
      <c r="D1969" s="66"/>
      <c r="E1969" s="66"/>
      <c r="F1969" s="66"/>
      <c r="G1969" s="66"/>
      <c r="H1969" s="25" t="str">
        <f ca="1">_xlfn.IFNA(INDIRECT(_xlfn.TEXTJOIN("",TRUE,A1962,"!",ADDRESS(16+(A1963-1)*J1962,6))),"")</f>
        <v/>
      </c>
      <c r="I1969" s="25" t="str">
        <f ca="1">_xlfn.IFNA(INDIRECT(_xlfn.TEXTJOIN("",TRUE,A1962,"!",ADDRESS(16+(A1963-1)*J1962,13))),"")</f>
        <v/>
      </c>
      <c r="J1969" s="25" t="str">
        <f ca="1">_xlfn.IFNA(INDIRECT(_xlfn.TEXTJOIN("",TRUE,A1962,"!",ADDRESS(16+(A1963-1)*J1962,14))),"")</f>
        <v/>
      </c>
    </row>
    <row r="1970" spans="1:10" ht="10.5" customHeight="1" x14ac:dyDescent="0.2">
      <c r="A1970" s="65" t="str">
        <f ca="1">_xlfn.IFNA(INDIRECT(_xlfn.TEXTJOIN("",TRUE,A1962,"!",ADDRESS(17+(A1963-1)*J1962,1))),"")</f>
        <v/>
      </c>
      <c r="B1970" s="65"/>
      <c r="C1970" s="66" t="str">
        <f ca="1">_xlfn.IFNA(INDIRECT(_xlfn.TEXTJOIN("",TRUE,A1962,"!",ADDRESS(17+(A1963-1)*J1962,2))),"")</f>
        <v/>
      </c>
      <c r="D1970" s="66"/>
      <c r="E1970" s="66"/>
      <c r="F1970" s="66"/>
      <c r="G1970" s="66"/>
      <c r="H1970" s="25" t="str">
        <f ca="1">_xlfn.IFNA(INDIRECT(_xlfn.TEXTJOIN("",TRUE,A1962,"!",ADDRESS(17+(A1963-1)*J1962,6))),"")</f>
        <v/>
      </c>
      <c r="I1970" s="25" t="str">
        <f ca="1">_xlfn.IFNA(INDIRECT(_xlfn.TEXTJOIN("",TRUE,A1962,"!",ADDRESS(17+(A1963-1)*J1962,13))),"")</f>
        <v/>
      </c>
      <c r="J1970" s="25" t="str">
        <f ca="1">_xlfn.IFNA(INDIRECT(_xlfn.TEXTJOIN("",TRUE,A1962,"!",ADDRESS(17+(A1963-1)*J1962,14))),"")</f>
        <v/>
      </c>
    </row>
    <row r="1971" spans="1:10" ht="10.5" customHeight="1" x14ac:dyDescent="0.2">
      <c r="A1971" s="65" t="str">
        <f ca="1">_xlfn.IFNA(INDIRECT(_xlfn.TEXTJOIN("",TRUE,A1962,"!",ADDRESS(18+(A1963-1)*J1962,1))),"")</f>
        <v/>
      </c>
      <c r="B1971" s="65"/>
      <c r="C1971" s="66" t="str">
        <f ca="1">_xlfn.IFNA(INDIRECT(_xlfn.TEXTJOIN("",TRUE,A1962,"!",ADDRESS(18+(A1963-1)*J1962,2))),"")</f>
        <v/>
      </c>
      <c r="D1971" s="66"/>
      <c r="E1971" s="66"/>
      <c r="F1971" s="66"/>
      <c r="G1971" s="66"/>
      <c r="H1971" s="25" t="str">
        <f ca="1">_xlfn.IFNA(INDIRECT(_xlfn.TEXTJOIN("",TRUE,A1962,"!",ADDRESS(18+(A1963-1)*J1962,6))),"")</f>
        <v/>
      </c>
      <c r="I1971" s="25" t="str">
        <f ca="1">_xlfn.IFNA(INDIRECT(_xlfn.TEXTJOIN("",TRUE,A1962,"!",ADDRESS(18+(A1963-1)*J1962,13))),"")</f>
        <v/>
      </c>
      <c r="J1971" s="25" t="str">
        <f ca="1">_xlfn.IFNA(INDIRECT(_xlfn.TEXTJOIN("",TRUE,A1962,"!",ADDRESS(18+(A1963-1)*J1962,14))),"")</f>
        <v/>
      </c>
    </row>
    <row r="1972" spans="1:10" ht="10.5" customHeight="1" x14ac:dyDescent="0.2">
      <c r="A1972" s="60" t="str">
        <f ca="1">_xlfn.IFNA(INDIRECT(_xlfn.TEXTJOIN("",TRUE,A1962,"!",ADDRESS(19+(A1963-1)*J1962,1))),"")</f>
        <v/>
      </c>
      <c r="B1972" s="61"/>
      <c r="C1972" s="57" t="str">
        <f ca="1">_xlfn.IFNA(INDIRECT(_xlfn.TEXTJOIN("",TRUE,A1962,"!",ADDRESS(19+(A1963-1)*J1962,2))),"")</f>
        <v/>
      </c>
      <c r="D1972" s="58"/>
      <c r="E1972" s="58"/>
      <c r="F1972" s="58"/>
      <c r="G1972" s="59"/>
      <c r="H1972" s="25" t="str">
        <f ca="1">_xlfn.IFNA(INDIRECT(_xlfn.TEXTJOIN("",TRUE,A1962,"!",ADDRESS(19+(A1963-1)*J1962,6))),"")</f>
        <v/>
      </c>
      <c r="I1972" s="25" t="str">
        <f ca="1">_xlfn.IFNA(INDIRECT(_xlfn.TEXTJOIN("",TRUE,A1962,"!",ADDRESS(19+(A1963-1)*J1962,13))),"")</f>
        <v/>
      </c>
      <c r="J1972" s="25" t="str">
        <f ca="1">_xlfn.IFNA(INDIRECT(_xlfn.TEXTJOIN("",TRUE,A1962,"!",ADDRESS(19+(A1963-1)*J1962,14))),"")</f>
        <v/>
      </c>
    </row>
    <row r="1973" spans="1:10" ht="10.5" customHeight="1" x14ac:dyDescent="0.2">
      <c r="A1973" s="65" t="str">
        <f ca="1">_xlfn.IFNA(INDIRECT(_xlfn.TEXTJOIN("",TRUE,A1962,"!",ADDRESS(20+(A1963-1)*J1962,1))),"")</f>
        <v/>
      </c>
      <c r="B1973" s="65"/>
      <c r="C1973" s="66" t="str">
        <f ca="1">_xlfn.IFNA(INDIRECT(_xlfn.TEXTJOIN("",TRUE,A1962,"!",ADDRESS(20+(A1963-1)*J1962,2))),"")</f>
        <v/>
      </c>
      <c r="D1973" s="66"/>
      <c r="E1973" s="66"/>
      <c r="F1973" s="66"/>
      <c r="G1973" s="66"/>
      <c r="H1973" s="25" t="str">
        <f ca="1">_xlfn.IFNA(INDIRECT(_xlfn.TEXTJOIN("",TRUE,A1962,"!",ADDRESS(20+(A1963-1)*J1962,6))),"")</f>
        <v/>
      </c>
      <c r="I1973" s="25" t="str">
        <f ca="1">_xlfn.IFNA(INDIRECT(_xlfn.TEXTJOIN("",TRUE,A1962,"!",ADDRESS(20+(A1963-1)*J1962,13))),"")</f>
        <v/>
      </c>
      <c r="J1973" s="25" t="str">
        <f ca="1">_xlfn.IFNA(INDIRECT(_xlfn.TEXTJOIN("",TRUE,A1962,"!",ADDRESS(20+(A1963-1)*J1962,14))),"")</f>
        <v/>
      </c>
    </row>
    <row r="1974" spans="1:10" ht="10.5" customHeight="1" x14ac:dyDescent="0.2">
      <c r="A1974" s="65" t="str">
        <f ca="1">_xlfn.IFNA(INDIRECT(_xlfn.TEXTJOIN("",TRUE,A1962,"!",ADDRESS(21+(A1963-1)*J1962,1))),"")</f>
        <v/>
      </c>
      <c r="B1974" s="65"/>
      <c r="C1974" s="66" t="str">
        <f ca="1">_xlfn.IFNA(INDIRECT(_xlfn.TEXTJOIN("",TRUE,A1962,"!",ADDRESS(21+(A1963-1)*J1962,2))),"")</f>
        <v/>
      </c>
      <c r="D1974" s="66"/>
      <c r="E1974" s="66"/>
      <c r="F1974" s="66"/>
      <c r="G1974" s="66"/>
      <c r="H1974" s="25" t="str">
        <f ca="1">_xlfn.IFNA(INDIRECT(_xlfn.TEXTJOIN("",TRUE,A1962,"!",ADDRESS(21+(A1963-1)*J1962,6))),"")</f>
        <v/>
      </c>
      <c r="I1974" s="25" t="str">
        <f ca="1">_xlfn.IFNA(INDIRECT(_xlfn.TEXTJOIN("",TRUE,A1962,"!",ADDRESS(21+(A1963-1)*J1962,13))),"")</f>
        <v/>
      </c>
      <c r="J1974" s="25" t="str">
        <f ca="1">_xlfn.IFNA(INDIRECT(_xlfn.TEXTJOIN("",TRUE,A1962,"!",ADDRESS(21+(A1963-1)*J1962,14))),"")</f>
        <v/>
      </c>
    </row>
    <row r="1975" spans="1:10" ht="10.5" customHeight="1" x14ac:dyDescent="0.2">
      <c r="A1975" s="65" t="str">
        <f ca="1">_xlfn.IFNA(INDIRECT(_xlfn.TEXTJOIN("",TRUE,A1962,"!",ADDRESS(22+(A1963-1)*J1962,1))),"")</f>
        <v/>
      </c>
      <c r="B1975" s="65"/>
      <c r="C1975" s="66" t="str">
        <f ca="1">_xlfn.IFNA(INDIRECT(_xlfn.TEXTJOIN("",TRUE,A1962,"!",ADDRESS(22+(A1963-1)*J1962,2))),"")</f>
        <v/>
      </c>
      <c r="D1975" s="66"/>
      <c r="E1975" s="66"/>
      <c r="F1975" s="66"/>
      <c r="G1975" s="66"/>
      <c r="H1975" s="25" t="str">
        <f ca="1">_xlfn.IFNA(INDIRECT(_xlfn.TEXTJOIN("",TRUE,A1962,"!",ADDRESS(22+(A1963-1)*J1962,6))),"")</f>
        <v/>
      </c>
      <c r="I1975" s="25" t="str">
        <f ca="1">_xlfn.IFNA(INDIRECT(_xlfn.TEXTJOIN("",TRUE,A1962,"!",ADDRESS(22+(A1963-1)*J1962,13))),"")</f>
        <v/>
      </c>
      <c r="J1975" s="25" t="str">
        <f ca="1">_xlfn.IFNA(INDIRECT(_xlfn.TEXTJOIN("",TRUE,A1962,"!",ADDRESS(22+(A1963-1)*J1962,14))),"")</f>
        <v/>
      </c>
    </row>
    <row r="1976" spans="1:10" ht="10.5" customHeight="1" x14ac:dyDescent="0.2">
      <c r="A1976" s="71" t="str">
        <f ca="1">IF(ISNA(A1963),"","Total Credits/ Total Grade Points")</f>
        <v/>
      </c>
      <c r="B1976" s="71"/>
      <c r="C1976" s="71"/>
      <c r="D1976" s="71"/>
      <c r="E1976" s="71"/>
      <c r="F1976" s="71"/>
      <c r="G1976" s="71"/>
      <c r="H1976" s="27" t="str">
        <f ca="1">IF(ISNA(A1963),"",SUM(H1966:H1975))</f>
        <v/>
      </c>
      <c r="I1976" s="26" t="str">
        <f ca="1">IF(ISNA(A1963),"","-")</f>
        <v/>
      </c>
      <c r="J1976" s="27" t="str">
        <f ca="1">IF(ISNA(A1963),"",SUMPRODUCT(J1966:J1975,H1966:H1975))</f>
        <v/>
      </c>
    </row>
    <row r="1977" spans="1:10" ht="10.5" customHeight="1" x14ac:dyDescent="0.2">
      <c r="A1977" s="24" t="s">
        <v>60</v>
      </c>
      <c r="B1977" s="72" t="str">
        <f ca="1">IF(ISNA(A1978),"","Semester III (Autumn Semester 2023-24)")</f>
        <v/>
      </c>
      <c r="C1977" s="72"/>
      <c r="D1977" s="72"/>
      <c r="E1977" s="72"/>
      <c r="F1977" s="72"/>
      <c r="G1977" s="72"/>
      <c r="H1977" s="72"/>
      <c r="I1977" s="72"/>
      <c r="J1977" s="24">
        <f>ROWS(A1981:B1988)+9</f>
        <v>17</v>
      </c>
    </row>
    <row r="1978" spans="1:10" ht="10.5" customHeight="1" x14ac:dyDescent="0.2">
      <c r="A1978" s="24" t="e">
        <f ca="1">INDEX(SEM_III!$A$6:$A$43,Marksheets!J1978)</f>
        <v>#N/A</v>
      </c>
      <c r="B1978" s="63"/>
      <c r="C1978" s="63"/>
      <c r="D1978" s="63"/>
      <c r="E1978" s="63"/>
      <c r="F1978" s="63"/>
      <c r="G1978" s="63"/>
      <c r="H1978" s="63"/>
      <c r="I1978" s="63"/>
      <c r="J1978" s="24" t="e">
        <f ca="1">MATCH(H1941,SEM_III!$B$6:$B$43,0)</f>
        <v>#N/A</v>
      </c>
    </row>
    <row r="1979" spans="1:10" ht="10.5" customHeight="1" x14ac:dyDescent="0.2">
      <c r="A1979" s="64" t="str">
        <f ca="1">IF(ISNA(A1978),"","Subject Code")</f>
        <v/>
      </c>
      <c r="B1979" s="64"/>
      <c r="C1979" s="64" t="str">
        <f ca="1">IF(ISNA(A1978),"","Subject Name")</f>
        <v/>
      </c>
      <c r="D1979" s="64"/>
      <c r="E1979" s="64"/>
      <c r="F1979" s="64"/>
      <c r="G1979" s="64"/>
      <c r="H1979" s="64" t="str">
        <f ca="1">IF(ISNA(A1978),"","Credits")</f>
        <v/>
      </c>
      <c r="I1979" s="64" t="str">
        <f ca="1">IF(ISNA(A1978),"","Grade")</f>
        <v/>
      </c>
      <c r="J1979" s="64" t="str">
        <f ca="1">IF(ISNA(A1978),"","Grade Points")</f>
        <v/>
      </c>
    </row>
    <row r="1980" spans="1:10" ht="16.5" customHeight="1" x14ac:dyDescent="0.2">
      <c r="A1980" s="64"/>
      <c r="B1980" s="64"/>
      <c r="C1980" s="64"/>
      <c r="D1980" s="64"/>
      <c r="E1980" s="64"/>
      <c r="F1980" s="64"/>
      <c r="G1980" s="64"/>
      <c r="H1980" s="64"/>
      <c r="I1980" s="64"/>
      <c r="J1980" s="64"/>
    </row>
    <row r="1981" spans="1:10" ht="10.5" customHeight="1" x14ac:dyDescent="0.2">
      <c r="A1981" s="65" t="str">
        <f ca="1">_xlfn.IFNA(INDIRECT(_xlfn.TEXTJOIN("",TRUE,A1977,"!",ADDRESS(13+(A1978-1)*J1977,1))),"")</f>
        <v/>
      </c>
      <c r="B1981" s="65"/>
      <c r="C1981" s="66" t="str">
        <f ca="1">_xlfn.IFNA(INDIRECT(_xlfn.TEXTJOIN("",TRUE,A1977,"!",ADDRESS(13+(A1978-1)*J1977,2))),"")</f>
        <v/>
      </c>
      <c r="D1981" s="66"/>
      <c r="E1981" s="66"/>
      <c r="F1981" s="66"/>
      <c r="G1981" s="66"/>
      <c r="H1981" s="25" t="str">
        <f ca="1">_xlfn.IFNA(INDIRECT(_xlfn.TEXTJOIN("",TRUE,A1977,"!",ADDRESS(13+(A1978-1)*J1977,6))),"")</f>
        <v/>
      </c>
      <c r="I1981" s="25" t="str">
        <f ca="1">_xlfn.IFNA(INDIRECT(_xlfn.TEXTJOIN("",TRUE,A1977,"!",ADDRESS(13+(A1978-1)*J1977,13))),"")</f>
        <v/>
      </c>
      <c r="J1981" s="25" t="str">
        <f ca="1">_xlfn.IFNA(INDIRECT(_xlfn.TEXTJOIN("",TRUE,A1977,"!",ADDRESS(13+(A1978-1)*J1977,14))),"")</f>
        <v/>
      </c>
    </row>
    <row r="1982" spans="1:10" ht="10.5" customHeight="1" x14ac:dyDescent="0.2">
      <c r="A1982" s="65" t="str">
        <f ca="1">_xlfn.IFNA(INDIRECT(_xlfn.TEXTJOIN("",TRUE,A1977,"!",ADDRESS(14+(A1978-1)*J1977,1))),"")</f>
        <v/>
      </c>
      <c r="B1982" s="65"/>
      <c r="C1982" s="66" t="str">
        <f ca="1">_xlfn.IFNA(INDIRECT(_xlfn.TEXTJOIN("",TRUE,A1977,"!",ADDRESS(14+(A1978-1)*J1977,2))),"")</f>
        <v/>
      </c>
      <c r="D1982" s="66"/>
      <c r="E1982" s="66"/>
      <c r="F1982" s="66"/>
      <c r="G1982" s="66"/>
      <c r="H1982" s="25" t="str">
        <f ca="1">_xlfn.IFNA(INDIRECT(_xlfn.TEXTJOIN("",TRUE,A1977,"!",ADDRESS(14+(A1978-1)*J1977,6))),"")</f>
        <v/>
      </c>
      <c r="I1982" s="25" t="str">
        <f ca="1">_xlfn.IFNA(INDIRECT(_xlfn.TEXTJOIN("",TRUE,A1977,"!",ADDRESS(14+(A1978-1)*J1977,13))),"")</f>
        <v/>
      </c>
      <c r="J1982" s="25" t="str">
        <f ca="1">_xlfn.IFNA(INDIRECT(_xlfn.TEXTJOIN("",TRUE,A1977,"!",ADDRESS(14+(A1978-1)*J1977,14))),"")</f>
        <v/>
      </c>
    </row>
    <row r="1983" spans="1:10" ht="10.5" customHeight="1" x14ac:dyDescent="0.2">
      <c r="A1983" s="65" t="str">
        <f ca="1">_xlfn.IFNA(INDIRECT(_xlfn.TEXTJOIN("",TRUE,A1977,"!",ADDRESS(15+(A1978-1)*J1977,1))),"")</f>
        <v/>
      </c>
      <c r="B1983" s="65"/>
      <c r="C1983" s="66" t="str">
        <f ca="1">_xlfn.IFNA(INDIRECT(_xlfn.TEXTJOIN("",TRUE,A1977,"!",ADDRESS(15+(A1978-1)*J1977,2))),"")</f>
        <v/>
      </c>
      <c r="D1983" s="66"/>
      <c r="E1983" s="66"/>
      <c r="F1983" s="66"/>
      <c r="G1983" s="66"/>
      <c r="H1983" s="25" t="str">
        <f ca="1">_xlfn.IFNA(INDIRECT(_xlfn.TEXTJOIN("",TRUE,A1977,"!",ADDRESS(15+(A1978-1)*J1977,6))),"")</f>
        <v/>
      </c>
      <c r="I1983" s="25" t="str">
        <f ca="1">_xlfn.IFNA(INDIRECT(_xlfn.TEXTJOIN("",TRUE,A1977,"!",ADDRESS(15+(A1978-1)*J1977,13))),"")</f>
        <v/>
      </c>
      <c r="J1983" s="25" t="str">
        <f ca="1">_xlfn.IFNA(INDIRECT(_xlfn.TEXTJOIN("",TRUE,A1977,"!",ADDRESS(15+(A1978-1)*J1977,14))),"")</f>
        <v/>
      </c>
    </row>
    <row r="1984" spans="1:10" ht="10.5" customHeight="1" x14ac:dyDescent="0.2">
      <c r="A1984" s="65" t="str">
        <f ca="1">_xlfn.IFNA(INDIRECT(_xlfn.TEXTJOIN("",TRUE,A1977,"!",ADDRESS(16+(A1978-1)*J1977,1))),"")</f>
        <v/>
      </c>
      <c r="B1984" s="65"/>
      <c r="C1984" s="66" t="str">
        <f ca="1">_xlfn.IFNA(INDIRECT(_xlfn.TEXTJOIN("",TRUE,A1977,"!",ADDRESS(16+(A1978-1)*J1977,2))),"")</f>
        <v/>
      </c>
      <c r="D1984" s="66"/>
      <c r="E1984" s="66"/>
      <c r="F1984" s="66"/>
      <c r="G1984" s="66"/>
      <c r="H1984" s="25" t="str">
        <f ca="1">_xlfn.IFNA(INDIRECT(_xlfn.TEXTJOIN("",TRUE,A1977,"!",ADDRESS(16+(A1978-1)*J1977,6))),"")</f>
        <v/>
      </c>
      <c r="I1984" s="25" t="str">
        <f ca="1">_xlfn.IFNA(INDIRECT(_xlfn.TEXTJOIN("",TRUE,A1977,"!",ADDRESS(16+(A1978-1)*J1977,13))),"")</f>
        <v/>
      </c>
      <c r="J1984" s="25" t="str">
        <f ca="1">_xlfn.IFNA(INDIRECT(_xlfn.TEXTJOIN("",TRUE,A1977,"!",ADDRESS(16+(A1978-1)*J1977,14))),"")</f>
        <v/>
      </c>
    </row>
    <row r="1985" spans="1:10" ht="10.5" customHeight="1" x14ac:dyDescent="0.2">
      <c r="A1985" s="65" t="str">
        <f ca="1">_xlfn.IFNA(INDIRECT(_xlfn.TEXTJOIN("",TRUE,A1977,"!",ADDRESS(17+(A1978-1)*J1977,1))),"")</f>
        <v/>
      </c>
      <c r="B1985" s="65"/>
      <c r="C1985" s="66" t="str">
        <f ca="1">_xlfn.IFNA(INDIRECT(_xlfn.TEXTJOIN("",TRUE,A1977,"!",ADDRESS(17+(A1978-1)*J1977,2))),"")</f>
        <v/>
      </c>
      <c r="D1985" s="66"/>
      <c r="E1985" s="66"/>
      <c r="F1985" s="66"/>
      <c r="G1985" s="66"/>
      <c r="H1985" s="25" t="str">
        <f ca="1">_xlfn.IFNA(INDIRECT(_xlfn.TEXTJOIN("",TRUE,A1977,"!",ADDRESS(17+(A1978-1)*J1977,6))),"")</f>
        <v/>
      </c>
      <c r="I1985" s="25" t="str">
        <f ca="1">_xlfn.IFNA(INDIRECT(_xlfn.TEXTJOIN("",TRUE,A1977,"!",ADDRESS(17+(A1978-1)*J1977,13))),"")</f>
        <v/>
      </c>
      <c r="J1985" s="25" t="str">
        <f ca="1">_xlfn.IFNA(INDIRECT(_xlfn.TEXTJOIN("",TRUE,A1977,"!",ADDRESS(17+(A1978-1)*J1977,14))),"")</f>
        <v/>
      </c>
    </row>
    <row r="1986" spans="1:10" ht="10.5" customHeight="1" x14ac:dyDescent="0.2">
      <c r="A1986" s="65" t="str">
        <f ca="1">_xlfn.IFNA(INDIRECT(_xlfn.TEXTJOIN("",TRUE,A1977,"!",ADDRESS(18+(A1978-1)*J1977,1))),"")</f>
        <v/>
      </c>
      <c r="B1986" s="65"/>
      <c r="C1986" s="66" t="str">
        <f ca="1">_xlfn.IFNA(INDIRECT(_xlfn.TEXTJOIN("",TRUE,A1977,"!",ADDRESS(18+(A1978-1)*J1977,2))),"")</f>
        <v/>
      </c>
      <c r="D1986" s="66"/>
      <c r="E1986" s="66"/>
      <c r="F1986" s="66"/>
      <c r="G1986" s="66"/>
      <c r="H1986" s="25" t="str">
        <f ca="1">_xlfn.IFNA(INDIRECT(_xlfn.TEXTJOIN("",TRUE,A1977,"!",ADDRESS(18+(A1978-1)*J1977,6))),"")</f>
        <v/>
      </c>
      <c r="I1986" s="25" t="str">
        <f ca="1">_xlfn.IFNA(INDIRECT(_xlfn.TEXTJOIN("",TRUE,A1977,"!",ADDRESS(18+(A1978-1)*J1977,13))),"")</f>
        <v/>
      </c>
      <c r="J1986" s="25" t="str">
        <f ca="1">_xlfn.IFNA(INDIRECT(_xlfn.TEXTJOIN("",TRUE,A1977,"!",ADDRESS(18+(A1978-1)*J1977,14))),"")</f>
        <v/>
      </c>
    </row>
    <row r="1987" spans="1:10" ht="10.5" customHeight="1" x14ac:dyDescent="0.2">
      <c r="A1987" s="60" t="str">
        <f ca="1">_xlfn.IFNA(INDIRECT(_xlfn.TEXTJOIN("",TRUE,A1977,"!",ADDRESS(19+(A1978-1)*J1977,1))),"")</f>
        <v/>
      </c>
      <c r="B1987" s="61"/>
      <c r="C1987" s="57" t="str">
        <f ca="1">_xlfn.IFNA(INDIRECT(_xlfn.TEXTJOIN("",TRUE,A1977,"!",ADDRESS(19+(A1978-1)*J1977,2))),"")</f>
        <v/>
      </c>
      <c r="D1987" s="58"/>
      <c r="E1987" s="58"/>
      <c r="F1987" s="58"/>
      <c r="G1987" s="59"/>
      <c r="H1987" s="25" t="str">
        <f ca="1">_xlfn.IFNA(INDIRECT(_xlfn.TEXTJOIN("",TRUE,A1977,"!",ADDRESS(19+(A1978-1)*J1977,6))),"")</f>
        <v/>
      </c>
      <c r="I1987" s="25" t="str">
        <f ca="1">_xlfn.IFNA(INDIRECT(_xlfn.TEXTJOIN("",TRUE,A1977,"!",ADDRESS(19+(A1978-1)*J1977,13))),"")</f>
        <v/>
      </c>
      <c r="J1987" s="25" t="str">
        <f ca="1">_xlfn.IFNA(INDIRECT(_xlfn.TEXTJOIN("",TRUE,A1977,"!",ADDRESS(19+(A1978-1)*J1977,14))),"")</f>
        <v/>
      </c>
    </row>
    <row r="1988" spans="1:10" ht="10.5" customHeight="1" x14ac:dyDescent="0.2">
      <c r="A1988" s="65" t="str">
        <f ca="1">_xlfn.IFNA(INDIRECT(_xlfn.TEXTJOIN("",TRUE,A1977,"!",ADDRESS(20+(A1978-1)*J1977,1))),"")</f>
        <v/>
      </c>
      <c r="B1988" s="65"/>
      <c r="C1988" s="66" t="str">
        <f ca="1">_xlfn.IFNA(INDIRECT(_xlfn.TEXTJOIN("",TRUE,A1977,"!",ADDRESS(20+(A1978-1)*J1977,2))),"")</f>
        <v/>
      </c>
      <c r="D1988" s="66"/>
      <c r="E1988" s="66"/>
      <c r="F1988" s="66"/>
      <c r="G1988" s="66"/>
      <c r="H1988" s="25" t="str">
        <f ca="1">_xlfn.IFNA(INDIRECT(_xlfn.TEXTJOIN("",TRUE,A1977,"!",ADDRESS(20+(A1978-1)*J1977,6))),"")</f>
        <v/>
      </c>
      <c r="I1988" s="25" t="str">
        <f ca="1">_xlfn.IFNA(INDIRECT(_xlfn.TEXTJOIN("",TRUE,A1977,"!",ADDRESS(20+(A1978-1)*J1977,13))),"")</f>
        <v/>
      </c>
      <c r="J1988" s="25" t="str">
        <f ca="1">_xlfn.IFNA(INDIRECT(_xlfn.TEXTJOIN("",TRUE,A1977,"!",ADDRESS(20+(A1978-1)*J1977,14))),"")</f>
        <v/>
      </c>
    </row>
    <row r="1989" spans="1:10" ht="10.5" customHeight="1" x14ac:dyDescent="0.2">
      <c r="A1989" s="71" t="str">
        <f ca="1">IF(ISNA(A1978),"","Total Credits/ Total Grade Points")</f>
        <v/>
      </c>
      <c r="B1989" s="71"/>
      <c r="C1989" s="71"/>
      <c r="D1989" s="71"/>
      <c r="E1989" s="71"/>
      <c r="F1989" s="71"/>
      <c r="G1989" s="71"/>
      <c r="H1989" s="27" t="str">
        <f ca="1">IF(ISNA(A1978),"",SUM(H1981:H1988))</f>
        <v/>
      </c>
      <c r="I1989" s="26" t="str">
        <f ca="1">IF(ISNA(A1978),"","-")</f>
        <v/>
      </c>
      <c r="J1989" s="27" t="str">
        <f ca="1">IF(ISNA(A1978),"",SUMPRODUCT(J1981:J1988,H1981:H1988))</f>
        <v/>
      </c>
    </row>
    <row r="1990" spans="1:10" ht="10.5" customHeight="1" x14ac:dyDescent="0.2">
      <c r="A1990" s="24" t="s">
        <v>133</v>
      </c>
      <c r="B1990" s="72" t="str">
        <f ca="1">IF(ISNA(A1991),"","Semester IV (Spring Semester 2023-24)")</f>
        <v/>
      </c>
      <c r="C1990" s="72"/>
      <c r="D1990" s="72"/>
      <c r="E1990" s="72"/>
      <c r="F1990" s="72"/>
      <c r="G1990" s="72"/>
      <c r="H1990" s="72"/>
      <c r="I1990" s="72"/>
      <c r="J1990" s="24">
        <f>ROWS(A1994:B2000)+9</f>
        <v>16</v>
      </c>
    </row>
    <row r="1991" spans="1:10" ht="10.5" customHeight="1" x14ac:dyDescent="0.2">
      <c r="A1991" s="24" t="e">
        <f ca="1">INDEX(SEM_IV!$A$6:$A$43,Marksheets!J1991)</f>
        <v>#N/A</v>
      </c>
      <c r="B1991" s="63"/>
      <c r="C1991" s="63"/>
      <c r="D1991" s="63"/>
      <c r="E1991" s="63"/>
      <c r="F1991" s="63"/>
      <c r="G1991" s="63"/>
      <c r="H1991" s="63"/>
      <c r="I1991" s="63"/>
      <c r="J1991" s="24" t="e">
        <f ca="1">MATCH(H1941,SEM_IV!$B$6:$B$43,0)</f>
        <v>#N/A</v>
      </c>
    </row>
    <row r="1992" spans="1:10" ht="10.5" customHeight="1" x14ac:dyDescent="0.2">
      <c r="A1992" s="64" t="str">
        <f ca="1">IF(ISNA(A1991),"","Subject Code")</f>
        <v/>
      </c>
      <c r="B1992" s="64"/>
      <c r="C1992" s="64" t="str">
        <f ca="1">IF(ISNA(A1991),"","Subject Name")</f>
        <v/>
      </c>
      <c r="D1992" s="64"/>
      <c r="E1992" s="64"/>
      <c r="F1992" s="64"/>
      <c r="G1992" s="64"/>
      <c r="H1992" s="64" t="str">
        <f ca="1">IF(ISNA(A1991),"","Credits")</f>
        <v/>
      </c>
      <c r="I1992" s="64" t="str">
        <f ca="1">IF(ISNA(A1991),"","Grade")</f>
        <v/>
      </c>
      <c r="J1992" s="64" t="str">
        <f ca="1">IF(ISNA(A1991),"","Grade Points")</f>
        <v/>
      </c>
    </row>
    <row r="1993" spans="1:10" ht="14.5" customHeight="1" x14ac:dyDescent="0.2">
      <c r="A1993" s="64"/>
      <c r="B1993" s="64"/>
      <c r="C1993" s="64"/>
      <c r="D1993" s="64"/>
      <c r="E1993" s="64"/>
      <c r="F1993" s="64"/>
      <c r="G1993" s="64"/>
      <c r="H1993" s="64"/>
      <c r="I1993" s="64"/>
      <c r="J1993" s="64"/>
    </row>
    <row r="1994" spans="1:10" ht="10.5" customHeight="1" x14ac:dyDescent="0.2">
      <c r="A1994" s="65" t="str">
        <f ca="1">_xlfn.IFNA(INDIRECT(_xlfn.TEXTJOIN("",TRUE,A1990,"!",ADDRESS(13+(A1991-1)*J1990,1))),"")</f>
        <v/>
      </c>
      <c r="B1994" s="65"/>
      <c r="C1994" s="66" t="str">
        <f ca="1">_xlfn.IFNA(INDIRECT(_xlfn.TEXTJOIN("",TRUE,A1990,"!",ADDRESS(13+(A1991-1)*J1990,2))),"")</f>
        <v/>
      </c>
      <c r="D1994" s="66"/>
      <c r="E1994" s="66"/>
      <c r="F1994" s="66"/>
      <c r="G1994" s="66"/>
      <c r="H1994" s="25" t="str">
        <f ca="1">_xlfn.IFNA(INDIRECT(_xlfn.TEXTJOIN("",TRUE,A1990,"!",ADDRESS(13+(A1991-1)*J1990,6))),"")</f>
        <v/>
      </c>
      <c r="I1994" s="25" t="str">
        <f ca="1">_xlfn.IFNA(INDIRECT(_xlfn.TEXTJOIN("",TRUE,A1990,"!",ADDRESS(13+(A1991-1)*J1990,13))),"")</f>
        <v/>
      </c>
      <c r="J1994" s="25" t="str">
        <f ca="1">_xlfn.IFNA(INDIRECT(_xlfn.TEXTJOIN("",TRUE,A1990,"!",ADDRESS(13+(A1991-1)*J1990,14))),"")</f>
        <v/>
      </c>
    </row>
    <row r="1995" spans="1:10" ht="10.5" customHeight="1" x14ac:dyDescent="0.2">
      <c r="A1995" s="65" t="str">
        <f ca="1">_xlfn.IFNA(INDIRECT(_xlfn.TEXTJOIN("",TRUE,A1990,"!",ADDRESS(14+(A1991-1)*J1990,1))),"")</f>
        <v/>
      </c>
      <c r="B1995" s="65"/>
      <c r="C1995" s="66" t="str">
        <f ca="1">_xlfn.IFNA(INDIRECT(_xlfn.TEXTJOIN("",TRUE,A1990,"!",ADDRESS(14+(A1991-1)*J1990,2))),"")</f>
        <v/>
      </c>
      <c r="D1995" s="66"/>
      <c r="E1995" s="66"/>
      <c r="F1995" s="66"/>
      <c r="G1995" s="66"/>
      <c r="H1995" s="25" t="str">
        <f ca="1">_xlfn.IFNA(INDIRECT(_xlfn.TEXTJOIN("",TRUE,A1990,"!",ADDRESS(14+(A1991-1)*J1990,6))),"")</f>
        <v/>
      </c>
      <c r="I1995" s="25" t="str">
        <f ca="1">_xlfn.IFNA(INDIRECT(_xlfn.TEXTJOIN("",TRUE,A1990,"!",ADDRESS(14+(A1991-1)*J1990,13))),"")</f>
        <v/>
      </c>
      <c r="J1995" s="25" t="str">
        <f ca="1">_xlfn.IFNA(INDIRECT(_xlfn.TEXTJOIN("",TRUE,A1990,"!",ADDRESS(14+(A1991-1)*J1990,14))),"")</f>
        <v/>
      </c>
    </row>
    <row r="1996" spans="1:10" ht="10.5" customHeight="1" x14ac:dyDescent="0.2">
      <c r="A1996" s="65" t="str">
        <f ca="1">_xlfn.IFNA(INDIRECT(_xlfn.TEXTJOIN("",TRUE,A1990,"!",ADDRESS(15+(A1991-1)*J1990,1))),"")</f>
        <v/>
      </c>
      <c r="B1996" s="65"/>
      <c r="C1996" s="66" t="str">
        <f ca="1">_xlfn.IFNA(INDIRECT(_xlfn.TEXTJOIN("",TRUE,A1990,"!",ADDRESS(15+(A1991-1)*J1990,2))),"")</f>
        <v/>
      </c>
      <c r="D1996" s="66"/>
      <c r="E1996" s="66"/>
      <c r="F1996" s="66"/>
      <c r="G1996" s="66"/>
      <c r="H1996" s="25" t="str">
        <f ca="1">_xlfn.IFNA(INDIRECT(_xlfn.TEXTJOIN("",TRUE,A1990,"!",ADDRESS(15+(A1991-1)*J1990,6))),"")</f>
        <v/>
      </c>
      <c r="I1996" s="25" t="str">
        <f ca="1">_xlfn.IFNA(INDIRECT(_xlfn.TEXTJOIN("",TRUE,A1990,"!",ADDRESS(15+(A1991-1)*J1990,13))),"")</f>
        <v/>
      </c>
      <c r="J1996" s="25" t="str">
        <f ca="1">_xlfn.IFNA(INDIRECT(_xlfn.TEXTJOIN("",TRUE,A1990,"!",ADDRESS(15+(A1991-1)*J1990,14))),"")</f>
        <v/>
      </c>
    </row>
    <row r="1997" spans="1:10" ht="10.5" customHeight="1" x14ac:dyDescent="0.2">
      <c r="A1997" s="65" t="str">
        <f ca="1">_xlfn.IFNA(INDIRECT(_xlfn.TEXTJOIN("",TRUE,A1990,"!",ADDRESS(16+(A1991-1)*J1990,1))),"")</f>
        <v/>
      </c>
      <c r="B1997" s="65"/>
      <c r="C1997" s="66" t="str">
        <f ca="1">_xlfn.IFNA(INDIRECT(_xlfn.TEXTJOIN("",TRUE,A1990,"!",ADDRESS(16+(A1991-1)*J1990,2))),"")</f>
        <v/>
      </c>
      <c r="D1997" s="66"/>
      <c r="E1997" s="66"/>
      <c r="F1997" s="66"/>
      <c r="G1997" s="66"/>
      <c r="H1997" s="25" t="str">
        <f ca="1">_xlfn.IFNA(INDIRECT(_xlfn.TEXTJOIN("",TRUE,A1990,"!",ADDRESS(16+(A1991-1)*J1990,6))),"")</f>
        <v/>
      </c>
      <c r="I1997" s="25" t="str">
        <f ca="1">_xlfn.IFNA(INDIRECT(_xlfn.TEXTJOIN("",TRUE,A1990,"!",ADDRESS(16+(A1991-1)*J1990,13))),"")</f>
        <v/>
      </c>
      <c r="J1997" s="25" t="str">
        <f ca="1">_xlfn.IFNA(INDIRECT(_xlfn.TEXTJOIN("",TRUE,A1990,"!",ADDRESS(16+(A1991-1)*J1990,14))),"")</f>
        <v/>
      </c>
    </row>
    <row r="1998" spans="1:10" ht="10.5" customHeight="1" x14ac:dyDescent="0.2">
      <c r="A1998" s="65" t="str">
        <f ca="1">_xlfn.IFNA(INDIRECT(_xlfn.TEXTJOIN("",TRUE,A1990,"!",ADDRESS(17+(A1991-1)*J1990,1))),"")</f>
        <v/>
      </c>
      <c r="B1998" s="65"/>
      <c r="C1998" s="66" t="str">
        <f ca="1">_xlfn.IFNA(INDIRECT(_xlfn.TEXTJOIN("",TRUE,A1990,"!",ADDRESS(17+(A1991-1)*J1990,2))),"")</f>
        <v/>
      </c>
      <c r="D1998" s="66"/>
      <c r="E1998" s="66"/>
      <c r="F1998" s="66"/>
      <c r="G1998" s="66"/>
      <c r="H1998" s="25" t="str">
        <f ca="1">_xlfn.IFNA(INDIRECT(_xlfn.TEXTJOIN("",TRUE,A1990,"!",ADDRESS(17+(A1991-1)*J1990,6))),"")</f>
        <v/>
      </c>
      <c r="I1998" s="25" t="str">
        <f ca="1">_xlfn.IFNA(INDIRECT(_xlfn.TEXTJOIN("",TRUE,A1990,"!",ADDRESS(17+(A1991-1)*J1990,13))),"")</f>
        <v/>
      </c>
      <c r="J1998" s="25" t="str">
        <f ca="1">_xlfn.IFNA(INDIRECT(_xlfn.TEXTJOIN("",TRUE,A1990,"!",ADDRESS(17+(A1991-1)*J1990,14))),"")</f>
        <v/>
      </c>
    </row>
    <row r="1999" spans="1:10" ht="10.5" customHeight="1" x14ac:dyDescent="0.2">
      <c r="A1999" s="65" t="str">
        <f ca="1">_xlfn.IFNA(INDIRECT(_xlfn.TEXTJOIN("",TRUE,A1990,"!",ADDRESS(18+(A1991-1)*J1990,1))),"")</f>
        <v/>
      </c>
      <c r="B1999" s="65"/>
      <c r="C1999" s="66" t="str">
        <f ca="1">_xlfn.IFNA(INDIRECT(_xlfn.TEXTJOIN("",TRUE,A1990,"!",ADDRESS(18+(A1991-1)*J1990,2))),"")</f>
        <v/>
      </c>
      <c r="D1999" s="66"/>
      <c r="E1999" s="66"/>
      <c r="F1999" s="66"/>
      <c r="G1999" s="66"/>
      <c r="H1999" s="25" t="str">
        <f ca="1">_xlfn.IFNA(INDIRECT(_xlfn.TEXTJOIN("",TRUE,A1990,"!",ADDRESS(18+(A1991-1)*J1990,6))),"")</f>
        <v/>
      </c>
      <c r="I1999" s="25" t="str">
        <f ca="1">_xlfn.IFNA(INDIRECT(_xlfn.TEXTJOIN("",TRUE,A1990,"!",ADDRESS(18+(A1991-1)*J1990,13))),"")</f>
        <v/>
      </c>
      <c r="J1999" s="25" t="str">
        <f ca="1">_xlfn.IFNA(INDIRECT(_xlfn.TEXTJOIN("",TRUE,A1990,"!",ADDRESS(18+(A1991-1)*J1990,14))),"")</f>
        <v/>
      </c>
    </row>
    <row r="2000" spans="1:10" ht="10.5" customHeight="1" x14ac:dyDescent="0.2">
      <c r="A2000" s="60" t="str">
        <f ca="1">_xlfn.IFNA(INDIRECT(_xlfn.TEXTJOIN("",TRUE,A1990,"!",ADDRESS(19+(A1991-1)*J1990,1))),"")</f>
        <v/>
      </c>
      <c r="B2000" s="61"/>
      <c r="C2000" s="57" t="str">
        <f ca="1">_xlfn.IFNA(INDIRECT(_xlfn.TEXTJOIN("",TRUE,A1990,"!",ADDRESS(19+(A1991-1)*J1990,2))),"")</f>
        <v/>
      </c>
      <c r="D2000" s="58"/>
      <c r="E2000" s="58"/>
      <c r="F2000" s="58"/>
      <c r="G2000" s="59"/>
      <c r="H2000" s="25" t="str">
        <f ca="1">_xlfn.IFNA(INDIRECT(_xlfn.TEXTJOIN("",TRUE,A1990,"!",ADDRESS(19+(A1991-1)*J1990,6))),"")</f>
        <v/>
      </c>
      <c r="I2000" s="25" t="str">
        <f ca="1">_xlfn.IFNA(INDIRECT(_xlfn.TEXTJOIN("",TRUE,A1990,"!",ADDRESS(19+(A1991-1)*J1990,13))),"")</f>
        <v/>
      </c>
      <c r="J2000" s="25" t="str">
        <f ca="1">_xlfn.IFNA(INDIRECT(_xlfn.TEXTJOIN("",TRUE,A1990,"!",ADDRESS(19+(A1991-1)*J1990,14))),"")</f>
        <v/>
      </c>
    </row>
    <row r="2001" spans="1:10" ht="10.5" customHeight="1" x14ac:dyDescent="0.2">
      <c r="A2001" s="71" t="str">
        <f ca="1">IF(ISNA(A1991),"","Total Credits/ Total Grade Points")</f>
        <v/>
      </c>
      <c r="B2001" s="71"/>
      <c r="C2001" s="71"/>
      <c r="D2001" s="71"/>
      <c r="E2001" s="71"/>
      <c r="F2001" s="71"/>
      <c r="G2001" s="71"/>
      <c r="H2001" s="27" t="str">
        <f ca="1">IF(ISNA(A1991),"",SUM(H1993:H2000))</f>
        <v/>
      </c>
      <c r="I2001" s="26" t="str">
        <f ca="1">IF(ISNA(A1991),"","-")</f>
        <v/>
      </c>
      <c r="J2001" s="27" t="str">
        <f ca="1">IF(ISNA(A1991),"",SUMPRODUCT(J1993:J2000,H1993:H2000))</f>
        <v/>
      </c>
    </row>
    <row r="2002" spans="1:10" ht="10.5" customHeight="1" x14ac:dyDescent="0.2">
      <c r="A2002" s="75" t="s">
        <v>137</v>
      </c>
      <c r="B2002" s="75"/>
      <c r="C2002" s="75"/>
      <c r="D2002" s="75"/>
      <c r="E2002" s="75"/>
      <c r="F2002" s="76" t="s">
        <v>138</v>
      </c>
      <c r="G2002" s="76"/>
      <c r="H2002" s="76"/>
      <c r="I2002" s="76"/>
      <c r="J2002" s="76"/>
    </row>
    <row r="2003" spans="1:10" ht="10.5" customHeight="1" x14ac:dyDescent="0.2">
      <c r="A2003" s="43" t="s">
        <v>139</v>
      </c>
      <c r="B2003" s="43"/>
      <c r="C2003" s="43"/>
      <c r="D2003" s="43"/>
      <c r="E2003" s="43"/>
      <c r="F2003" s="43"/>
      <c r="G2003" s="43"/>
      <c r="H2003" s="43"/>
      <c r="I2003" s="43"/>
      <c r="J2003" s="43"/>
    </row>
    <row r="2004" spans="1:10" ht="10.5" customHeight="1" x14ac:dyDescent="0.2">
      <c r="A2004" s="10"/>
      <c r="B2004" s="26"/>
      <c r="C2004" s="26" t="s">
        <v>140</v>
      </c>
      <c r="D2004" s="26" t="s">
        <v>141</v>
      </c>
      <c r="E2004" s="26" t="s">
        <v>142</v>
      </c>
      <c r="F2004" s="26" t="s">
        <v>143</v>
      </c>
      <c r="G2004" s="26" t="s">
        <v>144</v>
      </c>
      <c r="H2004" s="79" t="s">
        <v>145</v>
      </c>
      <c r="I2004" s="79"/>
      <c r="J2004" s="30"/>
    </row>
    <row r="2005" spans="1:10" ht="10.5" customHeight="1" x14ac:dyDescent="0.2">
      <c r="A2005" s="10"/>
      <c r="B2005" s="80" t="s">
        <v>146</v>
      </c>
      <c r="C2005" s="73" t="e">
        <f ca="1">J1961/H1961</f>
        <v>#N/A</v>
      </c>
      <c r="D2005" s="73" t="e">
        <f ca="1">J1976/H1976</f>
        <v>#VALUE!</v>
      </c>
      <c r="E2005" s="73" t="str">
        <f ca="1">IFERROR(J1989/H1989,"")</f>
        <v/>
      </c>
      <c r="F2005" s="73" t="str">
        <f ca="1">IFERROR(J2001/H2001,"")</f>
        <v/>
      </c>
      <c r="G2005" s="82" t="e">
        <f ca="1">F2007</f>
        <v>#N/A</v>
      </c>
      <c r="H2005" s="83" t="e">
        <f ca="1">IF(TC_IV!N453&lt;96,_xlfn.TEXTJOIN(" ",TRUE,"CARRY OVER",TC_I!V671,TC_II!V555,TC_III!V480,TC_IV!V452),IF(G2005&gt;=8,"First Division with Distinction",IF(G2005&gt;=6.5,"First Division",IF(G2005&gt;=5,"Second Division",IF(G2005&gt;=4,"Third Division","Fail")))))</f>
        <v>#N/A</v>
      </c>
      <c r="I2005" s="83"/>
      <c r="J2005" s="30"/>
    </row>
    <row r="2006" spans="1:10" ht="10.5" customHeight="1" x14ac:dyDescent="0.2">
      <c r="B2006" s="81"/>
      <c r="C2006" s="74"/>
      <c r="D2006" s="74"/>
      <c r="E2006" s="74"/>
      <c r="F2006" s="74"/>
      <c r="G2006" s="82"/>
      <c r="H2006" s="83"/>
      <c r="I2006" s="83"/>
    </row>
    <row r="2007" spans="1:10" ht="10.5" customHeight="1" x14ac:dyDescent="0.2">
      <c r="B2007" s="80" t="s">
        <v>48</v>
      </c>
      <c r="C2007" s="73" t="e">
        <f ca="1">J1961/H1961</f>
        <v>#N/A</v>
      </c>
      <c r="D2007" s="73" t="e">
        <f ca="1">SUM(J1976,J1961)/SUM(H1976,H1961)</f>
        <v>#N/A</v>
      </c>
      <c r="E2007" s="73" t="e">
        <f ca="1">SUM(J1989,J1976,J1961)/SUM(H1989,H1976,H1961)</f>
        <v>#N/A</v>
      </c>
      <c r="F2007" s="73" t="e">
        <f ca="1">SUM(J2001,J1989,J1976,J1961)/SUM(H1961,H1976,H1989,H2001)</f>
        <v>#N/A</v>
      </c>
      <c r="G2007" s="82"/>
      <c r="H2007" s="83"/>
      <c r="I2007" s="83"/>
    </row>
    <row r="2008" spans="1:10" ht="10.5" customHeight="1" x14ac:dyDescent="0.2">
      <c r="B2008" s="81"/>
      <c r="C2008" s="74"/>
      <c r="D2008" s="74"/>
      <c r="E2008" s="74"/>
      <c r="F2008" s="74"/>
      <c r="G2008" s="82"/>
      <c r="H2008" s="83"/>
      <c r="I2008" s="83"/>
    </row>
    <row r="2010" spans="1:10" ht="10.5" customHeight="1" x14ac:dyDescent="0.2">
      <c r="A2010" s="56" t="s">
        <v>24</v>
      </c>
      <c r="B2010" s="56"/>
      <c r="C2010" s="56" t="str">
        <f ca="1">INDIRECT(_xlfn.TEXTJOIN("",TRUE,A2012,"!",ADDRESS(9+(A2013-1)*J2012,2)))</f>
        <v/>
      </c>
      <c r="D2010" s="56"/>
      <c r="E2010" s="56"/>
      <c r="F2010" s="56" t="s">
        <v>135</v>
      </c>
      <c r="G2010" s="56"/>
      <c r="H2010" s="62" t="str">
        <f ca="1">INDIRECT(_xlfn.TEXTJOIN("",TRUE,A2012,"!",ADDRESS(9+(A2013-1)*J2012,9)))</f>
        <v/>
      </c>
      <c r="I2010" s="56"/>
      <c r="J2010" s="56"/>
    </row>
    <row r="2011" spans="1:10" ht="10.5" customHeight="1" x14ac:dyDescent="0.2">
      <c r="A2011" s="56" t="s">
        <v>25</v>
      </c>
      <c r="B2011" s="56"/>
      <c r="C2011" s="56" t="str">
        <f ca="1">INDIRECT(_xlfn.TEXTJOIN("",TRUE,A2012,"!",ADDRESS(9+(A2013-1)*J2012,5)))</f>
        <v/>
      </c>
      <c r="D2011" s="56"/>
      <c r="E2011" s="56"/>
      <c r="F2011" s="47" t="s">
        <v>136</v>
      </c>
      <c r="G2011" s="47"/>
      <c r="H2011" s="62" t="str">
        <f ca="1">INDIRECT(_xlfn.TEXTJOIN("",TRUE,A2012,"!",ADDRESS(9+(A2013-1)*J2012,13)))</f>
        <v/>
      </c>
      <c r="I2011" s="56"/>
      <c r="J2011" s="56"/>
    </row>
    <row r="2012" spans="1:10" ht="10.5" customHeight="1" x14ac:dyDescent="0.2">
      <c r="A2012" s="24" t="s">
        <v>53</v>
      </c>
      <c r="B2012" s="43" t="s">
        <v>148</v>
      </c>
      <c r="C2012" s="43"/>
      <c r="D2012" s="43"/>
      <c r="E2012" s="43"/>
      <c r="F2012" s="43"/>
      <c r="G2012" s="43"/>
      <c r="H2012" s="43"/>
      <c r="I2012" s="43"/>
      <c r="J2012" s="24">
        <f>ROWS(A2016:B2029)+9</f>
        <v>23</v>
      </c>
    </row>
    <row r="2013" spans="1:10" ht="10.5" customHeight="1" x14ac:dyDescent="0.2">
      <c r="A2013" s="24">
        <f>A1944+1</f>
        <v>30</v>
      </c>
      <c r="B2013" s="63"/>
      <c r="C2013" s="63"/>
      <c r="D2013" s="63"/>
      <c r="E2013" s="63"/>
      <c r="F2013" s="63"/>
      <c r="G2013" s="63"/>
      <c r="H2013" s="63"/>
      <c r="I2013" s="63"/>
      <c r="J2013" s="29"/>
    </row>
    <row r="2014" spans="1:10" ht="10.5" customHeight="1" x14ac:dyDescent="0.2">
      <c r="A2014" s="64" t="s">
        <v>28</v>
      </c>
      <c r="B2014" s="64"/>
      <c r="C2014" s="64" t="s">
        <v>29</v>
      </c>
      <c r="D2014" s="64"/>
      <c r="E2014" s="64"/>
      <c r="F2014" s="64"/>
      <c r="G2014" s="64"/>
      <c r="H2014" s="64" t="s">
        <v>30</v>
      </c>
      <c r="I2014" s="64" t="s">
        <v>9</v>
      </c>
      <c r="J2014" s="64" t="s">
        <v>34</v>
      </c>
    </row>
    <row r="2015" spans="1:10" ht="14.5" customHeight="1" x14ac:dyDescent="0.2">
      <c r="A2015" s="64"/>
      <c r="B2015" s="64"/>
      <c r="C2015" s="64"/>
      <c r="D2015" s="64"/>
      <c r="E2015" s="64"/>
      <c r="F2015" s="64"/>
      <c r="G2015" s="64"/>
      <c r="H2015" s="64"/>
      <c r="I2015" s="64"/>
      <c r="J2015" s="64"/>
    </row>
    <row r="2016" spans="1:10" ht="10.5" customHeight="1" x14ac:dyDescent="0.2">
      <c r="A2016" s="65" t="str">
        <f ca="1">INDIRECT(_xlfn.TEXTJOIN("",TRUE,A2012,"!",ADDRESS(13+(A2013-1)*J2012,1)))</f>
        <v/>
      </c>
      <c r="B2016" s="65"/>
      <c r="C2016" s="66" t="str">
        <f ca="1">INDIRECT(_xlfn.TEXTJOIN("",TRUE,A2012,"!",ADDRESS(13+(A2013-1)*J2012,2)))</f>
        <v/>
      </c>
      <c r="D2016" s="66"/>
      <c r="E2016" s="66"/>
      <c r="F2016" s="66"/>
      <c r="G2016" s="66"/>
      <c r="H2016" s="25" t="str">
        <f ca="1">INDIRECT(_xlfn.TEXTJOIN("",TRUE,A2012,"!",ADDRESS(13+(A2013-1)*J2012,6)))</f>
        <v/>
      </c>
      <c r="I2016" s="25" t="str">
        <f ca="1">INDIRECT(_xlfn.TEXTJOIN("",TRUE,A2012,"!",ADDRESS(13+(A2013-1)*J2012,13)))</f>
        <v/>
      </c>
      <c r="J2016" s="25" t="e">
        <f ca="1">INDIRECT(_xlfn.TEXTJOIN("",TRUE,A2012,"!",ADDRESS(13+(A2013-1)*J2012,14)))</f>
        <v>#N/A</v>
      </c>
    </row>
    <row r="2017" spans="1:10" ht="10.5" customHeight="1" x14ac:dyDescent="0.2">
      <c r="A2017" s="65" t="str">
        <f ca="1">INDIRECT(_xlfn.TEXTJOIN("",TRUE,A2012,"!",ADDRESS(14+(A2013-1)*J2012,1)))</f>
        <v/>
      </c>
      <c r="B2017" s="65"/>
      <c r="C2017" s="66" t="str">
        <f ca="1">INDIRECT(_xlfn.TEXTJOIN("",TRUE,A2012,"!",ADDRESS(14+(A2013-1)*J2012,2)))</f>
        <v/>
      </c>
      <c r="D2017" s="66"/>
      <c r="E2017" s="66"/>
      <c r="F2017" s="66"/>
      <c r="G2017" s="66"/>
      <c r="H2017" s="25" t="str">
        <f ca="1">INDIRECT(_xlfn.TEXTJOIN("",TRUE,A2012,"!",ADDRESS(14+(A2013-1)*J2012,6)))</f>
        <v/>
      </c>
      <c r="I2017" s="25" t="str">
        <f ca="1">INDIRECT(_xlfn.TEXTJOIN("",TRUE,A2012,"!",ADDRESS(14+(A2013-1)*J2012,13)))</f>
        <v/>
      </c>
      <c r="J2017" s="25" t="e">
        <f ca="1">INDIRECT(_xlfn.TEXTJOIN("",TRUE,A2012,"!",ADDRESS(14+(A2013-1)*J2012,14)))</f>
        <v>#N/A</v>
      </c>
    </row>
    <row r="2018" spans="1:10" ht="10.5" customHeight="1" x14ac:dyDescent="0.2">
      <c r="A2018" s="65" t="str">
        <f ca="1">INDIRECT(_xlfn.TEXTJOIN("",TRUE,A2012,"!",ADDRESS(15+(A2013-1)*J2012,1)))</f>
        <v/>
      </c>
      <c r="B2018" s="65"/>
      <c r="C2018" s="66" t="str">
        <f ca="1">INDIRECT(_xlfn.TEXTJOIN("",TRUE,A2012,"!",ADDRESS(15+(A2013-1)*J2012,2)))</f>
        <v/>
      </c>
      <c r="D2018" s="66"/>
      <c r="E2018" s="66"/>
      <c r="F2018" s="66"/>
      <c r="G2018" s="66"/>
      <c r="H2018" s="25" t="str">
        <f ca="1">INDIRECT(_xlfn.TEXTJOIN("",TRUE,A2012,"!",ADDRESS(15+(A2013-1)*J2012,6)))</f>
        <v/>
      </c>
      <c r="I2018" s="25" t="str">
        <f ca="1">INDIRECT(_xlfn.TEXTJOIN("",TRUE,A2012,"!",ADDRESS(15+(A2013-1)*J2012,13)))</f>
        <v/>
      </c>
      <c r="J2018" s="25" t="e">
        <f ca="1">INDIRECT(_xlfn.TEXTJOIN("",TRUE,A2012,"!",ADDRESS(15+(A2013-1)*J2012,14)))</f>
        <v>#N/A</v>
      </c>
    </row>
    <row r="2019" spans="1:10" ht="10.5" customHeight="1" x14ac:dyDescent="0.2">
      <c r="A2019" s="65" t="str">
        <f ca="1">INDIRECT(_xlfn.TEXTJOIN("",TRUE,A2012,"!",ADDRESS(16+(A2013-1)*J2012,1)))</f>
        <v/>
      </c>
      <c r="B2019" s="65"/>
      <c r="C2019" s="66" t="str">
        <f ca="1">INDIRECT(_xlfn.TEXTJOIN("",TRUE,A2012,"!",ADDRESS(16+(A2013-1)*J2012,2)))</f>
        <v/>
      </c>
      <c r="D2019" s="66"/>
      <c r="E2019" s="66"/>
      <c r="F2019" s="66"/>
      <c r="G2019" s="66"/>
      <c r="H2019" s="25" t="str">
        <f ca="1">INDIRECT(_xlfn.TEXTJOIN("",TRUE,A2012,"!",ADDRESS(16+(A2013-1)*J2012,6)))</f>
        <v/>
      </c>
      <c r="I2019" s="25" t="str">
        <f ca="1">INDIRECT(_xlfn.TEXTJOIN("",TRUE,A2012,"!",ADDRESS(16+(A2013-1)*J2012,13)))</f>
        <v/>
      </c>
      <c r="J2019" s="25" t="e">
        <f ca="1">INDIRECT(_xlfn.TEXTJOIN("",TRUE,A2012,"!",ADDRESS(16+(A2013-1)*J2012,14)))</f>
        <v>#N/A</v>
      </c>
    </row>
    <row r="2020" spans="1:10" ht="10.5" customHeight="1" x14ac:dyDescent="0.2">
      <c r="A2020" s="65" t="str">
        <f ca="1">INDIRECT(_xlfn.TEXTJOIN("",TRUE,A2012,"!",ADDRESS(17+(A2013-1)*J2012,1)))</f>
        <v/>
      </c>
      <c r="B2020" s="65"/>
      <c r="C2020" s="66" t="str">
        <f ca="1">INDIRECT(_xlfn.TEXTJOIN("",TRUE,A2012,"!",ADDRESS(17+(A2013-1)*J2012,2)))</f>
        <v/>
      </c>
      <c r="D2020" s="66"/>
      <c r="E2020" s="66"/>
      <c r="F2020" s="66"/>
      <c r="G2020" s="66"/>
      <c r="H2020" s="25" t="str">
        <f ca="1">INDIRECT(_xlfn.TEXTJOIN("",TRUE,A2012,"!",ADDRESS(17+(A2013-1)*J2012,6)))</f>
        <v/>
      </c>
      <c r="I2020" s="25" t="str">
        <f ca="1">INDIRECT(_xlfn.TEXTJOIN("",TRUE,A2012,"!",ADDRESS(17+(A2013-1)*J2012,13)))</f>
        <v/>
      </c>
      <c r="J2020" s="25" t="e">
        <f ca="1">INDIRECT(_xlfn.TEXTJOIN("",TRUE,A2012,"!",ADDRESS(17+(A2013-1)*J2012,14)))</f>
        <v>#N/A</v>
      </c>
    </row>
    <row r="2021" spans="1:10" ht="10.5" customHeight="1" x14ac:dyDescent="0.2">
      <c r="A2021" s="65" t="str">
        <f ca="1">INDIRECT(_xlfn.TEXTJOIN("",TRUE,A2012,"!",ADDRESS(18+(A2013-1)*J2012,1)))</f>
        <v/>
      </c>
      <c r="B2021" s="65"/>
      <c r="C2021" s="66" t="str">
        <f ca="1">INDIRECT(_xlfn.TEXTJOIN("",TRUE,A2012,"!",ADDRESS(18+(A2013-1)*J2012,2)))</f>
        <v/>
      </c>
      <c r="D2021" s="66"/>
      <c r="E2021" s="66"/>
      <c r="F2021" s="66"/>
      <c r="G2021" s="66"/>
      <c r="H2021" s="25" t="str">
        <f ca="1">INDIRECT(_xlfn.TEXTJOIN("",TRUE,A2012,"!",ADDRESS(18+(A2013-1)*J2012,6)))</f>
        <v/>
      </c>
      <c r="I2021" s="25" t="str">
        <f ca="1">INDIRECT(_xlfn.TEXTJOIN("",TRUE,A2012,"!",ADDRESS(18+(A2013-1)*J2012,13)))</f>
        <v/>
      </c>
      <c r="J2021" s="25" t="e">
        <f ca="1">INDIRECT(_xlfn.TEXTJOIN("",TRUE,A2012,"!",ADDRESS(18+(A2013-1)*J2012,14)))</f>
        <v>#N/A</v>
      </c>
    </row>
    <row r="2022" spans="1:10" ht="10.5" customHeight="1" x14ac:dyDescent="0.2">
      <c r="A2022" s="60" t="str">
        <f ca="1">INDIRECT(_xlfn.TEXTJOIN("",TRUE,A2012,"!",ADDRESS(19+(A2013-1)*J2012,1)))</f>
        <v/>
      </c>
      <c r="B2022" s="61"/>
      <c r="C2022" s="57" t="str">
        <f ca="1">INDIRECT(_xlfn.TEXTJOIN("",TRUE,A2012,"!",ADDRESS(19+(A2013-1)*J2012,2)))</f>
        <v/>
      </c>
      <c r="D2022" s="58"/>
      <c r="E2022" s="58"/>
      <c r="F2022" s="58"/>
      <c r="G2022" s="59"/>
      <c r="H2022" s="25" t="str">
        <f ca="1">INDIRECT(_xlfn.TEXTJOIN("",TRUE,A2012,"!",ADDRESS(19+(A2013-1)*J2012,6)))</f>
        <v/>
      </c>
      <c r="I2022" s="25" t="str">
        <f ca="1">INDIRECT(_xlfn.TEXTJOIN("",TRUE,A2012,"!",ADDRESS(19+(A2013-1)*J2012,13)))</f>
        <v/>
      </c>
      <c r="J2022" s="25" t="e">
        <f ca="1">INDIRECT(_xlfn.TEXTJOIN("",TRUE,A2012,"!",ADDRESS(19+(A2013-1)*J2012,14)))</f>
        <v>#N/A</v>
      </c>
    </row>
    <row r="2023" spans="1:10" ht="10.5" customHeight="1" x14ac:dyDescent="0.2">
      <c r="A2023" s="65" t="str">
        <f ca="1">INDIRECT(_xlfn.TEXTJOIN("",TRUE,A2012,"!",ADDRESS(20+(A2013-1)*J2012,1)))</f>
        <v/>
      </c>
      <c r="B2023" s="65"/>
      <c r="C2023" s="66" t="str">
        <f ca="1">INDIRECT(_xlfn.TEXTJOIN("",TRUE,A2012,"!",ADDRESS(20+(A2013-1)*J2012,2)))</f>
        <v/>
      </c>
      <c r="D2023" s="66"/>
      <c r="E2023" s="66"/>
      <c r="F2023" s="66"/>
      <c r="G2023" s="66"/>
      <c r="H2023" s="25" t="str">
        <f ca="1">INDIRECT(_xlfn.TEXTJOIN("",TRUE,A2012,"!",ADDRESS(20+(A2013-1)*J2012,6)))</f>
        <v/>
      </c>
      <c r="I2023" s="25" t="str">
        <f ca="1">INDIRECT(_xlfn.TEXTJOIN("",TRUE,A2012,"!",ADDRESS(20+(A2013-1)*J2012,13)))</f>
        <v/>
      </c>
      <c r="J2023" s="25" t="e">
        <f ca="1">INDIRECT(_xlfn.TEXTJOIN("",TRUE,A2012,"!",ADDRESS(20+(A2013-1)*J2012,14)))</f>
        <v>#N/A</v>
      </c>
    </row>
    <row r="2024" spans="1:10" ht="10.5" customHeight="1" x14ac:dyDescent="0.2">
      <c r="A2024" s="65" t="str">
        <f ca="1">INDIRECT(_xlfn.TEXTJOIN("",TRUE,A2012,"!",ADDRESS(21+(A2013-1)*J2012,1)))</f>
        <v/>
      </c>
      <c r="B2024" s="65"/>
      <c r="C2024" s="66" t="str">
        <f ca="1">INDIRECT(_xlfn.TEXTJOIN("",TRUE,A2012,"!",ADDRESS(21+(A2013-1)*J2012,2)))</f>
        <v/>
      </c>
      <c r="D2024" s="66"/>
      <c r="E2024" s="66"/>
      <c r="F2024" s="66"/>
      <c r="G2024" s="66"/>
      <c r="H2024" s="25" t="str">
        <f ca="1">INDIRECT(_xlfn.TEXTJOIN("",TRUE,A2012,"!",ADDRESS(21+(A2013-1)*J2012,6)))</f>
        <v/>
      </c>
      <c r="I2024" s="25" t="str">
        <f ca="1">INDIRECT(_xlfn.TEXTJOIN("",TRUE,A2012,"!",ADDRESS(21+(A2013-1)*J2012,13)))</f>
        <v/>
      </c>
      <c r="J2024" s="25" t="e">
        <f ca="1">INDIRECT(_xlfn.TEXTJOIN("",TRUE,A2012,"!",ADDRESS(21+(A2013-1)*J2012,14)))</f>
        <v>#N/A</v>
      </c>
    </row>
    <row r="2025" spans="1:10" ht="10.5" customHeight="1" x14ac:dyDescent="0.2">
      <c r="A2025" s="65" t="str">
        <f ca="1">INDIRECT(_xlfn.TEXTJOIN("",TRUE,A2012,"!",ADDRESS(22+(A2013-1)*J2012,1)))</f>
        <v/>
      </c>
      <c r="B2025" s="65"/>
      <c r="C2025" s="66" t="str">
        <f ca="1">INDIRECT(_xlfn.TEXTJOIN("",TRUE,A2012,"!",ADDRESS(22+(A2013-1)*J2012,2)))</f>
        <v/>
      </c>
      <c r="D2025" s="66"/>
      <c r="E2025" s="66"/>
      <c r="F2025" s="66"/>
      <c r="G2025" s="66"/>
      <c r="H2025" s="25" t="str">
        <f ca="1">INDIRECT(_xlfn.TEXTJOIN("",TRUE,A2012,"!",ADDRESS(22+(A2013-1)*J2012,6)))</f>
        <v/>
      </c>
      <c r="I2025" s="25" t="str">
        <f ca="1">INDIRECT(_xlfn.TEXTJOIN("",TRUE,A2012,"!",ADDRESS(22+(A2013-1)*J2012,13)))</f>
        <v/>
      </c>
      <c r="J2025" s="25" t="e">
        <f ca="1">INDIRECT(_xlfn.TEXTJOIN("",TRUE,A2012,"!",ADDRESS(22+(A2013-1)*J2012,14)))</f>
        <v>#N/A</v>
      </c>
    </row>
    <row r="2026" spans="1:10" ht="10.5" customHeight="1" x14ac:dyDescent="0.2">
      <c r="A2026" s="65" t="str">
        <f ca="1">INDIRECT(_xlfn.TEXTJOIN("",TRUE,A2012,"!",ADDRESS(23+(A2013-1)*J2012,1)))</f>
        <v/>
      </c>
      <c r="B2026" s="65"/>
      <c r="C2026" s="66" t="str">
        <f ca="1">INDIRECT(_xlfn.TEXTJOIN("",TRUE,A2012,"!",ADDRESS(23+(A2013-1)*J2012,2)))</f>
        <v/>
      </c>
      <c r="D2026" s="66"/>
      <c r="E2026" s="66"/>
      <c r="F2026" s="66"/>
      <c r="G2026" s="66"/>
      <c r="H2026" s="25" t="str">
        <f ca="1">INDIRECT(_xlfn.TEXTJOIN("",TRUE,A2012,"!",ADDRESS(23+(A2013-1)*J2012,6)))</f>
        <v/>
      </c>
      <c r="I2026" s="25" t="str">
        <f ca="1">INDIRECT(_xlfn.TEXTJOIN("",TRUE,A2012,"!",ADDRESS(23+(A2013-1)*J2012,13)))</f>
        <v/>
      </c>
      <c r="J2026" s="25" t="e">
        <f ca="1">INDIRECT(_xlfn.TEXTJOIN("",TRUE,A2012,"!",ADDRESS(23+(A2013-1)*J2012,14)))</f>
        <v>#N/A</v>
      </c>
    </row>
    <row r="2027" spans="1:10" ht="10.5" customHeight="1" x14ac:dyDescent="0.2">
      <c r="A2027" s="65" t="str">
        <f ca="1">INDIRECT(_xlfn.TEXTJOIN("",TRUE,A2012,"!",ADDRESS(24+(A2013-1)*J2012,1)))</f>
        <v/>
      </c>
      <c r="B2027" s="65"/>
      <c r="C2027" s="66" t="str">
        <f ca="1">INDIRECT(_xlfn.TEXTJOIN("",TRUE,A2012,"!",ADDRESS(24+(A2013-1)*J2012,2)))</f>
        <v/>
      </c>
      <c r="D2027" s="66"/>
      <c r="E2027" s="66"/>
      <c r="F2027" s="66"/>
      <c r="G2027" s="66"/>
      <c r="H2027" s="25" t="str">
        <f ca="1">INDIRECT(_xlfn.TEXTJOIN("",TRUE,A2012,"!",ADDRESS(24+(A2013-1)*J2012,6)))</f>
        <v/>
      </c>
      <c r="I2027" s="25" t="str">
        <f ca="1">INDIRECT(_xlfn.TEXTJOIN("",TRUE,A2012,"!",ADDRESS(24+(A2013-1)*J2012,13)))</f>
        <v/>
      </c>
      <c r="J2027" s="25" t="e">
        <f ca="1">INDIRECT(_xlfn.TEXTJOIN("",TRUE,A2012,"!",ADDRESS(24+(A2013-1)*J2012,14)))</f>
        <v>#N/A</v>
      </c>
    </row>
    <row r="2028" spans="1:10" ht="10.5" customHeight="1" x14ac:dyDescent="0.2">
      <c r="A2028" s="65" t="str">
        <f ca="1">INDIRECT(_xlfn.TEXTJOIN("",TRUE,A2012,"!",ADDRESS(25+(A2013-1)*J2012,1)))</f>
        <v/>
      </c>
      <c r="B2028" s="65"/>
      <c r="C2028" s="66" t="str">
        <f ca="1">INDIRECT(_xlfn.TEXTJOIN("",TRUE,A2012,"!",ADDRESS(25+(A2013-1)*J2012,2)))</f>
        <v/>
      </c>
      <c r="D2028" s="66"/>
      <c r="E2028" s="66"/>
      <c r="F2028" s="66"/>
      <c r="G2028" s="66"/>
      <c r="H2028" s="25" t="str">
        <f ca="1">INDIRECT(_xlfn.TEXTJOIN("",TRUE,A2012,"!",ADDRESS(25+(A2013-1)*J2012,6)))</f>
        <v/>
      </c>
      <c r="I2028" s="25" t="str">
        <f ca="1">INDIRECT(_xlfn.TEXTJOIN("",TRUE,A2012,"!",ADDRESS(25+(A2013-1)*J2012,13)))</f>
        <v/>
      </c>
      <c r="J2028" s="25" t="e">
        <f ca="1">INDIRECT(_xlfn.TEXTJOIN("",TRUE,A2012,"!",ADDRESS(25+(A2013-1)*J2012,14)))</f>
        <v>#N/A</v>
      </c>
    </row>
    <row r="2029" spans="1:10" s="35" customFormat="1" ht="10" customHeight="1" x14ac:dyDescent="0.2">
      <c r="A2029" s="77" t="str">
        <f ca="1">INDIRECT(_xlfn.TEXTJOIN("",TRUE,A2012,"!",ADDRESS(26+(A2013-1)*J2012,1)))</f>
        <v/>
      </c>
      <c r="B2029" s="77"/>
      <c r="C2029" s="78" t="str">
        <f ca="1">INDIRECT(_xlfn.TEXTJOIN("",TRUE,A2012,"!",ADDRESS(26+(A2013-1)*J2012,2)))</f>
        <v/>
      </c>
      <c r="D2029" s="78"/>
      <c r="E2029" s="78"/>
      <c r="F2029" s="78"/>
      <c r="G2029" s="78"/>
      <c r="H2029" s="34" t="str">
        <f ca="1">INDIRECT(_xlfn.TEXTJOIN("",TRUE,A2012,"!",ADDRESS(26+(A2013-1)*J2012,6)))</f>
        <v/>
      </c>
      <c r="I2029" s="34" t="b">
        <f ca="1">INDIRECT(_xlfn.TEXTJOIN("",TRUE,A2012,"!",ADDRESS(26+(A2013-1)*J2012,13)))</f>
        <v>0</v>
      </c>
      <c r="J2029" s="34" t="e">
        <f ca="1">INDIRECT(_xlfn.TEXTJOIN("",TRUE,A2012,"!",ADDRESS(26+(A2013-1)*J2012,14)))</f>
        <v>#N/A</v>
      </c>
    </row>
    <row r="2030" spans="1:10" ht="10.5" customHeight="1" x14ac:dyDescent="0.2">
      <c r="A2030" s="71" t="s">
        <v>52</v>
      </c>
      <c r="B2030" s="71"/>
      <c r="C2030" s="71"/>
      <c r="D2030" s="71"/>
      <c r="E2030" s="71"/>
      <c r="F2030" s="71"/>
      <c r="G2030" s="71"/>
      <c r="H2030" s="27">
        <f ca="1">SUM(H2016:H2029)</f>
        <v>0</v>
      </c>
      <c r="I2030" s="26" t="s">
        <v>44</v>
      </c>
      <c r="J2030" s="27" t="e">
        <f ca="1">SUMPRODUCT(J2016:J2028,H2016:H2028)</f>
        <v>#N/A</v>
      </c>
    </row>
    <row r="2031" spans="1:10" ht="10.5" customHeight="1" x14ac:dyDescent="0.2">
      <c r="A2031" s="24" t="s">
        <v>57</v>
      </c>
      <c r="B2031" s="72" t="str">
        <f ca="1">IF(ISNA(A2032),"","Semester II (Spring Semester 2022-23)")</f>
        <v/>
      </c>
      <c r="C2031" s="72"/>
      <c r="D2031" s="72"/>
      <c r="E2031" s="72"/>
      <c r="F2031" s="72"/>
      <c r="G2031" s="72"/>
      <c r="H2031" s="72"/>
      <c r="I2031" s="72"/>
      <c r="J2031" s="24">
        <f>ROWS(A2035:B2044)+9</f>
        <v>19</v>
      </c>
    </row>
    <row r="2032" spans="1:10" ht="10.5" customHeight="1" x14ac:dyDescent="0.2">
      <c r="A2032" s="24" t="e">
        <f ca="1">INDEX(SEM_II!$A$6:$A$45,Marksheets!J2032)</f>
        <v>#N/A</v>
      </c>
      <c r="B2032" s="63"/>
      <c r="C2032" s="63"/>
      <c r="D2032" s="63"/>
      <c r="E2032" s="63"/>
      <c r="F2032" s="63"/>
      <c r="G2032" s="63"/>
      <c r="H2032" s="63"/>
      <c r="I2032" s="63"/>
      <c r="J2032" s="24" t="e">
        <f ca="1">MATCH(H2010,SEM_II!$B$6:$B$45,0)</f>
        <v>#N/A</v>
      </c>
    </row>
    <row r="2033" spans="1:10" ht="10.5" customHeight="1" x14ac:dyDescent="0.2">
      <c r="A2033" s="64" t="str">
        <f ca="1">IF(ISNA(A2032),"","Subject Code")</f>
        <v/>
      </c>
      <c r="B2033" s="64"/>
      <c r="C2033" s="64" t="str">
        <f ca="1">IF(ISNA(A2032),"","Subject Name")</f>
        <v/>
      </c>
      <c r="D2033" s="64"/>
      <c r="E2033" s="64"/>
      <c r="F2033" s="64"/>
      <c r="G2033" s="64"/>
      <c r="H2033" s="64" t="str">
        <f ca="1">IF(ISNA(A2032),"","Credits")</f>
        <v/>
      </c>
      <c r="I2033" s="64" t="str">
        <f ca="1">IF(ISNA(A2032),"","Grade")</f>
        <v/>
      </c>
      <c r="J2033" s="64" t="str">
        <f ca="1">IF(ISNA(A2032),"","Grade Points")</f>
        <v/>
      </c>
    </row>
    <row r="2034" spans="1:10" ht="12.5" customHeight="1" x14ac:dyDescent="0.2">
      <c r="A2034" s="64"/>
      <c r="B2034" s="64"/>
      <c r="C2034" s="64"/>
      <c r="D2034" s="64"/>
      <c r="E2034" s="64"/>
      <c r="F2034" s="64"/>
      <c r="G2034" s="64"/>
      <c r="H2034" s="64"/>
      <c r="I2034" s="64"/>
      <c r="J2034" s="64"/>
    </row>
    <row r="2035" spans="1:10" ht="10.5" customHeight="1" x14ac:dyDescent="0.2">
      <c r="A2035" s="65" t="str">
        <f ca="1">_xlfn.IFNA(INDIRECT(_xlfn.TEXTJOIN("",TRUE,A2031,"!",ADDRESS(13+(A2032-1)*J2031,1))),"")</f>
        <v/>
      </c>
      <c r="B2035" s="65"/>
      <c r="C2035" s="66" t="str">
        <f ca="1">_xlfn.IFNA(INDIRECT(_xlfn.TEXTJOIN("",TRUE,A2031,"!",ADDRESS(13+(A2032-1)*J2031,2))),"")</f>
        <v/>
      </c>
      <c r="D2035" s="66"/>
      <c r="E2035" s="66"/>
      <c r="F2035" s="66"/>
      <c r="G2035" s="66"/>
      <c r="H2035" s="25" t="str">
        <f ca="1">_xlfn.IFNA(INDIRECT(_xlfn.TEXTJOIN("",TRUE,A2031,"!",ADDRESS(13+(A2032-1)*J2031,6))),"")</f>
        <v/>
      </c>
      <c r="I2035" s="25" t="str">
        <f ca="1">_xlfn.IFNA(INDIRECT(_xlfn.TEXTJOIN("",TRUE,A2031,"!",ADDRESS(13+(A2032-1)*J2031,13))),"")</f>
        <v/>
      </c>
      <c r="J2035" s="25" t="str">
        <f ca="1">_xlfn.IFNA(INDIRECT(_xlfn.TEXTJOIN("",TRUE,A2031,"!",ADDRESS(13+(A2032-1)*J2031,14))),"")</f>
        <v/>
      </c>
    </row>
    <row r="2036" spans="1:10" ht="10.5" customHeight="1" x14ac:dyDescent="0.2">
      <c r="A2036" s="65" t="str">
        <f ca="1">_xlfn.IFNA(INDIRECT(_xlfn.TEXTJOIN("",TRUE,A2031,"!",ADDRESS(14+(A2032-1)*J2031,1))),"")</f>
        <v/>
      </c>
      <c r="B2036" s="65"/>
      <c r="C2036" s="66" t="str">
        <f ca="1">_xlfn.IFNA(INDIRECT(_xlfn.TEXTJOIN("",TRUE,A2031,"!",ADDRESS(14+(A2032-1)*J2031,2))),"")</f>
        <v/>
      </c>
      <c r="D2036" s="66"/>
      <c r="E2036" s="66"/>
      <c r="F2036" s="66"/>
      <c r="G2036" s="66"/>
      <c r="H2036" s="25" t="str">
        <f ca="1">_xlfn.IFNA(INDIRECT(_xlfn.TEXTJOIN("",TRUE,A2031,"!",ADDRESS(14+(A2032-1)*J2031,6))),"")</f>
        <v/>
      </c>
      <c r="I2036" s="25" t="str">
        <f ca="1">_xlfn.IFNA(INDIRECT(_xlfn.TEXTJOIN("",TRUE,A2031,"!",ADDRESS(14+(A2032-1)*J2031,13))),"")</f>
        <v/>
      </c>
      <c r="J2036" s="25" t="str">
        <f ca="1">_xlfn.IFNA(INDIRECT(_xlfn.TEXTJOIN("",TRUE,A2031,"!",ADDRESS(14+(A2032-1)*J2031,14))),"")</f>
        <v/>
      </c>
    </row>
    <row r="2037" spans="1:10" ht="10.5" customHeight="1" x14ac:dyDescent="0.2">
      <c r="A2037" s="65" t="str">
        <f ca="1">_xlfn.IFNA(INDIRECT(_xlfn.TEXTJOIN("",TRUE,A2031,"!",ADDRESS(15+(A2032-1)*J2031,1))),"")</f>
        <v/>
      </c>
      <c r="B2037" s="65"/>
      <c r="C2037" s="66" t="str">
        <f ca="1">_xlfn.IFNA(INDIRECT(_xlfn.TEXTJOIN("",TRUE,A2031,"!",ADDRESS(15+(A2032-1)*J2031,2))),"")</f>
        <v/>
      </c>
      <c r="D2037" s="66"/>
      <c r="E2037" s="66"/>
      <c r="F2037" s="66"/>
      <c r="G2037" s="66"/>
      <c r="H2037" s="25" t="str">
        <f ca="1">_xlfn.IFNA(INDIRECT(_xlfn.TEXTJOIN("",TRUE,A2031,"!",ADDRESS(15+(A2032-1)*J2031,6))),"")</f>
        <v/>
      </c>
      <c r="I2037" s="25" t="str">
        <f ca="1">_xlfn.IFNA(INDIRECT(_xlfn.TEXTJOIN("",TRUE,A2031,"!",ADDRESS(15+(A2032-1)*J2031,13))),"")</f>
        <v/>
      </c>
      <c r="J2037" s="25" t="str">
        <f ca="1">_xlfn.IFNA(INDIRECT(_xlfn.TEXTJOIN("",TRUE,A2031,"!",ADDRESS(15+(A2032-1)*J2031,14))),"")</f>
        <v/>
      </c>
    </row>
    <row r="2038" spans="1:10" ht="10.5" customHeight="1" x14ac:dyDescent="0.2">
      <c r="A2038" s="65" t="str">
        <f ca="1">_xlfn.IFNA(INDIRECT(_xlfn.TEXTJOIN("",TRUE,A2031,"!",ADDRESS(16+(A2032-1)*J2031,1))),"")</f>
        <v/>
      </c>
      <c r="B2038" s="65"/>
      <c r="C2038" s="66" t="str">
        <f ca="1">_xlfn.IFNA(INDIRECT(_xlfn.TEXTJOIN("",TRUE,A2031,"!",ADDRESS(16+(A2032-1)*J2031,2))),"")</f>
        <v/>
      </c>
      <c r="D2038" s="66"/>
      <c r="E2038" s="66"/>
      <c r="F2038" s="66"/>
      <c r="G2038" s="66"/>
      <c r="H2038" s="25" t="str">
        <f ca="1">_xlfn.IFNA(INDIRECT(_xlfn.TEXTJOIN("",TRUE,A2031,"!",ADDRESS(16+(A2032-1)*J2031,6))),"")</f>
        <v/>
      </c>
      <c r="I2038" s="25" t="str">
        <f ca="1">_xlfn.IFNA(INDIRECT(_xlfn.TEXTJOIN("",TRUE,A2031,"!",ADDRESS(16+(A2032-1)*J2031,13))),"")</f>
        <v/>
      </c>
      <c r="J2038" s="25" t="str">
        <f ca="1">_xlfn.IFNA(INDIRECT(_xlfn.TEXTJOIN("",TRUE,A2031,"!",ADDRESS(16+(A2032-1)*J2031,14))),"")</f>
        <v/>
      </c>
    </row>
    <row r="2039" spans="1:10" ht="10.5" customHeight="1" x14ac:dyDescent="0.2">
      <c r="A2039" s="65" t="str">
        <f ca="1">_xlfn.IFNA(INDIRECT(_xlfn.TEXTJOIN("",TRUE,A2031,"!",ADDRESS(17+(A2032-1)*J2031,1))),"")</f>
        <v/>
      </c>
      <c r="B2039" s="65"/>
      <c r="C2039" s="66" t="str">
        <f ca="1">_xlfn.IFNA(INDIRECT(_xlfn.TEXTJOIN("",TRUE,A2031,"!",ADDRESS(17+(A2032-1)*J2031,2))),"")</f>
        <v/>
      </c>
      <c r="D2039" s="66"/>
      <c r="E2039" s="66"/>
      <c r="F2039" s="66"/>
      <c r="G2039" s="66"/>
      <c r="H2039" s="25" t="str">
        <f ca="1">_xlfn.IFNA(INDIRECT(_xlfn.TEXTJOIN("",TRUE,A2031,"!",ADDRESS(17+(A2032-1)*J2031,6))),"")</f>
        <v/>
      </c>
      <c r="I2039" s="25" t="str">
        <f ca="1">_xlfn.IFNA(INDIRECT(_xlfn.TEXTJOIN("",TRUE,A2031,"!",ADDRESS(17+(A2032-1)*J2031,13))),"")</f>
        <v/>
      </c>
      <c r="J2039" s="25" t="str">
        <f ca="1">_xlfn.IFNA(INDIRECT(_xlfn.TEXTJOIN("",TRUE,A2031,"!",ADDRESS(17+(A2032-1)*J2031,14))),"")</f>
        <v/>
      </c>
    </row>
    <row r="2040" spans="1:10" ht="10.5" customHeight="1" x14ac:dyDescent="0.2">
      <c r="A2040" s="65" t="str">
        <f ca="1">_xlfn.IFNA(INDIRECT(_xlfn.TEXTJOIN("",TRUE,A2031,"!",ADDRESS(18+(A2032-1)*J2031,1))),"")</f>
        <v/>
      </c>
      <c r="B2040" s="65"/>
      <c r="C2040" s="66" t="str">
        <f ca="1">_xlfn.IFNA(INDIRECT(_xlfn.TEXTJOIN("",TRUE,A2031,"!",ADDRESS(18+(A2032-1)*J2031,2))),"")</f>
        <v/>
      </c>
      <c r="D2040" s="66"/>
      <c r="E2040" s="66"/>
      <c r="F2040" s="66"/>
      <c r="G2040" s="66"/>
      <c r="H2040" s="25" t="str">
        <f ca="1">_xlfn.IFNA(INDIRECT(_xlfn.TEXTJOIN("",TRUE,A2031,"!",ADDRESS(18+(A2032-1)*J2031,6))),"")</f>
        <v/>
      </c>
      <c r="I2040" s="25" t="str">
        <f ca="1">_xlfn.IFNA(INDIRECT(_xlfn.TEXTJOIN("",TRUE,A2031,"!",ADDRESS(18+(A2032-1)*J2031,13))),"")</f>
        <v/>
      </c>
      <c r="J2040" s="25" t="str">
        <f ca="1">_xlfn.IFNA(INDIRECT(_xlfn.TEXTJOIN("",TRUE,A2031,"!",ADDRESS(18+(A2032-1)*J2031,14))),"")</f>
        <v/>
      </c>
    </row>
    <row r="2041" spans="1:10" ht="10.5" customHeight="1" x14ac:dyDescent="0.2">
      <c r="A2041" s="60" t="str">
        <f ca="1">_xlfn.IFNA(INDIRECT(_xlfn.TEXTJOIN("",TRUE,A2031,"!",ADDRESS(19+(A2032-1)*J2031,1))),"")</f>
        <v/>
      </c>
      <c r="B2041" s="61"/>
      <c r="C2041" s="57" t="str">
        <f ca="1">_xlfn.IFNA(INDIRECT(_xlfn.TEXTJOIN("",TRUE,A2031,"!",ADDRESS(19+(A2032-1)*J2031,2))),"")</f>
        <v/>
      </c>
      <c r="D2041" s="58"/>
      <c r="E2041" s="58"/>
      <c r="F2041" s="58"/>
      <c r="G2041" s="59"/>
      <c r="H2041" s="25" t="str">
        <f ca="1">_xlfn.IFNA(INDIRECT(_xlfn.TEXTJOIN("",TRUE,A2031,"!",ADDRESS(19+(A2032-1)*J2031,6))),"")</f>
        <v/>
      </c>
      <c r="I2041" s="25" t="str">
        <f ca="1">_xlfn.IFNA(INDIRECT(_xlfn.TEXTJOIN("",TRUE,A2031,"!",ADDRESS(19+(A2032-1)*J2031,13))),"")</f>
        <v/>
      </c>
      <c r="J2041" s="25" t="str">
        <f ca="1">_xlfn.IFNA(INDIRECT(_xlfn.TEXTJOIN("",TRUE,A2031,"!",ADDRESS(19+(A2032-1)*J2031,14))),"")</f>
        <v/>
      </c>
    </row>
    <row r="2042" spans="1:10" ht="10.5" customHeight="1" x14ac:dyDescent="0.2">
      <c r="A2042" s="65" t="str">
        <f ca="1">_xlfn.IFNA(INDIRECT(_xlfn.TEXTJOIN("",TRUE,A2031,"!",ADDRESS(20+(A2032-1)*J2031,1))),"")</f>
        <v/>
      </c>
      <c r="B2042" s="65"/>
      <c r="C2042" s="66" t="str">
        <f ca="1">_xlfn.IFNA(INDIRECT(_xlfn.TEXTJOIN("",TRUE,A2031,"!",ADDRESS(20+(A2032-1)*J2031,2))),"")</f>
        <v/>
      </c>
      <c r="D2042" s="66"/>
      <c r="E2042" s="66"/>
      <c r="F2042" s="66"/>
      <c r="G2042" s="66"/>
      <c r="H2042" s="25" t="str">
        <f ca="1">_xlfn.IFNA(INDIRECT(_xlfn.TEXTJOIN("",TRUE,A2031,"!",ADDRESS(20+(A2032-1)*J2031,6))),"")</f>
        <v/>
      </c>
      <c r="I2042" s="25" t="str">
        <f ca="1">_xlfn.IFNA(INDIRECT(_xlfn.TEXTJOIN("",TRUE,A2031,"!",ADDRESS(20+(A2032-1)*J2031,13))),"")</f>
        <v/>
      </c>
      <c r="J2042" s="25" t="str">
        <f ca="1">_xlfn.IFNA(INDIRECT(_xlfn.TEXTJOIN("",TRUE,A2031,"!",ADDRESS(20+(A2032-1)*J2031,14))),"")</f>
        <v/>
      </c>
    </row>
    <row r="2043" spans="1:10" ht="10.5" customHeight="1" x14ac:dyDescent="0.2">
      <c r="A2043" s="65" t="str">
        <f ca="1">_xlfn.IFNA(INDIRECT(_xlfn.TEXTJOIN("",TRUE,A2031,"!",ADDRESS(21+(A2032-1)*J2031,1))),"")</f>
        <v/>
      </c>
      <c r="B2043" s="65"/>
      <c r="C2043" s="66" t="str">
        <f ca="1">_xlfn.IFNA(INDIRECT(_xlfn.TEXTJOIN("",TRUE,A2031,"!",ADDRESS(21+(A2032-1)*J2031,2))),"")</f>
        <v/>
      </c>
      <c r="D2043" s="66"/>
      <c r="E2043" s="66"/>
      <c r="F2043" s="66"/>
      <c r="G2043" s="66"/>
      <c r="H2043" s="25" t="str">
        <f ca="1">_xlfn.IFNA(INDIRECT(_xlfn.TEXTJOIN("",TRUE,A2031,"!",ADDRESS(21+(A2032-1)*J2031,6))),"")</f>
        <v/>
      </c>
      <c r="I2043" s="25" t="str">
        <f ca="1">_xlfn.IFNA(INDIRECT(_xlfn.TEXTJOIN("",TRUE,A2031,"!",ADDRESS(21+(A2032-1)*J2031,13))),"")</f>
        <v/>
      </c>
      <c r="J2043" s="25" t="str">
        <f ca="1">_xlfn.IFNA(INDIRECT(_xlfn.TEXTJOIN("",TRUE,A2031,"!",ADDRESS(21+(A2032-1)*J2031,14))),"")</f>
        <v/>
      </c>
    </row>
    <row r="2044" spans="1:10" ht="10.5" customHeight="1" x14ac:dyDescent="0.2">
      <c r="A2044" s="65" t="str">
        <f ca="1">_xlfn.IFNA(INDIRECT(_xlfn.TEXTJOIN("",TRUE,A2031,"!",ADDRESS(22+(A2032-1)*J2031,1))),"")</f>
        <v/>
      </c>
      <c r="B2044" s="65"/>
      <c r="C2044" s="66" t="str">
        <f ca="1">_xlfn.IFNA(INDIRECT(_xlfn.TEXTJOIN("",TRUE,A2031,"!",ADDRESS(22+(A2032-1)*J2031,2))),"")</f>
        <v/>
      </c>
      <c r="D2044" s="66"/>
      <c r="E2044" s="66"/>
      <c r="F2044" s="66"/>
      <c r="G2044" s="66"/>
      <c r="H2044" s="25" t="str">
        <f ca="1">_xlfn.IFNA(INDIRECT(_xlfn.TEXTJOIN("",TRUE,A2031,"!",ADDRESS(22+(A2032-1)*J2031,6))),"")</f>
        <v/>
      </c>
      <c r="I2044" s="25" t="str">
        <f ca="1">_xlfn.IFNA(INDIRECT(_xlfn.TEXTJOIN("",TRUE,A2031,"!",ADDRESS(22+(A2032-1)*J2031,13))),"")</f>
        <v/>
      </c>
      <c r="J2044" s="25" t="str">
        <f ca="1">_xlfn.IFNA(INDIRECT(_xlfn.TEXTJOIN("",TRUE,A2031,"!",ADDRESS(22+(A2032-1)*J2031,14))),"")</f>
        <v/>
      </c>
    </row>
    <row r="2045" spans="1:10" ht="10.5" customHeight="1" x14ac:dyDescent="0.2">
      <c r="A2045" s="71" t="str">
        <f ca="1">IF(ISNA(A2032),"","Total Credits/ Total Grade Points")</f>
        <v/>
      </c>
      <c r="B2045" s="71"/>
      <c r="C2045" s="71"/>
      <c r="D2045" s="71"/>
      <c r="E2045" s="71"/>
      <c r="F2045" s="71"/>
      <c r="G2045" s="71"/>
      <c r="H2045" s="27" t="str">
        <f ca="1">IF(ISNA(A2032),"",SUM(H2035:H2044))</f>
        <v/>
      </c>
      <c r="I2045" s="26" t="str">
        <f ca="1">IF(ISNA(A2032),"","-")</f>
        <v/>
      </c>
      <c r="J2045" s="27" t="str">
        <f ca="1">IF(ISNA(A2032),"",SUMPRODUCT(J2035:J2044,H2035:H2044))</f>
        <v/>
      </c>
    </row>
    <row r="2046" spans="1:10" ht="10.5" customHeight="1" x14ac:dyDescent="0.2">
      <c r="A2046" s="24" t="s">
        <v>60</v>
      </c>
      <c r="B2046" s="72" t="str">
        <f ca="1">IF(ISNA(A2047),"","Semester III (Autumn Semester 2023-24)")</f>
        <v/>
      </c>
      <c r="C2046" s="72"/>
      <c r="D2046" s="72"/>
      <c r="E2046" s="72"/>
      <c r="F2046" s="72"/>
      <c r="G2046" s="72"/>
      <c r="H2046" s="72"/>
      <c r="I2046" s="72"/>
      <c r="J2046" s="24">
        <f>ROWS(A2050:B2057)+9</f>
        <v>17</v>
      </c>
    </row>
    <row r="2047" spans="1:10" ht="10.5" customHeight="1" x14ac:dyDescent="0.2">
      <c r="A2047" s="24" t="e">
        <f ca="1">INDEX(SEM_III!$A$6:$A$43,Marksheets!J2047)</f>
        <v>#N/A</v>
      </c>
      <c r="B2047" s="63"/>
      <c r="C2047" s="63"/>
      <c r="D2047" s="63"/>
      <c r="E2047" s="63"/>
      <c r="F2047" s="63"/>
      <c r="G2047" s="63"/>
      <c r="H2047" s="63"/>
      <c r="I2047" s="63"/>
      <c r="J2047" s="24" t="e">
        <f ca="1">MATCH(H2010,SEM_III!$B$6:$B$43,0)</f>
        <v>#N/A</v>
      </c>
    </row>
    <row r="2048" spans="1:10" ht="10.5" customHeight="1" x14ac:dyDescent="0.2">
      <c r="A2048" s="64" t="str">
        <f ca="1">IF(ISNA(A2047),"","Subject Code")</f>
        <v/>
      </c>
      <c r="B2048" s="64"/>
      <c r="C2048" s="64" t="str">
        <f ca="1">IF(ISNA(A2047),"","Subject Name")</f>
        <v/>
      </c>
      <c r="D2048" s="64"/>
      <c r="E2048" s="64"/>
      <c r="F2048" s="64"/>
      <c r="G2048" s="64"/>
      <c r="H2048" s="64" t="str">
        <f ca="1">IF(ISNA(A2047),"","Credits")</f>
        <v/>
      </c>
      <c r="I2048" s="64" t="str">
        <f ca="1">IF(ISNA(A2047),"","Grade")</f>
        <v/>
      </c>
      <c r="J2048" s="64" t="str">
        <f ca="1">IF(ISNA(A2047),"","Grade Points")</f>
        <v/>
      </c>
    </row>
    <row r="2049" spans="1:10" ht="15" x14ac:dyDescent="0.2">
      <c r="A2049" s="64"/>
      <c r="B2049" s="64"/>
      <c r="C2049" s="64"/>
      <c r="D2049" s="64"/>
      <c r="E2049" s="64"/>
      <c r="F2049" s="64"/>
      <c r="G2049" s="64"/>
      <c r="H2049" s="64"/>
      <c r="I2049" s="64"/>
      <c r="J2049" s="64"/>
    </row>
    <row r="2050" spans="1:10" ht="10.5" customHeight="1" x14ac:dyDescent="0.2">
      <c r="A2050" s="65" t="str">
        <f ca="1">_xlfn.IFNA(INDIRECT(_xlfn.TEXTJOIN("",TRUE,A2046,"!",ADDRESS(13+(A2047-1)*J2046,1))),"")</f>
        <v/>
      </c>
      <c r="B2050" s="65"/>
      <c r="C2050" s="66" t="str">
        <f ca="1">_xlfn.IFNA(INDIRECT(_xlfn.TEXTJOIN("",TRUE,A2046,"!",ADDRESS(13+(A2047-1)*J2046,2))),"")</f>
        <v/>
      </c>
      <c r="D2050" s="66"/>
      <c r="E2050" s="66"/>
      <c r="F2050" s="66"/>
      <c r="G2050" s="66"/>
      <c r="H2050" s="25" t="str">
        <f ca="1">_xlfn.IFNA(INDIRECT(_xlfn.TEXTJOIN("",TRUE,A2046,"!",ADDRESS(13+(A2047-1)*J2046,6))),"")</f>
        <v/>
      </c>
      <c r="I2050" s="25" t="str">
        <f ca="1">_xlfn.IFNA(INDIRECT(_xlfn.TEXTJOIN("",TRUE,A2046,"!",ADDRESS(13+(A2047-1)*J2046,13))),"")</f>
        <v/>
      </c>
      <c r="J2050" s="25" t="str">
        <f ca="1">_xlfn.IFNA(INDIRECT(_xlfn.TEXTJOIN("",TRUE,A2046,"!",ADDRESS(13+(A2047-1)*J2046,14))),"")</f>
        <v/>
      </c>
    </row>
    <row r="2051" spans="1:10" ht="10.5" customHeight="1" x14ac:dyDescent="0.2">
      <c r="A2051" s="65" t="str">
        <f ca="1">_xlfn.IFNA(INDIRECT(_xlfn.TEXTJOIN("",TRUE,A2046,"!",ADDRESS(14+(A2047-1)*J2046,1))),"")</f>
        <v/>
      </c>
      <c r="B2051" s="65"/>
      <c r="C2051" s="66" t="str">
        <f ca="1">_xlfn.IFNA(INDIRECT(_xlfn.TEXTJOIN("",TRUE,A2046,"!",ADDRESS(14+(A2047-1)*J2046,2))),"")</f>
        <v/>
      </c>
      <c r="D2051" s="66"/>
      <c r="E2051" s="66"/>
      <c r="F2051" s="66"/>
      <c r="G2051" s="66"/>
      <c r="H2051" s="25" t="str">
        <f ca="1">_xlfn.IFNA(INDIRECT(_xlfn.TEXTJOIN("",TRUE,A2046,"!",ADDRESS(14+(A2047-1)*J2046,6))),"")</f>
        <v/>
      </c>
      <c r="I2051" s="25" t="str">
        <f ca="1">_xlfn.IFNA(INDIRECT(_xlfn.TEXTJOIN("",TRUE,A2046,"!",ADDRESS(14+(A2047-1)*J2046,13))),"")</f>
        <v/>
      </c>
      <c r="J2051" s="25" t="str">
        <f ca="1">_xlfn.IFNA(INDIRECT(_xlfn.TEXTJOIN("",TRUE,A2046,"!",ADDRESS(14+(A2047-1)*J2046,14))),"")</f>
        <v/>
      </c>
    </row>
    <row r="2052" spans="1:10" ht="10.5" customHeight="1" x14ac:dyDescent="0.2">
      <c r="A2052" s="65" t="str">
        <f ca="1">_xlfn.IFNA(INDIRECT(_xlfn.TEXTJOIN("",TRUE,A2046,"!",ADDRESS(15+(A2047-1)*J2046,1))),"")</f>
        <v/>
      </c>
      <c r="B2052" s="65"/>
      <c r="C2052" s="66" t="str">
        <f ca="1">_xlfn.IFNA(INDIRECT(_xlfn.TEXTJOIN("",TRUE,A2046,"!",ADDRESS(15+(A2047-1)*J2046,2))),"")</f>
        <v/>
      </c>
      <c r="D2052" s="66"/>
      <c r="E2052" s="66"/>
      <c r="F2052" s="66"/>
      <c r="G2052" s="66"/>
      <c r="H2052" s="25" t="str">
        <f ca="1">_xlfn.IFNA(INDIRECT(_xlfn.TEXTJOIN("",TRUE,A2046,"!",ADDRESS(15+(A2047-1)*J2046,6))),"")</f>
        <v/>
      </c>
      <c r="I2052" s="25" t="str">
        <f ca="1">_xlfn.IFNA(INDIRECT(_xlfn.TEXTJOIN("",TRUE,A2046,"!",ADDRESS(15+(A2047-1)*J2046,13))),"")</f>
        <v/>
      </c>
      <c r="J2052" s="25" t="str">
        <f ca="1">_xlfn.IFNA(INDIRECT(_xlfn.TEXTJOIN("",TRUE,A2046,"!",ADDRESS(15+(A2047-1)*J2046,14))),"")</f>
        <v/>
      </c>
    </row>
    <row r="2053" spans="1:10" ht="10.5" customHeight="1" x14ac:dyDescent="0.2">
      <c r="A2053" s="65" t="str">
        <f ca="1">_xlfn.IFNA(INDIRECT(_xlfn.TEXTJOIN("",TRUE,A2046,"!",ADDRESS(16+(A2047-1)*J2046,1))),"")</f>
        <v/>
      </c>
      <c r="B2053" s="65"/>
      <c r="C2053" s="66" t="str">
        <f ca="1">_xlfn.IFNA(INDIRECT(_xlfn.TEXTJOIN("",TRUE,A2046,"!",ADDRESS(16+(A2047-1)*J2046,2))),"")</f>
        <v/>
      </c>
      <c r="D2053" s="66"/>
      <c r="E2053" s="66"/>
      <c r="F2053" s="66"/>
      <c r="G2053" s="66"/>
      <c r="H2053" s="25" t="str">
        <f ca="1">_xlfn.IFNA(INDIRECT(_xlfn.TEXTJOIN("",TRUE,A2046,"!",ADDRESS(16+(A2047-1)*J2046,6))),"")</f>
        <v/>
      </c>
      <c r="I2053" s="25" t="str">
        <f ca="1">_xlfn.IFNA(INDIRECT(_xlfn.TEXTJOIN("",TRUE,A2046,"!",ADDRESS(16+(A2047-1)*J2046,13))),"")</f>
        <v/>
      </c>
      <c r="J2053" s="25" t="str">
        <f ca="1">_xlfn.IFNA(INDIRECT(_xlfn.TEXTJOIN("",TRUE,A2046,"!",ADDRESS(16+(A2047-1)*J2046,14))),"")</f>
        <v/>
      </c>
    </row>
    <row r="2054" spans="1:10" ht="10.5" customHeight="1" x14ac:dyDescent="0.2">
      <c r="A2054" s="65" t="str">
        <f ca="1">_xlfn.IFNA(INDIRECT(_xlfn.TEXTJOIN("",TRUE,A2046,"!",ADDRESS(17+(A2047-1)*J2046,1))),"")</f>
        <v/>
      </c>
      <c r="B2054" s="65"/>
      <c r="C2054" s="66" t="str">
        <f ca="1">_xlfn.IFNA(INDIRECT(_xlfn.TEXTJOIN("",TRUE,A2046,"!",ADDRESS(17+(A2047-1)*J2046,2))),"")</f>
        <v/>
      </c>
      <c r="D2054" s="66"/>
      <c r="E2054" s="66"/>
      <c r="F2054" s="66"/>
      <c r="G2054" s="66"/>
      <c r="H2054" s="25" t="str">
        <f ca="1">_xlfn.IFNA(INDIRECT(_xlfn.TEXTJOIN("",TRUE,A2046,"!",ADDRESS(17+(A2047-1)*J2046,6))),"")</f>
        <v/>
      </c>
      <c r="I2054" s="25" t="str">
        <f ca="1">_xlfn.IFNA(INDIRECT(_xlfn.TEXTJOIN("",TRUE,A2046,"!",ADDRESS(17+(A2047-1)*J2046,13))),"")</f>
        <v/>
      </c>
      <c r="J2054" s="25" t="str">
        <f ca="1">_xlfn.IFNA(INDIRECT(_xlfn.TEXTJOIN("",TRUE,A2046,"!",ADDRESS(17+(A2047-1)*J2046,14))),"")</f>
        <v/>
      </c>
    </row>
    <row r="2055" spans="1:10" ht="10.5" customHeight="1" x14ac:dyDescent="0.2">
      <c r="A2055" s="65" t="str">
        <f ca="1">_xlfn.IFNA(INDIRECT(_xlfn.TEXTJOIN("",TRUE,A2046,"!",ADDRESS(18+(A2047-1)*J2046,1))),"")</f>
        <v/>
      </c>
      <c r="B2055" s="65"/>
      <c r="C2055" s="66" t="str">
        <f ca="1">_xlfn.IFNA(INDIRECT(_xlfn.TEXTJOIN("",TRUE,A2046,"!",ADDRESS(18+(A2047-1)*J2046,2))),"")</f>
        <v/>
      </c>
      <c r="D2055" s="66"/>
      <c r="E2055" s="66"/>
      <c r="F2055" s="66"/>
      <c r="G2055" s="66"/>
      <c r="H2055" s="25" t="str">
        <f ca="1">_xlfn.IFNA(INDIRECT(_xlfn.TEXTJOIN("",TRUE,A2046,"!",ADDRESS(18+(A2047-1)*J2046,6))),"")</f>
        <v/>
      </c>
      <c r="I2055" s="25" t="str">
        <f ca="1">_xlfn.IFNA(INDIRECT(_xlfn.TEXTJOIN("",TRUE,A2046,"!",ADDRESS(18+(A2047-1)*J2046,13))),"")</f>
        <v/>
      </c>
      <c r="J2055" s="25" t="str">
        <f ca="1">_xlfn.IFNA(INDIRECT(_xlfn.TEXTJOIN("",TRUE,A2046,"!",ADDRESS(18+(A2047-1)*J2046,14))),"")</f>
        <v/>
      </c>
    </row>
    <row r="2056" spans="1:10" ht="10.5" customHeight="1" x14ac:dyDescent="0.2">
      <c r="A2056" s="60" t="str">
        <f ca="1">_xlfn.IFNA(INDIRECT(_xlfn.TEXTJOIN("",TRUE,A2046,"!",ADDRESS(19+(A2047-1)*J2046,1))),"")</f>
        <v/>
      </c>
      <c r="B2056" s="61"/>
      <c r="C2056" s="57" t="str">
        <f ca="1">_xlfn.IFNA(INDIRECT(_xlfn.TEXTJOIN("",TRUE,A2046,"!",ADDRESS(19+(A2047-1)*J2046,2))),"")</f>
        <v/>
      </c>
      <c r="D2056" s="58"/>
      <c r="E2056" s="58"/>
      <c r="F2056" s="58"/>
      <c r="G2056" s="59"/>
      <c r="H2056" s="25" t="str">
        <f ca="1">_xlfn.IFNA(INDIRECT(_xlfn.TEXTJOIN("",TRUE,A2046,"!",ADDRESS(19+(A2047-1)*J2046,6))),"")</f>
        <v/>
      </c>
      <c r="I2056" s="25" t="str">
        <f ca="1">_xlfn.IFNA(INDIRECT(_xlfn.TEXTJOIN("",TRUE,A2046,"!",ADDRESS(19+(A2047-1)*J2046,13))),"")</f>
        <v/>
      </c>
      <c r="J2056" s="25" t="str">
        <f ca="1">_xlfn.IFNA(INDIRECT(_xlfn.TEXTJOIN("",TRUE,A2046,"!",ADDRESS(19+(A2047-1)*J2046,14))),"")</f>
        <v/>
      </c>
    </row>
    <row r="2057" spans="1:10" ht="10.5" customHeight="1" x14ac:dyDescent="0.2">
      <c r="A2057" s="65" t="str">
        <f ca="1">_xlfn.IFNA(INDIRECT(_xlfn.TEXTJOIN("",TRUE,A2046,"!",ADDRESS(20+(A2047-1)*J2046,1))),"")</f>
        <v/>
      </c>
      <c r="B2057" s="65"/>
      <c r="C2057" s="66" t="str">
        <f ca="1">_xlfn.IFNA(INDIRECT(_xlfn.TEXTJOIN("",TRUE,A2046,"!",ADDRESS(20+(A2047-1)*J2046,2))),"")</f>
        <v/>
      </c>
      <c r="D2057" s="66"/>
      <c r="E2057" s="66"/>
      <c r="F2057" s="66"/>
      <c r="G2057" s="66"/>
      <c r="H2057" s="25" t="str">
        <f ca="1">_xlfn.IFNA(INDIRECT(_xlfn.TEXTJOIN("",TRUE,A2046,"!",ADDRESS(20+(A2047-1)*J2046,6))),"")</f>
        <v/>
      </c>
      <c r="I2057" s="25" t="str">
        <f ca="1">_xlfn.IFNA(INDIRECT(_xlfn.TEXTJOIN("",TRUE,A2046,"!",ADDRESS(20+(A2047-1)*J2046,13))),"")</f>
        <v/>
      </c>
      <c r="J2057" s="25" t="str">
        <f ca="1">_xlfn.IFNA(INDIRECT(_xlfn.TEXTJOIN("",TRUE,A2046,"!",ADDRESS(20+(A2047-1)*J2046,14))),"")</f>
        <v/>
      </c>
    </row>
    <row r="2058" spans="1:10" ht="10.5" customHeight="1" x14ac:dyDescent="0.2">
      <c r="A2058" s="71" t="str">
        <f ca="1">IF(ISNA(A2047),"","Total Credits/ Total Grade Points")</f>
        <v/>
      </c>
      <c r="B2058" s="71"/>
      <c r="C2058" s="71"/>
      <c r="D2058" s="71"/>
      <c r="E2058" s="71"/>
      <c r="F2058" s="71"/>
      <c r="G2058" s="71"/>
      <c r="H2058" s="27" t="str">
        <f ca="1">IF(ISNA(A2047),"",SUM(H2050:H2057))</f>
        <v/>
      </c>
      <c r="I2058" s="26" t="str">
        <f ca="1">IF(ISNA(A2047),"","-")</f>
        <v/>
      </c>
      <c r="J2058" s="27" t="str">
        <f ca="1">IF(ISNA(A2047),"",SUMPRODUCT(J2050:J2057,H2050:H2057))</f>
        <v/>
      </c>
    </row>
    <row r="2059" spans="1:10" ht="10.5" customHeight="1" x14ac:dyDescent="0.2">
      <c r="A2059" s="24" t="s">
        <v>133</v>
      </c>
      <c r="B2059" s="72" t="str">
        <f ca="1">IF(ISNA(A2060),"","Semester IV (Spring Semester 2023-24)")</f>
        <v/>
      </c>
      <c r="C2059" s="72"/>
      <c r="D2059" s="72"/>
      <c r="E2059" s="72"/>
      <c r="F2059" s="72"/>
      <c r="G2059" s="72"/>
      <c r="H2059" s="72"/>
      <c r="I2059" s="72"/>
      <c r="J2059" s="24">
        <f>ROWS(A2063:B2069)+9</f>
        <v>16</v>
      </c>
    </row>
    <row r="2060" spans="1:10" ht="10.5" customHeight="1" x14ac:dyDescent="0.2">
      <c r="A2060" s="24" t="e">
        <f ca="1">INDEX(SEM_IV!$A$6:$A$43,Marksheets!J2060)</f>
        <v>#N/A</v>
      </c>
      <c r="B2060" s="63"/>
      <c r="C2060" s="63"/>
      <c r="D2060" s="63"/>
      <c r="E2060" s="63"/>
      <c r="F2060" s="63"/>
      <c r="G2060" s="63"/>
      <c r="H2060" s="63"/>
      <c r="I2060" s="63"/>
      <c r="J2060" s="24" t="e">
        <f ca="1">MATCH(H2010,SEM_IV!$B$6:$B$43,0)</f>
        <v>#N/A</v>
      </c>
    </row>
    <row r="2061" spans="1:10" ht="10.5" customHeight="1" x14ac:dyDescent="0.2">
      <c r="A2061" s="64" t="str">
        <f ca="1">IF(ISNA(A2060),"","Subject Code")</f>
        <v/>
      </c>
      <c r="B2061" s="64"/>
      <c r="C2061" s="64" t="str">
        <f ca="1">IF(ISNA(A2060),"","Subject Name")</f>
        <v/>
      </c>
      <c r="D2061" s="64"/>
      <c r="E2061" s="64"/>
      <c r="F2061" s="64"/>
      <c r="G2061" s="64"/>
      <c r="H2061" s="64" t="str">
        <f ca="1">IF(ISNA(A2060),"","Credits")</f>
        <v/>
      </c>
      <c r="I2061" s="64" t="str">
        <f ca="1">IF(ISNA(A2060),"","Grade")</f>
        <v/>
      </c>
      <c r="J2061" s="64" t="str">
        <f ca="1">IF(ISNA(A2060),"","Grade Points")</f>
        <v/>
      </c>
    </row>
    <row r="2062" spans="1:10" ht="15" x14ac:dyDescent="0.2">
      <c r="A2062" s="64"/>
      <c r="B2062" s="64"/>
      <c r="C2062" s="64"/>
      <c r="D2062" s="64"/>
      <c r="E2062" s="64"/>
      <c r="F2062" s="64"/>
      <c r="G2062" s="64"/>
      <c r="H2062" s="64"/>
      <c r="I2062" s="64"/>
      <c r="J2062" s="64"/>
    </row>
    <row r="2063" spans="1:10" ht="10.5" customHeight="1" x14ac:dyDescent="0.2">
      <c r="A2063" s="65" t="str">
        <f ca="1">_xlfn.IFNA(INDIRECT(_xlfn.TEXTJOIN("",TRUE,A2059,"!",ADDRESS(13+(A2060-1)*J2059,1))),"")</f>
        <v/>
      </c>
      <c r="B2063" s="65"/>
      <c r="C2063" s="66" t="str">
        <f ca="1">_xlfn.IFNA(INDIRECT(_xlfn.TEXTJOIN("",TRUE,A2059,"!",ADDRESS(13+(A2060-1)*J2059,2))),"")</f>
        <v/>
      </c>
      <c r="D2063" s="66"/>
      <c r="E2063" s="66"/>
      <c r="F2063" s="66"/>
      <c r="G2063" s="66"/>
      <c r="H2063" s="25" t="str">
        <f ca="1">_xlfn.IFNA(INDIRECT(_xlfn.TEXTJOIN("",TRUE,A2059,"!",ADDRESS(13+(A2060-1)*J2059,6))),"")</f>
        <v/>
      </c>
      <c r="I2063" s="25" t="str">
        <f ca="1">_xlfn.IFNA(INDIRECT(_xlfn.TEXTJOIN("",TRUE,A2059,"!",ADDRESS(13+(A2060-1)*J2059,13))),"")</f>
        <v/>
      </c>
      <c r="J2063" s="25" t="str">
        <f ca="1">_xlfn.IFNA(INDIRECT(_xlfn.TEXTJOIN("",TRUE,A2059,"!",ADDRESS(13+(A2060-1)*J2059,14))),"")</f>
        <v/>
      </c>
    </row>
    <row r="2064" spans="1:10" ht="10.5" customHeight="1" x14ac:dyDescent="0.2">
      <c r="A2064" s="65" t="str">
        <f ca="1">_xlfn.IFNA(INDIRECT(_xlfn.TEXTJOIN("",TRUE,A2059,"!",ADDRESS(14+(A2060-1)*J2059,1))),"")</f>
        <v/>
      </c>
      <c r="B2064" s="65"/>
      <c r="C2064" s="66" t="str">
        <f ca="1">_xlfn.IFNA(INDIRECT(_xlfn.TEXTJOIN("",TRUE,A2059,"!",ADDRESS(14+(A2060-1)*J2059,2))),"")</f>
        <v/>
      </c>
      <c r="D2064" s="66"/>
      <c r="E2064" s="66"/>
      <c r="F2064" s="66"/>
      <c r="G2064" s="66"/>
      <c r="H2064" s="25" t="str">
        <f ca="1">_xlfn.IFNA(INDIRECT(_xlfn.TEXTJOIN("",TRUE,A2059,"!",ADDRESS(14+(A2060-1)*J2059,6))),"")</f>
        <v/>
      </c>
      <c r="I2064" s="25" t="str">
        <f ca="1">_xlfn.IFNA(INDIRECT(_xlfn.TEXTJOIN("",TRUE,A2059,"!",ADDRESS(14+(A2060-1)*J2059,13))),"")</f>
        <v/>
      </c>
      <c r="J2064" s="25" t="str">
        <f ca="1">_xlfn.IFNA(INDIRECT(_xlfn.TEXTJOIN("",TRUE,A2059,"!",ADDRESS(14+(A2060-1)*J2059,14))),"")</f>
        <v/>
      </c>
    </row>
    <row r="2065" spans="1:10" ht="10.5" customHeight="1" x14ac:dyDescent="0.2">
      <c r="A2065" s="65" t="str">
        <f ca="1">_xlfn.IFNA(INDIRECT(_xlfn.TEXTJOIN("",TRUE,A2059,"!",ADDRESS(15+(A2060-1)*J2059,1))),"")</f>
        <v/>
      </c>
      <c r="B2065" s="65"/>
      <c r="C2065" s="66" t="str">
        <f ca="1">_xlfn.IFNA(INDIRECT(_xlfn.TEXTJOIN("",TRUE,A2059,"!",ADDRESS(15+(A2060-1)*J2059,2))),"")</f>
        <v/>
      </c>
      <c r="D2065" s="66"/>
      <c r="E2065" s="66"/>
      <c r="F2065" s="66"/>
      <c r="G2065" s="66"/>
      <c r="H2065" s="25" t="str">
        <f ca="1">_xlfn.IFNA(INDIRECT(_xlfn.TEXTJOIN("",TRUE,A2059,"!",ADDRESS(15+(A2060-1)*J2059,6))),"")</f>
        <v/>
      </c>
      <c r="I2065" s="25" t="str">
        <f ca="1">_xlfn.IFNA(INDIRECT(_xlfn.TEXTJOIN("",TRUE,A2059,"!",ADDRESS(15+(A2060-1)*J2059,13))),"")</f>
        <v/>
      </c>
      <c r="J2065" s="25" t="str">
        <f ca="1">_xlfn.IFNA(INDIRECT(_xlfn.TEXTJOIN("",TRUE,A2059,"!",ADDRESS(15+(A2060-1)*J2059,14))),"")</f>
        <v/>
      </c>
    </row>
    <row r="2066" spans="1:10" ht="10.5" customHeight="1" x14ac:dyDescent="0.2">
      <c r="A2066" s="65" t="str">
        <f ca="1">_xlfn.IFNA(INDIRECT(_xlfn.TEXTJOIN("",TRUE,A2059,"!",ADDRESS(16+(A2060-1)*J2059,1))),"")</f>
        <v/>
      </c>
      <c r="B2066" s="65"/>
      <c r="C2066" s="66" t="str">
        <f ca="1">_xlfn.IFNA(INDIRECT(_xlfn.TEXTJOIN("",TRUE,A2059,"!",ADDRESS(16+(A2060-1)*J2059,2))),"")</f>
        <v/>
      </c>
      <c r="D2066" s="66"/>
      <c r="E2066" s="66"/>
      <c r="F2066" s="66"/>
      <c r="G2066" s="66"/>
      <c r="H2066" s="25" t="str">
        <f ca="1">_xlfn.IFNA(INDIRECT(_xlfn.TEXTJOIN("",TRUE,A2059,"!",ADDRESS(16+(A2060-1)*J2059,6))),"")</f>
        <v/>
      </c>
      <c r="I2066" s="25" t="str">
        <f ca="1">_xlfn.IFNA(INDIRECT(_xlfn.TEXTJOIN("",TRUE,A2059,"!",ADDRESS(16+(A2060-1)*J2059,13))),"")</f>
        <v/>
      </c>
      <c r="J2066" s="25" t="str">
        <f ca="1">_xlfn.IFNA(INDIRECT(_xlfn.TEXTJOIN("",TRUE,A2059,"!",ADDRESS(16+(A2060-1)*J2059,14))),"")</f>
        <v/>
      </c>
    </row>
    <row r="2067" spans="1:10" ht="10.5" customHeight="1" x14ac:dyDescent="0.2">
      <c r="A2067" s="65" t="str">
        <f ca="1">_xlfn.IFNA(INDIRECT(_xlfn.TEXTJOIN("",TRUE,A2059,"!",ADDRESS(17+(A2060-1)*J2059,1))),"")</f>
        <v/>
      </c>
      <c r="B2067" s="65"/>
      <c r="C2067" s="66" t="str">
        <f ca="1">_xlfn.IFNA(INDIRECT(_xlfn.TEXTJOIN("",TRUE,A2059,"!",ADDRESS(17+(A2060-1)*J2059,2))),"")</f>
        <v/>
      </c>
      <c r="D2067" s="66"/>
      <c r="E2067" s="66"/>
      <c r="F2067" s="66"/>
      <c r="G2067" s="66"/>
      <c r="H2067" s="25" t="str">
        <f ca="1">_xlfn.IFNA(INDIRECT(_xlfn.TEXTJOIN("",TRUE,A2059,"!",ADDRESS(17+(A2060-1)*J2059,6))),"")</f>
        <v/>
      </c>
      <c r="I2067" s="25" t="str">
        <f ca="1">_xlfn.IFNA(INDIRECT(_xlfn.TEXTJOIN("",TRUE,A2059,"!",ADDRESS(17+(A2060-1)*J2059,13))),"")</f>
        <v/>
      </c>
      <c r="J2067" s="25" t="str">
        <f ca="1">_xlfn.IFNA(INDIRECT(_xlfn.TEXTJOIN("",TRUE,A2059,"!",ADDRESS(17+(A2060-1)*J2059,14))),"")</f>
        <v/>
      </c>
    </row>
    <row r="2068" spans="1:10" ht="10.5" customHeight="1" x14ac:dyDescent="0.2">
      <c r="A2068" s="65" t="str">
        <f ca="1">_xlfn.IFNA(INDIRECT(_xlfn.TEXTJOIN("",TRUE,A2059,"!",ADDRESS(18+(A2060-1)*J2059,1))),"")</f>
        <v/>
      </c>
      <c r="B2068" s="65"/>
      <c r="C2068" s="66" t="str">
        <f ca="1">_xlfn.IFNA(INDIRECT(_xlfn.TEXTJOIN("",TRUE,A2059,"!",ADDRESS(18+(A2060-1)*J2059,2))),"")</f>
        <v/>
      </c>
      <c r="D2068" s="66"/>
      <c r="E2068" s="66"/>
      <c r="F2068" s="66"/>
      <c r="G2068" s="66"/>
      <c r="H2068" s="25" t="str">
        <f ca="1">_xlfn.IFNA(INDIRECT(_xlfn.TEXTJOIN("",TRUE,A2059,"!",ADDRESS(18+(A2060-1)*J2059,6))),"")</f>
        <v/>
      </c>
      <c r="I2068" s="25" t="str">
        <f ca="1">_xlfn.IFNA(INDIRECT(_xlfn.TEXTJOIN("",TRUE,A2059,"!",ADDRESS(18+(A2060-1)*J2059,13))),"")</f>
        <v/>
      </c>
      <c r="J2068" s="25" t="str">
        <f ca="1">_xlfn.IFNA(INDIRECT(_xlfn.TEXTJOIN("",TRUE,A2059,"!",ADDRESS(18+(A2060-1)*J2059,14))),"")</f>
        <v/>
      </c>
    </row>
    <row r="2069" spans="1:10" ht="10.5" customHeight="1" x14ac:dyDescent="0.2">
      <c r="A2069" s="60" t="str">
        <f ca="1">_xlfn.IFNA(INDIRECT(_xlfn.TEXTJOIN("",TRUE,A2059,"!",ADDRESS(19+(A2060-1)*J2059,1))),"")</f>
        <v/>
      </c>
      <c r="B2069" s="61"/>
      <c r="C2069" s="57" t="str">
        <f ca="1">_xlfn.IFNA(INDIRECT(_xlfn.TEXTJOIN("",TRUE,A2059,"!",ADDRESS(19+(A2060-1)*J2059,2))),"")</f>
        <v/>
      </c>
      <c r="D2069" s="58"/>
      <c r="E2069" s="58"/>
      <c r="F2069" s="58"/>
      <c r="G2069" s="59"/>
      <c r="H2069" s="25" t="str">
        <f ca="1">_xlfn.IFNA(INDIRECT(_xlfn.TEXTJOIN("",TRUE,A2059,"!",ADDRESS(19+(A2060-1)*J2059,6))),"")</f>
        <v/>
      </c>
      <c r="I2069" s="25" t="str">
        <f ca="1">_xlfn.IFNA(INDIRECT(_xlfn.TEXTJOIN("",TRUE,A2059,"!",ADDRESS(19+(A2060-1)*J2059,13))),"")</f>
        <v/>
      </c>
      <c r="J2069" s="25" t="str">
        <f ca="1">_xlfn.IFNA(INDIRECT(_xlfn.TEXTJOIN("",TRUE,A2059,"!",ADDRESS(19+(A2060-1)*J2059,14))),"")</f>
        <v/>
      </c>
    </row>
    <row r="2070" spans="1:10" ht="10.5" customHeight="1" x14ac:dyDescent="0.2">
      <c r="A2070" s="71" t="str">
        <f ca="1">IF(ISNA(A2060),"","Total Credits/ Total Grade Points")</f>
        <v/>
      </c>
      <c r="B2070" s="71"/>
      <c r="C2070" s="71"/>
      <c r="D2070" s="71"/>
      <c r="E2070" s="71"/>
      <c r="F2070" s="71"/>
      <c r="G2070" s="71"/>
      <c r="H2070" s="27" t="str">
        <f ca="1">IF(ISNA(A2060),"",SUM(H2062:H2069))</f>
        <v/>
      </c>
      <c r="I2070" s="26" t="str">
        <f ca="1">IF(ISNA(A2060),"","-")</f>
        <v/>
      </c>
      <c r="J2070" s="27" t="str">
        <f ca="1">IF(ISNA(A2060),"",SUMPRODUCT(J2062:J2069,H2062:H2069))</f>
        <v/>
      </c>
    </row>
    <row r="2071" spans="1:10" ht="10.5" customHeight="1" x14ac:dyDescent="0.2">
      <c r="A2071" s="75" t="s">
        <v>137</v>
      </c>
      <c r="B2071" s="75"/>
      <c r="C2071" s="75"/>
      <c r="D2071" s="75"/>
      <c r="E2071" s="75"/>
      <c r="F2071" s="76" t="s">
        <v>138</v>
      </c>
      <c r="G2071" s="76"/>
      <c r="H2071" s="76"/>
      <c r="I2071" s="76"/>
      <c r="J2071" s="76"/>
    </row>
    <row r="2072" spans="1:10" ht="10.5" customHeight="1" x14ac:dyDescent="0.2">
      <c r="A2072" s="43" t="s">
        <v>139</v>
      </c>
      <c r="B2072" s="43"/>
      <c r="C2072" s="43"/>
      <c r="D2072" s="43"/>
      <c r="E2072" s="43"/>
      <c r="F2072" s="43"/>
      <c r="G2072" s="43"/>
      <c r="H2072" s="43"/>
      <c r="I2072" s="43"/>
      <c r="J2072" s="43"/>
    </row>
    <row r="2073" spans="1:10" ht="10.5" customHeight="1" x14ac:dyDescent="0.2">
      <c r="A2073" s="10"/>
      <c r="B2073" s="26"/>
      <c r="C2073" s="26" t="s">
        <v>140</v>
      </c>
      <c r="D2073" s="26" t="s">
        <v>141</v>
      </c>
      <c r="E2073" s="26" t="s">
        <v>142</v>
      </c>
      <c r="F2073" s="26" t="s">
        <v>143</v>
      </c>
      <c r="G2073" s="26" t="s">
        <v>144</v>
      </c>
      <c r="H2073" s="79" t="s">
        <v>145</v>
      </c>
      <c r="I2073" s="79"/>
      <c r="J2073" s="30"/>
    </row>
    <row r="2074" spans="1:10" ht="10.5" customHeight="1" x14ac:dyDescent="0.2">
      <c r="A2074" s="10"/>
      <c r="B2074" s="80" t="s">
        <v>146</v>
      </c>
      <c r="C2074" s="73" t="e">
        <f ca="1">J2030/H2030</f>
        <v>#N/A</v>
      </c>
      <c r="D2074" s="73" t="e">
        <f ca="1">J2045/H2045</f>
        <v>#VALUE!</v>
      </c>
      <c r="E2074" s="73" t="str">
        <f ca="1">IFERROR(J2058/H2058,"")</f>
        <v/>
      </c>
      <c r="F2074" s="73" t="str">
        <f ca="1">IFERROR(J2070/H2070,"")</f>
        <v/>
      </c>
      <c r="G2074" s="82" t="e">
        <f ca="1">F2076</f>
        <v>#N/A</v>
      </c>
      <c r="H2074" s="83" t="e">
        <f ca="1">IF(TC_IV!N469&lt;96,_xlfn.TEXTJOIN(" ",TRUE,"CARRY OVER",TC_I!V694,TC_II!V574,TC_III!V497,TC_IV!V468),IF(G2074&gt;=8,"First Division with Distinction",IF(G2074&gt;=6.5,"First Division",IF(G2074&gt;=5,"Second Division",IF(G2074&gt;=4,"Third Division","Fail")))))</f>
        <v>#N/A</v>
      </c>
      <c r="I2074" s="83"/>
      <c r="J2074" s="30"/>
    </row>
    <row r="2075" spans="1:10" ht="10.5" customHeight="1" x14ac:dyDescent="0.2">
      <c r="B2075" s="81"/>
      <c r="C2075" s="74"/>
      <c r="D2075" s="74"/>
      <c r="E2075" s="74"/>
      <c r="F2075" s="74"/>
      <c r="G2075" s="82"/>
      <c r="H2075" s="83"/>
      <c r="I2075" s="83"/>
    </row>
    <row r="2076" spans="1:10" ht="10.5" customHeight="1" x14ac:dyDescent="0.2">
      <c r="B2076" s="80" t="s">
        <v>48</v>
      </c>
      <c r="C2076" s="73" t="e">
        <f ca="1">J2030/H2030</f>
        <v>#N/A</v>
      </c>
      <c r="D2076" s="73" t="e">
        <f ca="1">SUM(J2045,J2030)/SUM(H2045,H2030)</f>
        <v>#N/A</v>
      </c>
      <c r="E2076" s="73" t="e">
        <f ca="1">SUM(J2058,J2045,J2030)/SUM(H2058,H2045,H2030)</f>
        <v>#N/A</v>
      </c>
      <c r="F2076" s="73" t="e">
        <f ca="1">SUM(J2070,J2058,J2045,J2030)/SUM(H2030,H2045,H2058,H2070)</f>
        <v>#N/A</v>
      </c>
      <c r="G2076" s="82"/>
      <c r="H2076" s="83"/>
      <c r="I2076" s="83"/>
    </row>
    <row r="2077" spans="1:10" ht="10.5" customHeight="1" x14ac:dyDescent="0.2">
      <c r="B2077" s="81"/>
      <c r="C2077" s="74"/>
      <c r="D2077" s="74"/>
      <c r="E2077" s="74"/>
      <c r="F2077" s="74"/>
      <c r="G2077" s="82"/>
      <c r="H2077" s="83"/>
      <c r="I2077" s="83"/>
    </row>
    <row r="2079" spans="1:10" ht="10.5" customHeight="1" x14ac:dyDescent="0.2">
      <c r="A2079" s="56" t="s">
        <v>24</v>
      </c>
      <c r="B2079" s="56"/>
      <c r="C2079" s="56" t="str">
        <f ca="1">INDIRECT(_xlfn.TEXTJOIN("",TRUE,A2081,"!",ADDRESS(9+(A2082-1)*J2081,2)))</f>
        <v/>
      </c>
      <c r="D2079" s="56"/>
      <c r="E2079" s="56"/>
      <c r="F2079" s="56" t="s">
        <v>135</v>
      </c>
      <c r="G2079" s="56"/>
      <c r="H2079" s="62" t="str">
        <f ca="1">INDIRECT(_xlfn.TEXTJOIN("",TRUE,A2081,"!",ADDRESS(9+(A2082-1)*J2081,9)))</f>
        <v/>
      </c>
      <c r="I2079" s="56"/>
      <c r="J2079" s="56"/>
    </row>
    <row r="2080" spans="1:10" ht="10.5" customHeight="1" x14ac:dyDescent="0.2">
      <c r="A2080" s="56" t="s">
        <v>25</v>
      </c>
      <c r="B2080" s="56"/>
      <c r="C2080" s="56" t="str">
        <f ca="1">INDIRECT(_xlfn.TEXTJOIN("",TRUE,A2081,"!",ADDRESS(9+(A2082-1)*J2081,5)))</f>
        <v/>
      </c>
      <c r="D2080" s="56"/>
      <c r="E2080" s="56"/>
      <c r="F2080" s="47" t="s">
        <v>136</v>
      </c>
      <c r="G2080" s="47"/>
      <c r="H2080" s="62" t="str">
        <f ca="1">INDIRECT(_xlfn.TEXTJOIN("",TRUE,A2081,"!",ADDRESS(9+(A2082-1)*J2081,13)))</f>
        <v/>
      </c>
      <c r="I2080" s="56"/>
      <c r="J2080" s="56"/>
    </row>
    <row r="2081" spans="1:10" ht="10.5" customHeight="1" x14ac:dyDescent="0.2">
      <c r="A2081" s="24" t="s">
        <v>53</v>
      </c>
      <c r="B2081" s="43" t="s">
        <v>148</v>
      </c>
      <c r="C2081" s="43"/>
      <c r="D2081" s="43"/>
      <c r="E2081" s="43"/>
      <c r="F2081" s="43"/>
      <c r="G2081" s="43"/>
      <c r="H2081" s="43"/>
      <c r="I2081" s="43"/>
      <c r="J2081" s="24">
        <f>ROWS(A2085:B2098)+9</f>
        <v>23</v>
      </c>
    </row>
    <row r="2082" spans="1:10" ht="10.5" customHeight="1" x14ac:dyDescent="0.2">
      <c r="A2082" s="24">
        <f>A2013+1</f>
        <v>31</v>
      </c>
      <c r="B2082" s="63"/>
      <c r="C2082" s="63"/>
      <c r="D2082" s="63"/>
      <c r="E2082" s="63"/>
      <c r="F2082" s="63"/>
      <c r="G2082" s="63"/>
      <c r="H2082" s="63"/>
      <c r="I2082" s="63"/>
      <c r="J2082" s="29"/>
    </row>
    <row r="2083" spans="1:10" ht="10.5" customHeight="1" x14ac:dyDescent="0.2">
      <c r="A2083" s="64" t="s">
        <v>28</v>
      </c>
      <c r="B2083" s="64"/>
      <c r="C2083" s="64" t="s">
        <v>29</v>
      </c>
      <c r="D2083" s="64"/>
      <c r="E2083" s="64"/>
      <c r="F2083" s="64"/>
      <c r="G2083" s="64"/>
      <c r="H2083" s="64" t="s">
        <v>30</v>
      </c>
      <c r="I2083" s="64" t="s">
        <v>9</v>
      </c>
      <c r="J2083" s="64" t="s">
        <v>34</v>
      </c>
    </row>
    <row r="2084" spans="1:10" ht="15" customHeight="1" x14ac:dyDescent="0.2">
      <c r="A2084" s="64"/>
      <c r="B2084" s="64"/>
      <c r="C2084" s="64"/>
      <c r="D2084" s="64"/>
      <c r="E2084" s="64"/>
      <c r="F2084" s="64"/>
      <c r="G2084" s="64"/>
      <c r="H2084" s="64"/>
      <c r="I2084" s="64"/>
      <c r="J2084" s="64"/>
    </row>
    <row r="2085" spans="1:10" ht="10.5" customHeight="1" x14ac:dyDescent="0.2">
      <c r="A2085" s="65" t="str">
        <f ca="1">INDIRECT(_xlfn.TEXTJOIN("",TRUE,A2081,"!",ADDRESS(13+(A2082-1)*J2081,1)))</f>
        <v/>
      </c>
      <c r="B2085" s="65"/>
      <c r="C2085" s="66" t="str">
        <f ca="1">INDIRECT(_xlfn.TEXTJOIN("",TRUE,A2081,"!",ADDRESS(13+(A2082-1)*J2081,2)))</f>
        <v/>
      </c>
      <c r="D2085" s="66"/>
      <c r="E2085" s="66"/>
      <c r="F2085" s="66"/>
      <c r="G2085" s="66"/>
      <c r="H2085" s="25" t="str">
        <f ca="1">INDIRECT(_xlfn.TEXTJOIN("",TRUE,A2081,"!",ADDRESS(13+(A2082-1)*J2081,6)))</f>
        <v/>
      </c>
      <c r="I2085" s="25" t="str">
        <f ca="1">INDIRECT(_xlfn.TEXTJOIN("",TRUE,A2081,"!",ADDRESS(13+(A2082-1)*J2081,13)))</f>
        <v/>
      </c>
      <c r="J2085" s="25" t="e">
        <f ca="1">INDIRECT(_xlfn.TEXTJOIN("",TRUE,A2081,"!",ADDRESS(13+(A2082-1)*J2081,14)))</f>
        <v>#N/A</v>
      </c>
    </row>
    <row r="2086" spans="1:10" ht="10.5" customHeight="1" x14ac:dyDescent="0.2">
      <c r="A2086" s="65" t="str">
        <f ca="1">INDIRECT(_xlfn.TEXTJOIN("",TRUE,A2081,"!",ADDRESS(14+(A2082-1)*J2081,1)))</f>
        <v/>
      </c>
      <c r="B2086" s="65"/>
      <c r="C2086" s="66" t="str">
        <f ca="1">INDIRECT(_xlfn.TEXTJOIN("",TRUE,A2081,"!",ADDRESS(14+(A2082-1)*J2081,2)))</f>
        <v/>
      </c>
      <c r="D2086" s="66"/>
      <c r="E2086" s="66"/>
      <c r="F2086" s="66"/>
      <c r="G2086" s="66"/>
      <c r="H2086" s="25" t="str">
        <f ca="1">INDIRECT(_xlfn.TEXTJOIN("",TRUE,A2081,"!",ADDRESS(14+(A2082-1)*J2081,6)))</f>
        <v/>
      </c>
      <c r="I2086" s="25" t="str">
        <f ca="1">INDIRECT(_xlfn.TEXTJOIN("",TRUE,A2081,"!",ADDRESS(14+(A2082-1)*J2081,13)))</f>
        <v/>
      </c>
      <c r="J2086" s="25" t="e">
        <f ca="1">INDIRECT(_xlfn.TEXTJOIN("",TRUE,A2081,"!",ADDRESS(14+(A2082-1)*J2081,14)))</f>
        <v>#N/A</v>
      </c>
    </row>
    <row r="2087" spans="1:10" ht="10.5" customHeight="1" x14ac:dyDescent="0.2">
      <c r="A2087" s="65" t="str">
        <f ca="1">INDIRECT(_xlfn.TEXTJOIN("",TRUE,A2081,"!",ADDRESS(15+(A2082-1)*J2081,1)))</f>
        <v/>
      </c>
      <c r="B2087" s="65"/>
      <c r="C2087" s="66" t="str">
        <f ca="1">INDIRECT(_xlfn.TEXTJOIN("",TRUE,A2081,"!",ADDRESS(15+(A2082-1)*J2081,2)))</f>
        <v/>
      </c>
      <c r="D2087" s="66"/>
      <c r="E2087" s="66"/>
      <c r="F2087" s="66"/>
      <c r="G2087" s="66"/>
      <c r="H2087" s="25" t="str">
        <f ca="1">INDIRECT(_xlfn.TEXTJOIN("",TRUE,A2081,"!",ADDRESS(15+(A2082-1)*J2081,6)))</f>
        <v/>
      </c>
      <c r="I2087" s="25" t="str">
        <f ca="1">INDIRECT(_xlfn.TEXTJOIN("",TRUE,A2081,"!",ADDRESS(15+(A2082-1)*J2081,13)))</f>
        <v/>
      </c>
      <c r="J2087" s="25" t="e">
        <f ca="1">INDIRECT(_xlfn.TEXTJOIN("",TRUE,A2081,"!",ADDRESS(15+(A2082-1)*J2081,14)))</f>
        <v>#N/A</v>
      </c>
    </row>
    <row r="2088" spans="1:10" ht="10.5" customHeight="1" x14ac:dyDescent="0.2">
      <c r="A2088" s="65" t="str">
        <f ca="1">INDIRECT(_xlfn.TEXTJOIN("",TRUE,A2081,"!",ADDRESS(16+(A2082-1)*J2081,1)))</f>
        <v/>
      </c>
      <c r="B2088" s="65"/>
      <c r="C2088" s="66" t="str">
        <f ca="1">INDIRECT(_xlfn.TEXTJOIN("",TRUE,A2081,"!",ADDRESS(16+(A2082-1)*J2081,2)))</f>
        <v/>
      </c>
      <c r="D2088" s="66"/>
      <c r="E2088" s="66"/>
      <c r="F2088" s="66"/>
      <c r="G2088" s="66"/>
      <c r="H2088" s="25" t="str">
        <f ca="1">INDIRECT(_xlfn.TEXTJOIN("",TRUE,A2081,"!",ADDRESS(16+(A2082-1)*J2081,6)))</f>
        <v/>
      </c>
      <c r="I2088" s="25" t="str">
        <f ca="1">INDIRECT(_xlfn.TEXTJOIN("",TRUE,A2081,"!",ADDRESS(16+(A2082-1)*J2081,13)))</f>
        <v/>
      </c>
      <c r="J2088" s="25" t="e">
        <f ca="1">INDIRECT(_xlfn.TEXTJOIN("",TRUE,A2081,"!",ADDRESS(16+(A2082-1)*J2081,14)))</f>
        <v>#N/A</v>
      </c>
    </row>
    <row r="2089" spans="1:10" ht="10.5" customHeight="1" x14ac:dyDescent="0.2">
      <c r="A2089" s="65" t="str">
        <f ca="1">INDIRECT(_xlfn.TEXTJOIN("",TRUE,A2081,"!",ADDRESS(17+(A2082-1)*J2081,1)))</f>
        <v/>
      </c>
      <c r="B2089" s="65"/>
      <c r="C2089" s="66" t="str">
        <f ca="1">INDIRECT(_xlfn.TEXTJOIN("",TRUE,A2081,"!",ADDRESS(17+(A2082-1)*J2081,2)))</f>
        <v/>
      </c>
      <c r="D2089" s="66"/>
      <c r="E2089" s="66"/>
      <c r="F2089" s="66"/>
      <c r="G2089" s="66"/>
      <c r="H2089" s="25" t="str">
        <f ca="1">INDIRECT(_xlfn.TEXTJOIN("",TRUE,A2081,"!",ADDRESS(17+(A2082-1)*J2081,6)))</f>
        <v/>
      </c>
      <c r="I2089" s="25" t="str">
        <f ca="1">INDIRECT(_xlfn.TEXTJOIN("",TRUE,A2081,"!",ADDRESS(17+(A2082-1)*J2081,13)))</f>
        <v/>
      </c>
      <c r="J2089" s="25" t="e">
        <f ca="1">INDIRECT(_xlfn.TEXTJOIN("",TRUE,A2081,"!",ADDRESS(17+(A2082-1)*J2081,14)))</f>
        <v>#N/A</v>
      </c>
    </row>
    <row r="2090" spans="1:10" ht="10.5" customHeight="1" x14ac:dyDescent="0.2">
      <c r="A2090" s="65" t="str">
        <f ca="1">INDIRECT(_xlfn.TEXTJOIN("",TRUE,A2081,"!",ADDRESS(18+(A2082-1)*J2081,1)))</f>
        <v/>
      </c>
      <c r="B2090" s="65"/>
      <c r="C2090" s="66" t="str">
        <f ca="1">INDIRECT(_xlfn.TEXTJOIN("",TRUE,A2081,"!",ADDRESS(18+(A2082-1)*J2081,2)))</f>
        <v/>
      </c>
      <c r="D2090" s="66"/>
      <c r="E2090" s="66"/>
      <c r="F2090" s="66"/>
      <c r="G2090" s="66"/>
      <c r="H2090" s="25" t="str">
        <f ca="1">INDIRECT(_xlfn.TEXTJOIN("",TRUE,A2081,"!",ADDRESS(18+(A2082-1)*J2081,6)))</f>
        <v/>
      </c>
      <c r="I2090" s="25" t="str">
        <f ca="1">INDIRECT(_xlfn.TEXTJOIN("",TRUE,A2081,"!",ADDRESS(18+(A2082-1)*J2081,13)))</f>
        <v/>
      </c>
      <c r="J2090" s="25" t="e">
        <f ca="1">INDIRECT(_xlfn.TEXTJOIN("",TRUE,A2081,"!",ADDRESS(18+(A2082-1)*J2081,14)))</f>
        <v>#N/A</v>
      </c>
    </row>
    <row r="2091" spans="1:10" ht="10.5" customHeight="1" x14ac:dyDescent="0.2">
      <c r="A2091" s="60" t="str">
        <f ca="1">INDIRECT(_xlfn.TEXTJOIN("",TRUE,A2081,"!",ADDRESS(19+(A2082-1)*J2081,1)))</f>
        <v/>
      </c>
      <c r="B2091" s="61"/>
      <c r="C2091" s="57" t="str">
        <f ca="1">INDIRECT(_xlfn.TEXTJOIN("",TRUE,A2081,"!",ADDRESS(19+(A2082-1)*J2081,2)))</f>
        <v/>
      </c>
      <c r="D2091" s="58"/>
      <c r="E2091" s="58"/>
      <c r="F2091" s="58"/>
      <c r="G2091" s="59"/>
      <c r="H2091" s="25" t="str">
        <f ca="1">INDIRECT(_xlfn.TEXTJOIN("",TRUE,A2081,"!",ADDRESS(19+(A2082-1)*J2081,6)))</f>
        <v/>
      </c>
      <c r="I2091" s="25" t="str">
        <f ca="1">INDIRECT(_xlfn.TEXTJOIN("",TRUE,A2081,"!",ADDRESS(19+(A2082-1)*J2081,13)))</f>
        <v/>
      </c>
      <c r="J2091" s="25" t="e">
        <f ca="1">INDIRECT(_xlfn.TEXTJOIN("",TRUE,A2081,"!",ADDRESS(19+(A2082-1)*J2081,14)))</f>
        <v>#N/A</v>
      </c>
    </row>
    <row r="2092" spans="1:10" ht="10.5" customHeight="1" x14ac:dyDescent="0.2">
      <c r="A2092" s="65" t="str">
        <f ca="1">INDIRECT(_xlfn.TEXTJOIN("",TRUE,A2081,"!",ADDRESS(20+(A2082-1)*J2081,1)))</f>
        <v/>
      </c>
      <c r="B2092" s="65"/>
      <c r="C2092" s="66" t="str">
        <f ca="1">INDIRECT(_xlfn.TEXTJOIN("",TRUE,A2081,"!",ADDRESS(20+(A2082-1)*J2081,2)))</f>
        <v/>
      </c>
      <c r="D2092" s="66"/>
      <c r="E2092" s="66"/>
      <c r="F2092" s="66"/>
      <c r="G2092" s="66"/>
      <c r="H2092" s="25" t="str">
        <f ca="1">INDIRECT(_xlfn.TEXTJOIN("",TRUE,A2081,"!",ADDRESS(20+(A2082-1)*J2081,6)))</f>
        <v/>
      </c>
      <c r="I2092" s="25" t="str">
        <f ca="1">INDIRECT(_xlfn.TEXTJOIN("",TRUE,A2081,"!",ADDRESS(20+(A2082-1)*J2081,13)))</f>
        <v/>
      </c>
      <c r="J2092" s="25" t="e">
        <f ca="1">INDIRECT(_xlfn.TEXTJOIN("",TRUE,A2081,"!",ADDRESS(20+(A2082-1)*J2081,14)))</f>
        <v>#N/A</v>
      </c>
    </row>
    <row r="2093" spans="1:10" ht="10.5" customHeight="1" x14ac:dyDescent="0.2">
      <c r="A2093" s="65" t="str">
        <f ca="1">INDIRECT(_xlfn.TEXTJOIN("",TRUE,A2081,"!",ADDRESS(21+(A2082-1)*J2081,1)))</f>
        <v/>
      </c>
      <c r="B2093" s="65"/>
      <c r="C2093" s="66" t="str">
        <f ca="1">INDIRECT(_xlfn.TEXTJOIN("",TRUE,A2081,"!",ADDRESS(21+(A2082-1)*J2081,2)))</f>
        <v/>
      </c>
      <c r="D2093" s="66"/>
      <c r="E2093" s="66"/>
      <c r="F2093" s="66"/>
      <c r="G2093" s="66"/>
      <c r="H2093" s="25" t="str">
        <f ca="1">INDIRECT(_xlfn.TEXTJOIN("",TRUE,A2081,"!",ADDRESS(21+(A2082-1)*J2081,6)))</f>
        <v/>
      </c>
      <c r="I2093" s="25" t="str">
        <f ca="1">INDIRECT(_xlfn.TEXTJOIN("",TRUE,A2081,"!",ADDRESS(21+(A2082-1)*J2081,13)))</f>
        <v/>
      </c>
      <c r="J2093" s="25" t="e">
        <f ca="1">INDIRECT(_xlfn.TEXTJOIN("",TRUE,A2081,"!",ADDRESS(21+(A2082-1)*J2081,14)))</f>
        <v>#N/A</v>
      </c>
    </row>
    <row r="2094" spans="1:10" ht="10.5" customHeight="1" x14ac:dyDescent="0.2">
      <c r="A2094" s="65" t="str">
        <f ca="1">INDIRECT(_xlfn.TEXTJOIN("",TRUE,A2081,"!",ADDRESS(22+(A2082-1)*J2081,1)))</f>
        <v/>
      </c>
      <c r="B2094" s="65"/>
      <c r="C2094" s="66" t="str">
        <f ca="1">INDIRECT(_xlfn.TEXTJOIN("",TRUE,A2081,"!",ADDRESS(22+(A2082-1)*J2081,2)))</f>
        <v/>
      </c>
      <c r="D2094" s="66"/>
      <c r="E2094" s="66"/>
      <c r="F2094" s="66"/>
      <c r="G2094" s="66"/>
      <c r="H2094" s="25" t="str">
        <f ca="1">INDIRECT(_xlfn.TEXTJOIN("",TRUE,A2081,"!",ADDRESS(22+(A2082-1)*J2081,6)))</f>
        <v/>
      </c>
      <c r="I2094" s="25" t="str">
        <f ca="1">INDIRECT(_xlfn.TEXTJOIN("",TRUE,A2081,"!",ADDRESS(22+(A2082-1)*J2081,13)))</f>
        <v/>
      </c>
      <c r="J2094" s="25" t="e">
        <f ca="1">INDIRECT(_xlfn.TEXTJOIN("",TRUE,A2081,"!",ADDRESS(22+(A2082-1)*J2081,14)))</f>
        <v>#N/A</v>
      </c>
    </row>
    <row r="2095" spans="1:10" ht="10.5" customHeight="1" x14ac:dyDescent="0.2">
      <c r="A2095" s="65" t="str">
        <f ca="1">INDIRECT(_xlfn.TEXTJOIN("",TRUE,A2081,"!",ADDRESS(23+(A2082-1)*J2081,1)))</f>
        <v/>
      </c>
      <c r="B2095" s="65"/>
      <c r="C2095" s="66" t="str">
        <f ca="1">INDIRECT(_xlfn.TEXTJOIN("",TRUE,A2081,"!",ADDRESS(23+(A2082-1)*J2081,2)))</f>
        <v/>
      </c>
      <c r="D2095" s="66"/>
      <c r="E2095" s="66"/>
      <c r="F2095" s="66"/>
      <c r="G2095" s="66"/>
      <c r="H2095" s="25" t="str">
        <f ca="1">INDIRECT(_xlfn.TEXTJOIN("",TRUE,A2081,"!",ADDRESS(23+(A2082-1)*J2081,6)))</f>
        <v/>
      </c>
      <c r="I2095" s="25" t="str">
        <f ca="1">INDIRECT(_xlfn.TEXTJOIN("",TRUE,A2081,"!",ADDRESS(23+(A2082-1)*J2081,13)))</f>
        <v/>
      </c>
      <c r="J2095" s="25" t="e">
        <f ca="1">INDIRECT(_xlfn.TEXTJOIN("",TRUE,A2081,"!",ADDRESS(23+(A2082-1)*J2081,14)))</f>
        <v>#N/A</v>
      </c>
    </row>
    <row r="2096" spans="1:10" ht="10.5" customHeight="1" x14ac:dyDescent="0.2">
      <c r="A2096" s="65" t="str">
        <f ca="1">INDIRECT(_xlfn.TEXTJOIN("",TRUE,A2081,"!",ADDRESS(24+(A2082-1)*J2081,1)))</f>
        <v/>
      </c>
      <c r="B2096" s="65"/>
      <c r="C2096" s="66" t="str">
        <f ca="1">INDIRECT(_xlfn.TEXTJOIN("",TRUE,A2081,"!",ADDRESS(24+(A2082-1)*J2081,2)))</f>
        <v/>
      </c>
      <c r="D2096" s="66"/>
      <c r="E2096" s="66"/>
      <c r="F2096" s="66"/>
      <c r="G2096" s="66"/>
      <c r="H2096" s="25" t="str">
        <f ca="1">INDIRECT(_xlfn.TEXTJOIN("",TRUE,A2081,"!",ADDRESS(24+(A2082-1)*J2081,6)))</f>
        <v/>
      </c>
      <c r="I2096" s="25" t="str">
        <f ca="1">INDIRECT(_xlfn.TEXTJOIN("",TRUE,A2081,"!",ADDRESS(24+(A2082-1)*J2081,13)))</f>
        <v/>
      </c>
      <c r="J2096" s="25" t="e">
        <f ca="1">INDIRECT(_xlfn.TEXTJOIN("",TRUE,A2081,"!",ADDRESS(24+(A2082-1)*J2081,14)))</f>
        <v>#N/A</v>
      </c>
    </row>
    <row r="2097" spans="1:10" ht="10.5" customHeight="1" x14ac:dyDescent="0.2">
      <c r="A2097" s="65" t="str">
        <f ca="1">INDIRECT(_xlfn.TEXTJOIN("",TRUE,A2081,"!",ADDRESS(25+(A2082-1)*J2081,1)))</f>
        <v/>
      </c>
      <c r="B2097" s="65"/>
      <c r="C2097" s="66" t="str">
        <f ca="1">INDIRECT(_xlfn.TEXTJOIN("",TRUE,A2081,"!",ADDRESS(25+(A2082-1)*J2081,2)))</f>
        <v/>
      </c>
      <c r="D2097" s="66"/>
      <c r="E2097" s="66"/>
      <c r="F2097" s="66"/>
      <c r="G2097" s="66"/>
      <c r="H2097" s="25" t="str">
        <f ca="1">INDIRECT(_xlfn.TEXTJOIN("",TRUE,A2081,"!",ADDRESS(25+(A2082-1)*J2081,6)))</f>
        <v/>
      </c>
      <c r="I2097" s="25" t="str">
        <f ca="1">INDIRECT(_xlfn.TEXTJOIN("",TRUE,A2081,"!",ADDRESS(25+(A2082-1)*J2081,13)))</f>
        <v/>
      </c>
      <c r="J2097" s="25" t="e">
        <f ca="1">INDIRECT(_xlfn.TEXTJOIN("",TRUE,A2081,"!",ADDRESS(25+(A2082-1)*J2081,14)))</f>
        <v>#N/A</v>
      </c>
    </row>
    <row r="2098" spans="1:10" s="35" customFormat="1" ht="10.5" customHeight="1" x14ac:dyDescent="0.2">
      <c r="A2098" s="77" t="str">
        <f ca="1">INDIRECT(_xlfn.TEXTJOIN("",TRUE,A2081,"!",ADDRESS(26+(A2082-1)*J2081,1)))</f>
        <v/>
      </c>
      <c r="B2098" s="77"/>
      <c r="C2098" s="78" t="str">
        <f ca="1">INDIRECT(_xlfn.TEXTJOIN("",TRUE,A2081,"!",ADDRESS(26+(A2082-1)*J2081,2)))</f>
        <v/>
      </c>
      <c r="D2098" s="78"/>
      <c r="E2098" s="78"/>
      <c r="F2098" s="78"/>
      <c r="G2098" s="78"/>
      <c r="H2098" s="34" t="str">
        <f ca="1">INDIRECT(_xlfn.TEXTJOIN("",TRUE,A2081,"!",ADDRESS(26+(A2082-1)*J2081,6)))</f>
        <v/>
      </c>
      <c r="I2098" s="34" t="b">
        <f ca="1">INDIRECT(_xlfn.TEXTJOIN("",TRUE,A2081,"!",ADDRESS(26+(A2082-1)*J2081,13)))</f>
        <v>0</v>
      </c>
      <c r="J2098" s="34" t="e">
        <f ca="1">INDIRECT(_xlfn.TEXTJOIN("",TRUE,A2081,"!",ADDRESS(26+(A2082-1)*J2081,14)))</f>
        <v>#N/A</v>
      </c>
    </row>
    <row r="2099" spans="1:10" ht="10.5" customHeight="1" x14ac:dyDescent="0.2">
      <c r="A2099" s="71" t="s">
        <v>52</v>
      </c>
      <c r="B2099" s="71"/>
      <c r="C2099" s="71"/>
      <c r="D2099" s="71"/>
      <c r="E2099" s="71"/>
      <c r="F2099" s="71"/>
      <c r="G2099" s="71"/>
      <c r="H2099" s="27">
        <f ca="1">SUM(H2085:H2098)</f>
        <v>0</v>
      </c>
      <c r="I2099" s="26" t="s">
        <v>44</v>
      </c>
      <c r="J2099" s="27" t="e">
        <f ca="1">SUMPRODUCT(J2085:J2097,H2085:H2097)</f>
        <v>#N/A</v>
      </c>
    </row>
    <row r="2100" spans="1:10" ht="10.5" customHeight="1" x14ac:dyDescent="0.2">
      <c r="A2100" s="24" t="s">
        <v>57</v>
      </c>
      <c r="B2100" s="72" t="str">
        <f ca="1">IF(ISNA(A2101),"","Semester II (Spring Semester 2022-23)")</f>
        <v/>
      </c>
      <c r="C2100" s="72"/>
      <c r="D2100" s="72"/>
      <c r="E2100" s="72"/>
      <c r="F2100" s="72"/>
      <c r="G2100" s="72"/>
      <c r="H2100" s="72"/>
      <c r="I2100" s="72"/>
      <c r="J2100" s="24">
        <f>ROWS(A2104:B2113)+9</f>
        <v>19</v>
      </c>
    </row>
    <row r="2101" spans="1:10" ht="10.5" customHeight="1" x14ac:dyDescent="0.2">
      <c r="A2101" s="24" t="e">
        <f ca="1">INDEX(SEM_II!$A$6:$A$45,Marksheets!J2101)</f>
        <v>#N/A</v>
      </c>
      <c r="B2101" s="63"/>
      <c r="C2101" s="63"/>
      <c r="D2101" s="63"/>
      <c r="E2101" s="63"/>
      <c r="F2101" s="63"/>
      <c r="G2101" s="63"/>
      <c r="H2101" s="63"/>
      <c r="I2101" s="63"/>
      <c r="J2101" s="24" t="e">
        <f ca="1">MATCH(H2079,SEM_II!$B$6:$B$45,0)</f>
        <v>#N/A</v>
      </c>
    </row>
    <row r="2102" spans="1:10" ht="10.5" customHeight="1" x14ac:dyDescent="0.2">
      <c r="A2102" s="64" t="str">
        <f ca="1">IF(ISNA(A2101),"","Subject Code")</f>
        <v/>
      </c>
      <c r="B2102" s="64"/>
      <c r="C2102" s="64" t="str">
        <f ca="1">IF(ISNA(A2101),"","Subject Name")</f>
        <v/>
      </c>
      <c r="D2102" s="64"/>
      <c r="E2102" s="64"/>
      <c r="F2102" s="64"/>
      <c r="G2102" s="64"/>
      <c r="H2102" s="64" t="str">
        <f ca="1">IF(ISNA(A2101),"","Credits")</f>
        <v/>
      </c>
      <c r="I2102" s="64" t="str">
        <f ca="1">IF(ISNA(A2101),"","Grade")</f>
        <v/>
      </c>
      <c r="J2102" s="64" t="str">
        <f ca="1">IF(ISNA(A2101),"","Grade Points")</f>
        <v/>
      </c>
    </row>
    <row r="2103" spans="1:10" ht="13" customHeight="1" x14ac:dyDescent="0.2">
      <c r="A2103" s="64"/>
      <c r="B2103" s="64"/>
      <c r="C2103" s="64"/>
      <c r="D2103" s="64"/>
      <c r="E2103" s="64"/>
      <c r="F2103" s="64"/>
      <c r="G2103" s="64"/>
      <c r="H2103" s="64"/>
      <c r="I2103" s="64"/>
      <c r="J2103" s="64"/>
    </row>
    <row r="2104" spans="1:10" ht="10.5" customHeight="1" x14ac:dyDescent="0.2">
      <c r="A2104" s="65" t="str">
        <f ca="1">_xlfn.IFNA(INDIRECT(_xlfn.TEXTJOIN("",TRUE,A2100,"!",ADDRESS(13+(A2101-1)*J2100,1))),"")</f>
        <v/>
      </c>
      <c r="B2104" s="65"/>
      <c r="C2104" s="66" t="str">
        <f ca="1">_xlfn.IFNA(INDIRECT(_xlfn.TEXTJOIN("",TRUE,A2100,"!",ADDRESS(13+(A2101-1)*J2100,2))),"")</f>
        <v/>
      </c>
      <c r="D2104" s="66"/>
      <c r="E2104" s="66"/>
      <c r="F2104" s="66"/>
      <c r="G2104" s="66"/>
      <c r="H2104" s="25" t="str">
        <f ca="1">_xlfn.IFNA(INDIRECT(_xlfn.TEXTJOIN("",TRUE,A2100,"!",ADDRESS(13+(A2101-1)*J2100,6))),"")</f>
        <v/>
      </c>
      <c r="I2104" s="25" t="str">
        <f ca="1">_xlfn.IFNA(INDIRECT(_xlfn.TEXTJOIN("",TRUE,A2100,"!",ADDRESS(13+(A2101-1)*J2100,13))),"")</f>
        <v/>
      </c>
      <c r="J2104" s="25" t="str">
        <f ca="1">_xlfn.IFNA(INDIRECT(_xlfn.TEXTJOIN("",TRUE,A2100,"!",ADDRESS(13+(A2101-1)*J2100,14))),"")</f>
        <v/>
      </c>
    </row>
    <row r="2105" spans="1:10" ht="10.5" customHeight="1" x14ac:dyDescent="0.2">
      <c r="A2105" s="65" t="str">
        <f ca="1">_xlfn.IFNA(INDIRECT(_xlfn.TEXTJOIN("",TRUE,A2100,"!",ADDRESS(14+(A2101-1)*J2100,1))),"")</f>
        <v/>
      </c>
      <c r="B2105" s="65"/>
      <c r="C2105" s="66" t="str">
        <f ca="1">_xlfn.IFNA(INDIRECT(_xlfn.TEXTJOIN("",TRUE,A2100,"!",ADDRESS(14+(A2101-1)*J2100,2))),"")</f>
        <v/>
      </c>
      <c r="D2105" s="66"/>
      <c r="E2105" s="66"/>
      <c r="F2105" s="66"/>
      <c r="G2105" s="66"/>
      <c r="H2105" s="25" t="str">
        <f ca="1">_xlfn.IFNA(INDIRECT(_xlfn.TEXTJOIN("",TRUE,A2100,"!",ADDRESS(14+(A2101-1)*J2100,6))),"")</f>
        <v/>
      </c>
      <c r="I2105" s="25" t="str">
        <f ca="1">_xlfn.IFNA(INDIRECT(_xlfn.TEXTJOIN("",TRUE,A2100,"!",ADDRESS(14+(A2101-1)*J2100,13))),"")</f>
        <v/>
      </c>
      <c r="J2105" s="25" t="str">
        <f ca="1">_xlfn.IFNA(INDIRECT(_xlfn.TEXTJOIN("",TRUE,A2100,"!",ADDRESS(14+(A2101-1)*J2100,14))),"")</f>
        <v/>
      </c>
    </row>
    <row r="2106" spans="1:10" ht="10.5" customHeight="1" x14ac:dyDescent="0.2">
      <c r="A2106" s="65" t="str">
        <f ca="1">_xlfn.IFNA(INDIRECT(_xlfn.TEXTJOIN("",TRUE,A2100,"!",ADDRESS(15+(A2101-1)*J2100,1))),"")</f>
        <v/>
      </c>
      <c r="B2106" s="65"/>
      <c r="C2106" s="66" t="str">
        <f ca="1">_xlfn.IFNA(INDIRECT(_xlfn.TEXTJOIN("",TRUE,A2100,"!",ADDRESS(15+(A2101-1)*J2100,2))),"")</f>
        <v/>
      </c>
      <c r="D2106" s="66"/>
      <c r="E2106" s="66"/>
      <c r="F2106" s="66"/>
      <c r="G2106" s="66"/>
      <c r="H2106" s="25" t="str">
        <f ca="1">_xlfn.IFNA(INDIRECT(_xlfn.TEXTJOIN("",TRUE,A2100,"!",ADDRESS(15+(A2101-1)*J2100,6))),"")</f>
        <v/>
      </c>
      <c r="I2106" s="25" t="str">
        <f ca="1">_xlfn.IFNA(INDIRECT(_xlfn.TEXTJOIN("",TRUE,A2100,"!",ADDRESS(15+(A2101-1)*J2100,13))),"")</f>
        <v/>
      </c>
      <c r="J2106" s="25" t="str">
        <f ca="1">_xlfn.IFNA(INDIRECT(_xlfn.TEXTJOIN("",TRUE,A2100,"!",ADDRESS(15+(A2101-1)*J2100,14))),"")</f>
        <v/>
      </c>
    </row>
    <row r="2107" spans="1:10" ht="10.5" customHeight="1" x14ac:dyDescent="0.2">
      <c r="A2107" s="65" t="str">
        <f ca="1">_xlfn.IFNA(INDIRECT(_xlfn.TEXTJOIN("",TRUE,A2100,"!",ADDRESS(16+(A2101-1)*J2100,1))),"")</f>
        <v/>
      </c>
      <c r="B2107" s="65"/>
      <c r="C2107" s="66" t="str">
        <f ca="1">_xlfn.IFNA(INDIRECT(_xlfn.TEXTJOIN("",TRUE,A2100,"!",ADDRESS(16+(A2101-1)*J2100,2))),"")</f>
        <v/>
      </c>
      <c r="D2107" s="66"/>
      <c r="E2107" s="66"/>
      <c r="F2107" s="66"/>
      <c r="G2107" s="66"/>
      <c r="H2107" s="25" t="str">
        <f ca="1">_xlfn.IFNA(INDIRECT(_xlfn.TEXTJOIN("",TRUE,A2100,"!",ADDRESS(16+(A2101-1)*J2100,6))),"")</f>
        <v/>
      </c>
      <c r="I2107" s="25" t="str">
        <f ca="1">_xlfn.IFNA(INDIRECT(_xlfn.TEXTJOIN("",TRUE,A2100,"!",ADDRESS(16+(A2101-1)*J2100,13))),"")</f>
        <v/>
      </c>
      <c r="J2107" s="25" t="str">
        <f ca="1">_xlfn.IFNA(INDIRECT(_xlfn.TEXTJOIN("",TRUE,A2100,"!",ADDRESS(16+(A2101-1)*J2100,14))),"")</f>
        <v/>
      </c>
    </row>
    <row r="2108" spans="1:10" ht="10.5" customHeight="1" x14ac:dyDescent="0.2">
      <c r="A2108" s="65" t="str">
        <f ca="1">_xlfn.IFNA(INDIRECT(_xlfn.TEXTJOIN("",TRUE,A2100,"!",ADDRESS(17+(A2101-1)*J2100,1))),"")</f>
        <v/>
      </c>
      <c r="B2108" s="65"/>
      <c r="C2108" s="66" t="str">
        <f ca="1">_xlfn.IFNA(INDIRECT(_xlfn.TEXTJOIN("",TRUE,A2100,"!",ADDRESS(17+(A2101-1)*J2100,2))),"")</f>
        <v/>
      </c>
      <c r="D2108" s="66"/>
      <c r="E2108" s="66"/>
      <c r="F2108" s="66"/>
      <c r="G2108" s="66"/>
      <c r="H2108" s="25" t="str">
        <f ca="1">_xlfn.IFNA(INDIRECT(_xlfn.TEXTJOIN("",TRUE,A2100,"!",ADDRESS(17+(A2101-1)*J2100,6))),"")</f>
        <v/>
      </c>
      <c r="I2108" s="25" t="str">
        <f ca="1">_xlfn.IFNA(INDIRECT(_xlfn.TEXTJOIN("",TRUE,A2100,"!",ADDRESS(17+(A2101-1)*J2100,13))),"")</f>
        <v/>
      </c>
      <c r="J2108" s="25" t="str">
        <f ca="1">_xlfn.IFNA(INDIRECT(_xlfn.TEXTJOIN("",TRUE,A2100,"!",ADDRESS(17+(A2101-1)*J2100,14))),"")</f>
        <v/>
      </c>
    </row>
    <row r="2109" spans="1:10" ht="10.5" customHeight="1" x14ac:dyDescent="0.2">
      <c r="A2109" s="65" t="str">
        <f ca="1">_xlfn.IFNA(INDIRECT(_xlfn.TEXTJOIN("",TRUE,A2100,"!",ADDRESS(18+(A2101-1)*J2100,1))),"")</f>
        <v/>
      </c>
      <c r="B2109" s="65"/>
      <c r="C2109" s="66" t="str">
        <f ca="1">_xlfn.IFNA(INDIRECT(_xlfn.TEXTJOIN("",TRUE,A2100,"!",ADDRESS(18+(A2101-1)*J2100,2))),"")</f>
        <v/>
      </c>
      <c r="D2109" s="66"/>
      <c r="E2109" s="66"/>
      <c r="F2109" s="66"/>
      <c r="G2109" s="66"/>
      <c r="H2109" s="25" t="str">
        <f ca="1">_xlfn.IFNA(INDIRECT(_xlfn.TEXTJOIN("",TRUE,A2100,"!",ADDRESS(18+(A2101-1)*J2100,6))),"")</f>
        <v/>
      </c>
      <c r="I2109" s="25" t="str">
        <f ca="1">_xlfn.IFNA(INDIRECT(_xlfn.TEXTJOIN("",TRUE,A2100,"!",ADDRESS(18+(A2101-1)*J2100,13))),"")</f>
        <v/>
      </c>
      <c r="J2109" s="25" t="str">
        <f ca="1">_xlfn.IFNA(INDIRECT(_xlfn.TEXTJOIN("",TRUE,A2100,"!",ADDRESS(18+(A2101-1)*J2100,14))),"")</f>
        <v/>
      </c>
    </row>
    <row r="2110" spans="1:10" ht="10.5" customHeight="1" x14ac:dyDescent="0.2">
      <c r="A2110" s="60" t="str">
        <f ca="1">_xlfn.IFNA(INDIRECT(_xlfn.TEXTJOIN("",TRUE,A2100,"!",ADDRESS(19+(A2101-1)*J2100,1))),"")</f>
        <v/>
      </c>
      <c r="B2110" s="61"/>
      <c r="C2110" s="57" t="str">
        <f ca="1">_xlfn.IFNA(INDIRECT(_xlfn.TEXTJOIN("",TRUE,A2100,"!",ADDRESS(19+(A2101-1)*J2100,2))),"")</f>
        <v/>
      </c>
      <c r="D2110" s="58"/>
      <c r="E2110" s="58"/>
      <c r="F2110" s="58"/>
      <c r="G2110" s="59"/>
      <c r="H2110" s="25" t="str">
        <f ca="1">_xlfn.IFNA(INDIRECT(_xlfn.TEXTJOIN("",TRUE,A2100,"!",ADDRESS(19+(A2101-1)*J2100,6))),"")</f>
        <v/>
      </c>
      <c r="I2110" s="25" t="str">
        <f ca="1">_xlfn.IFNA(INDIRECT(_xlfn.TEXTJOIN("",TRUE,A2100,"!",ADDRESS(19+(A2101-1)*J2100,13))),"")</f>
        <v/>
      </c>
      <c r="J2110" s="25" t="str">
        <f ca="1">_xlfn.IFNA(INDIRECT(_xlfn.TEXTJOIN("",TRUE,A2100,"!",ADDRESS(19+(A2101-1)*J2100,14))),"")</f>
        <v/>
      </c>
    </row>
    <row r="2111" spans="1:10" ht="10.5" customHeight="1" x14ac:dyDescent="0.2">
      <c r="A2111" s="65" t="str">
        <f ca="1">_xlfn.IFNA(INDIRECT(_xlfn.TEXTJOIN("",TRUE,A2100,"!",ADDRESS(20+(A2101-1)*J2100,1))),"")</f>
        <v/>
      </c>
      <c r="B2111" s="65"/>
      <c r="C2111" s="66" t="str">
        <f ca="1">_xlfn.IFNA(INDIRECT(_xlfn.TEXTJOIN("",TRUE,A2100,"!",ADDRESS(20+(A2101-1)*J2100,2))),"")</f>
        <v/>
      </c>
      <c r="D2111" s="66"/>
      <c r="E2111" s="66"/>
      <c r="F2111" s="66"/>
      <c r="G2111" s="66"/>
      <c r="H2111" s="25" t="str">
        <f ca="1">_xlfn.IFNA(INDIRECT(_xlfn.TEXTJOIN("",TRUE,A2100,"!",ADDRESS(20+(A2101-1)*J2100,6))),"")</f>
        <v/>
      </c>
      <c r="I2111" s="25" t="str">
        <f ca="1">_xlfn.IFNA(INDIRECT(_xlfn.TEXTJOIN("",TRUE,A2100,"!",ADDRESS(20+(A2101-1)*J2100,13))),"")</f>
        <v/>
      </c>
      <c r="J2111" s="25" t="str">
        <f ca="1">_xlfn.IFNA(INDIRECT(_xlfn.TEXTJOIN("",TRUE,A2100,"!",ADDRESS(20+(A2101-1)*J2100,14))),"")</f>
        <v/>
      </c>
    </row>
    <row r="2112" spans="1:10" ht="10.5" customHeight="1" x14ac:dyDescent="0.2">
      <c r="A2112" s="65" t="str">
        <f ca="1">_xlfn.IFNA(INDIRECT(_xlfn.TEXTJOIN("",TRUE,A2100,"!",ADDRESS(21+(A2101-1)*J2100,1))),"")</f>
        <v/>
      </c>
      <c r="B2112" s="65"/>
      <c r="C2112" s="66" t="str">
        <f ca="1">_xlfn.IFNA(INDIRECT(_xlfn.TEXTJOIN("",TRUE,A2100,"!",ADDRESS(21+(A2101-1)*J2100,2))),"")</f>
        <v/>
      </c>
      <c r="D2112" s="66"/>
      <c r="E2112" s="66"/>
      <c r="F2112" s="66"/>
      <c r="G2112" s="66"/>
      <c r="H2112" s="25" t="str">
        <f ca="1">_xlfn.IFNA(INDIRECT(_xlfn.TEXTJOIN("",TRUE,A2100,"!",ADDRESS(21+(A2101-1)*J2100,6))),"")</f>
        <v/>
      </c>
      <c r="I2112" s="25" t="str">
        <f ca="1">_xlfn.IFNA(INDIRECT(_xlfn.TEXTJOIN("",TRUE,A2100,"!",ADDRESS(21+(A2101-1)*J2100,13))),"")</f>
        <v/>
      </c>
      <c r="J2112" s="25" t="str">
        <f ca="1">_xlfn.IFNA(INDIRECT(_xlfn.TEXTJOIN("",TRUE,A2100,"!",ADDRESS(21+(A2101-1)*J2100,14))),"")</f>
        <v/>
      </c>
    </row>
    <row r="2113" spans="1:10" ht="10.5" customHeight="1" x14ac:dyDescent="0.2">
      <c r="A2113" s="65" t="str">
        <f ca="1">_xlfn.IFNA(INDIRECT(_xlfn.TEXTJOIN("",TRUE,A2100,"!",ADDRESS(22+(A2101-1)*J2100,1))),"")</f>
        <v/>
      </c>
      <c r="B2113" s="65"/>
      <c r="C2113" s="66" t="str">
        <f ca="1">_xlfn.IFNA(INDIRECT(_xlfn.TEXTJOIN("",TRUE,A2100,"!",ADDRESS(22+(A2101-1)*J2100,2))),"")</f>
        <v/>
      </c>
      <c r="D2113" s="66"/>
      <c r="E2113" s="66"/>
      <c r="F2113" s="66"/>
      <c r="G2113" s="66"/>
      <c r="H2113" s="25" t="str">
        <f ca="1">_xlfn.IFNA(INDIRECT(_xlfn.TEXTJOIN("",TRUE,A2100,"!",ADDRESS(22+(A2101-1)*J2100,6))),"")</f>
        <v/>
      </c>
      <c r="I2113" s="25" t="str">
        <f ca="1">_xlfn.IFNA(INDIRECT(_xlfn.TEXTJOIN("",TRUE,A2100,"!",ADDRESS(22+(A2101-1)*J2100,13))),"")</f>
        <v/>
      </c>
      <c r="J2113" s="25" t="str">
        <f ca="1">_xlfn.IFNA(INDIRECT(_xlfn.TEXTJOIN("",TRUE,A2100,"!",ADDRESS(22+(A2101-1)*J2100,14))),"")</f>
        <v/>
      </c>
    </row>
    <row r="2114" spans="1:10" ht="10.5" customHeight="1" x14ac:dyDescent="0.2">
      <c r="A2114" s="71" t="str">
        <f ca="1">IF(ISNA(A2101),"","Total Credits/ Total Grade Points")</f>
        <v/>
      </c>
      <c r="B2114" s="71"/>
      <c r="C2114" s="71"/>
      <c r="D2114" s="71"/>
      <c r="E2114" s="71"/>
      <c r="F2114" s="71"/>
      <c r="G2114" s="71"/>
      <c r="H2114" s="27" t="str">
        <f ca="1">IF(ISNA(A2101),"",SUM(H2104:H2113))</f>
        <v/>
      </c>
      <c r="I2114" s="26" t="str">
        <f ca="1">IF(ISNA(A2101),"","-")</f>
        <v/>
      </c>
      <c r="J2114" s="27" t="str">
        <f ca="1">IF(ISNA(A2101),"",SUMPRODUCT(J2104:J2113,H2104:H2113))</f>
        <v/>
      </c>
    </row>
    <row r="2115" spans="1:10" ht="10.5" customHeight="1" x14ac:dyDescent="0.2">
      <c r="A2115" s="24" t="s">
        <v>60</v>
      </c>
      <c r="B2115" s="72" t="str">
        <f ca="1">IF(ISNA(A2116),"","Semester III (Autumn Semester 2023-24)")</f>
        <v/>
      </c>
      <c r="C2115" s="72"/>
      <c r="D2115" s="72"/>
      <c r="E2115" s="72"/>
      <c r="F2115" s="72"/>
      <c r="G2115" s="72"/>
      <c r="H2115" s="72"/>
      <c r="I2115" s="72"/>
      <c r="J2115" s="24">
        <f>ROWS(A2119:B2126)+9</f>
        <v>17</v>
      </c>
    </row>
    <row r="2116" spans="1:10" ht="10.5" customHeight="1" x14ac:dyDescent="0.2">
      <c r="A2116" s="24" t="e">
        <f ca="1">INDEX(SEM_III!$A$6:$A$43,Marksheets!J2116)</f>
        <v>#N/A</v>
      </c>
      <c r="B2116" s="63"/>
      <c r="C2116" s="63"/>
      <c r="D2116" s="63"/>
      <c r="E2116" s="63"/>
      <c r="F2116" s="63"/>
      <c r="G2116" s="63"/>
      <c r="H2116" s="63"/>
      <c r="I2116" s="63"/>
      <c r="J2116" s="24" t="e">
        <f ca="1">MATCH(H2079,SEM_III!$B$6:$B$43,0)</f>
        <v>#N/A</v>
      </c>
    </row>
    <row r="2117" spans="1:10" ht="10.5" customHeight="1" x14ac:dyDescent="0.2">
      <c r="A2117" s="64" t="str">
        <f ca="1">IF(ISNA(A2116),"","Subject Code")</f>
        <v/>
      </c>
      <c r="B2117" s="64"/>
      <c r="C2117" s="64" t="str">
        <f ca="1">IF(ISNA(A2116),"","Subject Name")</f>
        <v/>
      </c>
      <c r="D2117" s="64"/>
      <c r="E2117" s="64"/>
      <c r="F2117" s="64"/>
      <c r="G2117" s="64"/>
      <c r="H2117" s="64" t="str">
        <f ca="1">IF(ISNA(A2116),"","Credits")</f>
        <v/>
      </c>
      <c r="I2117" s="64" t="str">
        <f ca="1">IF(ISNA(A2116),"","Grade")</f>
        <v/>
      </c>
      <c r="J2117" s="64" t="str">
        <f ca="1">IF(ISNA(A2116),"","Grade Points")</f>
        <v/>
      </c>
    </row>
    <row r="2118" spans="1:10" ht="18" customHeight="1" x14ac:dyDescent="0.2">
      <c r="A2118" s="64"/>
      <c r="B2118" s="64"/>
      <c r="C2118" s="64"/>
      <c r="D2118" s="64"/>
      <c r="E2118" s="64"/>
      <c r="F2118" s="64"/>
      <c r="G2118" s="64"/>
      <c r="H2118" s="64"/>
      <c r="I2118" s="64"/>
      <c r="J2118" s="64"/>
    </row>
    <row r="2119" spans="1:10" ht="10.5" customHeight="1" x14ac:dyDescent="0.2">
      <c r="A2119" s="65" t="str">
        <f ca="1">_xlfn.IFNA(INDIRECT(_xlfn.TEXTJOIN("",TRUE,A2115,"!",ADDRESS(13+(A2116-1)*J2115,1))),"")</f>
        <v/>
      </c>
      <c r="B2119" s="65"/>
      <c r="C2119" s="66" t="str">
        <f ca="1">_xlfn.IFNA(INDIRECT(_xlfn.TEXTJOIN("",TRUE,A2115,"!",ADDRESS(13+(A2116-1)*J2115,2))),"")</f>
        <v/>
      </c>
      <c r="D2119" s="66"/>
      <c r="E2119" s="66"/>
      <c r="F2119" s="66"/>
      <c r="G2119" s="66"/>
      <c r="H2119" s="25" t="str">
        <f ca="1">_xlfn.IFNA(INDIRECT(_xlfn.TEXTJOIN("",TRUE,A2115,"!",ADDRESS(13+(A2116-1)*J2115,6))),"")</f>
        <v/>
      </c>
      <c r="I2119" s="25" t="str">
        <f ca="1">_xlfn.IFNA(INDIRECT(_xlfn.TEXTJOIN("",TRUE,A2115,"!",ADDRESS(13+(A2116-1)*J2115,13))),"")</f>
        <v/>
      </c>
      <c r="J2119" s="25" t="str">
        <f ca="1">_xlfn.IFNA(INDIRECT(_xlfn.TEXTJOIN("",TRUE,A2115,"!",ADDRESS(13+(A2116-1)*J2115,14))),"")</f>
        <v/>
      </c>
    </row>
    <row r="2120" spans="1:10" ht="10.5" customHeight="1" x14ac:dyDescent="0.2">
      <c r="A2120" s="65" t="str">
        <f ca="1">_xlfn.IFNA(INDIRECT(_xlfn.TEXTJOIN("",TRUE,A2115,"!",ADDRESS(14+(A2116-1)*J2115,1))),"")</f>
        <v/>
      </c>
      <c r="B2120" s="65"/>
      <c r="C2120" s="66" t="str">
        <f ca="1">_xlfn.IFNA(INDIRECT(_xlfn.TEXTJOIN("",TRUE,A2115,"!",ADDRESS(14+(A2116-1)*J2115,2))),"")</f>
        <v/>
      </c>
      <c r="D2120" s="66"/>
      <c r="E2120" s="66"/>
      <c r="F2120" s="66"/>
      <c r="G2120" s="66"/>
      <c r="H2120" s="25" t="str">
        <f ca="1">_xlfn.IFNA(INDIRECT(_xlfn.TEXTJOIN("",TRUE,A2115,"!",ADDRESS(14+(A2116-1)*J2115,6))),"")</f>
        <v/>
      </c>
      <c r="I2120" s="25" t="str">
        <f ca="1">_xlfn.IFNA(INDIRECT(_xlfn.TEXTJOIN("",TRUE,A2115,"!",ADDRESS(14+(A2116-1)*J2115,13))),"")</f>
        <v/>
      </c>
      <c r="J2120" s="25" t="str">
        <f ca="1">_xlfn.IFNA(INDIRECT(_xlfn.TEXTJOIN("",TRUE,A2115,"!",ADDRESS(14+(A2116-1)*J2115,14))),"")</f>
        <v/>
      </c>
    </row>
    <row r="2121" spans="1:10" ht="10.5" customHeight="1" x14ac:dyDescent="0.2">
      <c r="A2121" s="65" t="str">
        <f ca="1">_xlfn.IFNA(INDIRECT(_xlfn.TEXTJOIN("",TRUE,A2115,"!",ADDRESS(15+(A2116-1)*J2115,1))),"")</f>
        <v/>
      </c>
      <c r="B2121" s="65"/>
      <c r="C2121" s="66" t="str">
        <f ca="1">_xlfn.IFNA(INDIRECT(_xlfn.TEXTJOIN("",TRUE,A2115,"!",ADDRESS(15+(A2116-1)*J2115,2))),"")</f>
        <v/>
      </c>
      <c r="D2121" s="66"/>
      <c r="E2121" s="66"/>
      <c r="F2121" s="66"/>
      <c r="G2121" s="66"/>
      <c r="H2121" s="25" t="str">
        <f ca="1">_xlfn.IFNA(INDIRECT(_xlfn.TEXTJOIN("",TRUE,A2115,"!",ADDRESS(15+(A2116-1)*J2115,6))),"")</f>
        <v/>
      </c>
      <c r="I2121" s="25" t="str">
        <f ca="1">_xlfn.IFNA(INDIRECT(_xlfn.TEXTJOIN("",TRUE,A2115,"!",ADDRESS(15+(A2116-1)*J2115,13))),"")</f>
        <v/>
      </c>
      <c r="J2121" s="25" t="str">
        <f ca="1">_xlfn.IFNA(INDIRECT(_xlfn.TEXTJOIN("",TRUE,A2115,"!",ADDRESS(15+(A2116-1)*J2115,14))),"")</f>
        <v/>
      </c>
    </row>
    <row r="2122" spans="1:10" ht="10.5" customHeight="1" x14ac:dyDescent="0.2">
      <c r="A2122" s="65" t="str">
        <f ca="1">_xlfn.IFNA(INDIRECT(_xlfn.TEXTJOIN("",TRUE,A2115,"!",ADDRESS(16+(A2116-1)*J2115,1))),"")</f>
        <v/>
      </c>
      <c r="B2122" s="65"/>
      <c r="C2122" s="66" t="str">
        <f ca="1">_xlfn.IFNA(INDIRECT(_xlfn.TEXTJOIN("",TRUE,A2115,"!",ADDRESS(16+(A2116-1)*J2115,2))),"")</f>
        <v/>
      </c>
      <c r="D2122" s="66"/>
      <c r="E2122" s="66"/>
      <c r="F2122" s="66"/>
      <c r="G2122" s="66"/>
      <c r="H2122" s="25" t="str">
        <f ca="1">_xlfn.IFNA(INDIRECT(_xlfn.TEXTJOIN("",TRUE,A2115,"!",ADDRESS(16+(A2116-1)*J2115,6))),"")</f>
        <v/>
      </c>
      <c r="I2122" s="25" t="str">
        <f ca="1">_xlfn.IFNA(INDIRECT(_xlfn.TEXTJOIN("",TRUE,A2115,"!",ADDRESS(16+(A2116-1)*J2115,13))),"")</f>
        <v/>
      </c>
      <c r="J2122" s="25" t="str">
        <f ca="1">_xlfn.IFNA(INDIRECT(_xlfn.TEXTJOIN("",TRUE,A2115,"!",ADDRESS(16+(A2116-1)*J2115,14))),"")</f>
        <v/>
      </c>
    </row>
    <row r="2123" spans="1:10" ht="10.5" customHeight="1" x14ac:dyDescent="0.2">
      <c r="A2123" s="65" t="str">
        <f ca="1">_xlfn.IFNA(INDIRECT(_xlfn.TEXTJOIN("",TRUE,A2115,"!",ADDRESS(17+(A2116-1)*J2115,1))),"")</f>
        <v/>
      </c>
      <c r="B2123" s="65"/>
      <c r="C2123" s="66" t="str">
        <f ca="1">_xlfn.IFNA(INDIRECT(_xlfn.TEXTJOIN("",TRUE,A2115,"!",ADDRESS(17+(A2116-1)*J2115,2))),"")</f>
        <v/>
      </c>
      <c r="D2123" s="66"/>
      <c r="E2123" s="66"/>
      <c r="F2123" s="66"/>
      <c r="G2123" s="66"/>
      <c r="H2123" s="25" t="str">
        <f ca="1">_xlfn.IFNA(INDIRECT(_xlfn.TEXTJOIN("",TRUE,A2115,"!",ADDRESS(17+(A2116-1)*J2115,6))),"")</f>
        <v/>
      </c>
      <c r="I2123" s="25" t="str">
        <f ca="1">_xlfn.IFNA(INDIRECT(_xlfn.TEXTJOIN("",TRUE,A2115,"!",ADDRESS(17+(A2116-1)*J2115,13))),"")</f>
        <v/>
      </c>
      <c r="J2123" s="25" t="str">
        <f ca="1">_xlfn.IFNA(INDIRECT(_xlfn.TEXTJOIN("",TRUE,A2115,"!",ADDRESS(17+(A2116-1)*J2115,14))),"")</f>
        <v/>
      </c>
    </row>
    <row r="2124" spans="1:10" ht="10.5" customHeight="1" x14ac:dyDescent="0.2">
      <c r="A2124" s="65" t="str">
        <f ca="1">_xlfn.IFNA(INDIRECT(_xlfn.TEXTJOIN("",TRUE,A2115,"!",ADDRESS(18+(A2116-1)*J2115,1))),"")</f>
        <v/>
      </c>
      <c r="B2124" s="65"/>
      <c r="C2124" s="66" t="str">
        <f ca="1">_xlfn.IFNA(INDIRECT(_xlfn.TEXTJOIN("",TRUE,A2115,"!",ADDRESS(18+(A2116-1)*J2115,2))),"")</f>
        <v/>
      </c>
      <c r="D2124" s="66"/>
      <c r="E2124" s="66"/>
      <c r="F2124" s="66"/>
      <c r="G2124" s="66"/>
      <c r="H2124" s="25" t="str">
        <f ca="1">_xlfn.IFNA(INDIRECT(_xlfn.TEXTJOIN("",TRUE,A2115,"!",ADDRESS(18+(A2116-1)*J2115,6))),"")</f>
        <v/>
      </c>
      <c r="I2124" s="25" t="str">
        <f ca="1">_xlfn.IFNA(INDIRECT(_xlfn.TEXTJOIN("",TRUE,A2115,"!",ADDRESS(18+(A2116-1)*J2115,13))),"")</f>
        <v/>
      </c>
      <c r="J2124" s="25" t="str">
        <f ca="1">_xlfn.IFNA(INDIRECT(_xlfn.TEXTJOIN("",TRUE,A2115,"!",ADDRESS(18+(A2116-1)*J2115,14))),"")</f>
        <v/>
      </c>
    </row>
    <row r="2125" spans="1:10" ht="10.5" customHeight="1" x14ac:dyDescent="0.2">
      <c r="A2125" s="60" t="str">
        <f ca="1">_xlfn.IFNA(INDIRECT(_xlfn.TEXTJOIN("",TRUE,A2115,"!",ADDRESS(19+(A2116-1)*J2115,1))),"")</f>
        <v/>
      </c>
      <c r="B2125" s="61"/>
      <c r="C2125" s="57" t="str">
        <f ca="1">_xlfn.IFNA(INDIRECT(_xlfn.TEXTJOIN("",TRUE,A2115,"!",ADDRESS(19+(A2116-1)*J2115,2))),"")</f>
        <v/>
      </c>
      <c r="D2125" s="58"/>
      <c r="E2125" s="58"/>
      <c r="F2125" s="58"/>
      <c r="G2125" s="59"/>
      <c r="H2125" s="25" t="str">
        <f ca="1">_xlfn.IFNA(INDIRECT(_xlfn.TEXTJOIN("",TRUE,A2115,"!",ADDRESS(19+(A2116-1)*J2115,6))),"")</f>
        <v/>
      </c>
      <c r="I2125" s="25" t="str">
        <f ca="1">_xlfn.IFNA(INDIRECT(_xlfn.TEXTJOIN("",TRUE,A2115,"!",ADDRESS(19+(A2116-1)*J2115,13))),"")</f>
        <v/>
      </c>
      <c r="J2125" s="25" t="str">
        <f ca="1">_xlfn.IFNA(INDIRECT(_xlfn.TEXTJOIN("",TRUE,A2115,"!",ADDRESS(19+(A2116-1)*J2115,14))),"")</f>
        <v/>
      </c>
    </row>
    <row r="2126" spans="1:10" ht="10.5" customHeight="1" x14ac:dyDescent="0.2">
      <c r="A2126" s="65" t="str">
        <f ca="1">_xlfn.IFNA(INDIRECT(_xlfn.TEXTJOIN("",TRUE,A2115,"!",ADDRESS(20+(A2116-1)*J2115,1))),"")</f>
        <v/>
      </c>
      <c r="B2126" s="65"/>
      <c r="C2126" s="66" t="str">
        <f ca="1">_xlfn.IFNA(INDIRECT(_xlfn.TEXTJOIN("",TRUE,A2115,"!",ADDRESS(20+(A2116-1)*J2115,2))),"")</f>
        <v/>
      </c>
      <c r="D2126" s="66"/>
      <c r="E2126" s="66"/>
      <c r="F2126" s="66"/>
      <c r="G2126" s="66"/>
      <c r="H2126" s="25" t="str">
        <f ca="1">_xlfn.IFNA(INDIRECT(_xlfn.TEXTJOIN("",TRUE,A2115,"!",ADDRESS(20+(A2116-1)*J2115,6))),"")</f>
        <v/>
      </c>
      <c r="I2126" s="25" t="str">
        <f ca="1">_xlfn.IFNA(INDIRECT(_xlfn.TEXTJOIN("",TRUE,A2115,"!",ADDRESS(20+(A2116-1)*J2115,13))),"")</f>
        <v/>
      </c>
      <c r="J2126" s="25" t="str">
        <f ca="1">_xlfn.IFNA(INDIRECT(_xlfn.TEXTJOIN("",TRUE,A2115,"!",ADDRESS(20+(A2116-1)*J2115,14))),"")</f>
        <v/>
      </c>
    </row>
    <row r="2127" spans="1:10" ht="10.5" customHeight="1" x14ac:dyDescent="0.2">
      <c r="A2127" s="71" t="str">
        <f ca="1">IF(ISNA(A2116),"","Total Credits/ Total Grade Points")</f>
        <v/>
      </c>
      <c r="B2127" s="71"/>
      <c r="C2127" s="71"/>
      <c r="D2127" s="71"/>
      <c r="E2127" s="71"/>
      <c r="F2127" s="71"/>
      <c r="G2127" s="71"/>
      <c r="H2127" s="27" t="str">
        <f ca="1">IF(ISNA(A2116),"",SUM(H2119:H2126))</f>
        <v/>
      </c>
      <c r="I2127" s="26" t="str">
        <f ca="1">IF(ISNA(A2116),"","-")</f>
        <v/>
      </c>
      <c r="J2127" s="27" t="str">
        <f ca="1">IF(ISNA(A2116),"",SUMPRODUCT(J2119:J2126,H2119:H2126))</f>
        <v/>
      </c>
    </row>
    <row r="2128" spans="1:10" ht="10.5" customHeight="1" x14ac:dyDescent="0.2">
      <c r="A2128" s="24" t="s">
        <v>133</v>
      </c>
      <c r="B2128" s="72" t="str">
        <f ca="1">IF(ISNA(A2129),"","Semester IV (Spring Semester 2023-24)")</f>
        <v/>
      </c>
      <c r="C2128" s="72"/>
      <c r="D2128" s="72"/>
      <c r="E2128" s="72"/>
      <c r="F2128" s="72"/>
      <c r="G2128" s="72"/>
      <c r="H2128" s="72"/>
      <c r="I2128" s="72"/>
      <c r="J2128" s="24">
        <f>ROWS(A2132:B2138)+9</f>
        <v>16</v>
      </c>
    </row>
    <row r="2129" spans="1:10" ht="10.5" customHeight="1" x14ac:dyDescent="0.2">
      <c r="A2129" s="24" t="e">
        <f ca="1">INDEX(SEM_IV!$A$6:$A$43,Marksheets!J2129)</f>
        <v>#N/A</v>
      </c>
      <c r="B2129" s="63"/>
      <c r="C2129" s="63"/>
      <c r="D2129" s="63"/>
      <c r="E2129" s="63"/>
      <c r="F2129" s="63"/>
      <c r="G2129" s="63"/>
      <c r="H2129" s="63"/>
      <c r="I2129" s="63"/>
      <c r="J2129" s="24" t="e">
        <f ca="1">MATCH(H2079,SEM_IV!$B$6:$B$43,0)</f>
        <v>#N/A</v>
      </c>
    </row>
    <row r="2130" spans="1:10" ht="10.5" customHeight="1" x14ac:dyDescent="0.2">
      <c r="A2130" s="64" t="str">
        <f ca="1">IF(ISNA(A2129),"","Subject Code")</f>
        <v/>
      </c>
      <c r="B2130" s="64"/>
      <c r="C2130" s="64" t="str">
        <f ca="1">IF(ISNA(A2129),"","Subject Name")</f>
        <v/>
      </c>
      <c r="D2130" s="64"/>
      <c r="E2130" s="64"/>
      <c r="F2130" s="64"/>
      <c r="G2130" s="64"/>
      <c r="H2130" s="64" t="str">
        <f ca="1">IF(ISNA(A2129),"","Credits")</f>
        <v/>
      </c>
      <c r="I2130" s="64" t="str">
        <f ca="1">IF(ISNA(A2129),"","Grade")</f>
        <v/>
      </c>
      <c r="J2130" s="64" t="str">
        <f ca="1">IF(ISNA(A2129),"","Grade Points")</f>
        <v/>
      </c>
    </row>
    <row r="2131" spans="1:10" ht="13.5" customHeight="1" x14ac:dyDescent="0.2">
      <c r="A2131" s="64"/>
      <c r="B2131" s="64"/>
      <c r="C2131" s="64"/>
      <c r="D2131" s="64"/>
      <c r="E2131" s="64"/>
      <c r="F2131" s="64"/>
      <c r="G2131" s="64"/>
      <c r="H2131" s="64"/>
      <c r="I2131" s="64"/>
      <c r="J2131" s="64"/>
    </row>
    <row r="2132" spans="1:10" ht="10.5" customHeight="1" x14ac:dyDescent="0.2">
      <c r="A2132" s="65" t="str">
        <f ca="1">_xlfn.IFNA(INDIRECT(_xlfn.TEXTJOIN("",TRUE,A2128,"!",ADDRESS(13+(A2129-1)*J2128,1))),"")</f>
        <v/>
      </c>
      <c r="B2132" s="65"/>
      <c r="C2132" s="66" t="str">
        <f ca="1">_xlfn.IFNA(INDIRECT(_xlfn.TEXTJOIN("",TRUE,A2128,"!",ADDRESS(13+(A2129-1)*J2128,2))),"")</f>
        <v/>
      </c>
      <c r="D2132" s="66"/>
      <c r="E2132" s="66"/>
      <c r="F2132" s="66"/>
      <c r="G2132" s="66"/>
      <c r="H2132" s="25" t="str">
        <f ca="1">_xlfn.IFNA(INDIRECT(_xlfn.TEXTJOIN("",TRUE,A2128,"!",ADDRESS(13+(A2129-1)*J2128,6))),"")</f>
        <v/>
      </c>
      <c r="I2132" s="25" t="str">
        <f ca="1">_xlfn.IFNA(INDIRECT(_xlfn.TEXTJOIN("",TRUE,A2128,"!",ADDRESS(13+(A2129-1)*J2128,13))),"")</f>
        <v/>
      </c>
      <c r="J2132" s="25" t="str">
        <f ca="1">_xlfn.IFNA(INDIRECT(_xlfn.TEXTJOIN("",TRUE,A2128,"!",ADDRESS(13+(A2129-1)*J2128,14))),"")</f>
        <v/>
      </c>
    </row>
    <row r="2133" spans="1:10" ht="10.5" customHeight="1" x14ac:dyDescent="0.2">
      <c r="A2133" s="65" t="str">
        <f ca="1">_xlfn.IFNA(INDIRECT(_xlfn.TEXTJOIN("",TRUE,A2128,"!",ADDRESS(14+(A2129-1)*J2128,1))),"")</f>
        <v/>
      </c>
      <c r="B2133" s="65"/>
      <c r="C2133" s="66" t="str">
        <f ca="1">_xlfn.IFNA(INDIRECT(_xlfn.TEXTJOIN("",TRUE,A2128,"!",ADDRESS(14+(A2129-1)*J2128,2))),"")</f>
        <v/>
      </c>
      <c r="D2133" s="66"/>
      <c r="E2133" s="66"/>
      <c r="F2133" s="66"/>
      <c r="G2133" s="66"/>
      <c r="H2133" s="25" t="str">
        <f ca="1">_xlfn.IFNA(INDIRECT(_xlfn.TEXTJOIN("",TRUE,A2128,"!",ADDRESS(14+(A2129-1)*J2128,6))),"")</f>
        <v/>
      </c>
      <c r="I2133" s="25" t="str">
        <f ca="1">_xlfn.IFNA(INDIRECT(_xlfn.TEXTJOIN("",TRUE,A2128,"!",ADDRESS(14+(A2129-1)*J2128,13))),"")</f>
        <v/>
      </c>
      <c r="J2133" s="25" t="str">
        <f ca="1">_xlfn.IFNA(INDIRECT(_xlfn.TEXTJOIN("",TRUE,A2128,"!",ADDRESS(14+(A2129-1)*J2128,14))),"")</f>
        <v/>
      </c>
    </row>
    <row r="2134" spans="1:10" ht="10.5" customHeight="1" x14ac:dyDescent="0.2">
      <c r="A2134" s="65" t="str">
        <f ca="1">_xlfn.IFNA(INDIRECT(_xlfn.TEXTJOIN("",TRUE,A2128,"!",ADDRESS(15+(A2129-1)*J2128,1))),"")</f>
        <v/>
      </c>
      <c r="B2134" s="65"/>
      <c r="C2134" s="66" t="str">
        <f ca="1">_xlfn.IFNA(INDIRECT(_xlfn.TEXTJOIN("",TRUE,A2128,"!",ADDRESS(15+(A2129-1)*J2128,2))),"")</f>
        <v/>
      </c>
      <c r="D2134" s="66"/>
      <c r="E2134" s="66"/>
      <c r="F2134" s="66"/>
      <c r="G2134" s="66"/>
      <c r="H2134" s="25" t="str">
        <f ca="1">_xlfn.IFNA(INDIRECT(_xlfn.TEXTJOIN("",TRUE,A2128,"!",ADDRESS(15+(A2129-1)*J2128,6))),"")</f>
        <v/>
      </c>
      <c r="I2134" s="25" t="str">
        <f ca="1">_xlfn.IFNA(INDIRECT(_xlfn.TEXTJOIN("",TRUE,A2128,"!",ADDRESS(15+(A2129-1)*J2128,13))),"")</f>
        <v/>
      </c>
      <c r="J2134" s="25" t="str">
        <f ca="1">_xlfn.IFNA(INDIRECT(_xlfn.TEXTJOIN("",TRUE,A2128,"!",ADDRESS(15+(A2129-1)*J2128,14))),"")</f>
        <v/>
      </c>
    </row>
    <row r="2135" spans="1:10" ht="10.5" customHeight="1" x14ac:dyDescent="0.2">
      <c r="A2135" s="65" t="str">
        <f ca="1">_xlfn.IFNA(INDIRECT(_xlfn.TEXTJOIN("",TRUE,A2128,"!",ADDRESS(16+(A2129-1)*J2128,1))),"")</f>
        <v/>
      </c>
      <c r="B2135" s="65"/>
      <c r="C2135" s="66" t="str">
        <f ca="1">_xlfn.IFNA(INDIRECT(_xlfn.TEXTJOIN("",TRUE,A2128,"!",ADDRESS(16+(A2129-1)*J2128,2))),"")</f>
        <v/>
      </c>
      <c r="D2135" s="66"/>
      <c r="E2135" s="66"/>
      <c r="F2135" s="66"/>
      <c r="G2135" s="66"/>
      <c r="H2135" s="25" t="str">
        <f ca="1">_xlfn.IFNA(INDIRECT(_xlfn.TEXTJOIN("",TRUE,A2128,"!",ADDRESS(16+(A2129-1)*J2128,6))),"")</f>
        <v/>
      </c>
      <c r="I2135" s="25" t="str">
        <f ca="1">_xlfn.IFNA(INDIRECT(_xlfn.TEXTJOIN("",TRUE,A2128,"!",ADDRESS(16+(A2129-1)*J2128,13))),"")</f>
        <v/>
      </c>
      <c r="J2135" s="25" t="str">
        <f ca="1">_xlfn.IFNA(INDIRECT(_xlfn.TEXTJOIN("",TRUE,A2128,"!",ADDRESS(16+(A2129-1)*J2128,14))),"")</f>
        <v/>
      </c>
    </row>
    <row r="2136" spans="1:10" ht="10.5" customHeight="1" x14ac:dyDescent="0.2">
      <c r="A2136" s="65" t="str">
        <f ca="1">_xlfn.IFNA(INDIRECT(_xlfn.TEXTJOIN("",TRUE,A2128,"!",ADDRESS(17+(A2129-1)*J2128,1))),"")</f>
        <v/>
      </c>
      <c r="B2136" s="65"/>
      <c r="C2136" s="66" t="str">
        <f ca="1">_xlfn.IFNA(INDIRECT(_xlfn.TEXTJOIN("",TRUE,A2128,"!",ADDRESS(17+(A2129-1)*J2128,2))),"")</f>
        <v/>
      </c>
      <c r="D2136" s="66"/>
      <c r="E2136" s="66"/>
      <c r="F2136" s="66"/>
      <c r="G2136" s="66"/>
      <c r="H2136" s="25" t="str">
        <f ca="1">_xlfn.IFNA(INDIRECT(_xlfn.TEXTJOIN("",TRUE,A2128,"!",ADDRESS(17+(A2129-1)*J2128,6))),"")</f>
        <v/>
      </c>
      <c r="I2136" s="25" t="str">
        <f ca="1">_xlfn.IFNA(INDIRECT(_xlfn.TEXTJOIN("",TRUE,A2128,"!",ADDRESS(17+(A2129-1)*J2128,13))),"")</f>
        <v/>
      </c>
      <c r="J2136" s="25" t="str">
        <f ca="1">_xlfn.IFNA(INDIRECT(_xlfn.TEXTJOIN("",TRUE,A2128,"!",ADDRESS(17+(A2129-1)*J2128,14))),"")</f>
        <v/>
      </c>
    </row>
    <row r="2137" spans="1:10" ht="10.5" customHeight="1" x14ac:dyDescent="0.2">
      <c r="A2137" s="65" t="str">
        <f ca="1">_xlfn.IFNA(INDIRECT(_xlfn.TEXTJOIN("",TRUE,A2128,"!",ADDRESS(18+(A2129-1)*J2128,1))),"")</f>
        <v/>
      </c>
      <c r="B2137" s="65"/>
      <c r="C2137" s="66" t="str">
        <f ca="1">_xlfn.IFNA(INDIRECT(_xlfn.TEXTJOIN("",TRUE,A2128,"!",ADDRESS(18+(A2129-1)*J2128,2))),"")</f>
        <v/>
      </c>
      <c r="D2137" s="66"/>
      <c r="E2137" s="66"/>
      <c r="F2137" s="66"/>
      <c r="G2137" s="66"/>
      <c r="H2137" s="25" t="str">
        <f ca="1">_xlfn.IFNA(INDIRECT(_xlfn.TEXTJOIN("",TRUE,A2128,"!",ADDRESS(18+(A2129-1)*J2128,6))),"")</f>
        <v/>
      </c>
      <c r="I2137" s="25" t="str">
        <f ca="1">_xlfn.IFNA(INDIRECT(_xlfn.TEXTJOIN("",TRUE,A2128,"!",ADDRESS(18+(A2129-1)*J2128,13))),"")</f>
        <v/>
      </c>
      <c r="J2137" s="25" t="str">
        <f ca="1">_xlfn.IFNA(INDIRECT(_xlfn.TEXTJOIN("",TRUE,A2128,"!",ADDRESS(18+(A2129-1)*J2128,14))),"")</f>
        <v/>
      </c>
    </row>
    <row r="2138" spans="1:10" ht="10.5" customHeight="1" x14ac:dyDescent="0.2">
      <c r="A2138" s="60" t="str">
        <f ca="1">_xlfn.IFNA(INDIRECT(_xlfn.TEXTJOIN("",TRUE,A2128,"!",ADDRESS(19+(A2129-1)*J2128,1))),"")</f>
        <v/>
      </c>
      <c r="B2138" s="61"/>
      <c r="C2138" s="57" t="str">
        <f ca="1">_xlfn.IFNA(INDIRECT(_xlfn.TEXTJOIN("",TRUE,A2128,"!",ADDRESS(19+(A2129-1)*J2128,2))),"")</f>
        <v/>
      </c>
      <c r="D2138" s="58"/>
      <c r="E2138" s="58"/>
      <c r="F2138" s="58"/>
      <c r="G2138" s="59"/>
      <c r="H2138" s="25" t="str">
        <f ca="1">_xlfn.IFNA(INDIRECT(_xlfn.TEXTJOIN("",TRUE,A2128,"!",ADDRESS(19+(A2129-1)*J2128,6))),"")</f>
        <v/>
      </c>
      <c r="I2138" s="25" t="str">
        <f ca="1">_xlfn.IFNA(INDIRECT(_xlfn.TEXTJOIN("",TRUE,A2128,"!",ADDRESS(19+(A2129-1)*J2128,13))),"")</f>
        <v/>
      </c>
      <c r="J2138" s="25" t="str">
        <f ca="1">_xlfn.IFNA(INDIRECT(_xlfn.TEXTJOIN("",TRUE,A2128,"!",ADDRESS(19+(A2129-1)*J2128,14))),"")</f>
        <v/>
      </c>
    </row>
    <row r="2139" spans="1:10" ht="10.5" customHeight="1" x14ac:dyDescent="0.2">
      <c r="A2139" s="71" t="str">
        <f ca="1">IF(ISNA(A2129),"","Total Credits/ Total Grade Points")</f>
        <v/>
      </c>
      <c r="B2139" s="71"/>
      <c r="C2139" s="71"/>
      <c r="D2139" s="71"/>
      <c r="E2139" s="71"/>
      <c r="F2139" s="71"/>
      <c r="G2139" s="71"/>
      <c r="H2139" s="27" t="str">
        <f ca="1">IF(ISNA(A2129),"",SUM(H2131:H2138))</f>
        <v/>
      </c>
      <c r="I2139" s="26" t="str">
        <f ca="1">IF(ISNA(A2129),"","-")</f>
        <v/>
      </c>
      <c r="J2139" s="27" t="str">
        <f ca="1">IF(ISNA(A2129),"",SUMPRODUCT(J2131:J2138,H2131:H2138))</f>
        <v/>
      </c>
    </row>
    <row r="2140" spans="1:10" ht="10.5" customHeight="1" x14ac:dyDescent="0.2">
      <c r="A2140" s="75" t="s">
        <v>137</v>
      </c>
      <c r="B2140" s="75"/>
      <c r="C2140" s="75"/>
      <c r="D2140" s="75"/>
      <c r="E2140" s="75"/>
      <c r="F2140" s="76" t="s">
        <v>138</v>
      </c>
      <c r="G2140" s="76"/>
      <c r="H2140" s="76"/>
      <c r="I2140" s="76"/>
      <c r="J2140" s="76"/>
    </row>
    <row r="2141" spans="1:10" ht="10.5" customHeight="1" x14ac:dyDescent="0.2">
      <c r="A2141" s="43" t="s">
        <v>139</v>
      </c>
      <c r="B2141" s="43"/>
      <c r="C2141" s="43"/>
      <c r="D2141" s="43"/>
      <c r="E2141" s="43"/>
      <c r="F2141" s="43"/>
      <c r="G2141" s="43"/>
      <c r="H2141" s="43"/>
      <c r="I2141" s="43"/>
      <c r="J2141" s="43"/>
    </row>
    <row r="2142" spans="1:10" ht="10.5" customHeight="1" x14ac:dyDescent="0.2">
      <c r="A2142" s="10"/>
      <c r="B2142" s="26"/>
      <c r="C2142" s="26" t="s">
        <v>140</v>
      </c>
      <c r="D2142" s="26" t="s">
        <v>141</v>
      </c>
      <c r="E2142" s="26" t="s">
        <v>142</v>
      </c>
      <c r="F2142" s="26" t="s">
        <v>143</v>
      </c>
      <c r="G2142" s="26" t="s">
        <v>144</v>
      </c>
      <c r="H2142" s="79" t="s">
        <v>145</v>
      </c>
      <c r="I2142" s="79"/>
      <c r="J2142" s="30"/>
    </row>
    <row r="2143" spans="1:10" ht="10.5" customHeight="1" x14ac:dyDescent="0.2">
      <c r="A2143" s="10"/>
      <c r="B2143" s="80" t="s">
        <v>146</v>
      </c>
      <c r="C2143" s="73" t="e">
        <f ca="1">J2099/H2099</f>
        <v>#N/A</v>
      </c>
      <c r="D2143" s="73" t="e">
        <f ca="1">J2114/H2114</f>
        <v>#VALUE!</v>
      </c>
      <c r="E2143" s="73" t="str">
        <f ca="1">IFERROR(J2127/H2127,"")</f>
        <v/>
      </c>
      <c r="F2143" s="73" t="str">
        <f ca="1">IFERROR(J2139/H2139,"")</f>
        <v/>
      </c>
      <c r="G2143" s="82" t="e">
        <f ca="1">F2145</f>
        <v>#N/A</v>
      </c>
      <c r="H2143" s="83" t="e">
        <f ca="1">IF(TC_IV!N485&lt;96,_xlfn.TEXTJOIN(" ",TRUE,"CARRY OVER",TC_I!V717,",",TC_II!V593,",",TC_III!V514,TC_IV!V484),IF(G2143&gt;=8,"First Division with Distinction",IF(G2143&gt;=6.5,"First Division",IF(G2143&gt;=5,"Second Division",IF(G2143&gt;=4,"Third Division","Fail")))))</f>
        <v>#N/A</v>
      </c>
      <c r="I2143" s="83"/>
      <c r="J2143" s="30"/>
    </row>
    <row r="2144" spans="1:10" ht="10.5" customHeight="1" x14ac:dyDescent="0.2">
      <c r="B2144" s="81"/>
      <c r="C2144" s="74"/>
      <c r="D2144" s="74"/>
      <c r="E2144" s="74"/>
      <c r="F2144" s="74"/>
      <c r="G2144" s="82"/>
      <c r="H2144" s="83"/>
      <c r="I2144" s="83"/>
    </row>
    <row r="2145" spans="1:10" ht="10.5" customHeight="1" x14ac:dyDescent="0.2">
      <c r="B2145" s="80" t="s">
        <v>48</v>
      </c>
      <c r="C2145" s="73" t="e">
        <f ca="1">J2099/H2099</f>
        <v>#N/A</v>
      </c>
      <c r="D2145" s="73" t="e">
        <f ca="1">SUM(J2114,J2099)/SUM(H2114,H2099)</f>
        <v>#N/A</v>
      </c>
      <c r="E2145" s="73" t="e">
        <f ca="1">SUM(J2127,J2114,J2099)/SUM(H2127,H2114,H2099)</f>
        <v>#N/A</v>
      </c>
      <c r="F2145" s="73" t="e">
        <f ca="1">SUM(J2139,J2127,J2114,J2099)/SUM(H2099,H2114,H2127,H2139)</f>
        <v>#N/A</v>
      </c>
      <c r="G2145" s="82"/>
      <c r="H2145" s="83"/>
      <c r="I2145" s="83"/>
    </row>
    <row r="2146" spans="1:10" ht="18.5" customHeight="1" x14ac:dyDescent="0.2">
      <c r="B2146" s="81"/>
      <c r="C2146" s="74"/>
      <c r="D2146" s="74"/>
      <c r="E2146" s="74"/>
      <c r="F2146" s="74"/>
      <c r="G2146" s="82"/>
      <c r="H2146" s="83"/>
      <c r="I2146" s="83"/>
    </row>
    <row r="2148" spans="1:10" ht="10.5" customHeight="1" x14ac:dyDescent="0.2">
      <c r="A2148" s="56" t="s">
        <v>24</v>
      </c>
      <c r="B2148" s="56"/>
      <c r="C2148" s="56" t="str">
        <f ca="1">INDIRECT(_xlfn.TEXTJOIN("",TRUE,A2150,"!",ADDRESS(9+(A2151-1)*J2150,2)))</f>
        <v/>
      </c>
      <c r="D2148" s="56"/>
      <c r="E2148" s="56"/>
      <c r="F2148" s="56" t="s">
        <v>135</v>
      </c>
      <c r="G2148" s="56"/>
      <c r="H2148" s="62" t="str">
        <f ca="1">INDIRECT(_xlfn.TEXTJOIN("",TRUE,A2150,"!",ADDRESS(9+(A2151-1)*J2150,9)))</f>
        <v/>
      </c>
      <c r="I2148" s="56"/>
      <c r="J2148" s="56"/>
    </row>
    <row r="2149" spans="1:10" ht="10.5" customHeight="1" x14ac:dyDescent="0.2">
      <c r="A2149" s="56" t="s">
        <v>25</v>
      </c>
      <c r="B2149" s="56"/>
      <c r="C2149" s="56" t="str">
        <f ca="1">INDIRECT(_xlfn.TEXTJOIN("",TRUE,A2150,"!",ADDRESS(9+(A2151-1)*J2150,5)))</f>
        <v/>
      </c>
      <c r="D2149" s="56"/>
      <c r="E2149" s="56"/>
      <c r="F2149" s="47" t="s">
        <v>136</v>
      </c>
      <c r="G2149" s="47"/>
      <c r="H2149" s="62" t="str">
        <f ca="1">INDIRECT(_xlfn.TEXTJOIN("",TRUE,A2150,"!",ADDRESS(9+(A2151-1)*J2150,13)))</f>
        <v/>
      </c>
      <c r="I2149" s="56"/>
      <c r="J2149" s="56"/>
    </row>
    <row r="2150" spans="1:10" ht="10.5" customHeight="1" x14ac:dyDescent="0.2">
      <c r="A2150" s="24" t="s">
        <v>53</v>
      </c>
      <c r="B2150" s="43" t="s">
        <v>148</v>
      </c>
      <c r="C2150" s="43"/>
      <c r="D2150" s="43"/>
      <c r="E2150" s="43"/>
      <c r="F2150" s="43"/>
      <c r="G2150" s="43"/>
      <c r="H2150" s="43"/>
      <c r="I2150" s="43"/>
      <c r="J2150" s="24">
        <f>ROWS(A2154:B2167)+9</f>
        <v>23</v>
      </c>
    </row>
    <row r="2151" spans="1:10" ht="10.5" customHeight="1" x14ac:dyDescent="0.2">
      <c r="A2151" s="24">
        <f>A2082+1</f>
        <v>32</v>
      </c>
      <c r="B2151" s="63"/>
      <c r="C2151" s="63"/>
      <c r="D2151" s="63"/>
      <c r="E2151" s="63"/>
      <c r="F2151" s="63"/>
      <c r="G2151" s="63"/>
      <c r="H2151" s="63"/>
      <c r="I2151" s="63"/>
      <c r="J2151" s="29"/>
    </row>
    <row r="2152" spans="1:10" ht="10.5" customHeight="1" x14ac:dyDescent="0.2">
      <c r="A2152" s="64" t="s">
        <v>28</v>
      </c>
      <c r="B2152" s="64"/>
      <c r="C2152" s="64" t="s">
        <v>29</v>
      </c>
      <c r="D2152" s="64"/>
      <c r="E2152" s="64"/>
      <c r="F2152" s="64"/>
      <c r="G2152" s="64"/>
      <c r="H2152" s="64" t="s">
        <v>30</v>
      </c>
      <c r="I2152" s="64" t="s">
        <v>9</v>
      </c>
      <c r="J2152" s="64" t="s">
        <v>34</v>
      </c>
    </row>
    <row r="2153" spans="1:10" ht="15" customHeight="1" x14ac:dyDescent="0.2">
      <c r="A2153" s="64"/>
      <c r="B2153" s="64"/>
      <c r="C2153" s="64"/>
      <c r="D2153" s="64"/>
      <c r="E2153" s="64"/>
      <c r="F2153" s="64"/>
      <c r="G2153" s="64"/>
      <c r="H2153" s="64"/>
      <c r="I2153" s="64"/>
      <c r="J2153" s="64"/>
    </row>
    <row r="2154" spans="1:10" ht="10.5" customHeight="1" x14ac:dyDescent="0.2">
      <c r="A2154" s="65" t="str">
        <f ca="1">INDIRECT(_xlfn.TEXTJOIN("",TRUE,A2150,"!",ADDRESS(13+(A2151-1)*J2150,1)))</f>
        <v/>
      </c>
      <c r="B2154" s="65"/>
      <c r="C2154" s="66" t="str">
        <f ca="1">INDIRECT(_xlfn.TEXTJOIN("",TRUE,A2150,"!",ADDRESS(13+(A2151-1)*J2150,2)))</f>
        <v/>
      </c>
      <c r="D2154" s="66"/>
      <c r="E2154" s="66"/>
      <c r="F2154" s="66"/>
      <c r="G2154" s="66"/>
      <c r="H2154" s="25" t="str">
        <f ca="1">INDIRECT(_xlfn.TEXTJOIN("",TRUE,A2150,"!",ADDRESS(13+(A2151-1)*J2150,6)))</f>
        <v/>
      </c>
      <c r="I2154" s="25" t="str">
        <f ca="1">INDIRECT(_xlfn.TEXTJOIN("",TRUE,A2150,"!",ADDRESS(13+(A2151-1)*J2150,13)))</f>
        <v/>
      </c>
      <c r="J2154" s="25" t="e">
        <f ca="1">INDIRECT(_xlfn.TEXTJOIN("",TRUE,A2150,"!",ADDRESS(13+(A2151-1)*J2150,14)))</f>
        <v>#N/A</v>
      </c>
    </row>
    <row r="2155" spans="1:10" ht="10.5" customHeight="1" x14ac:dyDescent="0.2">
      <c r="A2155" s="65" t="str">
        <f ca="1">INDIRECT(_xlfn.TEXTJOIN("",TRUE,A2150,"!",ADDRESS(14+(A2151-1)*J2150,1)))</f>
        <v/>
      </c>
      <c r="B2155" s="65"/>
      <c r="C2155" s="66" t="str">
        <f ca="1">INDIRECT(_xlfn.TEXTJOIN("",TRUE,A2150,"!",ADDRESS(14+(A2151-1)*J2150,2)))</f>
        <v/>
      </c>
      <c r="D2155" s="66"/>
      <c r="E2155" s="66"/>
      <c r="F2155" s="66"/>
      <c r="G2155" s="66"/>
      <c r="H2155" s="25" t="str">
        <f ca="1">INDIRECT(_xlfn.TEXTJOIN("",TRUE,A2150,"!",ADDRESS(14+(A2151-1)*J2150,6)))</f>
        <v/>
      </c>
      <c r="I2155" s="25" t="str">
        <f ca="1">INDIRECT(_xlfn.TEXTJOIN("",TRUE,A2150,"!",ADDRESS(14+(A2151-1)*J2150,13)))</f>
        <v/>
      </c>
      <c r="J2155" s="25" t="e">
        <f ca="1">INDIRECT(_xlfn.TEXTJOIN("",TRUE,A2150,"!",ADDRESS(14+(A2151-1)*J2150,14)))</f>
        <v>#N/A</v>
      </c>
    </row>
    <row r="2156" spans="1:10" ht="10.5" customHeight="1" x14ac:dyDescent="0.2">
      <c r="A2156" s="65" t="str">
        <f ca="1">INDIRECT(_xlfn.TEXTJOIN("",TRUE,A2150,"!",ADDRESS(15+(A2151-1)*J2150,1)))</f>
        <v/>
      </c>
      <c r="B2156" s="65"/>
      <c r="C2156" s="66" t="str">
        <f ca="1">INDIRECT(_xlfn.TEXTJOIN("",TRUE,A2150,"!",ADDRESS(15+(A2151-1)*J2150,2)))</f>
        <v/>
      </c>
      <c r="D2156" s="66"/>
      <c r="E2156" s="66"/>
      <c r="F2156" s="66"/>
      <c r="G2156" s="66"/>
      <c r="H2156" s="25" t="str">
        <f ca="1">INDIRECT(_xlfn.TEXTJOIN("",TRUE,A2150,"!",ADDRESS(15+(A2151-1)*J2150,6)))</f>
        <v/>
      </c>
      <c r="I2156" s="25" t="str">
        <f ca="1">INDIRECT(_xlfn.TEXTJOIN("",TRUE,A2150,"!",ADDRESS(15+(A2151-1)*J2150,13)))</f>
        <v/>
      </c>
      <c r="J2156" s="25" t="e">
        <f ca="1">INDIRECT(_xlfn.TEXTJOIN("",TRUE,A2150,"!",ADDRESS(15+(A2151-1)*J2150,14)))</f>
        <v>#N/A</v>
      </c>
    </row>
    <row r="2157" spans="1:10" ht="10.5" customHeight="1" x14ac:dyDescent="0.2">
      <c r="A2157" s="65" t="str">
        <f ca="1">INDIRECT(_xlfn.TEXTJOIN("",TRUE,A2150,"!",ADDRESS(16+(A2151-1)*J2150,1)))</f>
        <v/>
      </c>
      <c r="B2157" s="65"/>
      <c r="C2157" s="66" t="str">
        <f ca="1">INDIRECT(_xlfn.TEXTJOIN("",TRUE,A2150,"!",ADDRESS(16+(A2151-1)*J2150,2)))</f>
        <v/>
      </c>
      <c r="D2157" s="66"/>
      <c r="E2157" s="66"/>
      <c r="F2157" s="66"/>
      <c r="G2157" s="66"/>
      <c r="H2157" s="25" t="str">
        <f ca="1">INDIRECT(_xlfn.TEXTJOIN("",TRUE,A2150,"!",ADDRESS(16+(A2151-1)*J2150,6)))</f>
        <v/>
      </c>
      <c r="I2157" s="25" t="str">
        <f ca="1">INDIRECT(_xlfn.TEXTJOIN("",TRUE,A2150,"!",ADDRESS(16+(A2151-1)*J2150,13)))</f>
        <v/>
      </c>
      <c r="J2157" s="25" t="e">
        <f ca="1">INDIRECT(_xlfn.TEXTJOIN("",TRUE,A2150,"!",ADDRESS(16+(A2151-1)*J2150,14)))</f>
        <v>#N/A</v>
      </c>
    </row>
    <row r="2158" spans="1:10" ht="10.5" customHeight="1" x14ac:dyDescent="0.2">
      <c r="A2158" s="65" t="str">
        <f ca="1">INDIRECT(_xlfn.TEXTJOIN("",TRUE,A2150,"!",ADDRESS(17+(A2151-1)*J2150,1)))</f>
        <v/>
      </c>
      <c r="B2158" s="65"/>
      <c r="C2158" s="66" t="str">
        <f ca="1">INDIRECT(_xlfn.TEXTJOIN("",TRUE,A2150,"!",ADDRESS(17+(A2151-1)*J2150,2)))</f>
        <v/>
      </c>
      <c r="D2158" s="66"/>
      <c r="E2158" s="66"/>
      <c r="F2158" s="66"/>
      <c r="G2158" s="66"/>
      <c r="H2158" s="25" t="str">
        <f ca="1">INDIRECT(_xlfn.TEXTJOIN("",TRUE,A2150,"!",ADDRESS(17+(A2151-1)*J2150,6)))</f>
        <v/>
      </c>
      <c r="I2158" s="25" t="str">
        <f ca="1">INDIRECT(_xlfn.TEXTJOIN("",TRUE,A2150,"!",ADDRESS(17+(A2151-1)*J2150,13)))</f>
        <v/>
      </c>
      <c r="J2158" s="25" t="e">
        <f ca="1">INDIRECT(_xlfn.TEXTJOIN("",TRUE,A2150,"!",ADDRESS(17+(A2151-1)*J2150,14)))</f>
        <v>#N/A</v>
      </c>
    </row>
    <row r="2159" spans="1:10" ht="10.5" customHeight="1" x14ac:dyDescent="0.2">
      <c r="A2159" s="65" t="str">
        <f ca="1">INDIRECT(_xlfn.TEXTJOIN("",TRUE,A2150,"!",ADDRESS(18+(A2151-1)*J2150,1)))</f>
        <v/>
      </c>
      <c r="B2159" s="65"/>
      <c r="C2159" s="66" t="str">
        <f ca="1">INDIRECT(_xlfn.TEXTJOIN("",TRUE,A2150,"!",ADDRESS(18+(A2151-1)*J2150,2)))</f>
        <v/>
      </c>
      <c r="D2159" s="66"/>
      <c r="E2159" s="66"/>
      <c r="F2159" s="66"/>
      <c r="G2159" s="66"/>
      <c r="H2159" s="25" t="str">
        <f ca="1">INDIRECT(_xlfn.TEXTJOIN("",TRUE,A2150,"!",ADDRESS(18+(A2151-1)*J2150,6)))</f>
        <v/>
      </c>
      <c r="I2159" s="25" t="str">
        <f ca="1">INDIRECT(_xlfn.TEXTJOIN("",TRUE,A2150,"!",ADDRESS(18+(A2151-1)*J2150,13)))</f>
        <v/>
      </c>
      <c r="J2159" s="25" t="e">
        <f ca="1">INDIRECT(_xlfn.TEXTJOIN("",TRUE,A2150,"!",ADDRESS(18+(A2151-1)*J2150,14)))</f>
        <v>#N/A</v>
      </c>
    </row>
    <row r="2160" spans="1:10" ht="10.5" customHeight="1" x14ac:dyDescent="0.2">
      <c r="A2160" s="60" t="str">
        <f ca="1">INDIRECT(_xlfn.TEXTJOIN("",TRUE,A2150,"!",ADDRESS(19+(A2151-1)*J2150,1)))</f>
        <v/>
      </c>
      <c r="B2160" s="61"/>
      <c r="C2160" s="57" t="str">
        <f ca="1">INDIRECT(_xlfn.TEXTJOIN("",TRUE,A2150,"!",ADDRESS(19+(A2151-1)*J2150,2)))</f>
        <v/>
      </c>
      <c r="D2160" s="58"/>
      <c r="E2160" s="58"/>
      <c r="F2160" s="58"/>
      <c r="G2160" s="59"/>
      <c r="H2160" s="25" t="str">
        <f ca="1">INDIRECT(_xlfn.TEXTJOIN("",TRUE,A2150,"!",ADDRESS(19+(A2151-1)*J2150,6)))</f>
        <v/>
      </c>
      <c r="I2160" s="25" t="str">
        <f ca="1">INDIRECT(_xlfn.TEXTJOIN("",TRUE,A2150,"!",ADDRESS(19+(A2151-1)*J2150,13)))</f>
        <v/>
      </c>
      <c r="J2160" s="25" t="e">
        <f ca="1">INDIRECT(_xlfn.TEXTJOIN("",TRUE,A2150,"!",ADDRESS(19+(A2151-1)*J2150,14)))</f>
        <v>#N/A</v>
      </c>
    </row>
    <row r="2161" spans="1:10" ht="10.5" customHeight="1" x14ac:dyDescent="0.2">
      <c r="A2161" s="65" t="str">
        <f ca="1">INDIRECT(_xlfn.TEXTJOIN("",TRUE,A2150,"!",ADDRESS(20+(A2151-1)*J2150,1)))</f>
        <v/>
      </c>
      <c r="B2161" s="65"/>
      <c r="C2161" s="66" t="str">
        <f ca="1">INDIRECT(_xlfn.TEXTJOIN("",TRUE,A2150,"!",ADDRESS(20+(A2151-1)*J2150,2)))</f>
        <v/>
      </c>
      <c r="D2161" s="66"/>
      <c r="E2161" s="66"/>
      <c r="F2161" s="66"/>
      <c r="G2161" s="66"/>
      <c r="H2161" s="25" t="str">
        <f ca="1">INDIRECT(_xlfn.TEXTJOIN("",TRUE,A2150,"!",ADDRESS(20+(A2151-1)*J2150,6)))</f>
        <v/>
      </c>
      <c r="I2161" s="25" t="str">
        <f ca="1">INDIRECT(_xlfn.TEXTJOIN("",TRUE,A2150,"!",ADDRESS(20+(A2151-1)*J2150,13)))</f>
        <v/>
      </c>
      <c r="J2161" s="25" t="e">
        <f ca="1">INDIRECT(_xlfn.TEXTJOIN("",TRUE,A2150,"!",ADDRESS(20+(A2151-1)*J2150,14)))</f>
        <v>#N/A</v>
      </c>
    </row>
    <row r="2162" spans="1:10" ht="10.5" customHeight="1" x14ac:dyDescent="0.2">
      <c r="A2162" s="65" t="str">
        <f ca="1">INDIRECT(_xlfn.TEXTJOIN("",TRUE,A2150,"!",ADDRESS(21+(A2151-1)*J2150,1)))</f>
        <v/>
      </c>
      <c r="B2162" s="65"/>
      <c r="C2162" s="66" t="str">
        <f ca="1">INDIRECT(_xlfn.TEXTJOIN("",TRUE,A2150,"!",ADDRESS(21+(A2151-1)*J2150,2)))</f>
        <v/>
      </c>
      <c r="D2162" s="66"/>
      <c r="E2162" s="66"/>
      <c r="F2162" s="66"/>
      <c r="G2162" s="66"/>
      <c r="H2162" s="25" t="str">
        <f ca="1">INDIRECT(_xlfn.TEXTJOIN("",TRUE,A2150,"!",ADDRESS(21+(A2151-1)*J2150,6)))</f>
        <v/>
      </c>
      <c r="I2162" s="25" t="str">
        <f ca="1">INDIRECT(_xlfn.TEXTJOIN("",TRUE,A2150,"!",ADDRESS(21+(A2151-1)*J2150,13)))</f>
        <v/>
      </c>
      <c r="J2162" s="25" t="e">
        <f ca="1">INDIRECT(_xlfn.TEXTJOIN("",TRUE,A2150,"!",ADDRESS(21+(A2151-1)*J2150,14)))</f>
        <v>#N/A</v>
      </c>
    </row>
    <row r="2163" spans="1:10" ht="10.5" customHeight="1" x14ac:dyDescent="0.2">
      <c r="A2163" s="65" t="str">
        <f ca="1">INDIRECT(_xlfn.TEXTJOIN("",TRUE,A2150,"!",ADDRESS(22+(A2151-1)*J2150,1)))</f>
        <v/>
      </c>
      <c r="B2163" s="65"/>
      <c r="C2163" s="66" t="str">
        <f ca="1">INDIRECT(_xlfn.TEXTJOIN("",TRUE,A2150,"!",ADDRESS(22+(A2151-1)*J2150,2)))</f>
        <v/>
      </c>
      <c r="D2163" s="66"/>
      <c r="E2163" s="66"/>
      <c r="F2163" s="66"/>
      <c r="G2163" s="66"/>
      <c r="H2163" s="25" t="str">
        <f ca="1">INDIRECT(_xlfn.TEXTJOIN("",TRUE,A2150,"!",ADDRESS(22+(A2151-1)*J2150,6)))</f>
        <v/>
      </c>
      <c r="I2163" s="25" t="str">
        <f ca="1">INDIRECT(_xlfn.TEXTJOIN("",TRUE,A2150,"!",ADDRESS(22+(A2151-1)*J2150,13)))</f>
        <v/>
      </c>
      <c r="J2163" s="25" t="e">
        <f ca="1">INDIRECT(_xlfn.TEXTJOIN("",TRUE,A2150,"!",ADDRESS(22+(A2151-1)*J2150,14)))</f>
        <v>#N/A</v>
      </c>
    </row>
    <row r="2164" spans="1:10" ht="10.5" customHeight="1" x14ac:dyDescent="0.2">
      <c r="A2164" s="65" t="str">
        <f ca="1">INDIRECT(_xlfn.TEXTJOIN("",TRUE,A2150,"!",ADDRESS(23+(A2151-1)*J2150,1)))</f>
        <v/>
      </c>
      <c r="B2164" s="65"/>
      <c r="C2164" s="66" t="str">
        <f ca="1">INDIRECT(_xlfn.TEXTJOIN("",TRUE,A2150,"!",ADDRESS(23+(A2151-1)*J2150,2)))</f>
        <v/>
      </c>
      <c r="D2164" s="66"/>
      <c r="E2164" s="66"/>
      <c r="F2164" s="66"/>
      <c r="G2164" s="66"/>
      <c r="H2164" s="25" t="str">
        <f ca="1">INDIRECT(_xlfn.TEXTJOIN("",TRUE,A2150,"!",ADDRESS(23+(A2151-1)*J2150,6)))</f>
        <v/>
      </c>
      <c r="I2164" s="25" t="str">
        <f ca="1">INDIRECT(_xlfn.TEXTJOIN("",TRUE,A2150,"!",ADDRESS(23+(A2151-1)*J2150,13)))</f>
        <v/>
      </c>
      <c r="J2164" s="25" t="e">
        <f ca="1">INDIRECT(_xlfn.TEXTJOIN("",TRUE,A2150,"!",ADDRESS(23+(A2151-1)*J2150,14)))</f>
        <v>#N/A</v>
      </c>
    </row>
    <row r="2165" spans="1:10" ht="10.5" customHeight="1" x14ac:dyDescent="0.2">
      <c r="A2165" s="65" t="str">
        <f ca="1">INDIRECT(_xlfn.TEXTJOIN("",TRUE,A2150,"!",ADDRESS(24+(A2151-1)*J2150,1)))</f>
        <v/>
      </c>
      <c r="B2165" s="65"/>
      <c r="C2165" s="66" t="str">
        <f ca="1">INDIRECT(_xlfn.TEXTJOIN("",TRUE,A2150,"!",ADDRESS(24+(A2151-1)*J2150,2)))</f>
        <v/>
      </c>
      <c r="D2165" s="66"/>
      <c r="E2165" s="66"/>
      <c r="F2165" s="66"/>
      <c r="G2165" s="66"/>
      <c r="H2165" s="25" t="str">
        <f ca="1">INDIRECT(_xlfn.TEXTJOIN("",TRUE,A2150,"!",ADDRESS(24+(A2151-1)*J2150,6)))</f>
        <v/>
      </c>
      <c r="I2165" s="25" t="str">
        <f ca="1">INDIRECT(_xlfn.TEXTJOIN("",TRUE,A2150,"!",ADDRESS(24+(A2151-1)*J2150,13)))</f>
        <v/>
      </c>
      <c r="J2165" s="25" t="e">
        <f ca="1">INDIRECT(_xlfn.TEXTJOIN("",TRUE,A2150,"!",ADDRESS(24+(A2151-1)*J2150,14)))</f>
        <v>#N/A</v>
      </c>
    </row>
    <row r="2166" spans="1:10" ht="10.5" customHeight="1" x14ac:dyDescent="0.2">
      <c r="A2166" s="65" t="str">
        <f ca="1">INDIRECT(_xlfn.TEXTJOIN("",TRUE,A2150,"!",ADDRESS(25+(A2151-1)*J2150,1)))</f>
        <v/>
      </c>
      <c r="B2166" s="65"/>
      <c r="C2166" s="66" t="str">
        <f ca="1">INDIRECT(_xlfn.TEXTJOIN("",TRUE,A2150,"!",ADDRESS(25+(A2151-1)*J2150,2)))</f>
        <v/>
      </c>
      <c r="D2166" s="66"/>
      <c r="E2166" s="66"/>
      <c r="F2166" s="66"/>
      <c r="G2166" s="66"/>
      <c r="H2166" s="25" t="str">
        <f ca="1">INDIRECT(_xlfn.TEXTJOIN("",TRUE,A2150,"!",ADDRESS(25+(A2151-1)*J2150,6)))</f>
        <v/>
      </c>
      <c r="I2166" s="25" t="str">
        <f ca="1">INDIRECT(_xlfn.TEXTJOIN("",TRUE,A2150,"!",ADDRESS(25+(A2151-1)*J2150,13)))</f>
        <v/>
      </c>
      <c r="J2166" s="25" t="e">
        <f ca="1">INDIRECT(_xlfn.TEXTJOIN("",TRUE,A2150,"!",ADDRESS(25+(A2151-1)*J2150,14)))</f>
        <v>#N/A</v>
      </c>
    </row>
    <row r="2167" spans="1:10" s="35" customFormat="1" ht="10.5" customHeight="1" x14ac:dyDescent="0.2">
      <c r="A2167" s="77" t="str">
        <f ca="1">INDIRECT(_xlfn.TEXTJOIN("",TRUE,A2150,"!",ADDRESS(26+(A2151-1)*J2150,1)))</f>
        <v/>
      </c>
      <c r="B2167" s="77"/>
      <c r="C2167" s="78" t="str">
        <f ca="1">INDIRECT(_xlfn.TEXTJOIN("",TRUE,A2150,"!",ADDRESS(26+(A2151-1)*J2150,2)))</f>
        <v/>
      </c>
      <c r="D2167" s="78"/>
      <c r="E2167" s="78"/>
      <c r="F2167" s="78"/>
      <c r="G2167" s="78"/>
      <c r="H2167" s="34" t="str">
        <f ca="1">INDIRECT(_xlfn.TEXTJOIN("",TRUE,A2150,"!",ADDRESS(26+(A2151-1)*J2150,6)))</f>
        <v/>
      </c>
      <c r="I2167" s="34" t="b">
        <f ca="1">INDIRECT(_xlfn.TEXTJOIN("",TRUE,A2150,"!",ADDRESS(26+(A2151-1)*J2150,13)))</f>
        <v>0</v>
      </c>
      <c r="J2167" s="34" t="e">
        <f ca="1">INDIRECT(_xlfn.TEXTJOIN("",TRUE,A2150,"!",ADDRESS(26+(A2151-1)*J2150,14)))</f>
        <v>#N/A</v>
      </c>
    </row>
    <row r="2168" spans="1:10" ht="10.5" customHeight="1" x14ac:dyDescent="0.2">
      <c r="A2168" s="71" t="s">
        <v>52</v>
      </c>
      <c r="B2168" s="71"/>
      <c r="C2168" s="71"/>
      <c r="D2168" s="71"/>
      <c r="E2168" s="71"/>
      <c r="F2168" s="71"/>
      <c r="G2168" s="71"/>
      <c r="H2168" s="27">
        <f ca="1">SUM(H2154:H2167)</f>
        <v>0</v>
      </c>
      <c r="I2168" s="26" t="s">
        <v>44</v>
      </c>
      <c r="J2168" s="27" t="e">
        <f ca="1">SUMPRODUCT(J2154:J2166,H2154:H2166)</f>
        <v>#N/A</v>
      </c>
    </row>
    <row r="2169" spans="1:10" ht="10.5" customHeight="1" x14ac:dyDescent="0.2">
      <c r="A2169" s="24" t="s">
        <v>57</v>
      </c>
      <c r="B2169" s="72" t="str">
        <f ca="1">IF(ISNA(A2170),"","Semester II (Spring Semester 2022-23)")</f>
        <v/>
      </c>
      <c r="C2169" s="72"/>
      <c r="D2169" s="72"/>
      <c r="E2169" s="72"/>
      <c r="F2169" s="72"/>
      <c r="G2169" s="72"/>
      <c r="H2169" s="72"/>
      <c r="I2169" s="72"/>
      <c r="J2169" s="24">
        <f>ROWS(A2173:B2182)+9</f>
        <v>19</v>
      </c>
    </row>
    <row r="2170" spans="1:10" ht="10.5" customHeight="1" x14ac:dyDescent="0.2">
      <c r="A2170" s="24" t="e">
        <f ca="1">INDEX(SEM_II!$A$6:$A$45,Marksheets!J2170)</f>
        <v>#N/A</v>
      </c>
      <c r="B2170" s="63"/>
      <c r="C2170" s="63"/>
      <c r="D2170" s="63"/>
      <c r="E2170" s="63"/>
      <c r="F2170" s="63"/>
      <c r="G2170" s="63"/>
      <c r="H2170" s="63"/>
      <c r="I2170" s="63"/>
      <c r="J2170" s="24" t="e">
        <f ca="1">MATCH(H2148,SEM_II!$B$6:$B$45,0)</f>
        <v>#N/A</v>
      </c>
    </row>
    <row r="2171" spans="1:10" ht="10.5" customHeight="1" x14ac:dyDescent="0.2">
      <c r="A2171" s="64" t="str">
        <f ca="1">IF(ISNA(A2170),"","Subject Code")</f>
        <v/>
      </c>
      <c r="B2171" s="64"/>
      <c r="C2171" s="64" t="str">
        <f ca="1">IF(ISNA(A2170),"","Subject Name")</f>
        <v/>
      </c>
      <c r="D2171" s="64"/>
      <c r="E2171" s="64"/>
      <c r="F2171" s="64"/>
      <c r="G2171" s="64"/>
      <c r="H2171" s="64" t="str">
        <f ca="1">IF(ISNA(A2170),"","Credits")</f>
        <v/>
      </c>
      <c r="I2171" s="64" t="str">
        <f ca="1">IF(ISNA(A2170),"","Grade")</f>
        <v/>
      </c>
      <c r="J2171" s="64" t="str">
        <f ca="1">IF(ISNA(A2170),"","Grade Points")</f>
        <v/>
      </c>
    </row>
    <row r="2172" spans="1:10" ht="12.5" customHeight="1" x14ac:dyDescent="0.2">
      <c r="A2172" s="64"/>
      <c r="B2172" s="64"/>
      <c r="C2172" s="64"/>
      <c r="D2172" s="64"/>
      <c r="E2172" s="64"/>
      <c r="F2172" s="64"/>
      <c r="G2172" s="64"/>
      <c r="H2172" s="64"/>
      <c r="I2172" s="64"/>
      <c r="J2172" s="64"/>
    </row>
    <row r="2173" spans="1:10" ht="10.5" customHeight="1" x14ac:dyDescent="0.2">
      <c r="A2173" s="65" t="str">
        <f ca="1">_xlfn.IFNA(INDIRECT(_xlfn.TEXTJOIN("",TRUE,A2169,"!",ADDRESS(13+(A2170-1)*J2169,1))),"")</f>
        <v/>
      </c>
      <c r="B2173" s="65"/>
      <c r="C2173" s="66" t="str">
        <f ca="1">_xlfn.IFNA(INDIRECT(_xlfn.TEXTJOIN("",TRUE,A2169,"!",ADDRESS(13+(A2170-1)*J2169,2))),"")</f>
        <v/>
      </c>
      <c r="D2173" s="66"/>
      <c r="E2173" s="66"/>
      <c r="F2173" s="66"/>
      <c r="G2173" s="66"/>
      <c r="H2173" s="25" t="str">
        <f ca="1">_xlfn.IFNA(INDIRECT(_xlfn.TEXTJOIN("",TRUE,A2169,"!",ADDRESS(13+(A2170-1)*J2169,6))),"")</f>
        <v/>
      </c>
      <c r="I2173" s="25" t="str">
        <f ca="1">_xlfn.IFNA(INDIRECT(_xlfn.TEXTJOIN("",TRUE,A2169,"!",ADDRESS(13+(A2170-1)*J2169,13))),"")</f>
        <v/>
      </c>
      <c r="J2173" s="25" t="str">
        <f ca="1">_xlfn.IFNA(INDIRECT(_xlfn.TEXTJOIN("",TRUE,A2169,"!",ADDRESS(13+(A2170-1)*J2169,14))),"")</f>
        <v/>
      </c>
    </row>
    <row r="2174" spans="1:10" ht="10.5" customHeight="1" x14ac:dyDescent="0.2">
      <c r="A2174" s="65" t="str">
        <f ca="1">_xlfn.IFNA(INDIRECT(_xlfn.TEXTJOIN("",TRUE,A2169,"!",ADDRESS(14+(A2170-1)*J2169,1))),"")</f>
        <v/>
      </c>
      <c r="B2174" s="65"/>
      <c r="C2174" s="66" t="str">
        <f ca="1">_xlfn.IFNA(INDIRECT(_xlfn.TEXTJOIN("",TRUE,A2169,"!",ADDRESS(14+(A2170-1)*J2169,2))),"")</f>
        <v/>
      </c>
      <c r="D2174" s="66"/>
      <c r="E2174" s="66"/>
      <c r="F2174" s="66"/>
      <c r="G2174" s="66"/>
      <c r="H2174" s="25" t="str">
        <f ca="1">_xlfn.IFNA(INDIRECT(_xlfn.TEXTJOIN("",TRUE,A2169,"!",ADDRESS(14+(A2170-1)*J2169,6))),"")</f>
        <v/>
      </c>
      <c r="I2174" s="25" t="str">
        <f ca="1">_xlfn.IFNA(INDIRECT(_xlfn.TEXTJOIN("",TRUE,A2169,"!",ADDRESS(14+(A2170-1)*J2169,13))),"")</f>
        <v/>
      </c>
      <c r="J2174" s="25" t="str">
        <f ca="1">_xlfn.IFNA(INDIRECT(_xlfn.TEXTJOIN("",TRUE,A2169,"!",ADDRESS(14+(A2170-1)*J2169,14))),"")</f>
        <v/>
      </c>
    </row>
    <row r="2175" spans="1:10" ht="10.5" customHeight="1" x14ac:dyDescent="0.2">
      <c r="A2175" s="65" t="str">
        <f ca="1">_xlfn.IFNA(INDIRECT(_xlfn.TEXTJOIN("",TRUE,A2169,"!",ADDRESS(15+(A2170-1)*J2169,1))),"")</f>
        <v/>
      </c>
      <c r="B2175" s="65"/>
      <c r="C2175" s="66" t="str">
        <f ca="1">_xlfn.IFNA(INDIRECT(_xlfn.TEXTJOIN("",TRUE,A2169,"!",ADDRESS(15+(A2170-1)*J2169,2))),"")</f>
        <v/>
      </c>
      <c r="D2175" s="66"/>
      <c r="E2175" s="66"/>
      <c r="F2175" s="66"/>
      <c r="G2175" s="66"/>
      <c r="H2175" s="25" t="str">
        <f ca="1">_xlfn.IFNA(INDIRECT(_xlfn.TEXTJOIN("",TRUE,A2169,"!",ADDRESS(15+(A2170-1)*J2169,6))),"")</f>
        <v/>
      </c>
      <c r="I2175" s="25" t="str">
        <f ca="1">_xlfn.IFNA(INDIRECT(_xlfn.TEXTJOIN("",TRUE,A2169,"!",ADDRESS(15+(A2170-1)*J2169,13))),"")</f>
        <v/>
      </c>
      <c r="J2175" s="25" t="str">
        <f ca="1">_xlfn.IFNA(INDIRECT(_xlfn.TEXTJOIN("",TRUE,A2169,"!",ADDRESS(15+(A2170-1)*J2169,14))),"")</f>
        <v/>
      </c>
    </row>
    <row r="2176" spans="1:10" ht="10.5" customHeight="1" x14ac:dyDescent="0.2">
      <c r="A2176" s="65" t="str">
        <f ca="1">_xlfn.IFNA(INDIRECT(_xlfn.TEXTJOIN("",TRUE,A2169,"!",ADDRESS(16+(A2170-1)*J2169,1))),"")</f>
        <v/>
      </c>
      <c r="B2176" s="65"/>
      <c r="C2176" s="66" t="str">
        <f ca="1">_xlfn.IFNA(INDIRECT(_xlfn.TEXTJOIN("",TRUE,A2169,"!",ADDRESS(16+(A2170-1)*J2169,2))),"")</f>
        <v/>
      </c>
      <c r="D2176" s="66"/>
      <c r="E2176" s="66"/>
      <c r="F2176" s="66"/>
      <c r="G2176" s="66"/>
      <c r="H2176" s="25" t="str">
        <f ca="1">_xlfn.IFNA(INDIRECT(_xlfn.TEXTJOIN("",TRUE,A2169,"!",ADDRESS(16+(A2170-1)*J2169,6))),"")</f>
        <v/>
      </c>
      <c r="I2176" s="25" t="str">
        <f ca="1">_xlfn.IFNA(INDIRECT(_xlfn.TEXTJOIN("",TRUE,A2169,"!",ADDRESS(16+(A2170-1)*J2169,13))),"")</f>
        <v/>
      </c>
      <c r="J2176" s="25" t="str">
        <f ca="1">_xlfn.IFNA(INDIRECT(_xlfn.TEXTJOIN("",TRUE,A2169,"!",ADDRESS(16+(A2170-1)*J2169,14))),"")</f>
        <v/>
      </c>
    </row>
    <row r="2177" spans="1:10" ht="10.5" customHeight="1" x14ac:dyDescent="0.2">
      <c r="A2177" s="65" t="str">
        <f ca="1">_xlfn.IFNA(INDIRECT(_xlfn.TEXTJOIN("",TRUE,A2169,"!",ADDRESS(17+(A2170-1)*J2169,1))),"")</f>
        <v/>
      </c>
      <c r="B2177" s="65"/>
      <c r="C2177" s="66" t="str">
        <f ca="1">_xlfn.IFNA(INDIRECT(_xlfn.TEXTJOIN("",TRUE,A2169,"!",ADDRESS(17+(A2170-1)*J2169,2))),"")</f>
        <v/>
      </c>
      <c r="D2177" s="66"/>
      <c r="E2177" s="66"/>
      <c r="F2177" s="66"/>
      <c r="G2177" s="66"/>
      <c r="H2177" s="25" t="str">
        <f ca="1">_xlfn.IFNA(INDIRECT(_xlfn.TEXTJOIN("",TRUE,A2169,"!",ADDRESS(17+(A2170-1)*J2169,6))),"")</f>
        <v/>
      </c>
      <c r="I2177" s="25" t="str">
        <f ca="1">_xlfn.IFNA(INDIRECT(_xlfn.TEXTJOIN("",TRUE,A2169,"!",ADDRESS(17+(A2170-1)*J2169,13))),"")</f>
        <v/>
      </c>
      <c r="J2177" s="25" t="str">
        <f ca="1">_xlfn.IFNA(INDIRECT(_xlfn.TEXTJOIN("",TRUE,A2169,"!",ADDRESS(17+(A2170-1)*J2169,14))),"")</f>
        <v/>
      </c>
    </row>
    <row r="2178" spans="1:10" ht="10.5" customHeight="1" x14ac:dyDescent="0.2">
      <c r="A2178" s="65" t="str">
        <f ca="1">_xlfn.IFNA(INDIRECT(_xlfn.TEXTJOIN("",TRUE,A2169,"!",ADDRESS(18+(A2170-1)*J2169,1))),"")</f>
        <v/>
      </c>
      <c r="B2178" s="65"/>
      <c r="C2178" s="66" t="str">
        <f ca="1">_xlfn.IFNA(INDIRECT(_xlfn.TEXTJOIN("",TRUE,A2169,"!",ADDRESS(18+(A2170-1)*J2169,2))),"")</f>
        <v/>
      </c>
      <c r="D2178" s="66"/>
      <c r="E2178" s="66"/>
      <c r="F2178" s="66"/>
      <c r="G2178" s="66"/>
      <c r="H2178" s="25" t="str">
        <f ca="1">_xlfn.IFNA(INDIRECT(_xlfn.TEXTJOIN("",TRUE,A2169,"!",ADDRESS(18+(A2170-1)*J2169,6))),"")</f>
        <v/>
      </c>
      <c r="I2178" s="25" t="str">
        <f ca="1">_xlfn.IFNA(INDIRECT(_xlfn.TEXTJOIN("",TRUE,A2169,"!",ADDRESS(18+(A2170-1)*J2169,13))),"")</f>
        <v/>
      </c>
      <c r="J2178" s="25" t="str">
        <f ca="1">_xlfn.IFNA(INDIRECT(_xlfn.TEXTJOIN("",TRUE,A2169,"!",ADDRESS(18+(A2170-1)*J2169,14))),"")</f>
        <v/>
      </c>
    </row>
    <row r="2179" spans="1:10" ht="10.5" customHeight="1" x14ac:dyDescent="0.2">
      <c r="A2179" s="60" t="str">
        <f ca="1">_xlfn.IFNA(INDIRECT(_xlfn.TEXTJOIN("",TRUE,A2169,"!",ADDRESS(19+(A2170-1)*J2169,1))),"")</f>
        <v/>
      </c>
      <c r="B2179" s="61"/>
      <c r="C2179" s="57" t="str">
        <f ca="1">_xlfn.IFNA(INDIRECT(_xlfn.TEXTJOIN("",TRUE,A2169,"!",ADDRESS(19+(A2170-1)*J2169,2))),"")</f>
        <v/>
      </c>
      <c r="D2179" s="58"/>
      <c r="E2179" s="58"/>
      <c r="F2179" s="58"/>
      <c r="G2179" s="59"/>
      <c r="H2179" s="25" t="str">
        <f ca="1">_xlfn.IFNA(INDIRECT(_xlfn.TEXTJOIN("",TRUE,A2169,"!",ADDRESS(19+(A2170-1)*J2169,6))),"")</f>
        <v/>
      </c>
      <c r="I2179" s="25" t="str">
        <f ca="1">_xlfn.IFNA(INDIRECT(_xlfn.TEXTJOIN("",TRUE,A2169,"!",ADDRESS(19+(A2170-1)*J2169,13))),"")</f>
        <v/>
      </c>
      <c r="J2179" s="25" t="str">
        <f ca="1">_xlfn.IFNA(INDIRECT(_xlfn.TEXTJOIN("",TRUE,A2169,"!",ADDRESS(19+(A2170-1)*J2169,14))),"")</f>
        <v/>
      </c>
    </row>
    <row r="2180" spans="1:10" ht="10.5" customHeight="1" x14ac:dyDescent="0.2">
      <c r="A2180" s="65" t="str">
        <f ca="1">_xlfn.IFNA(INDIRECT(_xlfn.TEXTJOIN("",TRUE,A2169,"!",ADDRESS(20+(A2170-1)*J2169,1))),"")</f>
        <v/>
      </c>
      <c r="B2180" s="65"/>
      <c r="C2180" s="66" t="str">
        <f ca="1">_xlfn.IFNA(INDIRECT(_xlfn.TEXTJOIN("",TRUE,A2169,"!",ADDRESS(20+(A2170-1)*J2169,2))),"")</f>
        <v/>
      </c>
      <c r="D2180" s="66"/>
      <c r="E2180" s="66"/>
      <c r="F2180" s="66"/>
      <c r="G2180" s="66"/>
      <c r="H2180" s="25" t="str">
        <f ca="1">_xlfn.IFNA(INDIRECT(_xlfn.TEXTJOIN("",TRUE,A2169,"!",ADDRESS(20+(A2170-1)*J2169,6))),"")</f>
        <v/>
      </c>
      <c r="I2180" s="25" t="str">
        <f ca="1">_xlfn.IFNA(INDIRECT(_xlfn.TEXTJOIN("",TRUE,A2169,"!",ADDRESS(20+(A2170-1)*J2169,13))),"")</f>
        <v/>
      </c>
      <c r="J2180" s="25" t="str">
        <f ca="1">_xlfn.IFNA(INDIRECT(_xlfn.TEXTJOIN("",TRUE,A2169,"!",ADDRESS(20+(A2170-1)*J2169,14))),"")</f>
        <v/>
      </c>
    </row>
    <row r="2181" spans="1:10" ht="10.5" customHeight="1" x14ac:dyDescent="0.2">
      <c r="A2181" s="65" t="str">
        <f ca="1">_xlfn.IFNA(INDIRECT(_xlfn.TEXTJOIN("",TRUE,A2169,"!",ADDRESS(21+(A2170-1)*J2169,1))),"")</f>
        <v/>
      </c>
      <c r="B2181" s="65"/>
      <c r="C2181" s="66" t="str">
        <f ca="1">_xlfn.IFNA(INDIRECT(_xlfn.TEXTJOIN("",TRUE,A2169,"!",ADDRESS(21+(A2170-1)*J2169,2))),"")</f>
        <v/>
      </c>
      <c r="D2181" s="66"/>
      <c r="E2181" s="66"/>
      <c r="F2181" s="66"/>
      <c r="G2181" s="66"/>
      <c r="H2181" s="25" t="str">
        <f ca="1">_xlfn.IFNA(INDIRECT(_xlfn.TEXTJOIN("",TRUE,A2169,"!",ADDRESS(21+(A2170-1)*J2169,6))),"")</f>
        <v/>
      </c>
      <c r="I2181" s="25" t="str">
        <f ca="1">_xlfn.IFNA(INDIRECT(_xlfn.TEXTJOIN("",TRUE,A2169,"!",ADDRESS(21+(A2170-1)*J2169,13))),"")</f>
        <v/>
      </c>
      <c r="J2181" s="25" t="str">
        <f ca="1">_xlfn.IFNA(INDIRECT(_xlfn.TEXTJOIN("",TRUE,A2169,"!",ADDRESS(21+(A2170-1)*J2169,14))),"")</f>
        <v/>
      </c>
    </row>
    <row r="2182" spans="1:10" ht="10.5" customHeight="1" x14ac:dyDescent="0.2">
      <c r="A2182" s="65" t="str">
        <f ca="1">_xlfn.IFNA(INDIRECT(_xlfn.TEXTJOIN("",TRUE,A2169,"!",ADDRESS(22+(A2170-1)*J2169,1))),"")</f>
        <v/>
      </c>
      <c r="B2182" s="65"/>
      <c r="C2182" s="66" t="str">
        <f ca="1">_xlfn.IFNA(INDIRECT(_xlfn.TEXTJOIN("",TRUE,A2169,"!",ADDRESS(22+(A2170-1)*J2169,2))),"")</f>
        <v/>
      </c>
      <c r="D2182" s="66"/>
      <c r="E2182" s="66"/>
      <c r="F2182" s="66"/>
      <c r="G2182" s="66"/>
      <c r="H2182" s="25" t="str">
        <f ca="1">_xlfn.IFNA(INDIRECT(_xlfn.TEXTJOIN("",TRUE,A2169,"!",ADDRESS(22+(A2170-1)*J2169,6))),"")</f>
        <v/>
      </c>
      <c r="I2182" s="25" t="str">
        <f ca="1">_xlfn.IFNA(INDIRECT(_xlfn.TEXTJOIN("",TRUE,A2169,"!",ADDRESS(22+(A2170-1)*J2169,13))),"")</f>
        <v/>
      </c>
      <c r="J2182" s="25" t="str">
        <f ca="1">_xlfn.IFNA(INDIRECT(_xlfn.TEXTJOIN("",TRUE,A2169,"!",ADDRESS(22+(A2170-1)*J2169,14))),"")</f>
        <v/>
      </c>
    </row>
    <row r="2183" spans="1:10" ht="10.5" customHeight="1" x14ac:dyDescent="0.2">
      <c r="A2183" s="71" t="str">
        <f ca="1">IF(ISNA(A2170),"","Total Credits/ Total Grade Points")</f>
        <v/>
      </c>
      <c r="B2183" s="71"/>
      <c r="C2183" s="71"/>
      <c r="D2183" s="71"/>
      <c r="E2183" s="71"/>
      <c r="F2183" s="71"/>
      <c r="G2183" s="71"/>
      <c r="H2183" s="27" t="str">
        <f ca="1">IF(ISNA(A2170),"",SUM(H2173:H2182))</f>
        <v/>
      </c>
      <c r="I2183" s="26" t="str">
        <f ca="1">IF(ISNA(A2170),"","-")</f>
        <v/>
      </c>
      <c r="J2183" s="27" t="str">
        <f ca="1">IF(ISNA(A2170),"",SUMPRODUCT(J2173:J2182,H2173:H2182))</f>
        <v/>
      </c>
    </row>
    <row r="2184" spans="1:10" ht="10.5" customHeight="1" x14ac:dyDescent="0.2">
      <c r="A2184" s="24" t="s">
        <v>60</v>
      </c>
      <c r="B2184" s="72" t="str">
        <f ca="1">IF(ISNA(A2185),"","Semester III (Autumn Semester 2023-24)")</f>
        <v/>
      </c>
      <c r="C2184" s="72"/>
      <c r="D2184" s="72"/>
      <c r="E2184" s="72"/>
      <c r="F2184" s="72"/>
      <c r="G2184" s="72"/>
      <c r="H2184" s="72"/>
      <c r="I2184" s="72"/>
      <c r="J2184" s="24">
        <f>ROWS(A2188:B2195)+9</f>
        <v>17</v>
      </c>
    </row>
    <row r="2185" spans="1:10" ht="10.5" customHeight="1" x14ac:dyDescent="0.2">
      <c r="A2185" s="24" t="e">
        <f ca="1">INDEX(SEM_III!$A$6:$A$43,Marksheets!J2185)</f>
        <v>#N/A</v>
      </c>
      <c r="B2185" s="63"/>
      <c r="C2185" s="63"/>
      <c r="D2185" s="63"/>
      <c r="E2185" s="63"/>
      <c r="F2185" s="63"/>
      <c r="G2185" s="63"/>
      <c r="H2185" s="63"/>
      <c r="I2185" s="63"/>
      <c r="J2185" s="24" t="e">
        <f ca="1">MATCH(H2148,SEM_III!$B$6:$B$43,0)</f>
        <v>#N/A</v>
      </c>
    </row>
    <row r="2186" spans="1:10" ht="10.5" customHeight="1" x14ac:dyDescent="0.2">
      <c r="A2186" s="64" t="str">
        <f ca="1">IF(ISNA(A2185),"","Subject Code")</f>
        <v/>
      </c>
      <c r="B2186" s="64"/>
      <c r="C2186" s="64" t="str">
        <f ca="1">IF(ISNA(A2185),"","Subject Name")</f>
        <v/>
      </c>
      <c r="D2186" s="64"/>
      <c r="E2186" s="64"/>
      <c r="F2186" s="64"/>
      <c r="G2186" s="64"/>
      <c r="H2186" s="64" t="str">
        <f ca="1">IF(ISNA(A2185),"","Credits")</f>
        <v/>
      </c>
      <c r="I2186" s="64" t="str">
        <f ca="1">IF(ISNA(A2185),"","Grade")</f>
        <v/>
      </c>
      <c r="J2186" s="64" t="str">
        <f ca="1">IF(ISNA(A2185),"","Grade Points")</f>
        <v/>
      </c>
    </row>
    <row r="2187" spans="1:10" ht="12.5" customHeight="1" x14ac:dyDescent="0.2">
      <c r="A2187" s="64"/>
      <c r="B2187" s="64"/>
      <c r="C2187" s="64"/>
      <c r="D2187" s="64"/>
      <c r="E2187" s="64"/>
      <c r="F2187" s="64"/>
      <c r="G2187" s="64"/>
      <c r="H2187" s="64"/>
      <c r="I2187" s="64"/>
      <c r="J2187" s="64"/>
    </row>
    <row r="2188" spans="1:10" ht="10.5" customHeight="1" x14ac:dyDescent="0.2">
      <c r="A2188" s="65" t="str">
        <f ca="1">_xlfn.IFNA(INDIRECT(_xlfn.TEXTJOIN("",TRUE,A2184,"!",ADDRESS(13+(A2185-1)*J2184,1))),"")</f>
        <v/>
      </c>
      <c r="B2188" s="65"/>
      <c r="C2188" s="66" t="str">
        <f ca="1">_xlfn.IFNA(INDIRECT(_xlfn.TEXTJOIN("",TRUE,A2184,"!",ADDRESS(13+(A2185-1)*J2184,2))),"")</f>
        <v/>
      </c>
      <c r="D2188" s="66"/>
      <c r="E2188" s="66"/>
      <c r="F2188" s="66"/>
      <c r="G2188" s="66"/>
      <c r="H2188" s="25" t="str">
        <f ca="1">_xlfn.IFNA(INDIRECT(_xlfn.TEXTJOIN("",TRUE,A2184,"!",ADDRESS(13+(A2185-1)*J2184,6))),"")</f>
        <v/>
      </c>
      <c r="I2188" s="25" t="str">
        <f ca="1">_xlfn.IFNA(INDIRECT(_xlfn.TEXTJOIN("",TRUE,A2184,"!",ADDRESS(13+(A2185-1)*J2184,13))),"")</f>
        <v/>
      </c>
      <c r="J2188" s="25" t="str">
        <f ca="1">_xlfn.IFNA(INDIRECT(_xlfn.TEXTJOIN("",TRUE,A2184,"!",ADDRESS(13+(A2185-1)*J2184,14))),"")</f>
        <v/>
      </c>
    </row>
    <row r="2189" spans="1:10" ht="10.5" customHeight="1" x14ac:dyDescent="0.2">
      <c r="A2189" s="65" t="str">
        <f ca="1">_xlfn.IFNA(INDIRECT(_xlfn.TEXTJOIN("",TRUE,A2184,"!",ADDRESS(14+(A2185-1)*J2184,1))),"")</f>
        <v/>
      </c>
      <c r="B2189" s="65"/>
      <c r="C2189" s="66" t="str">
        <f ca="1">_xlfn.IFNA(INDIRECT(_xlfn.TEXTJOIN("",TRUE,A2184,"!",ADDRESS(14+(A2185-1)*J2184,2))),"")</f>
        <v/>
      </c>
      <c r="D2189" s="66"/>
      <c r="E2189" s="66"/>
      <c r="F2189" s="66"/>
      <c r="G2189" s="66"/>
      <c r="H2189" s="25" t="str">
        <f ca="1">_xlfn.IFNA(INDIRECT(_xlfn.TEXTJOIN("",TRUE,A2184,"!",ADDRESS(14+(A2185-1)*J2184,6))),"")</f>
        <v/>
      </c>
      <c r="I2189" s="25" t="str">
        <f ca="1">_xlfn.IFNA(INDIRECT(_xlfn.TEXTJOIN("",TRUE,A2184,"!",ADDRESS(14+(A2185-1)*J2184,13))),"")</f>
        <v/>
      </c>
      <c r="J2189" s="25" t="str">
        <f ca="1">_xlfn.IFNA(INDIRECT(_xlfn.TEXTJOIN("",TRUE,A2184,"!",ADDRESS(14+(A2185-1)*J2184,14))),"")</f>
        <v/>
      </c>
    </row>
    <row r="2190" spans="1:10" ht="10.5" customHeight="1" x14ac:dyDescent="0.2">
      <c r="A2190" s="65" t="str">
        <f ca="1">_xlfn.IFNA(INDIRECT(_xlfn.TEXTJOIN("",TRUE,A2184,"!",ADDRESS(15+(A2185-1)*J2184,1))),"")</f>
        <v/>
      </c>
      <c r="B2190" s="65"/>
      <c r="C2190" s="66" t="str">
        <f ca="1">_xlfn.IFNA(INDIRECT(_xlfn.TEXTJOIN("",TRUE,A2184,"!",ADDRESS(15+(A2185-1)*J2184,2))),"")</f>
        <v/>
      </c>
      <c r="D2190" s="66"/>
      <c r="E2190" s="66"/>
      <c r="F2190" s="66"/>
      <c r="G2190" s="66"/>
      <c r="H2190" s="25" t="str">
        <f ca="1">_xlfn.IFNA(INDIRECT(_xlfn.TEXTJOIN("",TRUE,A2184,"!",ADDRESS(15+(A2185-1)*J2184,6))),"")</f>
        <v/>
      </c>
      <c r="I2190" s="25" t="str">
        <f ca="1">_xlfn.IFNA(INDIRECT(_xlfn.TEXTJOIN("",TRUE,A2184,"!",ADDRESS(15+(A2185-1)*J2184,13))),"")</f>
        <v/>
      </c>
      <c r="J2190" s="25" t="str">
        <f ca="1">_xlfn.IFNA(INDIRECT(_xlfn.TEXTJOIN("",TRUE,A2184,"!",ADDRESS(15+(A2185-1)*J2184,14))),"")</f>
        <v/>
      </c>
    </row>
    <row r="2191" spans="1:10" ht="10.5" customHeight="1" x14ac:dyDescent="0.2">
      <c r="A2191" s="65" t="str">
        <f ca="1">_xlfn.IFNA(INDIRECT(_xlfn.TEXTJOIN("",TRUE,A2184,"!",ADDRESS(16+(A2185-1)*J2184,1))),"")</f>
        <v/>
      </c>
      <c r="B2191" s="65"/>
      <c r="C2191" s="66" t="str">
        <f ca="1">_xlfn.IFNA(INDIRECT(_xlfn.TEXTJOIN("",TRUE,A2184,"!",ADDRESS(16+(A2185-1)*J2184,2))),"")</f>
        <v/>
      </c>
      <c r="D2191" s="66"/>
      <c r="E2191" s="66"/>
      <c r="F2191" s="66"/>
      <c r="G2191" s="66"/>
      <c r="H2191" s="25" t="str">
        <f ca="1">_xlfn.IFNA(INDIRECT(_xlfn.TEXTJOIN("",TRUE,A2184,"!",ADDRESS(16+(A2185-1)*J2184,6))),"")</f>
        <v/>
      </c>
      <c r="I2191" s="25" t="str">
        <f ca="1">_xlfn.IFNA(INDIRECT(_xlfn.TEXTJOIN("",TRUE,A2184,"!",ADDRESS(16+(A2185-1)*J2184,13))),"")</f>
        <v/>
      </c>
      <c r="J2191" s="25" t="str">
        <f ca="1">_xlfn.IFNA(INDIRECT(_xlfn.TEXTJOIN("",TRUE,A2184,"!",ADDRESS(16+(A2185-1)*J2184,14))),"")</f>
        <v/>
      </c>
    </row>
    <row r="2192" spans="1:10" ht="10.5" customHeight="1" x14ac:dyDescent="0.2">
      <c r="A2192" s="65" t="str">
        <f ca="1">_xlfn.IFNA(INDIRECT(_xlfn.TEXTJOIN("",TRUE,A2184,"!",ADDRESS(17+(A2185-1)*J2184,1))),"")</f>
        <v/>
      </c>
      <c r="B2192" s="65"/>
      <c r="C2192" s="66" t="str">
        <f ca="1">_xlfn.IFNA(INDIRECT(_xlfn.TEXTJOIN("",TRUE,A2184,"!",ADDRESS(17+(A2185-1)*J2184,2))),"")</f>
        <v/>
      </c>
      <c r="D2192" s="66"/>
      <c r="E2192" s="66"/>
      <c r="F2192" s="66"/>
      <c r="G2192" s="66"/>
      <c r="H2192" s="25" t="str">
        <f ca="1">_xlfn.IFNA(INDIRECT(_xlfn.TEXTJOIN("",TRUE,A2184,"!",ADDRESS(17+(A2185-1)*J2184,6))),"")</f>
        <v/>
      </c>
      <c r="I2192" s="25" t="str">
        <f ca="1">_xlfn.IFNA(INDIRECT(_xlfn.TEXTJOIN("",TRUE,A2184,"!",ADDRESS(17+(A2185-1)*J2184,13))),"")</f>
        <v/>
      </c>
      <c r="J2192" s="25" t="str">
        <f ca="1">_xlfn.IFNA(INDIRECT(_xlfn.TEXTJOIN("",TRUE,A2184,"!",ADDRESS(17+(A2185-1)*J2184,14))),"")</f>
        <v/>
      </c>
    </row>
    <row r="2193" spans="1:10" ht="10.5" customHeight="1" x14ac:dyDescent="0.2">
      <c r="A2193" s="65" t="str">
        <f ca="1">_xlfn.IFNA(INDIRECT(_xlfn.TEXTJOIN("",TRUE,A2184,"!",ADDRESS(18+(A2185-1)*J2184,1))),"")</f>
        <v/>
      </c>
      <c r="B2193" s="65"/>
      <c r="C2193" s="66" t="str">
        <f ca="1">_xlfn.IFNA(INDIRECT(_xlfn.TEXTJOIN("",TRUE,A2184,"!",ADDRESS(18+(A2185-1)*J2184,2))),"")</f>
        <v/>
      </c>
      <c r="D2193" s="66"/>
      <c r="E2193" s="66"/>
      <c r="F2193" s="66"/>
      <c r="G2193" s="66"/>
      <c r="H2193" s="25" t="str">
        <f ca="1">_xlfn.IFNA(INDIRECT(_xlfn.TEXTJOIN("",TRUE,A2184,"!",ADDRESS(18+(A2185-1)*J2184,6))),"")</f>
        <v/>
      </c>
      <c r="I2193" s="25" t="str">
        <f ca="1">_xlfn.IFNA(INDIRECT(_xlfn.TEXTJOIN("",TRUE,A2184,"!",ADDRESS(18+(A2185-1)*J2184,13))),"")</f>
        <v/>
      </c>
      <c r="J2193" s="25" t="str">
        <f ca="1">_xlfn.IFNA(INDIRECT(_xlfn.TEXTJOIN("",TRUE,A2184,"!",ADDRESS(18+(A2185-1)*J2184,14))),"")</f>
        <v/>
      </c>
    </row>
    <row r="2194" spans="1:10" ht="10.5" customHeight="1" x14ac:dyDescent="0.2">
      <c r="A2194" s="60" t="str">
        <f ca="1">_xlfn.IFNA(INDIRECT(_xlfn.TEXTJOIN("",TRUE,A2184,"!",ADDRESS(19+(A2185-1)*J2184,1))),"")</f>
        <v/>
      </c>
      <c r="B2194" s="61"/>
      <c r="C2194" s="57" t="str">
        <f ca="1">_xlfn.IFNA(INDIRECT(_xlfn.TEXTJOIN("",TRUE,A2184,"!",ADDRESS(19+(A2185-1)*J2184,2))),"")</f>
        <v/>
      </c>
      <c r="D2194" s="58"/>
      <c r="E2194" s="58"/>
      <c r="F2194" s="58"/>
      <c r="G2194" s="59"/>
      <c r="H2194" s="25" t="str">
        <f ca="1">_xlfn.IFNA(INDIRECT(_xlfn.TEXTJOIN("",TRUE,A2184,"!",ADDRESS(19+(A2185-1)*J2184,6))),"")</f>
        <v/>
      </c>
      <c r="I2194" s="25" t="str">
        <f ca="1">_xlfn.IFNA(INDIRECT(_xlfn.TEXTJOIN("",TRUE,A2184,"!",ADDRESS(19+(A2185-1)*J2184,13))),"")</f>
        <v/>
      </c>
      <c r="J2194" s="25" t="str">
        <f ca="1">_xlfn.IFNA(INDIRECT(_xlfn.TEXTJOIN("",TRUE,A2184,"!",ADDRESS(19+(A2185-1)*J2184,14))),"")</f>
        <v/>
      </c>
    </row>
    <row r="2195" spans="1:10" ht="10.5" customHeight="1" x14ac:dyDescent="0.2">
      <c r="A2195" s="65" t="str">
        <f ca="1">_xlfn.IFNA(INDIRECT(_xlfn.TEXTJOIN("",TRUE,A2184,"!",ADDRESS(20+(A2185-1)*J2184,1))),"")</f>
        <v/>
      </c>
      <c r="B2195" s="65"/>
      <c r="C2195" s="66" t="str">
        <f ca="1">_xlfn.IFNA(INDIRECT(_xlfn.TEXTJOIN("",TRUE,A2184,"!",ADDRESS(20+(A2185-1)*J2184,2))),"")</f>
        <v/>
      </c>
      <c r="D2195" s="66"/>
      <c r="E2195" s="66"/>
      <c r="F2195" s="66"/>
      <c r="G2195" s="66"/>
      <c r="H2195" s="25" t="str">
        <f ca="1">_xlfn.IFNA(INDIRECT(_xlfn.TEXTJOIN("",TRUE,A2184,"!",ADDRESS(20+(A2185-1)*J2184,6))),"")</f>
        <v/>
      </c>
      <c r="I2195" s="25" t="str">
        <f ca="1">_xlfn.IFNA(INDIRECT(_xlfn.TEXTJOIN("",TRUE,A2184,"!",ADDRESS(20+(A2185-1)*J2184,13))),"")</f>
        <v/>
      </c>
      <c r="J2195" s="25" t="str">
        <f ca="1">_xlfn.IFNA(INDIRECT(_xlfn.TEXTJOIN("",TRUE,A2184,"!",ADDRESS(20+(A2185-1)*J2184,14))),"")</f>
        <v/>
      </c>
    </row>
    <row r="2196" spans="1:10" ht="10.5" customHeight="1" x14ac:dyDescent="0.2">
      <c r="A2196" s="71" t="str">
        <f ca="1">IF(ISNA(A2185),"","Total Credits/ Total Grade Points")</f>
        <v/>
      </c>
      <c r="B2196" s="71"/>
      <c r="C2196" s="71"/>
      <c r="D2196" s="71"/>
      <c r="E2196" s="71"/>
      <c r="F2196" s="71"/>
      <c r="G2196" s="71"/>
      <c r="H2196" s="27" t="str">
        <f ca="1">IF(ISNA(A2185),"",SUM(H2188:H2195))</f>
        <v/>
      </c>
      <c r="I2196" s="26" t="str">
        <f ca="1">IF(ISNA(A2185),"","-")</f>
        <v/>
      </c>
      <c r="J2196" s="27" t="str">
        <f ca="1">IF(ISNA(A2185),"",SUMPRODUCT(J2188:J2195,H2188:H2195))</f>
        <v/>
      </c>
    </row>
    <row r="2197" spans="1:10" ht="10.5" customHeight="1" x14ac:dyDescent="0.2">
      <c r="A2197" s="24" t="s">
        <v>133</v>
      </c>
      <c r="B2197" s="72" t="str">
        <f ca="1">IF(ISNA(A2198),"","Semester IV (Spring Semester 2023-24)")</f>
        <v/>
      </c>
      <c r="C2197" s="72"/>
      <c r="D2197" s="72"/>
      <c r="E2197" s="72"/>
      <c r="F2197" s="72"/>
      <c r="G2197" s="72"/>
      <c r="H2197" s="72"/>
      <c r="I2197" s="72"/>
      <c r="J2197" s="24">
        <f>ROWS(A2201:B2207)+9</f>
        <v>16</v>
      </c>
    </row>
    <row r="2198" spans="1:10" ht="10.5" customHeight="1" x14ac:dyDescent="0.2">
      <c r="A2198" s="24" t="e">
        <f ca="1">INDEX(SEM_IV!$A$6:$A$43,Marksheets!J2198)</f>
        <v>#N/A</v>
      </c>
      <c r="B2198" s="63"/>
      <c r="C2198" s="63"/>
      <c r="D2198" s="63"/>
      <c r="E2198" s="63"/>
      <c r="F2198" s="63"/>
      <c r="G2198" s="63"/>
      <c r="H2198" s="63"/>
      <c r="I2198" s="63"/>
      <c r="J2198" s="24" t="e">
        <f ca="1">MATCH(H2148,SEM_IV!$B$6:$B$43,0)</f>
        <v>#N/A</v>
      </c>
    </row>
    <row r="2199" spans="1:10" ht="10.5" customHeight="1" x14ac:dyDescent="0.2">
      <c r="A2199" s="64" t="str">
        <f ca="1">IF(ISNA(A2198),"","Subject Code")</f>
        <v/>
      </c>
      <c r="B2199" s="64"/>
      <c r="C2199" s="64" t="str">
        <f ca="1">IF(ISNA(A2198),"","Subject Name")</f>
        <v/>
      </c>
      <c r="D2199" s="64"/>
      <c r="E2199" s="64"/>
      <c r="F2199" s="64"/>
      <c r="G2199" s="64"/>
      <c r="H2199" s="64" t="str">
        <f ca="1">IF(ISNA(A2198),"","Credits")</f>
        <v/>
      </c>
      <c r="I2199" s="64" t="str">
        <f ca="1">IF(ISNA(A2198),"","Grade")</f>
        <v/>
      </c>
      <c r="J2199" s="64" t="str">
        <f ca="1">IF(ISNA(A2198),"","Grade Points")</f>
        <v/>
      </c>
    </row>
    <row r="2200" spans="1:10" ht="15" customHeight="1" x14ac:dyDescent="0.2">
      <c r="A2200" s="64"/>
      <c r="B2200" s="64"/>
      <c r="C2200" s="64"/>
      <c r="D2200" s="64"/>
      <c r="E2200" s="64"/>
      <c r="F2200" s="64"/>
      <c r="G2200" s="64"/>
      <c r="H2200" s="64"/>
      <c r="I2200" s="64"/>
      <c r="J2200" s="64"/>
    </row>
    <row r="2201" spans="1:10" ht="10.5" customHeight="1" x14ac:dyDescent="0.2">
      <c r="A2201" s="65" t="str">
        <f ca="1">_xlfn.IFNA(INDIRECT(_xlfn.TEXTJOIN("",TRUE,A2197,"!",ADDRESS(13+(A2198-1)*J2197,1))),"")</f>
        <v/>
      </c>
      <c r="B2201" s="65"/>
      <c r="C2201" s="66" t="str">
        <f ca="1">_xlfn.IFNA(INDIRECT(_xlfn.TEXTJOIN("",TRUE,A2197,"!",ADDRESS(13+(A2198-1)*J2197,2))),"")</f>
        <v/>
      </c>
      <c r="D2201" s="66"/>
      <c r="E2201" s="66"/>
      <c r="F2201" s="66"/>
      <c r="G2201" s="66"/>
      <c r="H2201" s="25" t="str">
        <f ca="1">_xlfn.IFNA(INDIRECT(_xlfn.TEXTJOIN("",TRUE,A2197,"!",ADDRESS(13+(A2198-1)*J2197,6))),"")</f>
        <v/>
      </c>
      <c r="I2201" s="25" t="str">
        <f ca="1">_xlfn.IFNA(INDIRECT(_xlfn.TEXTJOIN("",TRUE,A2197,"!",ADDRESS(13+(A2198-1)*J2197,13))),"")</f>
        <v/>
      </c>
      <c r="J2201" s="25" t="str">
        <f ca="1">_xlfn.IFNA(INDIRECT(_xlfn.TEXTJOIN("",TRUE,A2197,"!",ADDRESS(13+(A2198-1)*J2197,14))),"")</f>
        <v/>
      </c>
    </row>
    <row r="2202" spans="1:10" ht="10.5" customHeight="1" x14ac:dyDescent="0.2">
      <c r="A2202" s="65" t="str">
        <f ca="1">_xlfn.IFNA(INDIRECT(_xlfn.TEXTJOIN("",TRUE,A2197,"!",ADDRESS(14+(A2198-1)*J2197,1))),"")</f>
        <v/>
      </c>
      <c r="B2202" s="65"/>
      <c r="C2202" s="66" t="str">
        <f ca="1">_xlfn.IFNA(INDIRECT(_xlfn.TEXTJOIN("",TRUE,A2197,"!",ADDRESS(14+(A2198-1)*J2197,2))),"")</f>
        <v/>
      </c>
      <c r="D2202" s="66"/>
      <c r="E2202" s="66"/>
      <c r="F2202" s="66"/>
      <c r="G2202" s="66"/>
      <c r="H2202" s="25" t="str">
        <f ca="1">_xlfn.IFNA(INDIRECT(_xlfn.TEXTJOIN("",TRUE,A2197,"!",ADDRESS(14+(A2198-1)*J2197,6))),"")</f>
        <v/>
      </c>
      <c r="I2202" s="25" t="str">
        <f ca="1">_xlfn.IFNA(INDIRECT(_xlfn.TEXTJOIN("",TRUE,A2197,"!",ADDRESS(14+(A2198-1)*J2197,13))),"")</f>
        <v/>
      </c>
      <c r="J2202" s="25" t="str">
        <f ca="1">_xlfn.IFNA(INDIRECT(_xlfn.TEXTJOIN("",TRUE,A2197,"!",ADDRESS(14+(A2198-1)*J2197,14))),"")</f>
        <v/>
      </c>
    </row>
    <row r="2203" spans="1:10" ht="10.5" customHeight="1" x14ac:dyDescent="0.2">
      <c r="A2203" s="65" t="str">
        <f ca="1">_xlfn.IFNA(INDIRECT(_xlfn.TEXTJOIN("",TRUE,A2197,"!",ADDRESS(15+(A2198-1)*J2197,1))),"")</f>
        <v/>
      </c>
      <c r="B2203" s="65"/>
      <c r="C2203" s="66" t="str">
        <f ca="1">_xlfn.IFNA(INDIRECT(_xlfn.TEXTJOIN("",TRUE,A2197,"!",ADDRESS(15+(A2198-1)*J2197,2))),"")</f>
        <v/>
      </c>
      <c r="D2203" s="66"/>
      <c r="E2203" s="66"/>
      <c r="F2203" s="66"/>
      <c r="G2203" s="66"/>
      <c r="H2203" s="25" t="str">
        <f ca="1">_xlfn.IFNA(INDIRECT(_xlfn.TEXTJOIN("",TRUE,A2197,"!",ADDRESS(15+(A2198-1)*J2197,6))),"")</f>
        <v/>
      </c>
      <c r="I2203" s="25" t="str">
        <f ca="1">_xlfn.IFNA(INDIRECT(_xlfn.TEXTJOIN("",TRUE,A2197,"!",ADDRESS(15+(A2198-1)*J2197,13))),"")</f>
        <v/>
      </c>
      <c r="J2203" s="25" t="str">
        <f ca="1">_xlfn.IFNA(INDIRECT(_xlfn.TEXTJOIN("",TRUE,A2197,"!",ADDRESS(15+(A2198-1)*J2197,14))),"")</f>
        <v/>
      </c>
    </row>
    <row r="2204" spans="1:10" ht="10.5" customHeight="1" x14ac:dyDescent="0.2">
      <c r="A2204" s="65" t="str">
        <f ca="1">_xlfn.IFNA(INDIRECT(_xlfn.TEXTJOIN("",TRUE,A2197,"!",ADDRESS(16+(A2198-1)*J2197,1))),"")</f>
        <v/>
      </c>
      <c r="B2204" s="65"/>
      <c r="C2204" s="66" t="str">
        <f ca="1">_xlfn.IFNA(INDIRECT(_xlfn.TEXTJOIN("",TRUE,A2197,"!",ADDRESS(16+(A2198-1)*J2197,2))),"")</f>
        <v/>
      </c>
      <c r="D2204" s="66"/>
      <c r="E2204" s="66"/>
      <c r="F2204" s="66"/>
      <c r="G2204" s="66"/>
      <c r="H2204" s="25" t="str">
        <f ca="1">_xlfn.IFNA(INDIRECT(_xlfn.TEXTJOIN("",TRUE,A2197,"!",ADDRESS(16+(A2198-1)*J2197,6))),"")</f>
        <v/>
      </c>
      <c r="I2204" s="25" t="str">
        <f ca="1">_xlfn.IFNA(INDIRECT(_xlfn.TEXTJOIN("",TRUE,A2197,"!",ADDRESS(16+(A2198-1)*J2197,13))),"")</f>
        <v/>
      </c>
      <c r="J2204" s="25" t="str">
        <f ca="1">_xlfn.IFNA(INDIRECT(_xlfn.TEXTJOIN("",TRUE,A2197,"!",ADDRESS(16+(A2198-1)*J2197,14))),"")</f>
        <v/>
      </c>
    </row>
    <row r="2205" spans="1:10" ht="10.5" customHeight="1" x14ac:dyDescent="0.2">
      <c r="A2205" s="65" t="str">
        <f ca="1">_xlfn.IFNA(INDIRECT(_xlfn.TEXTJOIN("",TRUE,A2197,"!",ADDRESS(17+(A2198-1)*J2197,1))),"")</f>
        <v/>
      </c>
      <c r="B2205" s="65"/>
      <c r="C2205" s="66" t="str">
        <f ca="1">_xlfn.IFNA(INDIRECT(_xlfn.TEXTJOIN("",TRUE,A2197,"!",ADDRESS(17+(A2198-1)*J2197,2))),"")</f>
        <v/>
      </c>
      <c r="D2205" s="66"/>
      <c r="E2205" s="66"/>
      <c r="F2205" s="66"/>
      <c r="G2205" s="66"/>
      <c r="H2205" s="25" t="str">
        <f ca="1">_xlfn.IFNA(INDIRECT(_xlfn.TEXTJOIN("",TRUE,A2197,"!",ADDRESS(17+(A2198-1)*J2197,6))),"")</f>
        <v/>
      </c>
      <c r="I2205" s="25" t="str">
        <f ca="1">_xlfn.IFNA(INDIRECT(_xlfn.TEXTJOIN("",TRUE,A2197,"!",ADDRESS(17+(A2198-1)*J2197,13))),"")</f>
        <v/>
      </c>
      <c r="J2205" s="25" t="str">
        <f ca="1">_xlfn.IFNA(INDIRECT(_xlfn.TEXTJOIN("",TRUE,A2197,"!",ADDRESS(17+(A2198-1)*J2197,14))),"")</f>
        <v/>
      </c>
    </row>
    <row r="2206" spans="1:10" ht="10.5" customHeight="1" x14ac:dyDescent="0.2">
      <c r="A2206" s="65" t="str">
        <f ca="1">_xlfn.IFNA(INDIRECT(_xlfn.TEXTJOIN("",TRUE,A2197,"!",ADDRESS(18+(A2198-1)*J2197,1))),"")</f>
        <v/>
      </c>
      <c r="B2206" s="65"/>
      <c r="C2206" s="66" t="str">
        <f ca="1">_xlfn.IFNA(INDIRECT(_xlfn.TEXTJOIN("",TRUE,A2197,"!",ADDRESS(18+(A2198-1)*J2197,2))),"")</f>
        <v/>
      </c>
      <c r="D2206" s="66"/>
      <c r="E2206" s="66"/>
      <c r="F2206" s="66"/>
      <c r="G2206" s="66"/>
      <c r="H2206" s="25" t="str">
        <f ca="1">_xlfn.IFNA(INDIRECT(_xlfn.TEXTJOIN("",TRUE,A2197,"!",ADDRESS(18+(A2198-1)*J2197,6))),"")</f>
        <v/>
      </c>
      <c r="I2206" s="25" t="str">
        <f ca="1">_xlfn.IFNA(INDIRECT(_xlfn.TEXTJOIN("",TRUE,A2197,"!",ADDRESS(18+(A2198-1)*J2197,13))),"")</f>
        <v/>
      </c>
      <c r="J2206" s="25" t="str">
        <f ca="1">_xlfn.IFNA(INDIRECT(_xlfn.TEXTJOIN("",TRUE,A2197,"!",ADDRESS(18+(A2198-1)*J2197,14))),"")</f>
        <v/>
      </c>
    </row>
    <row r="2207" spans="1:10" ht="10.5" customHeight="1" x14ac:dyDescent="0.2">
      <c r="A2207" s="60" t="str">
        <f ca="1">_xlfn.IFNA(INDIRECT(_xlfn.TEXTJOIN("",TRUE,A2197,"!",ADDRESS(19+(A2198-1)*J2197,1))),"")</f>
        <v/>
      </c>
      <c r="B2207" s="61"/>
      <c r="C2207" s="57" t="str">
        <f ca="1">_xlfn.IFNA(INDIRECT(_xlfn.TEXTJOIN("",TRUE,A2197,"!",ADDRESS(19+(A2198-1)*J2197,2))),"")</f>
        <v/>
      </c>
      <c r="D2207" s="58"/>
      <c r="E2207" s="58"/>
      <c r="F2207" s="58"/>
      <c r="G2207" s="59"/>
      <c r="H2207" s="25" t="str">
        <f ca="1">_xlfn.IFNA(INDIRECT(_xlfn.TEXTJOIN("",TRUE,A2197,"!",ADDRESS(19+(A2198-1)*J2197,6))),"")</f>
        <v/>
      </c>
      <c r="I2207" s="25" t="str">
        <f ca="1">_xlfn.IFNA(INDIRECT(_xlfn.TEXTJOIN("",TRUE,A2197,"!",ADDRESS(19+(A2198-1)*J2197,13))),"")</f>
        <v/>
      </c>
      <c r="J2207" s="25" t="str">
        <f ca="1">_xlfn.IFNA(INDIRECT(_xlfn.TEXTJOIN("",TRUE,A2197,"!",ADDRESS(19+(A2198-1)*J2197,14))),"")</f>
        <v/>
      </c>
    </row>
    <row r="2208" spans="1:10" ht="10.5" customHeight="1" x14ac:dyDescent="0.2">
      <c r="A2208" s="71" t="str">
        <f ca="1">IF(ISNA(A2198),"","Total Credits/ Total Grade Points")</f>
        <v/>
      </c>
      <c r="B2208" s="71"/>
      <c r="C2208" s="71"/>
      <c r="D2208" s="71"/>
      <c r="E2208" s="71"/>
      <c r="F2208" s="71"/>
      <c r="G2208" s="71"/>
      <c r="H2208" s="27" t="str">
        <f ca="1">IF(ISNA(A2198),"",SUM(H2200:H2207))</f>
        <v/>
      </c>
      <c r="I2208" s="26" t="str">
        <f ca="1">IF(ISNA(A2198),"","-")</f>
        <v/>
      </c>
      <c r="J2208" s="27" t="str">
        <f ca="1">IF(ISNA(A2198),"",SUMPRODUCT(J2200:J2207,H2200:H2207))</f>
        <v/>
      </c>
    </row>
    <row r="2209" spans="1:10" ht="10.5" customHeight="1" x14ac:dyDescent="0.2">
      <c r="A2209" s="75" t="s">
        <v>137</v>
      </c>
      <c r="B2209" s="75"/>
      <c r="C2209" s="75"/>
      <c r="D2209" s="75"/>
      <c r="E2209" s="75"/>
      <c r="F2209" s="76" t="s">
        <v>138</v>
      </c>
      <c r="G2209" s="76"/>
      <c r="H2209" s="76"/>
      <c r="I2209" s="76"/>
      <c r="J2209" s="76"/>
    </row>
    <row r="2210" spans="1:10" ht="10.5" customHeight="1" x14ac:dyDescent="0.2">
      <c r="A2210" s="43" t="s">
        <v>139</v>
      </c>
      <c r="B2210" s="43"/>
      <c r="C2210" s="43"/>
      <c r="D2210" s="43"/>
      <c r="E2210" s="43"/>
      <c r="F2210" s="43"/>
      <c r="G2210" s="43"/>
      <c r="H2210" s="43"/>
      <c r="I2210" s="43"/>
      <c r="J2210" s="43"/>
    </row>
    <row r="2211" spans="1:10" ht="10.5" customHeight="1" x14ac:dyDescent="0.2">
      <c r="A2211" s="10"/>
      <c r="B2211" s="26"/>
      <c r="C2211" s="26" t="s">
        <v>140</v>
      </c>
      <c r="D2211" s="26" t="s">
        <v>141</v>
      </c>
      <c r="E2211" s="26" t="s">
        <v>142</v>
      </c>
      <c r="F2211" s="26" t="s">
        <v>143</v>
      </c>
      <c r="G2211" s="26" t="s">
        <v>144</v>
      </c>
      <c r="H2211" s="79" t="s">
        <v>145</v>
      </c>
      <c r="I2211" s="79"/>
      <c r="J2211" s="30"/>
    </row>
    <row r="2212" spans="1:10" ht="10.5" customHeight="1" x14ac:dyDescent="0.2">
      <c r="A2212" s="10"/>
      <c r="B2212" s="80" t="s">
        <v>146</v>
      </c>
      <c r="C2212" s="73" t="e">
        <f ca="1">J2168/H2168</f>
        <v>#N/A</v>
      </c>
      <c r="D2212" s="73" t="e">
        <f ca="1">J2183/H2183</f>
        <v>#VALUE!</v>
      </c>
      <c r="E2212" s="73" t="str">
        <f ca="1">IFERROR(J2196/H2196,"")</f>
        <v/>
      </c>
      <c r="F2212" s="73" t="str">
        <f ca="1">IFERROR(J2208/H2208,"")</f>
        <v/>
      </c>
      <c r="G2212" s="82" t="e">
        <f ca="1">F2214</f>
        <v>#N/A</v>
      </c>
      <c r="H2212" s="83" t="e">
        <f ca="1">IF(TC_IV!N501&lt;96,_xlfn.TEXTJOIN(" ",TRUE,"CARRY OVER",TC_I!V740,TC_II!V612,TC_III!V531,TC_IV!V500),IF(G2212&gt;=8,"First Division with Distinction",IF(G2212&gt;=6.5,"First Division",IF(G2212&gt;=5,"Second Division",IF(G2212&gt;=4,"Third Division","Fail")))))</f>
        <v>#N/A</v>
      </c>
      <c r="I2212" s="83"/>
      <c r="J2212" s="30"/>
    </row>
    <row r="2213" spans="1:10" ht="10.5" customHeight="1" x14ac:dyDescent="0.2">
      <c r="B2213" s="81"/>
      <c r="C2213" s="74"/>
      <c r="D2213" s="74"/>
      <c r="E2213" s="74"/>
      <c r="F2213" s="74"/>
      <c r="G2213" s="82"/>
      <c r="H2213" s="83"/>
      <c r="I2213" s="83"/>
    </row>
    <row r="2214" spans="1:10" ht="10.5" customHeight="1" x14ac:dyDescent="0.2">
      <c r="B2214" s="80" t="s">
        <v>48</v>
      </c>
      <c r="C2214" s="73" t="e">
        <f ca="1">J2168/H2168</f>
        <v>#N/A</v>
      </c>
      <c r="D2214" s="73" t="e">
        <f ca="1">SUM(J2183,J2168)/SUM(H2183,H2168)</f>
        <v>#N/A</v>
      </c>
      <c r="E2214" s="73" t="e">
        <f ca="1">SUM(J2196,J2183,J2168)/SUM(H2196,H2183,H2168)</f>
        <v>#N/A</v>
      </c>
      <c r="F2214" s="73" t="e">
        <f ca="1">SUM(J2208,J2196,J2183,J2168)/SUM(H2168,H2183,H2196,H2208)</f>
        <v>#N/A</v>
      </c>
      <c r="G2214" s="82"/>
      <c r="H2214" s="83"/>
      <c r="I2214" s="83"/>
    </row>
    <row r="2215" spans="1:10" ht="10.5" customHeight="1" x14ac:dyDescent="0.2">
      <c r="B2215" s="81"/>
      <c r="C2215" s="74"/>
      <c r="D2215" s="74"/>
      <c r="E2215" s="74"/>
      <c r="F2215" s="74"/>
      <c r="G2215" s="82"/>
      <c r="H2215" s="83"/>
      <c r="I2215" s="83"/>
    </row>
    <row r="2217" spans="1:10" ht="10.5" customHeight="1" x14ac:dyDescent="0.2">
      <c r="A2217" s="56" t="s">
        <v>24</v>
      </c>
      <c r="B2217" s="56"/>
      <c r="C2217" s="56" t="str">
        <f ca="1">INDIRECT(_xlfn.TEXTJOIN("",TRUE,A2219,"!",ADDRESS(9+(A2220-1)*J2219,2)))</f>
        <v/>
      </c>
      <c r="D2217" s="56"/>
      <c r="E2217" s="56"/>
      <c r="F2217" s="56" t="s">
        <v>135</v>
      </c>
      <c r="G2217" s="56"/>
      <c r="H2217" s="62" t="str">
        <f ca="1">INDIRECT(_xlfn.TEXTJOIN("",TRUE,A2219,"!",ADDRESS(9+(A2220-1)*J2219,9)))</f>
        <v/>
      </c>
      <c r="I2217" s="56"/>
      <c r="J2217" s="56"/>
    </row>
    <row r="2218" spans="1:10" ht="10.5" customHeight="1" x14ac:dyDescent="0.2">
      <c r="A2218" s="56" t="s">
        <v>25</v>
      </c>
      <c r="B2218" s="56"/>
      <c r="C2218" s="56" t="str">
        <f ca="1">INDIRECT(_xlfn.TEXTJOIN("",TRUE,A2219,"!",ADDRESS(9+(A2220-1)*J2219,5)))</f>
        <v/>
      </c>
      <c r="D2218" s="56"/>
      <c r="E2218" s="56"/>
      <c r="F2218" s="47" t="s">
        <v>136</v>
      </c>
      <c r="G2218" s="47"/>
      <c r="H2218" s="62" t="str">
        <f ca="1">INDIRECT(_xlfn.TEXTJOIN("",TRUE,A2219,"!",ADDRESS(9+(A2220-1)*J2219,13)))</f>
        <v/>
      </c>
      <c r="I2218" s="56"/>
      <c r="J2218" s="56"/>
    </row>
    <row r="2219" spans="1:10" ht="10.5" customHeight="1" x14ac:dyDescent="0.2">
      <c r="A2219" s="24" t="s">
        <v>53</v>
      </c>
      <c r="B2219" s="43" t="s">
        <v>148</v>
      </c>
      <c r="C2219" s="43"/>
      <c r="D2219" s="43"/>
      <c r="E2219" s="43"/>
      <c r="F2219" s="43"/>
      <c r="G2219" s="43"/>
      <c r="H2219" s="43"/>
      <c r="I2219" s="43"/>
      <c r="J2219" s="24">
        <f>ROWS(A2223:B2236)+9</f>
        <v>23</v>
      </c>
    </row>
    <row r="2220" spans="1:10" ht="10.5" customHeight="1" x14ac:dyDescent="0.2">
      <c r="A2220" s="24">
        <f>A2151+1</f>
        <v>33</v>
      </c>
      <c r="B2220" s="63"/>
      <c r="C2220" s="63"/>
      <c r="D2220" s="63"/>
      <c r="E2220" s="63"/>
      <c r="F2220" s="63"/>
      <c r="G2220" s="63"/>
      <c r="H2220" s="63"/>
      <c r="I2220" s="63"/>
      <c r="J2220" s="29"/>
    </row>
    <row r="2221" spans="1:10" ht="10.5" customHeight="1" x14ac:dyDescent="0.2">
      <c r="A2221" s="64" t="s">
        <v>28</v>
      </c>
      <c r="B2221" s="64"/>
      <c r="C2221" s="64" t="s">
        <v>29</v>
      </c>
      <c r="D2221" s="64"/>
      <c r="E2221" s="64"/>
      <c r="F2221" s="64"/>
      <c r="G2221" s="64"/>
      <c r="H2221" s="64" t="s">
        <v>30</v>
      </c>
      <c r="I2221" s="64" t="s">
        <v>9</v>
      </c>
      <c r="J2221" s="64" t="s">
        <v>34</v>
      </c>
    </row>
    <row r="2222" spans="1:10" ht="14" customHeight="1" x14ac:dyDescent="0.2">
      <c r="A2222" s="64"/>
      <c r="B2222" s="64"/>
      <c r="C2222" s="64"/>
      <c r="D2222" s="64"/>
      <c r="E2222" s="64"/>
      <c r="F2222" s="64"/>
      <c r="G2222" s="64"/>
      <c r="H2222" s="64"/>
      <c r="I2222" s="64"/>
      <c r="J2222" s="64"/>
    </row>
    <row r="2223" spans="1:10" ht="10.5" customHeight="1" x14ac:dyDescent="0.2">
      <c r="A2223" s="65" t="str">
        <f ca="1">INDIRECT(_xlfn.TEXTJOIN("",TRUE,A2219,"!",ADDRESS(13+(A2220-1)*J2219,1)))</f>
        <v/>
      </c>
      <c r="B2223" s="65"/>
      <c r="C2223" s="66" t="str">
        <f ca="1">INDIRECT(_xlfn.TEXTJOIN("",TRUE,A2219,"!",ADDRESS(13+(A2220-1)*J2219,2)))</f>
        <v/>
      </c>
      <c r="D2223" s="66"/>
      <c r="E2223" s="66"/>
      <c r="F2223" s="66"/>
      <c r="G2223" s="66"/>
      <c r="H2223" s="25" t="str">
        <f ca="1">INDIRECT(_xlfn.TEXTJOIN("",TRUE,A2219,"!",ADDRESS(13+(A2220-1)*J2219,6)))</f>
        <v/>
      </c>
      <c r="I2223" s="25" t="str">
        <f ca="1">INDIRECT(_xlfn.TEXTJOIN("",TRUE,A2219,"!",ADDRESS(13+(A2220-1)*J2219,13)))</f>
        <v/>
      </c>
      <c r="J2223" s="25" t="e">
        <f ca="1">INDIRECT(_xlfn.TEXTJOIN("",TRUE,A2219,"!",ADDRESS(13+(A2220-1)*J2219,14)))</f>
        <v>#N/A</v>
      </c>
    </row>
    <row r="2224" spans="1:10" ht="10.5" customHeight="1" x14ac:dyDescent="0.2">
      <c r="A2224" s="65" t="str">
        <f ca="1">INDIRECT(_xlfn.TEXTJOIN("",TRUE,A2219,"!",ADDRESS(14+(A2220-1)*J2219,1)))</f>
        <v/>
      </c>
      <c r="B2224" s="65"/>
      <c r="C2224" s="66" t="str">
        <f ca="1">INDIRECT(_xlfn.TEXTJOIN("",TRUE,A2219,"!",ADDRESS(14+(A2220-1)*J2219,2)))</f>
        <v/>
      </c>
      <c r="D2224" s="66"/>
      <c r="E2224" s="66"/>
      <c r="F2224" s="66"/>
      <c r="G2224" s="66"/>
      <c r="H2224" s="25" t="str">
        <f ca="1">INDIRECT(_xlfn.TEXTJOIN("",TRUE,A2219,"!",ADDRESS(14+(A2220-1)*J2219,6)))</f>
        <v/>
      </c>
      <c r="I2224" s="25" t="str">
        <f ca="1">INDIRECT(_xlfn.TEXTJOIN("",TRUE,A2219,"!",ADDRESS(14+(A2220-1)*J2219,13)))</f>
        <v/>
      </c>
      <c r="J2224" s="25" t="e">
        <f ca="1">INDIRECT(_xlfn.TEXTJOIN("",TRUE,A2219,"!",ADDRESS(14+(A2220-1)*J2219,14)))</f>
        <v>#N/A</v>
      </c>
    </row>
    <row r="2225" spans="1:10" ht="10.5" customHeight="1" x14ac:dyDescent="0.2">
      <c r="A2225" s="65" t="str">
        <f ca="1">INDIRECT(_xlfn.TEXTJOIN("",TRUE,A2219,"!",ADDRESS(15+(A2220-1)*J2219,1)))</f>
        <v/>
      </c>
      <c r="B2225" s="65"/>
      <c r="C2225" s="66" t="str">
        <f ca="1">INDIRECT(_xlfn.TEXTJOIN("",TRUE,A2219,"!",ADDRESS(15+(A2220-1)*J2219,2)))</f>
        <v/>
      </c>
      <c r="D2225" s="66"/>
      <c r="E2225" s="66"/>
      <c r="F2225" s="66"/>
      <c r="G2225" s="66"/>
      <c r="H2225" s="25" t="str">
        <f ca="1">INDIRECT(_xlfn.TEXTJOIN("",TRUE,A2219,"!",ADDRESS(15+(A2220-1)*J2219,6)))</f>
        <v/>
      </c>
      <c r="I2225" s="25" t="str">
        <f ca="1">INDIRECT(_xlfn.TEXTJOIN("",TRUE,A2219,"!",ADDRESS(15+(A2220-1)*J2219,13)))</f>
        <v/>
      </c>
      <c r="J2225" s="25" t="e">
        <f ca="1">INDIRECT(_xlfn.TEXTJOIN("",TRUE,A2219,"!",ADDRESS(15+(A2220-1)*J2219,14)))</f>
        <v>#N/A</v>
      </c>
    </row>
    <row r="2226" spans="1:10" ht="10.5" customHeight="1" x14ac:dyDescent="0.2">
      <c r="A2226" s="65" t="str">
        <f ca="1">INDIRECT(_xlfn.TEXTJOIN("",TRUE,A2219,"!",ADDRESS(16+(A2220-1)*J2219,1)))</f>
        <v/>
      </c>
      <c r="B2226" s="65"/>
      <c r="C2226" s="66" t="str">
        <f ca="1">INDIRECT(_xlfn.TEXTJOIN("",TRUE,A2219,"!",ADDRESS(16+(A2220-1)*J2219,2)))</f>
        <v/>
      </c>
      <c r="D2226" s="66"/>
      <c r="E2226" s="66"/>
      <c r="F2226" s="66"/>
      <c r="G2226" s="66"/>
      <c r="H2226" s="25" t="str">
        <f ca="1">INDIRECT(_xlfn.TEXTJOIN("",TRUE,A2219,"!",ADDRESS(16+(A2220-1)*J2219,6)))</f>
        <v/>
      </c>
      <c r="I2226" s="25" t="str">
        <f ca="1">INDIRECT(_xlfn.TEXTJOIN("",TRUE,A2219,"!",ADDRESS(16+(A2220-1)*J2219,13)))</f>
        <v/>
      </c>
      <c r="J2226" s="25" t="e">
        <f ca="1">INDIRECT(_xlfn.TEXTJOIN("",TRUE,A2219,"!",ADDRESS(16+(A2220-1)*J2219,14)))</f>
        <v>#N/A</v>
      </c>
    </row>
    <row r="2227" spans="1:10" ht="10.5" customHeight="1" x14ac:dyDescent="0.2">
      <c r="A2227" s="65" t="str">
        <f ca="1">INDIRECT(_xlfn.TEXTJOIN("",TRUE,A2219,"!",ADDRESS(17+(A2220-1)*J2219,1)))</f>
        <v/>
      </c>
      <c r="B2227" s="65"/>
      <c r="C2227" s="66" t="str">
        <f ca="1">INDIRECT(_xlfn.TEXTJOIN("",TRUE,A2219,"!",ADDRESS(17+(A2220-1)*J2219,2)))</f>
        <v/>
      </c>
      <c r="D2227" s="66"/>
      <c r="E2227" s="66"/>
      <c r="F2227" s="66"/>
      <c r="G2227" s="66"/>
      <c r="H2227" s="25" t="str">
        <f ca="1">INDIRECT(_xlfn.TEXTJOIN("",TRUE,A2219,"!",ADDRESS(17+(A2220-1)*J2219,6)))</f>
        <v/>
      </c>
      <c r="I2227" s="25" t="str">
        <f ca="1">INDIRECT(_xlfn.TEXTJOIN("",TRUE,A2219,"!",ADDRESS(17+(A2220-1)*J2219,13)))</f>
        <v/>
      </c>
      <c r="J2227" s="25" t="e">
        <f ca="1">INDIRECT(_xlfn.TEXTJOIN("",TRUE,A2219,"!",ADDRESS(17+(A2220-1)*J2219,14)))</f>
        <v>#N/A</v>
      </c>
    </row>
    <row r="2228" spans="1:10" ht="10.5" customHeight="1" x14ac:dyDescent="0.2">
      <c r="A2228" s="65" t="str">
        <f ca="1">INDIRECT(_xlfn.TEXTJOIN("",TRUE,A2219,"!",ADDRESS(18+(A2220-1)*J2219,1)))</f>
        <v/>
      </c>
      <c r="B2228" s="65"/>
      <c r="C2228" s="66" t="str">
        <f ca="1">INDIRECT(_xlfn.TEXTJOIN("",TRUE,A2219,"!",ADDRESS(18+(A2220-1)*J2219,2)))</f>
        <v/>
      </c>
      <c r="D2228" s="66"/>
      <c r="E2228" s="66"/>
      <c r="F2228" s="66"/>
      <c r="G2228" s="66"/>
      <c r="H2228" s="25" t="str">
        <f ca="1">INDIRECT(_xlfn.TEXTJOIN("",TRUE,A2219,"!",ADDRESS(18+(A2220-1)*J2219,6)))</f>
        <v/>
      </c>
      <c r="I2228" s="25" t="str">
        <f ca="1">INDIRECT(_xlfn.TEXTJOIN("",TRUE,A2219,"!",ADDRESS(18+(A2220-1)*J2219,13)))</f>
        <v/>
      </c>
      <c r="J2228" s="25" t="e">
        <f ca="1">INDIRECT(_xlfn.TEXTJOIN("",TRUE,A2219,"!",ADDRESS(18+(A2220-1)*J2219,14)))</f>
        <v>#N/A</v>
      </c>
    </row>
    <row r="2229" spans="1:10" ht="10.5" customHeight="1" x14ac:dyDescent="0.2">
      <c r="A2229" s="60" t="str">
        <f ca="1">INDIRECT(_xlfn.TEXTJOIN("",TRUE,A2219,"!",ADDRESS(19+(A2220-1)*J2219,1)))</f>
        <v/>
      </c>
      <c r="B2229" s="61"/>
      <c r="C2229" s="57" t="str">
        <f ca="1">INDIRECT(_xlfn.TEXTJOIN("",TRUE,A2219,"!",ADDRESS(19+(A2220-1)*J2219,2)))</f>
        <v/>
      </c>
      <c r="D2229" s="58"/>
      <c r="E2229" s="58"/>
      <c r="F2229" s="58"/>
      <c r="G2229" s="59"/>
      <c r="H2229" s="25" t="str">
        <f ca="1">INDIRECT(_xlfn.TEXTJOIN("",TRUE,A2219,"!",ADDRESS(19+(A2220-1)*J2219,6)))</f>
        <v/>
      </c>
      <c r="I2229" s="25" t="str">
        <f ca="1">INDIRECT(_xlfn.TEXTJOIN("",TRUE,A2219,"!",ADDRESS(19+(A2220-1)*J2219,13)))</f>
        <v/>
      </c>
      <c r="J2229" s="25" t="e">
        <f ca="1">INDIRECT(_xlfn.TEXTJOIN("",TRUE,A2219,"!",ADDRESS(19+(A2220-1)*J2219,14)))</f>
        <v>#N/A</v>
      </c>
    </row>
    <row r="2230" spans="1:10" ht="10.5" customHeight="1" x14ac:dyDescent="0.2">
      <c r="A2230" s="65" t="str">
        <f ca="1">INDIRECT(_xlfn.TEXTJOIN("",TRUE,A2219,"!",ADDRESS(20+(A2220-1)*J2219,1)))</f>
        <v/>
      </c>
      <c r="B2230" s="65"/>
      <c r="C2230" s="66" t="str">
        <f ca="1">INDIRECT(_xlfn.TEXTJOIN("",TRUE,A2219,"!",ADDRESS(20+(A2220-1)*J2219,2)))</f>
        <v/>
      </c>
      <c r="D2230" s="66"/>
      <c r="E2230" s="66"/>
      <c r="F2230" s="66"/>
      <c r="G2230" s="66"/>
      <c r="H2230" s="25" t="str">
        <f ca="1">INDIRECT(_xlfn.TEXTJOIN("",TRUE,A2219,"!",ADDRESS(20+(A2220-1)*J2219,6)))</f>
        <v/>
      </c>
      <c r="I2230" s="25" t="str">
        <f ca="1">INDIRECT(_xlfn.TEXTJOIN("",TRUE,A2219,"!",ADDRESS(20+(A2220-1)*J2219,13)))</f>
        <v/>
      </c>
      <c r="J2230" s="25" t="e">
        <f ca="1">INDIRECT(_xlfn.TEXTJOIN("",TRUE,A2219,"!",ADDRESS(20+(A2220-1)*J2219,14)))</f>
        <v>#N/A</v>
      </c>
    </row>
    <row r="2231" spans="1:10" ht="10.5" customHeight="1" x14ac:dyDescent="0.2">
      <c r="A2231" s="65" t="str">
        <f ca="1">INDIRECT(_xlfn.TEXTJOIN("",TRUE,A2219,"!",ADDRESS(21+(A2220-1)*J2219,1)))</f>
        <v/>
      </c>
      <c r="B2231" s="65"/>
      <c r="C2231" s="66" t="str">
        <f ca="1">INDIRECT(_xlfn.TEXTJOIN("",TRUE,A2219,"!",ADDRESS(21+(A2220-1)*J2219,2)))</f>
        <v/>
      </c>
      <c r="D2231" s="66"/>
      <c r="E2231" s="66"/>
      <c r="F2231" s="66"/>
      <c r="G2231" s="66"/>
      <c r="H2231" s="25" t="str">
        <f ca="1">INDIRECT(_xlfn.TEXTJOIN("",TRUE,A2219,"!",ADDRESS(21+(A2220-1)*J2219,6)))</f>
        <v/>
      </c>
      <c r="I2231" s="25" t="str">
        <f ca="1">INDIRECT(_xlfn.TEXTJOIN("",TRUE,A2219,"!",ADDRESS(21+(A2220-1)*J2219,13)))</f>
        <v/>
      </c>
      <c r="J2231" s="25" t="e">
        <f ca="1">INDIRECT(_xlfn.TEXTJOIN("",TRUE,A2219,"!",ADDRESS(21+(A2220-1)*J2219,14)))</f>
        <v>#N/A</v>
      </c>
    </row>
    <row r="2232" spans="1:10" ht="10.5" customHeight="1" x14ac:dyDescent="0.2">
      <c r="A2232" s="65" t="str">
        <f ca="1">INDIRECT(_xlfn.TEXTJOIN("",TRUE,A2219,"!",ADDRESS(22+(A2220-1)*J2219,1)))</f>
        <v/>
      </c>
      <c r="B2232" s="65"/>
      <c r="C2232" s="66" t="str">
        <f ca="1">INDIRECT(_xlfn.TEXTJOIN("",TRUE,A2219,"!",ADDRESS(22+(A2220-1)*J2219,2)))</f>
        <v/>
      </c>
      <c r="D2232" s="66"/>
      <c r="E2232" s="66"/>
      <c r="F2232" s="66"/>
      <c r="G2232" s="66"/>
      <c r="H2232" s="25" t="str">
        <f ca="1">INDIRECT(_xlfn.TEXTJOIN("",TRUE,A2219,"!",ADDRESS(22+(A2220-1)*J2219,6)))</f>
        <v/>
      </c>
      <c r="I2232" s="25" t="str">
        <f ca="1">INDIRECT(_xlfn.TEXTJOIN("",TRUE,A2219,"!",ADDRESS(22+(A2220-1)*J2219,13)))</f>
        <v/>
      </c>
      <c r="J2232" s="25" t="e">
        <f ca="1">INDIRECT(_xlfn.TEXTJOIN("",TRUE,A2219,"!",ADDRESS(22+(A2220-1)*J2219,14)))</f>
        <v>#N/A</v>
      </c>
    </row>
    <row r="2233" spans="1:10" ht="10.5" customHeight="1" x14ac:dyDescent="0.2">
      <c r="A2233" s="65" t="str">
        <f ca="1">INDIRECT(_xlfn.TEXTJOIN("",TRUE,A2219,"!",ADDRESS(23+(A2220-1)*J2219,1)))</f>
        <v/>
      </c>
      <c r="B2233" s="65"/>
      <c r="C2233" s="66" t="str">
        <f ca="1">INDIRECT(_xlfn.TEXTJOIN("",TRUE,A2219,"!",ADDRESS(23+(A2220-1)*J2219,2)))</f>
        <v/>
      </c>
      <c r="D2233" s="66"/>
      <c r="E2233" s="66"/>
      <c r="F2233" s="66"/>
      <c r="G2233" s="66"/>
      <c r="H2233" s="25" t="str">
        <f ca="1">INDIRECT(_xlfn.TEXTJOIN("",TRUE,A2219,"!",ADDRESS(23+(A2220-1)*J2219,6)))</f>
        <v/>
      </c>
      <c r="I2233" s="25" t="str">
        <f ca="1">INDIRECT(_xlfn.TEXTJOIN("",TRUE,A2219,"!",ADDRESS(23+(A2220-1)*J2219,13)))</f>
        <v/>
      </c>
      <c r="J2233" s="25" t="e">
        <f ca="1">INDIRECT(_xlfn.TEXTJOIN("",TRUE,A2219,"!",ADDRESS(23+(A2220-1)*J2219,14)))</f>
        <v>#N/A</v>
      </c>
    </row>
    <row r="2234" spans="1:10" ht="10.5" customHeight="1" x14ac:dyDescent="0.2">
      <c r="A2234" s="65" t="str">
        <f ca="1">INDIRECT(_xlfn.TEXTJOIN("",TRUE,A2219,"!",ADDRESS(24+(A2220-1)*J2219,1)))</f>
        <v/>
      </c>
      <c r="B2234" s="65"/>
      <c r="C2234" s="66" t="str">
        <f ca="1">INDIRECT(_xlfn.TEXTJOIN("",TRUE,A2219,"!",ADDRESS(24+(A2220-1)*J2219,2)))</f>
        <v/>
      </c>
      <c r="D2234" s="66"/>
      <c r="E2234" s="66"/>
      <c r="F2234" s="66"/>
      <c r="G2234" s="66"/>
      <c r="H2234" s="25" t="str">
        <f ca="1">INDIRECT(_xlfn.TEXTJOIN("",TRUE,A2219,"!",ADDRESS(24+(A2220-1)*J2219,6)))</f>
        <v/>
      </c>
      <c r="I2234" s="25" t="str">
        <f ca="1">INDIRECT(_xlfn.TEXTJOIN("",TRUE,A2219,"!",ADDRESS(24+(A2220-1)*J2219,13)))</f>
        <v/>
      </c>
      <c r="J2234" s="25" t="e">
        <f ca="1">INDIRECT(_xlfn.TEXTJOIN("",TRUE,A2219,"!",ADDRESS(24+(A2220-1)*J2219,14)))</f>
        <v>#N/A</v>
      </c>
    </row>
    <row r="2235" spans="1:10" ht="10.5" customHeight="1" x14ac:dyDescent="0.2">
      <c r="A2235" s="65" t="str">
        <f ca="1">INDIRECT(_xlfn.TEXTJOIN("",TRUE,A2219,"!",ADDRESS(25+(A2220-1)*J2219,1)))</f>
        <v/>
      </c>
      <c r="B2235" s="65"/>
      <c r="C2235" s="66" t="str">
        <f ca="1">INDIRECT(_xlfn.TEXTJOIN("",TRUE,A2219,"!",ADDRESS(25+(A2220-1)*J2219,2)))</f>
        <v/>
      </c>
      <c r="D2235" s="66"/>
      <c r="E2235" s="66"/>
      <c r="F2235" s="66"/>
      <c r="G2235" s="66"/>
      <c r="H2235" s="25" t="str">
        <f ca="1">INDIRECT(_xlfn.TEXTJOIN("",TRUE,A2219,"!",ADDRESS(25+(A2220-1)*J2219,6)))</f>
        <v/>
      </c>
      <c r="I2235" s="25" t="str">
        <f ca="1">INDIRECT(_xlfn.TEXTJOIN("",TRUE,A2219,"!",ADDRESS(25+(A2220-1)*J2219,13)))</f>
        <v/>
      </c>
      <c r="J2235" s="25" t="e">
        <f ca="1">INDIRECT(_xlfn.TEXTJOIN("",TRUE,A2219,"!",ADDRESS(25+(A2220-1)*J2219,14)))</f>
        <v>#N/A</v>
      </c>
    </row>
    <row r="2236" spans="1:10" s="35" customFormat="1" ht="10.5" customHeight="1" x14ac:dyDescent="0.2">
      <c r="A2236" s="77" t="str">
        <f ca="1">INDIRECT(_xlfn.TEXTJOIN("",TRUE,A2219,"!",ADDRESS(26+(A2220-1)*J2219,1)))</f>
        <v/>
      </c>
      <c r="B2236" s="77"/>
      <c r="C2236" s="78" t="str">
        <f ca="1">INDIRECT(_xlfn.TEXTJOIN("",TRUE,A2219,"!",ADDRESS(26+(A2220-1)*J2219,2)))</f>
        <v/>
      </c>
      <c r="D2236" s="78"/>
      <c r="E2236" s="78"/>
      <c r="F2236" s="78"/>
      <c r="G2236" s="78"/>
      <c r="H2236" s="34" t="str">
        <f ca="1">INDIRECT(_xlfn.TEXTJOIN("",TRUE,A2219,"!",ADDRESS(26+(A2220-1)*J2219,6)))</f>
        <v/>
      </c>
      <c r="I2236" s="34" t="b">
        <f ca="1">INDIRECT(_xlfn.TEXTJOIN("",TRUE,A2219,"!",ADDRESS(26+(A2220-1)*J2219,13)))</f>
        <v>0</v>
      </c>
      <c r="J2236" s="34" t="e">
        <f ca="1">INDIRECT(_xlfn.TEXTJOIN("",TRUE,A2219,"!",ADDRESS(26+(A2220-1)*J2219,14)))</f>
        <v>#N/A</v>
      </c>
    </row>
    <row r="2237" spans="1:10" ht="10.5" customHeight="1" x14ac:dyDescent="0.2">
      <c r="A2237" s="71" t="s">
        <v>52</v>
      </c>
      <c r="B2237" s="71"/>
      <c r="C2237" s="71"/>
      <c r="D2237" s="71"/>
      <c r="E2237" s="71"/>
      <c r="F2237" s="71"/>
      <c r="G2237" s="71"/>
      <c r="H2237" s="27">
        <f ca="1">SUM(H2223:H2236)</f>
        <v>0</v>
      </c>
      <c r="I2237" s="26" t="s">
        <v>44</v>
      </c>
      <c r="J2237" s="27" t="e">
        <f ca="1">SUMPRODUCT(J2223:J2235,H2223:H2235)</f>
        <v>#N/A</v>
      </c>
    </row>
    <row r="2238" spans="1:10" ht="10.5" customHeight="1" x14ac:dyDescent="0.2">
      <c r="A2238" s="24" t="s">
        <v>57</v>
      </c>
      <c r="B2238" s="72" t="str">
        <f ca="1">IF(ISNA(A2239),"","Semester II (Spring Semester 2022-23)")</f>
        <v/>
      </c>
      <c r="C2238" s="72"/>
      <c r="D2238" s="72"/>
      <c r="E2238" s="72"/>
      <c r="F2238" s="72"/>
      <c r="G2238" s="72"/>
      <c r="H2238" s="72"/>
      <c r="I2238" s="72"/>
      <c r="J2238" s="24">
        <f>ROWS(A2242:B2251)+9</f>
        <v>19</v>
      </c>
    </row>
    <row r="2239" spans="1:10" ht="10.5" customHeight="1" x14ac:dyDescent="0.2">
      <c r="A2239" s="24" t="e">
        <f ca="1">INDEX(SEM_II!$A$6:$A$45,Marksheets!J2239)</f>
        <v>#N/A</v>
      </c>
      <c r="B2239" s="63"/>
      <c r="C2239" s="63"/>
      <c r="D2239" s="63"/>
      <c r="E2239" s="63"/>
      <c r="F2239" s="63"/>
      <c r="G2239" s="63"/>
      <c r="H2239" s="63"/>
      <c r="I2239" s="63"/>
      <c r="J2239" s="24" t="e">
        <f ca="1">MATCH(H2217,SEM_II!$B$6:$B$45,0)</f>
        <v>#N/A</v>
      </c>
    </row>
    <row r="2240" spans="1:10" ht="10.5" customHeight="1" x14ac:dyDescent="0.2">
      <c r="A2240" s="64" t="str">
        <f ca="1">IF(ISNA(A2239),"","Subject Code")</f>
        <v/>
      </c>
      <c r="B2240" s="64"/>
      <c r="C2240" s="64" t="str">
        <f ca="1">IF(ISNA(A2239),"","Subject Name")</f>
        <v/>
      </c>
      <c r="D2240" s="64"/>
      <c r="E2240" s="64"/>
      <c r="F2240" s="64"/>
      <c r="G2240" s="64"/>
      <c r="H2240" s="64" t="str">
        <f ca="1">IF(ISNA(A2239),"","Credits")</f>
        <v/>
      </c>
      <c r="I2240" s="64" t="str">
        <f ca="1">IF(ISNA(A2239),"","Grade")</f>
        <v/>
      </c>
      <c r="J2240" s="64" t="str">
        <f ca="1">IF(ISNA(A2239),"","Grade Points")</f>
        <v/>
      </c>
    </row>
    <row r="2241" spans="1:10" ht="14.5" customHeight="1" x14ac:dyDescent="0.2">
      <c r="A2241" s="64"/>
      <c r="B2241" s="64"/>
      <c r="C2241" s="64"/>
      <c r="D2241" s="64"/>
      <c r="E2241" s="64"/>
      <c r="F2241" s="64"/>
      <c r="G2241" s="64"/>
      <c r="H2241" s="64"/>
      <c r="I2241" s="64"/>
      <c r="J2241" s="64"/>
    </row>
    <row r="2242" spans="1:10" ht="10.5" customHeight="1" x14ac:dyDescent="0.2">
      <c r="A2242" s="65" t="str">
        <f ca="1">_xlfn.IFNA(INDIRECT(_xlfn.TEXTJOIN("",TRUE,A2238,"!",ADDRESS(13+(A2239-1)*J2238,1))),"")</f>
        <v/>
      </c>
      <c r="B2242" s="65"/>
      <c r="C2242" s="66" t="str">
        <f ca="1">_xlfn.IFNA(INDIRECT(_xlfn.TEXTJOIN("",TRUE,A2238,"!",ADDRESS(13+(A2239-1)*J2238,2))),"")</f>
        <v/>
      </c>
      <c r="D2242" s="66"/>
      <c r="E2242" s="66"/>
      <c r="F2242" s="66"/>
      <c r="G2242" s="66"/>
      <c r="H2242" s="25" t="str">
        <f ca="1">_xlfn.IFNA(INDIRECT(_xlfn.TEXTJOIN("",TRUE,A2238,"!",ADDRESS(13+(A2239-1)*J2238,6))),"")</f>
        <v/>
      </c>
      <c r="I2242" s="25" t="str">
        <f ca="1">_xlfn.IFNA(INDIRECT(_xlfn.TEXTJOIN("",TRUE,A2238,"!",ADDRESS(13+(A2239-1)*J2238,13))),"")</f>
        <v/>
      </c>
      <c r="J2242" s="25" t="str">
        <f ca="1">_xlfn.IFNA(INDIRECT(_xlfn.TEXTJOIN("",TRUE,A2238,"!",ADDRESS(13+(A2239-1)*J2238,14))),"")</f>
        <v/>
      </c>
    </row>
    <row r="2243" spans="1:10" ht="10.5" customHeight="1" x14ac:dyDescent="0.2">
      <c r="A2243" s="65" t="str">
        <f ca="1">_xlfn.IFNA(INDIRECT(_xlfn.TEXTJOIN("",TRUE,A2238,"!",ADDRESS(14+(A2239-1)*J2238,1))),"")</f>
        <v/>
      </c>
      <c r="B2243" s="65"/>
      <c r="C2243" s="66" t="str">
        <f ca="1">_xlfn.IFNA(INDIRECT(_xlfn.TEXTJOIN("",TRUE,A2238,"!",ADDRESS(14+(A2239-1)*J2238,2))),"")</f>
        <v/>
      </c>
      <c r="D2243" s="66"/>
      <c r="E2243" s="66"/>
      <c r="F2243" s="66"/>
      <c r="G2243" s="66"/>
      <c r="H2243" s="25" t="str">
        <f ca="1">_xlfn.IFNA(INDIRECT(_xlfn.TEXTJOIN("",TRUE,A2238,"!",ADDRESS(14+(A2239-1)*J2238,6))),"")</f>
        <v/>
      </c>
      <c r="I2243" s="25" t="str">
        <f ca="1">_xlfn.IFNA(INDIRECT(_xlfn.TEXTJOIN("",TRUE,A2238,"!",ADDRESS(14+(A2239-1)*J2238,13))),"")</f>
        <v/>
      </c>
      <c r="J2243" s="25" t="str">
        <f ca="1">_xlfn.IFNA(INDIRECT(_xlfn.TEXTJOIN("",TRUE,A2238,"!",ADDRESS(14+(A2239-1)*J2238,14))),"")</f>
        <v/>
      </c>
    </row>
    <row r="2244" spans="1:10" ht="10.5" customHeight="1" x14ac:dyDescent="0.2">
      <c r="A2244" s="65" t="str">
        <f ca="1">_xlfn.IFNA(INDIRECT(_xlfn.TEXTJOIN("",TRUE,A2238,"!",ADDRESS(15+(A2239-1)*J2238,1))),"")</f>
        <v/>
      </c>
      <c r="B2244" s="65"/>
      <c r="C2244" s="66" t="str">
        <f ca="1">_xlfn.IFNA(INDIRECT(_xlfn.TEXTJOIN("",TRUE,A2238,"!",ADDRESS(15+(A2239-1)*J2238,2))),"")</f>
        <v/>
      </c>
      <c r="D2244" s="66"/>
      <c r="E2244" s="66"/>
      <c r="F2244" s="66"/>
      <c r="G2244" s="66"/>
      <c r="H2244" s="25" t="str">
        <f ca="1">_xlfn.IFNA(INDIRECT(_xlfn.TEXTJOIN("",TRUE,A2238,"!",ADDRESS(15+(A2239-1)*J2238,6))),"")</f>
        <v/>
      </c>
      <c r="I2244" s="25" t="str">
        <f ca="1">_xlfn.IFNA(INDIRECT(_xlfn.TEXTJOIN("",TRUE,A2238,"!",ADDRESS(15+(A2239-1)*J2238,13))),"")</f>
        <v/>
      </c>
      <c r="J2244" s="25" t="str">
        <f ca="1">_xlfn.IFNA(INDIRECT(_xlfn.TEXTJOIN("",TRUE,A2238,"!",ADDRESS(15+(A2239-1)*J2238,14))),"")</f>
        <v/>
      </c>
    </row>
    <row r="2245" spans="1:10" ht="10.5" customHeight="1" x14ac:dyDescent="0.2">
      <c r="A2245" s="65" t="str">
        <f ca="1">_xlfn.IFNA(INDIRECT(_xlfn.TEXTJOIN("",TRUE,A2238,"!",ADDRESS(16+(A2239-1)*J2238,1))),"")</f>
        <v/>
      </c>
      <c r="B2245" s="65"/>
      <c r="C2245" s="66" t="str">
        <f ca="1">_xlfn.IFNA(INDIRECT(_xlfn.TEXTJOIN("",TRUE,A2238,"!",ADDRESS(16+(A2239-1)*J2238,2))),"")</f>
        <v/>
      </c>
      <c r="D2245" s="66"/>
      <c r="E2245" s="66"/>
      <c r="F2245" s="66"/>
      <c r="G2245" s="66"/>
      <c r="H2245" s="25" t="str">
        <f ca="1">_xlfn.IFNA(INDIRECT(_xlfn.TEXTJOIN("",TRUE,A2238,"!",ADDRESS(16+(A2239-1)*J2238,6))),"")</f>
        <v/>
      </c>
      <c r="I2245" s="25" t="str">
        <f ca="1">_xlfn.IFNA(INDIRECT(_xlfn.TEXTJOIN("",TRUE,A2238,"!",ADDRESS(16+(A2239-1)*J2238,13))),"")</f>
        <v/>
      </c>
      <c r="J2245" s="25" t="str">
        <f ca="1">_xlfn.IFNA(INDIRECT(_xlfn.TEXTJOIN("",TRUE,A2238,"!",ADDRESS(16+(A2239-1)*J2238,14))),"")</f>
        <v/>
      </c>
    </row>
    <row r="2246" spans="1:10" ht="10.5" customHeight="1" x14ac:dyDescent="0.2">
      <c r="A2246" s="65" t="str">
        <f ca="1">_xlfn.IFNA(INDIRECT(_xlfn.TEXTJOIN("",TRUE,A2238,"!",ADDRESS(17+(A2239-1)*J2238,1))),"")</f>
        <v/>
      </c>
      <c r="B2246" s="65"/>
      <c r="C2246" s="66" t="str">
        <f ca="1">_xlfn.IFNA(INDIRECT(_xlfn.TEXTJOIN("",TRUE,A2238,"!",ADDRESS(17+(A2239-1)*J2238,2))),"")</f>
        <v/>
      </c>
      <c r="D2246" s="66"/>
      <c r="E2246" s="66"/>
      <c r="F2246" s="66"/>
      <c r="G2246" s="66"/>
      <c r="H2246" s="25" t="str">
        <f ca="1">_xlfn.IFNA(INDIRECT(_xlfn.TEXTJOIN("",TRUE,A2238,"!",ADDRESS(17+(A2239-1)*J2238,6))),"")</f>
        <v/>
      </c>
      <c r="I2246" s="25" t="str">
        <f ca="1">_xlfn.IFNA(INDIRECT(_xlfn.TEXTJOIN("",TRUE,A2238,"!",ADDRESS(17+(A2239-1)*J2238,13))),"")</f>
        <v/>
      </c>
      <c r="J2246" s="25" t="str">
        <f ca="1">_xlfn.IFNA(INDIRECT(_xlfn.TEXTJOIN("",TRUE,A2238,"!",ADDRESS(17+(A2239-1)*J2238,14))),"")</f>
        <v/>
      </c>
    </row>
    <row r="2247" spans="1:10" ht="10.5" customHeight="1" x14ac:dyDescent="0.2">
      <c r="A2247" s="65" t="str">
        <f ca="1">_xlfn.IFNA(INDIRECT(_xlfn.TEXTJOIN("",TRUE,A2238,"!",ADDRESS(18+(A2239-1)*J2238,1))),"")</f>
        <v/>
      </c>
      <c r="B2247" s="65"/>
      <c r="C2247" s="66" t="str">
        <f ca="1">_xlfn.IFNA(INDIRECT(_xlfn.TEXTJOIN("",TRUE,A2238,"!",ADDRESS(18+(A2239-1)*J2238,2))),"")</f>
        <v/>
      </c>
      <c r="D2247" s="66"/>
      <c r="E2247" s="66"/>
      <c r="F2247" s="66"/>
      <c r="G2247" s="66"/>
      <c r="H2247" s="25" t="str">
        <f ca="1">_xlfn.IFNA(INDIRECT(_xlfn.TEXTJOIN("",TRUE,A2238,"!",ADDRESS(18+(A2239-1)*J2238,6))),"")</f>
        <v/>
      </c>
      <c r="I2247" s="25" t="str">
        <f ca="1">_xlfn.IFNA(INDIRECT(_xlfn.TEXTJOIN("",TRUE,A2238,"!",ADDRESS(18+(A2239-1)*J2238,13))),"")</f>
        <v/>
      </c>
      <c r="J2247" s="25" t="str">
        <f ca="1">_xlfn.IFNA(INDIRECT(_xlfn.TEXTJOIN("",TRUE,A2238,"!",ADDRESS(18+(A2239-1)*J2238,14))),"")</f>
        <v/>
      </c>
    </row>
    <row r="2248" spans="1:10" ht="10.5" customHeight="1" x14ac:dyDescent="0.2">
      <c r="A2248" s="60" t="str">
        <f ca="1">_xlfn.IFNA(INDIRECT(_xlfn.TEXTJOIN("",TRUE,A2238,"!",ADDRESS(19+(A2239-1)*J2238,1))),"")</f>
        <v/>
      </c>
      <c r="B2248" s="61"/>
      <c r="C2248" s="57" t="str">
        <f ca="1">_xlfn.IFNA(INDIRECT(_xlfn.TEXTJOIN("",TRUE,A2238,"!",ADDRESS(19+(A2239-1)*J2238,2))),"")</f>
        <v/>
      </c>
      <c r="D2248" s="58"/>
      <c r="E2248" s="58"/>
      <c r="F2248" s="58"/>
      <c r="G2248" s="59"/>
      <c r="H2248" s="25" t="str">
        <f ca="1">_xlfn.IFNA(INDIRECT(_xlfn.TEXTJOIN("",TRUE,A2238,"!",ADDRESS(19+(A2239-1)*J2238,6))),"")</f>
        <v/>
      </c>
      <c r="I2248" s="25" t="str">
        <f ca="1">_xlfn.IFNA(INDIRECT(_xlfn.TEXTJOIN("",TRUE,A2238,"!",ADDRESS(19+(A2239-1)*J2238,13))),"")</f>
        <v/>
      </c>
      <c r="J2248" s="25" t="str">
        <f ca="1">_xlfn.IFNA(INDIRECT(_xlfn.TEXTJOIN("",TRUE,A2238,"!",ADDRESS(19+(A2239-1)*J2238,14))),"")</f>
        <v/>
      </c>
    </row>
    <row r="2249" spans="1:10" ht="10.5" customHeight="1" x14ac:dyDescent="0.2">
      <c r="A2249" s="65" t="str">
        <f ca="1">_xlfn.IFNA(INDIRECT(_xlfn.TEXTJOIN("",TRUE,A2238,"!",ADDRESS(20+(A2239-1)*J2238,1))),"")</f>
        <v/>
      </c>
      <c r="B2249" s="65"/>
      <c r="C2249" s="66" t="str">
        <f ca="1">_xlfn.IFNA(INDIRECT(_xlfn.TEXTJOIN("",TRUE,A2238,"!",ADDRESS(20+(A2239-1)*J2238,2))),"")</f>
        <v/>
      </c>
      <c r="D2249" s="66"/>
      <c r="E2249" s="66"/>
      <c r="F2249" s="66"/>
      <c r="G2249" s="66"/>
      <c r="H2249" s="25" t="str">
        <f ca="1">_xlfn.IFNA(INDIRECT(_xlfn.TEXTJOIN("",TRUE,A2238,"!",ADDRESS(20+(A2239-1)*J2238,6))),"")</f>
        <v/>
      </c>
      <c r="I2249" s="25" t="str">
        <f ca="1">_xlfn.IFNA(INDIRECT(_xlfn.TEXTJOIN("",TRUE,A2238,"!",ADDRESS(20+(A2239-1)*J2238,13))),"")</f>
        <v/>
      </c>
      <c r="J2249" s="25" t="str">
        <f ca="1">_xlfn.IFNA(INDIRECT(_xlfn.TEXTJOIN("",TRUE,A2238,"!",ADDRESS(20+(A2239-1)*J2238,14))),"")</f>
        <v/>
      </c>
    </row>
    <row r="2250" spans="1:10" ht="10.5" customHeight="1" x14ac:dyDescent="0.2">
      <c r="A2250" s="65" t="str">
        <f ca="1">_xlfn.IFNA(INDIRECT(_xlfn.TEXTJOIN("",TRUE,A2238,"!",ADDRESS(21+(A2239-1)*J2238,1))),"")</f>
        <v/>
      </c>
      <c r="B2250" s="65"/>
      <c r="C2250" s="66" t="str">
        <f ca="1">_xlfn.IFNA(INDIRECT(_xlfn.TEXTJOIN("",TRUE,A2238,"!",ADDRESS(21+(A2239-1)*J2238,2))),"")</f>
        <v/>
      </c>
      <c r="D2250" s="66"/>
      <c r="E2250" s="66"/>
      <c r="F2250" s="66"/>
      <c r="G2250" s="66"/>
      <c r="H2250" s="25" t="str">
        <f ca="1">_xlfn.IFNA(INDIRECT(_xlfn.TEXTJOIN("",TRUE,A2238,"!",ADDRESS(21+(A2239-1)*J2238,6))),"")</f>
        <v/>
      </c>
      <c r="I2250" s="25" t="str">
        <f ca="1">_xlfn.IFNA(INDIRECT(_xlfn.TEXTJOIN("",TRUE,A2238,"!",ADDRESS(21+(A2239-1)*J2238,13))),"")</f>
        <v/>
      </c>
      <c r="J2250" s="25" t="str">
        <f ca="1">_xlfn.IFNA(INDIRECT(_xlfn.TEXTJOIN("",TRUE,A2238,"!",ADDRESS(21+(A2239-1)*J2238,14))),"")</f>
        <v/>
      </c>
    </row>
    <row r="2251" spans="1:10" ht="10.5" customHeight="1" x14ac:dyDescent="0.2">
      <c r="A2251" s="65" t="str">
        <f ca="1">_xlfn.IFNA(INDIRECT(_xlfn.TEXTJOIN("",TRUE,A2238,"!",ADDRESS(22+(A2239-1)*J2238,1))),"")</f>
        <v/>
      </c>
      <c r="B2251" s="65"/>
      <c r="C2251" s="66" t="str">
        <f ca="1">_xlfn.IFNA(INDIRECT(_xlfn.TEXTJOIN("",TRUE,A2238,"!",ADDRESS(22+(A2239-1)*J2238,2))),"")</f>
        <v/>
      </c>
      <c r="D2251" s="66"/>
      <c r="E2251" s="66"/>
      <c r="F2251" s="66"/>
      <c r="G2251" s="66"/>
      <c r="H2251" s="25" t="str">
        <f ca="1">_xlfn.IFNA(INDIRECT(_xlfn.TEXTJOIN("",TRUE,A2238,"!",ADDRESS(22+(A2239-1)*J2238,6))),"")</f>
        <v/>
      </c>
      <c r="I2251" s="25" t="str">
        <f ca="1">_xlfn.IFNA(INDIRECT(_xlfn.TEXTJOIN("",TRUE,A2238,"!",ADDRESS(22+(A2239-1)*J2238,13))),"")</f>
        <v/>
      </c>
      <c r="J2251" s="25" t="str">
        <f ca="1">_xlfn.IFNA(INDIRECT(_xlfn.TEXTJOIN("",TRUE,A2238,"!",ADDRESS(22+(A2239-1)*J2238,14))),"")</f>
        <v/>
      </c>
    </row>
    <row r="2252" spans="1:10" ht="10.5" customHeight="1" x14ac:dyDescent="0.2">
      <c r="A2252" s="71" t="str">
        <f ca="1">IF(ISNA(A2239),"","Total Credits/ Total Grade Points")</f>
        <v/>
      </c>
      <c r="B2252" s="71"/>
      <c r="C2252" s="71"/>
      <c r="D2252" s="71"/>
      <c r="E2252" s="71"/>
      <c r="F2252" s="71"/>
      <c r="G2252" s="71"/>
      <c r="H2252" s="27" t="str">
        <f ca="1">IF(ISNA(A2239),"",SUM(H2242:H2251))</f>
        <v/>
      </c>
      <c r="I2252" s="26" t="str">
        <f ca="1">IF(ISNA(A2239),"","-")</f>
        <v/>
      </c>
      <c r="J2252" s="27" t="str">
        <f ca="1">IF(ISNA(A2239),"",SUMPRODUCT(J2242:J2251,H2242:H2251))</f>
        <v/>
      </c>
    </row>
    <row r="2253" spans="1:10" ht="10.5" customHeight="1" x14ac:dyDescent="0.2">
      <c r="A2253" s="24" t="s">
        <v>60</v>
      </c>
      <c r="B2253" s="72" t="str">
        <f ca="1">IF(ISNA(A2254),"","Semester III (Autumn Semester 2023-24)")</f>
        <v/>
      </c>
      <c r="C2253" s="72"/>
      <c r="D2253" s="72"/>
      <c r="E2253" s="72"/>
      <c r="F2253" s="72"/>
      <c r="G2253" s="72"/>
      <c r="H2253" s="72"/>
      <c r="I2253" s="72"/>
      <c r="J2253" s="24">
        <f>ROWS(A2257:B2264)+9</f>
        <v>17</v>
      </c>
    </row>
    <row r="2254" spans="1:10" ht="10.5" customHeight="1" x14ac:dyDescent="0.2">
      <c r="A2254" s="24" t="e">
        <f ca="1">INDEX(SEM_III!$A$6:$A$43,Marksheets!J2254)</f>
        <v>#N/A</v>
      </c>
      <c r="B2254" s="63"/>
      <c r="C2254" s="63"/>
      <c r="D2254" s="63"/>
      <c r="E2254" s="63"/>
      <c r="F2254" s="63"/>
      <c r="G2254" s="63"/>
      <c r="H2254" s="63"/>
      <c r="I2254" s="63"/>
      <c r="J2254" s="24" t="e">
        <f ca="1">MATCH(H2217,SEM_III!$B$6:$B$43,0)</f>
        <v>#N/A</v>
      </c>
    </row>
    <row r="2255" spans="1:10" ht="10.5" customHeight="1" x14ac:dyDescent="0.2">
      <c r="A2255" s="64" t="str">
        <f ca="1">IF(ISNA(A2254),"","Subject Code")</f>
        <v/>
      </c>
      <c r="B2255" s="64"/>
      <c r="C2255" s="64" t="str">
        <f ca="1">IF(ISNA(A2254),"","Subject Name")</f>
        <v/>
      </c>
      <c r="D2255" s="64"/>
      <c r="E2255" s="64"/>
      <c r="F2255" s="64"/>
      <c r="G2255" s="64"/>
      <c r="H2255" s="64" t="str">
        <f ca="1">IF(ISNA(A2254),"","Credits")</f>
        <v/>
      </c>
      <c r="I2255" s="64" t="str">
        <f ca="1">IF(ISNA(A2254),"","Grade")</f>
        <v/>
      </c>
      <c r="J2255" s="64" t="str">
        <f ca="1">IF(ISNA(A2254),"","Grade Points")</f>
        <v/>
      </c>
    </row>
    <row r="2256" spans="1:10" ht="14.5" customHeight="1" x14ac:dyDescent="0.2">
      <c r="A2256" s="64"/>
      <c r="B2256" s="64"/>
      <c r="C2256" s="64"/>
      <c r="D2256" s="64"/>
      <c r="E2256" s="64"/>
      <c r="F2256" s="64"/>
      <c r="G2256" s="64"/>
      <c r="H2256" s="64"/>
      <c r="I2256" s="64"/>
      <c r="J2256" s="64"/>
    </row>
    <row r="2257" spans="1:10" ht="10.5" customHeight="1" x14ac:dyDescent="0.2">
      <c r="A2257" s="65" t="str">
        <f ca="1">_xlfn.IFNA(INDIRECT(_xlfn.TEXTJOIN("",TRUE,A2253,"!",ADDRESS(13+(A2254-1)*J2253,1))),"")</f>
        <v/>
      </c>
      <c r="B2257" s="65"/>
      <c r="C2257" s="66" t="str">
        <f ca="1">_xlfn.IFNA(INDIRECT(_xlfn.TEXTJOIN("",TRUE,A2253,"!",ADDRESS(13+(A2254-1)*J2253,2))),"")</f>
        <v/>
      </c>
      <c r="D2257" s="66"/>
      <c r="E2257" s="66"/>
      <c r="F2257" s="66"/>
      <c r="G2257" s="66"/>
      <c r="H2257" s="25" t="str">
        <f ca="1">_xlfn.IFNA(INDIRECT(_xlfn.TEXTJOIN("",TRUE,A2253,"!",ADDRESS(13+(A2254-1)*J2253,6))),"")</f>
        <v/>
      </c>
      <c r="I2257" s="25" t="str">
        <f ca="1">_xlfn.IFNA(INDIRECT(_xlfn.TEXTJOIN("",TRUE,A2253,"!",ADDRESS(13+(A2254-1)*J2253,13))),"")</f>
        <v/>
      </c>
      <c r="J2257" s="25" t="str">
        <f ca="1">_xlfn.IFNA(INDIRECT(_xlfn.TEXTJOIN("",TRUE,A2253,"!",ADDRESS(13+(A2254-1)*J2253,14))),"")</f>
        <v/>
      </c>
    </row>
    <row r="2258" spans="1:10" ht="10.5" customHeight="1" x14ac:dyDescent="0.2">
      <c r="A2258" s="65" t="str">
        <f ca="1">_xlfn.IFNA(INDIRECT(_xlfn.TEXTJOIN("",TRUE,A2253,"!",ADDRESS(14+(A2254-1)*J2253,1))),"")</f>
        <v/>
      </c>
      <c r="B2258" s="65"/>
      <c r="C2258" s="66" t="str">
        <f ca="1">_xlfn.IFNA(INDIRECT(_xlfn.TEXTJOIN("",TRUE,A2253,"!",ADDRESS(14+(A2254-1)*J2253,2))),"")</f>
        <v/>
      </c>
      <c r="D2258" s="66"/>
      <c r="E2258" s="66"/>
      <c r="F2258" s="66"/>
      <c r="G2258" s="66"/>
      <c r="H2258" s="25" t="str">
        <f ca="1">_xlfn.IFNA(INDIRECT(_xlfn.TEXTJOIN("",TRUE,A2253,"!",ADDRESS(14+(A2254-1)*J2253,6))),"")</f>
        <v/>
      </c>
      <c r="I2258" s="25" t="str">
        <f ca="1">_xlfn.IFNA(INDIRECT(_xlfn.TEXTJOIN("",TRUE,A2253,"!",ADDRESS(14+(A2254-1)*J2253,13))),"")</f>
        <v/>
      </c>
      <c r="J2258" s="25" t="str">
        <f ca="1">_xlfn.IFNA(INDIRECT(_xlfn.TEXTJOIN("",TRUE,A2253,"!",ADDRESS(14+(A2254-1)*J2253,14))),"")</f>
        <v/>
      </c>
    </row>
    <row r="2259" spans="1:10" ht="10.5" customHeight="1" x14ac:dyDescent="0.2">
      <c r="A2259" s="65" t="str">
        <f ca="1">_xlfn.IFNA(INDIRECT(_xlfn.TEXTJOIN("",TRUE,A2253,"!",ADDRESS(15+(A2254-1)*J2253,1))),"")</f>
        <v/>
      </c>
      <c r="B2259" s="65"/>
      <c r="C2259" s="66" t="str">
        <f ca="1">_xlfn.IFNA(INDIRECT(_xlfn.TEXTJOIN("",TRUE,A2253,"!",ADDRESS(15+(A2254-1)*J2253,2))),"")</f>
        <v/>
      </c>
      <c r="D2259" s="66"/>
      <c r="E2259" s="66"/>
      <c r="F2259" s="66"/>
      <c r="G2259" s="66"/>
      <c r="H2259" s="25" t="str">
        <f ca="1">_xlfn.IFNA(INDIRECT(_xlfn.TEXTJOIN("",TRUE,A2253,"!",ADDRESS(15+(A2254-1)*J2253,6))),"")</f>
        <v/>
      </c>
      <c r="I2259" s="25" t="str">
        <f ca="1">_xlfn.IFNA(INDIRECT(_xlfn.TEXTJOIN("",TRUE,A2253,"!",ADDRESS(15+(A2254-1)*J2253,13))),"")</f>
        <v/>
      </c>
      <c r="J2259" s="25" t="str">
        <f ca="1">_xlfn.IFNA(INDIRECT(_xlfn.TEXTJOIN("",TRUE,A2253,"!",ADDRESS(15+(A2254-1)*J2253,14))),"")</f>
        <v/>
      </c>
    </row>
    <row r="2260" spans="1:10" ht="10.5" customHeight="1" x14ac:dyDescent="0.2">
      <c r="A2260" s="65" t="str">
        <f ca="1">_xlfn.IFNA(INDIRECT(_xlfn.TEXTJOIN("",TRUE,A2253,"!",ADDRESS(16+(A2254-1)*J2253,1))),"")</f>
        <v/>
      </c>
      <c r="B2260" s="65"/>
      <c r="C2260" s="66" t="str">
        <f ca="1">_xlfn.IFNA(INDIRECT(_xlfn.TEXTJOIN("",TRUE,A2253,"!",ADDRESS(16+(A2254-1)*J2253,2))),"")</f>
        <v/>
      </c>
      <c r="D2260" s="66"/>
      <c r="E2260" s="66"/>
      <c r="F2260" s="66"/>
      <c r="G2260" s="66"/>
      <c r="H2260" s="25" t="str">
        <f ca="1">_xlfn.IFNA(INDIRECT(_xlfn.TEXTJOIN("",TRUE,A2253,"!",ADDRESS(16+(A2254-1)*J2253,6))),"")</f>
        <v/>
      </c>
      <c r="I2260" s="25" t="str">
        <f ca="1">_xlfn.IFNA(INDIRECT(_xlfn.TEXTJOIN("",TRUE,A2253,"!",ADDRESS(16+(A2254-1)*J2253,13))),"")</f>
        <v/>
      </c>
      <c r="J2260" s="25" t="str">
        <f ca="1">_xlfn.IFNA(INDIRECT(_xlfn.TEXTJOIN("",TRUE,A2253,"!",ADDRESS(16+(A2254-1)*J2253,14))),"")</f>
        <v/>
      </c>
    </row>
    <row r="2261" spans="1:10" ht="10.5" customHeight="1" x14ac:dyDescent="0.2">
      <c r="A2261" s="65" t="str">
        <f ca="1">_xlfn.IFNA(INDIRECT(_xlfn.TEXTJOIN("",TRUE,A2253,"!",ADDRESS(17+(A2254-1)*J2253,1))),"")</f>
        <v/>
      </c>
      <c r="B2261" s="65"/>
      <c r="C2261" s="66" t="str">
        <f ca="1">_xlfn.IFNA(INDIRECT(_xlfn.TEXTJOIN("",TRUE,A2253,"!",ADDRESS(17+(A2254-1)*J2253,2))),"")</f>
        <v/>
      </c>
      <c r="D2261" s="66"/>
      <c r="E2261" s="66"/>
      <c r="F2261" s="66"/>
      <c r="G2261" s="66"/>
      <c r="H2261" s="25" t="str">
        <f ca="1">_xlfn.IFNA(INDIRECT(_xlfn.TEXTJOIN("",TRUE,A2253,"!",ADDRESS(17+(A2254-1)*J2253,6))),"")</f>
        <v/>
      </c>
      <c r="I2261" s="25" t="str">
        <f ca="1">_xlfn.IFNA(INDIRECT(_xlfn.TEXTJOIN("",TRUE,A2253,"!",ADDRESS(17+(A2254-1)*J2253,13))),"")</f>
        <v/>
      </c>
      <c r="J2261" s="25" t="str">
        <f ca="1">_xlfn.IFNA(INDIRECT(_xlfn.TEXTJOIN("",TRUE,A2253,"!",ADDRESS(17+(A2254-1)*J2253,14))),"")</f>
        <v/>
      </c>
    </row>
    <row r="2262" spans="1:10" ht="10.5" customHeight="1" x14ac:dyDescent="0.2">
      <c r="A2262" s="65" t="str">
        <f ca="1">_xlfn.IFNA(INDIRECT(_xlfn.TEXTJOIN("",TRUE,A2253,"!",ADDRESS(18+(A2254-1)*J2253,1))),"")</f>
        <v/>
      </c>
      <c r="B2262" s="65"/>
      <c r="C2262" s="66" t="str">
        <f ca="1">_xlfn.IFNA(INDIRECT(_xlfn.TEXTJOIN("",TRUE,A2253,"!",ADDRESS(18+(A2254-1)*J2253,2))),"")</f>
        <v/>
      </c>
      <c r="D2262" s="66"/>
      <c r="E2262" s="66"/>
      <c r="F2262" s="66"/>
      <c r="G2262" s="66"/>
      <c r="H2262" s="25" t="str">
        <f ca="1">_xlfn.IFNA(INDIRECT(_xlfn.TEXTJOIN("",TRUE,A2253,"!",ADDRESS(18+(A2254-1)*J2253,6))),"")</f>
        <v/>
      </c>
      <c r="I2262" s="25" t="str">
        <f ca="1">_xlfn.IFNA(INDIRECT(_xlfn.TEXTJOIN("",TRUE,A2253,"!",ADDRESS(18+(A2254-1)*J2253,13))),"")</f>
        <v/>
      </c>
      <c r="J2262" s="25" t="str">
        <f ca="1">_xlfn.IFNA(INDIRECT(_xlfn.TEXTJOIN("",TRUE,A2253,"!",ADDRESS(18+(A2254-1)*J2253,14))),"")</f>
        <v/>
      </c>
    </row>
    <row r="2263" spans="1:10" ht="10.5" customHeight="1" x14ac:dyDescent="0.2">
      <c r="A2263" s="60" t="str">
        <f ca="1">_xlfn.IFNA(INDIRECT(_xlfn.TEXTJOIN("",TRUE,A2253,"!",ADDRESS(19+(A2254-1)*J2253,1))),"")</f>
        <v/>
      </c>
      <c r="B2263" s="61"/>
      <c r="C2263" s="57" t="str">
        <f ca="1">_xlfn.IFNA(INDIRECT(_xlfn.TEXTJOIN("",TRUE,A2253,"!",ADDRESS(19+(A2254-1)*J2253,2))),"")</f>
        <v/>
      </c>
      <c r="D2263" s="58"/>
      <c r="E2263" s="58"/>
      <c r="F2263" s="58"/>
      <c r="G2263" s="59"/>
      <c r="H2263" s="25" t="str">
        <f ca="1">_xlfn.IFNA(INDIRECT(_xlfn.TEXTJOIN("",TRUE,A2253,"!",ADDRESS(19+(A2254-1)*J2253,6))),"")</f>
        <v/>
      </c>
      <c r="I2263" s="25" t="str">
        <f ca="1">_xlfn.IFNA(INDIRECT(_xlfn.TEXTJOIN("",TRUE,A2253,"!",ADDRESS(19+(A2254-1)*J2253,13))),"")</f>
        <v/>
      </c>
      <c r="J2263" s="25" t="str">
        <f ca="1">_xlfn.IFNA(INDIRECT(_xlfn.TEXTJOIN("",TRUE,A2253,"!",ADDRESS(19+(A2254-1)*J2253,14))),"")</f>
        <v/>
      </c>
    </row>
    <row r="2264" spans="1:10" ht="10.5" customHeight="1" x14ac:dyDescent="0.2">
      <c r="A2264" s="65" t="str">
        <f ca="1">_xlfn.IFNA(INDIRECT(_xlfn.TEXTJOIN("",TRUE,A2253,"!",ADDRESS(20+(A2254-1)*J2253,1))),"")</f>
        <v/>
      </c>
      <c r="B2264" s="65"/>
      <c r="C2264" s="66" t="str">
        <f ca="1">_xlfn.IFNA(INDIRECT(_xlfn.TEXTJOIN("",TRUE,A2253,"!",ADDRESS(20+(A2254-1)*J2253,2))),"")</f>
        <v/>
      </c>
      <c r="D2264" s="66"/>
      <c r="E2264" s="66"/>
      <c r="F2264" s="66"/>
      <c r="G2264" s="66"/>
      <c r="H2264" s="25" t="str">
        <f ca="1">_xlfn.IFNA(INDIRECT(_xlfn.TEXTJOIN("",TRUE,A2253,"!",ADDRESS(20+(A2254-1)*J2253,6))),"")</f>
        <v/>
      </c>
      <c r="I2264" s="25" t="str">
        <f ca="1">_xlfn.IFNA(INDIRECT(_xlfn.TEXTJOIN("",TRUE,A2253,"!",ADDRESS(20+(A2254-1)*J2253,13))),"")</f>
        <v/>
      </c>
      <c r="J2264" s="25" t="str">
        <f ca="1">_xlfn.IFNA(INDIRECT(_xlfn.TEXTJOIN("",TRUE,A2253,"!",ADDRESS(20+(A2254-1)*J2253,14))),"")</f>
        <v/>
      </c>
    </row>
    <row r="2265" spans="1:10" ht="10.5" customHeight="1" x14ac:dyDescent="0.2">
      <c r="A2265" s="71" t="str">
        <f ca="1">IF(ISNA(A2254),"","Total Credits/ Total Grade Points")</f>
        <v/>
      </c>
      <c r="B2265" s="71"/>
      <c r="C2265" s="71"/>
      <c r="D2265" s="71"/>
      <c r="E2265" s="71"/>
      <c r="F2265" s="71"/>
      <c r="G2265" s="71"/>
      <c r="H2265" s="27" t="str">
        <f ca="1">IF(ISNA(A2254),"",SUM(H2257:H2264))</f>
        <v/>
      </c>
      <c r="I2265" s="26" t="str">
        <f ca="1">IF(ISNA(A2254),"","-")</f>
        <v/>
      </c>
      <c r="J2265" s="27" t="str">
        <f ca="1">IF(ISNA(A2254),"",SUMPRODUCT(J2257:J2264,H2257:H2264))</f>
        <v/>
      </c>
    </row>
    <row r="2266" spans="1:10" ht="10.5" customHeight="1" x14ac:dyDescent="0.2">
      <c r="A2266" s="24" t="s">
        <v>133</v>
      </c>
      <c r="B2266" s="72" t="str">
        <f ca="1">IF(ISNA(A2267),"","Semester IV (Spring Semester 2023-24)")</f>
        <v/>
      </c>
      <c r="C2266" s="72"/>
      <c r="D2266" s="72"/>
      <c r="E2266" s="72"/>
      <c r="F2266" s="72"/>
      <c r="G2266" s="72"/>
      <c r="H2266" s="72"/>
      <c r="I2266" s="72"/>
      <c r="J2266" s="24">
        <f>ROWS(A2270:B2276)+9</f>
        <v>16</v>
      </c>
    </row>
    <row r="2267" spans="1:10" ht="10.5" customHeight="1" x14ac:dyDescent="0.2">
      <c r="A2267" s="24" t="e">
        <f ca="1">INDEX(SEM_IV!$A$6:$A$43,Marksheets!J2267)</f>
        <v>#N/A</v>
      </c>
      <c r="B2267" s="63"/>
      <c r="C2267" s="63"/>
      <c r="D2267" s="63"/>
      <c r="E2267" s="63"/>
      <c r="F2267" s="63"/>
      <c r="G2267" s="63"/>
      <c r="H2267" s="63"/>
      <c r="I2267" s="63"/>
      <c r="J2267" s="24" t="e">
        <f ca="1">MATCH(H2217,SEM_IV!$B$6:$B$43,0)</f>
        <v>#N/A</v>
      </c>
    </row>
    <row r="2268" spans="1:10" ht="10.5" customHeight="1" x14ac:dyDescent="0.2">
      <c r="A2268" s="64" t="str">
        <f ca="1">IF(ISNA(A2267),"","Subject Code")</f>
        <v/>
      </c>
      <c r="B2268" s="64"/>
      <c r="C2268" s="64" t="str">
        <f ca="1">IF(ISNA(A2267),"","Subject Name")</f>
        <v/>
      </c>
      <c r="D2268" s="64"/>
      <c r="E2268" s="64"/>
      <c r="F2268" s="64"/>
      <c r="G2268" s="64"/>
      <c r="H2268" s="64" t="str">
        <f ca="1">IF(ISNA(A2267),"","Credits")</f>
        <v/>
      </c>
      <c r="I2268" s="64" t="str">
        <f ca="1">IF(ISNA(A2267),"","Grade")</f>
        <v/>
      </c>
      <c r="J2268" s="64" t="str">
        <f ca="1">IF(ISNA(A2267),"","Grade Points")</f>
        <v/>
      </c>
    </row>
    <row r="2269" spans="1:10" ht="12.5" customHeight="1" x14ac:dyDescent="0.2">
      <c r="A2269" s="64"/>
      <c r="B2269" s="64"/>
      <c r="C2269" s="64"/>
      <c r="D2269" s="64"/>
      <c r="E2269" s="64"/>
      <c r="F2269" s="64"/>
      <c r="G2269" s="64"/>
      <c r="H2269" s="64"/>
      <c r="I2269" s="64"/>
      <c r="J2269" s="64"/>
    </row>
    <row r="2270" spans="1:10" ht="10.5" customHeight="1" x14ac:dyDescent="0.2">
      <c r="A2270" s="65" t="str">
        <f ca="1">_xlfn.IFNA(INDIRECT(_xlfn.TEXTJOIN("",TRUE,A2266,"!",ADDRESS(13+(A2267-1)*J2266,1))),"")</f>
        <v/>
      </c>
      <c r="B2270" s="65"/>
      <c r="C2270" s="66" t="str">
        <f ca="1">_xlfn.IFNA(INDIRECT(_xlfn.TEXTJOIN("",TRUE,A2266,"!",ADDRESS(13+(A2267-1)*J2266,2))),"")</f>
        <v/>
      </c>
      <c r="D2270" s="66"/>
      <c r="E2270" s="66"/>
      <c r="F2270" s="66"/>
      <c r="G2270" s="66"/>
      <c r="H2270" s="25" t="str">
        <f ca="1">_xlfn.IFNA(INDIRECT(_xlfn.TEXTJOIN("",TRUE,A2266,"!",ADDRESS(13+(A2267-1)*J2266,6))),"")</f>
        <v/>
      </c>
      <c r="I2270" s="25" t="str">
        <f ca="1">_xlfn.IFNA(INDIRECT(_xlfn.TEXTJOIN("",TRUE,A2266,"!",ADDRESS(13+(A2267-1)*J2266,13))),"")</f>
        <v/>
      </c>
      <c r="J2270" s="25" t="str">
        <f ca="1">_xlfn.IFNA(INDIRECT(_xlfn.TEXTJOIN("",TRUE,A2266,"!",ADDRESS(13+(A2267-1)*J2266,14))),"")</f>
        <v/>
      </c>
    </row>
    <row r="2271" spans="1:10" ht="10.5" customHeight="1" x14ac:dyDescent="0.2">
      <c r="A2271" s="65" t="str">
        <f ca="1">_xlfn.IFNA(INDIRECT(_xlfn.TEXTJOIN("",TRUE,A2266,"!",ADDRESS(14+(A2267-1)*J2266,1))),"")</f>
        <v/>
      </c>
      <c r="B2271" s="65"/>
      <c r="C2271" s="66" t="str">
        <f ca="1">_xlfn.IFNA(INDIRECT(_xlfn.TEXTJOIN("",TRUE,A2266,"!",ADDRESS(14+(A2267-1)*J2266,2))),"")</f>
        <v/>
      </c>
      <c r="D2271" s="66"/>
      <c r="E2271" s="66"/>
      <c r="F2271" s="66"/>
      <c r="G2271" s="66"/>
      <c r="H2271" s="25" t="str">
        <f ca="1">_xlfn.IFNA(INDIRECT(_xlfn.TEXTJOIN("",TRUE,A2266,"!",ADDRESS(14+(A2267-1)*J2266,6))),"")</f>
        <v/>
      </c>
      <c r="I2271" s="25" t="str">
        <f ca="1">_xlfn.IFNA(INDIRECT(_xlfn.TEXTJOIN("",TRUE,A2266,"!",ADDRESS(14+(A2267-1)*J2266,13))),"")</f>
        <v/>
      </c>
      <c r="J2271" s="25" t="str">
        <f ca="1">_xlfn.IFNA(INDIRECT(_xlfn.TEXTJOIN("",TRUE,A2266,"!",ADDRESS(14+(A2267-1)*J2266,14))),"")</f>
        <v/>
      </c>
    </row>
    <row r="2272" spans="1:10" ht="10.5" customHeight="1" x14ac:dyDescent="0.2">
      <c r="A2272" s="65" t="str">
        <f ca="1">_xlfn.IFNA(INDIRECT(_xlfn.TEXTJOIN("",TRUE,A2266,"!",ADDRESS(15+(A2267-1)*J2266,1))),"")</f>
        <v/>
      </c>
      <c r="B2272" s="65"/>
      <c r="C2272" s="66" t="str">
        <f ca="1">_xlfn.IFNA(INDIRECT(_xlfn.TEXTJOIN("",TRUE,A2266,"!",ADDRESS(15+(A2267-1)*J2266,2))),"")</f>
        <v/>
      </c>
      <c r="D2272" s="66"/>
      <c r="E2272" s="66"/>
      <c r="F2272" s="66"/>
      <c r="G2272" s="66"/>
      <c r="H2272" s="25" t="str">
        <f ca="1">_xlfn.IFNA(INDIRECT(_xlfn.TEXTJOIN("",TRUE,A2266,"!",ADDRESS(15+(A2267-1)*J2266,6))),"")</f>
        <v/>
      </c>
      <c r="I2272" s="25" t="str">
        <f ca="1">_xlfn.IFNA(INDIRECT(_xlfn.TEXTJOIN("",TRUE,A2266,"!",ADDRESS(15+(A2267-1)*J2266,13))),"")</f>
        <v/>
      </c>
      <c r="J2272" s="25" t="str">
        <f ca="1">_xlfn.IFNA(INDIRECT(_xlfn.TEXTJOIN("",TRUE,A2266,"!",ADDRESS(15+(A2267-1)*J2266,14))),"")</f>
        <v/>
      </c>
    </row>
    <row r="2273" spans="1:10" ht="10.5" customHeight="1" x14ac:dyDescent="0.2">
      <c r="A2273" s="65" t="str">
        <f ca="1">_xlfn.IFNA(INDIRECT(_xlfn.TEXTJOIN("",TRUE,A2266,"!",ADDRESS(16+(A2267-1)*J2266,1))),"")</f>
        <v/>
      </c>
      <c r="B2273" s="65"/>
      <c r="C2273" s="66" t="str">
        <f ca="1">_xlfn.IFNA(INDIRECT(_xlfn.TEXTJOIN("",TRUE,A2266,"!",ADDRESS(16+(A2267-1)*J2266,2))),"")</f>
        <v/>
      </c>
      <c r="D2273" s="66"/>
      <c r="E2273" s="66"/>
      <c r="F2273" s="66"/>
      <c r="G2273" s="66"/>
      <c r="H2273" s="25" t="str">
        <f ca="1">_xlfn.IFNA(INDIRECT(_xlfn.TEXTJOIN("",TRUE,A2266,"!",ADDRESS(16+(A2267-1)*J2266,6))),"")</f>
        <v/>
      </c>
      <c r="I2273" s="25" t="str">
        <f ca="1">_xlfn.IFNA(INDIRECT(_xlfn.TEXTJOIN("",TRUE,A2266,"!",ADDRESS(16+(A2267-1)*J2266,13))),"")</f>
        <v/>
      </c>
      <c r="J2273" s="25" t="str">
        <f ca="1">_xlfn.IFNA(INDIRECT(_xlfn.TEXTJOIN("",TRUE,A2266,"!",ADDRESS(16+(A2267-1)*J2266,14))),"")</f>
        <v/>
      </c>
    </row>
    <row r="2274" spans="1:10" ht="10.5" customHeight="1" x14ac:dyDescent="0.2">
      <c r="A2274" s="65" t="str">
        <f ca="1">_xlfn.IFNA(INDIRECT(_xlfn.TEXTJOIN("",TRUE,A2266,"!",ADDRESS(17+(A2267-1)*J2266,1))),"")</f>
        <v/>
      </c>
      <c r="B2274" s="65"/>
      <c r="C2274" s="66" t="str">
        <f ca="1">_xlfn.IFNA(INDIRECT(_xlfn.TEXTJOIN("",TRUE,A2266,"!",ADDRESS(17+(A2267-1)*J2266,2))),"")</f>
        <v/>
      </c>
      <c r="D2274" s="66"/>
      <c r="E2274" s="66"/>
      <c r="F2274" s="66"/>
      <c r="G2274" s="66"/>
      <c r="H2274" s="25" t="str">
        <f ca="1">_xlfn.IFNA(INDIRECT(_xlfn.TEXTJOIN("",TRUE,A2266,"!",ADDRESS(17+(A2267-1)*J2266,6))),"")</f>
        <v/>
      </c>
      <c r="I2274" s="25" t="str">
        <f ca="1">_xlfn.IFNA(INDIRECT(_xlfn.TEXTJOIN("",TRUE,A2266,"!",ADDRESS(17+(A2267-1)*J2266,13))),"")</f>
        <v/>
      </c>
      <c r="J2274" s="25" t="str">
        <f ca="1">_xlfn.IFNA(INDIRECT(_xlfn.TEXTJOIN("",TRUE,A2266,"!",ADDRESS(17+(A2267-1)*J2266,14))),"")</f>
        <v/>
      </c>
    </row>
    <row r="2275" spans="1:10" ht="10.5" customHeight="1" x14ac:dyDescent="0.2">
      <c r="A2275" s="65" t="str">
        <f ca="1">_xlfn.IFNA(INDIRECT(_xlfn.TEXTJOIN("",TRUE,A2266,"!",ADDRESS(18+(A2267-1)*J2266,1))),"")</f>
        <v/>
      </c>
      <c r="B2275" s="65"/>
      <c r="C2275" s="66" t="str">
        <f ca="1">_xlfn.IFNA(INDIRECT(_xlfn.TEXTJOIN("",TRUE,A2266,"!",ADDRESS(18+(A2267-1)*J2266,2))),"")</f>
        <v/>
      </c>
      <c r="D2275" s="66"/>
      <c r="E2275" s="66"/>
      <c r="F2275" s="66"/>
      <c r="G2275" s="66"/>
      <c r="H2275" s="25" t="str">
        <f ca="1">_xlfn.IFNA(INDIRECT(_xlfn.TEXTJOIN("",TRUE,A2266,"!",ADDRESS(18+(A2267-1)*J2266,6))),"")</f>
        <v/>
      </c>
      <c r="I2275" s="25" t="str">
        <f ca="1">_xlfn.IFNA(INDIRECT(_xlfn.TEXTJOIN("",TRUE,A2266,"!",ADDRESS(18+(A2267-1)*J2266,13))),"")</f>
        <v/>
      </c>
      <c r="J2275" s="25" t="str">
        <f ca="1">_xlfn.IFNA(INDIRECT(_xlfn.TEXTJOIN("",TRUE,A2266,"!",ADDRESS(18+(A2267-1)*J2266,14))),"")</f>
        <v/>
      </c>
    </row>
    <row r="2276" spans="1:10" ht="10.5" customHeight="1" x14ac:dyDescent="0.2">
      <c r="A2276" s="60" t="str">
        <f ca="1">_xlfn.IFNA(INDIRECT(_xlfn.TEXTJOIN("",TRUE,A2266,"!",ADDRESS(19+(A2267-1)*J2266,1))),"")</f>
        <v/>
      </c>
      <c r="B2276" s="61"/>
      <c r="C2276" s="57" t="str">
        <f ca="1">_xlfn.IFNA(INDIRECT(_xlfn.TEXTJOIN("",TRUE,A2266,"!",ADDRESS(19+(A2267-1)*J2266,2))),"")</f>
        <v/>
      </c>
      <c r="D2276" s="58"/>
      <c r="E2276" s="58"/>
      <c r="F2276" s="58"/>
      <c r="G2276" s="59"/>
      <c r="H2276" s="25" t="str">
        <f ca="1">_xlfn.IFNA(INDIRECT(_xlfn.TEXTJOIN("",TRUE,A2266,"!",ADDRESS(19+(A2267-1)*J2266,6))),"")</f>
        <v/>
      </c>
      <c r="I2276" s="25" t="str">
        <f ca="1">_xlfn.IFNA(INDIRECT(_xlfn.TEXTJOIN("",TRUE,A2266,"!",ADDRESS(19+(A2267-1)*J2266,13))),"")</f>
        <v/>
      </c>
      <c r="J2276" s="25" t="str">
        <f ca="1">_xlfn.IFNA(INDIRECT(_xlfn.TEXTJOIN("",TRUE,A2266,"!",ADDRESS(19+(A2267-1)*J2266,14))),"")</f>
        <v/>
      </c>
    </row>
    <row r="2277" spans="1:10" ht="10.5" customHeight="1" x14ac:dyDescent="0.2">
      <c r="A2277" s="71" t="str">
        <f ca="1">IF(ISNA(A2267),"","Total Credits/ Total Grade Points")</f>
        <v/>
      </c>
      <c r="B2277" s="71"/>
      <c r="C2277" s="71"/>
      <c r="D2277" s="71"/>
      <c r="E2277" s="71"/>
      <c r="F2277" s="71"/>
      <c r="G2277" s="71"/>
      <c r="H2277" s="27" t="str">
        <f ca="1">IF(ISNA(A2267),"",SUM(H2269:H2276))</f>
        <v/>
      </c>
      <c r="I2277" s="26" t="str">
        <f ca="1">IF(ISNA(A2267),"","-")</f>
        <v/>
      </c>
      <c r="J2277" s="27" t="str">
        <f ca="1">IF(ISNA(A2267),"",SUMPRODUCT(J2269:J2276,H2269:H2276))</f>
        <v/>
      </c>
    </row>
    <row r="2278" spans="1:10" ht="10.5" customHeight="1" x14ac:dyDescent="0.2">
      <c r="A2278" s="75" t="s">
        <v>137</v>
      </c>
      <c r="B2278" s="75"/>
      <c r="C2278" s="75"/>
      <c r="D2278" s="75"/>
      <c r="E2278" s="75"/>
      <c r="F2278" s="76" t="s">
        <v>138</v>
      </c>
      <c r="G2278" s="76"/>
      <c r="H2278" s="76"/>
      <c r="I2278" s="76"/>
      <c r="J2278" s="76"/>
    </row>
    <row r="2279" spans="1:10" ht="10.5" customHeight="1" x14ac:dyDescent="0.2">
      <c r="A2279" s="43" t="s">
        <v>139</v>
      </c>
      <c r="B2279" s="43"/>
      <c r="C2279" s="43"/>
      <c r="D2279" s="43"/>
      <c r="E2279" s="43"/>
      <c r="F2279" s="43"/>
      <c r="G2279" s="43"/>
      <c r="H2279" s="43"/>
      <c r="I2279" s="43"/>
      <c r="J2279" s="43"/>
    </row>
    <row r="2280" spans="1:10" ht="10.5" customHeight="1" x14ac:dyDescent="0.2">
      <c r="A2280" s="10"/>
      <c r="B2280" s="26"/>
      <c r="C2280" s="26" t="s">
        <v>140</v>
      </c>
      <c r="D2280" s="26" t="s">
        <v>141</v>
      </c>
      <c r="E2280" s="26" t="s">
        <v>142</v>
      </c>
      <c r="F2280" s="26" t="s">
        <v>143</v>
      </c>
      <c r="G2280" s="26" t="s">
        <v>144</v>
      </c>
      <c r="H2280" s="79" t="s">
        <v>145</v>
      </c>
      <c r="I2280" s="79"/>
      <c r="J2280" s="30"/>
    </row>
    <row r="2281" spans="1:10" ht="10.5" customHeight="1" x14ac:dyDescent="0.2">
      <c r="A2281" s="10"/>
      <c r="B2281" s="80" t="s">
        <v>146</v>
      </c>
      <c r="C2281" s="73" t="e">
        <f ca="1">J2237/H2237</f>
        <v>#N/A</v>
      </c>
      <c r="D2281" s="73" t="e">
        <f ca="1">J2252/H2252</f>
        <v>#VALUE!</v>
      </c>
      <c r="E2281" s="73" t="str">
        <f ca="1">IFERROR(J2265/H2265,"")</f>
        <v/>
      </c>
      <c r="F2281" s="73" t="str">
        <f ca="1">IFERROR(J2277/H2277,"")</f>
        <v/>
      </c>
      <c r="G2281" s="82" t="e">
        <f ca="1">F2283</f>
        <v>#N/A</v>
      </c>
      <c r="H2281" s="83" t="e">
        <f ca="1">IF(TC_IV!N517&lt;96,_xlfn.TEXTJOIN(" ",TRUE,"CARRY OVER",TC_I!V763,TC_II!V631,TC_III!V548,TC_IV!V516),IF(G2281&gt;=8,"First Division with Distinction",IF(G2281&gt;=6.5,"First Division",IF(G2281&gt;=5,"Second Division",IF(G2281&gt;=4,"Third Division","Fail")))))</f>
        <v>#N/A</v>
      </c>
      <c r="I2281" s="83"/>
      <c r="J2281" s="30"/>
    </row>
    <row r="2282" spans="1:10" ht="10.5" customHeight="1" x14ac:dyDescent="0.2">
      <c r="B2282" s="81"/>
      <c r="C2282" s="74"/>
      <c r="D2282" s="74"/>
      <c r="E2282" s="74"/>
      <c r="F2282" s="74"/>
      <c r="G2282" s="82"/>
      <c r="H2282" s="83"/>
      <c r="I2282" s="83"/>
    </row>
    <row r="2283" spans="1:10" ht="10.5" customHeight="1" x14ac:dyDescent="0.2">
      <c r="B2283" s="80" t="s">
        <v>48</v>
      </c>
      <c r="C2283" s="73" t="e">
        <f ca="1">J2237/H2237</f>
        <v>#N/A</v>
      </c>
      <c r="D2283" s="73" t="e">
        <f ca="1">SUM(J2252,J2237)/SUM(H2252,H2237)</f>
        <v>#N/A</v>
      </c>
      <c r="E2283" s="73" t="e">
        <f ca="1">SUM(J2265,J2252,J2237)/SUM(H2265,H2252,H2237)</f>
        <v>#N/A</v>
      </c>
      <c r="F2283" s="73" t="e">
        <f ca="1">SUM(J2277,J2265,J2252,J2237)/SUM(H2237,H2252,H2265,H2277)</f>
        <v>#N/A</v>
      </c>
      <c r="G2283" s="82"/>
      <c r="H2283" s="83"/>
      <c r="I2283" s="83"/>
    </row>
    <row r="2284" spans="1:10" ht="10.5" customHeight="1" x14ac:dyDescent="0.2">
      <c r="B2284" s="81"/>
      <c r="C2284" s="74"/>
      <c r="D2284" s="74"/>
      <c r="E2284" s="74"/>
      <c r="F2284" s="74"/>
      <c r="G2284" s="82"/>
      <c r="H2284" s="83"/>
      <c r="I2284" s="83"/>
    </row>
    <row r="2286" spans="1:10" ht="10.5" customHeight="1" x14ac:dyDescent="0.2">
      <c r="A2286" s="56" t="s">
        <v>24</v>
      </c>
      <c r="B2286" s="56"/>
      <c r="C2286" s="56" t="str">
        <f ca="1">INDIRECT(_xlfn.TEXTJOIN("",TRUE,A2288,"!",ADDRESS(9+(A2289-1)*J2288,2)))</f>
        <v/>
      </c>
      <c r="D2286" s="56"/>
      <c r="E2286" s="56"/>
      <c r="F2286" s="56" t="s">
        <v>135</v>
      </c>
      <c r="G2286" s="56"/>
      <c r="H2286" s="62" t="str">
        <f ca="1">INDIRECT(_xlfn.TEXTJOIN("",TRUE,A2288,"!",ADDRESS(9+(A2289-1)*J2288,9)))</f>
        <v/>
      </c>
      <c r="I2286" s="56"/>
      <c r="J2286" s="56"/>
    </row>
    <row r="2287" spans="1:10" ht="10.5" customHeight="1" x14ac:dyDescent="0.2">
      <c r="A2287" s="56" t="s">
        <v>25</v>
      </c>
      <c r="B2287" s="56"/>
      <c r="C2287" s="56" t="str">
        <f ca="1">INDIRECT(_xlfn.TEXTJOIN("",TRUE,A2288,"!",ADDRESS(9+(A2289-1)*J2288,5)))</f>
        <v/>
      </c>
      <c r="D2287" s="56"/>
      <c r="E2287" s="56"/>
      <c r="F2287" s="47" t="s">
        <v>136</v>
      </c>
      <c r="G2287" s="47"/>
      <c r="H2287" s="62" t="str">
        <f ca="1">INDIRECT(_xlfn.TEXTJOIN("",TRUE,A2288,"!",ADDRESS(9+(A2289-1)*J2288,13)))</f>
        <v/>
      </c>
      <c r="I2287" s="56"/>
      <c r="J2287" s="56"/>
    </row>
    <row r="2288" spans="1:10" ht="10.5" customHeight="1" x14ac:dyDescent="0.2">
      <c r="A2288" s="24" t="s">
        <v>53</v>
      </c>
      <c r="B2288" s="43" t="s">
        <v>148</v>
      </c>
      <c r="C2288" s="43"/>
      <c r="D2288" s="43"/>
      <c r="E2288" s="43"/>
      <c r="F2288" s="43"/>
      <c r="G2288" s="43"/>
      <c r="H2288" s="43"/>
      <c r="I2288" s="43"/>
      <c r="J2288" s="24">
        <f>ROWS(A2292:B2305)+9</f>
        <v>23</v>
      </c>
    </row>
    <row r="2289" spans="1:10" ht="10.5" customHeight="1" x14ac:dyDescent="0.2">
      <c r="A2289" s="24">
        <f>A2220+1</f>
        <v>34</v>
      </c>
      <c r="B2289" s="63"/>
      <c r="C2289" s="63"/>
      <c r="D2289" s="63"/>
      <c r="E2289" s="63"/>
      <c r="F2289" s="63"/>
      <c r="G2289" s="63"/>
      <c r="H2289" s="63"/>
      <c r="I2289" s="63"/>
      <c r="J2289" s="29"/>
    </row>
    <row r="2290" spans="1:10" ht="10.5" customHeight="1" x14ac:dyDescent="0.2">
      <c r="A2290" s="64" t="s">
        <v>28</v>
      </c>
      <c r="B2290" s="64"/>
      <c r="C2290" s="64" t="s">
        <v>29</v>
      </c>
      <c r="D2290" s="64"/>
      <c r="E2290" s="64"/>
      <c r="F2290" s="64"/>
      <c r="G2290" s="64"/>
      <c r="H2290" s="64" t="s">
        <v>30</v>
      </c>
      <c r="I2290" s="64" t="s">
        <v>9</v>
      </c>
      <c r="J2290" s="64" t="s">
        <v>34</v>
      </c>
    </row>
    <row r="2291" spans="1:10" ht="14" customHeight="1" x14ac:dyDescent="0.2">
      <c r="A2291" s="64"/>
      <c r="B2291" s="64"/>
      <c r="C2291" s="64"/>
      <c r="D2291" s="64"/>
      <c r="E2291" s="64"/>
      <c r="F2291" s="64"/>
      <c r="G2291" s="64"/>
      <c r="H2291" s="64"/>
      <c r="I2291" s="64"/>
      <c r="J2291" s="64"/>
    </row>
    <row r="2292" spans="1:10" ht="10.5" customHeight="1" x14ac:dyDescent="0.2">
      <c r="A2292" s="65" t="str">
        <f ca="1">INDIRECT(_xlfn.TEXTJOIN("",TRUE,A2288,"!",ADDRESS(13+(A2289-1)*J2288,1)))</f>
        <v/>
      </c>
      <c r="B2292" s="65"/>
      <c r="C2292" s="66" t="str">
        <f ca="1">INDIRECT(_xlfn.TEXTJOIN("",TRUE,A2288,"!",ADDRESS(13+(A2289-1)*J2288,2)))</f>
        <v/>
      </c>
      <c r="D2292" s="66"/>
      <c r="E2292" s="66"/>
      <c r="F2292" s="66"/>
      <c r="G2292" s="66"/>
      <c r="H2292" s="25" t="str">
        <f ca="1">INDIRECT(_xlfn.TEXTJOIN("",TRUE,A2288,"!",ADDRESS(13+(A2289-1)*J2288,6)))</f>
        <v/>
      </c>
      <c r="I2292" s="25" t="str">
        <f ca="1">INDIRECT(_xlfn.TEXTJOIN("",TRUE,A2288,"!",ADDRESS(13+(A2289-1)*J2288,13)))</f>
        <v/>
      </c>
      <c r="J2292" s="25" t="e">
        <f ca="1">INDIRECT(_xlfn.TEXTJOIN("",TRUE,A2288,"!",ADDRESS(13+(A2289-1)*J2288,14)))</f>
        <v>#N/A</v>
      </c>
    </row>
    <row r="2293" spans="1:10" ht="10.5" customHeight="1" x14ac:dyDescent="0.2">
      <c r="A2293" s="65" t="str">
        <f ca="1">INDIRECT(_xlfn.TEXTJOIN("",TRUE,A2288,"!",ADDRESS(14+(A2289-1)*J2288,1)))</f>
        <v/>
      </c>
      <c r="B2293" s="65"/>
      <c r="C2293" s="66" t="str">
        <f ca="1">INDIRECT(_xlfn.TEXTJOIN("",TRUE,A2288,"!",ADDRESS(14+(A2289-1)*J2288,2)))</f>
        <v/>
      </c>
      <c r="D2293" s="66"/>
      <c r="E2293" s="66"/>
      <c r="F2293" s="66"/>
      <c r="G2293" s="66"/>
      <c r="H2293" s="25" t="str">
        <f ca="1">INDIRECT(_xlfn.TEXTJOIN("",TRUE,A2288,"!",ADDRESS(14+(A2289-1)*J2288,6)))</f>
        <v/>
      </c>
      <c r="I2293" s="25" t="str">
        <f ca="1">INDIRECT(_xlfn.TEXTJOIN("",TRUE,A2288,"!",ADDRESS(14+(A2289-1)*J2288,13)))</f>
        <v/>
      </c>
      <c r="J2293" s="25" t="e">
        <f ca="1">INDIRECT(_xlfn.TEXTJOIN("",TRUE,A2288,"!",ADDRESS(14+(A2289-1)*J2288,14)))</f>
        <v>#N/A</v>
      </c>
    </row>
    <row r="2294" spans="1:10" ht="10.5" customHeight="1" x14ac:dyDescent="0.2">
      <c r="A2294" s="65" t="str">
        <f ca="1">INDIRECT(_xlfn.TEXTJOIN("",TRUE,A2288,"!",ADDRESS(15+(A2289-1)*J2288,1)))</f>
        <v/>
      </c>
      <c r="B2294" s="65"/>
      <c r="C2294" s="66" t="str">
        <f ca="1">INDIRECT(_xlfn.TEXTJOIN("",TRUE,A2288,"!",ADDRESS(15+(A2289-1)*J2288,2)))</f>
        <v/>
      </c>
      <c r="D2294" s="66"/>
      <c r="E2294" s="66"/>
      <c r="F2294" s="66"/>
      <c r="G2294" s="66"/>
      <c r="H2294" s="25" t="str">
        <f ca="1">INDIRECT(_xlfn.TEXTJOIN("",TRUE,A2288,"!",ADDRESS(15+(A2289-1)*J2288,6)))</f>
        <v/>
      </c>
      <c r="I2294" s="25" t="str">
        <f ca="1">INDIRECT(_xlfn.TEXTJOIN("",TRUE,A2288,"!",ADDRESS(15+(A2289-1)*J2288,13)))</f>
        <v/>
      </c>
      <c r="J2294" s="25" t="e">
        <f ca="1">INDIRECT(_xlfn.TEXTJOIN("",TRUE,A2288,"!",ADDRESS(15+(A2289-1)*J2288,14)))</f>
        <v>#N/A</v>
      </c>
    </row>
    <row r="2295" spans="1:10" ht="10.5" customHeight="1" x14ac:dyDescent="0.2">
      <c r="A2295" s="65" t="str">
        <f ca="1">INDIRECT(_xlfn.TEXTJOIN("",TRUE,A2288,"!",ADDRESS(16+(A2289-1)*J2288,1)))</f>
        <v/>
      </c>
      <c r="B2295" s="65"/>
      <c r="C2295" s="66" t="str">
        <f ca="1">INDIRECT(_xlfn.TEXTJOIN("",TRUE,A2288,"!",ADDRESS(16+(A2289-1)*J2288,2)))</f>
        <v/>
      </c>
      <c r="D2295" s="66"/>
      <c r="E2295" s="66"/>
      <c r="F2295" s="66"/>
      <c r="G2295" s="66"/>
      <c r="H2295" s="25" t="str">
        <f ca="1">INDIRECT(_xlfn.TEXTJOIN("",TRUE,A2288,"!",ADDRESS(16+(A2289-1)*J2288,6)))</f>
        <v/>
      </c>
      <c r="I2295" s="25" t="str">
        <f ca="1">INDIRECT(_xlfn.TEXTJOIN("",TRUE,A2288,"!",ADDRESS(16+(A2289-1)*J2288,13)))</f>
        <v/>
      </c>
      <c r="J2295" s="25" t="e">
        <f ca="1">INDIRECT(_xlfn.TEXTJOIN("",TRUE,A2288,"!",ADDRESS(16+(A2289-1)*J2288,14)))</f>
        <v>#N/A</v>
      </c>
    </row>
    <row r="2296" spans="1:10" ht="10.5" customHeight="1" x14ac:dyDescent="0.2">
      <c r="A2296" s="65" t="str">
        <f ca="1">INDIRECT(_xlfn.TEXTJOIN("",TRUE,A2288,"!",ADDRESS(17+(A2289-1)*J2288,1)))</f>
        <v/>
      </c>
      <c r="B2296" s="65"/>
      <c r="C2296" s="66" t="str">
        <f ca="1">INDIRECT(_xlfn.TEXTJOIN("",TRUE,A2288,"!",ADDRESS(17+(A2289-1)*J2288,2)))</f>
        <v/>
      </c>
      <c r="D2296" s="66"/>
      <c r="E2296" s="66"/>
      <c r="F2296" s="66"/>
      <c r="G2296" s="66"/>
      <c r="H2296" s="25" t="str">
        <f ca="1">INDIRECT(_xlfn.TEXTJOIN("",TRUE,A2288,"!",ADDRESS(17+(A2289-1)*J2288,6)))</f>
        <v/>
      </c>
      <c r="I2296" s="25" t="str">
        <f ca="1">INDIRECT(_xlfn.TEXTJOIN("",TRUE,A2288,"!",ADDRESS(17+(A2289-1)*J2288,13)))</f>
        <v/>
      </c>
      <c r="J2296" s="25" t="e">
        <f ca="1">INDIRECT(_xlfn.TEXTJOIN("",TRUE,A2288,"!",ADDRESS(17+(A2289-1)*J2288,14)))</f>
        <v>#N/A</v>
      </c>
    </row>
    <row r="2297" spans="1:10" ht="10.5" customHeight="1" x14ac:dyDescent="0.2">
      <c r="A2297" s="65" t="str">
        <f ca="1">INDIRECT(_xlfn.TEXTJOIN("",TRUE,A2288,"!",ADDRESS(18+(A2289-1)*J2288,1)))</f>
        <v/>
      </c>
      <c r="B2297" s="65"/>
      <c r="C2297" s="66" t="str">
        <f ca="1">INDIRECT(_xlfn.TEXTJOIN("",TRUE,A2288,"!",ADDRESS(18+(A2289-1)*J2288,2)))</f>
        <v/>
      </c>
      <c r="D2297" s="66"/>
      <c r="E2297" s="66"/>
      <c r="F2297" s="66"/>
      <c r="G2297" s="66"/>
      <c r="H2297" s="25" t="str">
        <f ca="1">INDIRECT(_xlfn.TEXTJOIN("",TRUE,A2288,"!",ADDRESS(18+(A2289-1)*J2288,6)))</f>
        <v/>
      </c>
      <c r="I2297" s="25" t="str">
        <f ca="1">INDIRECT(_xlfn.TEXTJOIN("",TRUE,A2288,"!",ADDRESS(18+(A2289-1)*J2288,13)))</f>
        <v/>
      </c>
      <c r="J2297" s="25" t="e">
        <f ca="1">INDIRECT(_xlfn.TEXTJOIN("",TRUE,A2288,"!",ADDRESS(18+(A2289-1)*J2288,14)))</f>
        <v>#N/A</v>
      </c>
    </row>
    <row r="2298" spans="1:10" ht="10.5" customHeight="1" x14ac:dyDescent="0.2">
      <c r="A2298" s="60" t="str">
        <f ca="1">INDIRECT(_xlfn.TEXTJOIN("",TRUE,A2288,"!",ADDRESS(19+(A2289-1)*J2288,1)))</f>
        <v/>
      </c>
      <c r="B2298" s="61"/>
      <c r="C2298" s="57" t="str">
        <f ca="1">INDIRECT(_xlfn.TEXTJOIN("",TRUE,A2288,"!",ADDRESS(19+(A2289-1)*J2288,2)))</f>
        <v/>
      </c>
      <c r="D2298" s="58"/>
      <c r="E2298" s="58"/>
      <c r="F2298" s="58"/>
      <c r="G2298" s="59"/>
      <c r="H2298" s="25" t="str">
        <f ca="1">INDIRECT(_xlfn.TEXTJOIN("",TRUE,A2288,"!",ADDRESS(19+(A2289-1)*J2288,6)))</f>
        <v/>
      </c>
      <c r="I2298" s="25" t="str">
        <f ca="1">INDIRECT(_xlfn.TEXTJOIN("",TRUE,A2288,"!",ADDRESS(19+(A2289-1)*J2288,13)))</f>
        <v/>
      </c>
      <c r="J2298" s="25" t="e">
        <f ca="1">INDIRECT(_xlfn.TEXTJOIN("",TRUE,A2288,"!",ADDRESS(19+(A2289-1)*J2288,14)))</f>
        <v>#N/A</v>
      </c>
    </row>
    <row r="2299" spans="1:10" ht="10.5" customHeight="1" x14ac:dyDescent="0.2">
      <c r="A2299" s="65" t="str">
        <f ca="1">INDIRECT(_xlfn.TEXTJOIN("",TRUE,A2288,"!",ADDRESS(20+(A2289-1)*J2288,1)))</f>
        <v/>
      </c>
      <c r="B2299" s="65"/>
      <c r="C2299" s="66" t="str">
        <f ca="1">INDIRECT(_xlfn.TEXTJOIN("",TRUE,A2288,"!",ADDRESS(20+(A2289-1)*J2288,2)))</f>
        <v/>
      </c>
      <c r="D2299" s="66"/>
      <c r="E2299" s="66"/>
      <c r="F2299" s="66"/>
      <c r="G2299" s="66"/>
      <c r="H2299" s="25" t="str">
        <f ca="1">INDIRECT(_xlfn.TEXTJOIN("",TRUE,A2288,"!",ADDRESS(20+(A2289-1)*J2288,6)))</f>
        <v/>
      </c>
      <c r="I2299" s="25" t="str">
        <f ca="1">INDIRECT(_xlfn.TEXTJOIN("",TRUE,A2288,"!",ADDRESS(20+(A2289-1)*J2288,13)))</f>
        <v/>
      </c>
      <c r="J2299" s="25" t="e">
        <f ca="1">INDIRECT(_xlfn.TEXTJOIN("",TRUE,A2288,"!",ADDRESS(20+(A2289-1)*J2288,14)))</f>
        <v>#N/A</v>
      </c>
    </row>
    <row r="2300" spans="1:10" ht="10.5" customHeight="1" x14ac:dyDescent="0.2">
      <c r="A2300" s="65" t="str">
        <f ca="1">INDIRECT(_xlfn.TEXTJOIN("",TRUE,A2288,"!",ADDRESS(21+(A2289-1)*J2288,1)))</f>
        <v/>
      </c>
      <c r="B2300" s="65"/>
      <c r="C2300" s="66" t="str">
        <f ca="1">INDIRECT(_xlfn.TEXTJOIN("",TRUE,A2288,"!",ADDRESS(21+(A2289-1)*J2288,2)))</f>
        <v/>
      </c>
      <c r="D2300" s="66"/>
      <c r="E2300" s="66"/>
      <c r="F2300" s="66"/>
      <c r="G2300" s="66"/>
      <c r="H2300" s="25" t="str">
        <f ca="1">INDIRECT(_xlfn.TEXTJOIN("",TRUE,A2288,"!",ADDRESS(21+(A2289-1)*J2288,6)))</f>
        <v/>
      </c>
      <c r="I2300" s="25" t="str">
        <f ca="1">INDIRECT(_xlfn.TEXTJOIN("",TRUE,A2288,"!",ADDRESS(21+(A2289-1)*J2288,13)))</f>
        <v/>
      </c>
      <c r="J2300" s="25" t="e">
        <f ca="1">INDIRECT(_xlfn.TEXTJOIN("",TRUE,A2288,"!",ADDRESS(21+(A2289-1)*J2288,14)))</f>
        <v>#N/A</v>
      </c>
    </row>
    <row r="2301" spans="1:10" ht="10.5" customHeight="1" x14ac:dyDescent="0.2">
      <c r="A2301" s="65" t="str">
        <f ca="1">INDIRECT(_xlfn.TEXTJOIN("",TRUE,A2288,"!",ADDRESS(22+(A2289-1)*J2288,1)))</f>
        <v/>
      </c>
      <c r="B2301" s="65"/>
      <c r="C2301" s="66" t="str">
        <f ca="1">INDIRECT(_xlfn.TEXTJOIN("",TRUE,A2288,"!",ADDRESS(22+(A2289-1)*J2288,2)))</f>
        <v/>
      </c>
      <c r="D2301" s="66"/>
      <c r="E2301" s="66"/>
      <c r="F2301" s="66"/>
      <c r="G2301" s="66"/>
      <c r="H2301" s="25" t="str">
        <f ca="1">INDIRECT(_xlfn.TEXTJOIN("",TRUE,A2288,"!",ADDRESS(22+(A2289-1)*J2288,6)))</f>
        <v/>
      </c>
      <c r="I2301" s="25" t="str">
        <f ca="1">INDIRECT(_xlfn.TEXTJOIN("",TRUE,A2288,"!",ADDRESS(22+(A2289-1)*J2288,13)))</f>
        <v/>
      </c>
      <c r="J2301" s="25" t="e">
        <f ca="1">INDIRECT(_xlfn.TEXTJOIN("",TRUE,A2288,"!",ADDRESS(22+(A2289-1)*J2288,14)))</f>
        <v>#N/A</v>
      </c>
    </row>
    <row r="2302" spans="1:10" ht="10.5" customHeight="1" x14ac:dyDescent="0.2">
      <c r="A2302" s="65" t="str">
        <f ca="1">INDIRECT(_xlfn.TEXTJOIN("",TRUE,A2288,"!",ADDRESS(23+(A2289-1)*J2288,1)))</f>
        <v/>
      </c>
      <c r="B2302" s="65"/>
      <c r="C2302" s="66" t="str">
        <f ca="1">INDIRECT(_xlfn.TEXTJOIN("",TRUE,A2288,"!",ADDRESS(23+(A2289-1)*J2288,2)))</f>
        <v/>
      </c>
      <c r="D2302" s="66"/>
      <c r="E2302" s="66"/>
      <c r="F2302" s="66"/>
      <c r="G2302" s="66"/>
      <c r="H2302" s="25" t="str">
        <f ca="1">INDIRECT(_xlfn.TEXTJOIN("",TRUE,A2288,"!",ADDRESS(23+(A2289-1)*J2288,6)))</f>
        <v/>
      </c>
      <c r="I2302" s="25" t="str">
        <f ca="1">INDIRECT(_xlfn.TEXTJOIN("",TRUE,A2288,"!",ADDRESS(23+(A2289-1)*J2288,13)))</f>
        <v/>
      </c>
      <c r="J2302" s="25" t="e">
        <f ca="1">INDIRECT(_xlfn.TEXTJOIN("",TRUE,A2288,"!",ADDRESS(23+(A2289-1)*J2288,14)))</f>
        <v>#N/A</v>
      </c>
    </row>
    <row r="2303" spans="1:10" ht="10.5" customHeight="1" x14ac:dyDescent="0.2">
      <c r="A2303" s="65" t="str">
        <f ca="1">INDIRECT(_xlfn.TEXTJOIN("",TRUE,A2288,"!",ADDRESS(24+(A2289-1)*J2288,1)))</f>
        <v/>
      </c>
      <c r="B2303" s="65"/>
      <c r="C2303" s="66" t="str">
        <f ca="1">INDIRECT(_xlfn.TEXTJOIN("",TRUE,A2288,"!",ADDRESS(24+(A2289-1)*J2288,2)))</f>
        <v/>
      </c>
      <c r="D2303" s="66"/>
      <c r="E2303" s="66"/>
      <c r="F2303" s="66"/>
      <c r="G2303" s="66"/>
      <c r="H2303" s="25" t="str">
        <f ca="1">INDIRECT(_xlfn.TEXTJOIN("",TRUE,A2288,"!",ADDRESS(24+(A2289-1)*J2288,6)))</f>
        <v/>
      </c>
      <c r="I2303" s="25" t="str">
        <f ca="1">INDIRECT(_xlfn.TEXTJOIN("",TRUE,A2288,"!",ADDRESS(24+(A2289-1)*J2288,13)))</f>
        <v/>
      </c>
      <c r="J2303" s="25" t="e">
        <f ca="1">INDIRECT(_xlfn.TEXTJOIN("",TRUE,A2288,"!",ADDRESS(24+(A2289-1)*J2288,14)))</f>
        <v>#N/A</v>
      </c>
    </row>
    <row r="2304" spans="1:10" ht="10.5" customHeight="1" x14ac:dyDescent="0.2">
      <c r="A2304" s="65" t="str">
        <f ca="1">INDIRECT(_xlfn.TEXTJOIN("",TRUE,A2288,"!",ADDRESS(25+(A2289-1)*J2288,1)))</f>
        <v/>
      </c>
      <c r="B2304" s="65"/>
      <c r="C2304" s="66" t="str">
        <f ca="1">INDIRECT(_xlfn.TEXTJOIN("",TRUE,A2288,"!",ADDRESS(25+(A2289-1)*J2288,2)))</f>
        <v/>
      </c>
      <c r="D2304" s="66"/>
      <c r="E2304" s="66"/>
      <c r="F2304" s="66"/>
      <c r="G2304" s="66"/>
      <c r="H2304" s="25" t="str">
        <f ca="1">INDIRECT(_xlfn.TEXTJOIN("",TRUE,A2288,"!",ADDRESS(25+(A2289-1)*J2288,6)))</f>
        <v/>
      </c>
      <c r="I2304" s="25" t="str">
        <f ca="1">INDIRECT(_xlfn.TEXTJOIN("",TRUE,A2288,"!",ADDRESS(25+(A2289-1)*J2288,13)))</f>
        <v/>
      </c>
      <c r="J2304" s="25" t="e">
        <f ca="1">INDIRECT(_xlfn.TEXTJOIN("",TRUE,A2288,"!",ADDRESS(25+(A2289-1)*J2288,14)))</f>
        <v>#N/A</v>
      </c>
    </row>
    <row r="2305" spans="1:10" s="35" customFormat="1" ht="10.5" customHeight="1" x14ac:dyDescent="0.2">
      <c r="A2305" s="77" t="str">
        <f ca="1">INDIRECT(_xlfn.TEXTJOIN("",TRUE,A2288,"!",ADDRESS(26+(A2289-1)*J2288,1)))</f>
        <v/>
      </c>
      <c r="B2305" s="77"/>
      <c r="C2305" s="78" t="str">
        <f ca="1">INDIRECT(_xlfn.TEXTJOIN("",TRUE,A2288,"!",ADDRESS(26+(A2289-1)*J2288,2)))</f>
        <v/>
      </c>
      <c r="D2305" s="78"/>
      <c r="E2305" s="78"/>
      <c r="F2305" s="78"/>
      <c r="G2305" s="78"/>
      <c r="H2305" s="34" t="str">
        <f ca="1">INDIRECT(_xlfn.TEXTJOIN("",TRUE,A2288,"!",ADDRESS(26+(A2289-1)*J2288,6)))</f>
        <v/>
      </c>
      <c r="I2305" s="34" t="b">
        <f ca="1">INDIRECT(_xlfn.TEXTJOIN("",TRUE,A2288,"!",ADDRESS(26+(A2289-1)*J2288,13)))</f>
        <v>0</v>
      </c>
      <c r="J2305" s="34" t="e">
        <f ca="1">INDIRECT(_xlfn.TEXTJOIN("",TRUE,A2288,"!",ADDRESS(26+(A2289-1)*J2288,14)))</f>
        <v>#N/A</v>
      </c>
    </row>
    <row r="2306" spans="1:10" ht="10.5" customHeight="1" x14ac:dyDescent="0.2">
      <c r="A2306" s="71" t="s">
        <v>52</v>
      </c>
      <c r="B2306" s="71"/>
      <c r="C2306" s="71"/>
      <c r="D2306" s="71"/>
      <c r="E2306" s="71"/>
      <c r="F2306" s="71"/>
      <c r="G2306" s="71"/>
      <c r="H2306" s="27">
        <f ca="1">SUM(H2292:H2305)</f>
        <v>0</v>
      </c>
      <c r="I2306" s="26" t="s">
        <v>44</v>
      </c>
      <c r="J2306" s="27" t="e">
        <f ca="1">SUMPRODUCT(J2292:J2304,H2292:H2304)</f>
        <v>#N/A</v>
      </c>
    </row>
    <row r="2307" spans="1:10" ht="10.5" customHeight="1" x14ac:dyDescent="0.2">
      <c r="A2307" s="24" t="s">
        <v>57</v>
      </c>
      <c r="B2307" s="72" t="str">
        <f ca="1">IF(ISNA(A2308),"","Semester II (Spring Semester 2022-23)")</f>
        <v/>
      </c>
      <c r="C2307" s="72"/>
      <c r="D2307" s="72"/>
      <c r="E2307" s="72"/>
      <c r="F2307" s="72"/>
      <c r="G2307" s="72"/>
      <c r="H2307" s="72"/>
      <c r="I2307" s="72"/>
      <c r="J2307" s="24">
        <f>ROWS(A2311:B2320)+9</f>
        <v>19</v>
      </c>
    </row>
    <row r="2308" spans="1:10" ht="10.5" customHeight="1" x14ac:dyDescent="0.2">
      <c r="A2308" s="24" t="e">
        <f ca="1">INDEX(SEM_II!$A$6:$A$45,Marksheets!J2308)</f>
        <v>#N/A</v>
      </c>
      <c r="B2308" s="63"/>
      <c r="C2308" s="63"/>
      <c r="D2308" s="63"/>
      <c r="E2308" s="63"/>
      <c r="F2308" s="63"/>
      <c r="G2308" s="63"/>
      <c r="H2308" s="63"/>
      <c r="I2308" s="63"/>
      <c r="J2308" s="24" t="e">
        <f ca="1">MATCH(H2286,SEM_II!$B$6:$B$45,0)</f>
        <v>#N/A</v>
      </c>
    </row>
    <row r="2309" spans="1:10" ht="10.5" customHeight="1" x14ac:dyDescent="0.2">
      <c r="A2309" s="64" t="str">
        <f ca="1">IF(ISNA(A2308),"","Subject Code")</f>
        <v/>
      </c>
      <c r="B2309" s="64"/>
      <c r="C2309" s="64" t="str">
        <f ca="1">IF(ISNA(A2308),"","Subject Name")</f>
        <v/>
      </c>
      <c r="D2309" s="64"/>
      <c r="E2309" s="64"/>
      <c r="F2309" s="64"/>
      <c r="G2309" s="64"/>
      <c r="H2309" s="64" t="str">
        <f ca="1">IF(ISNA(A2308),"","Credits")</f>
        <v/>
      </c>
      <c r="I2309" s="64" t="str">
        <f ca="1">IF(ISNA(A2308),"","Grade")</f>
        <v/>
      </c>
      <c r="J2309" s="64" t="str">
        <f ca="1">IF(ISNA(A2308),"","Grade Points")</f>
        <v/>
      </c>
    </row>
    <row r="2310" spans="1:10" ht="13" customHeight="1" x14ac:dyDescent="0.2">
      <c r="A2310" s="64"/>
      <c r="B2310" s="64"/>
      <c r="C2310" s="64"/>
      <c r="D2310" s="64"/>
      <c r="E2310" s="64"/>
      <c r="F2310" s="64"/>
      <c r="G2310" s="64"/>
      <c r="H2310" s="64"/>
      <c r="I2310" s="64"/>
      <c r="J2310" s="64"/>
    </row>
    <row r="2311" spans="1:10" ht="10.5" customHeight="1" x14ac:dyDescent="0.2">
      <c r="A2311" s="65" t="str">
        <f ca="1">_xlfn.IFNA(INDIRECT(_xlfn.TEXTJOIN("",TRUE,A2307,"!",ADDRESS(13+(A2308-1)*J2307,1))),"")</f>
        <v/>
      </c>
      <c r="B2311" s="65"/>
      <c r="C2311" s="66" t="str">
        <f ca="1">_xlfn.IFNA(INDIRECT(_xlfn.TEXTJOIN("",TRUE,A2307,"!",ADDRESS(13+(A2308-1)*J2307,2))),"")</f>
        <v/>
      </c>
      <c r="D2311" s="66"/>
      <c r="E2311" s="66"/>
      <c r="F2311" s="66"/>
      <c r="G2311" s="66"/>
      <c r="H2311" s="25" t="str">
        <f ca="1">_xlfn.IFNA(INDIRECT(_xlfn.TEXTJOIN("",TRUE,A2307,"!",ADDRESS(13+(A2308-1)*J2307,6))),"")</f>
        <v/>
      </c>
      <c r="I2311" s="25" t="str">
        <f ca="1">_xlfn.IFNA(INDIRECT(_xlfn.TEXTJOIN("",TRUE,A2307,"!",ADDRESS(13+(A2308-1)*J2307,13))),"")</f>
        <v/>
      </c>
      <c r="J2311" s="25" t="str">
        <f ca="1">_xlfn.IFNA(INDIRECT(_xlfn.TEXTJOIN("",TRUE,A2307,"!",ADDRESS(13+(A2308-1)*J2307,14))),"")</f>
        <v/>
      </c>
    </row>
    <row r="2312" spans="1:10" ht="10.5" customHeight="1" x14ac:dyDescent="0.2">
      <c r="A2312" s="65" t="str">
        <f ca="1">_xlfn.IFNA(INDIRECT(_xlfn.TEXTJOIN("",TRUE,A2307,"!",ADDRESS(14+(A2308-1)*J2307,1))),"")</f>
        <v/>
      </c>
      <c r="B2312" s="65"/>
      <c r="C2312" s="66" t="str">
        <f ca="1">_xlfn.IFNA(INDIRECT(_xlfn.TEXTJOIN("",TRUE,A2307,"!",ADDRESS(14+(A2308-1)*J2307,2))),"")</f>
        <v/>
      </c>
      <c r="D2312" s="66"/>
      <c r="E2312" s="66"/>
      <c r="F2312" s="66"/>
      <c r="G2312" s="66"/>
      <c r="H2312" s="25" t="str">
        <f ca="1">_xlfn.IFNA(INDIRECT(_xlfn.TEXTJOIN("",TRUE,A2307,"!",ADDRESS(14+(A2308-1)*J2307,6))),"")</f>
        <v/>
      </c>
      <c r="I2312" s="25" t="str">
        <f ca="1">_xlfn.IFNA(INDIRECT(_xlfn.TEXTJOIN("",TRUE,A2307,"!",ADDRESS(14+(A2308-1)*J2307,13))),"")</f>
        <v/>
      </c>
      <c r="J2312" s="25" t="str">
        <f ca="1">_xlfn.IFNA(INDIRECT(_xlfn.TEXTJOIN("",TRUE,A2307,"!",ADDRESS(14+(A2308-1)*J2307,14))),"")</f>
        <v/>
      </c>
    </row>
    <row r="2313" spans="1:10" ht="10.5" customHeight="1" x14ac:dyDescent="0.2">
      <c r="A2313" s="65" t="str">
        <f ca="1">_xlfn.IFNA(INDIRECT(_xlfn.TEXTJOIN("",TRUE,A2307,"!",ADDRESS(15+(A2308-1)*J2307,1))),"")</f>
        <v/>
      </c>
      <c r="B2313" s="65"/>
      <c r="C2313" s="66" t="str">
        <f ca="1">_xlfn.IFNA(INDIRECT(_xlfn.TEXTJOIN("",TRUE,A2307,"!",ADDRESS(15+(A2308-1)*J2307,2))),"")</f>
        <v/>
      </c>
      <c r="D2313" s="66"/>
      <c r="E2313" s="66"/>
      <c r="F2313" s="66"/>
      <c r="G2313" s="66"/>
      <c r="H2313" s="25" t="str">
        <f ca="1">_xlfn.IFNA(INDIRECT(_xlfn.TEXTJOIN("",TRUE,A2307,"!",ADDRESS(15+(A2308-1)*J2307,6))),"")</f>
        <v/>
      </c>
      <c r="I2313" s="25" t="str">
        <f ca="1">_xlfn.IFNA(INDIRECT(_xlfn.TEXTJOIN("",TRUE,A2307,"!",ADDRESS(15+(A2308-1)*J2307,13))),"")</f>
        <v/>
      </c>
      <c r="J2313" s="25" t="str">
        <f ca="1">_xlfn.IFNA(INDIRECT(_xlfn.TEXTJOIN("",TRUE,A2307,"!",ADDRESS(15+(A2308-1)*J2307,14))),"")</f>
        <v/>
      </c>
    </row>
    <row r="2314" spans="1:10" ht="10.5" customHeight="1" x14ac:dyDescent="0.2">
      <c r="A2314" s="65" t="str">
        <f ca="1">_xlfn.IFNA(INDIRECT(_xlfn.TEXTJOIN("",TRUE,A2307,"!",ADDRESS(16+(A2308-1)*J2307,1))),"")</f>
        <v/>
      </c>
      <c r="B2314" s="65"/>
      <c r="C2314" s="66" t="str">
        <f ca="1">_xlfn.IFNA(INDIRECT(_xlfn.TEXTJOIN("",TRUE,A2307,"!",ADDRESS(16+(A2308-1)*J2307,2))),"")</f>
        <v/>
      </c>
      <c r="D2314" s="66"/>
      <c r="E2314" s="66"/>
      <c r="F2314" s="66"/>
      <c r="G2314" s="66"/>
      <c r="H2314" s="25" t="str">
        <f ca="1">_xlfn.IFNA(INDIRECT(_xlfn.TEXTJOIN("",TRUE,A2307,"!",ADDRESS(16+(A2308-1)*J2307,6))),"")</f>
        <v/>
      </c>
      <c r="I2314" s="25" t="str">
        <f ca="1">_xlfn.IFNA(INDIRECT(_xlfn.TEXTJOIN("",TRUE,A2307,"!",ADDRESS(16+(A2308-1)*J2307,13))),"")</f>
        <v/>
      </c>
      <c r="J2314" s="25" t="str">
        <f ca="1">_xlfn.IFNA(INDIRECT(_xlfn.TEXTJOIN("",TRUE,A2307,"!",ADDRESS(16+(A2308-1)*J2307,14))),"")</f>
        <v/>
      </c>
    </row>
    <row r="2315" spans="1:10" ht="10.5" customHeight="1" x14ac:dyDescent="0.2">
      <c r="A2315" s="65" t="str">
        <f ca="1">_xlfn.IFNA(INDIRECT(_xlfn.TEXTJOIN("",TRUE,A2307,"!",ADDRESS(17+(A2308-1)*J2307,1))),"")</f>
        <v/>
      </c>
      <c r="B2315" s="65"/>
      <c r="C2315" s="66" t="str">
        <f ca="1">_xlfn.IFNA(INDIRECT(_xlfn.TEXTJOIN("",TRUE,A2307,"!",ADDRESS(17+(A2308-1)*J2307,2))),"")</f>
        <v/>
      </c>
      <c r="D2315" s="66"/>
      <c r="E2315" s="66"/>
      <c r="F2315" s="66"/>
      <c r="G2315" s="66"/>
      <c r="H2315" s="25" t="str">
        <f ca="1">_xlfn.IFNA(INDIRECT(_xlfn.TEXTJOIN("",TRUE,A2307,"!",ADDRESS(17+(A2308-1)*J2307,6))),"")</f>
        <v/>
      </c>
      <c r="I2315" s="25" t="str">
        <f ca="1">_xlfn.IFNA(INDIRECT(_xlfn.TEXTJOIN("",TRUE,A2307,"!",ADDRESS(17+(A2308-1)*J2307,13))),"")</f>
        <v/>
      </c>
      <c r="J2315" s="25" t="str">
        <f ca="1">_xlfn.IFNA(INDIRECT(_xlfn.TEXTJOIN("",TRUE,A2307,"!",ADDRESS(17+(A2308-1)*J2307,14))),"")</f>
        <v/>
      </c>
    </row>
    <row r="2316" spans="1:10" ht="10.5" customHeight="1" x14ac:dyDescent="0.2">
      <c r="A2316" s="65" t="str">
        <f ca="1">_xlfn.IFNA(INDIRECT(_xlfn.TEXTJOIN("",TRUE,A2307,"!",ADDRESS(18+(A2308-1)*J2307,1))),"")</f>
        <v/>
      </c>
      <c r="B2316" s="65"/>
      <c r="C2316" s="66" t="str">
        <f ca="1">_xlfn.IFNA(INDIRECT(_xlfn.TEXTJOIN("",TRUE,A2307,"!",ADDRESS(18+(A2308-1)*J2307,2))),"")</f>
        <v/>
      </c>
      <c r="D2316" s="66"/>
      <c r="E2316" s="66"/>
      <c r="F2316" s="66"/>
      <c r="G2316" s="66"/>
      <c r="H2316" s="25" t="str">
        <f ca="1">_xlfn.IFNA(INDIRECT(_xlfn.TEXTJOIN("",TRUE,A2307,"!",ADDRESS(18+(A2308-1)*J2307,6))),"")</f>
        <v/>
      </c>
      <c r="I2316" s="25" t="str">
        <f ca="1">_xlfn.IFNA(INDIRECT(_xlfn.TEXTJOIN("",TRUE,A2307,"!",ADDRESS(18+(A2308-1)*J2307,13))),"")</f>
        <v/>
      </c>
      <c r="J2316" s="25" t="str">
        <f ca="1">_xlfn.IFNA(INDIRECT(_xlfn.TEXTJOIN("",TRUE,A2307,"!",ADDRESS(18+(A2308-1)*J2307,14))),"")</f>
        <v/>
      </c>
    </row>
    <row r="2317" spans="1:10" ht="10.5" customHeight="1" x14ac:dyDescent="0.2">
      <c r="A2317" s="60" t="str">
        <f ca="1">_xlfn.IFNA(INDIRECT(_xlfn.TEXTJOIN("",TRUE,A2307,"!",ADDRESS(19+(A2308-1)*J2307,1))),"")</f>
        <v/>
      </c>
      <c r="B2317" s="61"/>
      <c r="C2317" s="57" t="str">
        <f ca="1">_xlfn.IFNA(INDIRECT(_xlfn.TEXTJOIN("",TRUE,A2307,"!",ADDRESS(19+(A2308-1)*J2307,2))),"")</f>
        <v/>
      </c>
      <c r="D2317" s="58"/>
      <c r="E2317" s="58"/>
      <c r="F2317" s="58"/>
      <c r="G2317" s="59"/>
      <c r="H2317" s="25" t="str">
        <f ca="1">_xlfn.IFNA(INDIRECT(_xlfn.TEXTJOIN("",TRUE,A2307,"!",ADDRESS(19+(A2308-1)*J2307,6))),"")</f>
        <v/>
      </c>
      <c r="I2317" s="25" t="str">
        <f ca="1">_xlfn.IFNA(INDIRECT(_xlfn.TEXTJOIN("",TRUE,A2307,"!",ADDRESS(19+(A2308-1)*J2307,13))),"")</f>
        <v/>
      </c>
      <c r="J2317" s="25" t="str">
        <f ca="1">_xlfn.IFNA(INDIRECT(_xlfn.TEXTJOIN("",TRUE,A2307,"!",ADDRESS(19+(A2308-1)*J2307,14))),"")</f>
        <v/>
      </c>
    </row>
    <row r="2318" spans="1:10" ht="10.5" customHeight="1" x14ac:dyDescent="0.2">
      <c r="A2318" s="65" t="str">
        <f ca="1">_xlfn.IFNA(INDIRECT(_xlfn.TEXTJOIN("",TRUE,A2307,"!",ADDRESS(20+(A2308-1)*J2307,1))),"")</f>
        <v/>
      </c>
      <c r="B2318" s="65"/>
      <c r="C2318" s="66" t="str">
        <f ca="1">_xlfn.IFNA(INDIRECT(_xlfn.TEXTJOIN("",TRUE,A2307,"!",ADDRESS(20+(A2308-1)*J2307,2))),"")</f>
        <v/>
      </c>
      <c r="D2318" s="66"/>
      <c r="E2318" s="66"/>
      <c r="F2318" s="66"/>
      <c r="G2318" s="66"/>
      <c r="H2318" s="25" t="str">
        <f ca="1">_xlfn.IFNA(INDIRECT(_xlfn.TEXTJOIN("",TRUE,A2307,"!",ADDRESS(20+(A2308-1)*J2307,6))),"")</f>
        <v/>
      </c>
      <c r="I2318" s="25" t="str">
        <f ca="1">_xlfn.IFNA(INDIRECT(_xlfn.TEXTJOIN("",TRUE,A2307,"!",ADDRESS(20+(A2308-1)*J2307,13))),"")</f>
        <v/>
      </c>
      <c r="J2318" s="25" t="str">
        <f ca="1">_xlfn.IFNA(INDIRECT(_xlfn.TEXTJOIN("",TRUE,A2307,"!",ADDRESS(20+(A2308-1)*J2307,14))),"")</f>
        <v/>
      </c>
    </row>
    <row r="2319" spans="1:10" ht="10.5" customHeight="1" x14ac:dyDescent="0.2">
      <c r="A2319" s="65" t="str">
        <f ca="1">_xlfn.IFNA(INDIRECT(_xlfn.TEXTJOIN("",TRUE,A2307,"!",ADDRESS(21+(A2308-1)*J2307,1))),"")</f>
        <v/>
      </c>
      <c r="B2319" s="65"/>
      <c r="C2319" s="66" t="str">
        <f ca="1">_xlfn.IFNA(INDIRECT(_xlfn.TEXTJOIN("",TRUE,A2307,"!",ADDRESS(21+(A2308-1)*J2307,2))),"")</f>
        <v/>
      </c>
      <c r="D2319" s="66"/>
      <c r="E2319" s="66"/>
      <c r="F2319" s="66"/>
      <c r="G2319" s="66"/>
      <c r="H2319" s="25" t="str">
        <f ca="1">_xlfn.IFNA(INDIRECT(_xlfn.TEXTJOIN("",TRUE,A2307,"!",ADDRESS(21+(A2308-1)*J2307,6))),"")</f>
        <v/>
      </c>
      <c r="I2319" s="25" t="str">
        <f ca="1">_xlfn.IFNA(INDIRECT(_xlfn.TEXTJOIN("",TRUE,A2307,"!",ADDRESS(21+(A2308-1)*J2307,13))),"")</f>
        <v/>
      </c>
      <c r="J2319" s="25" t="str">
        <f ca="1">_xlfn.IFNA(INDIRECT(_xlfn.TEXTJOIN("",TRUE,A2307,"!",ADDRESS(21+(A2308-1)*J2307,14))),"")</f>
        <v/>
      </c>
    </row>
    <row r="2320" spans="1:10" ht="10.5" customHeight="1" x14ac:dyDescent="0.2">
      <c r="A2320" s="65" t="str">
        <f ca="1">_xlfn.IFNA(INDIRECT(_xlfn.TEXTJOIN("",TRUE,A2307,"!",ADDRESS(22+(A2308-1)*J2307,1))),"")</f>
        <v/>
      </c>
      <c r="B2320" s="65"/>
      <c r="C2320" s="66" t="str">
        <f ca="1">_xlfn.IFNA(INDIRECT(_xlfn.TEXTJOIN("",TRUE,A2307,"!",ADDRESS(22+(A2308-1)*J2307,2))),"")</f>
        <v/>
      </c>
      <c r="D2320" s="66"/>
      <c r="E2320" s="66"/>
      <c r="F2320" s="66"/>
      <c r="G2320" s="66"/>
      <c r="H2320" s="25" t="str">
        <f ca="1">_xlfn.IFNA(INDIRECT(_xlfn.TEXTJOIN("",TRUE,A2307,"!",ADDRESS(22+(A2308-1)*J2307,6))),"")</f>
        <v/>
      </c>
      <c r="I2320" s="25" t="str">
        <f ca="1">_xlfn.IFNA(INDIRECT(_xlfn.TEXTJOIN("",TRUE,A2307,"!",ADDRESS(22+(A2308-1)*J2307,13))),"")</f>
        <v/>
      </c>
      <c r="J2320" s="25" t="str">
        <f ca="1">_xlfn.IFNA(INDIRECT(_xlfn.TEXTJOIN("",TRUE,A2307,"!",ADDRESS(22+(A2308-1)*J2307,14))),"")</f>
        <v/>
      </c>
    </row>
    <row r="2321" spans="1:10" ht="10.5" customHeight="1" x14ac:dyDescent="0.2">
      <c r="A2321" s="71" t="str">
        <f ca="1">IF(ISNA(A2308),"","Total Credits/ Total Grade Points")</f>
        <v/>
      </c>
      <c r="B2321" s="71"/>
      <c r="C2321" s="71"/>
      <c r="D2321" s="71"/>
      <c r="E2321" s="71"/>
      <c r="F2321" s="71"/>
      <c r="G2321" s="71"/>
      <c r="H2321" s="27" t="str">
        <f ca="1">IF(ISNA(A2308),"",SUM(H2311:H2320))</f>
        <v/>
      </c>
      <c r="I2321" s="26" t="str">
        <f ca="1">IF(ISNA(A2308),"","-")</f>
        <v/>
      </c>
      <c r="J2321" s="27" t="str">
        <f ca="1">IF(ISNA(A2308),"",SUMPRODUCT(J2311:J2320,H2311:H2320))</f>
        <v/>
      </c>
    </row>
    <row r="2322" spans="1:10" ht="10.5" customHeight="1" x14ac:dyDescent="0.2">
      <c r="A2322" s="24" t="s">
        <v>60</v>
      </c>
      <c r="B2322" s="72" t="str">
        <f ca="1">IF(ISNA(A2323),"","Semester III (Autumn Semester 2023-24)")</f>
        <v/>
      </c>
      <c r="C2322" s="72"/>
      <c r="D2322" s="72"/>
      <c r="E2322" s="72"/>
      <c r="F2322" s="72"/>
      <c r="G2322" s="72"/>
      <c r="H2322" s="72"/>
      <c r="I2322" s="72"/>
      <c r="J2322" s="24">
        <f>ROWS(A2326:B2333)+9</f>
        <v>17</v>
      </c>
    </row>
    <row r="2323" spans="1:10" ht="10.5" customHeight="1" x14ac:dyDescent="0.2">
      <c r="A2323" s="24" t="e">
        <f ca="1">INDEX(SEM_III!$A$6:$A$43,Marksheets!J2323)</f>
        <v>#N/A</v>
      </c>
      <c r="B2323" s="63"/>
      <c r="C2323" s="63"/>
      <c r="D2323" s="63"/>
      <c r="E2323" s="63"/>
      <c r="F2323" s="63"/>
      <c r="G2323" s="63"/>
      <c r="H2323" s="63"/>
      <c r="I2323" s="63"/>
      <c r="J2323" s="24" t="e">
        <f ca="1">MATCH(H2286,SEM_III!$B$6:$B$43,0)</f>
        <v>#N/A</v>
      </c>
    </row>
    <row r="2324" spans="1:10" ht="10.5" customHeight="1" x14ac:dyDescent="0.2">
      <c r="A2324" s="64" t="str">
        <f ca="1">IF(ISNA(A2323),"","Subject Code")</f>
        <v/>
      </c>
      <c r="B2324" s="64"/>
      <c r="C2324" s="64" t="str">
        <f ca="1">IF(ISNA(A2323),"","Subject Name")</f>
        <v/>
      </c>
      <c r="D2324" s="64"/>
      <c r="E2324" s="64"/>
      <c r="F2324" s="64"/>
      <c r="G2324" s="64"/>
      <c r="H2324" s="64" t="str">
        <f ca="1">IF(ISNA(A2323),"","Credits")</f>
        <v/>
      </c>
      <c r="I2324" s="64" t="str">
        <f ca="1">IF(ISNA(A2323),"","Grade")</f>
        <v/>
      </c>
      <c r="J2324" s="64" t="str">
        <f ca="1">IF(ISNA(A2323),"","Grade Points")</f>
        <v/>
      </c>
    </row>
    <row r="2325" spans="1:10" ht="12" customHeight="1" x14ac:dyDescent="0.2">
      <c r="A2325" s="64"/>
      <c r="B2325" s="64"/>
      <c r="C2325" s="64"/>
      <c r="D2325" s="64"/>
      <c r="E2325" s="64"/>
      <c r="F2325" s="64"/>
      <c r="G2325" s="64"/>
      <c r="H2325" s="64"/>
      <c r="I2325" s="64"/>
      <c r="J2325" s="64"/>
    </row>
    <row r="2326" spans="1:10" ht="10.5" customHeight="1" x14ac:dyDescent="0.2">
      <c r="A2326" s="65" t="str">
        <f ca="1">_xlfn.IFNA(INDIRECT(_xlfn.TEXTJOIN("",TRUE,A2322,"!",ADDRESS(13+(A2323-1)*J2322,1))),"")</f>
        <v/>
      </c>
      <c r="B2326" s="65"/>
      <c r="C2326" s="66" t="str">
        <f ca="1">_xlfn.IFNA(INDIRECT(_xlfn.TEXTJOIN("",TRUE,A2322,"!",ADDRESS(13+(A2323-1)*J2322,2))),"")</f>
        <v/>
      </c>
      <c r="D2326" s="66"/>
      <c r="E2326" s="66"/>
      <c r="F2326" s="66"/>
      <c r="G2326" s="66"/>
      <c r="H2326" s="25" t="str">
        <f ca="1">_xlfn.IFNA(INDIRECT(_xlfn.TEXTJOIN("",TRUE,A2322,"!",ADDRESS(13+(A2323-1)*J2322,6))),"")</f>
        <v/>
      </c>
      <c r="I2326" s="25" t="str">
        <f ca="1">_xlfn.IFNA(INDIRECT(_xlfn.TEXTJOIN("",TRUE,A2322,"!",ADDRESS(13+(A2323-1)*J2322,13))),"")</f>
        <v/>
      </c>
      <c r="J2326" s="25" t="str">
        <f ca="1">_xlfn.IFNA(INDIRECT(_xlfn.TEXTJOIN("",TRUE,A2322,"!",ADDRESS(13+(A2323-1)*J2322,14))),"")</f>
        <v/>
      </c>
    </row>
    <row r="2327" spans="1:10" ht="10.5" customHeight="1" x14ac:dyDescent="0.2">
      <c r="A2327" s="65" t="str">
        <f ca="1">_xlfn.IFNA(INDIRECT(_xlfn.TEXTJOIN("",TRUE,A2322,"!",ADDRESS(14+(A2323-1)*J2322,1))),"")</f>
        <v/>
      </c>
      <c r="B2327" s="65"/>
      <c r="C2327" s="66" t="str">
        <f ca="1">_xlfn.IFNA(INDIRECT(_xlfn.TEXTJOIN("",TRUE,A2322,"!",ADDRESS(14+(A2323-1)*J2322,2))),"")</f>
        <v/>
      </c>
      <c r="D2327" s="66"/>
      <c r="E2327" s="66"/>
      <c r="F2327" s="66"/>
      <c r="G2327" s="66"/>
      <c r="H2327" s="25" t="str">
        <f ca="1">_xlfn.IFNA(INDIRECT(_xlfn.TEXTJOIN("",TRUE,A2322,"!",ADDRESS(14+(A2323-1)*J2322,6))),"")</f>
        <v/>
      </c>
      <c r="I2327" s="25" t="str">
        <f ca="1">_xlfn.IFNA(INDIRECT(_xlfn.TEXTJOIN("",TRUE,A2322,"!",ADDRESS(14+(A2323-1)*J2322,13))),"")</f>
        <v/>
      </c>
      <c r="J2327" s="25" t="str">
        <f ca="1">_xlfn.IFNA(INDIRECT(_xlfn.TEXTJOIN("",TRUE,A2322,"!",ADDRESS(14+(A2323-1)*J2322,14))),"")</f>
        <v/>
      </c>
    </row>
    <row r="2328" spans="1:10" ht="10.5" customHeight="1" x14ac:dyDescent="0.2">
      <c r="A2328" s="65" t="str">
        <f ca="1">_xlfn.IFNA(INDIRECT(_xlfn.TEXTJOIN("",TRUE,A2322,"!",ADDRESS(15+(A2323-1)*J2322,1))),"")</f>
        <v/>
      </c>
      <c r="B2328" s="65"/>
      <c r="C2328" s="66" t="str">
        <f ca="1">_xlfn.IFNA(INDIRECT(_xlfn.TEXTJOIN("",TRUE,A2322,"!",ADDRESS(15+(A2323-1)*J2322,2))),"")</f>
        <v/>
      </c>
      <c r="D2328" s="66"/>
      <c r="E2328" s="66"/>
      <c r="F2328" s="66"/>
      <c r="G2328" s="66"/>
      <c r="H2328" s="25" t="str">
        <f ca="1">_xlfn.IFNA(INDIRECT(_xlfn.TEXTJOIN("",TRUE,A2322,"!",ADDRESS(15+(A2323-1)*J2322,6))),"")</f>
        <v/>
      </c>
      <c r="I2328" s="25" t="str">
        <f ca="1">_xlfn.IFNA(INDIRECT(_xlfn.TEXTJOIN("",TRUE,A2322,"!",ADDRESS(15+(A2323-1)*J2322,13))),"")</f>
        <v/>
      </c>
      <c r="J2328" s="25" t="str">
        <f ca="1">_xlfn.IFNA(INDIRECT(_xlfn.TEXTJOIN("",TRUE,A2322,"!",ADDRESS(15+(A2323-1)*J2322,14))),"")</f>
        <v/>
      </c>
    </row>
    <row r="2329" spans="1:10" ht="10.5" customHeight="1" x14ac:dyDescent="0.2">
      <c r="A2329" s="65" t="str">
        <f ca="1">_xlfn.IFNA(INDIRECT(_xlfn.TEXTJOIN("",TRUE,A2322,"!",ADDRESS(16+(A2323-1)*J2322,1))),"")</f>
        <v/>
      </c>
      <c r="B2329" s="65"/>
      <c r="C2329" s="66" t="str">
        <f ca="1">_xlfn.IFNA(INDIRECT(_xlfn.TEXTJOIN("",TRUE,A2322,"!",ADDRESS(16+(A2323-1)*J2322,2))),"")</f>
        <v/>
      </c>
      <c r="D2329" s="66"/>
      <c r="E2329" s="66"/>
      <c r="F2329" s="66"/>
      <c r="G2329" s="66"/>
      <c r="H2329" s="25" t="str">
        <f ca="1">_xlfn.IFNA(INDIRECT(_xlfn.TEXTJOIN("",TRUE,A2322,"!",ADDRESS(16+(A2323-1)*J2322,6))),"")</f>
        <v/>
      </c>
      <c r="I2329" s="25" t="str">
        <f ca="1">_xlfn.IFNA(INDIRECT(_xlfn.TEXTJOIN("",TRUE,A2322,"!",ADDRESS(16+(A2323-1)*J2322,13))),"")</f>
        <v/>
      </c>
      <c r="J2329" s="25" t="str">
        <f ca="1">_xlfn.IFNA(INDIRECT(_xlfn.TEXTJOIN("",TRUE,A2322,"!",ADDRESS(16+(A2323-1)*J2322,14))),"")</f>
        <v/>
      </c>
    </row>
    <row r="2330" spans="1:10" ht="10.5" customHeight="1" x14ac:dyDescent="0.2">
      <c r="A2330" s="65" t="str">
        <f ca="1">_xlfn.IFNA(INDIRECT(_xlfn.TEXTJOIN("",TRUE,A2322,"!",ADDRESS(17+(A2323-1)*J2322,1))),"")</f>
        <v/>
      </c>
      <c r="B2330" s="65"/>
      <c r="C2330" s="66" t="str">
        <f ca="1">_xlfn.IFNA(INDIRECT(_xlfn.TEXTJOIN("",TRUE,A2322,"!",ADDRESS(17+(A2323-1)*J2322,2))),"")</f>
        <v/>
      </c>
      <c r="D2330" s="66"/>
      <c r="E2330" s="66"/>
      <c r="F2330" s="66"/>
      <c r="G2330" s="66"/>
      <c r="H2330" s="25" t="str">
        <f ca="1">_xlfn.IFNA(INDIRECT(_xlfn.TEXTJOIN("",TRUE,A2322,"!",ADDRESS(17+(A2323-1)*J2322,6))),"")</f>
        <v/>
      </c>
      <c r="I2330" s="25" t="str">
        <f ca="1">_xlfn.IFNA(INDIRECT(_xlfn.TEXTJOIN("",TRUE,A2322,"!",ADDRESS(17+(A2323-1)*J2322,13))),"")</f>
        <v/>
      </c>
      <c r="J2330" s="25" t="str">
        <f ca="1">_xlfn.IFNA(INDIRECT(_xlfn.TEXTJOIN("",TRUE,A2322,"!",ADDRESS(17+(A2323-1)*J2322,14))),"")</f>
        <v/>
      </c>
    </row>
    <row r="2331" spans="1:10" ht="10.5" customHeight="1" x14ac:dyDescent="0.2">
      <c r="A2331" s="65" t="str">
        <f ca="1">_xlfn.IFNA(INDIRECT(_xlfn.TEXTJOIN("",TRUE,A2322,"!",ADDRESS(18+(A2323-1)*J2322,1))),"")</f>
        <v/>
      </c>
      <c r="B2331" s="65"/>
      <c r="C2331" s="66" t="str">
        <f ca="1">_xlfn.IFNA(INDIRECT(_xlfn.TEXTJOIN("",TRUE,A2322,"!",ADDRESS(18+(A2323-1)*J2322,2))),"")</f>
        <v/>
      </c>
      <c r="D2331" s="66"/>
      <c r="E2331" s="66"/>
      <c r="F2331" s="66"/>
      <c r="G2331" s="66"/>
      <c r="H2331" s="25" t="str">
        <f ca="1">_xlfn.IFNA(INDIRECT(_xlfn.TEXTJOIN("",TRUE,A2322,"!",ADDRESS(18+(A2323-1)*J2322,6))),"")</f>
        <v/>
      </c>
      <c r="I2331" s="25" t="str">
        <f ca="1">_xlfn.IFNA(INDIRECT(_xlfn.TEXTJOIN("",TRUE,A2322,"!",ADDRESS(18+(A2323-1)*J2322,13))),"")</f>
        <v/>
      </c>
      <c r="J2331" s="25" t="str">
        <f ca="1">_xlfn.IFNA(INDIRECT(_xlfn.TEXTJOIN("",TRUE,A2322,"!",ADDRESS(18+(A2323-1)*J2322,14))),"")</f>
        <v/>
      </c>
    </row>
    <row r="2332" spans="1:10" ht="10.5" customHeight="1" x14ac:dyDescent="0.2">
      <c r="A2332" s="60" t="str">
        <f ca="1">_xlfn.IFNA(INDIRECT(_xlfn.TEXTJOIN("",TRUE,A2322,"!",ADDRESS(19+(A2323-1)*J2322,1))),"")</f>
        <v/>
      </c>
      <c r="B2332" s="61"/>
      <c r="C2332" s="57" t="str">
        <f ca="1">_xlfn.IFNA(INDIRECT(_xlfn.TEXTJOIN("",TRUE,A2322,"!",ADDRESS(19+(A2323-1)*J2322,2))),"")</f>
        <v/>
      </c>
      <c r="D2332" s="58"/>
      <c r="E2332" s="58"/>
      <c r="F2332" s="58"/>
      <c r="G2332" s="59"/>
      <c r="H2332" s="25" t="str">
        <f ca="1">_xlfn.IFNA(INDIRECT(_xlfn.TEXTJOIN("",TRUE,A2322,"!",ADDRESS(19+(A2323-1)*J2322,6))),"")</f>
        <v/>
      </c>
      <c r="I2332" s="25" t="str">
        <f ca="1">_xlfn.IFNA(INDIRECT(_xlfn.TEXTJOIN("",TRUE,A2322,"!",ADDRESS(19+(A2323-1)*J2322,13))),"")</f>
        <v/>
      </c>
      <c r="J2332" s="25" t="str">
        <f ca="1">_xlfn.IFNA(INDIRECT(_xlfn.TEXTJOIN("",TRUE,A2322,"!",ADDRESS(19+(A2323-1)*J2322,14))),"")</f>
        <v/>
      </c>
    </row>
    <row r="2333" spans="1:10" ht="10.5" customHeight="1" x14ac:dyDescent="0.2">
      <c r="A2333" s="65" t="str">
        <f ca="1">_xlfn.IFNA(INDIRECT(_xlfn.TEXTJOIN("",TRUE,A2322,"!",ADDRESS(20+(A2323-1)*J2322,1))),"")</f>
        <v/>
      </c>
      <c r="B2333" s="65"/>
      <c r="C2333" s="66" t="str">
        <f ca="1">_xlfn.IFNA(INDIRECT(_xlfn.TEXTJOIN("",TRUE,A2322,"!",ADDRESS(20+(A2323-1)*J2322,2))),"")</f>
        <v/>
      </c>
      <c r="D2333" s="66"/>
      <c r="E2333" s="66"/>
      <c r="F2333" s="66"/>
      <c r="G2333" s="66"/>
      <c r="H2333" s="25" t="str">
        <f ca="1">_xlfn.IFNA(INDIRECT(_xlfn.TEXTJOIN("",TRUE,A2322,"!",ADDRESS(20+(A2323-1)*J2322,6))),"")</f>
        <v/>
      </c>
      <c r="I2333" s="25" t="str">
        <f ca="1">_xlfn.IFNA(INDIRECT(_xlfn.TEXTJOIN("",TRUE,A2322,"!",ADDRESS(20+(A2323-1)*J2322,13))),"")</f>
        <v/>
      </c>
      <c r="J2333" s="25" t="str">
        <f ca="1">_xlfn.IFNA(INDIRECT(_xlfn.TEXTJOIN("",TRUE,A2322,"!",ADDRESS(20+(A2323-1)*J2322,14))),"")</f>
        <v/>
      </c>
    </row>
    <row r="2334" spans="1:10" ht="10.5" customHeight="1" x14ac:dyDescent="0.2">
      <c r="A2334" s="71" t="str">
        <f ca="1">IF(ISNA(A2323),"","Total Credits/ Total Grade Points")</f>
        <v/>
      </c>
      <c r="B2334" s="71"/>
      <c r="C2334" s="71"/>
      <c r="D2334" s="71"/>
      <c r="E2334" s="71"/>
      <c r="F2334" s="71"/>
      <c r="G2334" s="71"/>
      <c r="H2334" s="27" t="str">
        <f ca="1">IF(ISNA(A2323),"",SUM(H2326:H2333))</f>
        <v/>
      </c>
      <c r="I2334" s="26" t="str">
        <f ca="1">IF(ISNA(A2323),"","-")</f>
        <v/>
      </c>
      <c r="J2334" s="27" t="str">
        <f ca="1">IF(ISNA(A2323),"",SUMPRODUCT(J2326:J2333,H2326:H2333))</f>
        <v/>
      </c>
    </row>
    <row r="2335" spans="1:10" ht="10.5" customHeight="1" x14ac:dyDescent="0.2">
      <c r="A2335" s="24" t="s">
        <v>133</v>
      </c>
      <c r="B2335" s="72" t="str">
        <f ca="1">IF(ISNA(A2336),"","Semester IV (Spring Semester 2023-24)")</f>
        <v/>
      </c>
      <c r="C2335" s="72"/>
      <c r="D2335" s="72"/>
      <c r="E2335" s="72"/>
      <c r="F2335" s="72"/>
      <c r="G2335" s="72"/>
      <c r="H2335" s="72"/>
      <c r="I2335" s="72"/>
      <c r="J2335" s="24">
        <f>ROWS(A2339:B2345)+9</f>
        <v>16</v>
      </c>
    </row>
    <row r="2336" spans="1:10" ht="10.5" customHeight="1" x14ac:dyDescent="0.2">
      <c r="A2336" s="24" t="e">
        <f ca="1">INDEX(SEM_IV!$A$6:$A$43,Marksheets!J2336)</f>
        <v>#N/A</v>
      </c>
      <c r="B2336" s="63"/>
      <c r="C2336" s="63"/>
      <c r="D2336" s="63"/>
      <c r="E2336" s="63"/>
      <c r="F2336" s="63"/>
      <c r="G2336" s="63"/>
      <c r="H2336" s="63"/>
      <c r="I2336" s="63"/>
      <c r="J2336" s="24" t="e">
        <f ca="1">MATCH(H2286,SEM_IV!$B$6:$B$43,0)</f>
        <v>#N/A</v>
      </c>
    </row>
    <row r="2337" spans="1:10" ht="10.5" customHeight="1" x14ac:dyDescent="0.2">
      <c r="A2337" s="64" t="str">
        <f ca="1">IF(ISNA(A2336),"","Subject Code")</f>
        <v/>
      </c>
      <c r="B2337" s="64"/>
      <c r="C2337" s="64" t="str">
        <f ca="1">IF(ISNA(A2336),"","Subject Name")</f>
        <v/>
      </c>
      <c r="D2337" s="64"/>
      <c r="E2337" s="64"/>
      <c r="F2337" s="64"/>
      <c r="G2337" s="64"/>
      <c r="H2337" s="64" t="str">
        <f ca="1">IF(ISNA(A2336),"","Credits")</f>
        <v/>
      </c>
      <c r="I2337" s="64" t="str">
        <f ca="1">IF(ISNA(A2336),"","Grade")</f>
        <v/>
      </c>
      <c r="J2337" s="64" t="str">
        <f ca="1">IF(ISNA(A2336),"","Grade Points")</f>
        <v/>
      </c>
    </row>
    <row r="2338" spans="1:10" ht="14" customHeight="1" x14ac:dyDescent="0.2">
      <c r="A2338" s="64"/>
      <c r="B2338" s="64"/>
      <c r="C2338" s="64"/>
      <c r="D2338" s="64"/>
      <c r="E2338" s="64"/>
      <c r="F2338" s="64"/>
      <c r="G2338" s="64"/>
      <c r="H2338" s="64"/>
      <c r="I2338" s="64"/>
      <c r="J2338" s="64"/>
    </row>
    <row r="2339" spans="1:10" ht="10.5" customHeight="1" x14ac:dyDescent="0.2">
      <c r="A2339" s="65" t="str">
        <f ca="1">_xlfn.IFNA(INDIRECT(_xlfn.TEXTJOIN("",TRUE,A2335,"!",ADDRESS(13+(A2336-1)*J2335,1))),"")</f>
        <v/>
      </c>
      <c r="B2339" s="65"/>
      <c r="C2339" s="66" t="str">
        <f ca="1">_xlfn.IFNA(INDIRECT(_xlfn.TEXTJOIN("",TRUE,A2335,"!",ADDRESS(13+(A2336-1)*J2335,2))),"")</f>
        <v/>
      </c>
      <c r="D2339" s="66"/>
      <c r="E2339" s="66"/>
      <c r="F2339" s="66"/>
      <c r="G2339" s="66"/>
      <c r="H2339" s="25" t="str">
        <f ca="1">_xlfn.IFNA(INDIRECT(_xlfn.TEXTJOIN("",TRUE,A2335,"!",ADDRESS(13+(A2336-1)*J2335,6))),"")</f>
        <v/>
      </c>
      <c r="I2339" s="25" t="str">
        <f ca="1">_xlfn.IFNA(INDIRECT(_xlfn.TEXTJOIN("",TRUE,A2335,"!",ADDRESS(13+(A2336-1)*J2335,13))),"")</f>
        <v/>
      </c>
      <c r="J2339" s="25" t="str">
        <f ca="1">_xlfn.IFNA(INDIRECT(_xlfn.TEXTJOIN("",TRUE,A2335,"!",ADDRESS(13+(A2336-1)*J2335,14))),"")</f>
        <v/>
      </c>
    </row>
    <row r="2340" spans="1:10" ht="10.5" customHeight="1" x14ac:dyDescent="0.2">
      <c r="A2340" s="65" t="str">
        <f ca="1">_xlfn.IFNA(INDIRECT(_xlfn.TEXTJOIN("",TRUE,A2335,"!",ADDRESS(14+(A2336-1)*J2335,1))),"")</f>
        <v/>
      </c>
      <c r="B2340" s="65"/>
      <c r="C2340" s="66" t="str">
        <f ca="1">_xlfn.IFNA(INDIRECT(_xlfn.TEXTJOIN("",TRUE,A2335,"!",ADDRESS(14+(A2336-1)*J2335,2))),"")</f>
        <v/>
      </c>
      <c r="D2340" s="66"/>
      <c r="E2340" s="66"/>
      <c r="F2340" s="66"/>
      <c r="G2340" s="66"/>
      <c r="H2340" s="25" t="str">
        <f ca="1">_xlfn.IFNA(INDIRECT(_xlfn.TEXTJOIN("",TRUE,A2335,"!",ADDRESS(14+(A2336-1)*J2335,6))),"")</f>
        <v/>
      </c>
      <c r="I2340" s="25" t="str">
        <f ca="1">_xlfn.IFNA(INDIRECT(_xlfn.TEXTJOIN("",TRUE,A2335,"!",ADDRESS(14+(A2336-1)*J2335,13))),"")</f>
        <v/>
      </c>
      <c r="J2340" s="25" t="str">
        <f ca="1">_xlfn.IFNA(INDIRECT(_xlfn.TEXTJOIN("",TRUE,A2335,"!",ADDRESS(14+(A2336-1)*J2335,14))),"")</f>
        <v/>
      </c>
    </row>
    <row r="2341" spans="1:10" ht="10.5" customHeight="1" x14ac:dyDescent="0.2">
      <c r="A2341" s="65" t="str">
        <f ca="1">_xlfn.IFNA(INDIRECT(_xlfn.TEXTJOIN("",TRUE,A2335,"!",ADDRESS(15+(A2336-1)*J2335,1))),"")</f>
        <v/>
      </c>
      <c r="B2341" s="65"/>
      <c r="C2341" s="66" t="str">
        <f ca="1">_xlfn.IFNA(INDIRECT(_xlfn.TEXTJOIN("",TRUE,A2335,"!",ADDRESS(15+(A2336-1)*J2335,2))),"")</f>
        <v/>
      </c>
      <c r="D2341" s="66"/>
      <c r="E2341" s="66"/>
      <c r="F2341" s="66"/>
      <c r="G2341" s="66"/>
      <c r="H2341" s="25" t="str">
        <f ca="1">_xlfn.IFNA(INDIRECT(_xlfn.TEXTJOIN("",TRUE,A2335,"!",ADDRESS(15+(A2336-1)*J2335,6))),"")</f>
        <v/>
      </c>
      <c r="I2341" s="25" t="str">
        <f ca="1">_xlfn.IFNA(INDIRECT(_xlfn.TEXTJOIN("",TRUE,A2335,"!",ADDRESS(15+(A2336-1)*J2335,13))),"")</f>
        <v/>
      </c>
      <c r="J2341" s="25" t="str">
        <f ca="1">_xlfn.IFNA(INDIRECT(_xlfn.TEXTJOIN("",TRUE,A2335,"!",ADDRESS(15+(A2336-1)*J2335,14))),"")</f>
        <v/>
      </c>
    </row>
    <row r="2342" spans="1:10" ht="10.5" customHeight="1" x14ac:dyDescent="0.2">
      <c r="A2342" s="65" t="str">
        <f ca="1">_xlfn.IFNA(INDIRECT(_xlfn.TEXTJOIN("",TRUE,A2335,"!",ADDRESS(16+(A2336-1)*J2335,1))),"")</f>
        <v/>
      </c>
      <c r="B2342" s="65"/>
      <c r="C2342" s="66" t="str">
        <f ca="1">_xlfn.IFNA(INDIRECT(_xlfn.TEXTJOIN("",TRUE,A2335,"!",ADDRESS(16+(A2336-1)*J2335,2))),"")</f>
        <v/>
      </c>
      <c r="D2342" s="66"/>
      <c r="E2342" s="66"/>
      <c r="F2342" s="66"/>
      <c r="G2342" s="66"/>
      <c r="H2342" s="25" t="str">
        <f ca="1">_xlfn.IFNA(INDIRECT(_xlfn.TEXTJOIN("",TRUE,A2335,"!",ADDRESS(16+(A2336-1)*J2335,6))),"")</f>
        <v/>
      </c>
      <c r="I2342" s="25" t="str">
        <f ca="1">_xlfn.IFNA(INDIRECT(_xlfn.TEXTJOIN("",TRUE,A2335,"!",ADDRESS(16+(A2336-1)*J2335,13))),"")</f>
        <v/>
      </c>
      <c r="J2342" s="25" t="str">
        <f ca="1">_xlfn.IFNA(INDIRECT(_xlfn.TEXTJOIN("",TRUE,A2335,"!",ADDRESS(16+(A2336-1)*J2335,14))),"")</f>
        <v/>
      </c>
    </row>
    <row r="2343" spans="1:10" ht="10.5" customHeight="1" x14ac:dyDescent="0.2">
      <c r="A2343" s="65" t="str">
        <f ca="1">_xlfn.IFNA(INDIRECT(_xlfn.TEXTJOIN("",TRUE,A2335,"!",ADDRESS(17+(A2336-1)*J2335,1))),"")</f>
        <v/>
      </c>
      <c r="B2343" s="65"/>
      <c r="C2343" s="66" t="str">
        <f ca="1">_xlfn.IFNA(INDIRECT(_xlfn.TEXTJOIN("",TRUE,A2335,"!",ADDRESS(17+(A2336-1)*J2335,2))),"")</f>
        <v/>
      </c>
      <c r="D2343" s="66"/>
      <c r="E2343" s="66"/>
      <c r="F2343" s="66"/>
      <c r="G2343" s="66"/>
      <c r="H2343" s="25" t="str">
        <f ca="1">_xlfn.IFNA(INDIRECT(_xlfn.TEXTJOIN("",TRUE,A2335,"!",ADDRESS(17+(A2336-1)*J2335,6))),"")</f>
        <v/>
      </c>
      <c r="I2343" s="25" t="str">
        <f ca="1">_xlfn.IFNA(INDIRECT(_xlfn.TEXTJOIN("",TRUE,A2335,"!",ADDRESS(17+(A2336-1)*J2335,13))),"")</f>
        <v/>
      </c>
      <c r="J2343" s="25" t="str">
        <f ca="1">_xlfn.IFNA(INDIRECT(_xlfn.TEXTJOIN("",TRUE,A2335,"!",ADDRESS(17+(A2336-1)*J2335,14))),"")</f>
        <v/>
      </c>
    </row>
    <row r="2344" spans="1:10" ht="10.5" customHeight="1" x14ac:dyDescent="0.2">
      <c r="A2344" s="65" t="str">
        <f ca="1">_xlfn.IFNA(INDIRECT(_xlfn.TEXTJOIN("",TRUE,A2335,"!",ADDRESS(18+(A2336-1)*J2335,1))),"")</f>
        <v/>
      </c>
      <c r="B2344" s="65"/>
      <c r="C2344" s="66" t="str">
        <f ca="1">_xlfn.IFNA(INDIRECT(_xlfn.TEXTJOIN("",TRUE,A2335,"!",ADDRESS(18+(A2336-1)*J2335,2))),"")</f>
        <v/>
      </c>
      <c r="D2344" s="66"/>
      <c r="E2344" s="66"/>
      <c r="F2344" s="66"/>
      <c r="G2344" s="66"/>
      <c r="H2344" s="25" t="str">
        <f ca="1">_xlfn.IFNA(INDIRECT(_xlfn.TEXTJOIN("",TRUE,A2335,"!",ADDRESS(18+(A2336-1)*J2335,6))),"")</f>
        <v/>
      </c>
      <c r="I2344" s="25" t="str">
        <f ca="1">_xlfn.IFNA(INDIRECT(_xlfn.TEXTJOIN("",TRUE,A2335,"!",ADDRESS(18+(A2336-1)*J2335,13))),"")</f>
        <v/>
      </c>
      <c r="J2344" s="25" t="str">
        <f ca="1">_xlfn.IFNA(INDIRECT(_xlfn.TEXTJOIN("",TRUE,A2335,"!",ADDRESS(18+(A2336-1)*J2335,14))),"")</f>
        <v/>
      </c>
    </row>
    <row r="2345" spans="1:10" ht="10.5" customHeight="1" x14ac:dyDescent="0.2">
      <c r="A2345" s="60" t="str">
        <f ca="1">_xlfn.IFNA(INDIRECT(_xlfn.TEXTJOIN("",TRUE,A2335,"!",ADDRESS(19+(A2336-1)*J2335,1))),"")</f>
        <v/>
      </c>
      <c r="B2345" s="61"/>
      <c r="C2345" s="57" t="str">
        <f ca="1">_xlfn.IFNA(INDIRECT(_xlfn.TEXTJOIN("",TRUE,A2335,"!",ADDRESS(19+(A2336-1)*J2335,2))),"")</f>
        <v/>
      </c>
      <c r="D2345" s="58"/>
      <c r="E2345" s="58"/>
      <c r="F2345" s="58"/>
      <c r="G2345" s="59"/>
      <c r="H2345" s="25" t="str">
        <f ca="1">_xlfn.IFNA(INDIRECT(_xlfn.TEXTJOIN("",TRUE,A2335,"!",ADDRESS(19+(A2336-1)*J2335,6))),"")</f>
        <v/>
      </c>
      <c r="I2345" s="25" t="str">
        <f ca="1">_xlfn.IFNA(INDIRECT(_xlfn.TEXTJOIN("",TRUE,A2335,"!",ADDRESS(19+(A2336-1)*J2335,13))),"")</f>
        <v/>
      </c>
      <c r="J2345" s="25" t="str">
        <f ca="1">_xlfn.IFNA(INDIRECT(_xlfn.TEXTJOIN("",TRUE,A2335,"!",ADDRESS(19+(A2336-1)*J2335,14))),"")</f>
        <v/>
      </c>
    </row>
    <row r="2346" spans="1:10" ht="10.5" customHeight="1" x14ac:dyDescent="0.2">
      <c r="A2346" s="71" t="str">
        <f ca="1">IF(ISNA(A2336),"","Total Credits/ Total Grade Points")</f>
        <v/>
      </c>
      <c r="B2346" s="71"/>
      <c r="C2346" s="71"/>
      <c r="D2346" s="71"/>
      <c r="E2346" s="71"/>
      <c r="F2346" s="71"/>
      <c r="G2346" s="71"/>
      <c r="H2346" s="27" t="str">
        <f ca="1">IF(ISNA(A2336),"",SUM(H2338:H2345))</f>
        <v/>
      </c>
      <c r="I2346" s="26" t="str">
        <f ca="1">IF(ISNA(A2336),"","-")</f>
        <v/>
      </c>
      <c r="J2346" s="27" t="str">
        <f ca="1">IF(ISNA(A2336),"",SUMPRODUCT(J2338:J2345,H2338:H2345))</f>
        <v/>
      </c>
    </row>
    <row r="2347" spans="1:10" ht="10.5" customHeight="1" x14ac:dyDescent="0.2">
      <c r="A2347" s="75" t="s">
        <v>137</v>
      </c>
      <c r="B2347" s="75"/>
      <c r="C2347" s="75"/>
      <c r="D2347" s="75"/>
      <c r="E2347" s="75"/>
      <c r="F2347" s="76" t="s">
        <v>138</v>
      </c>
      <c r="G2347" s="76"/>
      <c r="H2347" s="76"/>
      <c r="I2347" s="76"/>
      <c r="J2347" s="76"/>
    </row>
    <row r="2348" spans="1:10" ht="10.5" customHeight="1" x14ac:dyDescent="0.2">
      <c r="A2348" s="43" t="s">
        <v>139</v>
      </c>
      <c r="B2348" s="43"/>
      <c r="C2348" s="43"/>
      <c r="D2348" s="43"/>
      <c r="E2348" s="43"/>
      <c r="F2348" s="43"/>
      <c r="G2348" s="43"/>
      <c r="H2348" s="43"/>
      <c r="I2348" s="43"/>
      <c r="J2348" s="43"/>
    </row>
    <row r="2349" spans="1:10" ht="10.5" customHeight="1" x14ac:dyDescent="0.2">
      <c r="A2349" s="10"/>
      <c r="B2349" s="26"/>
      <c r="C2349" s="26" t="s">
        <v>140</v>
      </c>
      <c r="D2349" s="26" t="s">
        <v>141</v>
      </c>
      <c r="E2349" s="26" t="s">
        <v>142</v>
      </c>
      <c r="F2349" s="26" t="s">
        <v>143</v>
      </c>
      <c r="G2349" s="26" t="s">
        <v>144</v>
      </c>
      <c r="H2349" s="79" t="s">
        <v>145</v>
      </c>
      <c r="I2349" s="79"/>
      <c r="J2349" s="30"/>
    </row>
    <row r="2350" spans="1:10" ht="10.5" customHeight="1" x14ac:dyDescent="0.2">
      <c r="A2350" s="10"/>
      <c r="B2350" s="80" t="s">
        <v>146</v>
      </c>
      <c r="C2350" s="73" t="e">
        <f ca="1">J2306/H2306</f>
        <v>#N/A</v>
      </c>
      <c r="D2350" s="73" t="e">
        <f ca="1">J2321/H2321</f>
        <v>#VALUE!</v>
      </c>
      <c r="E2350" s="73" t="str">
        <f ca="1">IFERROR(J2334/H2334,"")</f>
        <v/>
      </c>
      <c r="F2350" s="73" t="str">
        <f ca="1">IFERROR(J2346/H2346,"")</f>
        <v/>
      </c>
      <c r="G2350" s="82" t="e">
        <f ca="1">F2352</f>
        <v>#N/A</v>
      </c>
      <c r="H2350" s="83" t="e">
        <f ca="1">IF(TC_IV!N533&lt;96,_xlfn.TEXTJOIN(" ",TRUE,"CARRY OVER",TC_I!V786,TC_II!V650,TC_III!V565,TC_IV!V532),IF(G2350&gt;=8,"First Division with Distinction",IF(G2350&gt;=6.5,"First Division",IF(G2350&gt;=5,"Second Division",IF(G2350&gt;=4,"Third Division","Fail")))))</f>
        <v>#N/A</v>
      </c>
      <c r="I2350" s="83"/>
      <c r="J2350" s="30"/>
    </row>
    <row r="2351" spans="1:10" ht="10.5" customHeight="1" x14ac:dyDescent="0.2">
      <c r="B2351" s="81"/>
      <c r="C2351" s="74"/>
      <c r="D2351" s="74"/>
      <c r="E2351" s="74"/>
      <c r="F2351" s="74"/>
      <c r="G2351" s="82"/>
      <c r="H2351" s="83"/>
      <c r="I2351" s="83"/>
    </row>
    <row r="2352" spans="1:10" ht="10.5" customHeight="1" x14ac:dyDescent="0.2">
      <c r="B2352" s="80" t="s">
        <v>48</v>
      </c>
      <c r="C2352" s="73" t="e">
        <f ca="1">J2306/H2306</f>
        <v>#N/A</v>
      </c>
      <c r="D2352" s="73" t="e">
        <f ca="1">SUM(J2321,J2306)/SUM(H2321,H2306)</f>
        <v>#N/A</v>
      </c>
      <c r="E2352" s="73" t="e">
        <f ca="1">SUM(J2334,J2321,J2306)/SUM(H2334,H2321,H2306)</f>
        <v>#N/A</v>
      </c>
      <c r="F2352" s="73" t="e">
        <f ca="1">SUM(J2346,J2334,J2321,J2306)/SUM(H2306,H2321,H2334,H2346)</f>
        <v>#N/A</v>
      </c>
      <c r="G2352" s="82"/>
      <c r="H2352" s="83"/>
      <c r="I2352" s="83"/>
    </row>
    <row r="2353" spans="1:10" ht="10.5" customHeight="1" x14ac:dyDescent="0.2">
      <c r="B2353" s="81"/>
      <c r="C2353" s="74"/>
      <c r="D2353" s="74"/>
      <c r="E2353" s="74"/>
      <c r="F2353" s="74"/>
      <c r="G2353" s="82"/>
      <c r="H2353" s="83"/>
      <c r="I2353" s="83"/>
    </row>
    <row r="2355" spans="1:10" ht="10.5" customHeight="1" x14ac:dyDescent="0.2">
      <c r="A2355" s="56" t="s">
        <v>24</v>
      </c>
      <c r="B2355" s="56"/>
      <c r="C2355" s="56" t="str">
        <f ca="1">INDIRECT(_xlfn.TEXTJOIN("",TRUE,A2357,"!",ADDRESS(9+(A2358-1)*J2357,2)))</f>
        <v/>
      </c>
      <c r="D2355" s="56"/>
      <c r="E2355" s="56"/>
      <c r="F2355" s="56" t="s">
        <v>135</v>
      </c>
      <c r="G2355" s="56"/>
      <c r="H2355" s="62" t="str">
        <f ca="1">INDIRECT(_xlfn.TEXTJOIN("",TRUE,A2357,"!",ADDRESS(9+(A2358-1)*J2357,9)))</f>
        <v/>
      </c>
      <c r="I2355" s="56"/>
      <c r="J2355" s="56"/>
    </row>
    <row r="2356" spans="1:10" ht="10.5" customHeight="1" x14ac:dyDescent="0.2">
      <c r="A2356" s="56" t="s">
        <v>25</v>
      </c>
      <c r="B2356" s="56"/>
      <c r="C2356" s="56" t="str">
        <f ca="1">INDIRECT(_xlfn.TEXTJOIN("",TRUE,A2357,"!",ADDRESS(9+(A2358-1)*J2357,5)))</f>
        <v/>
      </c>
      <c r="D2356" s="56"/>
      <c r="E2356" s="56"/>
      <c r="F2356" s="47" t="s">
        <v>136</v>
      </c>
      <c r="G2356" s="47"/>
      <c r="H2356" s="62" t="str">
        <f ca="1">INDIRECT(_xlfn.TEXTJOIN("",TRUE,A2357,"!",ADDRESS(9+(A2358-1)*J2357,13)))</f>
        <v/>
      </c>
      <c r="I2356" s="56"/>
      <c r="J2356" s="56"/>
    </row>
    <row r="2357" spans="1:10" ht="10.5" customHeight="1" x14ac:dyDescent="0.2">
      <c r="A2357" s="24" t="s">
        <v>53</v>
      </c>
      <c r="B2357" s="43" t="s">
        <v>148</v>
      </c>
      <c r="C2357" s="43"/>
      <c r="D2357" s="43"/>
      <c r="E2357" s="43"/>
      <c r="F2357" s="43"/>
      <c r="G2357" s="43"/>
      <c r="H2357" s="43"/>
      <c r="I2357" s="43"/>
      <c r="J2357" s="24">
        <f>ROWS(A2361:B2374)+9</f>
        <v>23</v>
      </c>
    </row>
    <row r="2358" spans="1:10" ht="10.5" customHeight="1" x14ac:dyDescent="0.2">
      <c r="A2358" s="24">
        <f>A2289+1</f>
        <v>35</v>
      </c>
      <c r="B2358" s="63"/>
      <c r="C2358" s="63"/>
      <c r="D2358" s="63"/>
      <c r="E2358" s="63"/>
      <c r="F2358" s="63"/>
      <c r="G2358" s="63"/>
      <c r="H2358" s="63"/>
      <c r="I2358" s="63"/>
      <c r="J2358" s="29"/>
    </row>
    <row r="2359" spans="1:10" ht="10.5" customHeight="1" x14ac:dyDescent="0.2">
      <c r="A2359" s="64" t="s">
        <v>28</v>
      </c>
      <c r="B2359" s="64"/>
      <c r="C2359" s="64" t="s">
        <v>29</v>
      </c>
      <c r="D2359" s="64"/>
      <c r="E2359" s="64"/>
      <c r="F2359" s="64"/>
      <c r="G2359" s="64"/>
      <c r="H2359" s="64" t="s">
        <v>30</v>
      </c>
      <c r="I2359" s="64" t="s">
        <v>9</v>
      </c>
      <c r="J2359" s="64" t="s">
        <v>34</v>
      </c>
    </row>
    <row r="2360" spans="1:10" ht="13.5" customHeight="1" x14ac:dyDescent="0.2">
      <c r="A2360" s="64"/>
      <c r="B2360" s="64"/>
      <c r="C2360" s="64"/>
      <c r="D2360" s="64"/>
      <c r="E2360" s="64"/>
      <c r="F2360" s="64"/>
      <c r="G2360" s="64"/>
      <c r="H2360" s="64"/>
      <c r="I2360" s="64"/>
      <c r="J2360" s="64"/>
    </row>
    <row r="2361" spans="1:10" ht="10.5" customHeight="1" x14ac:dyDescent="0.2">
      <c r="A2361" s="65" t="str">
        <f ca="1">INDIRECT(_xlfn.TEXTJOIN("",TRUE,A2357,"!",ADDRESS(13+(A2358-1)*J2357,1)))</f>
        <v/>
      </c>
      <c r="B2361" s="65"/>
      <c r="C2361" s="66" t="str">
        <f ca="1">INDIRECT(_xlfn.TEXTJOIN("",TRUE,A2357,"!",ADDRESS(13+(A2358-1)*J2357,2)))</f>
        <v/>
      </c>
      <c r="D2361" s="66"/>
      <c r="E2361" s="66"/>
      <c r="F2361" s="66"/>
      <c r="G2361" s="66"/>
      <c r="H2361" s="25" t="str">
        <f ca="1">INDIRECT(_xlfn.TEXTJOIN("",TRUE,A2357,"!",ADDRESS(13+(A2358-1)*J2357,6)))</f>
        <v/>
      </c>
      <c r="I2361" s="25" t="str">
        <f ca="1">INDIRECT(_xlfn.TEXTJOIN("",TRUE,A2357,"!",ADDRESS(13+(A2358-1)*J2357,13)))</f>
        <v/>
      </c>
      <c r="J2361" s="25" t="e">
        <f ca="1">INDIRECT(_xlfn.TEXTJOIN("",TRUE,A2357,"!",ADDRESS(13+(A2358-1)*J2357,14)))</f>
        <v>#N/A</v>
      </c>
    </row>
    <row r="2362" spans="1:10" ht="10.5" customHeight="1" x14ac:dyDescent="0.2">
      <c r="A2362" s="65" t="str">
        <f ca="1">INDIRECT(_xlfn.TEXTJOIN("",TRUE,A2357,"!",ADDRESS(14+(A2358-1)*J2357,1)))</f>
        <v/>
      </c>
      <c r="B2362" s="65"/>
      <c r="C2362" s="66" t="str">
        <f ca="1">INDIRECT(_xlfn.TEXTJOIN("",TRUE,A2357,"!",ADDRESS(14+(A2358-1)*J2357,2)))</f>
        <v/>
      </c>
      <c r="D2362" s="66"/>
      <c r="E2362" s="66"/>
      <c r="F2362" s="66"/>
      <c r="G2362" s="66"/>
      <c r="H2362" s="25" t="str">
        <f ca="1">INDIRECT(_xlfn.TEXTJOIN("",TRUE,A2357,"!",ADDRESS(14+(A2358-1)*J2357,6)))</f>
        <v/>
      </c>
      <c r="I2362" s="25" t="str">
        <f ca="1">INDIRECT(_xlfn.TEXTJOIN("",TRUE,A2357,"!",ADDRESS(14+(A2358-1)*J2357,13)))</f>
        <v/>
      </c>
      <c r="J2362" s="25" t="e">
        <f ca="1">INDIRECT(_xlfn.TEXTJOIN("",TRUE,A2357,"!",ADDRESS(14+(A2358-1)*J2357,14)))</f>
        <v>#N/A</v>
      </c>
    </row>
    <row r="2363" spans="1:10" ht="10.5" customHeight="1" x14ac:dyDescent="0.2">
      <c r="A2363" s="65" t="str">
        <f ca="1">INDIRECT(_xlfn.TEXTJOIN("",TRUE,A2357,"!",ADDRESS(15+(A2358-1)*J2357,1)))</f>
        <v/>
      </c>
      <c r="B2363" s="65"/>
      <c r="C2363" s="66" t="str">
        <f ca="1">INDIRECT(_xlfn.TEXTJOIN("",TRUE,A2357,"!",ADDRESS(15+(A2358-1)*J2357,2)))</f>
        <v/>
      </c>
      <c r="D2363" s="66"/>
      <c r="E2363" s="66"/>
      <c r="F2363" s="66"/>
      <c r="G2363" s="66"/>
      <c r="H2363" s="25" t="str">
        <f ca="1">INDIRECT(_xlfn.TEXTJOIN("",TRUE,A2357,"!",ADDRESS(15+(A2358-1)*J2357,6)))</f>
        <v/>
      </c>
      <c r="I2363" s="25" t="str">
        <f ca="1">INDIRECT(_xlfn.TEXTJOIN("",TRUE,A2357,"!",ADDRESS(15+(A2358-1)*J2357,13)))</f>
        <v/>
      </c>
      <c r="J2363" s="25" t="e">
        <f ca="1">INDIRECT(_xlfn.TEXTJOIN("",TRUE,A2357,"!",ADDRESS(15+(A2358-1)*J2357,14)))</f>
        <v>#N/A</v>
      </c>
    </row>
    <row r="2364" spans="1:10" ht="10.5" customHeight="1" x14ac:dyDescent="0.2">
      <c r="A2364" s="65" t="str">
        <f ca="1">INDIRECT(_xlfn.TEXTJOIN("",TRUE,A2357,"!",ADDRESS(16+(A2358-1)*J2357,1)))</f>
        <v/>
      </c>
      <c r="B2364" s="65"/>
      <c r="C2364" s="66" t="str">
        <f ca="1">INDIRECT(_xlfn.TEXTJOIN("",TRUE,A2357,"!",ADDRESS(16+(A2358-1)*J2357,2)))</f>
        <v/>
      </c>
      <c r="D2364" s="66"/>
      <c r="E2364" s="66"/>
      <c r="F2364" s="66"/>
      <c r="G2364" s="66"/>
      <c r="H2364" s="25" t="str">
        <f ca="1">INDIRECT(_xlfn.TEXTJOIN("",TRUE,A2357,"!",ADDRESS(16+(A2358-1)*J2357,6)))</f>
        <v/>
      </c>
      <c r="I2364" s="25" t="str">
        <f ca="1">INDIRECT(_xlfn.TEXTJOIN("",TRUE,A2357,"!",ADDRESS(16+(A2358-1)*J2357,13)))</f>
        <v/>
      </c>
      <c r="J2364" s="25" t="e">
        <f ca="1">INDIRECT(_xlfn.TEXTJOIN("",TRUE,A2357,"!",ADDRESS(16+(A2358-1)*J2357,14)))</f>
        <v>#N/A</v>
      </c>
    </row>
    <row r="2365" spans="1:10" ht="10.5" customHeight="1" x14ac:dyDescent="0.2">
      <c r="A2365" s="65" t="str">
        <f ca="1">INDIRECT(_xlfn.TEXTJOIN("",TRUE,A2357,"!",ADDRESS(17+(A2358-1)*J2357,1)))</f>
        <v/>
      </c>
      <c r="B2365" s="65"/>
      <c r="C2365" s="66" t="str">
        <f ca="1">INDIRECT(_xlfn.TEXTJOIN("",TRUE,A2357,"!",ADDRESS(17+(A2358-1)*J2357,2)))</f>
        <v/>
      </c>
      <c r="D2365" s="66"/>
      <c r="E2365" s="66"/>
      <c r="F2365" s="66"/>
      <c r="G2365" s="66"/>
      <c r="H2365" s="25" t="str">
        <f ca="1">INDIRECT(_xlfn.TEXTJOIN("",TRUE,A2357,"!",ADDRESS(17+(A2358-1)*J2357,6)))</f>
        <v/>
      </c>
      <c r="I2365" s="25" t="str">
        <f ca="1">INDIRECT(_xlfn.TEXTJOIN("",TRUE,A2357,"!",ADDRESS(17+(A2358-1)*J2357,13)))</f>
        <v/>
      </c>
      <c r="J2365" s="25" t="e">
        <f ca="1">INDIRECT(_xlfn.TEXTJOIN("",TRUE,A2357,"!",ADDRESS(17+(A2358-1)*J2357,14)))</f>
        <v>#N/A</v>
      </c>
    </row>
    <row r="2366" spans="1:10" ht="10.5" customHeight="1" x14ac:dyDescent="0.2">
      <c r="A2366" s="65" t="str">
        <f ca="1">INDIRECT(_xlfn.TEXTJOIN("",TRUE,A2357,"!",ADDRESS(18+(A2358-1)*J2357,1)))</f>
        <v/>
      </c>
      <c r="B2366" s="65"/>
      <c r="C2366" s="66" t="str">
        <f ca="1">INDIRECT(_xlfn.TEXTJOIN("",TRUE,A2357,"!",ADDRESS(18+(A2358-1)*J2357,2)))</f>
        <v/>
      </c>
      <c r="D2366" s="66"/>
      <c r="E2366" s="66"/>
      <c r="F2366" s="66"/>
      <c r="G2366" s="66"/>
      <c r="H2366" s="25" t="str">
        <f ca="1">INDIRECT(_xlfn.TEXTJOIN("",TRUE,A2357,"!",ADDRESS(18+(A2358-1)*J2357,6)))</f>
        <v/>
      </c>
      <c r="I2366" s="25" t="str">
        <f ca="1">INDIRECT(_xlfn.TEXTJOIN("",TRUE,A2357,"!",ADDRESS(18+(A2358-1)*J2357,13)))</f>
        <v/>
      </c>
      <c r="J2366" s="25" t="e">
        <f ca="1">INDIRECT(_xlfn.TEXTJOIN("",TRUE,A2357,"!",ADDRESS(18+(A2358-1)*J2357,14)))</f>
        <v>#N/A</v>
      </c>
    </row>
    <row r="2367" spans="1:10" ht="10.5" customHeight="1" x14ac:dyDescent="0.2">
      <c r="A2367" s="60" t="str">
        <f ca="1">INDIRECT(_xlfn.TEXTJOIN("",TRUE,A2357,"!",ADDRESS(19+(A2358-1)*J2357,1)))</f>
        <v/>
      </c>
      <c r="B2367" s="61"/>
      <c r="C2367" s="57" t="str">
        <f ca="1">INDIRECT(_xlfn.TEXTJOIN("",TRUE,A2357,"!",ADDRESS(19+(A2358-1)*J2357,2)))</f>
        <v/>
      </c>
      <c r="D2367" s="58"/>
      <c r="E2367" s="58"/>
      <c r="F2367" s="58"/>
      <c r="G2367" s="59"/>
      <c r="H2367" s="25" t="str">
        <f ca="1">INDIRECT(_xlfn.TEXTJOIN("",TRUE,A2357,"!",ADDRESS(19+(A2358-1)*J2357,6)))</f>
        <v/>
      </c>
      <c r="I2367" s="25" t="str">
        <f ca="1">INDIRECT(_xlfn.TEXTJOIN("",TRUE,A2357,"!",ADDRESS(19+(A2358-1)*J2357,13)))</f>
        <v/>
      </c>
      <c r="J2367" s="25" t="e">
        <f ca="1">INDIRECT(_xlfn.TEXTJOIN("",TRUE,A2357,"!",ADDRESS(19+(A2358-1)*J2357,14)))</f>
        <v>#N/A</v>
      </c>
    </row>
    <row r="2368" spans="1:10" ht="10.5" customHeight="1" x14ac:dyDescent="0.2">
      <c r="A2368" s="65" t="str">
        <f ca="1">INDIRECT(_xlfn.TEXTJOIN("",TRUE,A2357,"!",ADDRESS(20+(A2358-1)*J2357,1)))</f>
        <v/>
      </c>
      <c r="B2368" s="65"/>
      <c r="C2368" s="66" t="str">
        <f ca="1">INDIRECT(_xlfn.TEXTJOIN("",TRUE,A2357,"!",ADDRESS(20+(A2358-1)*J2357,2)))</f>
        <v/>
      </c>
      <c r="D2368" s="66"/>
      <c r="E2368" s="66"/>
      <c r="F2368" s="66"/>
      <c r="G2368" s="66"/>
      <c r="H2368" s="25" t="str">
        <f ca="1">INDIRECT(_xlfn.TEXTJOIN("",TRUE,A2357,"!",ADDRESS(20+(A2358-1)*J2357,6)))</f>
        <v/>
      </c>
      <c r="I2368" s="25" t="str">
        <f ca="1">INDIRECT(_xlfn.TEXTJOIN("",TRUE,A2357,"!",ADDRESS(20+(A2358-1)*J2357,13)))</f>
        <v/>
      </c>
      <c r="J2368" s="25" t="e">
        <f ca="1">INDIRECT(_xlfn.TEXTJOIN("",TRUE,A2357,"!",ADDRESS(20+(A2358-1)*J2357,14)))</f>
        <v>#N/A</v>
      </c>
    </row>
    <row r="2369" spans="1:10" ht="10.5" customHeight="1" x14ac:dyDescent="0.2">
      <c r="A2369" s="65" t="str">
        <f ca="1">INDIRECT(_xlfn.TEXTJOIN("",TRUE,A2357,"!",ADDRESS(21+(A2358-1)*J2357,1)))</f>
        <v/>
      </c>
      <c r="B2369" s="65"/>
      <c r="C2369" s="66" t="str">
        <f ca="1">INDIRECT(_xlfn.TEXTJOIN("",TRUE,A2357,"!",ADDRESS(21+(A2358-1)*J2357,2)))</f>
        <v/>
      </c>
      <c r="D2369" s="66"/>
      <c r="E2369" s="66"/>
      <c r="F2369" s="66"/>
      <c r="G2369" s="66"/>
      <c r="H2369" s="25" t="str">
        <f ca="1">INDIRECT(_xlfn.TEXTJOIN("",TRUE,A2357,"!",ADDRESS(21+(A2358-1)*J2357,6)))</f>
        <v/>
      </c>
      <c r="I2369" s="25" t="str">
        <f ca="1">INDIRECT(_xlfn.TEXTJOIN("",TRUE,A2357,"!",ADDRESS(21+(A2358-1)*J2357,13)))</f>
        <v/>
      </c>
      <c r="J2369" s="25" t="e">
        <f ca="1">INDIRECT(_xlfn.TEXTJOIN("",TRUE,A2357,"!",ADDRESS(21+(A2358-1)*J2357,14)))</f>
        <v>#N/A</v>
      </c>
    </row>
    <row r="2370" spans="1:10" ht="10.5" customHeight="1" x14ac:dyDescent="0.2">
      <c r="A2370" s="65" t="str">
        <f ca="1">INDIRECT(_xlfn.TEXTJOIN("",TRUE,A2357,"!",ADDRESS(22+(A2358-1)*J2357,1)))</f>
        <v/>
      </c>
      <c r="B2370" s="65"/>
      <c r="C2370" s="66" t="str">
        <f ca="1">INDIRECT(_xlfn.TEXTJOIN("",TRUE,A2357,"!",ADDRESS(22+(A2358-1)*J2357,2)))</f>
        <v/>
      </c>
      <c r="D2370" s="66"/>
      <c r="E2370" s="66"/>
      <c r="F2370" s="66"/>
      <c r="G2370" s="66"/>
      <c r="H2370" s="25" t="str">
        <f ca="1">INDIRECT(_xlfn.TEXTJOIN("",TRUE,A2357,"!",ADDRESS(22+(A2358-1)*J2357,6)))</f>
        <v/>
      </c>
      <c r="I2370" s="25" t="str">
        <f ca="1">INDIRECT(_xlfn.TEXTJOIN("",TRUE,A2357,"!",ADDRESS(22+(A2358-1)*J2357,13)))</f>
        <v/>
      </c>
      <c r="J2370" s="25" t="e">
        <f ca="1">INDIRECT(_xlfn.TEXTJOIN("",TRUE,A2357,"!",ADDRESS(22+(A2358-1)*J2357,14)))</f>
        <v>#N/A</v>
      </c>
    </row>
    <row r="2371" spans="1:10" ht="10.5" customHeight="1" x14ac:dyDescent="0.2">
      <c r="A2371" s="65" t="str">
        <f ca="1">INDIRECT(_xlfn.TEXTJOIN("",TRUE,A2357,"!",ADDRESS(23+(A2358-1)*J2357,1)))</f>
        <v/>
      </c>
      <c r="B2371" s="65"/>
      <c r="C2371" s="66" t="str">
        <f ca="1">INDIRECT(_xlfn.TEXTJOIN("",TRUE,A2357,"!",ADDRESS(23+(A2358-1)*J2357,2)))</f>
        <v/>
      </c>
      <c r="D2371" s="66"/>
      <c r="E2371" s="66"/>
      <c r="F2371" s="66"/>
      <c r="G2371" s="66"/>
      <c r="H2371" s="25" t="str">
        <f ca="1">INDIRECT(_xlfn.TEXTJOIN("",TRUE,A2357,"!",ADDRESS(23+(A2358-1)*J2357,6)))</f>
        <v/>
      </c>
      <c r="I2371" s="25" t="str">
        <f ca="1">INDIRECT(_xlfn.TEXTJOIN("",TRUE,A2357,"!",ADDRESS(23+(A2358-1)*J2357,13)))</f>
        <v/>
      </c>
      <c r="J2371" s="25" t="e">
        <f ca="1">INDIRECT(_xlfn.TEXTJOIN("",TRUE,A2357,"!",ADDRESS(23+(A2358-1)*J2357,14)))</f>
        <v>#N/A</v>
      </c>
    </row>
    <row r="2372" spans="1:10" ht="10.5" customHeight="1" x14ac:dyDescent="0.2">
      <c r="A2372" s="65" t="str">
        <f ca="1">INDIRECT(_xlfn.TEXTJOIN("",TRUE,A2357,"!",ADDRESS(24+(A2358-1)*J2357,1)))</f>
        <v/>
      </c>
      <c r="B2372" s="65"/>
      <c r="C2372" s="66" t="str">
        <f ca="1">INDIRECT(_xlfn.TEXTJOIN("",TRUE,A2357,"!",ADDRESS(24+(A2358-1)*J2357,2)))</f>
        <v/>
      </c>
      <c r="D2372" s="66"/>
      <c r="E2372" s="66"/>
      <c r="F2372" s="66"/>
      <c r="G2372" s="66"/>
      <c r="H2372" s="25" t="str">
        <f ca="1">INDIRECT(_xlfn.TEXTJOIN("",TRUE,A2357,"!",ADDRESS(24+(A2358-1)*J2357,6)))</f>
        <v/>
      </c>
      <c r="I2372" s="25" t="str">
        <f ca="1">INDIRECT(_xlfn.TEXTJOIN("",TRUE,A2357,"!",ADDRESS(24+(A2358-1)*J2357,13)))</f>
        <v/>
      </c>
      <c r="J2372" s="25" t="e">
        <f ca="1">INDIRECT(_xlfn.TEXTJOIN("",TRUE,A2357,"!",ADDRESS(24+(A2358-1)*J2357,14)))</f>
        <v>#N/A</v>
      </c>
    </row>
    <row r="2373" spans="1:10" ht="10.5" customHeight="1" x14ac:dyDescent="0.2">
      <c r="A2373" s="65" t="str">
        <f ca="1">INDIRECT(_xlfn.TEXTJOIN("",TRUE,A2357,"!",ADDRESS(25+(A2358-1)*J2357,1)))</f>
        <v/>
      </c>
      <c r="B2373" s="65"/>
      <c r="C2373" s="66" t="str">
        <f ca="1">INDIRECT(_xlfn.TEXTJOIN("",TRUE,A2357,"!",ADDRESS(25+(A2358-1)*J2357,2)))</f>
        <v/>
      </c>
      <c r="D2373" s="66"/>
      <c r="E2373" s="66"/>
      <c r="F2373" s="66"/>
      <c r="G2373" s="66"/>
      <c r="H2373" s="25" t="str">
        <f ca="1">INDIRECT(_xlfn.TEXTJOIN("",TRUE,A2357,"!",ADDRESS(25+(A2358-1)*J2357,6)))</f>
        <v/>
      </c>
      <c r="I2373" s="25" t="str">
        <f ca="1">INDIRECT(_xlfn.TEXTJOIN("",TRUE,A2357,"!",ADDRESS(25+(A2358-1)*J2357,13)))</f>
        <v/>
      </c>
      <c r="J2373" s="25" t="e">
        <f ca="1">INDIRECT(_xlfn.TEXTJOIN("",TRUE,A2357,"!",ADDRESS(25+(A2358-1)*J2357,14)))</f>
        <v>#N/A</v>
      </c>
    </row>
    <row r="2374" spans="1:10" s="35" customFormat="1" ht="10.5" customHeight="1" x14ac:dyDescent="0.2">
      <c r="A2374" s="77" t="str">
        <f ca="1">INDIRECT(_xlfn.TEXTJOIN("",TRUE,A2357,"!",ADDRESS(26+(A2358-1)*J2357,1)))</f>
        <v/>
      </c>
      <c r="B2374" s="77"/>
      <c r="C2374" s="78" t="str">
        <f ca="1">INDIRECT(_xlfn.TEXTJOIN("",TRUE,A2357,"!",ADDRESS(26+(A2358-1)*J2357,2)))</f>
        <v/>
      </c>
      <c r="D2374" s="78"/>
      <c r="E2374" s="78"/>
      <c r="F2374" s="78"/>
      <c r="G2374" s="78"/>
      <c r="H2374" s="34" t="str">
        <f ca="1">INDIRECT(_xlfn.TEXTJOIN("",TRUE,A2357,"!",ADDRESS(26+(A2358-1)*J2357,6)))</f>
        <v/>
      </c>
      <c r="I2374" s="34" t="b">
        <f ca="1">INDIRECT(_xlfn.TEXTJOIN("",TRUE,A2357,"!",ADDRESS(26+(A2358-1)*J2357,13)))</f>
        <v>0</v>
      </c>
      <c r="J2374" s="34" t="e">
        <f ca="1">INDIRECT(_xlfn.TEXTJOIN("",TRUE,A2357,"!",ADDRESS(26+(A2358-1)*J2357,14)))</f>
        <v>#N/A</v>
      </c>
    </row>
    <row r="2375" spans="1:10" ht="10.5" customHeight="1" x14ac:dyDescent="0.2">
      <c r="A2375" s="71" t="s">
        <v>52</v>
      </c>
      <c r="B2375" s="71"/>
      <c r="C2375" s="71"/>
      <c r="D2375" s="71"/>
      <c r="E2375" s="71"/>
      <c r="F2375" s="71"/>
      <c r="G2375" s="71"/>
      <c r="H2375" s="27">
        <f ca="1">SUM(H2361:H2374)</f>
        <v>0</v>
      </c>
      <c r="I2375" s="26" t="s">
        <v>44</v>
      </c>
      <c r="J2375" s="27" t="e">
        <f ca="1">SUMPRODUCT(J2361:J2373,H2361:H2373)</f>
        <v>#N/A</v>
      </c>
    </row>
    <row r="2376" spans="1:10" ht="10.5" customHeight="1" x14ac:dyDescent="0.2">
      <c r="A2376" s="24" t="s">
        <v>57</v>
      </c>
      <c r="B2376" s="72" t="str">
        <f ca="1">IF(ISNA(A2377),"","Semester II (Spring Semester 2022-23)")</f>
        <v/>
      </c>
      <c r="C2376" s="72"/>
      <c r="D2376" s="72"/>
      <c r="E2376" s="72"/>
      <c r="F2376" s="72"/>
      <c r="G2376" s="72"/>
      <c r="H2376" s="72"/>
      <c r="I2376" s="72"/>
      <c r="J2376" s="24">
        <f>ROWS(A2380:B2389)+9</f>
        <v>19</v>
      </c>
    </row>
    <row r="2377" spans="1:10" ht="10.5" customHeight="1" x14ac:dyDescent="0.2">
      <c r="A2377" s="24" t="e">
        <f ca="1">INDEX(SEM_II!$A$6:$A$45,Marksheets!J2377)</f>
        <v>#N/A</v>
      </c>
      <c r="B2377" s="63"/>
      <c r="C2377" s="63"/>
      <c r="D2377" s="63"/>
      <c r="E2377" s="63"/>
      <c r="F2377" s="63"/>
      <c r="G2377" s="63"/>
      <c r="H2377" s="63"/>
      <c r="I2377" s="63"/>
      <c r="J2377" s="24" t="e">
        <f ca="1">MATCH(H2355,SEM_II!$B$6:$B$45,0)</f>
        <v>#N/A</v>
      </c>
    </row>
    <row r="2378" spans="1:10" ht="10.5" customHeight="1" x14ac:dyDescent="0.2">
      <c r="A2378" s="64" t="str">
        <f ca="1">IF(ISNA(A2377),"","Subject Code")</f>
        <v/>
      </c>
      <c r="B2378" s="64"/>
      <c r="C2378" s="64" t="str">
        <f ca="1">IF(ISNA(A2377),"","Subject Name")</f>
        <v/>
      </c>
      <c r="D2378" s="64"/>
      <c r="E2378" s="64"/>
      <c r="F2378" s="64"/>
      <c r="G2378" s="64"/>
      <c r="H2378" s="64" t="str">
        <f ca="1">IF(ISNA(A2377),"","Credits")</f>
        <v/>
      </c>
      <c r="I2378" s="64" t="str">
        <f ca="1">IF(ISNA(A2377),"","Grade")</f>
        <v/>
      </c>
      <c r="J2378" s="64" t="str">
        <f ca="1">IF(ISNA(A2377),"","Grade Points")</f>
        <v/>
      </c>
    </row>
    <row r="2379" spans="1:10" ht="12" customHeight="1" x14ac:dyDescent="0.2">
      <c r="A2379" s="64"/>
      <c r="B2379" s="64"/>
      <c r="C2379" s="64"/>
      <c r="D2379" s="64"/>
      <c r="E2379" s="64"/>
      <c r="F2379" s="64"/>
      <c r="G2379" s="64"/>
      <c r="H2379" s="64"/>
      <c r="I2379" s="64"/>
      <c r="J2379" s="64"/>
    </row>
    <row r="2380" spans="1:10" ht="10.5" customHeight="1" x14ac:dyDescent="0.2">
      <c r="A2380" s="65" t="str">
        <f ca="1">_xlfn.IFNA(INDIRECT(_xlfn.TEXTJOIN("",TRUE,A2376,"!",ADDRESS(13+(A2377-1)*J2376,1))),"")</f>
        <v/>
      </c>
      <c r="B2380" s="65"/>
      <c r="C2380" s="66" t="str">
        <f ca="1">_xlfn.IFNA(INDIRECT(_xlfn.TEXTJOIN("",TRUE,A2376,"!",ADDRESS(13+(A2377-1)*J2376,2))),"")</f>
        <v/>
      </c>
      <c r="D2380" s="66"/>
      <c r="E2380" s="66"/>
      <c r="F2380" s="66"/>
      <c r="G2380" s="66"/>
      <c r="H2380" s="25" t="str">
        <f ca="1">_xlfn.IFNA(INDIRECT(_xlfn.TEXTJOIN("",TRUE,A2376,"!",ADDRESS(13+(A2377-1)*J2376,6))),"")</f>
        <v/>
      </c>
      <c r="I2380" s="25" t="str">
        <f ca="1">_xlfn.IFNA(INDIRECT(_xlfn.TEXTJOIN("",TRUE,A2376,"!",ADDRESS(13+(A2377-1)*J2376,13))),"")</f>
        <v/>
      </c>
      <c r="J2380" s="25" t="str">
        <f ca="1">_xlfn.IFNA(INDIRECT(_xlfn.TEXTJOIN("",TRUE,A2376,"!",ADDRESS(13+(A2377-1)*J2376,14))),"")</f>
        <v/>
      </c>
    </row>
    <row r="2381" spans="1:10" ht="10.5" customHeight="1" x14ac:dyDescent="0.2">
      <c r="A2381" s="65" t="str">
        <f ca="1">_xlfn.IFNA(INDIRECT(_xlfn.TEXTJOIN("",TRUE,A2376,"!",ADDRESS(14+(A2377-1)*J2376,1))),"")</f>
        <v/>
      </c>
      <c r="B2381" s="65"/>
      <c r="C2381" s="66" t="str">
        <f ca="1">_xlfn.IFNA(INDIRECT(_xlfn.TEXTJOIN("",TRUE,A2376,"!",ADDRESS(14+(A2377-1)*J2376,2))),"")</f>
        <v/>
      </c>
      <c r="D2381" s="66"/>
      <c r="E2381" s="66"/>
      <c r="F2381" s="66"/>
      <c r="G2381" s="66"/>
      <c r="H2381" s="25" t="str">
        <f ca="1">_xlfn.IFNA(INDIRECT(_xlfn.TEXTJOIN("",TRUE,A2376,"!",ADDRESS(14+(A2377-1)*J2376,6))),"")</f>
        <v/>
      </c>
      <c r="I2381" s="25" t="str">
        <f ca="1">_xlfn.IFNA(INDIRECT(_xlfn.TEXTJOIN("",TRUE,A2376,"!",ADDRESS(14+(A2377-1)*J2376,13))),"")</f>
        <v/>
      </c>
      <c r="J2381" s="25" t="str">
        <f ca="1">_xlfn.IFNA(INDIRECT(_xlfn.TEXTJOIN("",TRUE,A2376,"!",ADDRESS(14+(A2377-1)*J2376,14))),"")</f>
        <v/>
      </c>
    </row>
    <row r="2382" spans="1:10" ht="10.5" customHeight="1" x14ac:dyDescent="0.2">
      <c r="A2382" s="65" t="str">
        <f ca="1">_xlfn.IFNA(INDIRECT(_xlfn.TEXTJOIN("",TRUE,A2376,"!",ADDRESS(15+(A2377-1)*J2376,1))),"")</f>
        <v/>
      </c>
      <c r="B2382" s="65"/>
      <c r="C2382" s="66" t="str">
        <f ca="1">_xlfn.IFNA(INDIRECT(_xlfn.TEXTJOIN("",TRUE,A2376,"!",ADDRESS(15+(A2377-1)*J2376,2))),"")</f>
        <v/>
      </c>
      <c r="D2382" s="66"/>
      <c r="E2382" s="66"/>
      <c r="F2382" s="66"/>
      <c r="G2382" s="66"/>
      <c r="H2382" s="25" t="str">
        <f ca="1">_xlfn.IFNA(INDIRECT(_xlfn.TEXTJOIN("",TRUE,A2376,"!",ADDRESS(15+(A2377-1)*J2376,6))),"")</f>
        <v/>
      </c>
      <c r="I2382" s="25" t="str">
        <f ca="1">_xlfn.IFNA(INDIRECT(_xlfn.TEXTJOIN("",TRUE,A2376,"!",ADDRESS(15+(A2377-1)*J2376,13))),"")</f>
        <v/>
      </c>
      <c r="J2382" s="25" t="str">
        <f ca="1">_xlfn.IFNA(INDIRECT(_xlfn.TEXTJOIN("",TRUE,A2376,"!",ADDRESS(15+(A2377-1)*J2376,14))),"")</f>
        <v/>
      </c>
    </row>
    <row r="2383" spans="1:10" ht="10.5" customHeight="1" x14ac:dyDescent="0.2">
      <c r="A2383" s="65" t="str">
        <f ca="1">_xlfn.IFNA(INDIRECT(_xlfn.TEXTJOIN("",TRUE,A2376,"!",ADDRESS(16+(A2377-1)*J2376,1))),"")</f>
        <v/>
      </c>
      <c r="B2383" s="65"/>
      <c r="C2383" s="66" t="str">
        <f ca="1">_xlfn.IFNA(INDIRECT(_xlfn.TEXTJOIN("",TRUE,A2376,"!",ADDRESS(16+(A2377-1)*J2376,2))),"")</f>
        <v/>
      </c>
      <c r="D2383" s="66"/>
      <c r="E2383" s="66"/>
      <c r="F2383" s="66"/>
      <c r="G2383" s="66"/>
      <c r="H2383" s="25" t="str">
        <f ca="1">_xlfn.IFNA(INDIRECT(_xlfn.TEXTJOIN("",TRUE,A2376,"!",ADDRESS(16+(A2377-1)*J2376,6))),"")</f>
        <v/>
      </c>
      <c r="I2383" s="25" t="str">
        <f ca="1">_xlfn.IFNA(INDIRECT(_xlfn.TEXTJOIN("",TRUE,A2376,"!",ADDRESS(16+(A2377-1)*J2376,13))),"")</f>
        <v/>
      </c>
      <c r="J2383" s="25" t="str">
        <f ca="1">_xlfn.IFNA(INDIRECT(_xlfn.TEXTJOIN("",TRUE,A2376,"!",ADDRESS(16+(A2377-1)*J2376,14))),"")</f>
        <v/>
      </c>
    </row>
    <row r="2384" spans="1:10" ht="10.5" customHeight="1" x14ac:dyDescent="0.2">
      <c r="A2384" s="65" t="str">
        <f ca="1">_xlfn.IFNA(INDIRECT(_xlfn.TEXTJOIN("",TRUE,A2376,"!",ADDRESS(17+(A2377-1)*J2376,1))),"")</f>
        <v/>
      </c>
      <c r="B2384" s="65"/>
      <c r="C2384" s="66" t="str">
        <f ca="1">_xlfn.IFNA(INDIRECT(_xlfn.TEXTJOIN("",TRUE,A2376,"!",ADDRESS(17+(A2377-1)*J2376,2))),"")</f>
        <v/>
      </c>
      <c r="D2384" s="66"/>
      <c r="E2384" s="66"/>
      <c r="F2384" s="66"/>
      <c r="G2384" s="66"/>
      <c r="H2384" s="25" t="str">
        <f ca="1">_xlfn.IFNA(INDIRECT(_xlfn.TEXTJOIN("",TRUE,A2376,"!",ADDRESS(17+(A2377-1)*J2376,6))),"")</f>
        <v/>
      </c>
      <c r="I2384" s="25" t="str">
        <f ca="1">_xlfn.IFNA(INDIRECT(_xlfn.TEXTJOIN("",TRUE,A2376,"!",ADDRESS(17+(A2377-1)*J2376,13))),"")</f>
        <v/>
      </c>
      <c r="J2384" s="25" t="str">
        <f ca="1">_xlfn.IFNA(INDIRECT(_xlfn.TEXTJOIN("",TRUE,A2376,"!",ADDRESS(17+(A2377-1)*J2376,14))),"")</f>
        <v/>
      </c>
    </row>
    <row r="2385" spans="1:10" ht="10.5" customHeight="1" x14ac:dyDescent="0.2">
      <c r="A2385" s="65" t="str">
        <f ca="1">_xlfn.IFNA(INDIRECT(_xlfn.TEXTJOIN("",TRUE,A2376,"!",ADDRESS(18+(A2377-1)*J2376,1))),"")</f>
        <v/>
      </c>
      <c r="B2385" s="65"/>
      <c r="C2385" s="66" t="str">
        <f ca="1">_xlfn.IFNA(INDIRECT(_xlfn.TEXTJOIN("",TRUE,A2376,"!",ADDRESS(18+(A2377-1)*J2376,2))),"")</f>
        <v/>
      </c>
      <c r="D2385" s="66"/>
      <c r="E2385" s="66"/>
      <c r="F2385" s="66"/>
      <c r="G2385" s="66"/>
      <c r="H2385" s="25" t="str">
        <f ca="1">_xlfn.IFNA(INDIRECT(_xlfn.TEXTJOIN("",TRUE,A2376,"!",ADDRESS(18+(A2377-1)*J2376,6))),"")</f>
        <v/>
      </c>
      <c r="I2385" s="25" t="str">
        <f ca="1">_xlfn.IFNA(INDIRECT(_xlfn.TEXTJOIN("",TRUE,A2376,"!",ADDRESS(18+(A2377-1)*J2376,13))),"")</f>
        <v/>
      </c>
      <c r="J2385" s="25" t="str">
        <f ca="1">_xlfn.IFNA(INDIRECT(_xlfn.TEXTJOIN("",TRUE,A2376,"!",ADDRESS(18+(A2377-1)*J2376,14))),"")</f>
        <v/>
      </c>
    </row>
    <row r="2386" spans="1:10" ht="10.5" customHeight="1" x14ac:dyDescent="0.2">
      <c r="A2386" s="60" t="str">
        <f ca="1">_xlfn.IFNA(INDIRECT(_xlfn.TEXTJOIN("",TRUE,A2376,"!",ADDRESS(19+(A2377-1)*J2376,1))),"")</f>
        <v/>
      </c>
      <c r="B2386" s="61"/>
      <c r="C2386" s="57" t="str">
        <f ca="1">_xlfn.IFNA(INDIRECT(_xlfn.TEXTJOIN("",TRUE,A2376,"!",ADDRESS(19+(A2377-1)*J2376,2))),"")</f>
        <v/>
      </c>
      <c r="D2386" s="58"/>
      <c r="E2386" s="58"/>
      <c r="F2386" s="58"/>
      <c r="G2386" s="59"/>
      <c r="H2386" s="25" t="str">
        <f ca="1">_xlfn.IFNA(INDIRECT(_xlfn.TEXTJOIN("",TRUE,A2376,"!",ADDRESS(19+(A2377-1)*J2376,6))),"")</f>
        <v/>
      </c>
      <c r="I2386" s="25" t="str">
        <f ca="1">_xlfn.IFNA(INDIRECT(_xlfn.TEXTJOIN("",TRUE,A2376,"!",ADDRESS(19+(A2377-1)*J2376,13))),"")</f>
        <v/>
      </c>
      <c r="J2386" s="25" t="str">
        <f ca="1">_xlfn.IFNA(INDIRECT(_xlfn.TEXTJOIN("",TRUE,A2376,"!",ADDRESS(19+(A2377-1)*J2376,14))),"")</f>
        <v/>
      </c>
    </row>
    <row r="2387" spans="1:10" ht="10.5" customHeight="1" x14ac:dyDescent="0.2">
      <c r="A2387" s="65" t="str">
        <f ca="1">_xlfn.IFNA(INDIRECT(_xlfn.TEXTJOIN("",TRUE,A2376,"!",ADDRESS(20+(A2377-1)*J2376,1))),"")</f>
        <v/>
      </c>
      <c r="B2387" s="65"/>
      <c r="C2387" s="66" t="str">
        <f ca="1">_xlfn.IFNA(INDIRECT(_xlfn.TEXTJOIN("",TRUE,A2376,"!",ADDRESS(20+(A2377-1)*J2376,2))),"")</f>
        <v/>
      </c>
      <c r="D2387" s="66"/>
      <c r="E2387" s="66"/>
      <c r="F2387" s="66"/>
      <c r="G2387" s="66"/>
      <c r="H2387" s="25" t="str">
        <f ca="1">_xlfn.IFNA(INDIRECT(_xlfn.TEXTJOIN("",TRUE,A2376,"!",ADDRESS(20+(A2377-1)*J2376,6))),"")</f>
        <v/>
      </c>
      <c r="I2387" s="25" t="str">
        <f ca="1">_xlfn.IFNA(INDIRECT(_xlfn.TEXTJOIN("",TRUE,A2376,"!",ADDRESS(20+(A2377-1)*J2376,13))),"")</f>
        <v/>
      </c>
      <c r="J2387" s="25" t="str">
        <f ca="1">_xlfn.IFNA(INDIRECT(_xlfn.TEXTJOIN("",TRUE,A2376,"!",ADDRESS(20+(A2377-1)*J2376,14))),"")</f>
        <v/>
      </c>
    </row>
    <row r="2388" spans="1:10" ht="10.5" customHeight="1" x14ac:dyDescent="0.2">
      <c r="A2388" s="65" t="str">
        <f ca="1">_xlfn.IFNA(INDIRECT(_xlfn.TEXTJOIN("",TRUE,A2376,"!",ADDRESS(21+(A2377-1)*J2376,1))),"")</f>
        <v/>
      </c>
      <c r="B2388" s="65"/>
      <c r="C2388" s="66" t="str">
        <f ca="1">_xlfn.IFNA(INDIRECT(_xlfn.TEXTJOIN("",TRUE,A2376,"!",ADDRESS(21+(A2377-1)*J2376,2))),"")</f>
        <v/>
      </c>
      <c r="D2388" s="66"/>
      <c r="E2388" s="66"/>
      <c r="F2388" s="66"/>
      <c r="G2388" s="66"/>
      <c r="H2388" s="25" t="str">
        <f ca="1">_xlfn.IFNA(INDIRECT(_xlfn.TEXTJOIN("",TRUE,A2376,"!",ADDRESS(21+(A2377-1)*J2376,6))),"")</f>
        <v/>
      </c>
      <c r="I2388" s="25" t="str">
        <f ca="1">_xlfn.IFNA(INDIRECT(_xlfn.TEXTJOIN("",TRUE,A2376,"!",ADDRESS(21+(A2377-1)*J2376,13))),"")</f>
        <v/>
      </c>
      <c r="J2388" s="25" t="str">
        <f ca="1">_xlfn.IFNA(INDIRECT(_xlfn.TEXTJOIN("",TRUE,A2376,"!",ADDRESS(21+(A2377-1)*J2376,14))),"")</f>
        <v/>
      </c>
    </row>
    <row r="2389" spans="1:10" ht="10.5" customHeight="1" x14ac:dyDescent="0.2">
      <c r="A2389" s="65" t="str">
        <f ca="1">_xlfn.IFNA(INDIRECT(_xlfn.TEXTJOIN("",TRUE,A2376,"!",ADDRESS(22+(A2377-1)*J2376,1))),"")</f>
        <v/>
      </c>
      <c r="B2389" s="65"/>
      <c r="C2389" s="66" t="str">
        <f ca="1">_xlfn.IFNA(INDIRECT(_xlfn.TEXTJOIN("",TRUE,A2376,"!",ADDRESS(22+(A2377-1)*J2376,2))),"")</f>
        <v/>
      </c>
      <c r="D2389" s="66"/>
      <c r="E2389" s="66"/>
      <c r="F2389" s="66"/>
      <c r="G2389" s="66"/>
      <c r="H2389" s="25" t="str">
        <f ca="1">_xlfn.IFNA(INDIRECT(_xlfn.TEXTJOIN("",TRUE,A2376,"!",ADDRESS(22+(A2377-1)*J2376,6))),"")</f>
        <v/>
      </c>
      <c r="I2389" s="25" t="str">
        <f ca="1">_xlfn.IFNA(INDIRECT(_xlfn.TEXTJOIN("",TRUE,A2376,"!",ADDRESS(22+(A2377-1)*J2376,13))),"")</f>
        <v/>
      </c>
      <c r="J2389" s="25" t="str">
        <f ca="1">_xlfn.IFNA(INDIRECT(_xlfn.TEXTJOIN("",TRUE,A2376,"!",ADDRESS(22+(A2377-1)*J2376,14))),"")</f>
        <v/>
      </c>
    </row>
    <row r="2390" spans="1:10" ht="10.5" customHeight="1" x14ac:dyDescent="0.2">
      <c r="A2390" s="71" t="str">
        <f ca="1">IF(ISNA(A2377),"","Total Credits/ Total Grade Points")</f>
        <v/>
      </c>
      <c r="B2390" s="71"/>
      <c r="C2390" s="71"/>
      <c r="D2390" s="71"/>
      <c r="E2390" s="71"/>
      <c r="F2390" s="71"/>
      <c r="G2390" s="71"/>
      <c r="H2390" s="27" t="str">
        <f ca="1">IF(ISNA(A2377),"",SUM(H2380:H2389))</f>
        <v/>
      </c>
      <c r="I2390" s="26" t="str">
        <f ca="1">IF(ISNA(A2377),"","-")</f>
        <v/>
      </c>
      <c r="J2390" s="27" t="str">
        <f ca="1">IF(ISNA(A2377),"",SUMPRODUCT(J2380:J2389,H2380:H2389))</f>
        <v/>
      </c>
    </row>
    <row r="2391" spans="1:10" ht="10.5" customHeight="1" x14ac:dyDescent="0.2">
      <c r="A2391" s="24" t="s">
        <v>60</v>
      </c>
      <c r="B2391" s="72" t="str">
        <f ca="1">IF(ISNA(A2392),"","Semester III (Autumn Semester 2023-24)")</f>
        <v/>
      </c>
      <c r="C2391" s="72"/>
      <c r="D2391" s="72"/>
      <c r="E2391" s="72"/>
      <c r="F2391" s="72"/>
      <c r="G2391" s="72"/>
      <c r="H2391" s="72"/>
      <c r="I2391" s="72"/>
      <c r="J2391" s="24">
        <f>ROWS(A2395:B2402)+9</f>
        <v>17</v>
      </c>
    </row>
    <row r="2392" spans="1:10" ht="10.5" customHeight="1" x14ac:dyDescent="0.2">
      <c r="A2392" s="24" t="e">
        <f ca="1">INDEX(SEM_III!$A$6:$A$43,Marksheets!J2392)</f>
        <v>#N/A</v>
      </c>
      <c r="B2392" s="63"/>
      <c r="C2392" s="63"/>
      <c r="D2392" s="63"/>
      <c r="E2392" s="63"/>
      <c r="F2392" s="63"/>
      <c r="G2392" s="63"/>
      <c r="H2392" s="63"/>
      <c r="I2392" s="63"/>
      <c r="J2392" s="24" t="e">
        <f ca="1">MATCH(H2355,SEM_III!$B$6:$B$43,0)</f>
        <v>#N/A</v>
      </c>
    </row>
    <row r="2393" spans="1:10" ht="10.5" customHeight="1" x14ac:dyDescent="0.2">
      <c r="A2393" s="64" t="str">
        <f ca="1">IF(ISNA(A2392),"","Subject Code")</f>
        <v/>
      </c>
      <c r="B2393" s="64"/>
      <c r="C2393" s="64" t="str">
        <f ca="1">IF(ISNA(A2392),"","Subject Name")</f>
        <v/>
      </c>
      <c r="D2393" s="64"/>
      <c r="E2393" s="64"/>
      <c r="F2393" s="64"/>
      <c r="G2393" s="64"/>
      <c r="H2393" s="64" t="str">
        <f ca="1">IF(ISNA(A2392),"","Credits")</f>
        <v/>
      </c>
      <c r="I2393" s="64" t="str">
        <f ca="1">IF(ISNA(A2392),"","Grade")</f>
        <v/>
      </c>
      <c r="J2393" s="64" t="str">
        <f ca="1">IF(ISNA(A2392),"","Grade Points")</f>
        <v/>
      </c>
    </row>
    <row r="2394" spans="1:10" ht="12.5" customHeight="1" x14ac:dyDescent="0.2">
      <c r="A2394" s="64"/>
      <c r="B2394" s="64"/>
      <c r="C2394" s="64"/>
      <c r="D2394" s="64"/>
      <c r="E2394" s="64"/>
      <c r="F2394" s="64"/>
      <c r="G2394" s="64"/>
      <c r="H2394" s="64"/>
      <c r="I2394" s="64"/>
      <c r="J2394" s="64"/>
    </row>
    <row r="2395" spans="1:10" ht="10.5" customHeight="1" x14ac:dyDescent="0.2">
      <c r="A2395" s="65" t="str">
        <f ca="1">_xlfn.IFNA(INDIRECT(_xlfn.TEXTJOIN("",TRUE,A2391,"!",ADDRESS(13+(A2392-1)*J2391,1))),"")</f>
        <v/>
      </c>
      <c r="B2395" s="65"/>
      <c r="C2395" s="66" t="str">
        <f ca="1">_xlfn.IFNA(INDIRECT(_xlfn.TEXTJOIN("",TRUE,A2391,"!",ADDRESS(13+(A2392-1)*J2391,2))),"")</f>
        <v/>
      </c>
      <c r="D2395" s="66"/>
      <c r="E2395" s="66"/>
      <c r="F2395" s="66"/>
      <c r="G2395" s="66"/>
      <c r="H2395" s="25" t="str">
        <f ca="1">_xlfn.IFNA(INDIRECT(_xlfn.TEXTJOIN("",TRUE,A2391,"!",ADDRESS(13+(A2392-1)*J2391,6))),"")</f>
        <v/>
      </c>
      <c r="I2395" s="25" t="str">
        <f ca="1">_xlfn.IFNA(INDIRECT(_xlfn.TEXTJOIN("",TRUE,A2391,"!",ADDRESS(13+(A2392-1)*J2391,13))),"")</f>
        <v/>
      </c>
      <c r="J2395" s="25" t="str">
        <f ca="1">_xlfn.IFNA(INDIRECT(_xlfn.TEXTJOIN("",TRUE,A2391,"!",ADDRESS(13+(A2392-1)*J2391,14))),"")</f>
        <v/>
      </c>
    </row>
    <row r="2396" spans="1:10" ht="10.5" customHeight="1" x14ac:dyDescent="0.2">
      <c r="A2396" s="65" t="str">
        <f ca="1">_xlfn.IFNA(INDIRECT(_xlfn.TEXTJOIN("",TRUE,A2391,"!",ADDRESS(14+(A2392-1)*J2391,1))),"")</f>
        <v/>
      </c>
      <c r="B2396" s="65"/>
      <c r="C2396" s="66" t="str">
        <f ca="1">_xlfn.IFNA(INDIRECT(_xlfn.TEXTJOIN("",TRUE,A2391,"!",ADDRESS(14+(A2392-1)*J2391,2))),"")</f>
        <v/>
      </c>
      <c r="D2396" s="66"/>
      <c r="E2396" s="66"/>
      <c r="F2396" s="66"/>
      <c r="G2396" s="66"/>
      <c r="H2396" s="25" t="str">
        <f ca="1">_xlfn.IFNA(INDIRECT(_xlfn.TEXTJOIN("",TRUE,A2391,"!",ADDRESS(14+(A2392-1)*J2391,6))),"")</f>
        <v/>
      </c>
      <c r="I2396" s="25" t="str">
        <f ca="1">_xlfn.IFNA(INDIRECT(_xlfn.TEXTJOIN("",TRUE,A2391,"!",ADDRESS(14+(A2392-1)*J2391,13))),"")</f>
        <v/>
      </c>
      <c r="J2396" s="25" t="str">
        <f ca="1">_xlfn.IFNA(INDIRECT(_xlfn.TEXTJOIN("",TRUE,A2391,"!",ADDRESS(14+(A2392-1)*J2391,14))),"")</f>
        <v/>
      </c>
    </row>
    <row r="2397" spans="1:10" ht="10.5" customHeight="1" x14ac:dyDescent="0.2">
      <c r="A2397" s="65" t="str">
        <f ca="1">_xlfn.IFNA(INDIRECT(_xlfn.TEXTJOIN("",TRUE,A2391,"!",ADDRESS(15+(A2392-1)*J2391,1))),"")</f>
        <v/>
      </c>
      <c r="B2397" s="65"/>
      <c r="C2397" s="66" t="str">
        <f ca="1">_xlfn.IFNA(INDIRECT(_xlfn.TEXTJOIN("",TRUE,A2391,"!",ADDRESS(15+(A2392-1)*J2391,2))),"")</f>
        <v/>
      </c>
      <c r="D2397" s="66"/>
      <c r="E2397" s="66"/>
      <c r="F2397" s="66"/>
      <c r="G2397" s="66"/>
      <c r="H2397" s="25" t="str">
        <f ca="1">_xlfn.IFNA(INDIRECT(_xlfn.TEXTJOIN("",TRUE,A2391,"!",ADDRESS(15+(A2392-1)*J2391,6))),"")</f>
        <v/>
      </c>
      <c r="I2397" s="25" t="str">
        <f ca="1">_xlfn.IFNA(INDIRECT(_xlfn.TEXTJOIN("",TRUE,A2391,"!",ADDRESS(15+(A2392-1)*J2391,13))),"")</f>
        <v/>
      </c>
      <c r="J2397" s="25" t="str">
        <f ca="1">_xlfn.IFNA(INDIRECT(_xlfn.TEXTJOIN("",TRUE,A2391,"!",ADDRESS(15+(A2392-1)*J2391,14))),"")</f>
        <v/>
      </c>
    </row>
    <row r="2398" spans="1:10" ht="10.5" customHeight="1" x14ac:dyDescent="0.2">
      <c r="A2398" s="65" t="str">
        <f ca="1">_xlfn.IFNA(INDIRECT(_xlfn.TEXTJOIN("",TRUE,A2391,"!",ADDRESS(16+(A2392-1)*J2391,1))),"")</f>
        <v/>
      </c>
      <c r="B2398" s="65"/>
      <c r="C2398" s="66" t="str">
        <f ca="1">_xlfn.IFNA(INDIRECT(_xlfn.TEXTJOIN("",TRUE,A2391,"!",ADDRESS(16+(A2392-1)*J2391,2))),"")</f>
        <v/>
      </c>
      <c r="D2398" s="66"/>
      <c r="E2398" s="66"/>
      <c r="F2398" s="66"/>
      <c r="G2398" s="66"/>
      <c r="H2398" s="25" t="str">
        <f ca="1">_xlfn.IFNA(INDIRECT(_xlfn.TEXTJOIN("",TRUE,A2391,"!",ADDRESS(16+(A2392-1)*J2391,6))),"")</f>
        <v/>
      </c>
      <c r="I2398" s="25" t="str">
        <f ca="1">_xlfn.IFNA(INDIRECT(_xlfn.TEXTJOIN("",TRUE,A2391,"!",ADDRESS(16+(A2392-1)*J2391,13))),"")</f>
        <v/>
      </c>
      <c r="J2398" s="25" t="str">
        <f ca="1">_xlfn.IFNA(INDIRECT(_xlfn.TEXTJOIN("",TRUE,A2391,"!",ADDRESS(16+(A2392-1)*J2391,14))),"")</f>
        <v/>
      </c>
    </row>
    <row r="2399" spans="1:10" ht="10.5" customHeight="1" x14ac:dyDescent="0.2">
      <c r="A2399" s="65" t="str">
        <f ca="1">_xlfn.IFNA(INDIRECT(_xlfn.TEXTJOIN("",TRUE,A2391,"!",ADDRESS(17+(A2392-1)*J2391,1))),"")</f>
        <v/>
      </c>
      <c r="B2399" s="65"/>
      <c r="C2399" s="66" t="str">
        <f ca="1">_xlfn.IFNA(INDIRECT(_xlfn.TEXTJOIN("",TRUE,A2391,"!",ADDRESS(17+(A2392-1)*J2391,2))),"")</f>
        <v/>
      </c>
      <c r="D2399" s="66"/>
      <c r="E2399" s="66"/>
      <c r="F2399" s="66"/>
      <c r="G2399" s="66"/>
      <c r="H2399" s="25" t="str">
        <f ca="1">_xlfn.IFNA(INDIRECT(_xlfn.TEXTJOIN("",TRUE,A2391,"!",ADDRESS(17+(A2392-1)*J2391,6))),"")</f>
        <v/>
      </c>
      <c r="I2399" s="25" t="str">
        <f ca="1">_xlfn.IFNA(INDIRECT(_xlfn.TEXTJOIN("",TRUE,A2391,"!",ADDRESS(17+(A2392-1)*J2391,13))),"")</f>
        <v/>
      </c>
      <c r="J2399" s="25" t="str">
        <f ca="1">_xlfn.IFNA(INDIRECT(_xlfn.TEXTJOIN("",TRUE,A2391,"!",ADDRESS(17+(A2392-1)*J2391,14))),"")</f>
        <v/>
      </c>
    </row>
    <row r="2400" spans="1:10" ht="10.5" customHeight="1" x14ac:dyDescent="0.2">
      <c r="A2400" s="65" t="str">
        <f ca="1">_xlfn.IFNA(INDIRECT(_xlfn.TEXTJOIN("",TRUE,A2391,"!",ADDRESS(18+(A2392-1)*J2391,1))),"")</f>
        <v/>
      </c>
      <c r="B2400" s="65"/>
      <c r="C2400" s="66" t="str">
        <f ca="1">_xlfn.IFNA(INDIRECT(_xlfn.TEXTJOIN("",TRUE,A2391,"!",ADDRESS(18+(A2392-1)*J2391,2))),"")</f>
        <v/>
      </c>
      <c r="D2400" s="66"/>
      <c r="E2400" s="66"/>
      <c r="F2400" s="66"/>
      <c r="G2400" s="66"/>
      <c r="H2400" s="25" t="str">
        <f ca="1">_xlfn.IFNA(INDIRECT(_xlfn.TEXTJOIN("",TRUE,A2391,"!",ADDRESS(18+(A2392-1)*J2391,6))),"")</f>
        <v/>
      </c>
      <c r="I2400" s="25" t="str">
        <f ca="1">_xlfn.IFNA(INDIRECT(_xlfn.TEXTJOIN("",TRUE,A2391,"!",ADDRESS(18+(A2392-1)*J2391,13))),"")</f>
        <v/>
      </c>
      <c r="J2400" s="25" t="str">
        <f ca="1">_xlfn.IFNA(INDIRECT(_xlfn.TEXTJOIN("",TRUE,A2391,"!",ADDRESS(18+(A2392-1)*J2391,14))),"")</f>
        <v/>
      </c>
    </row>
    <row r="2401" spans="1:10" ht="10.5" customHeight="1" x14ac:dyDescent="0.2">
      <c r="A2401" s="60" t="str">
        <f ca="1">_xlfn.IFNA(INDIRECT(_xlfn.TEXTJOIN("",TRUE,A2391,"!",ADDRESS(19+(A2392-1)*J2391,1))),"")</f>
        <v/>
      </c>
      <c r="B2401" s="61"/>
      <c r="C2401" s="57" t="str">
        <f ca="1">_xlfn.IFNA(INDIRECT(_xlfn.TEXTJOIN("",TRUE,A2391,"!",ADDRESS(19+(A2392-1)*J2391,2))),"")</f>
        <v/>
      </c>
      <c r="D2401" s="58"/>
      <c r="E2401" s="58"/>
      <c r="F2401" s="58"/>
      <c r="G2401" s="59"/>
      <c r="H2401" s="25" t="str">
        <f ca="1">_xlfn.IFNA(INDIRECT(_xlfn.TEXTJOIN("",TRUE,A2391,"!",ADDRESS(19+(A2392-1)*J2391,6))),"")</f>
        <v/>
      </c>
      <c r="I2401" s="25" t="str">
        <f ca="1">_xlfn.IFNA(INDIRECT(_xlfn.TEXTJOIN("",TRUE,A2391,"!",ADDRESS(19+(A2392-1)*J2391,13))),"")</f>
        <v/>
      </c>
      <c r="J2401" s="25" t="str">
        <f ca="1">_xlfn.IFNA(INDIRECT(_xlfn.TEXTJOIN("",TRUE,A2391,"!",ADDRESS(19+(A2392-1)*J2391,14))),"")</f>
        <v/>
      </c>
    </row>
    <row r="2402" spans="1:10" ht="10.5" customHeight="1" x14ac:dyDescent="0.2">
      <c r="A2402" s="65" t="str">
        <f ca="1">_xlfn.IFNA(INDIRECT(_xlfn.TEXTJOIN("",TRUE,A2391,"!",ADDRESS(20+(A2392-1)*J2391,1))),"")</f>
        <v/>
      </c>
      <c r="B2402" s="65"/>
      <c r="C2402" s="66" t="str">
        <f ca="1">_xlfn.IFNA(INDIRECT(_xlfn.TEXTJOIN("",TRUE,A2391,"!",ADDRESS(20+(A2392-1)*J2391,2))),"")</f>
        <v/>
      </c>
      <c r="D2402" s="66"/>
      <c r="E2402" s="66"/>
      <c r="F2402" s="66"/>
      <c r="G2402" s="66"/>
      <c r="H2402" s="25" t="str">
        <f ca="1">_xlfn.IFNA(INDIRECT(_xlfn.TEXTJOIN("",TRUE,A2391,"!",ADDRESS(20+(A2392-1)*J2391,6))),"")</f>
        <v/>
      </c>
      <c r="I2402" s="25" t="str">
        <f ca="1">_xlfn.IFNA(INDIRECT(_xlfn.TEXTJOIN("",TRUE,A2391,"!",ADDRESS(20+(A2392-1)*J2391,13))),"")</f>
        <v/>
      </c>
      <c r="J2402" s="25" t="str">
        <f ca="1">_xlfn.IFNA(INDIRECT(_xlfn.TEXTJOIN("",TRUE,A2391,"!",ADDRESS(20+(A2392-1)*J2391,14))),"")</f>
        <v/>
      </c>
    </row>
    <row r="2403" spans="1:10" ht="10.5" customHeight="1" x14ac:dyDescent="0.2">
      <c r="A2403" s="71" t="str">
        <f ca="1">IF(ISNA(A2392),"","Total Credits/ Total Grade Points")</f>
        <v/>
      </c>
      <c r="B2403" s="71"/>
      <c r="C2403" s="71"/>
      <c r="D2403" s="71"/>
      <c r="E2403" s="71"/>
      <c r="F2403" s="71"/>
      <c r="G2403" s="71"/>
      <c r="H2403" s="27" t="str">
        <f ca="1">IF(ISNA(A2392),"",SUM(H2395:H2402))</f>
        <v/>
      </c>
      <c r="I2403" s="26" t="str">
        <f ca="1">IF(ISNA(A2392),"","-")</f>
        <v/>
      </c>
      <c r="J2403" s="27" t="str">
        <f ca="1">IF(ISNA(A2392),"",SUMPRODUCT(J2395:J2402,H2395:H2402))</f>
        <v/>
      </c>
    </row>
    <row r="2404" spans="1:10" ht="10.5" customHeight="1" x14ac:dyDescent="0.2">
      <c r="A2404" s="24" t="s">
        <v>133</v>
      </c>
      <c r="B2404" s="72" t="str">
        <f ca="1">IF(ISNA(A2405),"","Semester IV (Spring Semester 2023-24)")</f>
        <v/>
      </c>
      <c r="C2404" s="72"/>
      <c r="D2404" s="72"/>
      <c r="E2404" s="72"/>
      <c r="F2404" s="72"/>
      <c r="G2404" s="72"/>
      <c r="H2404" s="72"/>
      <c r="I2404" s="72"/>
      <c r="J2404" s="24">
        <f>ROWS(A2408:B2414)+9</f>
        <v>16</v>
      </c>
    </row>
    <row r="2405" spans="1:10" ht="10.5" customHeight="1" x14ac:dyDescent="0.2">
      <c r="A2405" s="24" t="e">
        <f ca="1">INDEX(SEM_IV!$A$6:$A$43,Marksheets!J2405)</f>
        <v>#N/A</v>
      </c>
      <c r="B2405" s="63"/>
      <c r="C2405" s="63"/>
      <c r="D2405" s="63"/>
      <c r="E2405" s="63"/>
      <c r="F2405" s="63"/>
      <c r="G2405" s="63"/>
      <c r="H2405" s="63"/>
      <c r="I2405" s="63"/>
      <c r="J2405" s="24" t="e">
        <f ca="1">MATCH(H2355,SEM_IV!$B$6:$B$43,0)</f>
        <v>#N/A</v>
      </c>
    </row>
    <row r="2406" spans="1:10" ht="10.5" customHeight="1" x14ac:dyDescent="0.2">
      <c r="A2406" s="64" t="str">
        <f ca="1">IF(ISNA(A2405),"","Subject Code")</f>
        <v/>
      </c>
      <c r="B2406" s="64"/>
      <c r="C2406" s="64" t="str">
        <f ca="1">IF(ISNA(A2405),"","Subject Name")</f>
        <v/>
      </c>
      <c r="D2406" s="64"/>
      <c r="E2406" s="64"/>
      <c r="F2406" s="64"/>
      <c r="G2406" s="64"/>
      <c r="H2406" s="64" t="str">
        <f ca="1">IF(ISNA(A2405),"","Credits")</f>
        <v/>
      </c>
      <c r="I2406" s="64" t="str">
        <f ca="1">IF(ISNA(A2405),"","Grade")</f>
        <v/>
      </c>
      <c r="J2406" s="64" t="str">
        <f ca="1">IF(ISNA(A2405),"","Grade Points")</f>
        <v/>
      </c>
    </row>
    <row r="2407" spans="1:10" ht="14" customHeight="1" x14ac:dyDescent="0.2">
      <c r="A2407" s="64"/>
      <c r="B2407" s="64"/>
      <c r="C2407" s="64"/>
      <c r="D2407" s="64"/>
      <c r="E2407" s="64"/>
      <c r="F2407" s="64"/>
      <c r="G2407" s="64"/>
      <c r="H2407" s="64"/>
      <c r="I2407" s="64"/>
      <c r="J2407" s="64"/>
    </row>
    <row r="2408" spans="1:10" ht="10.5" customHeight="1" x14ac:dyDescent="0.2">
      <c r="A2408" s="65" t="str">
        <f ca="1">_xlfn.IFNA(INDIRECT(_xlfn.TEXTJOIN("",TRUE,A2404,"!",ADDRESS(13+(A2405-1)*J2404,1))),"")</f>
        <v/>
      </c>
      <c r="B2408" s="65"/>
      <c r="C2408" s="66" t="str">
        <f ca="1">_xlfn.IFNA(INDIRECT(_xlfn.TEXTJOIN("",TRUE,A2404,"!",ADDRESS(13+(A2405-1)*J2404,2))),"")</f>
        <v/>
      </c>
      <c r="D2408" s="66"/>
      <c r="E2408" s="66"/>
      <c r="F2408" s="66"/>
      <c r="G2408" s="66"/>
      <c r="H2408" s="25" t="str">
        <f ca="1">_xlfn.IFNA(INDIRECT(_xlfn.TEXTJOIN("",TRUE,A2404,"!",ADDRESS(13+(A2405-1)*J2404,6))),"")</f>
        <v/>
      </c>
      <c r="I2408" s="25" t="str">
        <f ca="1">_xlfn.IFNA(INDIRECT(_xlfn.TEXTJOIN("",TRUE,A2404,"!",ADDRESS(13+(A2405-1)*J2404,13))),"")</f>
        <v/>
      </c>
      <c r="J2408" s="25" t="str">
        <f ca="1">_xlfn.IFNA(INDIRECT(_xlfn.TEXTJOIN("",TRUE,A2404,"!",ADDRESS(13+(A2405-1)*J2404,14))),"")</f>
        <v/>
      </c>
    </row>
    <row r="2409" spans="1:10" ht="10.5" customHeight="1" x14ac:dyDescent="0.2">
      <c r="A2409" s="65" t="str">
        <f ca="1">_xlfn.IFNA(INDIRECT(_xlfn.TEXTJOIN("",TRUE,A2404,"!",ADDRESS(14+(A2405-1)*J2404,1))),"")</f>
        <v/>
      </c>
      <c r="B2409" s="65"/>
      <c r="C2409" s="66" t="str">
        <f ca="1">_xlfn.IFNA(INDIRECT(_xlfn.TEXTJOIN("",TRUE,A2404,"!",ADDRESS(14+(A2405-1)*J2404,2))),"")</f>
        <v/>
      </c>
      <c r="D2409" s="66"/>
      <c r="E2409" s="66"/>
      <c r="F2409" s="66"/>
      <c r="G2409" s="66"/>
      <c r="H2409" s="25" t="str">
        <f ca="1">_xlfn.IFNA(INDIRECT(_xlfn.TEXTJOIN("",TRUE,A2404,"!",ADDRESS(14+(A2405-1)*J2404,6))),"")</f>
        <v/>
      </c>
      <c r="I2409" s="25" t="str">
        <f ca="1">_xlfn.IFNA(INDIRECT(_xlfn.TEXTJOIN("",TRUE,A2404,"!",ADDRESS(14+(A2405-1)*J2404,13))),"")</f>
        <v/>
      </c>
      <c r="J2409" s="25" t="str">
        <f ca="1">_xlfn.IFNA(INDIRECT(_xlfn.TEXTJOIN("",TRUE,A2404,"!",ADDRESS(14+(A2405-1)*J2404,14))),"")</f>
        <v/>
      </c>
    </row>
    <row r="2410" spans="1:10" ht="10.5" customHeight="1" x14ac:dyDescent="0.2">
      <c r="A2410" s="65" t="str">
        <f ca="1">_xlfn.IFNA(INDIRECT(_xlfn.TEXTJOIN("",TRUE,A2404,"!",ADDRESS(15+(A2405-1)*J2404,1))),"")</f>
        <v/>
      </c>
      <c r="B2410" s="65"/>
      <c r="C2410" s="66" t="str">
        <f ca="1">_xlfn.IFNA(INDIRECT(_xlfn.TEXTJOIN("",TRUE,A2404,"!",ADDRESS(15+(A2405-1)*J2404,2))),"")</f>
        <v/>
      </c>
      <c r="D2410" s="66"/>
      <c r="E2410" s="66"/>
      <c r="F2410" s="66"/>
      <c r="G2410" s="66"/>
      <c r="H2410" s="25" t="str">
        <f ca="1">_xlfn.IFNA(INDIRECT(_xlfn.TEXTJOIN("",TRUE,A2404,"!",ADDRESS(15+(A2405-1)*J2404,6))),"")</f>
        <v/>
      </c>
      <c r="I2410" s="25" t="str">
        <f ca="1">_xlfn.IFNA(INDIRECT(_xlfn.TEXTJOIN("",TRUE,A2404,"!",ADDRESS(15+(A2405-1)*J2404,13))),"")</f>
        <v/>
      </c>
      <c r="J2410" s="25" t="str">
        <f ca="1">_xlfn.IFNA(INDIRECT(_xlfn.TEXTJOIN("",TRUE,A2404,"!",ADDRESS(15+(A2405-1)*J2404,14))),"")</f>
        <v/>
      </c>
    </row>
    <row r="2411" spans="1:10" ht="10.5" customHeight="1" x14ac:dyDescent="0.2">
      <c r="A2411" s="65" t="str">
        <f ca="1">_xlfn.IFNA(INDIRECT(_xlfn.TEXTJOIN("",TRUE,A2404,"!",ADDRESS(16+(A2405-1)*J2404,1))),"")</f>
        <v/>
      </c>
      <c r="B2411" s="65"/>
      <c r="C2411" s="66" t="str">
        <f ca="1">_xlfn.IFNA(INDIRECT(_xlfn.TEXTJOIN("",TRUE,A2404,"!",ADDRESS(16+(A2405-1)*J2404,2))),"")</f>
        <v/>
      </c>
      <c r="D2411" s="66"/>
      <c r="E2411" s="66"/>
      <c r="F2411" s="66"/>
      <c r="G2411" s="66"/>
      <c r="H2411" s="25" t="str">
        <f ca="1">_xlfn.IFNA(INDIRECT(_xlfn.TEXTJOIN("",TRUE,A2404,"!",ADDRESS(16+(A2405-1)*J2404,6))),"")</f>
        <v/>
      </c>
      <c r="I2411" s="25" t="str">
        <f ca="1">_xlfn.IFNA(INDIRECT(_xlfn.TEXTJOIN("",TRUE,A2404,"!",ADDRESS(16+(A2405-1)*J2404,13))),"")</f>
        <v/>
      </c>
      <c r="J2411" s="25" t="str">
        <f ca="1">_xlfn.IFNA(INDIRECT(_xlfn.TEXTJOIN("",TRUE,A2404,"!",ADDRESS(16+(A2405-1)*J2404,14))),"")</f>
        <v/>
      </c>
    </row>
    <row r="2412" spans="1:10" ht="10.5" customHeight="1" x14ac:dyDescent="0.2">
      <c r="A2412" s="65" t="str">
        <f ca="1">_xlfn.IFNA(INDIRECT(_xlfn.TEXTJOIN("",TRUE,A2404,"!",ADDRESS(17+(A2405-1)*J2404,1))),"")</f>
        <v/>
      </c>
      <c r="B2412" s="65"/>
      <c r="C2412" s="66" t="str">
        <f ca="1">_xlfn.IFNA(INDIRECT(_xlfn.TEXTJOIN("",TRUE,A2404,"!",ADDRESS(17+(A2405-1)*J2404,2))),"")</f>
        <v/>
      </c>
      <c r="D2412" s="66"/>
      <c r="E2412" s="66"/>
      <c r="F2412" s="66"/>
      <c r="G2412" s="66"/>
      <c r="H2412" s="25" t="str">
        <f ca="1">_xlfn.IFNA(INDIRECT(_xlfn.TEXTJOIN("",TRUE,A2404,"!",ADDRESS(17+(A2405-1)*J2404,6))),"")</f>
        <v/>
      </c>
      <c r="I2412" s="25" t="str">
        <f ca="1">_xlfn.IFNA(INDIRECT(_xlfn.TEXTJOIN("",TRUE,A2404,"!",ADDRESS(17+(A2405-1)*J2404,13))),"")</f>
        <v/>
      </c>
      <c r="J2412" s="25" t="str">
        <f ca="1">_xlfn.IFNA(INDIRECT(_xlfn.TEXTJOIN("",TRUE,A2404,"!",ADDRESS(17+(A2405-1)*J2404,14))),"")</f>
        <v/>
      </c>
    </row>
    <row r="2413" spans="1:10" ht="10.5" customHeight="1" x14ac:dyDescent="0.2">
      <c r="A2413" s="65" t="str">
        <f ca="1">_xlfn.IFNA(INDIRECT(_xlfn.TEXTJOIN("",TRUE,A2404,"!",ADDRESS(18+(A2405-1)*J2404,1))),"")</f>
        <v/>
      </c>
      <c r="B2413" s="65"/>
      <c r="C2413" s="66" t="str">
        <f ca="1">_xlfn.IFNA(INDIRECT(_xlfn.TEXTJOIN("",TRUE,A2404,"!",ADDRESS(18+(A2405-1)*J2404,2))),"")</f>
        <v/>
      </c>
      <c r="D2413" s="66"/>
      <c r="E2413" s="66"/>
      <c r="F2413" s="66"/>
      <c r="G2413" s="66"/>
      <c r="H2413" s="25" t="str">
        <f ca="1">_xlfn.IFNA(INDIRECT(_xlfn.TEXTJOIN("",TRUE,A2404,"!",ADDRESS(18+(A2405-1)*J2404,6))),"")</f>
        <v/>
      </c>
      <c r="I2413" s="25" t="str">
        <f ca="1">_xlfn.IFNA(INDIRECT(_xlfn.TEXTJOIN("",TRUE,A2404,"!",ADDRESS(18+(A2405-1)*J2404,13))),"")</f>
        <v/>
      </c>
      <c r="J2413" s="25" t="str">
        <f ca="1">_xlfn.IFNA(INDIRECT(_xlfn.TEXTJOIN("",TRUE,A2404,"!",ADDRESS(18+(A2405-1)*J2404,14))),"")</f>
        <v/>
      </c>
    </row>
    <row r="2414" spans="1:10" ht="10.5" customHeight="1" x14ac:dyDescent="0.2">
      <c r="A2414" s="60" t="str">
        <f ca="1">_xlfn.IFNA(INDIRECT(_xlfn.TEXTJOIN("",TRUE,A2404,"!",ADDRESS(19+(A2405-1)*J2404,1))),"")</f>
        <v/>
      </c>
      <c r="B2414" s="61"/>
      <c r="C2414" s="57" t="str">
        <f ca="1">_xlfn.IFNA(INDIRECT(_xlfn.TEXTJOIN("",TRUE,A2404,"!",ADDRESS(19+(A2405-1)*J2404,2))),"")</f>
        <v/>
      </c>
      <c r="D2414" s="58"/>
      <c r="E2414" s="58"/>
      <c r="F2414" s="58"/>
      <c r="G2414" s="59"/>
      <c r="H2414" s="25" t="str">
        <f ca="1">_xlfn.IFNA(INDIRECT(_xlfn.TEXTJOIN("",TRUE,A2404,"!",ADDRESS(19+(A2405-1)*J2404,6))),"")</f>
        <v/>
      </c>
      <c r="I2414" s="25" t="str">
        <f ca="1">_xlfn.IFNA(INDIRECT(_xlfn.TEXTJOIN("",TRUE,A2404,"!",ADDRESS(19+(A2405-1)*J2404,13))),"")</f>
        <v/>
      </c>
      <c r="J2414" s="25" t="str">
        <f ca="1">_xlfn.IFNA(INDIRECT(_xlfn.TEXTJOIN("",TRUE,A2404,"!",ADDRESS(19+(A2405-1)*J2404,14))),"")</f>
        <v/>
      </c>
    </row>
    <row r="2415" spans="1:10" ht="10.5" customHeight="1" x14ac:dyDescent="0.2">
      <c r="A2415" s="71" t="str">
        <f ca="1">IF(ISNA(A2405),"","Total Credits/ Total Grade Points")</f>
        <v/>
      </c>
      <c r="B2415" s="71"/>
      <c r="C2415" s="71"/>
      <c r="D2415" s="71"/>
      <c r="E2415" s="71"/>
      <c r="F2415" s="71"/>
      <c r="G2415" s="71"/>
      <c r="H2415" s="27" t="str">
        <f ca="1">IF(ISNA(A2405),"",SUM(H2407:H2414))</f>
        <v/>
      </c>
      <c r="I2415" s="26" t="str">
        <f ca="1">IF(ISNA(A2405),"","-")</f>
        <v/>
      </c>
      <c r="J2415" s="27" t="str">
        <f ca="1">IF(ISNA(A2405),"",SUMPRODUCT(J2407:J2414,H2407:H2414))</f>
        <v/>
      </c>
    </row>
    <row r="2416" spans="1:10" ht="10.5" customHeight="1" x14ac:dyDescent="0.2">
      <c r="A2416" s="75" t="s">
        <v>137</v>
      </c>
      <c r="B2416" s="75"/>
      <c r="C2416" s="75"/>
      <c r="D2416" s="75"/>
      <c r="E2416" s="75"/>
      <c r="F2416" s="76" t="s">
        <v>138</v>
      </c>
      <c r="G2416" s="76"/>
      <c r="H2416" s="76"/>
      <c r="I2416" s="76"/>
      <c r="J2416" s="76"/>
    </row>
    <row r="2417" spans="1:10" ht="10.5" customHeight="1" x14ac:dyDescent="0.2">
      <c r="A2417" s="43" t="s">
        <v>139</v>
      </c>
      <c r="B2417" s="43"/>
      <c r="C2417" s="43"/>
      <c r="D2417" s="43"/>
      <c r="E2417" s="43"/>
      <c r="F2417" s="43"/>
      <c r="G2417" s="43"/>
      <c r="H2417" s="43"/>
      <c r="I2417" s="43"/>
      <c r="J2417" s="43"/>
    </row>
    <row r="2418" spans="1:10" ht="10.5" customHeight="1" x14ac:dyDescent="0.2">
      <c r="A2418" s="10"/>
      <c r="B2418" s="26"/>
      <c r="C2418" s="26" t="s">
        <v>140</v>
      </c>
      <c r="D2418" s="26" t="s">
        <v>141</v>
      </c>
      <c r="E2418" s="26" t="s">
        <v>142</v>
      </c>
      <c r="F2418" s="26" t="s">
        <v>143</v>
      </c>
      <c r="G2418" s="26" t="s">
        <v>144</v>
      </c>
      <c r="H2418" s="79" t="s">
        <v>145</v>
      </c>
      <c r="I2418" s="79"/>
      <c r="J2418" s="30"/>
    </row>
    <row r="2419" spans="1:10" ht="10.5" customHeight="1" x14ac:dyDescent="0.2">
      <c r="A2419" s="10"/>
      <c r="B2419" s="80" t="s">
        <v>146</v>
      </c>
      <c r="C2419" s="73" t="e">
        <f ca="1">J2375/H2375</f>
        <v>#N/A</v>
      </c>
      <c r="D2419" s="73" t="e">
        <f ca="1">J2390/H2390</f>
        <v>#VALUE!</v>
      </c>
      <c r="E2419" s="73" t="str">
        <f ca="1">IFERROR(J2403/H2403,"")</f>
        <v/>
      </c>
      <c r="F2419" s="73" t="str">
        <f ca="1">IFERROR(J2415/H2415,"")</f>
        <v/>
      </c>
      <c r="G2419" s="82" t="e">
        <f ca="1">F2421</f>
        <v>#N/A</v>
      </c>
      <c r="H2419" s="83" t="e">
        <f ca="1">IF(TC_IV!N549&lt;96,_xlfn.TEXTJOIN(" ",TRUE,"CARRY OVER",TC_I!V809,TC_II!V669,TC_III!V582,TC_IV!V548),IF(G2419&gt;=8,"First Division with Distinction",IF(G2419&gt;=6.5,"First Division",IF(G2419&gt;=5,"Second Division",IF(G2419&gt;=4,"Third Division","Fail")))))</f>
        <v>#N/A</v>
      </c>
      <c r="I2419" s="83"/>
      <c r="J2419" s="30"/>
    </row>
    <row r="2420" spans="1:10" ht="10.5" customHeight="1" x14ac:dyDescent="0.2">
      <c r="B2420" s="81"/>
      <c r="C2420" s="74"/>
      <c r="D2420" s="74"/>
      <c r="E2420" s="74"/>
      <c r="F2420" s="74"/>
      <c r="G2420" s="82"/>
      <c r="H2420" s="83"/>
      <c r="I2420" s="83"/>
    </row>
    <row r="2421" spans="1:10" ht="10.5" customHeight="1" x14ac:dyDescent="0.2">
      <c r="B2421" s="80" t="s">
        <v>48</v>
      </c>
      <c r="C2421" s="73" t="e">
        <f ca="1">J2375/H2375</f>
        <v>#N/A</v>
      </c>
      <c r="D2421" s="73" t="e">
        <f ca="1">SUM(J2390,J2375)/SUM(H2390,H2375)</f>
        <v>#N/A</v>
      </c>
      <c r="E2421" s="73" t="e">
        <f ca="1">SUM(J2403,J2390,J2375)/SUM(H2403,H2390,H2375)</f>
        <v>#N/A</v>
      </c>
      <c r="F2421" s="73" t="e">
        <f ca="1">SUM(J2415,J2403,J2390,J2375)/SUM(H2375,H2390,H2403,H2415)</f>
        <v>#N/A</v>
      </c>
      <c r="G2421" s="82"/>
      <c r="H2421" s="83"/>
      <c r="I2421" s="83"/>
    </row>
    <row r="2422" spans="1:10" ht="10.5" customHeight="1" x14ac:dyDescent="0.2">
      <c r="B2422" s="81"/>
      <c r="C2422" s="74"/>
      <c r="D2422" s="74"/>
      <c r="E2422" s="74"/>
      <c r="F2422" s="74"/>
      <c r="G2422" s="82"/>
      <c r="H2422" s="83"/>
      <c r="I2422" s="83"/>
    </row>
    <row r="2424" spans="1:10" ht="10.5" customHeight="1" x14ac:dyDescent="0.2">
      <c r="A2424" s="56" t="s">
        <v>24</v>
      </c>
      <c r="B2424" s="56"/>
      <c r="C2424" s="56" t="str">
        <f ca="1">INDIRECT(_xlfn.TEXTJOIN("",TRUE,A2426,"!",ADDRESS(9+(A2427-1)*J2426,2)))</f>
        <v/>
      </c>
      <c r="D2424" s="56"/>
      <c r="E2424" s="56"/>
      <c r="F2424" s="56" t="s">
        <v>135</v>
      </c>
      <c r="G2424" s="56"/>
      <c r="H2424" s="62" t="str">
        <f ca="1">INDIRECT(_xlfn.TEXTJOIN("",TRUE,A2426,"!",ADDRESS(9+(A2427-1)*J2426,9)))</f>
        <v/>
      </c>
      <c r="I2424" s="56"/>
      <c r="J2424" s="56"/>
    </row>
    <row r="2425" spans="1:10" ht="10.5" customHeight="1" x14ac:dyDescent="0.2">
      <c r="A2425" s="56" t="s">
        <v>25</v>
      </c>
      <c r="B2425" s="56"/>
      <c r="C2425" s="56" t="str">
        <f ca="1">INDIRECT(_xlfn.TEXTJOIN("",TRUE,A2426,"!",ADDRESS(9+(A2427-1)*J2426,5)))</f>
        <v/>
      </c>
      <c r="D2425" s="56"/>
      <c r="E2425" s="56"/>
      <c r="F2425" s="47" t="s">
        <v>136</v>
      </c>
      <c r="G2425" s="47"/>
      <c r="H2425" s="62" t="str">
        <f ca="1">INDIRECT(_xlfn.TEXTJOIN("",TRUE,A2426,"!",ADDRESS(9+(A2427-1)*J2426,13)))</f>
        <v/>
      </c>
      <c r="I2425" s="56"/>
      <c r="J2425" s="56"/>
    </row>
    <row r="2426" spans="1:10" ht="10.5" customHeight="1" x14ac:dyDescent="0.2">
      <c r="A2426" s="24" t="s">
        <v>53</v>
      </c>
      <c r="B2426" s="43" t="s">
        <v>148</v>
      </c>
      <c r="C2426" s="43"/>
      <c r="D2426" s="43"/>
      <c r="E2426" s="43"/>
      <c r="F2426" s="43"/>
      <c r="G2426" s="43"/>
      <c r="H2426" s="43"/>
      <c r="I2426" s="43"/>
      <c r="J2426" s="24">
        <f>ROWS(A2430:B2443)+9</f>
        <v>23</v>
      </c>
    </row>
    <row r="2427" spans="1:10" ht="10.5" customHeight="1" x14ac:dyDescent="0.2">
      <c r="A2427" s="24">
        <f>A2358+1</f>
        <v>36</v>
      </c>
      <c r="B2427" s="63"/>
      <c r="C2427" s="63"/>
      <c r="D2427" s="63"/>
      <c r="E2427" s="63"/>
      <c r="F2427" s="63"/>
      <c r="G2427" s="63"/>
      <c r="H2427" s="63"/>
      <c r="I2427" s="63"/>
      <c r="J2427" s="29"/>
    </row>
    <row r="2428" spans="1:10" ht="10.5" customHeight="1" x14ac:dyDescent="0.2">
      <c r="A2428" s="64" t="s">
        <v>28</v>
      </c>
      <c r="B2428" s="64"/>
      <c r="C2428" s="64" t="s">
        <v>29</v>
      </c>
      <c r="D2428" s="64"/>
      <c r="E2428" s="64"/>
      <c r="F2428" s="64"/>
      <c r="G2428" s="64"/>
      <c r="H2428" s="64" t="s">
        <v>30</v>
      </c>
      <c r="I2428" s="64" t="s">
        <v>9</v>
      </c>
      <c r="J2428" s="64" t="s">
        <v>34</v>
      </c>
    </row>
    <row r="2429" spans="1:10" ht="11.5" customHeight="1" x14ac:dyDescent="0.2">
      <c r="A2429" s="64"/>
      <c r="B2429" s="64"/>
      <c r="C2429" s="64"/>
      <c r="D2429" s="64"/>
      <c r="E2429" s="64"/>
      <c r="F2429" s="64"/>
      <c r="G2429" s="64"/>
      <c r="H2429" s="64"/>
      <c r="I2429" s="64"/>
      <c r="J2429" s="64"/>
    </row>
    <row r="2430" spans="1:10" ht="10.5" customHeight="1" x14ac:dyDescent="0.2">
      <c r="A2430" s="65" t="str">
        <f ca="1">INDIRECT(_xlfn.TEXTJOIN("",TRUE,A2426,"!",ADDRESS(13+(A2427-1)*J2426,1)))</f>
        <v/>
      </c>
      <c r="B2430" s="65"/>
      <c r="C2430" s="66" t="str">
        <f ca="1">INDIRECT(_xlfn.TEXTJOIN("",TRUE,A2426,"!",ADDRESS(13+(A2427-1)*J2426,2)))</f>
        <v/>
      </c>
      <c r="D2430" s="66"/>
      <c r="E2430" s="66"/>
      <c r="F2430" s="66"/>
      <c r="G2430" s="66"/>
      <c r="H2430" s="25" t="str">
        <f ca="1">INDIRECT(_xlfn.TEXTJOIN("",TRUE,A2426,"!",ADDRESS(13+(A2427-1)*J2426,6)))</f>
        <v/>
      </c>
      <c r="I2430" s="25" t="str">
        <f ca="1">INDIRECT(_xlfn.TEXTJOIN("",TRUE,A2426,"!",ADDRESS(13+(A2427-1)*J2426,13)))</f>
        <v/>
      </c>
      <c r="J2430" s="25" t="e">
        <f ca="1">INDIRECT(_xlfn.TEXTJOIN("",TRUE,A2426,"!",ADDRESS(13+(A2427-1)*J2426,14)))</f>
        <v>#N/A</v>
      </c>
    </row>
    <row r="2431" spans="1:10" ht="10.5" customHeight="1" x14ac:dyDescent="0.2">
      <c r="A2431" s="65" t="str">
        <f ca="1">INDIRECT(_xlfn.TEXTJOIN("",TRUE,A2426,"!",ADDRESS(14+(A2427-1)*J2426,1)))</f>
        <v/>
      </c>
      <c r="B2431" s="65"/>
      <c r="C2431" s="66" t="str">
        <f ca="1">INDIRECT(_xlfn.TEXTJOIN("",TRUE,A2426,"!",ADDRESS(14+(A2427-1)*J2426,2)))</f>
        <v/>
      </c>
      <c r="D2431" s="66"/>
      <c r="E2431" s="66"/>
      <c r="F2431" s="66"/>
      <c r="G2431" s="66"/>
      <c r="H2431" s="25" t="str">
        <f ca="1">INDIRECT(_xlfn.TEXTJOIN("",TRUE,A2426,"!",ADDRESS(14+(A2427-1)*J2426,6)))</f>
        <v/>
      </c>
      <c r="I2431" s="25" t="str">
        <f ca="1">INDIRECT(_xlfn.TEXTJOIN("",TRUE,A2426,"!",ADDRESS(14+(A2427-1)*J2426,13)))</f>
        <v/>
      </c>
      <c r="J2431" s="25" t="e">
        <f ca="1">INDIRECT(_xlfn.TEXTJOIN("",TRUE,A2426,"!",ADDRESS(14+(A2427-1)*J2426,14)))</f>
        <v>#N/A</v>
      </c>
    </row>
    <row r="2432" spans="1:10" ht="10.5" customHeight="1" x14ac:dyDescent="0.2">
      <c r="A2432" s="65" t="str">
        <f ca="1">INDIRECT(_xlfn.TEXTJOIN("",TRUE,A2426,"!",ADDRESS(15+(A2427-1)*J2426,1)))</f>
        <v/>
      </c>
      <c r="B2432" s="65"/>
      <c r="C2432" s="66" t="str">
        <f ca="1">INDIRECT(_xlfn.TEXTJOIN("",TRUE,A2426,"!",ADDRESS(15+(A2427-1)*J2426,2)))</f>
        <v/>
      </c>
      <c r="D2432" s="66"/>
      <c r="E2432" s="66"/>
      <c r="F2432" s="66"/>
      <c r="G2432" s="66"/>
      <c r="H2432" s="25" t="str">
        <f ca="1">INDIRECT(_xlfn.TEXTJOIN("",TRUE,A2426,"!",ADDRESS(15+(A2427-1)*J2426,6)))</f>
        <v/>
      </c>
      <c r="I2432" s="25" t="str">
        <f ca="1">INDIRECT(_xlfn.TEXTJOIN("",TRUE,A2426,"!",ADDRESS(15+(A2427-1)*J2426,13)))</f>
        <v/>
      </c>
      <c r="J2432" s="25" t="e">
        <f ca="1">INDIRECT(_xlfn.TEXTJOIN("",TRUE,A2426,"!",ADDRESS(15+(A2427-1)*J2426,14)))</f>
        <v>#N/A</v>
      </c>
    </row>
    <row r="2433" spans="1:10" ht="10.5" customHeight="1" x14ac:dyDescent="0.2">
      <c r="A2433" s="65" t="str">
        <f ca="1">INDIRECT(_xlfn.TEXTJOIN("",TRUE,A2426,"!",ADDRESS(16+(A2427-1)*J2426,1)))</f>
        <v/>
      </c>
      <c r="B2433" s="65"/>
      <c r="C2433" s="66" t="str">
        <f ca="1">INDIRECT(_xlfn.TEXTJOIN("",TRUE,A2426,"!",ADDRESS(16+(A2427-1)*J2426,2)))</f>
        <v/>
      </c>
      <c r="D2433" s="66"/>
      <c r="E2433" s="66"/>
      <c r="F2433" s="66"/>
      <c r="G2433" s="66"/>
      <c r="H2433" s="25" t="str">
        <f ca="1">INDIRECT(_xlfn.TEXTJOIN("",TRUE,A2426,"!",ADDRESS(16+(A2427-1)*J2426,6)))</f>
        <v/>
      </c>
      <c r="I2433" s="25" t="str">
        <f ca="1">INDIRECT(_xlfn.TEXTJOIN("",TRUE,A2426,"!",ADDRESS(16+(A2427-1)*J2426,13)))</f>
        <v/>
      </c>
      <c r="J2433" s="25" t="e">
        <f ca="1">INDIRECT(_xlfn.TEXTJOIN("",TRUE,A2426,"!",ADDRESS(16+(A2427-1)*J2426,14)))</f>
        <v>#N/A</v>
      </c>
    </row>
    <row r="2434" spans="1:10" ht="10.5" customHeight="1" x14ac:dyDescent="0.2">
      <c r="A2434" s="65" t="str">
        <f ca="1">INDIRECT(_xlfn.TEXTJOIN("",TRUE,A2426,"!",ADDRESS(17+(A2427-1)*J2426,1)))</f>
        <v/>
      </c>
      <c r="B2434" s="65"/>
      <c r="C2434" s="66" t="str">
        <f ca="1">INDIRECT(_xlfn.TEXTJOIN("",TRUE,A2426,"!",ADDRESS(17+(A2427-1)*J2426,2)))</f>
        <v/>
      </c>
      <c r="D2434" s="66"/>
      <c r="E2434" s="66"/>
      <c r="F2434" s="66"/>
      <c r="G2434" s="66"/>
      <c r="H2434" s="25" t="str">
        <f ca="1">INDIRECT(_xlfn.TEXTJOIN("",TRUE,A2426,"!",ADDRESS(17+(A2427-1)*J2426,6)))</f>
        <v/>
      </c>
      <c r="I2434" s="25" t="str">
        <f ca="1">INDIRECT(_xlfn.TEXTJOIN("",TRUE,A2426,"!",ADDRESS(17+(A2427-1)*J2426,13)))</f>
        <v/>
      </c>
      <c r="J2434" s="25" t="e">
        <f ca="1">INDIRECT(_xlfn.TEXTJOIN("",TRUE,A2426,"!",ADDRESS(17+(A2427-1)*J2426,14)))</f>
        <v>#N/A</v>
      </c>
    </row>
    <row r="2435" spans="1:10" ht="10.5" customHeight="1" x14ac:dyDescent="0.2">
      <c r="A2435" s="65" t="str">
        <f ca="1">INDIRECT(_xlfn.TEXTJOIN("",TRUE,A2426,"!",ADDRESS(18+(A2427-1)*J2426,1)))</f>
        <v/>
      </c>
      <c r="B2435" s="65"/>
      <c r="C2435" s="66" t="str">
        <f ca="1">INDIRECT(_xlfn.TEXTJOIN("",TRUE,A2426,"!",ADDRESS(18+(A2427-1)*J2426,2)))</f>
        <v/>
      </c>
      <c r="D2435" s="66"/>
      <c r="E2435" s="66"/>
      <c r="F2435" s="66"/>
      <c r="G2435" s="66"/>
      <c r="H2435" s="25" t="str">
        <f ca="1">INDIRECT(_xlfn.TEXTJOIN("",TRUE,A2426,"!",ADDRESS(18+(A2427-1)*J2426,6)))</f>
        <v/>
      </c>
      <c r="I2435" s="25" t="str">
        <f ca="1">INDIRECT(_xlfn.TEXTJOIN("",TRUE,A2426,"!",ADDRESS(18+(A2427-1)*J2426,13)))</f>
        <v/>
      </c>
      <c r="J2435" s="25" t="e">
        <f ca="1">INDIRECT(_xlfn.TEXTJOIN("",TRUE,A2426,"!",ADDRESS(18+(A2427-1)*J2426,14)))</f>
        <v>#N/A</v>
      </c>
    </row>
    <row r="2436" spans="1:10" ht="10.5" customHeight="1" x14ac:dyDescent="0.2">
      <c r="A2436" s="60" t="str">
        <f ca="1">INDIRECT(_xlfn.TEXTJOIN("",TRUE,A2426,"!",ADDRESS(19+(A2427-1)*J2426,1)))</f>
        <v/>
      </c>
      <c r="B2436" s="61"/>
      <c r="C2436" s="57" t="str">
        <f ca="1">INDIRECT(_xlfn.TEXTJOIN("",TRUE,A2426,"!",ADDRESS(19+(A2427-1)*J2426,2)))</f>
        <v/>
      </c>
      <c r="D2436" s="58"/>
      <c r="E2436" s="58"/>
      <c r="F2436" s="58"/>
      <c r="G2436" s="59"/>
      <c r="H2436" s="25" t="str">
        <f ca="1">INDIRECT(_xlfn.TEXTJOIN("",TRUE,A2426,"!",ADDRESS(19+(A2427-1)*J2426,6)))</f>
        <v/>
      </c>
      <c r="I2436" s="25" t="str">
        <f ca="1">INDIRECT(_xlfn.TEXTJOIN("",TRUE,A2426,"!",ADDRESS(19+(A2427-1)*J2426,13)))</f>
        <v/>
      </c>
      <c r="J2436" s="25" t="e">
        <f ca="1">INDIRECT(_xlfn.TEXTJOIN("",TRUE,A2426,"!",ADDRESS(19+(A2427-1)*J2426,14)))</f>
        <v>#N/A</v>
      </c>
    </row>
    <row r="2437" spans="1:10" ht="10.5" customHeight="1" x14ac:dyDescent="0.2">
      <c r="A2437" s="65" t="str">
        <f ca="1">INDIRECT(_xlfn.TEXTJOIN("",TRUE,A2426,"!",ADDRESS(20+(A2427-1)*J2426,1)))</f>
        <v/>
      </c>
      <c r="B2437" s="65"/>
      <c r="C2437" s="66" t="str">
        <f ca="1">INDIRECT(_xlfn.TEXTJOIN("",TRUE,A2426,"!",ADDRESS(20+(A2427-1)*J2426,2)))</f>
        <v/>
      </c>
      <c r="D2437" s="66"/>
      <c r="E2437" s="66"/>
      <c r="F2437" s="66"/>
      <c r="G2437" s="66"/>
      <c r="H2437" s="25" t="str">
        <f ca="1">INDIRECT(_xlfn.TEXTJOIN("",TRUE,A2426,"!",ADDRESS(20+(A2427-1)*J2426,6)))</f>
        <v/>
      </c>
      <c r="I2437" s="25" t="str">
        <f ca="1">INDIRECT(_xlfn.TEXTJOIN("",TRUE,A2426,"!",ADDRESS(20+(A2427-1)*J2426,13)))</f>
        <v/>
      </c>
      <c r="J2437" s="25" t="e">
        <f ca="1">INDIRECT(_xlfn.TEXTJOIN("",TRUE,A2426,"!",ADDRESS(20+(A2427-1)*J2426,14)))</f>
        <v>#N/A</v>
      </c>
    </row>
    <row r="2438" spans="1:10" ht="10.5" customHeight="1" x14ac:dyDescent="0.2">
      <c r="A2438" s="65" t="str">
        <f ca="1">INDIRECT(_xlfn.TEXTJOIN("",TRUE,A2426,"!",ADDRESS(21+(A2427-1)*J2426,1)))</f>
        <v/>
      </c>
      <c r="B2438" s="65"/>
      <c r="C2438" s="66" t="str">
        <f ca="1">INDIRECT(_xlfn.TEXTJOIN("",TRUE,A2426,"!",ADDRESS(21+(A2427-1)*J2426,2)))</f>
        <v/>
      </c>
      <c r="D2438" s="66"/>
      <c r="E2438" s="66"/>
      <c r="F2438" s="66"/>
      <c r="G2438" s="66"/>
      <c r="H2438" s="25" t="str">
        <f ca="1">INDIRECT(_xlfn.TEXTJOIN("",TRUE,A2426,"!",ADDRESS(21+(A2427-1)*J2426,6)))</f>
        <v/>
      </c>
      <c r="I2438" s="25" t="str">
        <f ca="1">INDIRECT(_xlfn.TEXTJOIN("",TRUE,A2426,"!",ADDRESS(21+(A2427-1)*J2426,13)))</f>
        <v/>
      </c>
      <c r="J2438" s="25" t="e">
        <f ca="1">INDIRECT(_xlfn.TEXTJOIN("",TRUE,A2426,"!",ADDRESS(21+(A2427-1)*J2426,14)))</f>
        <v>#N/A</v>
      </c>
    </row>
    <row r="2439" spans="1:10" ht="10.5" customHeight="1" x14ac:dyDescent="0.2">
      <c r="A2439" s="65" t="str">
        <f ca="1">INDIRECT(_xlfn.TEXTJOIN("",TRUE,A2426,"!",ADDRESS(22+(A2427-1)*J2426,1)))</f>
        <v/>
      </c>
      <c r="B2439" s="65"/>
      <c r="C2439" s="66" t="str">
        <f ca="1">INDIRECT(_xlfn.TEXTJOIN("",TRUE,A2426,"!",ADDRESS(22+(A2427-1)*J2426,2)))</f>
        <v/>
      </c>
      <c r="D2439" s="66"/>
      <c r="E2439" s="66"/>
      <c r="F2439" s="66"/>
      <c r="G2439" s="66"/>
      <c r="H2439" s="25" t="str">
        <f ca="1">INDIRECT(_xlfn.TEXTJOIN("",TRUE,A2426,"!",ADDRESS(22+(A2427-1)*J2426,6)))</f>
        <v/>
      </c>
      <c r="I2439" s="25" t="str">
        <f ca="1">INDIRECT(_xlfn.TEXTJOIN("",TRUE,A2426,"!",ADDRESS(22+(A2427-1)*J2426,13)))</f>
        <v/>
      </c>
      <c r="J2439" s="25" t="e">
        <f ca="1">INDIRECT(_xlfn.TEXTJOIN("",TRUE,A2426,"!",ADDRESS(22+(A2427-1)*J2426,14)))</f>
        <v>#N/A</v>
      </c>
    </row>
    <row r="2440" spans="1:10" ht="10.5" customHeight="1" x14ac:dyDescent="0.2">
      <c r="A2440" s="65" t="str">
        <f ca="1">INDIRECT(_xlfn.TEXTJOIN("",TRUE,A2426,"!",ADDRESS(23+(A2427-1)*J2426,1)))</f>
        <v/>
      </c>
      <c r="B2440" s="65"/>
      <c r="C2440" s="66" t="str">
        <f ca="1">INDIRECT(_xlfn.TEXTJOIN("",TRUE,A2426,"!",ADDRESS(23+(A2427-1)*J2426,2)))</f>
        <v/>
      </c>
      <c r="D2440" s="66"/>
      <c r="E2440" s="66"/>
      <c r="F2440" s="66"/>
      <c r="G2440" s="66"/>
      <c r="H2440" s="25" t="str">
        <f ca="1">INDIRECT(_xlfn.TEXTJOIN("",TRUE,A2426,"!",ADDRESS(23+(A2427-1)*J2426,6)))</f>
        <v/>
      </c>
      <c r="I2440" s="25" t="str">
        <f ca="1">INDIRECT(_xlfn.TEXTJOIN("",TRUE,A2426,"!",ADDRESS(23+(A2427-1)*J2426,13)))</f>
        <v/>
      </c>
      <c r="J2440" s="25" t="e">
        <f ca="1">INDIRECT(_xlfn.TEXTJOIN("",TRUE,A2426,"!",ADDRESS(23+(A2427-1)*J2426,14)))</f>
        <v>#N/A</v>
      </c>
    </row>
    <row r="2441" spans="1:10" ht="10.5" customHeight="1" x14ac:dyDescent="0.2">
      <c r="A2441" s="65" t="str">
        <f ca="1">INDIRECT(_xlfn.TEXTJOIN("",TRUE,A2426,"!",ADDRESS(24+(A2427-1)*J2426,1)))</f>
        <v/>
      </c>
      <c r="B2441" s="65"/>
      <c r="C2441" s="66" t="str">
        <f ca="1">INDIRECT(_xlfn.TEXTJOIN("",TRUE,A2426,"!",ADDRESS(24+(A2427-1)*J2426,2)))</f>
        <v/>
      </c>
      <c r="D2441" s="66"/>
      <c r="E2441" s="66"/>
      <c r="F2441" s="66"/>
      <c r="G2441" s="66"/>
      <c r="H2441" s="25" t="str">
        <f ca="1">INDIRECT(_xlfn.TEXTJOIN("",TRUE,A2426,"!",ADDRESS(24+(A2427-1)*J2426,6)))</f>
        <v/>
      </c>
      <c r="I2441" s="25" t="str">
        <f ca="1">INDIRECT(_xlfn.TEXTJOIN("",TRUE,A2426,"!",ADDRESS(24+(A2427-1)*J2426,13)))</f>
        <v/>
      </c>
      <c r="J2441" s="25" t="e">
        <f ca="1">INDIRECT(_xlfn.TEXTJOIN("",TRUE,A2426,"!",ADDRESS(24+(A2427-1)*J2426,14)))</f>
        <v>#N/A</v>
      </c>
    </row>
    <row r="2442" spans="1:10" ht="10.5" customHeight="1" x14ac:dyDescent="0.2">
      <c r="A2442" s="65" t="str">
        <f ca="1">INDIRECT(_xlfn.TEXTJOIN("",TRUE,A2426,"!",ADDRESS(25+(A2427-1)*J2426,1)))</f>
        <v/>
      </c>
      <c r="B2442" s="65"/>
      <c r="C2442" s="66" t="str">
        <f ca="1">INDIRECT(_xlfn.TEXTJOIN("",TRUE,A2426,"!",ADDRESS(25+(A2427-1)*J2426,2)))</f>
        <v/>
      </c>
      <c r="D2442" s="66"/>
      <c r="E2442" s="66"/>
      <c r="F2442" s="66"/>
      <c r="G2442" s="66"/>
      <c r="H2442" s="25" t="str">
        <f ca="1">INDIRECT(_xlfn.TEXTJOIN("",TRUE,A2426,"!",ADDRESS(25+(A2427-1)*J2426,6)))</f>
        <v/>
      </c>
      <c r="I2442" s="25" t="str">
        <f ca="1">INDIRECT(_xlfn.TEXTJOIN("",TRUE,A2426,"!",ADDRESS(25+(A2427-1)*J2426,13)))</f>
        <v/>
      </c>
      <c r="J2442" s="25" t="e">
        <f ca="1">INDIRECT(_xlfn.TEXTJOIN("",TRUE,A2426,"!",ADDRESS(25+(A2427-1)*J2426,14)))</f>
        <v>#N/A</v>
      </c>
    </row>
    <row r="2443" spans="1:10" s="35" customFormat="1" ht="10.5" customHeight="1" x14ac:dyDescent="0.2">
      <c r="A2443" s="77" t="str">
        <f ca="1">INDIRECT(_xlfn.TEXTJOIN("",TRUE,A2426,"!",ADDRESS(26+(A2427-1)*J2426,1)))</f>
        <v/>
      </c>
      <c r="B2443" s="77"/>
      <c r="C2443" s="78" t="str">
        <f ca="1">INDIRECT(_xlfn.TEXTJOIN("",TRUE,A2426,"!",ADDRESS(26+(A2427-1)*J2426,2)))</f>
        <v/>
      </c>
      <c r="D2443" s="78"/>
      <c r="E2443" s="78"/>
      <c r="F2443" s="78"/>
      <c r="G2443" s="78"/>
      <c r="H2443" s="34" t="str">
        <f ca="1">INDIRECT(_xlfn.TEXTJOIN("",TRUE,A2426,"!",ADDRESS(26+(A2427-1)*J2426,6)))</f>
        <v/>
      </c>
      <c r="I2443" s="34" t="b">
        <f ca="1">INDIRECT(_xlfn.TEXTJOIN("",TRUE,A2426,"!",ADDRESS(26+(A2427-1)*J2426,13)))</f>
        <v>0</v>
      </c>
      <c r="J2443" s="34" t="e">
        <f ca="1">INDIRECT(_xlfn.TEXTJOIN("",TRUE,A2426,"!",ADDRESS(26+(A2427-1)*J2426,14)))</f>
        <v>#N/A</v>
      </c>
    </row>
    <row r="2444" spans="1:10" ht="10.5" customHeight="1" x14ac:dyDescent="0.2">
      <c r="A2444" s="71" t="s">
        <v>52</v>
      </c>
      <c r="B2444" s="71"/>
      <c r="C2444" s="71"/>
      <c r="D2444" s="71"/>
      <c r="E2444" s="71"/>
      <c r="F2444" s="71"/>
      <c r="G2444" s="71"/>
      <c r="H2444" s="27">
        <f ca="1">SUM(H2430:H2443)</f>
        <v>0</v>
      </c>
      <c r="I2444" s="26" t="s">
        <v>44</v>
      </c>
      <c r="J2444" s="27" t="e">
        <f ca="1">SUMPRODUCT(J2430:J2442,H2430:H2442)</f>
        <v>#N/A</v>
      </c>
    </row>
    <row r="2445" spans="1:10" ht="10.5" customHeight="1" x14ac:dyDescent="0.2">
      <c r="A2445" s="24" t="s">
        <v>57</v>
      </c>
      <c r="B2445" s="72" t="str">
        <f ca="1">IF(ISNA(A2446),"","Semester II (Spring Semester 2022-23)")</f>
        <v/>
      </c>
      <c r="C2445" s="72"/>
      <c r="D2445" s="72"/>
      <c r="E2445" s="72"/>
      <c r="F2445" s="72"/>
      <c r="G2445" s="72"/>
      <c r="H2445" s="72"/>
      <c r="I2445" s="72"/>
      <c r="J2445" s="24">
        <f>ROWS(A2449:B2458)+9</f>
        <v>19</v>
      </c>
    </row>
    <row r="2446" spans="1:10" ht="10.5" customHeight="1" x14ac:dyDescent="0.2">
      <c r="A2446" s="24" t="e">
        <f ca="1">INDEX(SEM_II!$A$6:$A$45,Marksheets!J2446)</f>
        <v>#N/A</v>
      </c>
      <c r="B2446" s="63"/>
      <c r="C2446" s="63"/>
      <c r="D2446" s="63"/>
      <c r="E2446" s="63"/>
      <c r="F2446" s="63"/>
      <c r="G2446" s="63"/>
      <c r="H2446" s="63"/>
      <c r="I2446" s="63"/>
      <c r="J2446" s="24" t="e">
        <f ca="1">MATCH(H2424,SEM_II!$B$6:$B$45,0)</f>
        <v>#N/A</v>
      </c>
    </row>
    <row r="2447" spans="1:10" ht="10.5" customHeight="1" x14ac:dyDescent="0.2">
      <c r="A2447" s="64" t="str">
        <f ca="1">IF(ISNA(A2446),"","Subject Code")</f>
        <v/>
      </c>
      <c r="B2447" s="64"/>
      <c r="C2447" s="64" t="str">
        <f ca="1">IF(ISNA(A2446),"","Subject Name")</f>
        <v/>
      </c>
      <c r="D2447" s="64"/>
      <c r="E2447" s="64"/>
      <c r="F2447" s="64"/>
      <c r="G2447" s="64"/>
      <c r="H2447" s="64" t="str">
        <f ca="1">IF(ISNA(A2446),"","Credits")</f>
        <v/>
      </c>
      <c r="I2447" s="64" t="str">
        <f ca="1">IF(ISNA(A2446),"","Grade")</f>
        <v/>
      </c>
      <c r="J2447" s="64" t="str">
        <f ca="1">IF(ISNA(A2446),"","Grade Points")</f>
        <v/>
      </c>
    </row>
    <row r="2448" spans="1:10" ht="12.5" customHeight="1" x14ac:dyDescent="0.2">
      <c r="A2448" s="64"/>
      <c r="B2448" s="64"/>
      <c r="C2448" s="64"/>
      <c r="D2448" s="64"/>
      <c r="E2448" s="64"/>
      <c r="F2448" s="64"/>
      <c r="G2448" s="64"/>
      <c r="H2448" s="64"/>
      <c r="I2448" s="64"/>
      <c r="J2448" s="64"/>
    </row>
    <row r="2449" spans="1:10" ht="10.5" customHeight="1" x14ac:dyDescent="0.2">
      <c r="A2449" s="65" t="str">
        <f ca="1">_xlfn.IFNA(INDIRECT(_xlfn.TEXTJOIN("",TRUE,A2445,"!",ADDRESS(13+(A2446-1)*J2445,1))),"")</f>
        <v/>
      </c>
      <c r="B2449" s="65"/>
      <c r="C2449" s="66" t="str">
        <f ca="1">_xlfn.IFNA(INDIRECT(_xlfn.TEXTJOIN("",TRUE,A2445,"!",ADDRESS(13+(A2446-1)*J2445,2))),"")</f>
        <v/>
      </c>
      <c r="D2449" s="66"/>
      <c r="E2449" s="66"/>
      <c r="F2449" s="66"/>
      <c r="G2449" s="66"/>
      <c r="H2449" s="25" t="str">
        <f ca="1">_xlfn.IFNA(INDIRECT(_xlfn.TEXTJOIN("",TRUE,A2445,"!",ADDRESS(13+(A2446-1)*J2445,6))),"")</f>
        <v/>
      </c>
      <c r="I2449" s="25" t="str">
        <f ca="1">_xlfn.IFNA(INDIRECT(_xlfn.TEXTJOIN("",TRUE,A2445,"!",ADDRESS(13+(A2446-1)*J2445,13))),"")</f>
        <v/>
      </c>
      <c r="J2449" s="25" t="str">
        <f ca="1">_xlfn.IFNA(INDIRECT(_xlfn.TEXTJOIN("",TRUE,A2445,"!",ADDRESS(13+(A2446-1)*J2445,14))),"")</f>
        <v/>
      </c>
    </row>
    <row r="2450" spans="1:10" ht="10.5" customHeight="1" x14ac:dyDescent="0.2">
      <c r="A2450" s="65" t="str">
        <f ca="1">_xlfn.IFNA(INDIRECT(_xlfn.TEXTJOIN("",TRUE,A2445,"!",ADDRESS(14+(A2446-1)*J2445,1))),"")</f>
        <v/>
      </c>
      <c r="B2450" s="65"/>
      <c r="C2450" s="66" t="str">
        <f ca="1">_xlfn.IFNA(INDIRECT(_xlfn.TEXTJOIN("",TRUE,A2445,"!",ADDRESS(14+(A2446-1)*J2445,2))),"")</f>
        <v/>
      </c>
      <c r="D2450" s="66"/>
      <c r="E2450" s="66"/>
      <c r="F2450" s="66"/>
      <c r="G2450" s="66"/>
      <c r="H2450" s="25" t="str">
        <f ca="1">_xlfn.IFNA(INDIRECT(_xlfn.TEXTJOIN("",TRUE,A2445,"!",ADDRESS(14+(A2446-1)*J2445,6))),"")</f>
        <v/>
      </c>
      <c r="I2450" s="25" t="str">
        <f ca="1">_xlfn.IFNA(INDIRECT(_xlfn.TEXTJOIN("",TRUE,A2445,"!",ADDRESS(14+(A2446-1)*J2445,13))),"")</f>
        <v/>
      </c>
      <c r="J2450" s="25" t="str">
        <f ca="1">_xlfn.IFNA(INDIRECT(_xlfn.TEXTJOIN("",TRUE,A2445,"!",ADDRESS(14+(A2446-1)*J2445,14))),"")</f>
        <v/>
      </c>
    </row>
    <row r="2451" spans="1:10" ht="10.5" customHeight="1" x14ac:dyDescent="0.2">
      <c r="A2451" s="65" t="str">
        <f ca="1">_xlfn.IFNA(INDIRECT(_xlfn.TEXTJOIN("",TRUE,A2445,"!",ADDRESS(15+(A2446-1)*J2445,1))),"")</f>
        <v/>
      </c>
      <c r="B2451" s="65"/>
      <c r="C2451" s="66" t="str">
        <f ca="1">_xlfn.IFNA(INDIRECT(_xlfn.TEXTJOIN("",TRUE,A2445,"!",ADDRESS(15+(A2446-1)*J2445,2))),"")</f>
        <v/>
      </c>
      <c r="D2451" s="66"/>
      <c r="E2451" s="66"/>
      <c r="F2451" s="66"/>
      <c r="G2451" s="66"/>
      <c r="H2451" s="25" t="str">
        <f ca="1">_xlfn.IFNA(INDIRECT(_xlfn.TEXTJOIN("",TRUE,A2445,"!",ADDRESS(15+(A2446-1)*J2445,6))),"")</f>
        <v/>
      </c>
      <c r="I2451" s="25" t="str">
        <f ca="1">_xlfn.IFNA(INDIRECT(_xlfn.TEXTJOIN("",TRUE,A2445,"!",ADDRESS(15+(A2446-1)*J2445,13))),"")</f>
        <v/>
      </c>
      <c r="J2451" s="25" t="str">
        <f ca="1">_xlfn.IFNA(INDIRECT(_xlfn.TEXTJOIN("",TRUE,A2445,"!",ADDRESS(15+(A2446-1)*J2445,14))),"")</f>
        <v/>
      </c>
    </row>
    <row r="2452" spans="1:10" ht="10.5" customHeight="1" x14ac:dyDescent="0.2">
      <c r="A2452" s="65" t="str">
        <f ca="1">_xlfn.IFNA(INDIRECT(_xlfn.TEXTJOIN("",TRUE,A2445,"!",ADDRESS(16+(A2446-1)*J2445,1))),"")</f>
        <v/>
      </c>
      <c r="B2452" s="65"/>
      <c r="C2452" s="66" t="str">
        <f ca="1">_xlfn.IFNA(INDIRECT(_xlfn.TEXTJOIN("",TRUE,A2445,"!",ADDRESS(16+(A2446-1)*J2445,2))),"")</f>
        <v/>
      </c>
      <c r="D2452" s="66"/>
      <c r="E2452" s="66"/>
      <c r="F2452" s="66"/>
      <c r="G2452" s="66"/>
      <c r="H2452" s="25" t="str">
        <f ca="1">_xlfn.IFNA(INDIRECT(_xlfn.TEXTJOIN("",TRUE,A2445,"!",ADDRESS(16+(A2446-1)*J2445,6))),"")</f>
        <v/>
      </c>
      <c r="I2452" s="25" t="str">
        <f ca="1">_xlfn.IFNA(INDIRECT(_xlfn.TEXTJOIN("",TRUE,A2445,"!",ADDRESS(16+(A2446-1)*J2445,13))),"")</f>
        <v/>
      </c>
      <c r="J2452" s="25" t="str">
        <f ca="1">_xlfn.IFNA(INDIRECT(_xlfn.TEXTJOIN("",TRUE,A2445,"!",ADDRESS(16+(A2446-1)*J2445,14))),"")</f>
        <v/>
      </c>
    </row>
    <row r="2453" spans="1:10" ht="10.5" customHeight="1" x14ac:dyDescent="0.2">
      <c r="A2453" s="65" t="str">
        <f ca="1">_xlfn.IFNA(INDIRECT(_xlfn.TEXTJOIN("",TRUE,A2445,"!",ADDRESS(17+(A2446-1)*J2445,1))),"")</f>
        <v/>
      </c>
      <c r="B2453" s="65"/>
      <c r="C2453" s="66" t="str">
        <f ca="1">_xlfn.IFNA(INDIRECT(_xlfn.TEXTJOIN("",TRUE,A2445,"!",ADDRESS(17+(A2446-1)*J2445,2))),"")</f>
        <v/>
      </c>
      <c r="D2453" s="66"/>
      <c r="E2453" s="66"/>
      <c r="F2453" s="66"/>
      <c r="G2453" s="66"/>
      <c r="H2453" s="25" t="str">
        <f ca="1">_xlfn.IFNA(INDIRECT(_xlfn.TEXTJOIN("",TRUE,A2445,"!",ADDRESS(17+(A2446-1)*J2445,6))),"")</f>
        <v/>
      </c>
      <c r="I2453" s="25" t="str">
        <f ca="1">_xlfn.IFNA(INDIRECT(_xlfn.TEXTJOIN("",TRUE,A2445,"!",ADDRESS(17+(A2446-1)*J2445,13))),"")</f>
        <v/>
      </c>
      <c r="J2453" s="25" t="str">
        <f ca="1">_xlfn.IFNA(INDIRECT(_xlfn.TEXTJOIN("",TRUE,A2445,"!",ADDRESS(17+(A2446-1)*J2445,14))),"")</f>
        <v/>
      </c>
    </row>
    <row r="2454" spans="1:10" ht="10.5" customHeight="1" x14ac:dyDescent="0.2">
      <c r="A2454" s="65" t="str">
        <f ca="1">_xlfn.IFNA(INDIRECT(_xlfn.TEXTJOIN("",TRUE,A2445,"!",ADDRESS(18+(A2446-1)*J2445,1))),"")</f>
        <v/>
      </c>
      <c r="B2454" s="65"/>
      <c r="C2454" s="66" t="str">
        <f ca="1">_xlfn.IFNA(INDIRECT(_xlfn.TEXTJOIN("",TRUE,A2445,"!",ADDRESS(18+(A2446-1)*J2445,2))),"")</f>
        <v/>
      </c>
      <c r="D2454" s="66"/>
      <c r="E2454" s="66"/>
      <c r="F2454" s="66"/>
      <c r="G2454" s="66"/>
      <c r="H2454" s="25" t="str">
        <f ca="1">_xlfn.IFNA(INDIRECT(_xlfn.TEXTJOIN("",TRUE,A2445,"!",ADDRESS(18+(A2446-1)*J2445,6))),"")</f>
        <v/>
      </c>
      <c r="I2454" s="25" t="str">
        <f ca="1">_xlfn.IFNA(INDIRECT(_xlfn.TEXTJOIN("",TRUE,A2445,"!",ADDRESS(18+(A2446-1)*J2445,13))),"")</f>
        <v/>
      </c>
      <c r="J2454" s="25" t="str">
        <f ca="1">_xlfn.IFNA(INDIRECT(_xlfn.TEXTJOIN("",TRUE,A2445,"!",ADDRESS(18+(A2446-1)*J2445,14))),"")</f>
        <v/>
      </c>
    </row>
    <row r="2455" spans="1:10" ht="10.5" customHeight="1" x14ac:dyDescent="0.2">
      <c r="A2455" s="60" t="str">
        <f ca="1">_xlfn.IFNA(INDIRECT(_xlfn.TEXTJOIN("",TRUE,A2445,"!",ADDRESS(19+(A2446-1)*J2445,1))),"")</f>
        <v/>
      </c>
      <c r="B2455" s="61"/>
      <c r="C2455" s="57" t="str">
        <f ca="1">_xlfn.IFNA(INDIRECT(_xlfn.TEXTJOIN("",TRUE,A2445,"!",ADDRESS(19+(A2446-1)*J2445,2))),"")</f>
        <v/>
      </c>
      <c r="D2455" s="58"/>
      <c r="E2455" s="58"/>
      <c r="F2455" s="58"/>
      <c r="G2455" s="59"/>
      <c r="H2455" s="25" t="str">
        <f ca="1">_xlfn.IFNA(INDIRECT(_xlfn.TEXTJOIN("",TRUE,A2445,"!",ADDRESS(19+(A2446-1)*J2445,6))),"")</f>
        <v/>
      </c>
      <c r="I2455" s="25" t="str">
        <f ca="1">_xlfn.IFNA(INDIRECT(_xlfn.TEXTJOIN("",TRUE,A2445,"!",ADDRESS(19+(A2446-1)*J2445,13))),"")</f>
        <v/>
      </c>
      <c r="J2455" s="25" t="str">
        <f ca="1">_xlfn.IFNA(INDIRECT(_xlfn.TEXTJOIN("",TRUE,A2445,"!",ADDRESS(19+(A2446-1)*J2445,14))),"")</f>
        <v/>
      </c>
    </row>
    <row r="2456" spans="1:10" ht="10.5" customHeight="1" x14ac:dyDescent="0.2">
      <c r="A2456" s="65" t="str">
        <f ca="1">_xlfn.IFNA(INDIRECT(_xlfn.TEXTJOIN("",TRUE,A2445,"!",ADDRESS(20+(A2446-1)*J2445,1))),"")</f>
        <v/>
      </c>
      <c r="B2456" s="65"/>
      <c r="C2456" s="66" t="str">
        <f ca="1">_xlfn.IFNA(INDIRECT(_xlfn.TEXTJOIN("",TRUE,A2445,"!",ADDRESS(20+(A2446-1)*J2445,2))),"")</f>
        <v/>
      </c>
      <c r="D2456" s="66"/>
      <c r="E2456" s="66"/>
      <c r="F2456" s="66"/>
      <c r="G2456" s="66"/>
      <c r="H2456" s="25" t="str">
        <f ca="1">_xlfn.IFNA(INDIRECT(_xlfn.TEXTJOIN("",TRUE,A2445,"!",ADDRESS(20+(A2446-1)*J2445,6))),"")</f>
        <v/>
      </c>
      <c r="I2456" s="25" t="str">
        <f ca="1">_xlfn.IFNA(INDIRECT(_xlfn.TEXTJOIN("",TRUE,A2445,"!",ADDRESS(20+(A2446-1)*J2445,13))),"")</f>
        <v/>
      </c>
      <c r="J2456" s="25" t="str">
        <f ca="1">_xlfn.IFNA(INDIRECT(_xlfn.TEXTJOIN("",TRUE,A2445,"!",ADDRESS(20+(A2446-1)*J2445,14))),"")</f>
        <v/>
      </c>
    </row>
    <row r="2457" spans="1:10" ht="10.5" customHeight="1" x14ac:dyDescent="0.2">
      <c r="A2457" s="65" t="str">
        <f ca="1">_xlfn.IFNA(INDIRECT(_xlfn.TEXTJOIN("",TRUE,A2445,"!",ADDRESS(21+(A2446-1)*J2445,1))),"")</f>
        <v/>
      </c>
      <c r="B2457" s="65"/>
      <c r="C2457" s="66" t="str">
        <f ca="1">_xlfn.IFNA(INDIRECT(_xlfn.TEXTJOIN("",TRUE,A2445,"!",ADDRESS(21+(A2446-1)*J2445,2))),"")</f>
        <v/>
      </c>
      <c r="D2457" s="66"/>
      <c r="E2457" s="66"/>
      <c r="F2457" s="66"/>
      <c r="G2457" s="66"/>
      <c r="H2457" s="25" t="str">
        <f ca="1">_xlfn.IFNA(INDIRECT(_xlfn.TEXTJOIN("",TRUE,A2445,"!",ADDRESS(21+(A2446-1)*J2445,6))),"")</f>
        <v/>
      </c>
      <c r="I2457" s="25" t="str">
        <f ca="1">_xlfn.IFNA(INDIRECT(_xlfn.TEXTJOIN("",TRUE,A2445,"!",ADDRESS(21+(A2446-1)*J2445,13))),"")</f>
        <v/>
      </c>
      <c r="J2457" s="25" t="str">
        <f ca="1">_xlfn.IFNA(INDIRECT(_xlfn.TEXTJOIN("",TRUE,A2445,"!",ADDRESS(21+(A2446-1)*J2445,14))),"")</f>
        <v/>
      </c>
    </row>
    <row r="2458" spans="1:10" ht="10.5" customHeight="1" x14ac:dyDescent="0.2">
      <c r="A2458" s="65" t="str">
        <f ca="1">_xlfn.IFNA(INDIRECT(_xlfn.TEXTJOIN("",TRUE,A2445,"!",ADDRESS(22+(A2446-1)*J2445,1))),"")</f>
        <v/>
      </c>
      <c r="B2458" s="65"/>
      <c r="C2458" s="66" t="str">
        <f ca="1">_xlfn.IFNA(INDIRECT(_xlfn.TEXTJOIN("",TRUE,A2445,"!",ADDRESS(22+(A2446-1)*J2445,2))),"")</f>
        <v/>
      </c>
      <c r="D2458" s="66"/>
      <c r="E2458" s="66"/>
      <c r="F2458" s="66"/>
      <c r="G2458" s="66"/>
      <c r="H2458" s="25" t="str">
        <f ca="1">_xlfn.IFNA(INDIRECT(_xlfn.TEXTJOIN("",TRUE,A2445,"!",ADDRESS(22+(A2446-1)*J2445,6))),"")</f>
        <v/>
      </c>
      <c r="I2458" s="25" t="str">
        <f ca="1">_xlfn.IFNA(INDIRECT(_xlfn.TEXTJOIN("",TRUE,A2445,"!",ADDRESS(22+(A2446-1)*J2445,13))),"")</f>
        <v/>
      </c>
      <c r="J2458" s="25" t="str">
        <f ca="1">_xlfn.IFNA(INDIRECT(_xlfn.TEXTJOIN("",TRUE,A2445,"!",ADDRESS(22+(A2446-1)*J2445,14))),"")</f>
        <v/>
      </c>
    </row>
    <row r="2459" spans="1:10" ht="10.5" customHeight="1" x14ac:dyDescent="0.2">
      <c r="A2459" s="71" t="str">
        <f ca="1">IF(ISNA(A2446),"","Total Credits/ Total Grade Points")</f>
        <v/>
      </c>
      <c r="B2459" s="71"/>
      <c r="C2459" s="71"/>
      <c r="D2459" s="71"/>
      <c r="E2459" s="71"/>
      <c r="F2459" s="71"/>
      <c r="G2459" s="71"/>
      <c r="H2459" s="27" t="str">
        <f ca="1">IF(ISNA(A2446),"",SUM(H2449:H2458))</f>
        <v/>
      </c>
      <c r="I2459" s="26" t="str">
        <f ca="1">IF(ISNA(A2446),"","-")</f>
        <v/>
      </c>
      <c r="J2459" s="27" t="str">
        <f ca="1">IF(ISNA(A2446),"",SUMPRODUCT(J2449:J2458,H2449:H2458))</f>
        <v/>
      </c>
    </row>
    <row r="2460" spans="1:10" ht="10.5" customHeight="1" x14ac:dyDescent="0.2">
      <c r="A2460" s="24" t="s">
        <v>60</v>
      </c>
      <c r="B2460" s="72" t="str">
        <f ca="1">IF(ISNA(A2461),"","Semester III (Autumn Semester 2023-24)")</f>
        <v/>
      </c>
      <c r="C2460" s="72"/>
      <c r="D2460" s="72"/>
      <c r="E2460" s="72"/>
      <c r="F2460" s="72"/>
      <c r="G2460" s="72"/>
      <c r="H2460" s="72"/>
      <c r="I2460" s="72"/>
      <c r="J2460" s="24">
        <f>ROWS(A2464:B2471)+9</f>
        <v>17</v>
      </c>
    </row>
    <row r="2461" spans="1:10" ht="10.5" customHeight="1" x14ac:dyDescent="0.2">
      <c r="A2461" s="24" t="e">
        <f ca="1">INDEX(SEM_III!$A$6:$A$43,Marksheets!J2461)</f>
        <v>#N/A</v>
      </c>
      <c r="B2461" s="63"/>
      <c r="C2461" s="63"/>
      <c r="D2461" s="63"/>
      <c r="E2461" s="63"/>
      <c r="F2461" s="63"/>
      <c r="G2461" s="63"/>
      <c r="H2461" s="63"/>
      <c r="I2461" s="63"/>
      <c r="J2461" s="24" t="e">
        <f ca="1">MATCH(H2424,SEM_III!$B$6:$B$43,0)</f>
        <v>#N/A</v>
      </c>
    </row>
    <row r="2462" spans="1:10" ht="10.5" customHeight="1" x14ac:dyDescent="0.2">
      <c r="A2462" s="64" t="str">
        <f ca="1">IF(ISNA(A2461),"","Subject Code")</f>
        <v/>
      </c>
      <c r="B2462" s="64"/>
      <c r="C2462" s="64" t="str">
        <f ca="1">IF(ISNA(A2461),"","Subject Name")</f>
        <v/>
      </c>
      <c r="D2462" s="64"/>
      <c r="E2462" s="64"/>
      <c r="F2462" s="64"/>
      <c r="G2462" s="64"/>
      <c r="H2462" s="64" t="str">
        <f ca="1">IF(ISNA(A2461),"","Credits")</f>
        <v/>
      </c>
      <c r="I2462" s="64" t="str">
        <f ca="1">IF(ISNA(A2461),"","Grade")</f>
        <v/>
      </c>
      <c r="J2462" s="64" t="str">
        <f ca="1">IF(ISNA(A2461),"","Grade Points")</f>
        <v/>
      </c>
    </row>
    <row r="2463" spans="1:10" ht="12.5" customHeight="1" x14ac:dyDescent="0.2">
      <c r="A2463" s="64"/>
      <c r="B2463" s="64"/>
      <c r="C2463" s="64"/>
      <c r="D2463" s="64"/>
      <c r="E2463" s="64"/>
      <c r="F2463" s="64"/>
      <c r="G2463" s="64"/>
      <c r="H2463" s="64"/>
      <c r="I2463" s="64"/>
      <c r="J2463" s="64"/>
    </row>
    <row r="2464" spans="1:10" ht="10.5" customHeight="1" x14ac:dyDescent="0.2">
      <c r="A2464" s="65" t="str">
        <f ca="1">_xlfn.IFNA(INDIRECT(_xlfn.TEXTJOIN("",TRUE,A2460,"!",ADDRESS(13+(A2461-1)*J2460,1))),"")</f>
        <v/>
      </c>
      <c r="B2464" s="65"/>
      <c r="C2464" s="66" t="str">
        <f ca="1">_xlfn.IFNA(INDIRECT(_xlfn.TEXTJOIN("",TRUE,A2460,"!",ADDRESS(13+(A2461-1)*J2460,2))),"")</f>
        <v/>
      </c>
      <c r="D2464" s="66"/>
      <c r="E2464" s="66"/>
      <c r="F2464" s="66"/>
      <c r="G2464" s="66"/>
      <c r="H2464" s="25" t="str">
        <f ca="1">_xlfn.IFNA(INDIRECT(_xlfn.TEXTJOIN("",TRUE,A2460,"!",ADDRESS(13+(A2461-1)*J2460,6))),"")</f>
        <v/>
      </c>
      <c r="I2464" s="25" t="str">
        <f ca="1">_xlfn.IFNA(INDIRECT(_xlfn.TEXTJOIN("",TRUE,A2460,"!",ADDRESS(13+(A2461-1)*J2460,13))),"")</f>
        <v/>
      </c>
      <c r="J2464" s="25" t="str">
        <f ca="1">_xlfn.IFNA(INDIRECT(_xlfn.TEXTJOIN("",TRUE,A2460,"!",ADDRESS(13+(A2461-1)*J2460,14))),"")</f>
        <v/>
      </c>
    </row>
    <row r="2465" spans="1:10" ht="10.5" customHeight="1" x14ac:dyDescent="0.2">
      <c r="A2465" s="65" t="str">
        <f ca="1">_xlfn.IFNA(INDIRECT(_xlfn.TEXTJOIN("",TRUE,A2460,"!",ADDRESS(14+(A2461-1)*J2460,1))),"")</f>
        <v/>
      </c>
      <c r="B2465" s="65"/>
      <c r="C2465" s="66" t="str">
        <f ca="1">_xlfn.IFNA(INDIRECT(_xlfn.TEXTJOIN("",TRUE,A2460,"!",ADDRESS(14+(A2461-1)*J2460,2))),"")</f>
        <v/>
      </c>
      <c r="D2465" s="66"/>
      <c r="E2465" s="66"/>
      <c r="F2465" s="66"/>
      <c r="G2465" s="66"/>
      <c r="H2465" s="25" t="str">
        <f ca="1">_xlfn.IFNA(INDIRECT(_xlfn.TEXTJOIN("",TRUE,A2460,"!",ADDRESS(14+(A2461-1)*J2460,6))),"")</f>
        <v/>
      </c>
      <c r="I2465" s="25" t="str">
        <f ca="1">_xlfn.IFNA(INDIRECT(_xlfn.TEXTJOIN("",TRUE,A2460,"!",ADDRESS(14+(A2461-1)*J2460,13))),"")</f>
        <v/>
      </c>
      <c r="J2465" s="25" t="str">
        <f ca="1">_xlfn.IFNA(INDIRECT(_xlfn.TEXTJOIN("",TRUE,A2460,"!",ADDRESS(14+(A2461-1)*J2460,14))),"")</f>
        <v/>
      </c>
    </row>
    <row r="2466" spans="1:10" ht="10.5" customHeight="1" x14ac:dyDescent="0.2">
      <c r="A2466" s="65" t="str">
        <f ca="1">_xlfn.IFNA(INDIRECT(_xlfn.TEXTJOIN("",TRUE,A2460,"!",ADDRESS(15+(A2461-1)*J2460,1))),"")</f>
        <v/>
      </c>
      <c r="B2466" s="65"/>
      <c r="C2466" s="66" t="str">
        <f ca="1">_xlfn.IFNA(INDIRECT(_xlfn.TEXTJOIN("",TRUE,A2460,"!",ADDRESS(15+(A2461-1)*J2460,2))),"")</f>
        <v/>
      </c>
      <c r="D2466" s="66"/>
      <c r="E2466" s="66"/>
      <c r="F2466" s="66"/>
      <c r="G2466" s="66"/>
      <c r="H2466" s="25" t="str">
        <f ca="1">_xlfn.IFNA(INDIRECT(_xlfn.TEXTJOIN("",TRUE,A2460,"!",ADDRESS(15+(A2461-1)*J2460,6))),"")</f>
        <v/>
      </c>
      <c r="I2466" s="25" t="str">
        <f ca="1">_xlfn.IFNA(INDIRECT(_xlfn.TEXTJOIN("",TRUE,A2460,"!",ADDRESS(15+(A2461-1)*J2460,13))),"")</f>
        <v/>
      </c>
      <c r="J2466" s="25" t="str">
        <f ca="1">_xlfn.IFNA(INDIRECT(_xlfn.TEXTJOIN("",TRUE,A2460,"!",ADDRESS(15+(A2461-1)*J2460,14))),"")</f>
        <v/>
      </c>
    </row>
    <row r="2467" spans="1:10" ht="10.5" customHeight="1" x14ac:dyDescent="0.2">
      <c r="A2467" s="65" t="str">
        <f ca="1">_xlfn.IFNA(INDIRECT(_xlfn.TEXTJOIN("",TRUE,A2460,"!",ADDRESS(16+(A2461-1)*J2460,1))),"")</f>
        <v/>
      </c>
      <c r="B2467" s="65"/>
      <c r="C2467" s="66" t="str">
        <f ca="1">_xlfn.IFNA(INDIRECT(_xlfn.TEXTJOIN("",TRUE,A2460,"!",ADDRESS(16+(A2461-1)*J2460,2))),"")</f>
        <v/>
      </c>
      <c r="D2467" s="66"/>
      <c r="E2467" s="66"/>
      <c r="F2467" s="66"/>
      <c r="G2467" s="66"/>
      <c r="H2467" s="25" t="str">
        <f ca="1">_xlfn.IFNA(INDIRECT(_xlfn.TEXTJOIN("",TRUE,A2460,"!",ADDRESS(16+(A2461-1)*J2460,6))),"")</f>
        <v/>
      </c>
      <c r="I2467" s="25" t="str">
        <f ca="1">_xlfn.IFNA(INDIRECT(_xlfn.TEXTJOIN("",TRUE,A2460,"!",ADDRESS(16+(A2461-1)*J2460,13))),"")</f>
        <v/>
      </c>
      <c r="J2467" s="25" t="str">
        <f ca="1">_xlfn.IFNA(INDIRECT(_xlfn.TEXTJOIN("",TRUE,A2460,"!",ADDRESS(16+(A2461-1)*J2460,14))),"")</f>
        <v/>
      </c>
    </row>
    <row r="2468" spans="1:10" ht="10.5" customHeight="1" x14ac:dyDescent="0.2">
      <c r="A2468" s="65" t="str">
        <f ca="1">_xlfn.IFNA(INDIRECT(_xlfn.TEXTJOIN("",TRUE,A2460,"!",ADDRESS(17+(A2461-1)*J2460,1))),"")</f>
        <v/>
      </c>
      <c r="B2468" s="65"/>
      <c r="C2468" s="66" t="str">
        <f ca="1">_xlfn.IFNA(INDIRECT(_xlfn.TEXTJOIN("",TRUE,A2460,"!",ADDRESS(17+(A2461-1)*J2460,2))),"")</f>
        <v/>
      </c>
      <c r="D2468" s="66"/>
      <c r="E2468" s="66"/>
      <c r="F2468" s="66"/>
      <c r="G2468" s="66"/>
      <c r="H2468" s="25" t="str">
        <f ca="1">_xlfn.IFNA(INDIRECT(_xlfn.TEXTJOIN("",TRUE,A2460,"!",ADDRESS(17+(A2461-1)*J2460,6))),"")</f>
        <v/>
      </c>
      <c r="I2468" s="25" t="str">
        <f ca="1">_xlfn.IFNA(INDIRECT(_xlfn.TEXTJOIN("",TRUE,A2460,"!",ADDRESS(17+(A2461-1)*J2460,13))),"")</f>
        <v/>
      </c>
      <c r="J2468" s="25" t="str">
        <f ca="1">_xlfn.IFNA(INDIRECT(_xlfn.TEXTJOIN("",TRUE,A2460,"!",ADDRESS(17+(A2461-1)*J2460,14))),"")</f>
        <v/>
      </c>
    </row>
    <row r="2469" spans="1:10" ht="10.5" customHeight="1" x14ac:dyDescent="0.2">
      <c r="A2469" s="65" t="str">
        <f ca="1">_xlfn.IFNA(INDIRECT(_xlfn.TEXTJOIN("",TRUE,A2460,"!",ADDRESS(18+(A2461-1)*J2460,1))),"")</f>
        <v/>
      </c>
      <c r="B2469" s="65"/>
      <c r="C2469" s="66" t="str">
        <f ca="1">_xlfn.IFNA(INDIRECT(_xlfn.TEXTJOIN("",TRUE,A2460,"!",ADDRESS(18+(A2461-1)*J2460,2))),"")</f>
        <v/>
      </c>
      <c r="D2469" s="66"/>
      <c r="E2469" s="66"/>
      <c r="F2469" s="66"/>
      <c r="G2469" s="66"/>
      <c r="H2469" s="25" t="str">
        <f ca="1">_xlfn.IFNA(INDIRECT(_xlfn.TEXTJOIN("",TRUE,A2460,"!",ADDRESS(18+(A2461-1)*J2460,6))),"")</f>
        <v/>
      </c>
      <c r="I2469" s="25" t="str">
        <f ca="1">_xlfn.IFNA(INDIRECT(_xlfn.TEXTJOIN("",TRUE,A2460,"!",ADDRESS(18+(A2461-1)*J2460,13))),"")</f>
        <v/>
      </c>
      <c r="J2469" s="25" t="str">
        <f ca="1">_xlfn.IFNA(INDIRECT(_xlfn.TEXTJOIN("",TRUE,A2460,"!",ADDRESS(18+(A2461-1)*J2460,14))),"")</f>
        <v/>
      </c>
    </row>
    <row r="2470" spans="1:10" ht="10.5" customHeight="1" x14ac:dyDescent="0.2">
      <c r="A2470" s="60" t="str">
        <f ca="1">_xlfn.IFNA(INDIRECT(_xlfn.TEXTJOIN("",TRUE,A2460,"!",ADDRESS(19+(A2461-1)*J2460,1))),"")</f>
        <v/>
      </c>
      <c r="B2470" s="61"/>
      <c r="C2470" s="57" t="str">
        <f ca="1">_xlfn.IFNA(INDIRECT(_xlfn.TEXTJOIN("",TRUE,A2460,"!",ADDRESS(19+(A2461-1)*J2460,2))),"")</f>
        <v/>
      </c>
      <c r="D2470" s="58"/>
      <c r="E2470" s="58"/>
      <c r="F2470" s="58"/>
      <c r="G2470" s="59"/>
      <c r="H2470" s="25" t="str">
        <f ca="1">_xlfn.IFNA(INDIRECT(_xlfn.TEXTJOIN("",TRUE,A2460,"!",ADDRESS(19+(A2461-1)*J2460,6))),"")</f>
        <v/>
      </c>
      <c r="I2470" s="25" t="str">
        <f ca="1">_xlfn.IFNA(INDIRECT(_xlfn.TEXTJOIN("",TRUE,A2460,"!",ADDRESS(19+(A2461-1)*J2460,13))),"")</f>
        <v/>
      </c>
      <c r="J2470" s="25" t="str">
        <f ca="1">_xlfn.IFNA(INDIRECT(_xlfn.TEXTJOIN("",TRUE,A2460,"!",ADDRESS(19+(A2461-1)*J2460,14))),"")</f>
        <v/>
      </c>
    </row>
    <row r="2471" spans="1:10" ht="10.5" customHeight="1" x14ac:dyDescent="0.2">
      <c r="A2471" s="65" t="str">
        <f ca="1">_xlfn.IFNA(INDIRECT(_xlfn.TEXTJOIN("",TRUE,A2460,"!",ADDRESS(20+(A2461-1)*J2460,1))),"")</f>
        <v/>
      </c>
      <c r="B2471" s="65"/>
      <c r="C2471" s="66" t="str">
        <f ca="1">_xlfn.IFNA(INDIRECT(_xlfn.TEXTJOIN("",TRUE,A2460,"!",ADDRESS(20+(A2461-1)*J2460,2))),"")</f>
        <v/>
      </c>
      <c r="D2471" s="66"/>
      <c r="E2471" s="66"/>
      <c r="F2471" s="66"/>
      <c r="G2471" s="66"/>
      <c r="H2471" s="25" t="str">
        <f ca="1">_xlfn.IFNA(INDIRECT(_xlfn.TEXTJOIN("",TRUE,A2460,"!",ADDRESS(20+(A2461-1)*J2460,6))),"")</f>
        <v/>
      </c>
      <c r="I2471" s="25" t="str">
        <f ca="1">_xlfn.IFNA(INDIRECT(_xlfn.TEXTJOIN("",TRUE,A2460,"!",ADDRESS(20+(A2461-1)*J2460,13))),"")</f>
        <v/>
      </c>
      <c r="J2471" s="25" t="str">
        <f ca="1">_xlfn.IFNA(INDIRECT(_xlfn.TEXTJOIN("",TRUE,A2460,"!",ADDRESS(20+(A2461-1)*J2460,14))),"")</f>
        <v/>
      </c>
    </row>
    <row r="2472" spans="1:10" ht="10.5" customHeight="1" x14ac:dyDescent="0.2">
      <c r="A2472" s="71" t="str">
        <f ca="1">IF(ISNA(A2461),"","Total Credits/ Total Grade Points")</f>
        <v/>
      </c>
      <c r="B2472" s="71"/>
      <c r="C2472" s="71"/>
      <c r="D2472" s="71"/>
      <c r="E2472" s="71"/>
      <c r="F2472" s="71"/>
      <c r="G2472" s="71"/>
      <c r="H2472" s="27" t="str">
        <f ca="1">IF(ISNA(A2461),"",SUM(H2464:H2471))</f>
        <v/>
      </c>
      <c r="I2472" s="26" t="str">
        <f ca="1">IF(ISNA(A2461),"","-")</f>
        <v/>
      </c>
      <c r="J2472" s="27" t="str">
        <f ca="1">IF(ISNA(A2461),"",SUMPRODUCT(J2464:J2471,H2464:H2471))</f>
        <v/>
      </c>
    </row>
    <row r="2473" spans="1:10" ht="10.5" customHeight="1" x14ac:dyDescent="0.2">
      <c r="A2473" s="24" t="s">
        <v>133</v>
      </c>
      <c r="B2473" s="72" t="str">
        <f ca="1">IF(ISNA(A2474),"","Semester IV (Spring Semester 2023-24)")</f>
        <v/>
      </c>
      <c r="C2473" s="72"/>
      <c r="D2473" s="72"/>
      <c r="E2473" s="72"/>
      <c r="F2473" s="72"/>
      <c r="G2473" s="72"/>
      <c r="H2473" s="72"/>
      <c r="I2473" s="72"/>
      <c r="J2473" s="24">
        <f>ROWS(A2477:B2483)+9</f>
        <v>16</v>
      </c>
    </row>
    <row r="2474" spans="1:10" ht="10.5" customHeight="1" x14ac:dyDescent="0.2">
      <c r="A2474" s="24" t="e">
        <f ca="1">INDEX(SEM_IV!$A$6:$A$43,Marksheets!J2474)</f>
        <v>#N/A</v>
      </c>
      <c r="B2474" s="63"/>
      <c r="C2474" s="63"/>
      <c r="D2474" s="63"/>
      <c r="E2474" s="63"/>
      <c r="F2474" s="63"/>
      <c r="G2474" s="63"/>
      <c r="H2474" s="63"/>
      <c r="I2474" s="63"/>
      <c r="J2474" s="24" t="e">
        <f ca="1">MATCH(H2424,SEM_IV!$B$6:$B$43,0)</f>
        <v>#N/A</v>
      </c>
    </row>
    <row r="2475" spans="1:10" ht="10.5" customHeight="1" x14ac:dyDescent="0.2">
      <c r="A2475" s="64" t="str">
        <f ca="1">IF(ISNA(A2474),"","Subject Code")</f>
        <v/>
      </c>
      <c r="B2475" s="64"/>
      <c r="C2475" s="64" t="str">
        <f ca="1">IF(ISNA(A2474),"","Subject Name")</f>
        <v/>
      </c>
      <c r="D2475" s="64"/>
      <c r="E2475" s="64"/>
      <c r="F2475" s="64"/>
      <c r="G2475" s="64"/>
      <c r="H2475" s="64" t="str">
        <f ca="1">IF(ISNA(A2474),"","Credits")</f>
        <v/>
      </c>
      <c r="I2475" s="64" t="str">
        <f ca="1">IF(ISNA(A2474),"","Grade")</f>
        <v/>
      </c>
      <c r="J2475" s="64" t="str">
        <f ca="1">IF(ISNA(A2474),"","Grade Points")</f>
        <v/>
      </c>
    </row>
    <row r="2476" spans="1:10" ht="13" customHeight="1" x14ac:dyDescent="0.2">
      <c r="A2476" s="64"/>
      <c r="B2476" s="64"/>
      <c r="C2476" s="64"/>
      <c r="D2476" s="64"/>
      <c r="E2476" s="64"/>
      <c r="F2476" s="64"/>
      <c r="G2476" s="64"/>
      <c r="H2476" s="64"/>
      <c r="I2476" s="64"/>
      <c r="J2476" s="64"/>
    </row>
    <row r="2477" spans="1:10" ht="10.5" customHeight="1" x14ac:dyDescent="0.2">
      <c r="A2477" s="65" t="str">
        <f ca="1">_xlfn.IFNA(INDIRECT(_xlfn.TEXTJOIN("",TRUE,A2473,"!",ADDRESS(13+(A2474-1)*J2473,1))),"")</f>
        <v/>
      </c>
      <c r="B2477" s="65"/>
      <c r="C2477" s="66" t="str">
        <f ca="1">_xlfn.IFNA(INDIRECT(_xlfn.TEXTJOIN("",TRUE,A2473,"!",ADDRESS(13+(A2474-1)*J2473,2))),"")</f>
        <v/>
      </c>
      <c r="D2477" s="66"/>
      <c r="E2477" s="66"/>
      <c r="F2477" s="66"/>
      <c r="G2477" s="66"/>
      <c r="H2477" s="25" t="str">
        <f ca="1">_xlfn.IFNA(INDIRECT(_xlfn.TEXTJOIN("",TRUE,A2473,"!",ADDRESS(13+(A2474-1)*J2473,6))),"")</f>
        <v/>
      </c>
      <c r="I2477" s="25" t="str">
        <f ca="1">_xlfn.IFNA(INDIRECT(_xlfn.TEXTJOIN("",TRUE,A2473,"!",ADDRESS(13+(A2474-1)*J2473,13))),"")</f>
        <v/>
      </c>
      <c r="J2477" s="25" t="str">
        <f ca="1">_xlfn.IFNA(INDIRECT(_xlfn.TEXTJOIN("",TRUE,A2473,"!",ADDRESS(13+(A2474-1)*J2473,14))),"")</f>
        <v/>
      </c>
    </row>
    <row r="2478" spans="1:10" ht="10.5" customHeight="1" x14ac:dyDescent="0.2">
      <c r="A2478" s="65" t="str">
        <f ca="1">_xlfn.IFNA(INDIRECT(_xlfn.TEXTJOIN("",TRUE,A2473,"!",ADDRESS(14+(A2474-1)*J2473,1))),"")</f>
        <v/>
      </c>
      <c r="B2478" s="65"/>
      <c r="C2478" s="66" t="str">
        <f ca="1">_xlfn.IFNA(INDIRECT(_xlfn.TEXTJOIN("",TRUE,A2473,"!",ADDRESS(14+(A2474-1)*J2473,2))),"")</f>
        <v/>
      </c>
      <c r="D2478" s="66"/>
      <c r="E2478" s="66"/>
      <c r="F2478" s="66"/>
      <c r="G2478" s="66"/>
      <c r="H2478" s="25" t="str">
        <f ca="1">_xlfn.IFNA(INDIRECT(_xlfn.TEXTJOIN("",TRUE,A2473,"!",ADDRESS(14+(A2474-1)*J2473,6))),"")</f>
        <v/>
      </c>
      <c r="I2478" s="25" t="str">
        <f ca="1">_xlfn.IFNA(INDIRECT(_xlfn.TEXTJOIN("",TRUE,A2473,"!",ADDRESS(14+(A2474-1)*J2473,13))),"")</f>
        <v/>
      </c>
      <c r="J2478" s="25" t="str">
        <f ca="1">_xlfn.IFNA(INDIRECT(_xlfn.TEXTJOIN("",TRUE,A2473,"!",ADDRESS(14+(A2474-1)*J2473,14))),"")</f>
        <v/>
      </c>
    </row>
    <row r="2479" spans="1:10" ht="10.5" customHeight="1" x14ac:dyDescent="0.2">
      <c r="A2479" s="65" t="str">
        <f ca="1">_xlfn.IFNA(INDIRECT(_xlfn.TEXTJOIN("",TRUE,A2473,"!",ADDRESS(15+(A2474-1)*J2473,1))),"")</f>
        <v/>
      </c>
      <c r="B2479" s="65"/>
      <c r="C2479" s="66" t="str">
        <f ca="1">_xlfn.IFNA(INDIRECT(_xlfn.TEXTJOIN("",TRUE,A2473,"!",ADDRESS(15+(A2474-1)*J2473,2))),"")</f>
        <v/>
      </c>
      <c r="D2479" s="66"/>
      <c r="E2479" s="66"/>
      <c r="F2479" s="66"/>
      <c r="G2479" s="66"/>
      <c r="H2479" s="25" t="str">
        <f ca="1">_xlfn.IFNA(INDIRECT(_xlfn.TEXTJOIN("",TRUE,A2473,"!",ADDRESS(15+(A2474-1)*J2473,6))),"")</f>
        <v/>
      </c>
      <c r="I2479" s="25" t="str">
        <f ca="1">_xlfn.IFNA(INDIRECT(_xlfn.TEXTJOIN("",TRUE,A2473,"!",ADDRESS(15+(A2474-1)*J2473,13))),"")</f>
        <v/>
      </c>
      <c r="J2479" s="25" t="str">
        <f ca="1">_xlfn.IFNA(INDIRECT(_xlfn.TEXTJOIN("",TRUE,A2473,"!",ADDRESS(15+(A2474-1)*J2473,14))),"")</f>
        <v/>
      </c>
    </row>
    <row r="2480" spans="1:10" ht="10.5" customHeight="1" x14ac:dyDescent="0.2">
      <c r="A2480" s="65" t="str">
        <f ca="1">_xlfn.IFNA(INDIRECT(_xlfn.TEXTJOIN("",TRUE,A2473,"!",ADDRESS(16+(A2474-1)*J2473,1))),"")</f>
        <v/>
      </c>
      <c r="B2480" s="65"/>
      <c r="C2480" s="66" t="str">
        <f ca="1">_xlfn.IFNA(INDIRECT(_xlfn.TEXTJOIN("",TRUE,A2473,"!",ADDRESS(16+(A2474-1)*J2473,2))),"")</f>
        <v/>
      </c>
      <c r="D2480" s="66"/>
      <c r="E2480" s="66"/>
      <c r="F2480" s="66"/>
      <c r="G2480" s="66"/>
      <c r="H2480" s="25" t="str">
        <f ca="1">_xlfn.IFNA(INDIRECT(_xlfn.TEXTJOIN("",TRUE,A2473,"!",ADDRESS(16+(A2474-1)*J2473,6))),"")</f>
        <v/>
      </c>
      <c r="I2480" s="25" t="str">
        <f ca="1">_xlfn.IFNA(INDIRECT(_xlfn.TEXTJOIN("",TRUE,A2473,"!",ADDRESS(16+(A2474-1)*J2473,13))),"")</f>
        <v/>
      </c>
      <c r="J2480" s="25" t="str">
        <f ca="1">_xlfn.IFNA(INDIRECT(_xlfn.TEXTJOIN("",TRUE,A2473,"!",ADDRESS(16+(A2474-1)*J2473,14))),"")</f>
        <v/>
      </c>
    </row>
    <row r="2481" spans="1:10" ht="10.5" customHeight="1" x14ac:dyDescent="0.2">
      <c r="A2481" s="65" t="str">
        <f ca="1">_xlfn.IFNA(INDIRECT(_xlfn.TEXTJOIN("",TRUE,A2473,"!",ADDRESS(17+(A2474-1)*J2473,1))),"")</f>
        <v/>
      </c>
      <c r="B2481" s="65"/>
      <c r="C2481" s="66" t="str">
        <f ca="1">_xlfn.IFNA(INDIRECT(_xlfn.TEXTJOIN("",TRUE,A2473,"!",ADDRESS(17+(A2474-1)*J2473,2))),"")</f>
        <v/>
      </c>
      <c r="D2481" s="66"/>
      <c r="E2481" s="66"/>
      <c r="F2481" s="66"/>
      <c r="G2481" s="66"/>
      <c r="H2481" s="25" t="str">
        <f ca="1">_xlfn.IFNA(INDIRECT(_xlfn.TEXTJOIN("",TRUE,A2473,"!",ADDRESS(17+(A2474-1)*J2473,6))),"")</f>
        <v/>
      </c>
      <c r="I2481" s="25" t="str">
        <f ca="1">_xlfn.IFNA(INDIRECT(_xlfn.TEXTJOIN("",TRUE,A2473,"!",ADDRESS(17+(A2474-1)*J2473,13))),"")</f>
        <v/>
      </c>
      <c r="J2481" s="25" t="str">
        <f ca="1">_xlfn.IFNA(INDIRECT(_xlfn.TEXTJOIN("",TRUE,A2473,"!",ADDRESS(17+(A2474-1)*J2473,14))),"")</f>
        <v/>
      </c>
    </row>
    <row r="2482" spans="1:10" ht="10.5" customHeight="1" x14ac:dyDescent="0.2">
      <c r="A2482" s="65" t="str">
        <f ca="1">_xlfn.IFNA(INDIRECT(_xlfn.TEXTJOIN("",TRUE,A2473,"!",ADDRESS(18+(A2474-1)*J2473,1))),"")</f>
        <v/>
      </c>
      <c r="B2482" s="65"/>
      <c r="C2482" s="66" t="str">
        <f ca="1">_xlfn.IFNA(INDIRECT(_xlfn.TEXTJOIN("",TRUE,A2473,"!",ADDRESS(18+(A2474-1)*J2473,2))),"")</f>
        <v/>
      </c>
      <c r="D2482" s="66"/>
      <c r="E2482" s="66"/>
      <c r="F2482" s="66"/>
      <c r="G2482" s="66"/>
      <c r="H2482" s="25" t="str">
        <f ca="1">_xlfn.IFNA(INDIRECT(_xlfn.TEXTJOIN("",TRUE,A2473,"!",ADDRESS(18+(A2474-1)*J2473,6))),"")</f>
        <v/>
      </c>
      <c r="I2482" s="25" t="str">
        <f ca="1">_xlfn.IFNA(INDIRECT(_xlfn.TEXTJOIN("",TRUE,A2473,"!",ADDRESS(18+(A2474-1)*J2473,13))),"")</f>
        <v/>
      </c>
      <c r="J2482" s="25" t="str">
        <f ca="1">_xlfn.IFNA(INDIRECT(_xlfn.TEXTJOIN("",TRUE,A2473,"!",ADDRESS(18+(A2474-1)*J2473,14))),"")</f>
        <v/>
      </c>
    </row>
    <row r="2483" spans="1:10" ht="10.5" customHeight="1" x14ac:dyDescent="0.2">
      <c r="A2483" s="60" t="str">
        <f ca="1">_xlfn.IFNA(INDIRECT(_xlfn.TEXTJOIN("",TRUE,A2473,"!",ADDRESS(19+(A2474-1)*J2473,1))),"")</f>
        <v/>
      </c>
      <c r="B2483" s="61"/>
      <c r="C2483" s="57" t="str">
        <f ca="1">_xlfn.IFNA(INDIRECT(_xlfn.TEXTJOIN("",TRUE,A2473,"!",ADDRESS(19+(A2474-1)*J2473,2))),"")</f>
        <v/>
      </c>
      <c r="D2483" s="58"/>
      <c r="E2483" s="58"/>
      <c r="F2483" s="58"/>
      <c r="G2483" s="59"/>
      <c r="H2483" s="25" t="str">
        <f ca="1">_xlfn.IFNA(INDIRECT(_xlfn.TEXTJOIN("",TRUE,A2473,"!",ADDRESS(19+(A2474-1)*J2473,6))),"")</f>
        <v/>
      </c>
      <c r="I2483" s="25" t="str">
        <f ca="1">_xlfn.IFNA(INDIRECT(_xlfn.TEXTJOIN("",TRUE,A2473,"!",ADDRESS(19+(A2474-1)*J2473,13))),"")</f>
        <v/>
      </c>
      <c r="J2483" s="25" t="str">
        <f ca="1">_xlfn.IFNA(INDIRECT(_xlfn.TEXTJOIN("",TRUE,A2473,"!",ADDRESS(19+(A2474-1)*J2473,14))),"")</f>
        <v/>
      </c>
    </row>
    <row r="2484" spans="1:10" ht="10.5" customHeight="1" x14ac:dyDescent="0.2">
      <c r="A2484" s="71" t="str">
        <f ca="1">IF(ISNA(A2474),"","Total Credits/ Total Grade Points")</f>
        <v/>
      </c>
      <c r="B2484" s="71"/>
      <c r="C2484" s="71"/>
      <c r="D2484" s="71"/>
      <c r="E2484" s="71"/>
      <c r="F2484" s="71"/>
      <c r="G2484" s="71"/>
      <c r="H2484" s="27" t="str">
        <f ca="1">IF(ISNA(A2474),"",SUM(H2476:H2483))</f>
        <v/>
      </c>
      <c r="I2484" s="26" t="str">
        <f ca="1">IF(ISNA(A2474),"","-")</f>
        <v/>
      </c>
      <c r="J2484" s="27" t="str">
        <f ca="1">IF(ISNA(A2474),"",SUMPRODUCT(J2476:J2483,H2476:H2483))</f>
        <v/>
      </c>
    </row>
    <row r="2485" spans="1:10" ht="10.5" customHeight="1" x14ac:dyDescent="0.2">
      <c r="A2485" s="75" t="s">
        <v>137</v>
      </c>
      <c r="B2485" s="75"/>
      <c r="C2485" s="75"/>
      <c r="D2485" s="75"/>
      <c r="E2485" s="75"/>
      <c r="F2485" s="76" t="s">
        <v>138</v>
      </c>
      <c r="G2485" s="76"/>
      <c r="H2485" s="76"/>
      <c r="I2485" s="76"/>
      <c r="J2485" s="76"/>
    </row>
    <row r="2486" spans="1:10" ht="10.5" customHeight="1" x14ac:dyDescent="0.2">
      <c r="A2486" s="43" t="s">
        <v>139</v>
      </c>
      <c r="B2486" s="43"/>
      <c r="C2486" s="43"/>
      <c r="D2486" s="43"/>
      <c r="E2486" s="43"/>
      <c r="F2486" s="43"/>
      <c r="G2486" s="43"/>
      <c r="H2486" s="43"/>
      <c r="I2486" s="43"/>
      <c r="J2486" s="43"/>
    </row>
    <row r="2487" spans="1:10" ht="10.5" customHeight="1" x14ac:dyDescent="0.2">
      <c r="A2487" s="10"/>
      <c r="B2487" s="26"/>
      <c r="C2487" s="26" t="s">
        <v>140</v>
      </c>
      <c r="D2487" s="26" t="s">
        <v>141</v>
      </c>
      <c r="E2487" s="26" t="s">
        <v>142</v>
      </c>
      <c r="F2487" s="26" t="s">
        <v>143</v>
      </c>
      <c r="G2487" s="26" t="s">
        <v>144</v>
      </c>
      <c r="H2487" s="79" t="s">
        <v>145</v>
      </c>
      <c r="I2487" s="79"/>
      <c r="J2487" s="30"/>
    </row>
    <row r="2488" spans="1:10" ht="10.5" customHeight="1" x14ac:dyDescent="0.2">
      <c r="A2488" s="10"/>
      <c r="B2488" s="80" t="s">
        <v>146</v>
      </c>
      <c r="C2488" s="73" t="e">
        <f ca="1">J2444/H2444</f>
        <v>#N/A</v>
      </c>
      <c r="D2488" s="73" t="e">
        <f ca="1">J2459/H2459</f>
        <v>#VALUE!</v>
      </c>
      <c r="E2488" s="73" t="str">
        <f ca="1">IFERROR(J2472/H2472,"")</f>
        <v/>
      </c>
      <c r="F2488" s="73" t="str">
        <f ca="1">IFERROR(J2484/H2484,"")</f>
        <v/>
      </c>
      <c r="G2488" s="82" t="e">
        <f ca="1">F2490</f>
        <v>#N/A</v>
      </c>
      <c r="H2488" s="83" t="e">
        <f ca="1">IF(TC_IV!N565&lt;96,_xlfn.TEXTJOIN(" ",TRUE,"CARRY OVER",TC_I!V832,TC_II!V688,",",TC_III!V599,TC_IV!V564),IF(G2488&gt;=8,"First Division with Distinction",IF(G2488&gt;=6.5,"First Division",IF(G2488&gt;=5,"Second Division",IF(G2488&gt;=4,"Third Division","Fail")))))</f>
        <v>#N/A</v>
      </c>
      <c r="I2488" s="83"/>
      <c r="J2488" s="30"/>
    </row>
    <row r="2489" spans="1:10" ht="10.5" customHeight="1" x14ac:dyDescent="0.2">
      <c r="B2489" s="81"/>
      <c r="C2489" s="74"/>
      <c r="D2489" s="74"/>
      <c r="E2489" s="74"/>
      <c r="F2489" s="74"/>
      <c r="G2489" s="82"/>
      <c r="H2489" s="83"/>
      <c r="I2489" s="83"/>
    </row>
    <row r="2490" spans="1:10" ht="10.5" customHeight="1" x14ac:dyDescent="0.2">
      <c r="B2490" s="80" t="s">
        <v>48</v>
      </c>
      <c r="C2490" s="73" t="e">
        <f ca="1">J2444/H2444</f>
        <v>#N/A</v>
      </c>
      <c r="D2490" s="73" t="e">
        <f ca="1">SUM(J2459,J2444)/SUM(H2459,H2444)</f>
        <v>#N/A</v>
      </c>
      <c r="E2490" s="73" t="e">
        <f ca="1">SUM(J2472,J2459,J2444)/SUM(H2472,H2459,H2444)</f>
        <v>#N/A</v>
      </c>
      <c r="F2490" s="73" t="e">
        <f ca="1">SUM(J2484,J2472,J2459,J2444)/SUM(H2444,H2459,H2472,H2484)</f>
        <v>#N/A</v>
      </c>
      <c r="G2490" s="82"/>
      <c r="H2490" s="83"/>
      <c r="I2490" s="83"/>
    </row>
    <row r="2491" spans="1:10" ht="10.5" customHeight="1" x14ac:dyDescent="0.2">
      <c r="B2491" s="81"/>
      <c r="C2491" s="74"/>
      <c r="D2491" s="74"/>
      <c r="E2491" s="74"/>
      <c r="F2491" s="74"/>
      <c r="G2491" s="82"/>
      <c r="H2491" s="83"/>
      <c r="I2491" s="83"/>
    </row>
    <row r="2493" spans="1:10" ht="10.5" customHeight="1" x14ac:dyDescent="0.2">
      <c r="A2493" s="56" t="s">
        <v>24</v>
      </c>
      <c r="B2493" s="56"/>
      <c r="C2493" s="56" t="str">
        <f ca="1">INDIRECT(_xlfn.TEXTJOIN("",TRUE,A2495,"!",ADDRESS(9+(A2496-1)*J2495,2)))</f>
        <v/>
      </c>
      <c r="D2493" s="56"/>
      <c r="E2493" s="56"/>
      <c r="F2493" s="56" t="s">
        <v>135</v>
      </c>
      <c r="G2493" s="56"/>
      <c r="H2493" s="62" t="str">
        <f ca="1">INDIRECT(_xlfn.TEXTJOIN("",TRUE,A2495,"!",ADDRESS(9+(A2496-1)*J2495,9)))</f>
        <v/>
      </c>
      <c r="I2493" s="56"/>
      <c r="J2493" s="56"/>
    </row>
    <row r="2494" spans="1:10" ht="10.5" customHeight="1" x14ac:dyDescent="0.2">
      <c r="A2494" s="56" t="s">
        <v>25</v>
      </c>
      <c r="B2494" s="56"/>
      <c r="C2494" s="56" t="str">
        <f ca="1">INDIRECT(_xlfn.TEXTJOIN("",TRUE,A2495,"!",ADDRESS(9+(A2496-1)*J2495,5)))</f>
        <v/>
      </c>
      <c r="D2494" s="56"/>
      <c r="E2494" s="56"/>
      <c r="F2494" s="47" t="s">
        <v>136</v>
      </c>
      <c r="G2494" s="47"/>
      <c r="H2494" s="62" t="str">
        <f ca="1">INDIRECT(_xlfn.TEXTJOIN("",TRUE,A2495,"!",ADDRESS(9+(A2496-1)*J2495,13)))</f>
        <v/>
      </c>
      <c r="I2494" s="56"/>
      <c r="J2494" s="56"/>
    </row>
    <row r="2495" spans="1:10" ht="10.5" customHeight="1" x14ac:dyDescent="0.2">
      <c r="A2495" s="24" t="s">
        <v>53</v>
      </c>
      <c r="B2495" s="43" t="s">
        <v>148</v>
      </c>
      <c r="C2495" s="43"/>
      <c r="D2495" s="43"/>
      <c r="E2495" s="43"/>
      <c r="F2495" s="43"/>
      <c r="G2495" s="43"/>
      <c r="H2495" s="43"/>
      <c r="I2495" s="43"/>
      <c r="J2495" s="24">
        <f>ROWS(A2499:B2512)+9</f>
        <v>23</v>
      </c>
    </row>
    <row r="2496" spans="1:10" ht="10.5" customHeight="1" x14ac:dyDescent="0.2">
      <c r="A2496" s="24">
        <f>A2427+1</f>
        <v>37</v>
      </c>
      <c r="B2496" s="63"/>
      <c r="C2496" s="63"/>
      <c r="D2496" s="63"/>
      <c r="E2496" s="63"/>
      <c r="F2496" s="63"/>
      <c r="G2496" s="63"/>
      <c r="H2496" s="63"/>
      <c r="I2496" s="63"/>
      <c r="J2496" s="29"/>
    </row>
    <row r="2497" spans="1:10" ht="10.5" customHeight="1" x14ac:dyDescent="0.2">
      <c r="A2497" s="64" t="s">
        <v>28</v>
      </c>
      <c r="B2497" s="64"/>
      <c r="C2497" s="64" t="s">
        <v>29</v>
      </c>
      <c r="D2497" s="64"/>
      <c r="E2497" s="64"/>
      <c r="F2497" s="64"/>
      <c r="G2497" s="64"/>
      <c r="H2497" s="64" t="s">
        <v>30</v>
      </c>
      <c r="I2497" s="64" t="s">
        <v>9</v>
      </c>
      <c r="J2497" s="64" t="s">
        <v>34</v>
      </c>
    </row>
    <row r="2498" spans="1:10" ht="13.5" customHeight="1" x14ac:dyDescent="0.2">
      <c r="A2498" s="64"/>
      <c r="B2498" s="64"/>
      <c r="C2498" s="64"/>
      <c r="D2498" s="64"/>
      <c r="E2498" s="64"/>
      <c r="F2498" s="64"/>
      <c r="G2498" s="64"/>
      <c r="H2498" s="64"/>
      <c r="I2498" s="64"/>
      <c r="J2498" s="64"/>
    </row>
    <row r="2499" spans="1:10" ht="10.5" customHeight="1" x14ac:dyDescent="0.2">
      <c r="A2499" s="65" t="str">
        <f ca="1">INDIRECT(_xlfn.TEXTJOIN("",TRUE,A2495,"!",ADDRESS(13+(A2496-1)*J2495,1)))</f>
        <v/>
      </c>
      <c r="B2499" s="65"/>
      <c r="C2499" s="66" t="str">
        <f ca="1">INDIRECT(_xlfn.TEXTJOIN("",TRUE,A2495,"!",ADDRESS(13+(A2496-1)*J2495,2)))</f>
        <v/>
      </c>
      <c r="D2499" s="66"/>
      <c r="E2499" s="66"/>
      <c r="F2499" s="66"/>
      <c r="G2499" s="66"/>
      <c r="H2499" s="25" t="str">
        <f ca="1">INDIRECT(_xlfn.TEXTJOIN("",TRUE,A2495,"!",ADDRESS(13+(A2496-1)*J2495,6)))</f>
        <v/>
      </c>
      <c r="I2499" s="25" t="str">
        <f ca="1">INDIRECT(_xlfn.TEXTJOIN("",TRUE,A2495,"!",ADDRESS(13+(A2496-1)*J2495,13)))</f>
        <v/>
      </c>
      <c r="J2499" s="25" t="e">
        <f ca="1">INDIRECT(_xlfn.TEXTJOIN("",TRUE,A2495,"!",ADDRESS(13+(A2496-1)*J2495,14)))</f>
        <v>#N/A</v>
      </c>
    </row>
    <row r="2500" spans="1:10" ht="10.5" customHeight="1" x14ac:dyDescent="0.2">
      <c r="A2500" s="65" t="str">
        <f ca="1">INDIRECT(_xlfn.TEXTJOIN("",TRUE,A2495,"!",ADDRESS(14+(A2496-1)*J2495,1)))</f>
        <v/>
      </c>
      <c r="B2500" s="65"/>
      <c r="C2500" s="66" t="str">
        <f ca="1">INDIRECT(_xlfn.TEXTJOIN("",TRUE,A2495,"!",ADDRESS(14+(A2496-1)*J2495,2)))</f>
        <v/>
      </c>
      <c r="D2500" s="66"/>
      <c r="E2500" s="66"/>
      <c r="F2500" s="66"/>
      <c r="G2500" s="66"/>
      <c r="H2500" s="25" t="str">
        <f ca="1">INDIRECT(_xlfn.TEXTJOIN("",TRUE,A2495,"!",ADDRESS(14+(A2496-1)*J2495,6)))</f>
        <v/>
      </c>
      <c r="I2500" s="25" t="str">
        <f ca="1">INDIRECT(_xlfn.TEXTJOIN("",TRUE,A2495,"!",ADDRESS(14+(A2496-1)*J2495,13)))</f>
        <v/>
      </c>
      <c r="J2500" s="25" t="e">
        <f ca="1">INDIRECT(_xlfn.TEXTJOIN("",TRUE,A2495,"!",ADDRESS(14+(A2496-1)*J2495,14)))</f>
        <v>#N/A</v>
      </c>
    </row>
    <row r="2501" spans="1:10" ht="10.5" customHeight="1" x14ac:dyDescent="0.2">
      <c r="A2501" s="65" t="str">
        <f ca="1">INDIRECT(_xlfn.TEXTJOIN("",TRUE,A2495,"!",ADDRESS(15+(A2496-1)*J2495,1)))</f>
        <v/>
      </c>
      <c r="B2501" s="65"/>
      <c r="C2501" s="66" t="str">
        <f ca="1">INDIRECT(_xlfn.TEXTJOIN("",TRUE,A2495,"!",ADDRESS(15+(A2496-1)*J2495,2)))</f>
        <v/>
      </c>
      <c r="D2501" s="66"/>
      <c r="E2501" s="66"/>
      <c r="F2501" s="66"/>
      <c r="G2501" s="66"/>
      <c r="H2501" s="25" t="str">
        <f ca="1">INDIRECT(_xlfn.TEXTJOIN("",TRUE,A2495,"!",ADDRESS(15+(A2496-1)*J2495,6)))</f>
        <v/>
      </c>
      <c r="I2501" s="25" t="str">
        <f ca="1">INDIRECT(_xlfn.TEXTJOIN("",TRUE,A2495,"!",ADDRESS(15+(A2496-1)*J2495,13)))</f>
        <v/>
      </c>
      <c r="J2501" s="25" t="e">
        <f ca="1">INDIRECT(_xlfn.TEXTJOIN("",TRUE,A2495,"!",ADDRESS(15+(A2496-1)*J2495,14)))</f>
        <v>#N/A</v>
      </c>
    </row>
    <row r="2502" spans="1:10" ht="10.5" customHeight="1" x14ac:dyDescent="0.2">
      <c r="A2502" s="65" t="str">
        <f ca="1">INDIRECT(_xlfn.TEXTJOIN("",TRUE,A2495,"!",ADDRESS(16+(A2496-1)*J2495,1)))</f>
        <v/>
      </c>
      <c r="B2502" s="65"/>
      <c r="C2502" s="66" t="str">
        <f ca="1">INDIRECT(_xlfn.TEXTJOIN("",TRUE,A2495,"!",ADDRESS(16+(A2496-1)*J2495,2)))</f>
        <v/>
      </c>
      <c r="D2502" s="66"/>
      <c r="E2502" s="66"/>
      <c r="F2502" s="66"/>
      <c r="G2502" s="66"/>
      <c r="H2502" s="25" t="str">
        <f ca="1">INDIRECT(_xlfn.TEXTJOIN("",TRUE,A2495,"!",ADDRESS(16+(A2496-1)*J2495,6)))</f>
        <v/>
      </c>
      <c r="I2502" s="25" t="str">
        <f ca="1">INDIRECT(_xlfn.TEXTJOIN("",TRUE,A2495,"!",ADDRESS(16+(A2496-1)*J2495,13)))</f>
        <v/>
      </c>
      <c r="J2502" s="25" t="e">
        <f ca="1">INDIRECT(_xlfn.TEXTJOIN("",TRUE,A2495,"!",ADDRESS(16+(A2496-1)*J2495,14)))</f>
        <v>#N/A</v>
      </c>
    </row>
    <row r="2503" spans="1:10" ht="10.5" customHeight="1" x14ac:dyDescent="0.2">
      <c r="A2503" s="65" t="str">
        <f ca="1">INDIRECT(_xlfn.TEXTJOIN("",TRUE,A2495,"!",ADDRESS(17+(A2496-1)*J2495,1)))</f>
        <v/>
      </c>
      <c r="B2503" s="65"/>
      <c r="C2503" s="66" t="str">
        <f ca="1">INDIRECT(_xlfn.TEXTJOIN("",TRUE,A2495,"!",ADDRESS(17+(A2496-1)*J2495,2)))</f>
        <v/>
      </c>
      <c r="D2503" s="66"/>
      <c r="E2503" s="66"/>
      <c r="F2503" s="66"/>
      <c r="G2503" s="66"/>
      <c r="H2503" s="25" t="str">
        <f ca="1">INDIRECT(_xlfn.TEXTJOIN("",TRUE,A2495,"!",ADDRESS(17+(A2496-1)*J2495,6)))</f>
        <v/>
      </c>
      <c r="I2503" s="25" t="str">
        <f ca="1">INDIRECT(_xlfn.TEXTJOIN("",TRUE,A2495,"!",ADDRESS(17+(A2496-1)*J2495,13)))</f>
        <v/>
      </c>
      <c r="J2503" s="25" t="e">
        <f ca="1">INDIRECT(_xlfn.TEXTJOIN("",TRUE,A2495,"!",ADDRESS(17+(A2496-1)*J2495,14)))</f>
        <v>#N/A</v>
      </c>
    </row>
    <row r="2504" spans="1:10" ht="10.5" customHeight="1" x14ac:dyDescent="0.2">
      <c r="A2504" s="65" t="str">
        <f ca="1">INDIRECT(_xlfn.TEXTJOIN("",TRUE,A2495,"!",ADDRESS(18+(A2496-1)*J2495,1)))</f>
        <v/>
      </c>
      <c r="B2504" s="65"/>
      <c r="C2504" s="66" t="str">
        <f ca="1">INDIRECT(_xlfn.TEXTJOIN("",TRUE,A2495,"!",ADDRESS(18+(A2496-1)*J2495,2)))</f>
        <v/>
      </c>
      <c r="D2504" s="66"/>
      <c r="E2504" s="66"/>
      <c r="F2504" s="66"/>
      <c r="G2504" s="66"/>
      <c r="H2504" s="25" t="str">
        <f ca="1">INDIRECT(_xlfn.TEXTJOIN("",TRUE,A2495,"!",ADDRESS(18+(A2496-1)*J2495,6)))</f>
        <v/>
      </c>
      <c r="I2504" s="25" t="str">
        <f ca="1">INDIRECT(_xlfn.TEXTJOIN("",TRUE,A2495,"!",ADDRESS(18+(A2496-1)*J2495,13)))</f>
        <v/>
      </c>
      <c r="J2504" s="25" t="e">
        <f ca="1">INDIRECT(_xlfn.TEXTJOIN("",TRUE,A2495,"!",ADDRESS(18+(A2496-1)*J2495,14)))</f>
        <v>#N/A</v>
      </c>
    </row>
    <row r="2505" spans="1:10" ht="10.5" customHeight="1" x14ac:dyDescent="0.2">
      <c r="A2505" s="60" t="str">
        <f ca="1">INDIRECT(_xlfn.TEXTJOIN("",TRUE,A2495,"!",ADDRESS(19+(A2496-1)*J2495,1)))</f>
        <v/>
      </c>
      <c r="B2505" s="61"/>
      <c r="C2505" s="57" t="str">
        <f ca="1">INDIRECT(_xlfn.TEXTJOIN("",TRUE,A2495,"!",ADDRESS(19+(A2496-1)*J2495,2)))</f>
        <v/>
      </c>
      <c r="D2505" s="58"/>
      <c r="E2505" s="58"/>
      <c r="F2505" s="58"/>
      <c r="G2505" s="59"/>
      <c r="H2505" s="25" t="str">
        <f ca="1">INDIRECT(_xlfn.TEXTJOIN("",TRUE,A2495,"!",ADDRESS(19+(A2496-1)*J2495,6)))</f>
        <v/>
      </c>
      <c r="I2505" s="25" t="str">
        <f ca="1">INDIRECT(_xlfn.TEXTJOIN("",TRUE,A2495,"!",ADDRESS(19+(A2496-1)*J2495,13)))</f>
        <v/>
      </c>
      <c r="J2505" s="25" t="e">
        <f ca="1">INDIRECT(_xlfn.TEXTJOIN("",TRUE,A2495,"!",ADDRESS(19+(A2496-1)*J2495,14)))</f>
        <v>#N/A</v>
      </c>
    </row>
    <row r="2506" spans="1:10" ht="10.5" customHeight="1" x14ac:dyDescent="0.2">
      <c r="A2506" s="65" t="str">
        <f ca="1">INDIRECT(_xlfn.TEXTJOIN("",TRUE,A2495,"!",ADDRESS(20+(A2496-1)*J2495,1)))</f>
        <v/>
      </c>
      <c r="B2506" s="65"/>
      <c r="C2506" s="66" t="str">
        <f ca="1">INDIRECT(_xlfn.TEXTJOIN("",TRUE,A2495,"!",ADDRESS(20+(A2496-1)*J2495,2)))</f>
        <v/>
      </c>
      <c r="D2506" s="66"/>
      <c r="E2506" s="66"/>
      <c r="F2506" s="66"/>
      <c r="G2506" s="66"/>
      <c r="H2506" s="25" t="str">
        <f ca="1">INDIRECT(_xlfn.TEXTJOIN("",TRUE,A2495,"!",ADDRESS(20+(A2496-1)*J2495,6)))</f>
        <v/>
      </c>
      <c r="I2506" s="25" t="str">
        <f ca="1">INDIRECT(_xlfn.TEXTJOIN("",TRUE,A2495,"!",ADDRESS(20+(A2496-1)*J2495,13)))</f>
        <v/>
      </c>
      <c r="J2506" s="25" t="e">
        <f ca="1">INDIRECT(_xlfn.TEXTJOIN("",TRUE,A2495,"!",ADDRESS(20+(A2496-1)*J2495,14)))</f>
        <v>#N/A</v>
      </c>
    </row>
    <row r="2507" spans="1:10" ht="10.5" customHeight="1" x14ac:dyDescent="0.2">
      <c r="A2507" s="65" t="str">
        <f ca="1">INDIRECT(_xlfn.TEXTJOIN("",TRUE,A2495,"!",ADDRESS(21+(A2496-1)*J2495,1)))</f>
        <v/>
      </c>
      <c r="B2507" s="65"/>
      <c r="C2507" s="66" t="str">
        <f ca="1">INDIRECT(_xlfn.TEXTJOIN("",TRUE,A2495,"!",ADDRESS(21+(A2496-1)*J2495,2)))</f>
        <v/>
      </c>
      <c r="D2507" s="66"/>
      <c r="E2507" s="66"/>
      <c r="F2507" s="66"/>
      <c r="G2507" s="66"/>
      <c r="H2507" s="25" t="str">
        <f ca="1">INDIRECT(_xlfn.TEXTJOIN("",TRUE,A2495,"!",ADDRESS(21+(A2496-1)*J2495,6)))</f>
        <v/>
      </c>
      <c r="I2507" s="25" t="str">
        <f ca="1">INDIRECT(_xlfn.TEXTJOIN("",TRUE,A2495,"!",ADDRESS(21+(A2496-1)*J2495,13)))</f>
        <v/>
      </c>
      <c r="J2507" s="25" t="e">
        <f ca="1">INDIRECT(_xlfn.TEXTJOIN("",TRUE,A2495,"!",ADDRESS(21+(A2496-1)*J2495,14)))</f>
        <v>#N/A</v>
      </c>
    </row>
    <row r="2508" spans="1:10" ht="10.5" customHeight="1" x14ac:dyDescent="0.2">
      <c r="A2508" s="65" t="str">
        <f ca="1">INDIRECT(_xlfn.TEXTJOIN("",TRUE,A2495,"!",ADDRESS(22+(A2496-1)*J2495,1)))</f>
        <v/>
      </c>
      <c r="B2508" s="65"/>
      <c r="C2508" s="66" t="str">
        <f ca="1">INDIRECT(_xlfn.TEXTJOIN("",TRUE,A2495,"!",ADDRESS(22+(A2496-1)*J2495,2)))</f>
        <v/>
      </c>
      <c r="D2508" s="66"/>
      <c r="E2508" s="66"/>
      <c r="F2508" s="66"/>
      <c r="G2508" s="66"/>
      <c r="H2508" s="25" t="str">
        <f ca="1">INDIRECT(_xlfn.TEXTJOIN("",TRUE,A2495,"!",ADDRESS(22+(A2496-1)*J2495,6)))</f>
        <v/>
      </c>
      <c r="I2508" s="25" t="str">
        <f ca="1">INDIRECT(_xlfn.TEXTJOIN("",TRUE,A2495,"!",ADDRESS(22+(A2496-1)*J2495,13)))</f>
        <v/>
      </c>
      <c r="J2508" s="25" t="e">
        <f ca="1">INDIRECT(_xlfn.TEXTJOIN("",TRUE,A2495,"!",ADDRESS(22+(A2496-1)*J2495,14)))</f>
        <v>#N/A</v>
      </c>
    </row>
    <row r="2509" spans="1:10" ht="10.5" customHeight="1" x14ac:dyDescent="0.2">
      <c r="A2509" s="65" t="str">
        <f ca="1">INDIRECT(_xlfn.TEXTJOIN("",TRUE,A2495,"!",ADDRESS(23+(A2496-1)*J2495,1)))</f>
        <v/>
      </c>
      <c r="B2509" s="65"/>
      <c r="C2509" s="66" t="str">
        <f ca="1">INDIRECT(_xlfn.TEXTJOIN("",TRUE,A2495,"!",ADDRESS(23+(A2496-1)*J2495,2)))</f>
        <v/>
      </c>
      <c r="D2509" s="66"/>
      <c r="E2509" s="66"/>
      <c r="F2509" s="66"/>
      <c r="G2509" s="66"/>
      <c r="H2509" s="25" t="str">
        <f ca="1">INDIRECT(_xlfn.TEXTJOIN("",TRUE,A2495,"!",ADDRESS(23+(A2496-1)*J2495,6)))</f>
        <v/>
      </c>
      <c r="I2509" s="25" t="str">
        <f ca="1">INDIRECT(_xlfn.TEXTJOIN("",TRUE,A2495,"!",ADDRESS(23+(A2496-1)*J2495,13)))</f>
        <v/>
      </c>
      <c r="J2509" s="25" t="e">
        <f ca="1">INDIRECT(_xlfn.TEXTJOIN("",TRUE,A2495,"!",ADDRESS(23+(A2496-1)*J2495,14)))</f>
        <v>#N/A</v>
      </c>
    </row>
    <row r="2510" spans="1:10" ht="10.5" customHeight="1" x14ac:dyDescent="0.2">
      <c r="A2510" s="65" t="str">
        <f ca="1">INDIRECT(_xlfn.TEXTJOIN("",TRUE,A2495,"!",ADDRESS(24+(A2496-1)*J2495,1)))</f>
        <v/>
      </c>
      <c r="B2510" s="65"/>
      <c r="C2510" s="66" t="str">
        <f ca="1">INDIRECT(_xlfn.TEXTJOIN("",TRUE,A2495,"!",ADDRESS(24+(A2496-1)*J2495,2)))</f>
        <v/>
      </c>
      <c r="D2510" s="66"/>
      <c r="E2510" s="66"/>
      <c r="F2510" s="66"/>
      <c r="G2510" s="66"/>
      <c r="H2510" s="25" t="str">
        <f ca="1">INDIRECT(_xlfn.TEXTJOIN("",TRUE,A2495,"!",ADDRESS(24+(A2496-1)*J2495,6)))</f>
        <v/>
      </c>
      <c r="I2510" s="25" t="str">
        <f ca="1">INDIRECT(_xlfn.TEXTJOIN("",TRUE,A2495,"!",ADDRESS(24+(A2496-1)*J2495,13)))</f>
        <v/>
      </c>
      <c r="J2510" s="25" t="e">
        <f ca="1">INDIRECT(_xlfn.TEXTJOIN("",TRUE,A2495,"!",ADDRESS(24+(A2496-1)*J2495,14)))</f>
        <v>#N/A</v>
      </c>
    </row>
    <row r="2511" spans="1:10" ht="10.5" customHeight="1" x14ac:dyDescent="0.2">
      <c r="A2511" s="65" t="str">
        <f ca="1">INDIRECT(_xlfn.TEXTJOIN("",TRUE,A2495,"!",ADDRESS(25+(A2496-1)*J2495,1)))</f>
        <v/>
      </c>
      <c r="B2511" s="65"/>
      <c r="C2511" s="66" t="str">
        <f ca="1">INDIRECT(_xlfn.TEXTJOIN("",TRUE,A2495,"!",ADDRESS(25+(A2496-1)*J2495,2)))</f>
        <v/>
      </c>
      <c r="D2511" s="66"/>
      <c r="E2511" s="66"/>
      <c r="F2511" s="66"/>
      <c r="G2511" s="66"/>
      <c r="H2511" s="25" t="str">
        <f ca="1">INDIRECT(_xlfn.TEXTJOIN("",TRUE,A2495,"!",ADDRESS(25+(A2496-1)*J2495,6)))</f>
        <v/>
      </c>
      <c r="I2511" s="25" t="str">
        <f ca="1">INDIRECT(_xlfn.TEXTJOIN("",TRUE,A2495,"!",ADDRESS(25+(A2496-1)*J2495,13)))</f>
        <v/>
      </c>
      <c r="J2511" s="25" t="e">
        <f ca="1">INDIRECT(_xlfn.TEXTJOIN("",TRUE,A2495,"!",ADDRESS(25+(A2496-1)*J2495,14)))</f>
        <v>#N/A</v>
      </c>
    </row>
    <row r="2512" spans="1:10" s="35" customFormat="1" ht="10.5" customHeight="1" x14ac:dyDescent="0.2">
      <c r="A2512" s="77" t="str">
        <f ca="1">INDIRECT(_xlfn.TEXTJOIN("",TRUE,A2495,"!",ADDRESS(26+(A2496-1)*J2495,1)))</f>
        <v/>
      </c>
      <c r="B2512" s="77"/>
      <c r="C2512" s="78" t="str">
        <f ca="1">INDIRECT(_xlfn.TEXTJOIN("",TRUE,A2495,"!",ADDRESS(26+(A2496-1)*J2495,2)))</f>
        <v/>
      </c>
      <c r="D2512" s="78"/>
      <c r="E2512" s="78"/>
      <c r="F2512" s="78"/>
      <c r="G2512" s="78"/>
      <c r="H2512" s="34" t="str">
        <f ca="1">INDIRECT(_xlfn.TEXTJOIN("",TRUE,A2495,"!",ADDRESS(26+(A2496-1)*J2495,6)))</f>
        <v/>
      </c>
      <c r="I2512" s="34" t="b">
        <f ca="1">INDIRECT(_xlfn.TEXTJOIN("",TRUE,A2495,"!",ADDRESS(26+(A2496-1)*J2495,13)))</f>
        <v>0</v>
      </c>
      <c r="J2512" s="34" t="e">
        <f ca="1">INDIRECT(_xlfn.TEXTJOIN("",TRUE,A2495,"!",ADDRESS(26+(A2496-1)*J2495,14)))</f>
        <v>#N/A</v>
      </c>
    </row>
    <row r="2513" spans="1:10" ht="10.5" customHeight="1" x14ac:dyDescent="0.2">
      <c r="A2513" s="71" t="s">
        <v>52</v>
      </c>
      <c r="B2513" s="71"/>
      <c r="C2513" s="71"/>
      <c r="D2513" s="71"/>
      <c r="E2513" s="71"/>
      <c r="F2513" s="71"/>
      <c r="G2513" s="71"/>
      <c r="H2513" s="27">
        <f ca="1">SUM(H2499:H2512)</f>
        <v>0</v>
      </c>
      <c r="I2513" s="26" t="s">
        <v>44</v>
      </c>
      <c r="J2513" s="27" t="e">
        <f ca="1">SUMPRODUCT(J2499:J2511,H2499:H2511)</f>
        <v>#N/A</v>
      </c>
    </row>
    <row r="2514" spans="1:10" ht="10.5" customHeight="1" x14ac:dyDescent="0.2">
      <c r="A2514" s="24" t="s">
        <v>57</v>
      </c>
      <c r="B2514" s="72" t="str">
        <f ca="1">IF(ISNA(A2515),"","Semester II (Spring Semester 2022-23)")</f>
        <v/>
      </c>
      <c r="C2514" s="72"/>
      <c r="D2514" s="72"/>
      <c r="E2514" s="72"/>
      <c r="F2514" s="72"/>
      <c r="G2514" s="72"/>
      <c r="H2514" s="72"/>
      <c r="I2514" s="72"/>
      <c r="J2514" s="24">
        <f>ROWS(A2518:B2527)+9</f>
        <v>19</v>
      </c>
    </row>
    <row r="2515" spans="1:10" ht="10.5" customHeight="1" x14ac:dyDescent="0.2">
      <c r="A2515" s="24" t="e">
        <f ca="1">INDEX(SEM_II!$A$6:$A$45,Marksheets!J2515)</f>
        <v>#N/A</v>
      </c>
      <c r="B2515" s="63"/>
      <c r="C2515" s="63"/>
      <c r="D2515" s="63"/>
      <c r="E2515" s="63"/>
      <c r="F2515" s="63"/>
      <c r="G2515" s="63"/>
      <c r="H2515" s="63"/>
      <c r="I2515" s="63"/>
      <c r="J2515" s="24" t="e">
        <f ca="1">MATCH(H2493,SEM_II!$B$6:$B$45,0)</f>
        <v>#N/A</v>
      </c>
    </row>
    <row r="2516" spans="1:10" ht="10.5" customHeight="1" x14ac:dyDescent="0.2">
      <c r="A2516" s="64" t="str">
        <f ca="1">IF(ISNA(A2515),"","Subject Code")</f>
        <v/>
      </c>
      <c r="B2516" s="64"/>
      <c r="C2516" s="64" t="str">
        <f ca="1">IF(ISNA(A2515),"","Subject Name")</f>
        <v/>
      </c>
      <c r="D2516" s="64"/>
      <c r="E2516" s="64"/>
      <c r="F2516" s="64"/>
      <c r="G2516" s="64"/>
      <c r="H2516" s="64" t="str">
        <f ca="1">IF(ISNA(A2515),"","Credits")</f>
        <v/>
      </c>
      <c r="I2516" s="64" t="str">
        <f ca="1">IF(ISNA(A2515),"","Grade")</f>
        <v/>
      </c>
      <c r="J2516" s="64" t="str">
        <f ca="1">IF(ISNA(A2515),"","Grade Points")</f>
        <v/>
      </c>
    </row>
    <row r="2517" spans="1:10" ht="14.5" customHeight="1" x14ac:dyDescent="0.2">
      <c r="A2517" s="64"/>
      <c r="B2517" s="64"/>
      <c r="C2517" s="64"/>
      <c r="D2517" s="64"/>
      <c r="E2517" s="64"/>
      <c r="F2517" s="64"/>
      <c r="G2517" s="64"/>
      <c r="H2517" s="64"/>
      <c r="I2517" s="64"/>
      <c r="J2517" s="64"/>
    </row>
    <row r="2518" spans="1:10" ht="10.5" customHeight="1" x14ac:dyDescent="0.2">
      <c r="A2518" s="65" t="str">
        <f ca="1">_xlfn.IFNA(INDIRECT(_xlfn.TEXTJOIN("",TRUE,A2514,"!",ADDRESS(13+(A2515-1)*J2514,1))),"")</f>
        <v/>
      </c>
      <c r="B2518" s="65"/>
      <c r="C2518" s="66" t="str">
        <f ca="1">_xlfn.IFNA(INDIRECT(_xlfn.TEXTJOIN("",TRUE,A2514,"!",ADDRESS(13+(A2515-1)*J2514,2))),"")</f>
        <v/>
      </c>
      <c r="D2518" s="66"/>
      <c r="E2518" s="66"/>
      <c r="F2518" s="66"/>
      <c r="G2518" s="66"/>
      <c r="H2518" s="25" t="str">
        <f ca="1">_xlfn.IFNA(INDIRECT(_xlfn.TEXTJOIN("",TRUE,A2514,"!",ADDRESS(13+(A2515-1)*J2514,6))),"")</f>
        <v/>
      </c>
      <c r="I2518" s="25" t="str">
        <f ca="1">_xlfn.IFNA(INDIRECT(_xlfn.TEXTJOIN("",TRUE,A2514,"!",ADDRESS(13+(A2515-1)*J2514,13))),"")</f>
        <v/>
      </c>
      <c r="J2518" s="25" t="str">
        <f ca="1">_xlfn.IFNA(INDIRECT(_xlfn.TEXTJOIN("",TRUE,A2514,"!",ADDRESS(13+(A2515-1)*J2514,14))),"")</f>
        <v/>
      </c>
    </row>
    <row r="2519" spans="1:10" ht="10.5" customHeight="1" x14ac:dyDescent="0.2">
      <c r="A2519" s="65" t="str">
        <f ca="1">_xlfn.IFNA(INDIRECT(_xlfn.TEXTJOIN("",TRUE,A2514,"!",ADDRESS(14+(A2515-1)*J2514,1))),"")</f>
        <v/>
      </c>
      <c r="B2519" s="65"/>
      <c r="C2519" s="66" t="str">
        <f ca="1">_xlfn.IFNA(INDIRECT(_xlfn.TEXTJOIN("",TRUE,A2514,"!",ADDRESS(14+(A2515-1)*J2514,2))),"")</f>
        <v/>
      </c>
      <c r="D2519" s="66"/>
      <c r="E2519" s="66"/>
      <c r="F2519" s="66"/>
      <c r="G2519" s="66"/>
      <c r="H2519" s="25" t="str">
        <f ca="1">_xlfn.IFNA(INDIRECT(_xlfn.TEXTJOIN("",TRUE,A2514,"!",ADDRESS(14+(A2515-1)*J2514,6))),"")</f>
        <v/>
      </c>
      <c r="I2519" s="25" t="str">
        <f ca="1">_xlfn.IFNA(INDIRECT(_xlfn.TEXTJOIN("",TRUE,A2514,"!",ADDRESS(14+(A2515-1)*J2514,13))),"")</f>
        <v/>
      </c>
      <c r="J2519" s="25" t="str">
        <f ca="1">_xlfn.IFNA(INDIRECT(_xlfn.TEXTJOIN("",TRUE,A2514,"!",ADDRESS(14+(A2515-1)*J2514,14))),"")</f>
        <v/>
      </c>
    </row>
    <row r="2520" spans="1:10" ht="10.5" customHeight="1" x14ac:dyDescent="0.2">
      <c r="A2520" s="65" t="str">
        <f ca="1">_xlfn.IFNA(INDIRECT(_xlfn.TEXTJOIN("",TRUE,A2514,"!",ADDRESS(15+(A2515-1)*J2514,1))),"")</f>
        <v/>
      </c>
      <c r="B2520" s="65"/>
      <c r="C2520" s="66" t="str">
        <f ca="1">_xlfn.IFNA(INDIRECT(_xlfn.TEXTJOIN("",TRUE,A2514,"!",ADDRESS(15+(A2515-1)*J2514,2))),"")</f>
        <v/>
      </c>
      <c r="D2520" s="66"/>
      <c r="E2520" s="66"/>
      <c r="F2520" s="66"/>
      <c r="G2520" s="66"/>
      <c r="H2520" s="25" t="str">
        <f ca="1">_xlfn.IFNA(INDIRECT(_xlfn.TEXTJOIN("",TRUE,A2514,"!",ADDRESS(15+(A2515-1)*J2514,6))),"")</f>
        <v/>
      </c>
      <c r="I2520" s="25" t="str">
        <f ca="1">_xlfn.IFNA(INDIRECT(_xlfn.TEXTJOIN("",TRUE,A2514,"!",ADDRESS(15+(A2515-1)*J2514,13))),"")</f>
        <v/>
      </c>
      <c r="J2520" s="25" t="str">
        <f ca="1">_xlfn.IFNA(INDIRECT(_xlfn.TEXTJOIN("",TRUE,A2514,"!",ADDRESS(15+(A2515-1)*J2514,14))),"")</f>
        <v/>
      </c>
    </row>
    <row r="2521" spans="1:10" ht="10.5" customHeight="1" x14ac:dyDescent="0.2">
      <c r="A2521" s="65" t="str">
        <f ca="1">_xlfn.IFNA(INDIRECT(_xlfn.TEXTJOIN("",TRUE,A2514,"!",ADDRESS(16+(A2515-1)*J2514,1))),"")</f>
        <v/>
      </c>
      <c r="B2521" s="65"/>
      <c r="C2521" s="66" t="str">
        <f ca="1">_xlfn.IFNA(INDIRECT(_xlfn.TEXTJOIN("",TRUE,A2514,"!",ADDRESS(16+(A2515-1)*J2514,2))),"")</f>
        <v/>
      </c>
      <c r="D2521" s="66"/>
      <c r="E2521" s="66"/>
      <c r="F2521" s="66"/>
      <c r="G2521" s="66"/>
      <c r="H2521" s="25" t="str">
        <f ca="1">_xlfn.IFNA(INDIRECT(_xlfn.TEXTJOIN("",TRUE,A2514,"!",ADDRESS(16+(A2515-1)*J2514,6))),"")</f>
        <v/>
      </c>
      <c r="I2521" s="25" t="str">
        <f ca="1">_xlfn.IFNA(INDIRECT(_xlfn.TEXTJOIN("",TRUE,A2514,"!",ADDRESS(16+(A2515-1)*J2514,13))),"")</f>
        <v/>
      </c>
      <c r="J2521" s="25" t="str">
        <f ca="1">_xlfn.IFNA(INDIRECT(_xlfn.TEXTJOIN("",TRUE,A2514,"!",ADDRESS(16+(A2515-1)*J2514,14))),"")</f>
        <v/>
      </c>
    </row>
    <row r="2522" spans="1:10" ht="10.5" customHeight="1" x14ac:dyDescent="0.2">
      <c r="A2522" s="65" t="str">
        <f ca="1">_xlfn.IFNA(INDIRECT(_xlfn.TEXTJOIN("",TRUE,A2514,"!",ADDRESS(17+(A2515-1)*J2514,1))),"")</f>
        <v/>
      </c>
      <c r="B2522" s="65"/>
      <c r="C2522" s="66" t="str">
        <f ca="1">_xlfn.IFNA(INDIRECT(_xlfn.TEXTJOIN("",TRUE,A2514,"!",ADDRESS(17+(A2515-1)*J2514,2))),"")</f>
        <v/>
      </c>
      <c r="D2522" s="66"/>
      <c r="E2522" s="66"/>
      <c r="F2522" s="66"/>
      <c r="G2522" s="66"/>
      <c r="H2522" s="25" t="str">
        <f ca="1">_xlfn.IFNA(INDIRECT(_xlfn.TEXTJOIN("",TRUE,A2514,"!",ADDRESS(17+(A2515-1)*J2514,6))),"")</f>
        <v/>
      </c>
      <c r="I2522" s="25" t="str">
        <f ca="1">_xlfn.IFNA(INDIRECT(_xlfn.TEXTJOIN("",TRUE,A2514,"!",ADDRESS(17+(A2515-1)*J2514,13))),"")</f>
        <v/>
      </c>
      <c r="J2522" s="25" t="str">
        <f ca="1">_xlfn.IFNA(INDIRECT(_xlfn.TEXTJOIN("",TRUE,A2514,"!",ADDRESS(17+(A2515-1)*J2514,14))),"")</f>
        <v/>
      </c>
    </row>
    <row r="2523" spans="1:10" ht="10.5" customHeight="1" x14ac:dyDescent="0.2">
      <c r="A2523" s="65" t="str">
        <f ca="1">_xlfn.IFNA(INDIRECT(_xlfn.TEXTJOIN("",TRUE,A2514,"!",ADDRESS(18+(A2515-1)*J2514,1))),"")</f>
        <v/>
      </c>
      <c r="B2523" s="65"/>
      <c r="C2523" s="66" t="str">
        <f ca="1">_xlfn.IFNA(INDIRECT(_xlfn.TEXTJOIN("",TRUE,A2514,"!",ADDRESS(18+(A2515-1)*J2514,2))),"")</f>
        <v/>
      </c>
      <c r="D2523" s="66"/>
      <c r="E2523" s="66"/>
      <c r="F2523" s="66"/>
      <c r="G2523" s="66"/>
      <c r="H2523" s="25" t="str">
        <f ca="1">_xlfn.IFNA(INDIRECT(_xlfn.TEXTJOIN("",TRUE,A2514,"!",ADDRESS(18+(A2515-1)*J2514,6))),"")</f>
        <v/>
      </c>
      <c r="I2523" s="25" t="str">
        <f ca="1">_xlfn.IFNA(INDIRECT(_xlfn.TEXTJOIN("",TRUE,A2514,"!",ADDRESS(18+(A2515-1)*J2514,13))),"")</f>
        <v/>
      </c>
      <c r="J2523" s="25" t="str">
        <f ca="1">_xlfn.IFNA(INDIRECT(_xlfn.TEXTJOIN("",TRUE,A2514,"!",ADDRESS(18+(A2515-1)*J2514,14))),"")</f>
        <v/>
      </c>
    </row>
    <row r="2524" spans="1:10" ht="10.5" customHeight="1" x14ac:dyDescent="0.2">
      <c r="A2524" s="60" t="str">
        <f ca="1">_xlfn.IFNA(INDIRECT(_xlfn.TEXTJOIN("",TRUE,A2514,"!",ADDRESS(19+(A2515-1)*J2514,1))),"")</f>
        <v/>
      </c>
      <c r="B2524" s="61"/>
      <c r="C2524" s="57" t="str">
        <f ca="1">_xlfn.IFNA(INDIRECT(_xlfn.TEXTJOIN("",TRUE,A2514,"!",ADDRESS(19+(A2515-1)*J2514,2))),"")</f>
        <v/>
      </c>
      <c r="D2524" s="58"/>
      <c r="E2524" s="58"/>
      <c r="F2524" s="58"/>
      <c r="G2524" s="59"/>
      <c r="H2524" s="25" t="str">
        <f ca="1">_xlfn.IFNA(INDIRECT(_xlfn.TEXTJOIN("",TRUE,A2514,"!",ADDRESS(19+(A2515-1)*J2514,6))),"")</f>
        <v/>
      </c>
      <c r="I2524" s="25" t="str">
        <f ca="1">_xlfn.IFNA(INDIRECT(_xlfn.TEXTJOIN("",TRUE,A2514,"!",ADDRESS(19+(A2515-1)*J2514,13))),"")</f>
        <v/>
      </c>
      <c r="J2524" s="25" t="str">
        <f ca="1">_xlfn.IFNA(INDIRECT(_xlfn.TEXTJOIN("",TRUE,A2514,"!",ADDRESS(19+(A2515-1)*J2514,14))),"")</f>
        <v/>
      </c>
    </row>
    <row r="2525" spans="1:10" ht="10.5" customHeight="1" x14ac:dyDescent="0.2">
      <c r="A2525" s="65" t="str">
        <f ca="1">_xlfn.IFNA(INDIRECT(_xlfn.TEXTJOIN("",TRUE,A2514,"!",ADDRESS(20+(A2515-1)*J2514,1))),"")</f>
        <v/>
      </c>
      <c r="B2525" s="65"/>
      <c r="C2525" s="66" t="str">
        <f ca="1">_xlfn.IFNA(INDIRECT(_xlfn.TEXTJOIN("",TRUE,A2514,"!",ADDRESS(20+(A2515-1)*J2514,2))),"")</f>
        <v/>
      </c>
      <c r="D2525" s="66"/>
      <c r="E2525" s="66"/>
      <c r="F2525" s="66"/>
      <c r="G2525" s="66"/>
      <c r="H2525" s="25" t="str">
        <f ca="1">_xlfn.IFNA(INDIRECT(_xlfn.TEXTJOIN("",TRUE,A2514,"!",ADDRESS(20+(A2515-1)*J2514,6))),"")</f>
        <v/>
      </c>
      <c r="I2525" s="25" t="str">
        <f ca="1">_xlfn.IFNA(INDIRECT(_xlfn.TEXTJOIN("",TRUE,A2514,"!",ADDRESS(20+(A2515-1)*J2514,13))),"")</f>
        <v/>
      </c>
      <c r="J2525" s="25" t="str">
        <f ca="1">_xlfn.IFNA(INDIRECT(_xlfn.TEXTJOIN("",TRUE,A2514,"!",ADDRESS(20+(A2515-1)*J2514,14))),"")</f>
        <v/>
      </c>
    </row>
    <row r="2526" spans="1:10" ht="10.5" customHeight="1" x14ac:dyDescent="0.2">
      <c r="A2526" s="65" t="str">
        <f ca="1">_xlfn.IFNA(INDIRECT(_xlfn.TEXTJOIN("",TRUE,A2514,"!",ADDRESS(21+(A2515-1)*J2514,1))),"")</f>
        <v/>
      </c>
      <c r="B2526" s="65"/>
      <c r="C2526" s="66" t="str">
        <f ca="1">_xlfn.IFNA(INDIRECT(_xlfn.TEXTJOIN("",TRUE,A2514,"!",ADDRESS(21+(A2515-1)*J2514,2))),"")</f>
        <v/>
      </c>
      <c r="D2526" s="66"/>
      <c r="E2526" s="66"/>
      <c r="F2526" s="66"/>
      <c r="G2526" s="66"/>
      <c r="H2526" s="25" t="str">
        <f ca="1">_xlfn.IFNA(INDIRECT(_xlfn.TEXTJOIN("",TRUE,A2514,"!",ADDRESS(21+(A2515-1)*J2514,6))),"")</f>
        <v/>
      </c>
      <c r="I2526" s="25" t="str">
        <f ca="1">_xlfn.IFNA(INDIRECT(_xlfn.TEXTJOIN("",TRUE,A2514,"!",ADDRESS(21+(A2515-1)*J2514,13))),"")</f>
        <v/>
      </c>
      <c r="J2526" s="25" t="str">
        <f ca="1">_xlfn.IFNA(INDIRECT(_xlfn.TEXTJOIN("",TRUE,A2514,"!",ADDRESS(21+(A2515-1)*J2514,14))),"")</f>
        <v/>
      </c>
    </row>
    <row r="2527" spans="1:10" ht="10.5" customHeight="1" x14ac:dyDescent="0.2">
      <c r="A2527" s="65" t="str">
        <f ca="1">_xlfn.IFNA(INDIRECT(_xlfn.TEXTJOIN("",TRUE,A2514,"!",ADDRESS(22+(A2515-1)*J2514,1))),"")</f>
        <v/>
      </c>
      <c r="B2527" s="65"/>
      <c r="C2527" s="66" t="str">
        <f ca="1">_xlfn.IFNA(INDIRECT(_xlfn.TEXTJOIN("",TRUE,A2514,"!",ADDRESS(22+(A2515-1)*J2514,2))),"")</f>
        <v/>
      </c>
      <c r="D2527" s="66"/>
      <c r="E2527" s="66"/>
      <c r="F2527" s="66"/>
      <c r="G2527" s="66"/>
      <c r="H2527" s="25" t="str">
        <f ca="1">_xlfn.IFNA(INDIRECT(_xlfn.TEXTJOIN("",TRUE,A2514,"!",ADDRESS(22+(A2515-1)*J2514,6))),"")</f>
        <v/>
      </c>
      <c r="I2527" s="25" t="str">
        <f ca="1">_xlfn.IFNA(INDIRECT(_xlfn.TEXTJOIN("",TRUE,A2514,"!",ADDRESS(22+(A2515-1)*J2514,13))),"")</f>
        <v/>
      </c>
      <c r="J2527" s="25" t="str">
        <f ca="1">_xlfn.IFNA(INDIRECT(_xlfn.TEXTJOIN("",TRUE,A2514,"!",ADDRESS(22+(A2515-1)*J2514,14))),"")</f>
        <v/>
      </c>
    </row>
    <row r="2528" spans="1:10" ht="10.5" customHeight="1" x14ac:dyDescent="0.2">
      <c r="A2528" s="71" t="str">
        <f ca="1">IF(ISNA(A2515),"","Total Credits/ Total Grade Points")</f>
        <v/>
      </c>
      <c r="B2528" s="71"/>
      <c r="C2528" s="71"/>
      <c r="D2528" s="71"/>
      <c r="E2528" s="71"/>
      <c r="F2528" s="71"/>
      <c r="G2528" s="71"/>
      <c r="H2528" s="27" t="str">
        <f ca="1">IF(ISNA(A2515),"",SUM(H2518:H2527))</f>
        <v/>
      </c>
      <c r="I2528" s="26" t="str">
        <f ca="1">IF(ISNA(A2515),"","-")</f>
        <v/>
      </c>
      <c r="J2528" s="27" t="str">
        <f ca="1">IF(ISNA(A2515),"",SUMPRODUCT(J2518:J2527,H2518:H2527))</f>
        <v/>
      </c>
    </row>
    <row r="2529" spans="1:10" ht="10.5" customHeight="1" x14ac:dyDescent="0.2">
      <c r="A2529" s="24" t="s">
        <v>60</v>
      </c>
      <c r="B2529" s="72" t="str">
        <f ca="1">IF(ISNA(A2530),"","Semester III (Autumn Semester 2023-24)")</f>
        <v/>
      </c>
      <c r="C2529" s="72"/>
      <c r="D2529" s="72"/>
      <c r="E2529" s="72"/>
      <c r="F2529" s="72"/>
      <c r="G2529" s="72"/>
      <c r="H2529" s="72"/>
      <c r="I2529" s="72"/>
      <c r="J2529" s="24">
        <f>ROWS(A2533:B2540)+9</f>
        <v>17</v>
      </c>
    </row>
    <row r="2530" spans="1:10" ht="10.5" customHeight="1" x14ac:dyDescent="0.2">
      <c r="A2530" s="24" t="e">
        <f ca="1">INDEX(SEM_III!$A$6:$A$43,Marksheets!J2530)</f>
        <v>#N/A</v>
      </c>
      <c r="B2530" s="63"/>
      <c r="C2530" s="63"/>
      <c r="D2530" s="63"/>
      <c r="E2530" s="63"/>
      <c r="F2530" s="63"/>
      <c r="G2530" s="63"/>
      <c r="H2530" s="63"/>
      <c r="I2530" s="63"/>
      <c r="J2530" s="24" t="e">
        <f ca="1">MATCH(H2493,SEM_III!$B$6:$B$43,0)</f>
        <v>#N/A</v>
      </c>
    </row>
    <row r="2531" spans="1:10" ht="10.5" customHeight="1" x14ac:dyDescent="0.2">
      <c r="A2531" s="64" t="str">
        <f ca="1">IF(ISNA(A2530),"","Subject Code")</f>
        <v/>
      </c>
      <c r="B2531" s="64"/>
      <c r="C2531" s="64" t="str">
        <f ca="1">IF(ISNA(A2530),"","Subject Name")</f>
        <v/>
      </c>
      <c r="D2531" s="64"/>
      <c r="E2531" s="64"/>
      <c r="F2531" s="64"/>
      <c r="G2531" s="64"/>
      <c r="H2531" s="64" t="str">
        <f ca="1">IF(ISNA(A2530),"","Credits")</f>
        <v/>
      </c>
      <c r="I2531" s="64" t="str">
        <f ca="1">IF(ISNA(A2530),"","Grade")</f>
        <v/>
      </c>
      <c r="J2531" s="64" t="str">
        <f ca="1">IF(ISNA(A2530),"","Grade Points")</f>
        <v/>
      </c>
    </row>
    <row r="2532" spans="1:10" ht="14.5" customHeight="1" x14ac:dyDescent="0.2">
      <c r="A2532" s="64"/>
      <c r="B2532" s="64"/>
      <c r="C2532" s="64"/>
      <c r="D2532" s="64"/>
      <c r="E2532" s="64"/>
      <c r="F2532" s="64"/>
      <c r="G2532" s="64"/>
      <c r="H2532" s="64"/>
      <c r="I2532" s="64"/>
      <c r="J2532" s="64"/>
    </row>
    <row r="2533" spans="1:10" ht="10.5" customHeight="1" x14ac:dyDescent="0.2">
      <c r="A2533" s="65" t="str">
        <f ca="1">_xlfn.IFNA(INDIRECT(_xlfn.TEXTJOIN("",TRUE,A2529,"!",ADDRESS(13+(A2530-1)*J2529,1))),"")</f>
        <v/>
      </c>
      <c r="B2533" s="65"/>
      <c r="C2533" s="66" t="str">
        <f ca="1">_xlfn.IFNA(INDIRECT(_xlfn.TEXTJOIN("",TRUE,A2529,"!",ADDRESS(13+(A2530-1)*J2529,2))),"")</f>
        <v/>
      </c>
      <c r="D2533" s="66"/>
      <c r="E2533" s="66"/>
      <c r="F2533" s="66"/>
      <c r="G2533" s="66"/>
      <c r="H2533" s="25" t="str">
        <f ca="1">_xlfn.IFNA(INDIRECT(_xlfn.TEXTJOIN("",TRUE,A2529,"!",ADDRESS(13+(A2530-1)*J2529,6))),"")</f>
        <v/>
      </c>
      <c r="I2533" s="25" t="str">
        <f ca="1">_xlfn.IFNA(INDIRECT(_xlfn.TEXTJOIN("",TRUE,A2529,"!",ADDRESS(13+(A2530-1)*J2529,13))),"")</f>
        <v/>
      </c>
      <c r="J2533" s="25" t="str">
        <f ca="1">_xlfn.IFNA(INDIRECT(_xlfn.TEXTJOIN("",TRUE,A2529,"!",ADDRESS(13+(A2530-1)*J2529,14))),"")</f>
        <v/>
      </c>
    </row>
    <row r="2534" spans="1:10" ht="10.5" customHeight="1" x14ac:dyDescent="0.2">
      <c r="A2534" s="65" t="str">
        <f ca="1">_xlfn.IFNA(INDIRECT(_xlfn.TEXTJOIN("",TRUE,A2529,"!",ADDRESS(14+(A2530-1)*J2529,1))),"")</f>
        <v/>
      </c>
      <c r="B2534" s="65"/>
      <c r="C2534" s="66" t="str">
        <f ca="1">_xlfn.IFNA(INDIRECT(_xlfn.TEXTJOIN("",TRUE,A2529,"!",ADDRESS(14+(A2530-1)*J2529,2))),"")</f>
        <v/>
      </c>
      <c r="D2534" s="66"/>
      <c r="E2534" s="66"/>
      <c r="F2534" s="66"/>
      <c r="G2534" s="66"/>
      <c r="H2534" s="25" t="str">
        <f ca="1">_xlfn.IFNA(INDIRECT(_xlfn.TEXTJOIN("",TRUE,A2529,"!",ADDRESS(14+(A2530-1)*J2529,6))),"")</f>
        <v/>
      </c>
      <c r="I2534" s="25" t="str">
        <f ca="1">_xlfn.IFNA(INDIRECT(_xlfn.TEXTJOIN("",TRUE,A2529,"!",ADDRESS(14+(A2530-1)*J2529,13))),"")</f>
        <v/>
      </c>
      <c r="J2534" s="25" t="str">
        <f ca="1">_xlfn.IFNA(INDIRECT(_xlfn.TEXTJOIN("",TRUE,A2529,"!",ADDRESS(14+(A2530-1)*J2529,14))),"")</f>
        <v/>
      </c>
    </row>
    <row r="2535" spans="1:10" ht="10.5" customHeight="1" x14ac:dyDescent="0.2">
      <c r="A2535" s="65" t="str">
        <f ca="1">_xlfn.IFNA(INDIRECT(_xlfn.TEXTJOIN("",TRUE,A2529,"!",ADDRESS(15+(A2530-1)*J2529,1))),"")</f>
        <v/>
      </c>
      <c r="B2535" s="65"/>
      <c r="C2535" s="66" t="str">
        <f ca="1">_xlfn.IFNA(INDIRECT(_xlfn.TEXTJOIN("",TRUE,A2529,"!",ADDRESS(15+(A2530-1)*J2529,2))),"")</f>
        <v/>
      </c>
      <c r="D2535" s="66"/>
      <c r="E2535" s="66"/>
      <c r="F2535" s="66"/>
      <c r="G2535" s="66"/>
      <c r="H2535" s="25" t="str">
        <f ca="1">_xlfn.IFNA(INDIRECT(_xlfn.TEXTJOIN("",TRUE,A2529,"!",ADDRESS(15+(A2530-1)*J2529,6))),"")</f>
        <v/>
      </c>
      <c r="I2535" s="25" t="str">
        <f ca="1">_xlfn.IFNA(INDIRECT(_xlfn.TEXTJOIN("",TRUE,A2529,"!",ADDRESS(15+(A2530-1)*J2529,13))),"")</f>
        <v/>
      </c>
      <c r="J2535" s="25" t="str">
        <f ca="1">_xlfn.IFNA(INDIRECT(_xlfn.TEXTJOIN("",TRUE,A2529,"!",ADDRESS(15+(A2530-1)*J2529,14))),"")</f>
        <v/>
      </c>
    </row>
    <row r="2536" spans="1:10" ht="10.5" customHeight="1" x14ac:dyDescent="0.2">
      <c r="A2536" s="65" t="str">
        <f ca="1">_xlfn.IFNA(INDIRECT(_xlfn.TEXTJOIN("",TRUE,A2529,"!",ADDRESS(16+(A2530-1)*J2529,1))),"")</f>
        <v/>
      </c>
      <c r="B2536" s="65"/>
      <c r="C2536" s="66" t="str">
        <f ca="1">_xlfn.IFNA(INDIRECT(_xlfn.TEXTJOIN("",TRUE,A2529,"!",ADDRESS(16+(A2530-1)*J2529,2))),"")</f>
        <v/>
      </c>
      <c r="D2536" s="66"/>
      <c r="E2536" s="66"/>
      <c r="F2536" s="66"/>
      <c r="G2536" s="66"/>
      <c r="H2536" s="25" t="str">
        <f ca="1">_xlfn.IFNA(INDIRECT(_xlfn.TEXTJOIN("",TRUE,A2529,"!",ADDRESS(16+(A2530-1)*J2529,6))),"")</f>
        <v/>
      </c>
      <c r="I2536" s="25" t="str">
        <f ca="1">_xlfn.IFNA(INDIRECT(_xlfn.TEXTJOIN("",TRUE,A2529,"!",ADDRESS(16+(A2530-1)*J2529,13))),"")</f>
        <v/>
      </c>
      <c r="J2536" s="25" t="str">
        <f ca="1">_xlfn.IFNA(INDIRECT(_xlfn.TEXTJOIN("",TRUE,A2529,"!",ADDRESS(16+(A2530-1)*J2529,14))),"")</f>
        <v/>
      </c>
    </row>
    <row r="2537" spans="1:10" ht="10.5" customHeight="1" x14ac:dyDescent="0.2">
      <c r="A2537" s="65" t="str">
        <f ca="1">_xlfn.IFNA(INDIRECT(_xlfn.TEXTJOIN("",TRUE,A2529,"!",ADDRESS(17+(A2530-1)*J2529,1))),"")</f>
        <v/>
      </c>
      <c r="B2537" s="65"/>
      <c r="C2537" s="66" t="str">
        <f ca="1">_xlfn.IFNA(INDIRECT(_xlfn.TEXTJOIN("",TRUE,A2529,"!",ADDRESS(17+(A2530-1)*J2529,2))),"")</f>
        <v/>
      </c>
      <c r="D2537" s="66"/>
      <c r="E2537" s="66"/>
      <c r="F2537" s="66"/>
      <c r="G2537" s="66"/>
      <c r="H2537" s="25" t="str">
        <f ca="1">_xlfn.IFNA(INDIRECT(_xlfn.TEXTJOIN("",TRUE,A2529,"!",ADDRESS(17+(A2530-1)*J2529,6))),"")</f>
        <v/>
      </c>
      <c r="I2537" s="25" t="str">
        <f ca="1">_xlfn.IFNA(INDIRECT(_xlfn.TEXTJOIN("",TRUE,A2529,"!",ADDRESS(17+(A2530-1)*J2529,13))),"")</f>
        <v/>
      </c>
      <c r="J2537" s="25" t="str">
        <f ca="1">_xlfn.IFNA(INDIRECT(_xlfn.TEXTJOIN("",TRUE,A2529,"!",ADDRESS(17+(A2530-1)*J2529,14))),"")</f>
        <v/>
      </c>
    </row>
    <row r="2538" spans="1:10" ht="10.5" customHeight="1" x14ac:dyDescent="0.2">
      <c r="A2538" s="65" t="str">
        <f ca="1">_xlfn.IFNA(INDIRECT(_xlfn.TEXTJOIN("",TRUE,A2529,"!",ADDRESS(18+(A2530-1)*J2529,1))),"")</f>
        <v/>
      </c>
      <c r="B2538" s="65"/>
      <c r="C2538" s="66" t="str">
        <f ca="1">_xlfn.IFNA(INDIRECT(_xlfn.TEXTJOIN("",TRUE,A2529,"!",ADDRESS(18+(A2530-1)*J2529,2))),"")</f>
        <v/>
      </c>
      <c r="D2538" s="66"/>
      <c r="E2538" s="66"/>
      <c r="F2538" s="66"/>
      <c r="G2538" s="66"/>
      <c r="H2538" s="25" t="str">
        <f ca="1">_xlfn.IFNA(INDIRECT(_xlfn.TEXTJOIN("",TRUE,A2529,"!",ADDRESS(18+(A2530-1)*J2529,6))),"")</f>
        <v/>
      </c>
      <c r="I2538" s="25" t="str">
        <f ca="1">_xlfn.IFNA(INDIRECT(_xlfn.TEXTJOIN("",TRUE,A2529,"!",ADDRESS(18+(A2530-1)*J2529,13))),"")</f>
        <v/>
      </c>
      <c r="J2538" s="25" t="str">
        <f ca="1">_xlfn.IFNA(INDIRECT(_xlfn.TEXTJOIN("",TRUE,A2529,"!",ADDRESS(18+(A2530-1)*J2529,14))),"")</f>
        <v/>
      </c>
    </row>
    <row r="2539" spans="1:10" ht="10.5" customHeight="1" x14ac:dyDescent="0.2">
      <c r="A2539" s="60" t="str">
        <f ca="1">_xlfn.IFNA(INDIRECT(_xlfn.TEXTJOIN("",TRUE,A2529,"!",ADDRESS(19+(A2530-1)*J2529,1))),"")</f>
        <v/>
      </c>
      <c r="B2539" s="61"/>
      <c r="C2539" s="57" t="str">
        <f ca="1">_xlfn.IFNA(INDIRECT(_xlfn.TEXTJOIN("",TRUE,A2529,"!",ADDRESS(19+(A2530-1)*J2529,2))),"")</f>
        <v/>
      </c>
      <c r="D2539" s="58"/>
      <c r="E2539" s="58"/>
      <c r="F2539" s="58"/>
      <c r="G2539" s="59"/>
      <c r="H2539" s="25" t="str">
        <f ca="1">_xlfn.IFNA(INDIRECT(_xlfn.TEXTJOIN("",TRUE,A2529,"!",ADDRESS(19+(A2530-1)*J2529,6))),"")</f>
        <v/>
      </c>
      <c r="I2539" s="25" t="str">
        <f ca="1">_xlfn.IFNA(INDIRECT(_xlfn.TEXTJOIN("",TRUE,A2529,"!",ADDRESS(19+(A2530-1)*J2529,13))),"")</f>
        <v/>
      </c>
      <c r="J2539" s="25" t="str">
        <f ca="1">_xlfn.IFNA(INDIRECT(_xlfn.TEXTJOIN("",TRUE,A2529,"!",ADDRESS(19+(A2530-1)*J2529,14))),"")</f>
        <v/>
      </c>
    </row>
    <row r="2540" spans="1:10" ht="10.5" customHeight="1" x14ac:dyDescent="0.2">
      <c r="A2540" s="65" t="str">
        <f ca="1">_xlfn.IFNA(INDIRECT(_xlfn.TEXTJOIN("",TRUE,A2529,"!",ADDRESS(20+(A2530-1)*J2529,1))),"")</f>
        <v/>
      </c>
      <c r="B2540" s="65"/>
      <c r="C2540" s="66" t="str">
        <f ca="1">_xlfn.IFNA(INDIRECT(_xlfn.TEXTJOIN("",TRUE,A2529,"!",ADDRESS(20+(A2530-1)*J2529,2))),"")</f>
        <v/>
      </c>
      <c r="D2540" s="66"/>
      <c r="E2540" s="66"/>
      <c r="F2540" s="66"/>
      <c r="G2540" s="66"/>
      <c r="H2540" s="25" t="str">
        <f ca="1">_xlfn.IFNA(INDIRECT(_xlfn.TEXTJOIN("",TRUE,A2529,"!",ADDRESS(20+(A2530-1)*J2529,6))),"")</f>
        <v/>
      </c>
      <c r="I2540" s="25" t="str">
        <f ca="1">_xlfn.IFNA(INDIRECT(_xlfn.TEXTJOIN("",TRUE,A2529,"!",ADDRESS(20+(A2530-1)*J2529,13))),"")</f>
        <v/>
      </c>
      <c r="J2540" s="25" t="str">
        <f ca="1">_xlfn.IFNA(INDIRECT(_xlfn.TEXTJOIN("",TRUE,A2529,"!",ADDRESS(20+(A2530-1)*J2529,14))),"")</f>
        <v/>
      </c>
    </row>
    <row r="2541" spans="1:10" ht="10.5" customHeight="1" x14ac:dyDescent="0.2">
      <c r="A2541" s="71" t="str">
        <f ca="1">IF(ISNA(A2530),"","Total Credits/ Total Grade Points")</f>
        <v/>
      </c>
      <c r="B2541" s="71"/>
      <c r="C2541" s="71"/>
      <c r="D2541" s="71"/>
      <c r="E2541" s="71"/>
      <c r="F2541" s="71"/>
      <c r="G2541" s="71"/>
      <c r="H2541" s="27" t="str">
        <f ca="1">IF(ISNA(A2530),"",SUM(H2533:H2540))</f>
        <v/>
      </c>
      <c r="I2541" s="26" t="str">
        <f ca="1">IF(ISNA(A2530),"","-")</f>
        <v/>
      </c>
      <c r="J2541" s="27" t="str">
        <f ca="1">IF(ISNA(A2530),"",SUMPRODUCT(J2533:J2540,H2533:H2540))</f>
        <v/>
      </c>
    </row>
    <row r="2542" spans="1:10" ht="10.5" customHeight="1" x14ac:dyDescent="0.2">
      <c r="A2542" s="24" t="s">
        <v>133</v>
      </c>
      <c r="B2542" s="72" t="str">
        <f ca="1">IF(ISNA(A2543),"","Semester IV (Spring Semester 2023-24)")</f>
        <v/>
      </c>
      <c r="C2542" s="72"/>
      <c r="D2542" s="72"/>
      <c r="E2542" s="72"/>
      <c r="F2542" s="72"/>
      <c r="G2542" s="72"/>
      <c r="H2542" s="72"/>
      <c r="I2542" s="72"/>
      <c r="J2542" s="24">
        <f>ROWS(A2546:B2552)+9</f>
        <v>16</v>
      </c>
    </row>
    <row r="2543" spans="1:10" ht="10.5" customHeight="1" x14ac:dyDescent="0.2">
      <c r="A2543" s="24" t="e">
        <f ca="1">INDEX(SEM_IV!$A$6:$A$43,Marksheets!J2543)</f>
        <v>#N/A</v>
      </c>
      <c r="B2543" s="63"/>
      <c r="C2543" s="63"/>
      <c r="D2543" s="63"/>
      <c r="E2543" s="63"/>
      <c r="F2543" s="63"/>
      <c r="G2543" s="63"/>
      <c r="H2543" s="63"/>
      <c r="I2543" s="63"/>
      <c r="J2543" s="24" t="e">
        <f ca="1">MATCH(H2493,SEM_IV!$B$6:$B$43,0)</f>
        <v>#N/A</v>
      </c>
    </row>
    <row r="2544" spans="1:10" ht="10.5" customHeight="1" x14ac:dyDescent="0.2">
      <c r="A2544" s="64" t="str">
        <f ca="1">IF(ISNA(A2543),"","Subject Code")</f>
        <v/>
      </c>
      <c r="B2544" s="64"/>
      <c r="C2544" s="64" t="str">
        <f ca="1">IF(ISNA(A2543),"","Subject Name")</f>
        <v/>
      </c>
      <c r="D2544" s="64"/>
      <c r="E2544" s="64"/>
      <c r="F2544" s="64"/>
      <c r="G2544" s="64"/>
      <c r="H2544" s="64" t="str">
        <f ca="1">IF(ISNA(A2543),"","Credits")</f>
        <v/>
      </c>
      <c r="I2544" s="64" t="str">
        <f ca="1">IF(ISNA(A2543),"","Grade")</f>
        <v/>
      </c>
      <c r="J2544" s="64" t="str">
        <f ca="1">IF(ISNA(A2543),"","Grade Points")</f>
        <v/>
      </c>
    </row>
    <row r="2545" spans="1:10" ht="12.5" customHeight="1" x14ac:dyDescent="0.2">
      <c r="A2545" s="64"/>
      <c r="B2545" s="64"/>
      <c r="C2545" s="64"/>
      <c r="D2545" s="64"/>
      <c r="E2545" s="64"/>
      <c r="F2545" s="64"/>
      <c r="G2545" s="64"/>
      <c r="H2545" s="64"/>
      <c r="I2545" s="64"/>
      <c r="J2545" s="64"/>
    </row>
    <row r="2546" spans="1:10" ht="10.5" customHeight="1" x14ac:dyDescent="0.2">
      <c r="A2546" s="65" t="str">
        <f ca="1">_xlfn.IFNA(INDIRECT(_xlfn.TEXTJOIN("",TRUE,A2542,"!",ADDRESS(13+(A2543-1)*J2542,1))),"")</f>
        <v/>
      </c>
      <c r="B2546" s="65"/>
      <c r="C2546" s="66" t="str">
        <f ca="1">_xlfn.IFNA(INDIRECT(_xlfn.TEXTJOIN("",TRUE,A2542,"!",ADDRESS(13+(A2543-1)*J2542,2))),"")</f>
        <v/>
      </c>
      <c r="D2546" s="66"/>
      <c r="E2546" s="66"/>
      <c r="F2546" s="66"/>
      <c r="G2546" s="66"/>
      <c r="H2546" s="25" t="str">
        <f ca="1">_xlfn.IFNA(INDIRECT(_xlfn.TEXTJOIN("",TRUE,A2542,"!",ADDRESS(13+(A2543-1)*J2542,6))),"")</f>
        <v/>
      </c>
      <c r="I2546" s="25" t="str">
        <f ca="1">_xlfn.IFNA(INDIRECT(_xlfn.TEXTJOIN("",TRUE,A2542,"!",ADDRESS(13+(A2543-1)*J2542,13))),"")</f>
        <v/>
      </c>
      <c r="J2546" s="25" t="str">
        <f ca="1">_xlfn.IFNA(INDIRECT(_xlfn.TEXTJOIN("",TRUE,A2542,"!",ADDRESS(13+(A2543-1)*J2542,14))),"")</f>
        <v/>
      </c>
    </row>
    <row r="2547" spans="1:10" ht="10.5" customHeight="1" x14ac:dyDescent="0.2">
      <c r="A2547" s="65" t="str">
        <f ca="1">_xlfn.IFNA(INDIRECT(_xlfn.TEXTJOIN("",TRUE,A2542,"!",ADDRESS(14+(A2543-1)*J2542,1))),"")</f>
        <v/>
      </c>
      <c r="B2547" s="65"/>
      <c r="C2547" s="66" t="str">
        <f ca="1">_xlfn.IFNA(INDIRECT(_xlfn.TEXTJOIN("",TRUE,A2542,"!",ADDRESS(14+(A2543-1)*J2542,2))),"")</f>
        <v/>
      </c>
      <c r="D2547" s="66"/>
      <c r="E2547" s="66"/>
      <c r="F2547" s="66"/>
      <c r="G2547" s="66"/>
      <c r="H2547" s="25" t="str">
        <f ca="1">_xlfn.IFNA(INDIRECT(_xlfn.TEXTJOIN("",TRUE,A2542,"!",ADDRESS(14+(A2543-1)*J2542,6))),"")</f>
        <v/>
      </c>
      <c r="I2547" s="25" t="str">
        <f ca="1">_xlfn.IFNA(INDIRECT(_xlfn.TEXTJOIN("",TRUE,A2542,"!",ADDRESS(14+(A2543-1)*J2542,13))),"")</f>
        <v/>
      </c>
      <c r="J2547" s="25" t="str">
        <f ca="1">_xlfn.IFNA(INDIRECT(_xlfn.TEXTJOIN("",TRUE,A2542,"!",ADDRESS(14+(A2543-1)*J2542,14))),"")</f>
        <v/>
      </c>
    </row>
    <row r="2548" spans="1:10" ht="10.5" customHeight="1" x14ac:dyDescent="0.2">
      <c r="A2548" s="65" t="str">
        <f ca="1">_xlfn.IFNA(INDIRECT(_xlfn.TEXTJOIN("",TRUE,A2542,"!",ADDRESS(15+(A2543-1)*J2542,1))),"")</f>
        <v/>
      </c>
      <c r="B2548" s="65"/>
      <c r="C2548" s="66" t="str">
        <f ca="1">_xlfn.IFNA(INDIRECT(_xlfn.TEXTJOIN("",TRUE,A2542,"!",ADDRESS(15+(A2543-1)*J2542,2))),"")</f>
        <v/>
      </c>
      <c r="D2548" s="66"/>
      <c r="E2548" s="66"/>
      <c r="F2548" s="66"/>
      <c r="G2548" s="66"/>
      <c r="H2548" s="25" t="str">
        <f ca="1">_xlfn.IFNA(INDIRECT(_xlfn.TEXTJOIN("",TRUE,A2542,"!",ADDRESS(15+(A2543-1)*J2542,6))),"")</f>
        <v/>
      </c>
      <c r="I2548" s="25" t="str">
        <f ca="1">_xlfn.IFNA(INDIRECT(_xlfn.TEXTJOIN("",TRUE,A2542,"!",ADDRESS(15+(A2543-1)*J2542,13))),"")</f>
        <v/>
      </c>
      <c r="J2548" s="25" t="str">
        <f ca="1">_xlfn.IFNA(INDIRECT(_xlfn.TEXTJOIN("",TRUE,A2542,"!",ADDRESS(15+(A2543-1)*J2542,14))),"")</f>
        <v/>
      </c>
    </row>
    <row r="2549" spans="1:10" ht="10.5" customHeight="1" x14ac:dyDescent="0.2">
      <c r="A2549" s="65" t="str">
        <f ca="1">_xlfn.IFNA(INDIRECT(_xlfn.TEXTJOIN("",TRUE,A2542,"!",ADDRESS(16+(A2543-1)*J2542,1))),"")</f>
        <v/>
      </c>
      <c r="B2549" s="65"/>
      <c r="C2549" s="66" t="str">
        <f ca="1">_xlfn.IFNA(INDIRECT(_xlfn.TEXTJOIN("",TRUE,A2542,"!",ADDRESS(16+(A2543-1)*J2542,2))),"")</f>
        <v/>
      </c>
      <c r="D2549" s="66"/>
      <c r="E2549" s="66"/>
      <c r="F2549" s="66"/>
      <c r="G2549" s="66"/>
      <c r="H2549" s="25" t="str">
        <f ca="1">_xlfn.IFNA(INDIRECT(_xlfn.TEXTJOIN("",TRUE,A2542,"!",ADDRESS(16+(A2543-1)*J2542,6))),"")</f>
        <v/>
      </c>
      <c r="I2549" s="25" t="str">
        <f ca="1">_xlfn.IFNA(INDIRECT(_xlfn.TEXTJOIN("",TRUE,A2542,"!",ADDRESS(16+(A2543-1)*J2542,13))),"")</f>
        <v/>
      </c>
      <c r="J2549" s="25" t="str">
        <f ca="1">_xlfn.IFNA(INDIRECT(_xlfn.TEXTJOIN("",TRUE,A2542,"!",ADDRESS(16+(A2543-1)*J2542,14))),"")</f>
        <v/>
      </c>
    </row>
    <row r="2550" spans="1:10" ht="10.5" customHeight="1" x14ac:dyDescent="0.2">
      <c r="A2550" s="65" t="str">
        <f ca="1">_xlfn.IFNA(INDIRECT(_xlfn.TEXTJOIN("",TRUE,A2542,"!",ADDRESS(17+(A2543-1)*J2542,1))),"")</f>
        <v/>
      </c>
      <c r="B2550" s="65"/>
      <c r="C2550" s="66" t="str">
        <f ca="1">_xlfn.IFNA(INDIRECT(_xlfn.TEXTJOIN("",TRUE,A2542,"!",ADDRESS(17+(A2543-1)*J2542,2))),"")</f>
        <v/>
      </c>
      <c r="D2550" s="66"/>
      <c r="E2550" s="66"/>
      <c r="F2550" s="66"/>
      <c r="G2550" s="66"/>
      <c r="H2550" s="25" t="str">
        <f ca="1">_xlfn.IFNA(INDIRECT(_xlfn.TEXTJOIN("",TRUE,A2542,"!",ADDRESS(17+(A2543-1)*J2542,6))),"")</f>
        <v/>
      </c>
      <c r="I2550" s="25" t="str">
        <f ca="1">_xlfn.IFNA(INDIRECT(_xlfn.TEXTJOIN("",TRUE,A2542,"!",ADDRESS(17+(A2543-1)*J2542,13))),"")</f>
        <v/>
      </c>
      <c r="J2550" s="25" t="str">
        <f ca="1">_xlfn.IFNA(INDIRECT(_xlfn.TEXTJOIN("",TRUE,A2542,"!",ADDRESS(17+(A2543-1)*J2542,14))),"")</f>
        <v/>
      </c>
    </row>
    <row r="2551" spans="1:10" ht="10.5" customHeight="1" x14ac:dyDescent="0.2">
      <c r="A2551" s="65" t="str">
        <f ca="1">_xlfn.IFNA(INDIRECT(_xlfn.TEXTJOIN("",TRUE,A2542,"!",ADDRESS(18+(A2543-1)*J2542,1))),"")</f>
        <v/>
      </c>
      <c r="B2551" s="65"/>
      <c r="C2551" s="66" t="str">
        <f ca="1">_xlfn.IFNA(INDIRECT(_xlfn.TEXTJOIN("",TRUE,A2542,"!",ADDRESS(18+(A2543-1)*J2542,2))),"")</f>
        <v/>
      </c>
      <c r="D2551" s="66"/>
      <c r="E2551" s="66"/>
      <c r="F2551" s="66"/>
      <c r="G2551" s="66"/>
      <c r="H2551" s="25" t="str">
        <f ca="1">_xlfn.IFNA(INDIRECT(_xlfn.TEXTJOIN("",TRUE,A2542,"!",ADDRESS(18+(A2543-1)*J2542,6))),"")</f>
        <v/>
      </c>
      <c r="I2551" s="25" t="str">
        <f ca="1">_xlfn.IFNA(INDIRECT(_xlfn.TEXTJOIN("",TRUE,A2542,"!",ADDRESS(18+(A2543-1)*J2542,13))),"")</f>
        <v/>
      </c>
      <c r="J2551" s="25" t="str">
        <f ca="1">_xlfn.IFNA(INDIRECT(_xlfn.TEXTJOIN("",TRUE,A2542,"!",ADDRESS(18+(A2543-1)*J2542,14))),"")</f>
        <v/>
      </c>
    </row>
    <row r="2552" spans="1:10" ht="10.5" customHeight="1" x14ac:dyDescent="0.2">
      <c r="A2552" s="60" t="str">
        <f ca="1">_xlfn.IFNA(INDIRECT(_xlfn.TEXTJOIN("",TRUE,A2542,"!",ADDRESS(19+(A2543-1)*J2542,1))),"")</f>
        <v/>
      </c>
      <c r="B2552" s="61"/>
      <c r="C2552" s="57" t="str">
        <f ca="1">_xlfn.IFNA(INDIRECT(_xlfn.TEXTJOIN("",TRUE,A2542,"!",ADDRESS(19+(A2543-1)*J2542,2))),"")</f>
        <v/>
      </c>
      <c r="D2552" s="58"/>
      <c r="E2552" s="58"/>
      <c r="F2552" s="58"/>
      <c r="G2552" s="59"/>
      <c r="H2552" s="25" t="str">
        <f ca="1">_xlfn.IFNA(INDIRECT(_xlfn.TEXTJOIN("",TRUE,A2542,"!",ADDRESS(19+(A2543-1)*J2542,6))),"")</f>
        <v/>
      </c>
      <c r="I2552" s="25" t="str">
        <f ca="1">_xlfn.IFNA(INDIRECT(_xlfn.TEXTJOIN("",TRUE,A2542,"!",ADDRESS(19+(A2543-1)*J2542,13))),"")</f>
        <v/>
      </c>
      <c r="J2552" s="25" t="str">
        <f ca="1">_xlfn.IFNA(INDIRECT(_xlfn.TEXTJOIN("",TRUE,A2542,"!",ADDRESS(19+(A2543-1)*J2542,14))),"")</f>
        <v/>
      </c>
    </row>
    <row r="2553" spans="1:10" ht="10.5" customHeight="1" x14ac:dyDescent="0.2">
      <c r="A2553" s="71" t="str">
        <f ca="1">IF(ISNA(A2543),"","Total Credits/ Total Grade Points")</f>
        <v/>
      </c>
      <c r="B2553" s="71"/>
      <c r="C2553" s="71"/>
      <c r="D2553" s="71"/>
      <c r="E2553" s="71"/>
      <c r="F2553" s="71"/>
      <c r="G2553" s="71"/>
      <c r="H2553" s="27" t="str">
        <f ca="1">IF(ISNA(A2543),"",SUM(H2545:H2552))</f>
        <v/>
      </c>
      <c r="I2553" s="26" t="str">
        <f ca="1">IF(ISNA(A2543),"","-")</f>
        <v/>
      </c>
      <c r="J2553" s="27" t="str">
        <f ca="1">IF(ISNA(A2543),"",SUMPRODUCT(J2545:J2552,H2545:H2552))</f>
        <v/>
      </c>
    </row>
    <row r="2554" spans="1:10" ht="10.5" customHeight="1" x14ac:dyDescent="0.2">
      <c r="A2554" s="75" t="s">
        <v>137</v>
      </c>
      <c r="B2554" s="75"/>
      <c r="C2554" s="75"/>
      <c r="D2554" s="75"/>
      <c r="E2554" s="75"/>
      <c r="F2554" s="76" t="s">
        <v>138</v>
      </c>
      <c r="G2554" s="76"/>
      <c r="H2554" s="76"/>
      <c r="I2554" s="76"/>
      <c r="J2554" s="76"/>
    </row>
    <row r="2555" spans="1:10" ht="10.5" customHeight="1" x14ac:dyDescent="0.2">
      <c r="A2555" s="43" t="s">
        <v>139</v>
      </c>
      <c r="B2555" s="43"/>
      <c r="C2555" s="43"/>
      <c r="D2555" s="43"/>
      <c r="E2555" s="43"/>
      <c r="F2555" s="43"/>
      <c r="G2555" s="43"/>
      <c r="H2555" s="43"/>
      <c r="I2555" s="43"/>
      <c r="J2555" s="43"/>
    </row>
    <row r="2556" spans="1:10" ht="10.5" customHeight="1" x14ac:dyDescent="0.2">
      <c r="A2556" s="10"/>
      <c r="B2556" s="26"/>
      <c r="C2556" s="26" t="s">
        <v>140</v>
      </c>
      <c r="D2556" s="26" t="s">
        <v>141</v>
      </c>
      <c r="E2556" s="26" t="s">
        <v>142</v>
      </c>
      <c r="F2556" s="26" t="s">
        <v>143</v>
      </c>
      <c r="G2556" s="26" t="s">
        <v>144</v>
      </c>
      <c r="H2556" s="79" t="s">
        <v>145</v>
      </c>
      <c r="I2556" s="79"/>
      <c r="J2556" s="30"/>
    </row>
    <row r="2557" spans="1:10" ht="10.5" customHeight="1" x14ac:dyDescent="0.2">
      <c r="A2557" s="10"/>
      <c r="B2557" s="80" t="s">
        <v>146</v>
      </c>
      <c r="C2557" s="73" t="e">
        <f ca="1">J2513/H2513</f>
        <v>#N/A</v>
      </c>
      <c r="D2557" s="73" t="e">
        <f ca="1">J2528/H2528</f>
        <v>#VALUE!</v>
      </c>
      <c r="E2557" s="73" t="str">
        <f ca="1">IFERROR(J2541/H2541,"")</f>
        <v/>
      </c>
      <c r="F2557" s="73" t="str">
        <f ca="1">IFERROR(J2553/H2553,"")</f>
        <v/>
      </c>
      <c r="G2557" s="82" t="e">
        <f ca="1">F2559</f>
        <v>#N/A</v>
      </c>
      <c r="H2557" s="83" t="e">
        <f ca="1">IF(TC_IV!N581&lt;96,_xlfn.TEXTJOIN(" ",TRUE,"CARRY OVER",TC_I!V855,TC_II!V707,TC_III!V616,TC_IV!V580),IF(G2557&gt;=8,"First Division with Distinction",IF(G2557&gt;=6.5,"First Division",IF(G2557&gt;=5,"Second Division",IF(G2557&gt;=4,"Third Division","Fail")))))</f>
        <v>#N/A</v>
      </c>
      <c r="I2557" s="83"/>
      <c r="J2557" s="30"/>
    </row>
    <row r="2558" spans="1:10" ht="10.5" customHeight="1" x14ac:dyDescent="0.2">
      <c r="B2558" s="81"/>
      <c r="C2558" s="74"/>
      <c r="D2558" s="74"/>
      <c r="E2558" s="74"/>
      <c r="F2558" s="74"/>
      <c r="G2558" s="82"/>
      <c r="H2558" s="83"/>
      <c r="I2558" s="83"/>
    </row>
    <row r="2559" spans="1:10" ht="10.5" customHeight="1" x14ac:dyDescent="0.2">
      <c r="B2559" s="80" t="s">
        <v>48</v>
      </c>
      <c r="C2559" s="73" t="e">
        <f ca="1">J2513/H2513</f>
        <v>#N/A</v>
      </c>
      <c r="D2559" s="73" t="e">
        <f ca="1">SUM(J2528,J2513)/SUM(H2528,H2513)</f>
        <v>#N/A</v>
      </c>
      <c r="E2559" s="73" t="e">
        <f ca="1">SUM(J2541,J2528,J2513)/SUM(H2541,H2528,H2513)</f>
        <v>#N/A</v>
      </c>
      <c r="F2559" s="73" t="e">
        <f ca="1">SUM(J2553,J2541,J2528,J2513)/SUM(H2513,H2528,H2541,H2553)</f>
        <v>#N/A</v>
      </c>
      <c r="G2559" s="82"/>
      <c r="H2559" s="83"/>
      <c r="I2559" s="83"/>
    </row>
    <row r="2560" spans="1:10" ht="10.5" customHeight="1" x14ac:dyDescent="0.2">
      <c r="B2560" s="81"/>
      <c r="C2560" s="74"/>
      <c r="D2560" s="74"/>
      <c r="E2560" s="74"/>
      <c r="F2560" s="74"/>
      <c r="G2560" s="82"/>
      <c r="H2560" s="83"/>
      <c r="I2560" s="83"/>
    </row>
    <row r="2562" spans="1:10" ht="10.5" customHeight="1" x14ac:dyDescent="0.2">
      <c r="A2562" s="56" t="s">
        <v>24</v>
      </c>
      <c r="B2562" s="56"/>
      <c r="C2562" s="56" t="str">
        <f ca="1">INDIRECT(_xlfn.TEXTJOIN("",TRUE,A2564,"!",ADDRESS(9+(A2565-1)*J2564,2)))</f>
        <v/>
      </c>
      <c r="D2562" s="56"/>
      <c r="E2562" s="56"/>
      <c r="F2562" s="56" t="s">
        <v>135</v>
      </c>
      <c r="G2562" s="56"/>
      <c r="H2562" s="62" t="str">
        <f ca="1">INDIRECT(_xlfn.TEXTJOIN("",TRUE,A2564,"!",ADDRESS(9+(A2565-1)*J2564,9)))</f>
        <v/>
      </c>
      <c r="I2562" s="56"/>
      <c r="J2562" s="56"/>
    </row>
    <row r="2563" spans="1:10" ht="10.5" customHeight="1" x14ac:dyDescent="0.2">
      <c r="A2563" s="56" t="s">
        <v>25</v>
      </c>
      <c r="B2563" s="56"/>
      <c r="C2563" s="56" t="str">
        <f ca="1">INDIRECT(_xlfn.TEXTJOIN("",TRUE,A2564,"!",ADDRESS(9+(A2565-1)*J2564,5)))</f>
        <v/>
      </c>
      <c r="D2563" s="56"/>
      <c r="E2563" s="56"/>
      <c r="F2563" s="47" t="s">
        <v>136</v>
      </c>
      <c r="G2563" s="47"/>
      <c r="H2563" s="62" t="str">
        <f ca="1">INDIRECT(_xlfn.TEXTJOIN("",TRUE,A2564,"!",ADDRESS(9+(A2565-1)*J2564,13)))</f>
        <v/>
      </c>
      <c r="I2563" s="56"/>
      <c r="J2563" s="56"/>
    </row>
    <row r="2564" spans="1:10" ht="10.5" customHeight="1" x14ac:dyDescent="0.2">
      <c r="A2564" s="24" t="s">
        <v>53</v>
      </c>
      <c r="B2564" s="43" t="s">
        <v>148</v>
      </c>
      <c r="C2564" s="43"/>
      <c r="D2564" s="43"/>
      <c r="E2564" s="43"/>
      <c r="F2564" s="43"/>
      <c r="G2564" s="43"/>
      <c r="H2564" s="43"/>
      <c r="I2564" s="43"/>
      <c r="J2564" s="24">
        <f>ROWS(A2568:B2581)+9</f>
        <v>23</v>
      </c>
    </row>
    <row r="2565" spans="1:10" ht="10.5" customHeight="1" x14ac:dyDescent="0.2">
      <c r="A2565" s="24">
        <f>A2496+1</f>
        <v>38</v>
      </c>
      <c r="B2565" s="63"/>
      <c r="C2565" s="63"/>
      <c r="D2565" s="63"/>
      <c r="E2565" s="63"/>
      <c r="F2565" s="63"/>
      <c r="G2565" s="63"/>
      <c r="H2565" s="63"/>
      <c r="I2565" s="63"/>
      <c r="J2565" s="29"/>
    </row>
    <row r="2566" spans="1:10" ht="10.5" customHeight="1" x14ac:dyDescent="0.2">
      <c r="A2566" s="64" t="s">
        <v>28</v>
      </c>
      <c r="B2566" s="64"/>
      <c r="C2566" s="64" t="s">
        <v>29</v>
      </c>
      <c r="D2566" s="64"/>
      <c r="E2566" s="64"/>
      <c r="F2566" s="64"/>
      <c r="G2566" s="64"/>
      <c r="H2566" s="64" t="s">
        <v>30</v>
      </c>
      <c r="I2566" s="64" t="s">
        <v>9</v>
      </c>
      <c r="J2566" s="64" t="s">
        <v>34</v>
      </c>
    </row>
    <row r="2567" spans="1:10" ht="10.5" customHeight="1" x14ac:dyDescent="0.2">
      <c r="A2567" s="64"/>
      <c r="B2567" s="64"/>
      <c r="C2567" s="64"/>
      <c r="D2567" s="64"/>
      <c r="E2567" s="64"/>
      <c r="F2567" s="64"/>
      <c r="G2567" s="64"/>
      <c r="H2567" s="64"/>
      <c r="I2567" s="64"/>
      <c r="J2567" s="64"/>
    </row>
    <row r="2568" spans="1:10" ht="10.5" customHeight="1" x14ac:dyDescent="0.2">
      <c r="A2568" s="65" t="str">
        <f ca="1">INDIRECT(_xlfn.TEXTJOIN("",TRUE,A2564,"!",ADDRESS(13+(A2565-1)*J2564,1)))</f>
        <v/>
      </c>
      <c r="B2568" s="65"/>
      <c r="C2568" s="66" t="str">
        <f ca="1">INDIRECT(_xlfn.TEXTJOIN("",TRUE,A2564,"!",ADDRESS(13+(A2565-1)*J2564,2)))</f>
        <v/>
      </c>
      <c r="D2568" s="66"/>
      <c r="E2568" s="66"/>
      <c r="F2568" s="66"/>
      <c r="G2568" s="66"/>
      <c r="H2568" s="25" t="str">
        <f ca="1">INDIRECT(_xlfn.TEXTJOIN("",TRUE,A2564,"!",ADDRESS(13+(A2565-1)*J2564,6)))</f>
        <v/>
      </c>
      <c r="I2568" s="25" t="str">
        <f ca="1">INDIRECT(_xlfn.TEXTJOIN("",TRUE,A2564,"!",ADDRESS(13+(A2565-1)*J2564,13)))</f>
        <v/>
      </c>
      <c r="J2568" s="25" t="e">
        <f ca="1">INDIRECT(_xlfn.TEXTJOIN("",TRUE,A2564,"!",ADDRESS(13+(A2565-1)*J2564,14)))</f>
        <v>#N/A</v>
      </c>
    </row>
    <row r="2569" spans="1:10" ht="10.5" customHeight="1" x14ac:dyDescent="0.2">
      <c r="A2569" s="65" t="str">
        <f ca="1">INDIRECT(_xlfn.TEXTJOIN("",TRUE,A2564,"!",ADDRESS(14+(A2565-1)*J2564,1)))</f>
        <v/>
      </c>
      <c r="B2569" s="65"/>
      <c r="C2569" s="66" t="str">
        <f ca="1">INDIRECT(_xlfn.TEXTJOIN("",TRUE,A2564,"!",ADDRESS(14+(A2565-1)*J2564,2)))</f>
        <v/>
      </c>
      <c r="D2569" s="66"/>
      <c r="E2569" s="66"/>
      <c r="F2569" s="66"/>
      <c r="G2569" s="66"/>
      <c r="H2569" s="25" t="str">
        <f ca="1">INDIRECT(_xlfn.TEXTJOIN("",TRUE,A2564,"!",ADDRESS(14+(A2565-1)*J2564,6)))</f>
        <v/>
      </c>
      <c r="I2569" s="25" t="str">
        <f ca="1">INDIRECT(_xlfn.TEXTJOIN("",TRUE,A2564,"!",ADDRESS(14+(A2565-1)*J2564,13)))</f>
        <v/>
      </c>
      <c r="J2569" s="25" t="e">
        <f ca="1">INDIRECT(_xlfn.TEXTJOIN("",TRUE,A2564,"!",ADDRESS(14+(A2565-1)*J2564,14)))</f>
        <v>#N/A</v>
      </c>
    </row>
    <row r="2570" spans="1:10" ht="10.5" customHeight="1" x14ac:dyDescent="0.2">
      <c r="A2570" s="65" t="str">
        <f ca="1">INDIRECT(_xlfn.TEXTJOIN("",TRUE,A2564,"!",ADDRESS(15+(A2565-1)*J2564,1)))</f>
        <v/>
      </c>
      <c r="B2570" s="65"/>
      <c r="C2570" s="66" t="str">
        <f ca="1">INDIRECT(_xlfn.TEXTJOIN("",TRUE,A2564,"!",ADDRESS(15+(A2565-1)*J2564,2)))</f>
        <v/>
      </c>
      <c r="D2570" s="66"/>
      <c r="E2570" s="66"/>
      <c r="F2570" s="66"/>
      <c r="G2570" s="66"/>
      <c r="H2570" s="25" t="str">
        <f ca="1">INDIRECT(_xlfn.TEXTJOIN("",TRUE,A2564,"!",ADDRESS(15+(A2565-1)*J2564,6)))</f>
        <v/>
      </c>
      <c r="I2570" s="25" t="str">
        <f ca="1">INDIRECT(_xlfn.TEXTJOIN("",TRUE,A2564,"!",ADDRESS(15+(A2565-1)*J2564,13)))</f>
        <v/>
      </c>
      <c r="J2570" s="25" t="e">
        <f ca="1">INDIRECT(_xlfn.TEXTJOIN("",TRUE,A2564,"!",ADDRESS(15+(A2565-1)*J2564,14)))</f>
        <v>#N/A</v>
      </c>
    </row>
    <row r="2571" spans="1:10" ht="10.5" customHeight="1" x14ac:dyDescent="0.2">
      <c r="A2571" s="65" t="str">
        <f ca="1">INDIRECT(_xlfn.TEXTJOIN("",TRUE,A2564,"!",ADDRESS(16+(A2565-1)*J2564,1)))</f>
        <v/>
      </c>
      <c r="B2571" s="65"/>
      <c r="C2571" s="66" t="str">
        <f ca="1">INDIRECT(_xlfn.TEXTJOIN("",TRUE,A2564,"!",ADDRESS(16+(A2565-1)*J2564,2)))</f>
        <v/>
      </c>
      <c r="D2571" s="66"/>
      <c r="E2571" s="66"/>
      <c r="F2571" s="66"/>
      <c r="G2571" s="66"/>
      <c r="H2571" s="25" t="str">
        <f ca="1">INDIRECT(_xlfn.TEXTJOIN("",TRUE,A2564,"!",ADDRESS(16+(A2565-1)*J2564,6)))</f>
        <v/>
      </c>
      <c r="I2571" s="25" t="str">
        <f ca="1">INDIRECT(_xlfn.TEXTJOIN("",TRUE,A2564,"!",ADDRESS(16+(A2565-1)*J2564,13)))</f>
        <v/>
      </c>
      <c r="J2571" s="25" t="e">
        <f ca="1">INDIRECT(_xlfn.TEXTJOIN("",TRUE,A2564,"!",ADDRESS(16+(A2565-1)*J2564,14)))</f>
        <v>#N/A</v>
      </c>
    </row>
    <row r="2572" spans="1:10" ht="10.5" customHeight="1" x14ac:dyDescent="0.2">
      <c r="A2572" s="65" t="str">
        <f ca="1">INDIRECT(_xlfn.TEXTJOIN("",TRUE,A2564,"!",ADDRESS(17+(A2565-1)*J2564,1)))</f>
        <v/>
      </c>
      <c r="B2572" s="65"/>
      <c r="C2572" s="66" t="str">
        <f ca="1">INDIRECT(_xlfn.TEXTJOIN("",TRUE,A2564,"!",ADDRESS(17+(A2565-1)*J2564,2)))</f>
        <v/>
      </c>
      <c r="D2572" s="66"/>
      <c r="E2572" s="66"/>
      <c r="F2572" s="66"/>
      <c r="G2572" s="66"/>
      <c r="H2572" s="25" t="str">
        <f ca="1">INDIRECT(_xlfn.TEXTJOIN("",TRUE,A2564,"!",ADDRESS(17+(A2565-1)*J2564,6)))</f>
        <v/>
      </c>
      <c r="I2572" s="25" t="str">
        <f ca="1">INDIRECT(_xlfn.TEXTJOIN("",TRUE,A2564,"!",ADDRESS(17+(A2565-1)*J2564,13)))</f>
        <v/>
      </c>
      <c r="J2572" s="25" t="e">
        <f ca="1">INDIRECT(_xlfn.TEXTJOIN("",TRUE,A2564,"!",ADDRESS(17+(A2565-1)*J2564,14)))</f>
        <v>#N/A</v>
      </c>
    </row>
    <row r="2573" spans="1:10" ht="10.5" customHeight="1" x14ac:dyDescent="0.2">
      <c r="A2573" s="65" t="str">
        <f ca="1">INDIRECT(_xlfn.TEXTJOIN("",TRUE,A2564,"!",ADDRESS(18+(A2565-1)*J2564,1)))</f>
        <v/>
      </c>
      <c r="B2573" s="65"/>
      <c r="C2573" s="66" t="str">
        <f ca="1">INDIRECT(_xlfn.TEXTJOIN("",TRUE,A2564,"!",ADDRESS(18+(A2565-1)*J2564,2)))</f>
        <v/>
      </c>
      <c r="D2573" s="66"/>
      <c r="E2573" s="66"/>
      <c r="F2573" s="66"/>
      <c r="G2573" s="66"/>
      <c r="H2573" s="25" t="str">
        <f ca="1">INDIRECT(_xlfn.TEXTJOIN("",TRUE,A2564,"!",ADDRESS(18+(A2565-1)*J2564,6)))</f>
        <v/>
      </c>
      <c r="I2573" s="25" t="str">
        <f ca="1">INDIRECT(_xlfn.TEXTJOIN("",TRUE,A2564,"!",ADDRESS(18+(A2565-1)*J2564,13)))</f>
        <v/>
      </c>
      <c r="J2573" s="25" t="e">
        <f ca="1">INDIRECT(_xlfn.TEXTJOIN("",TRUE,A2564,"!",ADDRESS(18+(A2565-1)*J2564,14)))</f>
        <v>#N/A</v>
      </c>
    </row>
    <row r="2574" spans="1:10" ht="10.5" customHeight="1" x14ac:dyDescent="0.2">
      <c r="A2574" s="60" t="str">
        <f ca="1">INDIRECT(_xlfn.TEXTJOIN("",TRUE,A2564,"!",ADDRESS(19+(A2565-1)*J2564,1)))</f>
        <v/>
      </c>
      <c r="B2574" s="61"/>
      <c r="C2574" s="57" t="str">
        <f ca="1">INDIRECT(_xlfn.TEXTJOIN("",TRUE,A2564,"!",ADDRESS(19+(A2565-1)*J2564,2)))</f>
        <v/>
      </c>
      <c r="D2574" s="58"/>
      <c r="E2574" s="58"/>
      <c r="F2574" s="58"/>
      <c r="G2574" s="59"/>
      <c r="H2574" s="25" t="str">
        <f ca="1">INDIRECT(_xlfn.TEXTJOIN("",TRUE,A2564,"!",ADDRESS(19+(A2565-1)*J2564,6)))</f>
        <v/>
      </c>
      <c r="I2574" s="25" t="str">
        <f ca="1">INDIRECT(_xlfn.TEXTJOIN("",TRUE,A2564,"!",ADDRESS(19+(A2565-1)*J2564,13)))</f>
        <v/>
      </c>
      <c r="J2574" s="25" t="e">
        <f ca="1">INDIRECT(_xlfn.TEXTJOIN("",TRUE,A2564,"!",ADDRESS(19+(A2565-1)*J2564,14)))</f>
        <v>#N/A</v>
      </c>
    </row>
    <row r="2575" spans="1:10" ht="10.5" customHeight="1" x14ac:dyDescent="0.2">
      <c r="A2575" s="65" t="str">
        <f ca="1">INDIRECT(_xlfn.TEXTJOIN("",TRUE,A2564,"!",ADDRESS(20+(A2565-1)*J2564,1)))</f>
        <v/>
      </c>
      <c r="B2575" s="65"/>
      <c r="C2575" s="66" t="str">
        <f ca="1">INDIRECT(_xlfn.TEXTJOIN("",TRUE,A2564,"!",ADDRESS(20+(A2565-1)*J2564,2)))</f>
        <v/>
      </c>
      <c r="D2575" s="66"/>
      <c r="E2575" s="66"/>
      <c r="F2575" s="66"/>
      <c r="G2575" s="66"/>
      <c r="H2575" s="25" t="str">
        <f ca="1">INDIRECT(_xlfn.TEXTJOIN("",TRUE,A2564,"!",ADDRESS(20+(A2565-1)*J2564,6)))</f>
        <v/>
      </c>
      <c r="I2575" s="25" t="str">
        <f ca="1">INDIRECT(_xlfn.TEXTJOIN("",TRUE,A2564,"!",ADDRESS(20+(A2565-1)*J2564,13)))</f>
        <v/>
      </c>
      <c r="J2575" s="25" t="e">
        <f ca="1">INDIRECT(_xlfn.TEXTJOIN("",TRUE,A2564,"!",ADDRESS(20+(A2565-1)*J2564,14)))</f>
        <v>#N/A</v>
      </c>
    </row>
    <row r="2576" spans="1:10" ht="10.5" customHeight="1" x14ac:dyDescent="0.2">
      <c r="A2576" s="65" t="str">
        <f ca="1">INDIRECT(_xlfn.TEXTJOIN("",TRUE,A2564,"!",ADDRESS(21+(A2565-1)*J2564,1)))</f>
        <v/>
      </c>
      <c r="B2576" s="65"/>
      <c r="C2576" s="66" t="str">
        <f ca="1">INDIRECT(_xlfn.TEXTJOIN("",TRUE,A2564,"!",ADDRESS(21+(A2565-1)*J2564,2)))</f>
        <v/>
      </c>
      <c r="D2576" s="66"/>
      <c r="E2576" s="66"/>
      <c r="F2576" s="66"/>
      <c r="G2576" s="66"/>
      <c r="H2576" s="25" t="str">
        <f ca="1">INDIRECT(_xlfn.TEXTJOIN("",TRUE,A2564,"!",ADDRESS(21+(A2565-1)*J2564,6)))</f>
        <v/>
      </c>
      <c r="I2576" s="25" t="str">
        <f ca="1">INDIRECT(_xlfn.TEXTJOIN("",TRUE,A2564,"!",ADDRESS(21+(A2565-1)*J2564,13)))</f>
        <v/>
      </c>
      <c r="J2576" s="25" t="e">
        <f ca="1">INDIRECT(_xlfn.TEXTJOIN("",TRUE,A2564,"!",ADDRESS(21+(A2565-1)*J2564,14)))</f>
        <v>#N/A</v>
      </c>
    </row>
    <row r="2577" spans="1:10" ht="10.5" customHeight="1" x14ac:dyDescent="0.2">
      <c r="A2577" s="65" t="str">
        <f ca="1">INDIRECT(_xlfn.TEXTJOIN("",TRUE,A2564,"!",ADDRESS(22+(A2565-1)*J2564,1)))</f>
        <v/>
      </c>
      <c r="B2577" s="65"/>
      <c r="C2577" s="66" t="str">
        <f ca="1">INDIRECT(_xlfn.TEXTJOIN("",TRUE,A2564,"!",ADDRESS(22+(A2565-1)*J2564,2)))</f>
        <v/>
      </c>
      <c r="D2577" s="66"/>
      <c r="E2577" s="66"/>
      <c r="F2577" s="66"/>
      <c r="G2577" s="66"/>
      <c r="H2577" s="25" t="str">
        <f ca="1">INDIRECT(_xlfn.TEXTJOIN("",TRUE,A2564,"!",ADDRESS(22+(A2565-1)*J2564,6)))</f>
        <v/>
      </c>
      <c r="I2577" s="25" t="str">
        <f ca="1">INDIRECT(_xlfn.TEXTJOIN("",TRUE,A2564,"!",ADDRESS(22+(A2565-1)*J2564,13)))</f>
        <v/>
      </c>
      <c r="J2577" s="25" t="e">
        <f ca="1">INDIRECT(_xlfn.TEXTJOIN("",TRUE,A2564,"!",ADDRESS(22+(A2565-1)*J2564,14)))</f>
        <v>#N/A</v>
      </c>
    </row>
    <row r="2578" spans="1:10" ht="10.5" customHeight="1" x14ac:dyDescent="0.2">
      <c r="A2578" s="65" t="str">
        <f ca="1">INDIRECT(_xlfn.TEXTJOIN("",TRUE,A2564,"!",ADDRESS(23+(A2565-1)*J2564,1)))</f>
        <v/>
      </c>
      <c r="B2578" s="65"/>
      <c r="C2578" s="66" t="str">
        <f ca="1">INDIRECT(_xlfn.TEXTJOIN("",TRUE,A2564,"!",ADDRESS(23+(A2565-1)*J2564,2)))</f>
        <v/>
      </c>
      <c r="D2578" s="66"/>
      <c r="E2578" s="66"/>
      <c r="F2578" s="66"/>
      <c r="G2578" s="66"/>
      <c r="H2578" s="25" t="str">
        <f ca="1">INDIRECT(_xlfn.TEXTJOIN("",TRUE,A2564,"!",ADDRESS(23+(A2565-1)*J2564,6)))</f>
        <v/>
      </c>
      <c r="I2578" s="25" t="str">
        <f ca="1">INDIRECT(_xlfn.TEXTJOIN("",TRUE,A2564,"!",ADDRESS(23+(A2565-1)*J2564,13)))</f>
        <v/>
      </c>
      <c r="J2578" s="25" t="e">
        <f ca="1">INDIRECT(_xlfn.TEXTJOIN("",TRUE,A2564,"!",ADDRESS(23+(A2565-1)*J2564,14)))</f>
        <v>#N/A</v>
      </c>
    </row>
    <row r="2579" spans="1:10" ht="10.5" customHeight="1" x14ac:dyDescent="0.2">
      <c r="A2579" s="65" t="str">
        <f ca="1">INDIRECT(_xlfn.TEXTJOIN("",TRUE,A2564,"!",ADDRESS(24+(A2565-1)*J2564,1)))</f>
        <v/>
      </c>
      <c r="B2579" s="65"/>
      <c r="C2579" s="66" t="str">
        <f ca="1">INDIRECT(_xlfn.TEXTJOIN("",TRUE,A2564,"!",ADDRESS(24+(A2565-1)*J2564,2)))</f>
        <v/>
      </c>
      <c r="D2579" s="66"/>
      <c r="E2579" s="66"/>
      <c r="F2579" s="66"/>
      <c r="G2579" s="66"/>
      <c r="H2579" s="25" t="str">
        <f ca="1">INDIRECT(_xlfn.TEXTJOIN("",TRUE,A2564,"!",ADDRESS(24+(A2565-1)*J2564,6)))</f>
        <v/>
      </c>
      <c r="I2579" s="25" t="str">
        <f ca="1">INDIRECT(_xlfn.TEXTJOIN("",TRUE,A2564,"!",ADDRESS(24+(A2565-1)*J2564,13)))</f>
        <v/>
      </c>
      <c r="J2579" s="25" t="e">
        <f ca="1">INDIRECT(_xlfn.TEXTJOIN("",TRUE,A2564,"!",ADDRESS(24+(A2565-1)*J2564,14)))</f>
        <v>#N/A</v>
      </c>
    </row>
    <row r="2580" spans="1:10" ht="10.5" customHeight="1" x14ac:dyDescent="0.2">
      <c r="A2580" s="65" t="str">
        <f ca="1">INDIRECT(_xlfn.TEXTJOIN("",TRUE,A2564,"!",ADDRESS(25+(A2565-1)*J2564,1)))</f>
        <v/>
      </c>
      <c r="B2580" s="65"/>
      <c r="C2580" s="66" t="str">
        <f ca="1">INDIRECT(_xlfn.TEXTJOIN("",TRUE,A2564,"!",ADDRESS(25+(A2565-1)*J2564,2)))</f>
        <v/>
      </c>
      <c r="D2580" s="66"/>
      <c r="E2580" s="66"/>
      <c r="F2580" s="66"/>
      <c r="G2580" s="66"/>
      <c r="H2580" s="25" t="str">
        <f ca="1">INDIRECT(_xlfn.TEXTJOIN("",TRUE,A2564,"!",ADDRESS(25+(A2565-1)*J2564,6)))</f>
        <v/>
      </c>
      <c r="I2580" s="25" t="str">
        <f ca="1">INDIRECT(_xlfn.TEXTJOIN("",TRUE,A2564,"!",ADDRESS(25+(A2565-1)*J2564,13)))</f>
        <v/>
      </c>
      <c r="J2580" s="25" t="e">
        <f ca="1">INDIRECT(_xlfn.TEXTJOIN("",TRUE,A2564,"!",ADDRESS(25+(A2565-1)*J2564,14)))</f>
        <v>#N/A</v>
      </c>
    </row>
    <row r="2581" spans="1:10" s="35" customFormat="1" ht="10.5" customHeight="1" x14ac:dyDescent="0.2">
      <c r="A2581" s="77" t="str">
        <f ca="1">INDIRECT(_xlfn.TEXTJOIN("",TRUE,A2564,"!",ADDRESS(26+(A2565-1)*J2564,1)))</f>
        <v/>
      </c>
      <c r="B2581" s="77"/>
      <c r="C2581" s="78" t="str">
        <f ca="1">INDIRECT(_xlfn.TEXTJOIN("",TRUE,A2564,"!",ADDRESS(26+(A2565-1)*J2564,2)))</f>
        <v/>
      </c>
      <c r="D2581" s="78"/>
      <c r="E2581" s="78"/>
      <c r="F2581" s="78"/>
      <c r="G2581" s="78"/>
      <c r="H2581" s="34" t="str">
        <f ca="1">INDIRECT(_xlfn.TEXTJOIN("",TRUE,A2564,"!",ADDRESS(26+(A2565-1)*J2564,6)))</f>
        <v/>
      </c>
      <c r="I2581" s="34" t="b">
        <f ca="1">INDIRECT(_xlfn.TEXTJOIN("",TRUE,A2564,"!",ADDRESS(26+(A2565-1)*J2564,13)))</f>
        <v>0</v>
      </c>
      <c r="J2581" s="34" t="e">
        <f ca="1">INDIRECT(_xlfn.TEXTJOIN("",TRUE,A2564,"!",ADDRESS(26+(A2565-1)*J2564,14)))</f>
        <v>#N/A</v>
      </c>
    </row>
    <row r="2582" spans="1:10" ht="10.5" customHeight="1" x14ac:dyDescent="0.2">
      <c r="A2582" s="71" t="s">
        <v>52</v>
      </c>
      <c r="B2582" s="71"/>
      <c r="C2582" s="71"/>
      <c r="D2582" s="71"/>
      <c r="E2582" s="71"/>
      <c r="F2582" s="71"/>
      <c r="G2582" s="71"/>
      <c r="H2582" s="27">
        <f ca="1">SUM(H2568:H2581)</f>
        <v>0</v>
      </c>
      <c r="I2582" s="26" t="s">
        <v>44</v>
      </c>
      <c r="J2582" s="27" t="e">
        <f ca="1">SUMPRODUCT(J2568:J2580,H2568:H2580)</f>
        <v>#N/A</v>
      </c>
    </row>
    <row r="2583" spans="1:10" ht="10.5" customHeight="1" x14ac:dyDescent="0.2">
      <c r="A2583" s="24" t="s">
        <v>57</v>
      </c>
      <c r="B2583" s="72" t="str">
        <f ca="1">IF(ISNA(A2584),"","Semester II (Spring Semester 2022-23)")</f>
        <v/>
      </c>
      <c r="C2583" s="72"/>
      <c r="D2583" s="72"/>
      <c r="E2583" s="72"/>
      <c r="F2583" s="72"/>
      <c r="G2583" s="72"/>
      <c r="H2583" s="72"/>
      <c r="I2583" s="72"/>
      <c r="J2583" s="24">
        <f>ROWS(A2587:B2596)+9</f>
        <v>19</v>
      </c>
    </row>
    <row r="2584" spans="1:10" ht="10.5" customHeight="1" x14ac:dyDescent="0.2">
      <c r="A2584" s="24" t="e">
        <f ca="1">INDEX(SEM_II!$A$6:$A$45,Marksheets!J2584)</f>
        <v>#N/A</v>
      </c>
      <c r="B2584" s="63"/>
      <c r="C2584" s="63"/>
      <c r="D2584" s="63"/>
      <c r="E2584" s="63"/>
      <c r="F2584" s="63"/>
      <c r="G2584" s="63"/>
      <c r="H2584" s="63"/>
      <c r="I2584" s="63"/>
      <c r="J2584" s="24" t="e">
        <f ca="1">MATCH(H2562,SEM_II!$B$6:$B$45,0)</f>
        <v>#N/A</v>
      </c>
    </row>
    <row r="2585" spans="1:10" ht="10.5" customHeight="1" x14ac:dyDescent="0.2">
      <c r="A2585" s="64" t="str">
        <f ca="1">IF(ISNA(A2584),"","Subject Code")</f>
        <v/>
      </c>
      <c r="B2585" s="64"/>
      <c r="C2585" s="64" t="str">
        <f ca="1">IF(ISNA(A2584),"","Subject Name")</f>
        <v/>
      </c>
      <c r="D2585" s="64"/>
      <c r="E2585" s="64"/>
      <c r="F2585" s="64"/>
      <c r="G2585" s="64"/>
      <c r="H2585" s="64" t="str">
        <f ca="1">IF(ISNA(A2584),"","Credits")</f>
        <v/>
      </c>
      <c r="I2585" s="64" t="str">
        <f ca="1">IF(ISNA(A2584),"","Grade")</f>
        <v/>
      </c>
      <c r="J2585" s="64" t="str">
        <f ca="1">IF(ISNA(A2584),"","Grade Points")</f>
        <v/>
      </c>
    </row>
    <row r="2586" spans="1:10" ht="12.5" customHeight="1" x14ac:dyDescent="0.2">
      <c r="A2586" s="64"/>
      <c r="B2586" s="64"/>
      <c r="C2586" s="64"/>
      <c r="D2586" s="64"/>
      <c r="E2586" s="64"/>
      <c r="F2586" s="64"/>
      <c r="G2586" s="64"/>
      <c r="H2586" s="64"/>
      <c r="I2586" s="64"/>
      <c r="J2586" s="64"/>
    </row>
    <row r="2587" spans="1:10" ht="10.5" customHeight="1" x14ac:dyDescent="0.2">
      <c r="A2587" s="65" t="str">
        <f ca="1">_xlfn.IFNA(INDIRECT(_xlfn.TEXTJOIN("",TRUE,A2583,"!",ADDRESS(13+(A2584-1)*J2583,1))),"")</f>
        <v/>
      </c>
      <c r="B2587" s="65"/>
      <c r="C2587" s="66" t="str">
        <f ca="1">_xlfn.IFNA(INDIRECT(_xlfn.TEXTJOIN("",TRUE,A2583,"!",ADDRESS(13+(A2584-1)*J2583,2))),"")</f>
        <v/>
      </c>
      <c r="D2587" s="66"/>
      <c r="E2587" s="66"/>
      <c r="F2587" s="66"/>
      <c r="G2587" s="66"/>
      <c r="H2587" s="25" t="str">
        <f ca="1">_xlfn.IFNA(INDIRECT(_xlfn.TEXTJOIN("",TRUE,A2583,"!",ADDRESS(13+(A2584-1)*J2583,6))),"")</f>
        <v/>
      </c>
      <c r="I2587" s="25" t="str">
        <f ca="1">_xlfn.IFNA(INDIRECT(_xlfn.TEXTJOIN("",TRUE,A2583,"!",ADDRESS(13+(A2584-1)*J2583,13))),"")</f>
        <v/>
      </c>
      <c r="J2587" s="25" t="str">
        <f ca="1">_xlfn.IFNA(INDIRECT(_xlfn.TEXTJOIN("",TRUE,A2583,"!",ADDRESS(13+(A2584-1)*J2583,14))),"")</f>
        <v/>
      </c>
    </row>
    <row r="2588" spans="1:10" ht="10.5" customHeight="1" x14ac:dyDescent="0.2">
      <c r="A2588" s="65" t="str">
        <f ca="1">_xlfn.IFNA(INDIRECT(_xlfn.TEXTJOIN("",TRUE,A2583,"!",ADDRESS(14+(A2584-1)*J2583,1))),"")</f>
        <v/>
      </c>
      <c r="B2588" s="65"/>
      <c r="C2588" s="66" t="str">
        <f ca="1">_xlfn.IFNA(INDIRECT(_xlfn.TEXTJOIN("",TRUE,A2583,"!",ADDRESS(14+(A2584-1)*J2583,2))),"")</f>
        <v/>
      </c>
      <c r="D2588" s="66"/>
      <c r="E2588" s="66"/>
      <c r="F2588" s="66"/>
      <c r="G2588" s="66"/>
      <c r="H2588" s="25" t="str">
        <f ca="1">_xlfn.IFNA(INDIRECT(_xlfn.TEXTJOIN("",TRUE,A2583,"!",ADDRESS(14+(A2584-1)*J2583,6))),"")</f>
        <v/>
      </c>
      <c r="I2588" s="25" t="str">
        <f ca="1">_xlfn.IFNA(INDIRECT(_xlfn.TEXTJOIN("",TRUE,A2583,"!",ADDRESS(14+(A2584-1)*J2583,13))),"")</f>
        <v/>
      </c>
      <c r="J2588" s="25" t="str">
        <f ca="1">_xlfn.IFNA(INDIRECT(_xlfn.TEXTJOIN("",TRUE,A2583,"!",ADDRESS(14+(A2584-1)*J2583,14))),"")</f>
        <v/>
      </c>
    </row>
    <row r="2589" spans="1:10" ht="10.5" customHeight="1" x14ac:dyDescent="0.2">
      <c r="A2589" s="65" t="str">
        <f ca="1">_xlfn.IFNA(INDIRECT(_xlfn.TEXTJOIN("",TRUE,A2583,"!",ADDRESS(15+(A2584-1)*J2583,1))),"")</f>
        <v/>
      </c>
      <c r="B2589" s="65"/>
      <c r="C2589" s="66" t="str">
        <f ca="1">_xlfn.IFNA(INDIRECT(_xlfn.TEXTJOIN("",TRUE,A2583,"!",ADDRESS(15+(A2584-1)*J2583,2))),"")</f>
        <v/>
      </c>
      <c r="D2589" s="66"/>
      <c r="E2589" s="66"/>
      <c r="F2589" s="66"/>
      <c r="G2589" s="66"/>
      <c r="H2589" s="25" t="str">
        <f ca="1">_xlfn.IFNA(INDIRECT(_xlfn.TEXTJOIN("",TRUE,A2583,"!",ADDRESS(15+(A2584-1)*J2583,6))),"")</f>
        <v/>
      </c>
      <c r="I2589" s="25" t="str">
        <f ca="1">_xlfn.IFNA(INDIRECT(_xlfn.TEXTJOIN("",TRUE,A2583,"!",ADDRESS(15+(A2584-1)*J2583,13))),"")</f>
        <v/>
      </c>
      <c r="J2589" s="25" t="str">
        <f ca="1">_xlfn.IFNA(INDIRECT(_xlfn.TEXTJOIN("",TRUE,A2583,"!",ADDRESS(15+(A2584-1)*J2583,14))),"")</f>
        <v/>
      </c>
    </row>
    <row r="2590" spans="1:10" ht="10.5" customHeight="1" x14ac:dyDescent="0.2">
      <c r="A2590" s="65" t="str">
        <f ca="1">_xlfn.IFNA(INDIRECT(_xlfn.TEXTJOIN("",TRUE,A2583,"!",ADDRESS(16+(A2584-1)*J2583,1))),"")</f>
        <v/>
      </c>
      <c r="B2590" s="65"/>
      <c r="C2590" s="66" t="str">
        <f ca="1">_xlfn.IFNA(INDIRECT(_xlfn.TEXTJOIN("",TRUE,A2583,"!",ADDRESS(16+(A2584-1)*J2583,2))),"")</f>
        <v/>
      </c>
      <c r="D2590" s="66"/>
      <c r="E2590" s="66"/>
      <c r="F2590" s="66"/>
      <c r="G2590" s="66"/>
      <c r="H2590" s="25" t="str">
        <f ca="1">_xlfn.IFNA(INDIRECT(_xlfn.TEXTJOIN("",TRUE,A2583,"!",ADDRESS(16+(A2584-1)*J2583,6))),"")</f>
        <v/>
      </c>
      <c r="I2590" s="25" t="str">
        <f ca="1">_xlfn.IFNA(INDIRECT(_xlfn.TEXTJOIN("",TRUE,A2583,"!",ADDRESS(16+(A2584-1)*J2583,13))),"")</f>
        <v/>
      </c>
      <c r="J2590" s="25" t="str">
        <f ca="1">_xlfn.IFNA(INDIRECT(_xlfn.TEXTJOIN("",TRUE,A2583,"!",ADDRESS(16+(A2584-1)*J2583,14))),"")</f>
        <v/>
      </c>
    </row>
    <row r="2591" spans="1:10" ht="10.5" customHeight="1" x14ac:dyDescent="0.2">
      <c r="A2591" s="65" t="str">
        <f ca="1">_xlfn.IFNA(INDIRECT(_xlfn.TEXTJOIN("",TRUE,A2583,"!",ADDRESS(17+(A2584-1)*J2583,1))),"")</f>
        <v/>
      </c>
      <c r="B2591" s="65"/>
      <c r="C2591" s="66" t="str">
        <f ca="1">_xlfn.IFNA(INDIRECT(_xlfn.TEXTJOIN("",TRUE,A2583,"!",ADDRESS(17+(A2584-1)*J2583,2))),"")</f>
        <v/>
      </c>
      <c r="D2591" s="66"/>
      <c r="E2591" s="66"/>
      <c r="F2591" s="66"/>
      <c r="G2591" s="66"/>
      <c r="H2591" s="25" t="str">
        <f ca="1">_xlfn.IFNA(INDIRECT(_xlfn.TEXTJOIN("",TRUE,A2583,"!",ADDRESS(17+(A2584-1)*J2583,6))),"")</f>
        <v/>
      </c>
      <c r="I2591" s="25" t="str">
        <f ca="1">_xlfn.IFNA(INDIRECT(_xlfn.TEXTJOIN("",TRUE,A2583,"!",ADDRESS(17+(A2584-1)*J2583,13))),"")</f>
        <v/>
      </c>
      <c r="J2591" s="25" t="str">
        <f ca="1">_xlfn.IFNA(INDIRECT(_xlfn.TEXTJOIN("",TRUE,A2583,"!",ADDRESS(17+(A2584-1)*J2583,14))),"")</f>
        <v/>
      </c>
    </row>
    <row r="2592" spans="1:10" ht="10.5" customHeight="1" x14ac:dyDescent="0.2">
      <c r="A2592" s="65" t="str">
        <f ca="1">_xlfn.IFNA(INDIRECT(_xlfn.TEXTJOIN("",TRUE,A2583,"!",ADDRESS(18+(A2584-1)*J2583,1))),"")</f>
        <v/>
      </c>
      <c r="B2592" s="65"/>
      <c r="C2592" s="66" t="str">
        <f ca="1">_xlfn.IFNA(INDIRECT(_xlfn.TEXTJOIN("",TRUE,A2583,"!",ADDRESS(18+(A2584-1)*J2583,2))),"")</f>
        <v/>
      </c>
      <c r="D2592" s="66"/>
      <c r="E2592" s="66"/>
      <c r="F2592" s="66"/>
      <c r="G2592" s="66"/>
      <c r="H2592" s="25" t="str">
        <f ca="1">_xlfn.IFNA(INDIRECT(_xlfn.TEXTJOIN("",TRUE,A2583,"!",ADDRESS(18+(A2584-1)*J2583,6))),"")</f>
        <v/>
      </c>
      <c r="I2592" s="25" t="str">
        <f ca="1">_xlfn.IFNA(INDIRECT(_xlfn.TEXTJOIN("",TRUE,A2583,"!",ADDRESS(18+(A2584-1)*J2583,13))),"")</f>
        <v/>
      </c>
      <c r="J2592" s="25" t="str">
        <f ca="1">_xlfn.IFNA(INDIRECT(_xlfn.TEXTJOIN("",TRUE,A2583,"!",ADDRESS(18+(A2584-1)*J2583,14))),"")</f>
        <v/>
      </c>
    </row>
    <row r="2593" spans="1:10" ht="10.5" customHeight="1" x14ac:dyDescent="0.2">
      <c r="A2593" s="60" t="str">
        <f ca="1">_xlfn.IFNA(INDIRECT(_xlfn.TEXTJOIN("",TRUE,A2583,"!",ADDRESS(19+(A2584-1)*J2583,1))),"")</f>
        <v/>
      </c>
      <c r="B2593" s="61"/>
      <c r="C2593" s="57" t="str">
        <f ca="1">_xlfn.IFNA(INDIRECT(_xlfn.TEXTJOIN("",TRUE,A2583,"!",ADDRESS(19+(A2584-1)*J2583,2))),"")</f>
        <v/>
      </c>
      <c r="D2593" s="58"/>
      <c r="E2593" s="58"/>
      <c r="F2593" s="58"/>
      <c r="G2593" s="59"/>
      <c r="H2593" s="25" t="str">
        <f ca="1">_xlfn.IFNA(INDIRECT(_xlfn.TEXTJOIN("",TRUE,A2583,"!",ADDRESS(19+(A2584-1)*J2583,6))),"")</f>
        <v/>
      </c>
      <c r="I2593" s="25" t="str">
        <f ca="1">_xlfn.IFNA(INDIRECT(_xlfn.TEXTJOIN("",TRUE,A2583,"!",ADDRESS(19+(A2584-1)*J2583,13))),"")</f>
        <v/>
      </c>
      <c r="J2593" s="25" t="str">
        <f ca="1">_xlfn.IFNA(INDIRECT(_xlfn.TEXTJOIN("",TRUE,A2583,"!",ADDRESS(19+(A2584-1)*J2583,14))),"")</f>
        <v/>
      </c>
    </row>
    <row r="2594" spans="1:10" ht="10.5" customHeight="1" x14ac:dyDescent="0.2">
      <c r="A2594" s="65" t="str">
        <f ca="1">_xlfn.IFNA(INDIRECT(_xlfn.TEXTJOIN("",TRUE,A2583,"!",ADDRESS(20+(A2584-1)*J2583,1))),"")</f>
        <v/>
      </c>
      <c r="B2594" s="65"/>
      <c r="C2594" s="66" t="str">
        <f ca="1">_xlfn.IFNA(INDIRECT(_xlfn.TEXTJOIN("",TRUE,A2583,"!",ADDRESS(20+(A2584-1)*J2583,2))),"")</f>
        <v/>
      </c>
      <c r="D2594" s="66"/>
      <c r="E2594" s="66"/>
      <c r="F2594" s="66"/>
      <c r="G2594" s="66"/>
      <c r="H2594" s="25" t="str">
        <f ca="1">_xlfn.IFNA(INDIRECT(_xlfn.TEXTJOIN("",TRUE,A2583,"!",ADDRESS(20+(A2584-1)*J2583,6))),"")</f>
        <v/>
      </c>
      <c r="I2594" s="25" t="str">
        <f ca="1">_xlfn.IFNA(INDIRECT(_xlfn.TEXTJOIN("",TRUE,A2583,"!",ADDRESS(20+(A2584-1)*J2583,13))),"")</f>
        <v/>
      </c>
      <c r="J2594" s="25" t="str">
        <f ca="1">_xlfn.IFNA(INDIRECT(_xlfn.TEXTJOIN("",TRUE,A2583,"!",ADDRESS(20+(A2584-1)*J2583,14))),"")</f>
        <v/>
      </c>
    </row>
    <row r="2595" spans="1:10" ht="10.5" customHeight="1" x14ac:dyDescent="0.2">
      <c r="A2595" s="65" t="str">
        <f ca="1">_xlfn.IFNA(INDIRECT(_xlfn.TEXTJOIN("",TRUE,A2583,"!",ADDRESS(21+(A2584-1)*J2583,1))),"")</f>
        <v/>
      </c>
      <c r="B2595" s="65"/>
      <c r="C2595" s="66" t="str">
        <f ca="1">_xlfn.IFNA(INDIRECT(_xlfn.TEXTJOIN("",TRUE,A2583,"!",ADDRESS(21+(A2584-1)*J2583,2))),"")</f>
        <v/>
      </c>
      <c r="D2595" s="66"/>
      <c r="E2595" s="66"/>
      <c r="F2595" s="66"/>
      <c r="G2595" s="66"/>
      <c r="H2595" s="25" t="str">
        <f ca="1">_xlfn.IFNA(INDIRECT(_xlfn.TEXTJOIN("",TRUE,A2583,"!",ADDRESS(21+(A2584-1)*J2583,6))),"")</f>
        <v/>
      </c>
      <c r="I2595" s="25" t="str">
        <f ca="1">_xlfn.IFNA(INDIRECT(_xlfn.TEXTJOIN("",TRUE,A2583,"!",ADDRESS(21+(A2584-1)*J2583,13))),"")</f>
        <v/>
      </c>
      <c r="J2595" s="25" t="str">
        <f ca="1">_xlfn.IFNA(INDIRECT(_xlfn.TEXTJOIN("",TRUE,A2583,"!",ADDRESS(21+(A2584-1)*J2583,14))),"")</f>
        <v/>
      </c>
    </row>
    <row r="2596" spans="1:10" ht="10.5" customHeight="1" x14ac:dyDescent="0.2">
      <c r="A2596" s="65" t="str">
        <f ca="1">_xlfn.IFNA(INDIRECT(_xlfn.TEXTJOIN("",TRUE,A2583,"!",ADDRESS(22+(A2584-1)*J2583,1))),"")</f>
        <v/>
      </c>
      <c r="B2596" s="65"/>
      <c r="C2596" s="66" t="str">
        <f ca="1">_xlfn.IFNA(INDIRECT(_xlfn.TEXTJOIN("",TRUE,A2583,"!",ADDRESS(22+(A2584-1)*J2583,2))),"")</f>
        <v/>
      </c>
      <c r="D2596" s="66"/>
      <c r="E2596" s="66"/>
      <c r="F2596" s="66"/>
      <c r="G2596" s="66"/>
      <c r="H2596" s="25" t="str">
        <f ca="1">_xlfn.IFNA(INDIRECT(_xlfn.TEXTJOIN("",TRUE,A2583,"!",ADDRESS(22+(A2584-1)*J2583,6))),"")</f>
        <v/>
      </c>
      <c r="I2596" s="25" t="str">
        <f ca="1">_xlfn.IFNA(INDIRECT(_xlfn.TEXTJOIN("",TRUE,A2583,"!",ADDRESS(22+(A2584-1)*J2583,13))),"")</f>
        <v/>
      </c>
      <c r="J2596" s="25" t="str">
        <f ca="1">_xlfn.IFNA(INDIRECT(_xlfn.TEXTJOIN("",TRUE,A2583,"!",ADDRESS(22+(A2584-1)*J2583,14))),"")</f>
        <v/>
      </c>
    </row>
    <row r="2597" spans="1:10" ht="10.5" customHeight="1" x14ac:dyDescent="0.2">
      <c r="A2597" s="71" t="str">
        <f ca="1">IF(ISNA(A2584),"","Total Credits/ Total Grade Points")</f>
        <v/>
      </c>
      <c r="B2597" s="71"/>
      <c r="C2597" s="71"/>
      <c r="D2597" s="71"/>
      <c r="E2597" s="71"/>
      <c r="F2597" s="71"/>
      <c r="G2597" s="71"/>
      <c r="H2597" s="27" t="str">
        <f ca="1">IF(ISNA(A2584),"",SUM(H2587:H2596))</f>
        <v/>
      </c>
      <c r="I2597" s="26" t="str">
        <f ca="1">IF(ISNA(A2584),"","-")</f>
        <v/>
      </c>
      <c r="J2597" s="27" t="str">
        <f ca="1">IF(ISNA(A2584),"",SUMPRODUCT(J2587:J2596,H2587:H2596))</f>
        <v/>
      </c>
    </row>
    <row r="2598" spans="1:10" ht="10.5" customHeight="1" x14ac:dyDescent="0.2">
      <c r="A2598" s="24" t="s">
        <v>60</v>
      </c>
      <c r="B2598" s="72" t="str">
        <f ca="1">IF(ISNA(A2599),"","Semester III (Autumn Semester 2023-24)")</f>
        <v/>
      </c>
      <c r="C2598" s="72"/>
      <c r="D2598" s="72"/>
      <c r="E2598" s="72"/>
      <c r="F2598" s="72"/>
      <c r="G2598" s="72"/>
      <c r="H2598" s="72"/>
      <c r="I2598" s="72"/>
      <c r="J2598" s="24">
        <f>ROWS(A2602:B2609)+9</f>
        <v>17</v>
      </c>
    </row>
    <row r="2599" spans="1:10" ht="10.5" customHeight="1" x14ac:dyDescent="0.2">
      <c r="A2599" s="24" t="e">
        <f ca="1">INDEX(SEM_III!$A$6:$A$43,Marksheets!J2599)</f>
        <v>#N/A</v>
      </c>
      <c r="B2599" s="63"/>
      <c r="C2599" s="63"/>
      <c r="D2599" s="63"/>
      <c r="E2599" s="63"/>
      <c r="F2599" s="63"/>
      <c r="G2599" s="63"/>
      <c r="H2599" s="63"/>
      <c r="I2599" s="63"/>
      <c r="J2599" s="24" t="e">
        <f ca="1">MATCH(H2562,SEM_III!$B$6:$B$43,0)</f>
        <v>#N/A</v>
      </c>
    </row>
    <row r="2600" spans="1:10" ht="10.5" customHeight="1" x14ac:dyDescent="0.2">
      <c r="A2600" s="64" t="str">
        <f ca="1">IF(ISNA(A2599),"","Subject Code")</f>
        <v/>
      </c>
      <c r="B2600" s="64"/>
      <c r="C2600" s="64" t="str">
        <f ca="1">IF(ISNA(A2599),"","Subject Name")</f>
        <v/>
      </c>
      <c r="D2600" s="64"/>
      <c r="E2600" s="64"/>
      <c r="F2600" s="64"/>
      <c r="G2600" s="64"/>
      <c r="H2600" s="64" t="str">
        <f ca="1">IF(ISNA(A2599),"","Credits")</f>
        <v/>
      </c>
      <c r="I2600" s="64" t="str">
        <f ca="1">IF(ISNA(A2599),"","Grade")</f>
        <v/>
      </c>
      <c r="J2600" s="64" t="str">
        <f ca="1">IF(ISNA(A2599),"","Grade Points")</f>
        <v/>
      </c>
    </row>
    <row r="2601" spans="1:10" ht="12.5" customHeight="1" x14ac:dyDescent="0.2">
      <c r="A2601" s="64"/>
      <c r="B2601" s="64"/>
      <c r="C2601" s="64"/>
      <c r="D2601" s="64"/>
      <c r="E2601" s="64"/>
      <c r="F2601" s="64"/>
      <c r="G2601" s="64"/>
      <c r="H2601" s="64"/>
      <c r="I2601" s="64"/>
      <c r="J2601" s="64"/>
    </row>
    <row r="2602" spans="1:10" ht="10.5" customHeight="1" x14ac:dyDescent="0.2">
      <c r="A2602" s="65" t="str">
        <f ca="1">_xlfn.IFNA(INDIRECT(_xlfn.TEXTJOIN("",TRUE,A2598,"!",ADDRESS(13+(A2599-1)*J2598,1))),"")</f>
        <v/>
      </c>
      <c r="B2602" s="65"/>
      <c r="C2602" s="66" t="str">
        <f ca="1">_xlfn.IFNA(INDIRECT(_xlfn.TEXTJOIN("",TRUE,A2598,"!",ADDRESS(13+(A2599-1)*J2598,2))),"")</f>
        <v/>
      </c>
      <c r="D2602" s="66"/>
      <c r="E2602" s="66"/>
      <c r="F2602" s="66"/>
      <c r="G2602" s="66"/>
      <c r="H2602" s="25" t="str">
        <f ca="1">_xlfn.IFNA(INDIRECT(_xlfn.TEXTJOIN("",TRUE,A2598,"!",ADDRESS(13+(A2599-1)*J2598,6))),"")</f>
        <v/>
      </c>
      <c r="I2602" s="25" t="str">
        <f ca="1">_xlfn.IFNA(INDIRECT(_xlfn.TEXTJOIN("",TRUE,A2598,"!",ADDRESS(13+(A2599-1)*J2598,13))),"")</f>
        <v/>
      </c>
      <c r="J2602" s="25" t="str">
        <f ca="1">_xlfn.IFNA(INDIRECT(_xlfn.TEXTJOIN("",TRUE,A2598,"!",ADDRESS(13+(A2599-1)*J2598,14))),"")</f>
        <v/>
      </c>
    </row>
    <row r="2603" spans="1:10" ht="10.5" customHeight="1" x14ac:dyDescent="0.2">
      <c r="A2603" s="65" t="str">
        <f ca="1">_xlfn.IFNA(INDIRECT(_xlfn.TEXTJOIN("",TRUE,A2598,"!",ADDRESS(14+(A2599-1)*J2598,1))),"")</f>
        <v/>
      </c>
      <c r="B2603" s="65"/>
      <c r="C2603" s="66" t="str">
        <f ca="1">_xlfn.IFNA(INDIRECT(_xlfn.TEXTJOIN("",TRUE,A2598,"!",ADDRESS(14+(A2599-1)*J2598,2))),"")</f>
        <v/>
      </c>
      <c r="D2603" s="66"/>
      <c r="E2603" s="66"/>
      <c r="F2603" s="66"/>
      <c r="G2603" s="66"/>
      <c r="H2603" s="25" t="str">
        <f ca="1">_xlfn.IFNA(INDIRECT(_xlfn.TEXTJOIN("",TRUE,A2598,"!",ADDRESS(14+(A2599-1)*J2598,6))),"")</f>
        <v/>
      </c>
      <c r="I2603" s="25" t="str">
        <f ca="1">_xlfn.IFNA(INDIRECT(_xlfn.TEXTJOIN("",TRUE,A2598,"!",ADDRESS(14+(A2599-1)*J2598,13))),"")</f>
        <v/>
      </c>
      <c r="J2603" s="25" t="str">
        <f ca="1">_xlfn.IFNA(INDIRECT(_xlfn.TEXTJOIN("",TRUE,A2598,"!",ADDRESS(14+(A2599-1)*J2598,14))),"")</f>
        <v/>
      </c>
    </row>
    <row r="2604" spans="1:10" ht="10.5" customHeight="1" x14ac:dyDescent="0.2">
      <c r="A2604" s="65" t="str">
        <f ca="1">_xlfn.IFNA(INDIRECT(_xlfn.TEXTJOIN("",TRUE,A2598,"!",ADDRESS(15+(A2599-1)*J2598,1))),"")</f>
        <v/>
      </c>
      <c r="B2604" s="65"/>
      <c r="C2604" s="66" t="str">
        <f ca="1">_xlfn.IFNA(INDIRECT(_xlfn.TEXTJOIN("",TRUE,A2598,"!",ADDRESS(15+(A2599-1)*J2598,2))),"")</f>
        <v/>
      </c>
      <c r="D2604" s="66"/>
      <c r="E2604" s="66"/>
      <c r="F2604" s="66"/>
      <c r="G2604" s="66"/>
      <c r="H2604" s="25" t="str">
        <f ca="1">_xlfn.IFNA(INDIRECT(_xlfn.TEXTJOIN("",TRUE,A2598,"!",ADDRESS(15+(A2599-1)*J2598,6))),"")</f>
        <v/>
      </c>
      <c r="I2604" s="25" t="str">
        <f ca="1">_xlfn.IFNA(INDIRECT(_xlfn.TEXTJOIN("",TRUE,A2598,"!",ADDRESS(15+(A2599-1)*J2598,13))),"")</f>
        <v/>
      </c>
      <c r="J2604" s="25" t="str">
        <f ca="1">_xlfn.IFNA(INDIRECT(_xlfn.TEXTJOIN("",TRUE,A2598,"!",ADDRESS(15+(A2599-1)*J2598,14))),"")</f>
        <v/>
      </c>
    </row>
    <row r="2605" spans="1:10" ht="10.5" customHeight="1" x14ac:dyDescent="0.2">
      <c r="A2605" s="65" t="str">
        <f ca="1">_xlfn.IFNA(INDIRECT(_xlfn.TEXTJOIN("",TRUE,A2598,"!",ADDRESS(16+(A2599-1)*J2598,1))),"")</f>
        <v/>
      </c>
      <c r="B2605" s="65"/>
      <c r="C2605" s="66" t="str">
        <f ca="1">_xlfn.IFNA(INDIRECT(_xlfn.TEXTJOIN("",TRUE,A2598,"!",ADDRESS(16+(A2599-1)*J2598,2))),"")</f>
        <v/>
      </c>
      <c r="D2605" s="66"/>
      <c r="E2605" s="66"/>
      <c r="F2605" s="66"/>
      <c r="G2605" s="66"/>
      <c r="H2605" s="25" t="str">
        <f ca="1">_xlfn.IFNA(INDIRECT(_xlfn.TEXTJOIN("",TRUE,A2598,"!",ADDRESS(16+(A2599-1)*J2598,6))),"")</f>
        <v/>
      </c>
      <c r="I2605" s="25" t="str">
        <f ca="1">_xlfn.IFNA(INDIRECT(_xlfn.TEXTJOIN("",TRUE,A2598,"!",ADDRESS(16+(A2599-1)*J2598,13))),"")</f>
        <v/>
      </c>
      <c r="J2605" s="25" t="str">
        <f ca="1">_xlfn.IFNA(INDIRECT(_xlfn.TEXTJOIN("",TRUE,A2598,"!",ADDRESS(16+(A2599-1)*J2598,14))),"")</f>
        <v/>
      </c>
    </row>
    <row r="2606" spans="1:10" ht="10.5" customHeight="1" x14ac:dyDescent="0.2">
      <c r="A2606" s="65" t="str">
        <f ca="1">_xlfn.IFNA(INDIRECT(_xlfn.TEXTJOIN("",TRUE,A2598,"!",ADDRESS(17+(A2599-1)*J2598,1))),"")</f>
        <v/>
      </c>
      <c r="B2606" s="65"/>
      <c r="C2606" s="66" t="str">
        <f ca="1">_xlfn.IFNA(INDIRECT(_xlfn.TEXTJOIN("",TRUE,A2598,"!",ADDRESS(17+(A2599-1)*J2598,2))),"")</f>
        <v/>
      </c>
      <c r="D2606" s="66"/>
      <c r="E2606" s="66"/>
      <c r="F2606" s="66"/>
      <c r="G2606" s="66"/>
      <c r="H2606" s="25" t="str">
        <f ca="1">_xlfn.IFNA(INDIRECT(_xlfn.TEXTJOIN("",TRUE,A2598,"!",ADDRESS(17+(A2599-1)*J2598,6))),"")</f>
        <v/>
      </c>
      <c r="I2606" s="25" t="str">
        <f ca="1">_xlfn.IFNA(INDIRECT(_xlfn.TEXTJOIN("",TRUE,A2598,"!",ADDRESS(17+(A2599-1)*J2598,13))),"")</f>
        <v/>
      </c>
      <c r="J2606" s="25" t="str">
        <f ca="1">_xlfn.IFNA(INDIRECT(_xlfn.TEXTJOIN("",TRUE,A2598,"!",ADDRESS(17+(A2599-1)*J2598,14))),"")</f>
        <v/>
      </c>
    </row>
    <row r="2607" spans="1:10" ht="10.5" customHeight="1" x14ac:dyDescent="0.2">
      <c r="A2607" s="65" t="str">
        <f ca="1">_xlfn.IFNA(INDIRECT(_xlfn.TEXTJOIN("",TRUE,A2598,"!",ADDRESS(18+(A2599-1)*J2598,1))),"")</f>
        <v/>
      </c>
      <c r="B2607" s="65"/>
      <c r="C2607" s="66" t="str">
        <f ca="1">_xlfn.IFNA(INDIRECT(_xlfn.TEXTJOIN("",TRUE,A2598,"!",ADDRESS(18+(A2599-1)*J2598,2))),"")</f>
        <v/>
      </c>
      <c r="D2607" s="66"/>
      <c r="E2607" s="66"/>
      <c r="F2607" s="66"/>
      <c r="G2607" s="66"/>
      <c r="H2607" s="25" t="str">
        <f ca="1">_xlfn.IFNA(INDIRECT(_xlfn.TEXTJOIN("",TRUE,A2598,"!",ADDRESS(18+(A2599-1)*J2598,6))),"")</f>
        <v/>
      </c>
      <c r="I2607" s="25" t="str">
        <f ca="1">_xlfn.IFNA(INDIRECT(_xlfn.TEXTJOIN("",TRUE,A2598,"!",ADDRESS(18+(A2599-1)*J2598,13))),"")</f>
        <v/>
      </c>
      <c r="J2607" s="25" t="str">
        <f ca="1">_xlfn.IFNA(INDIRECT(_xlfn.TEXTJOIN("",TRUE,A2598,"!",ADDRESS(18+(A2599-1)*J2598,14))),"")</f>
        <v/>
      </c>
    </row>
    <row r="2608" spans="1:10" ht="10.5" customHeight="1" x14ac:dyDescent="0.2">
      <c r="A2608" s="60" t="str">
        <f ca="1">_xlfn.IFNA(INDIRECT(_xlfn.TEXTJOIN("",TRUE,A2598,"!",ADDRESS(19+(A2599-1)*J2598,1))),"")</f>
        <v/>
      </c>
      <c r="B2608" s="61"/>
      <c r="C2608" s="57" t="str">
        <f ca="1">_xlfn.IFNA(INDIRECT(_xlfn.TEXTJOIN("",TRUE,A2598,"!",ADDRESS(19+(A2599-1)*J2598,2))),"")</f>
        <v/>
      </c>
      <c r="D2608" s="58"/>
      <c r="E2608" s="58"/>
      <c r="F2608" s="58"/>
      <c r="G2608" s="59"/>
      <c r="H2608" s="25" t="str">
        <f ca="1">_xlfn.IFNA(INDIRECT(_xlfn.TEXTJOIN("",TRUE,A2598,"!",ADDRESS(19+(A2599-1)*J2598,6))),"")</f>
        <v/>
      </c>
      <c r="I2608" s="25" t="str">
        <f ca="1">_xlfn.IFNA(INDIRECT(_xlfn.TEXTJOIN("",TRUE,A2598,"!",ADDRESS(19+(A2599-1)*J2598,13))),"")</f>
        <v/>
      </c>
      <c r="J2608" s="25" t="str">
        <f ca="1">_xlfn.IFNA(INDIRECT(_xlfn.TEXTJOIN("",TRUE,A2598,"!",ADDRESS(19+(A2599-1)*J2598,14))),"")</f>
        <v/>
      </c>
    </row>
    <row r="2609" spans="1:10" ht="10.5" customHeight="1" x14ac:dyDescent="0.2">
      <c r="A2609" s="65" t="str">
        <f ca="1">_xlfn.IFNA(INDIRECT(_xlfn.TEXTJOIN("",TRUE,A2598,"!",ADDRESS(20+(A2599-1)*J2598,1))),"")</f>
        <v/>
      </c>
      <c r="B2609" s="65"/>
      <c r="C2609" s="66" t="str">
        <f ca="1">_xlfn.IFNA(INDIRECT(_xlfn.TEXTJOIN("",TRUE,A2598,"!",ADDRESS(20+(A2599-1)*J2598,2))),"")</f>
        <v/>
      </c>
      <c r="D2609" s="66"/>
      <c r="E2609" s="66"/>
      <c r="F2609" s="66"/>
      <c r="G2609" s="66"/>
      <c r="H2609" s="25" t="str">
        <f ca="1">_xlfn.IFNA(INDIRECT(_xlfn.TEXTJOIN("",TRUE,A2598,"!",ADDRESS(20+(A2599-1)*J2598,6))),"")</f>
        <v/>
      </c>
      <c r="I2609" s="25" t="str">
        <f ca="1">_xlfn.IFNA(INDIRECT(_xlfn.TEXTJOIN("",TRUE,A2598,"!",ADDRESS(20+(A2599-1)*J2598,13))),"")</f>
        <v/>
      </c>
      <c r="J2609" s="25" t="str">
        <f ca="1">_xlfn.IFNA(INDIRECT(_xlfn.TEXTJOIN("",TRUE,A2598,"!",ADDRESS(20+(A2599-1)*J2598,14))),"")</f>
        <v/>
      </c>
    </row>
    <row r="2610" spans="1:10" ht="10.5" customHeight="1" x14ac:dyDescent="0.2">
      <c r="A2610" s="71" t="str">
        <f ca="1">IF(ISNA(A2599),"","Total Credits/ Total Grade Points")</f>
        <v/>
      </c>
      <c r="B2610" s="71"/>
      <c r="C2610" s="71"/>
      <c r="D2610" s="71"/>
      <c r="E2610" s="71"/>
      <c r="F2610" s="71"/>
      <c r="G2610" s="71"/>
      <c r="H2610" s="27" t="str">
        <f ca="1">IF(ISNA(A2599),"",SUM(H2602:H2609))</f>
        <v/>
      </c>
      <c r="I2610" s="26" t="str">
        <f ca="1">IF(ISNA(A2599),"","-")</f>
        <v/>
      </c>
      <c r="J2610" s="27" t="str">
        <f ca="1">IF(ISNA(A2599),"",SUMPRODUCT(J2602:J2609,H2602:H2609))</f>
        <v/>
      </c>
    </row>
    <row r="2611" spans="1:10" ht="10.5" customHeight="1" x14ac:dyDescent="0.2">
      <c r="A2611" s="24" t="s">
        <v>133</v>
      </c>
      <c r="B2611" s="72" t="str">
        <f ca="1">IF(ISNA(A2612),"","Semester IV (Spring Semester 2023-24)")</f>
        <v/>
      </c>
      <c r="C2611" s="72"/>
      <c r="D2611" s="72"/>
      <c r="E2611" s="72"/>
      <c r="F2611" s="72"/>
      <c r="G2611" s="72"/>
      <c r="H2611" s="72"/>
      <c r="I2611" s="72"/>
      <c r="J2611" s="24">
        <f>ROWS(A2615:B2621)+9</f>
        <v>16</v>
      </c>
    </row>
    <row r="2612" spans="1:10" ht="10.5" customHeight="1" x14ac:dyDescent="0.2">
      <c r="A2612" s="24" t="e">
        <f ca="1">INDEX(SEM_IV!$A$6:$A$43,Marksheets!J2612)</f>
        <v>#N/A</v>
      </c>
      <c r="B2612" s="63"/>
      <c r="C2612" s="63"/>
      <c r="D2612" s="63"/>
      <c r="E2612" s="63"/>
      <c r="F2612" s="63"/>
      <c r="G2612" s="63"/>
      <c r="H2612" s="63"/>
      <c r="I2612" s="63"/>
      <c r="J2612" s="24" t="e">
        <f ca="1">MATCH(H2562,SEM_IV!$B$6:$B$43,0)</f>
        <v>#N/A</v>
      </c>
    </row>
    <row r="2613" spans="1:10" ht="10.5" customHeight="1" x14ac:dyDescent="0.2">
      <c r="A2613" s="64" t="str">
        <f ca="1">IF(ISNA(A2612),"","Subject Code")</f>
        <v/>
      </c>
      <c r="B2613" s="64"/>
      <c r="C2613" s="64" t="str">
        <f ca="1">IF(ISNA(A2612),"","Subject Name")</f>
        <v/>
      </c>
      <c r="D2613" s="64"/>
      <c r="E2613" s="64"/>
      <c r="F2613" s="64"/>
      <c r="G2613" s="64"/>
      <c r="H2613" s="64" t="str">
        <f ca="1">IF(ISNA(A2612),"","Credits")</f>
        <v/>
      </c>
      <c r="I2613" s="64" t="str">
        <f ca="1">IF(ISNA(A2612),"","Grade")</f>
        <v/>
      </c>
      <c r="J2613" s="64" t="str">
        <f ca="1">IF(ISNA(A2612),"","Grade Points")</f>
        <v/>
      </c>
    </row>
    <row r="2614" spans="1:10" ht="15" x14ac:dyDescent="0.2">
      <c r="A2614" s="64"/>
      <c r="B2614" s="64"/>
      <c r="C2614" s="64"/>
      <c r="D2614" s="64"/>
      <c r="E2614" s="64"/>
      <c r="F2614" s="64"/>
      <c r="G2614" s="64"/>
      <c r="H2614" s="64"/>
      <c r="I2614" s="64"/>
      <c r="J2614" s="64"/>
    </row>
    <row r="2615" spans="1:10" ht="10.5" customHeight="1" x14ac:dyDescent="0.2">
      <c r="A2615" s="65" t="str">
        <f ca="1">_xlfn.IFNA(INDIRECT(_xlfn.TEXTJOIN("",TRUE,A2611,"!",ADDRESS(13+(A2612-1)*J2611,1))),"")</f>
        <v/>
      </c>
      <c r="B2615" s="65"/>
      <c r="C2615" s="66" t="str">
        <f ca="1">_xlfn.IFNA(INDIRECT(_xlfn.TEXTJOIN("",TRUE,A2611,"!",ADDRESS(13+(A2612-1)*J2611,2))),"")</f>
        <v/>
      </c>
      <c r="D2615" s="66"/>
      <c r="E2615" s="66"/>
      <c r="F2615" s="66"/>
      <c r="G2615" s="66"/>
      <c r="H2615" s="25" t="str">
        <f ca="1">_xlfn.IFNA(INDIRECT(_xlfn.TEXTJOIN("",TRUE,A2611,"!",ADDRESS(13+(A2612-1)*J2611,6))),"")</f>
        <v/>
      </c>
      <c r="I2615" s="25" t="str">
        <f ca="1">_xlfn.IFNA(INDIRECT(_xlfn.TEXTJOIN("",TRUE,A2611,"!",ADDRESS(13+(A2612-1)*J2611,13))),"")</f>
        <v/>
      </c>
      <c r="J2615" s="25" t="str">
        <f ca="1">_xlfn.IFNA(INDIRECT(_xlfn.TEXTJOIN("",TRUE,A2611,"!",ADDRESS(13+(A2612-1)*J2611,14))),"")</f>
        <v/>
      </c>
    </row>
    <row r="2616" spans="1:10" ht="10.5" customHeight="1" x14ac:dyDescent="0.2">
      <c r="A2616" s="65" t="str">
        <f ca="1">_xlfn.IFNA(INDIRECT(_xlfn.TEXTJOIN("",TRUE,A2611,"!",ADDRESS(14+(A2612-1)*J2611,1))),"")</f>
        <v/>
      </c>
      <c r="B2616" s="65"/>
      <c r="C2616" s="66" t="str">
        <f ca="1">_xlfn.IFNA(INDIRECT(_xlfn.TEXTJOIN("",TRUE,A2611,"!",ADDRESS(14+(A2612-1)*J2611,2))),"")</f>
        <v/>
      </c>
      <c r="D2616" s="66"/>
      <c r="E2616" s="66"/>
      <c r="F2616" s="66"/>
      <c r="G2616" s="66"/>
      <c r="H2616" s="25" t="str">
        <f ca="1">_xlfn.IFNA(INDIRECT(_xlfn.TEXTJOIN("",TRUE,A2611,"!",ADDRESS(14+(A2612-1)*J2611,6))),"")</f>
        <v/>
      </c>
      <c r="I2616" s="25" t="str">
        <f ca="1">_xlfn.IFNA(INDIRECT(_xlfn.TEXTJOIN("",TRUE,A2611,"!",ADDRESS(14+(A2612-1)*J2611,13))),"")</f>
        <v/>
      </c>
      <c r="J2616" s="25" t="str">
        <f ca="1">_xlfn.IFNA(INDIRECT(_xlfn.TEXTJOIN("",TRUE,A2611,"!",ADDRESS(14+(A2612-1)*J2611,14))),"")</f>
        <v/>
      </c>
    </row>
    <row r="2617" spans="1:10" ht="10.5" customHeight="1" x14ac:dyDescent="0.2">
      <c r="A2617" s="65" t="str">
        <f ca="1">_xlfn.IFNA(INDIRECT(_xlfn.TEXTJOIN("",TRUE,A2611,"!",ADDRESS(15+(A2612-1)*J2611,1))),"")</f>
        <v/>
      </c>
      <c r="B2617" s="65"/>
      <c r="C2617" s="66" t="str">
        <f ca="1">_xlfn.IFNA(INDIRECT(_xlfn.TEXTJOIN("",TRUE,A2611,"!",ADDRESS(15+(A2612-1)*J2611,2))),"")</f>
        <v/>
      </c>
      <c r="D2617" s="66"/>
      <c r="E2617" s="66"/>
      <c r="F2617" s="66"/>
      <c r="G2617" s="66"/>
      <c r="H2617" s="25" t="str">
        <f ca="1">_xlfn.IFNA(INDIRECT(_xlfn.TEXTJOIN("",TRUE,A2611,"!",ADDRESS(15+(A2612-1)*J2611,6))),"")</f>
        <v/>
      </c>
      <c r="I2617" s="25" t="str">
        <f ca="1">_xlfn.IFNA(INDIRECT(_xlfn.TEXTJOIN("",TRUE,A2611,"!",ADDRESS(15+(A2612-1)*J2611,13))),"")</f>
        <v/>
      </c>
      <c r="J2617" s="25" t="str">
        <f ca="1">_xlfn.IFNA(INDIRECT(_xlfn.TEXTJOIN("",TRUE,A2611,"!",ADDRESS(15+(A2612-1)*J2611,14))),"")</f>
        <v/>
      </c>
    </row>
    <row r="2618" spans="1:10" ht="10.5" customHeight="1" x14ac:dyDescent="0.2">
      <c r="A2618" s="65" t="str">
        <f ca="1">_xlfn.IFNA(INDIRECT(_xlfn.TEXTJOIN("",TRUE,A2611,"!",ADDRESS(16+(A2612-1)*J2611,1))),"")</f>
        <v/>
      </c>
      <c r="B2618" s="65"/>
      <c r="C2618" s="66" t="str">
        <f ca="1">_xlfn.IFNA(INDIRECT(_xlfn.TEXTJOIN("",TRUE,A2611,"!",ADDRESS(16+(A2612-1)*J2611,2))),"")</f>
        <v/>
      </c>
      <c r="D2618" s="66"/>
      <c r="E2618" s="66"/>
      <c r="F2618" s="66"/>
      <c r="G2618" s="66"/>
      <c r="H2618" s="25" t="str">
        <f ca="1">_xlfn.IFNA(INDIRECT(_xlfn.TEXTJOIN("",TRUE,A2611,"!",ADDRESS(16+(A2612-1)*J2611,6))),"")</f>
        <v/>
      </c>
      <c r="I2618" s="25" t="str">
        <f ca="1">_xlfn.IFNA(INDIRECT(_xlfn.TEXTJOIN("",TRUE,A2611,"!",ADDRESS(16+(A2612-1)*J2611,13))),"")</f>
        <v/>
      </c>
      <c r="J2618" s="25" t="str">
        <f ca="1">_xlfn.IFNA(INDIRECT(_xlfn.TEXTJOIN("",TRUE,A2611,"!",ADDRESS(16+(A2612-1)*J2611,14))),"")</f>
        <v/>
      </c>
    </row>
    <row r="2619" spans="1:10" ht="10.5" customHeight="1" x14ac:dyDescent="0.2">
      <c r="A2619" s="65" t="str">
        <f ca="1">_xlfn.IFNA(INDIRECT(_xlfn.TEXTJOIN("",TRUE,A2611,"!",ADDRESS(17+(A2612-1)*J2611,1))),"")</f>
        <v/>
      </c>
      <c r="B2619" s="65"/>
      <c r="C2619" s="66" t="str">
        <f ca="1">_xlfn.IFNA(INDIRECT(_xlfn.TEXTJOIN("",TRUE,A2611,"!",ADDRESS(17+(A2612-1)*J2611,2))),"")</f>
        <v/>
      </c>
      <c r="D2619" s="66"/>
      <c r="E2619" s="66"/>
      <c r="F2619" s="66"/>
      <c r="G2619" s="66"/>
      <c r="H2619" s="25" t="str">
        <f ca="1">_xlfn.IFNA(INDIRECT(_xlfn.TEXTJOIN("",TRUE,A2611,"!",ADDRESS(17+(A2612-1)*J2611,6))),"")</f>
        <v/>
      </c>
      <c r="I2619" s="25" t="str">
        <f ca="1">_xlfn.IFNA(INDIRECT(_xlfn.TEXTJOIN("",TRUE,A2611,"!",ADDRESS(17+(A2612-1)*J2611,13))),"")</f>
        <v/>
      </c>
      <c r="J2619" s="25" t="str">
        <f ca="1">_xlfn.IFNA(INDIRECT(_xlfn.TEXTJOIN("",TRUE,A2611,"!",ADDRESS(17+(A2612-1)*J2611,14))),"")</f>
        <v/>
      </c>
    </row>
    <row r="2620" spans="1:10" ht="10.5" customHeight="1" x14ac:dyDescent="0.2">
      <c r="A2620" s="65" t="str">
        <f ca="1">_xlfn.IFNA(INDIRECT(_xlfn.TEXTJOIN("",TRUE,A2611,"!",ADDRESS(18+(A2612-1)*J2611,1))),"")</f>
        <v/>
      </c>
      <c r="B2620" s="65"/>
      <c r="C2620" s="66" t="str">
        <f ca="1">_xlfn.IFNA(INDIRECT(_xlfn.TEXTJOIN("",TRUE,A2611,"!",ADDRESS(18+(A2612-1)*J2611,2))),"")</f>
        <v/>
      </c>
      <c r="D2620" s="66"/>
      <c r="E2620" s="66"/>
      <c r="F2620" s="66"/>
      <c r="G2620" s="66"/>
      <c r="H2620" s="25" t="str">
        <f ca="1">_xlfn.IFNA(INDIRECT(_xlfn.TEXTJOIN("",TRUE,A2611,"!",ADDRESS(18+(A2612-1)*J2611,6))),"")</f>
        <v/>
      </c>
      <c r="I2620" s="25" t="str">
        <f ca="1">_xlfn.IFNA(INDIRECT(_xlfn.TEXTJOIN("",TRUE,A2611,"!",ADDRESS(18+(A2612-1)*J2611,13))),"")</f>
        <v/>
      </c>
      <c r="J2620" s="25" t="str">
        <f ca="1">_xlfn.IFNA(INDIRECT(_xlfn.TEXTJOIN("",TRUE,A2611,"!",ADDRESS(18+(A2612-1)*J2611,14))),"")</f>
        <v/>
      </c>
    </row>
    <row r="2621" spans="1:10" ht="15" x14ac:dyDescent="0.2">
      <c r="A2621" s="60" t="str">
        <f ca="1">_xlfn.IFNA(INDIRECT(_xlfn.TEXTJOIN("",TRUE,A2611,"!",ADDRESS(19+(A2612-1)*J2611,1))),"")</f>
        <v/>
      </c>
      <c r="B2621" s="61"/>
      <c r="C2621" s="57" t="str">
        <f ca="1">_xlfn.IFNA(INDIRECT(_xlfn.TEXTJOIN("",TRUE,A2611,"!",ADDRESS(19+(A2612-1)*J2611,2))),"")</f>
        <v/>
      </c>
      <c r="D2621" s="58"/>
      <c r="E2621" s="58"/>
      <c r="F2621" s="58"/>
      <c r="G2621" s="59"/>
      <c r="H2621" s="25" t="str">
        <f ca="1">_xlfn.IFNA(INDIRECT(_xlfn.TEXTJOIN("",TRUE,A2611,"!",ADDRESS(19+(A2612-1)*J2611,6))),"")</f>
        <v/>
      </c>
      <c r="I2621" s="25" t="str">
        <f ca="1">_xlfn.IFNA(INDIRECT(_xlfn.TEXTJOIN("",TRUE,A2611,"!",ADDRESS(19+(A2612-1)*J2611,13))),"")</f>
        <v/>
      </c>
      <c r="J2621" s="25" t="str">
        <f ca="1">_xlfn.IFNA(INDIRECT(_xlfn.TEXTJOIN("",TRUE,A2611,"!",ADDRESS(19+(A2612-1)*J2611,14))),"")</f>
        <v/>
      </c>
    </row>
    <row r="2622" spans="1:10" ht="10.5" customHeight="1" x14ac:dyDescent="0.2">
      <c r="A2622" s="71" t="str">
        <f ca="1">IF(ISNA(A2612),"","Total Credits/ Total Grade Points")</f>
        <v/>
      </c>
      <c r="B2622" s="71"/>
      <c r="C2622" s="71"/>
      <c r="D2622" s="71"/>
      <c r="E2622" s="71"/>
      <c r="F2622" s="71"/>
      <c r="G2622" s="71"/>
      <c r="H2622" s="27" t="str">
        <f ca="1">IF(ISNA(A2612),"",SUM(H2614:H2621))</f>
        <v/>
      </c>
      <c r="I2622" s="26" t="str">
        <f ca="1">IF(ISNA(A2612),"","-")</f>
        <v/>
      </c>
      <c r="J2622" s="27" t="str">
        <f ca="1">IF(ISNA(A2612),"",SUMPRODUCT(J2614:J2621,H2614:H2621))</f>
        <v/>
      </c>
    </row>
    <row r="2623" spans="1:10" ht="10.5" customHeight="1" x14ac:dyDescent="0.2">
      <c r="A2623" s="75" t="s">
        <v>137</v>
      </c>
      <c r="B2623" s="75"/>
      <c r="C2623" s="75"/>
      <c r="D2623" s="75"/>
      <c r="E2623" s="75"/>
      <c r="F2623" s="76" t="s">
        <v>138</v>
      </c>
      <c r="G2623" s="76"/>
      <c r="H2623" s="76"/>
      <c r="I2623" s="76"/>
      <c r="J2623" s="76"/>
    </row>
    <row r="2624" spans="1:10" ht="10.5" customHeight="1" x14ac:dyDescent="0.2">
      <c r="A2624" s="43" t="s">
        <v>139</v>
      </c>
      <c r="B2624" s="43"/>
      <c r="C2624" s="43"/>
      <c r="D2624" s="43"/>
      <c r="E2624" s="43"/>
      <c r="F2624" s="43"/>
      <c r="G2624" s="43"/>
      <c r="H2624" s="43"/>
      <c r="I2624" s="43"/>
      <c r="J2624" s="43"/>
    </row>
    <row r="2625" spans="1:10" ht="10.5" customHeight="1" x14ac:dyDescent="0.2">
      <c r="A2625" s="10"/>
      <c r="B2625" s="26"/>
      <c r="C2625" s="26" t="s">
        <v>140</v>
      </c>
      <c r="D2625" s="26" t="s">
        <v>141</v>
      </c>
      <c r="E2625" s="26" t="s">
        <v>142</v>
      </c>
      <c r="F2625" s="26" t="s">
        <v>143</v>
      </c>
      <c r="G2625" s="26" t="s">
        <v>144</v>
      </c>
      <c r="H2625" s="79" t="s">
        <v>145</v>
      </c>
      <c r="I2625" s="79"/>
      <c r="J2625" s="30"/>
    </row>
    <row r="2626" spans="1:10" ht="10.5" customHeight="1" x14ac:dyDescent="0.2">
      <c r="A2626" s="10"/>
      <c r="B2626" s="80" t="s">
        <v>146</v>
      </c>
      <c r="C2626" s="73" t="e">
        <f ca="1">J2582/H2582</f>
        <v>#N/A</v>
      </c>
      <c r="D2626" s="73" t="e">
        <f ca="1">J2597/H2597</f>
        <v>#VALUE!</v>
      </c>
      <c r="E2626" s="73" t="str">
        <f ca="1">IFERROR(J2610/H2610,"")</f>
        <v/>
      </c>
      <c r="F2626" s="73" t="str">
        <f ca="1">IFERROR(J2622/H2622,"")</f>
        <v/>
      </c>
      <c r="G2626" s="82" t="e">
        <f ca="1">F2628</f>
        <v>#N/A</v>
      </c>
      <c r="H2626" s="83" t="e">
        <f ca="1">IF(TC_IV!N597&lt;96,_xlfn.TEXTJOIN(" ",TRUE,"CARRY OVER",TC_I!V878,TC_II!V726,TC_III!V633,TC_IV!V596),IF(G2626&gt;=8,"First Division with Distinction",IF(G2626&gt;=6.5,"First Division",IF(G2626&gt;=5,"Second Division",IF(G2626&gt;=4,"Third Division","Fail")))))</f>
        <v>#N/A</v>
      </c>
      <c r="I2626" s="83"/>
      <c r="J2626" s="30"/>
    </row>
    <row r="2627" spans="1:10" ht="10.5" customHeight="1" x14ac:dyDescent="0.2">
      <c r="B2627" s="81"/>
      <c r="C2627" s="74"/>
      <c r="D2627" s="74"/>
      <c r="E2627" s="74"/>
      <c r="F2627" s="74"/>
      <c r="G2627" s="82"/>
      <c r="H2627" s="83"/>
      <c r="I2627" s="83"/>
    </row>
    <row r="2628" spans="1:10" ht="10.5" customHeight="1" x14ac:dyDescent="0.2">
      <c r="B2628" s="80" t="s">
        <v>48</v>
      </c>
      <c r="C2628" s="73" t="e">
        <f ca="1">J2582/H2582</f>
        <v>#N/A</v>
      </c>
      <c r="D2628" s="73" t="e">
        <f ca="1">SUM(J2597,J2582)/SUM(H2597,H2582)</f>
        <v>#N/A</v>
      </c>
      <c r="E2628" s="73" t="e">
        <f ca="1">SUM(J2610,J2597,J2582)/SUM(H2610,H2597,H2582)</f>
        <v>#N/A</v>
      </c>
      <c r="F2628" s="73" t="e">
        <f ca="1">SUM(J2622,J2610,J2597,J2582)/SUM(H2582,H2597,H2610,H2622)</f>
        <v>#N/A</v>
      </c>
      <c r="G2628" s="82"/>
      <c r="H2628" s="83"/>
      <c r="I2628" s="83"/>
    </row>
    <row r="2629" spans="1:10" ht="10.5" customHeight="1" x14ac:dyDescent="0.2">
      <c r="B2629" s="81"/>
      <c r="C2629" s="74"/>
      <c r="D2629" s="74"/>
      <c r="E2629" s="74"/>
      <c r="F2629" s="74"/>
      <c r="G2629" s="82"/>
      <c r="H2629" s="83"/>
      <c r="I2629" s="83"/>
    </row>
    <row r="2631" spans="1:10" ht="10.5" customHeight="1" x14ac:dyDescent="0.2">
      <c r="A2631" s="56" t="s">
        <v>24</v>
      </c>
      <c r="B2631" s="56"/>
      <c r="C2631" s="56" t="str">
        <f ca="1">INDIRECT(_xlfn.TEXTJOIN("",TRUE,A2633,"!",ADDRESS(9+(A2634-1)*J2633,2)))</f>
        <v/>
      </c>
      <c r="D2631" s="56"/>
      <c r="E2631" s="56"/>
      <c r="F2631" s="56" t="s">
        <v>135</v>
      </c>
      <c r="G2631" s="56"/>
      <c r="H2631" s="62" t="str">
        <f ca="1">INDIRECT(_xlfn.TEXTJOIN("",TRUE,A2633,"!",ADDRESS(9+(A2634-1)*J2633,9)))</f>
        <v/>
      </c>
      <c r="I2631" s="56"/>
      <c r="J2631" s="56"/>
    </row>
    <row r="2632" spans="1:10" ht="10.5" customHeight="1" x14ac:dyDescent="0.2">
      <c r="A2632" s="56" t="s">
        <v>25</v>
      </c>
      <c r="B2632" s="56"/>
      <c r="C2632" s="56" t="str">
        <f ca="1">INDIRECT(_xlfn.TEXTJOIN("",TRUE,A2633,"!",ADDRESS(9+(A2634-1)*J2633,5)))</f>
        <v/>
      </c>
      <c r="D2632" s="56"/>
      <c r="E2632" s="56"/>
      <c r="F2632" s="47" t="s">
        <v>136</v>
      </c>
      <c r="G2632" s="47"/>
      <c r="H2632" s="62" t="str">
        <f ca="1">INDIRECT(_xlfn.TEXTJOIN("",TRUE,A2633,"!",ADDRESS(9+(A2634-1)*J2633,13)))</f>
        <v/>
      </c>
      <c r="I2632" s="56"/>
      <c r="J2632" s="56"/>
    </row>
    <row r="2633" spans="1:10" ht="10.5" customHeight="1" x14ac:dyDescent="0.2">
      <c r="A2633" s="24" t="s">
        <v>53</v>
      </c>
      <c r="B2633" s="43" t="s">
        <v>148</v>
      </c>
      <c r="C2633" s="43"/>
      <c r="D2633" s="43"/>
      <c r="E2633" s="43"/>
      <c r="F2633" s="43"/>
      <c r="G2633" s="43"/>
      <c r="H2633" s="43"/>
      <c r="I2633" s="43"/>
      <c r="J2633" s="24">
        <f>ROWS(A2637:B2650)+9</f>
        <v>23</v>
      </c>
    </row>
    <row r="2634" spans="1:10" ht="10.5" customHeight="1" x14ac:dyDescent="0.2">
      <c r="A2634" s="24">
        <f>A2565+1</f>
        <v>39</v>
      </c>
      <c r="B2634" s="63"/>
      <c r="C2634" s="63"/>
      <c r="D2634" s="63"/>
      <c r="E2634" s="63"/>
      <c r="F2634" s="63"/>
      <c r="G2634" s="63"/>
      <c r="H2634" s="63"/>
      <c r="I2634" s="63"/>
      <c r="J2634" s="29"/>
    </row>
    <row r="2635" spans="1:10" ht="10.5" customHeight="1" x14ac:dyDescent="0.2">
      <c r="A2635" s="64" t="s">
        <v>28</v>
      </c>
      <c r="B2635" s="64"/>
      <c r="C2635" s="64" t="s">
        <v>29</v>
      </c>
      <c r="D2635" s="64"/>
      <c r="E2635" s="64"/>
      <c r="F2635" s="64"/>
      <c r="G2635" s="64"/>
      <c r="H2635" s="64" t="s">
        <v>30</v>
      </c>
      <c r="I2635" s="64" t="s">
        <v>9</v>
      </c>
      <c r="J2635" s="64" t="s">
        <v>34</v>
      </c>
    </row>
    <row r="2636" spans="1:10" ht="13.5" customHeight="1" x14ac:dyDescent="0.2">
      <c r="A2636" s="64"/>
      <c r="B2636" s="64"/>
      <c r="C2636" s="64"/>
      <c r="D2636" s="64"/>
      <c r="E2636" s="64"/>
      <c r="F2636" s="64"/>
      <c r="G2636" s="64"/>
      <c r="H2636" s="64"/>
      <c r="I2636" s="64"/>
      <c r="J2636" s="64"/>
    </row>
    <row r="2637" spans="1:10" ht="10.5" customHeight="1" x14ac:dyDescent="0.2">
      <c r="A2637" s="65" t="str">
        <f ca="1">INDIRECT(_xlfn.TEXTJOIN("",TRUE,A2633,"!",ADDRESS(13+(A2634-1)*J2633,1)))</f>
        <v/>
      </c>
      <c r="B2637" s="65"/>
      <c r="C2637" s="66" t="str">
        <f ca="1">INDIRECT(_xlfn.TEXTJOIN("",TRUE,A2633,"!",ADDRESS(13+(A2634-1)*J2633,2)))</f>
        <v/>
      </c>
      <c r="D2637" s="66"/>
      <c r="E2637" s="66"/>
      <c r="F2637" s="66"/>
      <c r="G2637" s="66"/>
      <c r="H2637" s="25" t="str">
        <f ca="1">INDIRECT(_xlfn.TEXTJOIN("",TRUE,A2633,"!",ADDRESS(13+(A2634-1)*J2633,6)))</f>
        <v/>
      </c>
      <c r="I2637" s="25" t="str">
        <f ca="1">INDIRECT(_xlfn.TEXTJOIN("",TRUE,A2633,"!",ADDRESS(13+(A2634-1)*J2633,13)))</f>
        <v/>
      </c>
      <c r="J2637" s="25" t="e">
        <f ca="1">INDIRECT(_xlfn.TEXTJOIN("",TRUE,A2633,"!",ADDRESS(13+(A2634-1)*J2633,14)))</f>
        <v>#N/A</v>
      </c>
    </row>
    <row r="2638" spans="1:10" ht="10.5" customHeight="1" x14ac:dyDescent="0.2">
      <c r="A2638" s="65" t="str">
        <f ca="1">INDIRECT(_xlfn.TEXTJOIN("",TRUE,A2633,"!",ADDRESS(14+(A2634-1)*J2633,1)))</f>
        <v/>
      </c>
      <c r="B2638" s="65"/>
      <c r="C2638" s="66" t="str">
        <f ca="1">INDIRECT(_xlfn.TEXTJOIN("",TRUE,A2633,"!",ADDRESS(14+(A2634-1)*J2633,2)))</f>
        <v/>
      </c>
      <c r="D2638" s="66"/>
      <c r="E2638" s="66"/>
      <c r="F2638" s="66"/>
      <c r="G2638" s="66"/>
      <c r="H2638" s="25" t="str">
        <f ca="1">INDIRECT(_xlfn.TEXTJOIN("",TRUE,A2633,"!",ADDRESS(14+(A2634-1)*J2633,6)))</f>
        <v/>
      </c>
      <c r="I2638" s="25" t="str">
        <f ca="1">INDIRECT(_xlfn.TEXTJOIN("",TRUE,A2633,"!",ADDRESS(14+(A2634-1)*J2633,13)))</f>
        <v/>
      </c>
      <c r="J2638" s="25" t="e">
        <f ca="1">INDIRECT(_xlfn.TEXTJOIN("",TRUE,A2633,"!",ADDRESS(14+(A2634-1)*J2633,14)))</f>
        <v>#N/A</v>
      </c>
    </row>
    <row r="2639" spans="1:10" ht="10.5" customHeight="1" x14ac:dyDescent="0.2">
      <c r="A2639" s="65" t="str">
        <f ca="1">INDIRECT(_xlfn.TEXTJOIN("",TRUE,A2633,"!",ADDRESS(15+(A2634-1)*J2633,1)))</f>
        <v/>
      </c>
      <c r="B2639" s="65"/>
      <c r="C2639" s="66" t="str">
        <f ca="1">INDIRECT(_xlfn.TEXTJOIN("",TRUE,A2633,"!",ADDRESS(15+(A2634-1)*J2633,2)))</f>
        <v/>
      </c>
      <c r="D2639" s="66"/>
      <c r="E2639" s="66"/>
      <c r="F2639" s="66"/>
      <c r="G2639" s="66"/>
      <c r="H2639" s="25" t="str">
        <f ca="1">INDIRECT(_xlfn.TEXTJOIN("",TRUE,A2633,"!",ADDRESS(15+(A2634-1)*J2633,6)))</f>
        <v/>
      </c>
      <c r="I2639" s="25" t="str">
        <f ca="1">INDIRECT(_xlfn.TEXTJOIN("",TRUE,A2633,"!",ADDRESS(15+(A2634-1)*J2633,13)))</f>
        <v/>
      </c>
      <c r="J2639" s="25" t="e">
        <f ca="1">INDIRECT(_xlfn.TEXTJOIN("",TRUE,A2633,"!",ADDRESS(15+(A2634-1)*J2633,14)))</f>
        <v>#N/A</v>
      </c>
    </row>
    <row r="2640" spans="1:10" ht="10.5" customHeight="1" x14ac:dyDescent="0.2">
      <c r="A2640" s="65" t="str">
        <f ca="1">INDIRECT(_xlfn.TEXTJOIN("",TRUE,A2633,"!",ADDRESS(16+(A2634-1)*J2633,1)))</f>
        <v/>
      </c>
      <c r="B2640" s="65"/>
      <c r="C2640" s="66" t="str">
        <f ca="1">INDIRECT(_xlfn.TEXTJOIN("",TRUE,A2633,"!",ADDRESS(16+(A2634-1)*J2633,2)))</f>
        <v/>
      </c>
      <c r="D2640" s="66"/>
      <c r="E2640" s="66"/>
      <c r="F2640" s="66"/>
      <c r="G2640" s="66"/>
      <c r="H2640" s="25" t="str">
        <f ca="1">INDIRECT(_xlfn.TEXTJOIN("",TRUE,A2633,"!",ADDRESS(16+(A2634-1)*J2633,6)))</f>
        <v/>
      </c>
      <c r="I2640" s="25" t="str">
        <f ca="1">INDIRECT(_xlfn.TEXTJOIN("",TRUE,A2633,"!",ADDRESS(16+(A2634-1)*J2633,13)))</f>
        <v/>
      </c>
      <c r="J2640" s="25" t="e">
        <f ca="1">INDIRECT(_xlfn.TEXTJOIN("",TRUE,A2633,"!",ADDRESS(16+(A2634-1)*J2633,14)))</f>
        <v>#N/A</v>
      </c>
    </row>
    <row r="2641" spans="1:10" ht="10.5" customHeight="1" x14ac:dyDescent="0.2">
      <c r="A2641" s="65" t="str">
        <f ca="1">INDIRECT(_xlfn.TEXTJOIN("",TRUE,A2633,"!",ADDRESS(17+(A2634-1)*J2633,1)))</f>
        <v/>
      </c>
      <c r="B2641" s="65"/>
      <c r="C2641" s="66" t="str">
        <f ca="1">INDIRECT(_xlfn.TEXTJOIN("",TRUE,A2633,"!",ADDRESS(17+(A2634-1)*J2633,2)))</f>
        <v/>
      </c>
      <c r="D2641" s="66"/>
      <c r="E2641" s="66"/>
      <c r="F2641" s="66"/>
      <c r="G2641" s="66"/>
      <c r="H2641" s="25" t="str">
        <f ca="1">INDIRECT(_xlfn.TEXTJOIN("",TRUE,A2633,"!",ADDRESS(17+(A2634-1)*J2633,6)))</f>
        <v/>
      </c>
      <c r="I2641" s="25" t="str">
        <f ca="1">INDIRECT(_xlfn.TEXTJOIN("",TRUE,A2633,"!",ADDRESS(17+(A2634-1)*J2633,13)))</f>
        <v/>
      </c>
      <c r="J2641" s="25" t="e">
        <f ca="1">INDIRECT(_xlfn.TEXTJOIN("",TRUE,A2633,"!",ADDRESS(17+(A2634-1)*J2633,14)))</f>
        <v>#N/A</v>
      </c>
    </row>
    <row r="2642" spans="1:10" ht="10.5" customHeight="1" x14ac:dyDescent="0.2">
      <c r="A2642" s="65" t="str">
        <f ca="1">INDIRECT(_xlfn.TEXTJOIN("",TRUE,A2633,"!",ADDRESS(18+(A2634-1)*J2633,1)))</f>
        <v/>
      </c>
      <c r="B2642" s="65"/>
      <c r="C2642" s="66" t="str">
        <f ca="1">INDIRECT(_xlfn.TEXTJOIN("",TRUE,A2633,"!",ADDRESS(18+(A2634-1)*J2633,2)))</f>
        <v/>
      </c>
      <c r="D2642" s="66"/>
      <c r="E2642" s="66"/>
      <c r="F2642" s="66"/>
      <c r="G2642" s="66"/>
      <c r="H2642" s="25" t="str">
        <f ca="1">INDIRECT(_xlfn.TEXTJOIN("",TRUE,A2633,"!",ADDRESS(18+(A2634-1)*J2633,6)))</f>
        <v/>
      </c>
      <c r="I2642" s="25" t="str">
        <f ca="1">INDIRECT(_xlfn.TEXTJOIN("",TRUE,A2633,"!",ADDRESS(18+(A2634-1)*J2633,13)))</f>
        <v/>
      </c>
      <c r="J2642" s="25" t="e">
        <f ca="1">INDIRECT(_xlfn.TEXTJOIN("",TRUE,A2633,"!",ADDRESS(18+(A2634-1)*J2633,14)))</f>
        <v>#N/A</v>
      </c>
    </row>
    <row r="2643" spans="1:10" ht="10.5" customHeight="1" x14ac:dyDescent="0.2">
      <c r="A2643" s="60" t="str">
        <f ca="1">INDIRECT(_xlfn.TEXTJOIN("",TRUE,A2633,"!",ADDRESS(19+(A2634-1)*J2633,1)))</f>
        <v/>
      </c>
      <c r="B2643" s="61"/>
      <c r="C2643" s="57" t="str">
        <f ca="1">INDIRECT(_xlfn.TEXTJOIN("",TRUE,A2633,"!",ADDRESS(19+(A2634-1)*J2633,2)))</f>
        <v/>
      </c>
      <c r="D2643" s="58"/>
      <c r="E2643" s="58"/>
      <c r="F2643" s="58"/>
      <c r="G2643" s="59"/>
      <c r="H2643" s="25" t="str">
        <f ca="1">INDIRECT(_xlfn.TEXTJOIN("",TRUE,A2633,"!",ADDRESS(19+(A2634-1)*J2633,6)))</f>
        <v/>
      </c>
      <c r="I2643" s="25" t="str">
        <f ca="1">INDIRECT(_xlfn.TEXTJOIN("",TRUE,A2633,"!",ADDRESS(19+(A2634-1)*J2633,13)))</f>
        <v/>
      </c>
      <c r="J2643" s="25" t="e">
        <f ca="1">INDIRECT(_xlfn.TEXTJOIN("",TRUE,A2633,"!",ADDRESS(19+(A2634-1)*J2633,14)))</f>
        <v>#N/A</v>
      </c>
    </row>
    <row r="2644" spans="1:10" ht="10.5" customHeight="1" x14ac:dyDescent="0.2">
      <c r="A2644" s="65" t="str">
        <f ca="1">INDIRECT(_xlfn.TEXTJOIN("",TRUE,A2633,"!",ADDRESS(20+(A2634-1)*J2633,1)))</f>
        <v/>
      </c>
      <c r="B2644" s="65"/>
      <c r="C2644" s="66" t="str">
        <f ca="1">INDIRECT(_xlfn.TEXTJOIN("",TRUE,A2633,"!",ADDRESS(20+(A2634-1)*J2633,2)))</f>
        <v/>
      </c>
      <c r="D2644" s="66"/>
      <c r="E2644" s="66"/>
      <c r="F2644" s="66"/>
      <c r="G2644" s="66"/>
      <c r="H2644" s="25" t="str">
        <f ca="1">INDIRECT(_xlfn.TEXTJOIN("",TRUE,A2633,"!",ADDRESS(20+(A2634-1)*J2633,6)))</f>
        <v/>
      </c>
      <c r="I2644" s="25" t="str">
        <f ca="1">INDIRECT(_xlfn.TEXTJOIN("",TRUE,A2633,"!",ADDRESS(20+(A2634-1)*J2633,13)))</f>
        <v/>
      </c>
      <c r="J2644" s="25" t="e">
        <f ca="1">INDIRECT(_xlfn.TEXTJOIN("",TRUE,A2633,"!",ADDRESS(20+(A2634-1)*J2633,14)))</f>
        <v>#N/A</v>
      </c>
    </row>
    <row r="2645" spans="1:10" ht="10.5" customHeight="1" x14ac:dyDescent="0.2">
      <c r="A2645" s="65" t="str">
        <f ca="1">INDIRECT(_xlfn.TEXTJOIN("",TRUE,A2633,"!",ADDRESS(21+(A2634-1)*J2633,1)))</f>
        <v/>
      </c>
      <c r="B2645" s="65"/>
      <c r="C2645" s="66" t="str">
        <f ca="1">INDIRECT(_xlfn.TEXTJOIN("",TRUE,A2633,"!",ADDRESS(21+(A2634-1)*J2633,2)))</f>
        <v/>
      </c>
      <c r="D2645" s="66"/>
      <c r="E2645" s="66"/>
      <c r="F2645" s="66"/>
      <c r="G2645" s="66"/>
      <c r="H2645" s="25" t="str">
        <f ca="1">INDIRECT(_xlfn.TEXTJOIN("",TRUE,A2633,"!",ADDRESS(21+(A2634-1)*J2633,6)))</f>
        <v/>
      </c>
      <c r="I2645" s="25" t="str">
        <f ca="1">INDIRECT(_xlfn.TEXTJOIN("",TRUE,A2633,"!",ADDRESS(21+(A2634-1)*J2633,13)))</f>
        <v/>
      </c>
      <c r="J2645" s="25" t="e">
        <f ca="1">INDIRECT(_xlfn.TEXTJOIN("",TRUE,A2633,"!",ADDRESS(21+(A2634-1)*J2633,14)))</f>
        <v>#N/A</v>
      </c>
    </row>
    <row r="2646" spans="1:10" ht="10.5" customHeight="1" x14ac:dyDescent="0.2">
      <c r="A2646" s="65" t="str">
        <f ca="1">INDIRECT(_xlfn.TEXTJOIN("",TRUE,A2633,"!",ADDRESS(22+(A2634-1)*J2633,1)))</f>
        <v/>
      </c>
      <c r="B2646" s="65"/>
      <c r="C2646" s="66" t="str">
        <f ca="1">INDIRECT(_xlfn.TEXTJOIN("",TRUE,A2633,"!",ADDRESS(22+(A2634-1)*J2633,2)))</f>
        <v/>
      </c>
      <c r="D2646" s="66"/>
      <c r="E2646" s="66"/>
      <c r="F2646" s="66"/>
      <c r="G2646" s="66"/>
      <c r="H2646" s="25" t="str">
        <f ca="1">INDIRECT(_xlfn.TEXTJOIN("",TRUE,A2633,"!",ADDRESS(22+(A2634-1)*J2633,6)))</f>
        <v/>
      </c>
      <c r="I2646" s="25" t="str">
        <f ca="1">INDIRECT(_xlfn.TEXTJOIN("",TRUE,A2633,"!",ADDRESS(22+(A2634-1)*J2633,13)))</f>
        <v/>
      </c>
      <c r="J2646" s="25" t="e">
        <f ca="1">INDIRECT(_xlfn.TEXTJOIN("",TRUE,A2633,"!",ADDRESS(22+(A2634-1)*J2633,14)))</f>
        <v>#N/A</v>
      </c>
    </row>
    <row r="2647" spans="1:10" ht="10.5" customHeight="1" x14ac:dyDescent="0.2">
      <c r="A2647" s="65" t="str">
        <f ca="1">INDIRECT(_xlfn.TEXTJOIN("",TRUE,A2633,"!",ADDRESS(23+(A2634-1)*J2633,1)))</f>
        <v/>
      </c>
      <c r="B2647" s="65"/>
      <c r="C2647" s="66" t="str">
        <f ca="1">INDIRECT(_xlfn.TEXTJOIN("",TRUE,A2633,"!",ADDRESS(23+(A2634-1)*J2633,2)))</f>
        <v/>
      </c>
      <c r="D2647" s="66"/>
      <c r="E2647" s="66"/>
      <c r="F2647" s="66"/>
      <c r="G2647" s="66"/>
      <c r="H2647" s="25" t="str">
        <f ca="1">INDIRECT(_xlfn.TEXTJOIN("",TRUE,A2633,"!",ADDRESS(23+(A2634-1)*J2633,6)))</f>
        <v/>
      </c>
      <c r="I2647" s="25" t="str">
        <f ca="1">INDIRECT(_xlfn.TEXTJOIN("",TRUE,A2633,"!",ADDRESS(23+(A2634-1)*J2633,13)))</f>
        <v/>
      </c>
      <c r="J2647" s="25" t="e">
        <f ca="1">INDIRECT(_xlfn.TEXTJOIN("",TRUE,A2633,"!",ADDRESS(23+(A2634-1)*J2633,14)))</f>
        <v>#N/A</v>
      </c>
    </row>
    <row r="2648" spans="1:10" ht="10.5" customHeight="1" x14ac:dyDescent="0.2">
      <c r="A2648" s="65" t="str">
        <f ca="1">INDIRECT(_xlfn.TEXTJOIN("",TRUE,A2633,"!",ADDRESS(24+(A2634-1)*J2633,1)))</f>
        <v/>
      </c>
      <c r="B2648" s="65"/>
      <c r="C2648" s="66" t="str">
        <f ca="1">INDIRECT(_xlfn.TEXTJOIN("",TRUE,A2633,"!",ADDRESS(24+(A2634-1)*J2633,2)))</f>
        <v/>
      </c>
      <c r="D2648" s="66"/>
      <c r="E2648" s="66"/>
      <c r="F2648" s="66"/>
      <c r="G2648" s="66"/>
      <c r="H2648" s="25" t="str">
        <f ca="1">INDIRECT(_xlfn.TEXTJOIN("",TRUE,A2633,"!",ADDRESS(24+(A2634-1)*J2633,6)))</f>
        <v/>
      </c>
      <c r="I2648" s="25" t="str">
        <f ca="1">INDIRECT(_xlfn.TEXTJOIN("",TRUE,A2633,"!",ADDRESS(24+(A2634-1)*J2633,13)))</f>
        <v/>
      </c>
      <c r="J2648" s="25" t="e">
        <f ca="1">INDIRECT(_xlfn.TEXTJOIN("",TRUE,A2633,"!",ADDRESS(24+(A2634-1)*J2633,14)))</f>
        <v>#N/A</v>
      </c>
    </row>
    <row r="2649" spans="1:10" ht="10.5" customHeight="1" x14ac:dyDescent="0.2">
      <c r="A2649" s="65" t="str">
        <f ca="1">INDIRECT(_xlfn.TEXTJOIN("",TRUE,A2633,"!",ADDRESS(25+(A2634-1)*J2633,1)))</f>
        <v/>
      </c>
      <c r="B2649" s="65"/>
      <c r="C2649" s="66" t="str">
        <f ca="1">INDIRECT(_xlfn.TEXTJOIN("",TRUE,A2633,"!",ADDRESS(25+(A2634-1)*J2633,2)))</f>
        <v/>
      </c>
      <c r="D2649" s="66"/>
      <c r="E2649" s="66"/>
      <c r="F2649" s="66"/>
      <c r="G2649" s="66"/>
      <c r="H2649" s="25" t="str">
        <f ca="1">INDIRECT(_xlfn.TEXTJOIN("",TRUE,A2633,"!",ADDRESS(25+(A2634-1)*J2633,6)))</f>
        <v/>
      </c>
      <c r="I2649" s="25" t="str">
        <f ca="1">INDIRECT(_xlfn.TEXTJOIN("",TRUE,A2633,"!",ADDRESS(25+(A2634-1)*J2633,13)))</f>
        <v/>
      </c>
      <c r="J2649" s="25" t="e">
        <f ca="1">INDIRECT(_xlfn.TEXTJOIN("",TRUE,A2633,"!",ADDRESS(25+(A2634-1)*J2633,14)))</f>
        <v>#N/A</v>
      </c>
    </row>
    <row r="2650" spans="1:10" s="35" customFormat="1" ht="10.5" customHeight="1" x14ac:dyDescent="0.2">
      <c r="A2650" s="90" t="str">
        <f ca="1">INDIRECT(_xlfn.TEXTJOIN("",TRUE,A2633,"!",ADDRESS(26+(A2634-1)*J2633,1)))</f>
        <v/>
      </c>
      <c r="B2650" s="91"/>
      <c r="C2650" s="92" t="str">
        <f ca="1">INDIRECT(_xlfn.TEXTJOIN("",TRUE,A2633,"!",ADDRESS(26+(A2634-1)*J2633,2)))</f>
        <v/>
      </c>
      <c r="D2650" s="93"/>
      <c r="E2650" s="93"/>
      <c r="F2650" s="93"/>
      <c r="G2650" s="94"/>
      <c r="H2650" s="34" t="str">
        <f ca="1">INDIRECT(_xlfn.TEXTJOIN("",TRUE,A2633,"!",ADDRESS(26+(A2634-1)*J2633,6)))</f>
        <v/>
      </c>
      <c r="I2650" s="34" t="b">
        <f ca="1">INDIRECT(_xlfn.TEXTJOIN("",TRUE,A2633,"!",ADDRESS(26+(A2634-1)*J2633,13)))</f>
        <v>0</v>
      </c>
      <c r="J2650" s="34" t="e">
        <f ca="1">INDIRECT(_xlfn.TEXTJOIN("",TRUE,A2633,"!",ADDRESS(26+(A2634-1)*J2633,14)))</f>
        <v>#N/A</v>
      </c>
    </row>
    <row r="2651" spans="1:10" ht="10.5" customHeight="1" x14ac:dyDescent="0.2">
      <c r="A2651" s="71" t="s">
        <v>52</v>
      </c>
      <c r="B2651" s="71"/>
      <c r="C2651" s="71"/>
      <c r="D2651" s="71"/>
      <c r="E2651" s="71"/>
      <c r="F2651" s="71"/>
      <c r="G2651" s="71"/>
      <c r="H2651" s="27">
        <f ca="1">SUM(H2637:H2650)</f>
        <v>0</v>
      </c>
      <c r="I2651" s="26" t="s">
        <v>44</v>
      </c>
      <c r="J2651" s="27" t="e">
        <f ca="1">SUMPRODUCT(J2637:J2649,H2637:H2649)</f>
        <v>#N/A</v>
      </c>
    </row>
    <row r="2652" spans="1:10" ht="10.5" customHeight="1" x14ac:dyDescent="0.2">
      <c r="A2652" s="24" t="s">
        <v>57</v>
      </c>
      <c r="B2652" s="72" t="str">
        <f ca="1">IF(ISNA(A2653),"","Semester II (Spring Semester 2022-23)")</f>
        <v/>
      </c>
      <c r="C2652" s="72"/>
      <c r="D2652" s="72"/>
      <c r="E2652" s="72"/>
      <c r="F2652" s="72"/>
      <c r="G2652" s="72"/>
      <c r="H2652" s="72"/>
      <c r="I2652" s="72"/>
      <c r="J2652" s="24">
        <f>ROWS(A2656:B2665)+9</f>
        <v>19</v>
      </c>
    </row>
    <row r="2653" spans="1:10" ht="10.5" customHeight="1" x14ac:dyDescent="0.2">
      <c r="A2653" s="24" t="e">
        <f ca="1">INDEX(SEM_II!$A$6:$A$45,Marksheets!J2653)</f>
        <v>#N/A</v>
      </c>
      <c r="B2653" s="63"/>
      <c r="C2653" s="63"/>
      <c r="D2653" s="63"/>
      <c r="E2653" s="63"/>
      <c r="F2653" s="63"/>
      <c r="G2653" s="63"/>
      <c r="H2653" s="63"/>
      <c r="I2653" s="63"/>
      <c r="J2653" s="24" t="e">
        <f ca="1">MATCH(H2631,SEM_II!$B$6:$B$45,0)</f>
        <v>#N/A</v>
      </c>
    </row>
    <row r="2654" spans="1:10" ht="10.5" customHeight="1" x14ac:dyDescent="0.2">
      <c r="A2654" s="64" t="str">
        <f ca="1">IF(ISNA(A2653),"","Subject Code")</f>
        <v/>
      </c>
      <c r="B2654" s="64"/>
      <c r="C2654" s="64" t="str">
        <f ca="1">IF(ISNA(A2653),"","Subject Name")</f>
        <v/>
      </c>
      <c r="D2654" s="64"/>
      <c r="E2654" s="64"/>
      <c r="F2654" s="64"/>
      <c r="G2654" s="64"/>
      <c r="H2654" s="64" t="str">
        <f ca="1">IF(ISNA(A2653),"","Credits")</f>
        <v/>
      </c>
      <c r="I2654" s="64" t="str">
        <f ca="1">IF(ISNA(A2653),"","Grade")</f>
        <v/>
      </c>
      <c r="J2654" s="64" t="str">
        <f ca="1">IF(ISNA(A2653),"","Grade Points")</f>
        <v/>
      </c>
    </row>
    <row r="2655" spans="1:10" ht="15" x14ac:dyDescent="0.2">
      <c r="A2655" s="64"/>
      <c r="B2655" s="64"/>
      <c r="C2655" s="64"/>
      <c r="D2655" s="64"/>
      <c r="E2655" s="64"/>
      <c r="F2655" s="64"/>
      <c r="G2655" s="64"/>
      <c r="H2655" s="64"/>
      <c r="I2655" s="64"/>
      <c r="J2655" s="64"/>
    </row>
    <row r="2656" spans="1:10" ht="10.5" customHeight="1" x14ac:dyDescent="0.2">
      <c r="A2656" s="65" t="str">
        <f ca="1">_xlfn.IFNA(INDIRECT(_xlfn.TEXTJOIN("",TRUE,A2652,"!",ADDRESS(13+(A2653-1)*J2652,1))),"")</f>
        <v/>
      </c>
      <c r="B2656" s="65"/>
      <c r="C2656" s="66" t="str">
        <f ca="1">_xlfn.IFNA(INDIRECT(_xlfn.TEXTJOIN("",TRUE,A2652,"!",ADDRESS(13+(A2653-1)*J2652,2))),"")</f>
        <v/>
      </c>
      <c r="D2656" s="66"/>
      <c r="E2656" s="66"/>
      <c r="F2656" s="66"/>
      <c r="G2656" s="66"/>
      <c r="H2656" s="25" t="str">
        <f ca="1">_xlfn.IFNA(INDIRECT(_xlfn.TEXTJOIN("",TRUE,A2652,"!",ADDRESS(13+(A2653-1)*J2652,6))),"")</f>
        <v/>
      </c>
      <c r="I2656" s="25" t="str">
        <f ca="1">_xlfn.IFNA(INDIRECT(_xlfn.TEXTJOIN("",TRUE,A2652,"!",ADDRESS(13+(A2653-1)*J2652,13))),"")</f>
        <v/>
      </c>
      <c r="J2656" s="25" t="str">
        <f ca="1">_xlfn.IFNA(INDIRECT(_xlfn.TEXTJOIN("",TRUE,A2652,"!",ADDRESS(13+(A2653-1)*J2652,14))),"")</f>
        <v/>
      </c>
    </row>
    <row r="2657" spans="1:10" ht="10.5" customHeight="1" x14ac:dyDescent="0.2">
      <c r="A2657" s="65" t="str">
        <f ca="1">_xlfn.IFNA(INDIRECT(_xlfn.TEXTJOIN("",TRUE,A2652,"!",ADDRESS(14+(A2653-1)*J2652,1))),"")</f>
        <v/>
      </c>
      <c r="B2657" s="65"/>
      <c r="C2657" s="66" t="str">
        <f ca="1">_xlfn.IFNA(INDIRECT(_xlfn.TEXTJOIN("",TRUE,A2652,"!",ADDRESS(14+(A2653-1)*J2652,2))),"")</f>
        <v/>
      </c>
      <c r="D2657" s="66"/>
      <c r="E2657" s="66"/>
      <c r="F2657" s="66"/>
      <c r="G2657" s="66"/>
      <c r="H2657" s="25" t="str">
        <f ca="1">_xlfn.IFNA(INDIRECT(_xlfn.TEXTJOIN("",TRUE,A2652,"!",ADDRESS(14+(A2653-1)*J2652,6))),"")</f>
        <v/>
      </c>
      <c r="I2657" s="25" t="str">
        <f ca="1">_xlfn.IFNA(INDIRECT(_xlfn.TEXTJOIN("",TRUE,A2652,"!",ADDRESS(14+(A2653-1)*J2652,13))),"")</f>
        <v/>
      </c>
      <c r="J2657" s="25" t="str">
        <f ca="1">_xlfn.IFNA(INDIRECT(_xlfn.TEXTJOIN("",TRUE,A2652,"!",ADDRESS(14+(A2653-1)*J2652,14))),"")</f>
        <v/>
      </c>
    </row>
    <row r="2658" spans="1:10" ht="10.5" customHeight="1" x14ac:dyDescent="0.2">
      <c r="A2658" s="65" t="str">
        <f ca="1">_xlfn.IFNA(INDIRECT(_xlfn.TEXTJOIN("",TRUE,A2652,"!",ADDRESS(15+(A2653-1)*J2652,1))),"")</f>
        <v/>
      </c>
      <c r="B2658" s="65"/>
      <c r="C2658" s="66" t="str">
        <f ca="1">_xlfn.IFNA(INDIRECT(_xlfn.TEXTJOIN("",TRUE,A2652,"!",ADDRESS(15+(A2653-1)*J2652,2))),"")</f>
        <v/>
      </c>
      <c r="D2658" s="66"/>
      <c r="E2658" s="66"/>
      <c r="F2658" s="66"/>
      <c r="G2658" s="66"/>
      <c r="H2658" s="25" t="str">
        <f ca="1">_xlfn.IFNA(INDIRECT(_xlfn.TEXTJOIN("",TRUE,A2652,"!",ADDRESS(15+(A2653-1)*J2652,6))),"")</f>
        <v/>
      </c>
      <c r="I2658" s="25" t="str">
        <f ca="1">_xlfn.IFNA(INDIRECT(_xlfn.TEXTJOIN("",TRUE,A2652,"!",ADDRESS(15+(A2653-1)*J2652,13))),"")</f>
        <v/>
      </c>
      <c r="J2658" s="25" t="str">
        <f ca="1">_xlfn.IFNA(INDIRECT(_xlfn.TEXTJOIN("",TRUE,A2652,"!",ADDRESS(15+(A2653-1)*J2652,14))),"")</f>
        <v/>
      </c>
    </row>
    <row r="2659" spans="1:10" ht="10.5" customHeight="1" x14ac:dyDescent="0.2">
      <c r="A2659" s="65" t="str">
        <f ca="1">_xlfn.IFNA(INDIRECT(_xlfn.TEXTJOIN("",TRUE,A2652,"!",ADDRESS(16+(A2653-1)*J2652,1))),"")</f>
        <v/>
      </c>
      <c r="B2659" s="65"/>
      <c r="C2659" s="66" t="str">
        <f ca="1">_xlfn.IFNA(INDIRECT(_xlfn.TEXTJOIN("",TRUE,A2652,"!",ADDRESS(16+(A2653-1)*J2652,2))),"")</f>
        <v/>
      </c>
      <c r="D2659" s="66"/>
      <c r="E2659" s="66"/>
      <c r="F2659" s="66"/>
      <c r="G2659" s="66"/>
      <c r="H2659" s="25" t="str">
        <f ca="1">_xlfn.IFNA(INDIRECT(_xlfn.TEXTJOIN("",TRUE,A2652,"!",ADDRESS(16+(A2653-1)*J2652,6))),"")</f>
        <v/>
      </c>
      <c r="I2659" s="25" t="str">
        <f ca="1">_xlfn.IFNA(INDIRECT(_xlfn.TEXTJOIN("",TRUE,A2652,"!",ADDRESS(16+(A2653-1)*J2652,13))),"")</f>
        <v/>
      </c>
      <c r="J2659" s="25" t="str">
        <f ca="1">_xlfn.IFNA(INDIRECT(_xlfn.TEXTJOIN("",TRUE,A2652,"!",ADDRESS(16+(A2653-1)*J2652,14))),"")</f>
        <v/>
      </c>
    </row>
    <row r="2660" spans="1:10" ht="10.5" customHeight="1" x14ac:dyDescent="0.2">
      <c r="A2660" s="65" t="str">
        <f ca="1">_xlfn.IFNA(INDIRECT(_xlfn.TEXTJOIN("",TRUE,A2652,"!",ADDRESS(17+(A2653-1)*J2652,1))),"")</f>
        <v/>
      </c>
      <c r="B2660" s="65"/>
      <c r="C2660" s="66" t="str">
        <f ca="1">_xlfn.IFNA(INDIRECT(_xlfn.TEXTJOIN("",TRUE,A2652,"!",ADDRESS(17+(A2653-1)*J2652,2))),"")</f>
        <v/>
      </c>
      <c r="D2660" s="66"/>
      <c r="E2660" s="66"/>
      <c r="F2660" s="66"/>
      <c r="G2660" s="66"/>
      <c r="H2660" s="25" t="str">
        <f ca="1">_xlfn.IFNA(INDIRECT(_xlfn.TEXTJOIN("",TRUE,A2652,"!",ADDRESS(17+(A2653-1)*J2652,6))),"")</f>
        <v/>
      </c>
      <c r="I2660" s="25" t="str">
        <f ca="1">_xlfn.IFNA(INDIRECT(_xlfn.TEXTJOIN("",TRUE,A2652,"!",ADDRESS(17+(A2653-1)*J2652,13))),"")</f>
        <v/>
      </c>
      <c r="J2660" s="25" t="str">
        <f ca="1">_xlfn.IFNA(INDIRECT(_xlfn.TEXTJOIN("",TRUE,A2652,"!",ADDRESS(17+(A2653-1)*J2652,14))),"")</f>
        <v/>
      </c>
    </row>
    <row r="2661" spans="1:10" ht="10.5" customHeight="1" x14ac:dyDescent="0.2">
      <c r="A2661" s="65" t="str">
        <f ca="1">_xlfn.IFNA(INDIRECT(_xlfn.TEXTJOIN("",TRUE,A2652,"!",ADDRESS(18+(A2653-1)*J2652,1))),"")</f>
        <v/>
      </c>
      <c r="B2661" s="65"/>
      <c r="C2661" s="66" t="str">
        <f ca="1">_xlfn.IFNA(INDIRECT(_xlfn.TEXTJOIN("",TRUE,A2652,"!",ADDRESS(18+(A2653-1)*J2652,2))),"")</f>
        <v/>
      </c>
      <c r="D2661" s="66"/>
      <c r="E2661" s="66"/>
      <c r="F2661" s="66"/>
      <c r="G2661" s="66"/>
      <c r="H2661" s="25" t="str">
        <f ca="1">_xlfn.IFNA(INDIRECT(_xlfn.TEXTJOIN("",TRUE,A2652,"!",ADDRESS(18+(A2653-1)*J2652,6))),"")</f>
        <v/>
      </c>
      <c r="I2661" s="25" t="str">
        <f ca="1">_xlfn.IFNA(INDIRECT(_xlfn.TEXTJOIN("",TRUE,A2652,"!",ADDRESS(18+(A2653-1)*J2652,13))),"")</f>
        <v/>
      </c>
      <c r="J2661" s="25" t="str">
        <f ca="1">_xlfn.IFNA(INDIRECT(_xlfn.TEXTJOIN("",TRUE,A2652,"!",ADDRESS(18+(A2653-1)*J2652,14))),"")</f>
        <v/>
      </c>
    </row>
    <row r="2662" spans="1:10" ht="10.5" customHeight="1" x14ac:dyDescent="0.2">
      <c r="A2662" s="60" t="str">
        <f ca="1">_xlfn.IFNA(INDIRECT(_xlfn.TEXTJOIN("",TRUE,A2652,"!",ADDRESS(19+(A2653-1)*J2652,1))),"")</f>
        <v/>
      </c>
      <c r="B2662" s="61"/>
      <c r="C2662" s="57" t="str">
        <f ca="1">_xlfn.IFNA(INDIRECT(_xlfn.TEXTJOIN("",TRUE,A2652,"!",ADDRESS(19+(A2653-1)*J2652,2))),"")</f>
        <v/>
      </c>
      <c r="D2662" s="58"/>
      <c r="E2662" s="58"/>
      <c r="F2662" s="58"/>
      <c r="G2662" s="59"/>
      <c r="H2662" s="25" t="str">
        <f ca="1">_xlfn.IFNA(INDIRECT(_xlfn.TEXTJOIN("",TRUE,A2652,"!",ADDRESS(19+(A2653-1)*J2652,6))),"")</f>
        <v/>
      </c>
      <c r="I2662" s="25" t="str">
        <f ca="1">_xlfn.IFNA(INDIRECT(_xlfn.TEXTJOIN("",TRUE,A2652,"!",ADDRESS(19+(A2653-1)*J2652,13))),"")</f>
        <v/>
      </c>
      <c r="J2662" s="25" t="str">
        <f ca="1">_xlfn.IFNA(INDIRECT(_xlfn.TEXTJOIN("",TRUE,A2652,"!",ADDRESS(19+(A2653-1)*J2652,14))),"")</f>
        <v/>
      </c>
    </row>
    <row r="2663" spans="1:10" ht="10.5" customHeight="1" x14ac:dyDescent="0.2">
      <c r="A2663" s="65" t="str">
        <f ca="1">_xlfn.IFNA(INDIRECT(_xlfn.TEXTJOIN("",TRUE,A2652,"!",ADDRESS(20+(A2653-1)*J2652,1))),"")</f>
        <v/>
      </c>
      <c r="B2663" s="65"/>
      <c r="C2663" s="66" t="str">
        <f ca="1">_xlfn.IFNA(INDIRECT(_xlfn.TEXTJOIN("",TRUE,A2652,"!",ADDRESS(20+(A2653-1)*J2652,2))),"")</f>
        <v/>
      </c>
      <c r="D2663" s="66"/>
      <c r="E2663" s="66"/>
      <c r="F2663" s="66"/>
      <c r="G2663" s="66"/>
      <c r="H2663" s="25" t="str">
        <f ca="1">_xlfn.IFNA(INDIRECT(_xlfn.TEXTJOIN("",TRUE,A2652,"!",ADDRESS(20+(A2653-1)*J2652,6))),"")</f>
        <v/>
      </c>
      <c r="I2663" s="25" t="str">
        <f ca="1">_xlfn.IFNA(INDIRECT(_xlfn.TEXTJOIN("",TRUE,A2652,"!",ADDRESS(20+(A2653-1)*J2652,13))),"")</f>
        <v/>
      </c>
      <c r="J2663" s="25" t="str">
        <f ca="1">_xlfn.IFNA(INDIRECT(_xlfn.TEXTJOIN("",TRUE,A2652,"!",ADDRESS(20+(A2653-1)*J2652,14))),"")</f>
        <v/>
      </c>
    </row>
    <row r="2664" spans="1:10" ht="10.5" customHeight="1" x14ac:dyDescent="0.2">
      <c r="A2664" s="65" t="str">
        <f ca="1">_xlfn.IFNA(INDIRECT(_xlfn.TEXTJOIN("",TRUE,A2652,"!",ADDRESS(21+(A2653-1)*J2652,1))),"")</f>
        <v/>
      </c>
      <c r="B2664" s="65"/>
      <c r="C2664" s="66" t="str">
        <f ca="1">_xlfn.IFNA(INDIRECT(_xlfn.TEXTJOIN("",TRUE,A2652,"!",ADDRESS(21+(A2653-1)*J2652,2))),"")</f>
        <v/>
      </c>
      <c r="D2664" s="66"/>
      <c r="E2664" s="66"/>
      <c r="F2664" s="66"/>
      <c r="G2664" s="66"/>
      <c r="H2664" s="25" t="str">
        <f ca="1">_xlfn.IFNA(INDIRECT(_xlfn.TEXTJOIN("",TRUE,A2652,"!",ADDRESS(21+(A2653-1)*J2652,6))),"")</f>
        <v/>
      </c>
      <c r="I2664" s="25" t="str">
        <f ca="1">_xlfn.IFNA(INDIRECT(_xlfn.TEXTJOIN("",TRUE,A2652,"!",ADDRESS(21+(A2653-1)*J2652,13))),"")</f>
        <v/>
      </c>
      <c r="J2664" s="25" t="str">
        <f ca="1">_xlfn.IFNA(INDIRECT(_xlfn.TEXTJOIN("",TRUE,A2652,"!",ADDRESS(21+(A2653-1)*J2652,14))),"")</f>
        <v/>
      </c>
    </row>
    <row r="2665" spans="1:10" ht="10.5" customHeight="1" x14ac:dyDescent="0.2">
      <c r="A2665" s="65" t="str">
        <f ca="1">_xlfn.IFNA(INDIRECT(_xlfn.TEXTJOIN("",TRUE,A2652,"!",ADDRESS(22+(A2653-1)*J2652,1))),"")</f>
        <v/>
      </c>
      <c r="B2665" s="65"/>
      <c r="C2665" s="66" t="str">
        <f ca="1">_xlfn.IFNA(INDIRECT(_xlfn.TEXTJOIN("",TRUE,A2652,"!",ADDRESS(22+(A2653-1)*J2652,2))),"")</f>
        <v/>
      </c>
      <c r="D2665" s="66"/>
      <c r="E2665" s="66"/>
      <c r="F2665" s="66"/>
      <c r="G2665" s="66"/>
      <c r="H2665" s="25" t="str">
        <f ca="1">_xlfn.IFNA(INDIRECT(_xlfn.TEXTJOIN("",TRUE,A2652,"!",ADDRESS(22+(A2653-1)*J2652,6))),"")</f>
        <v/>
      </c>
      <c r="I2665" s="25" t="str">
        <f ca="1">_xlfn.IFNA(INDIRECT(_xlfn.TEXTJOIN("",TRUE,A2652,"!",ADDRESS(22+(A2653-1)*J2652,13))),"")</f>
        <v/>
      </c>
      <c r="J2665" s="25" t="str">
        <f ca="1">_xlfn.IFNA(INDIRECT(_xlfn.TEXTJOIN("",TRUE,A2652,"!",ADDRESS(22+(A2653-1)*J2652,14))),"")</f>
        <v/>
      </c>
    </row>
    <row r="2666" spans="1:10" ht="10.5" customHeight="1" x14ac:dyDescent="0.2">
      <c r="A2666" s="71" t="str">
        <f ca="1">IF(ISNA(A2653),"","Total Credits/ Total Grade Points")</f>
        <v/>
      </c>
      <c r="B2666" s="71"/>
      <c r="C2666" s="71"/>
      <c r="D2666" s="71"/>
      <c r="E2666" s="71"/>
      <c r="F2666" s="71"/>
      <c r="G2666" s="71"/>
      <c r="H2666" s="27" t="str">
        <f ca="1">IF(ISNA(A2653),"",SUM(H2656:H2665))</f>
        <v/>
      </c>
      <c r="I2666" s="26" t="str">
        <f ca="1">IF(ISNA(A2653),"","-")</f>
        <v/>
      </c>
      <c r="J2666" s="27" t="str">
        <f ca="1">IF(ISNA(A2653),"",SUMPRODUCT(J2656:J2665,H2656:H2665))</f>
        <v/>
      </c>
    </row>
    <row r="2667" spans="1:10" ht="10.5" customHeight="1" x14ac:dyDescent="0.2">
      <c r="A2667" s="24" t="s">
        <v>60</v>
      </c>
      <c r="B2667" s="72" t="str">
        <f ca="1">IF(ISNA(A2668),"","Semester III (Autumn Semester 2023-24)")</f>
        <v/>
      </c>
      <c r="C2667" s="72"/>
      <c r="D2667" s="72"/>
      <c r="E2667" s="72"/>
      <c r="F2667" s="72"/>
      <c r="G2667" s="72"/>
      <c r="H2667" s="72"/>
      <c r="I2667" s="72"/>
      <c r="J2667" s="24">
        <f>ROWS(A2671:B2678)+9</f>
        <v>17</v>
      </c>
    </row>
    <row r="2668" spans="1:10" ht="10.5" customHeight="1" x14ac:dyDescent="0.2">
      <c r="A2668" s="24" t="e">
        <f ca="1">INDEX(SEM_III!$A$6:$A$43,Marksheets!J2668)</f>
        <v>#N/A</v>
      </c>
      <c r="B2668" s="63"/>
      <c r="C2668" s="63"/>
      <c r="D2668" s="63"/>
      <c r="E2668" s="63"/>
      <c r="F2668" s="63"/>
      <c r="G2668" s="63"/>
      <c r="H2668" s="63"/>
      <c r="I2668" s="63"/>
      <c r="J2668" s="24" t="e">
        <f ca="1">MATCH(H2631,SEM_III!$B$6:$B$43,0)</f>
        <v>#N/A</v>
      </c>
    </row>
    <row r="2669" spans="1:10" ht="10.5" customHeight="1" x14ac:dyDescent="0.2">
      <c r="A2669" s="64" t="str">
        <f ca="1">IF(ISNA(A2668),"","Subject Code")</f>
        <v/>
      </c>
      <c r="B2669" s="64"/>
      <c r="C2669" s="64" t="str">
        <f ca="1">IF(ISNA(A2668),"","Subject Name")</f>
        <v/>
      </c>
      <c r="D2669" s="64"/>
      <c r="E2669" s="64"/>
      <c r="F2669" s="64"/>
      <c r="G2669" s="64"/>
      <c r="H2669" s="64" t="str">
        <f ca="1">IF(ISNA(A2668),"","Credits")</f>
        <v/>
      </c>
      <c r="I2669" s="64" t="str">
        <f ca="1">IF(ISNA(A2668),"","Grade")</f>
        <v/>
      </c>
      <c r="J2669" s="64" t="str">
        <f ca="1">IF(ISNA(A2668),"","Grade Points")</f>
        <v/>
      </c>
    </row>
    <row r="2670" spans="1:10" ht="15" x14ac:dyDescent="0.2">
      <c r="A2670" s="64"/>
      <c r="B2670" s="64"/>
      <c r="C2670" s="64"/>
      <c r="D2670" s="64"/>
      <c r="E2670" s="64"/>
      <c r="F2670" s="64"/>
      <c r="G2670" s="64"/>
      <c r="H2670" s="64"/>
      <c r="I2670" s="64"/>
      <c r="J2670" s="64"/>
    </row>
    <row r="2671" spans="1:10" ht="10.5" customHeight="1" x14ac:dyDescent="0.2">
      <c r="A2671" s="65" t="str">
        <f ca="1">_xlfn.IFNA(INDIRECT(_xlfn.TEXTJOIN("",TRUE,A2667,"!",ADDRESS(13+(A2668-1)*J2667,1))),"")</f>
        <v/>
      </c>
      <c r="B2671" s="65"/>
      <c r="C2671" s="66" t="str">
        <f ca="1">_xlfn.IFNA(INDIRECT(_xlfn.TEXTJOIN("",TRUE,A2667,"!",ADDRESS(13+(A2668-1)*J2667,2))),"")</f>
        <v/>
      </c>
      <c r="D2671" s="66"/>
      <c r="E2671" s="66"/>
      <c r="F2671" s="66"/>
      <c r="G2671" s="66"/>
      <c r="H2671" s="25" t="str">
        <f ca="1">_xlfn.IFNA(INDIRECT(_xlfn.TEXTJOIN("",TRUE,A2667,"!",ADDRESS(13+(A2668-1)*J2667,6))),"")</f>
        <v/>
      </c>
      <c r="I2671" s="25" t="str">
        <f ca="1">_xlfn.IFNA(INDIRECT(_xlfn.TEXTJOIN("",TRUE,A2667,"!",ADDRESS(13+(A2668-1)*J2667,13))),"")</f>
        <v/>
      </c>
      <c r="J2671" s="25" t="str">
        <f ca="1">_xlfn.IFNA(INDIRECT(_xlfn.TEXTJOIN("",TRUE,A2667,"!",ADDRESS(13+(A2668-1)*J2667,14))),"")</f>
        <v/>
      </c>
    </row>
    <row r="2672" spans="1:10" ht="10.5" customHeight="1" x14ac:dyDescent="0.2">
      <c r="A2672" s="65" t="str">
        <f ca="1">_xlfn.IFNA(INDIRECT(_xlfn.TEXTJOIN("",TRUE,A2667,"!",ADDRESS(14+(A2668-1)*J2667,1))),"")</f>
        <v/>
      </c>
      <c r="B2672" s="65"/>
      <c r="C2672" s="66" t="str">
        <f ca="1">_xlfn.IFNA(INDIRECT(_xlfn.TEXTJOIN("",TRUE,A2667,"!",ADDRESS(14+(A2668-1)*J2667,2))),"")</f>
        <v/>
      </c>
      <c r="D2672" s="66"/>
      <c r="E2672" s="66"/>
      <c r="F2672" s="66"/>
      <c r="G2672" s="66"/>
      <c r="H2672" s="25" t="str">
        <f ca="1">_xlfn.IFNA(INDIRECT(_xlfn.TEXTJOIN("",TRUE,A2667,"!",ADDRESS(14+(A2668-1)*J2667,6))),"")</f>
        <v/>
      </c>
      <c r="I2672" s="25" t="str">
        <f ca="1">_xlfn.IFNA(INDIRECT(_xlfn.TEXTJOIN("",TRUE,A2667,"!",ADDRESS(14+(A2668-1)*J2667,13))),"")</f>
        <v/>
      </c>
      <c r="J2672" s="25" t="str">
        <f ca="1">_xlfn.IFNA(INDIRECT(_xlfn.TEXTJOIN("",TRUE,A2667,"!",ADDRESS(14+(A2668-1)*J2667,14))),"")</f>
        <v/>
      </c>
    </row>
    <row r="2673" spans="1:10" ht="10.5" customHeight="1" x14ac:dyDescent="0.2">
      <c r="A2673" s="65" t="str">
        <f ca="1">_xlfn.IFNA(INDIRECT(_xlfn.TEXTJOIN("",TRUE,A2667,"!",ADDRESS(15+(A2668-1)*J2667,1))),"")</f>
        <v/>
      </c>
      <c r="B2673" s="65"/>
      <c r="C2673" s="66" t="str">
        <f ca="1">_xlfn.IFNA(INDIRECT(_xlfn.TEXTJOIN("",TRUE,A2667,"!",ADDRESS(15+(A2668-1)*J2667,2))),"")</f>
        <v/>
      </c>
      <c r="D2673" s="66"/>
      <c r="E2673" s="66"/>
      <c r="F2673" s="66"/>
      <c r="G2673" s="66"/>
      <c r="H2673" s="25" t="str">
        <f ca="1">_xlfn.IFNA(INDIRECT(_xlfn.TEXTJOIN("",TRUE,A2667,"!",ADDRESS(15+(A2668-1)*J2667,6))),"")</f>
        <v/>
      </c>
      <c r="I2673" s="25" t="str">
        <f ca="1">_xlfn.IFNA(INDIRECT(_xlfn.TEXTJOIN("",TRUE,A2667,"!",ADDRESS(15+(A2668-1)*J2667,13))),"")</f>
        <v/>
      </c>
      <c r="J2673" s="25" t="str">
        <f ca="1">_xlfn.IFNA(INDIRECT(_xlfn.TEXTJOIN("",TRUE,A2667,"!",ADDRESS(15+(A2668-1)*J2667,14))),"")</f>
        <v/>
      </c>
    </row>
    <row r="2674" spans="1:10" ht="10.5" customHeight="1" x14ac:dyDescent="0.2">
      <c r="A2674" s="65" t="str">
        <f ca="1">_xlfn.IFNA(INDIRECT(_xlfn.TEXTJOIN("",TRUE,A2667,"!",ADDRESS(16+(A2668-1)*J2667,1))),"")</f>
        <v/>
      </c>
      <c r="B2674" s="65"/>
      <c r="C2674" s="66" t="str">
        <f ca="1">_xlfn.IFNA(INDIRECT(_xlfn.TEXTJOIN("",TRUE,A2667,"!",ADDRESS(16+(A2668-1)*J2667,2))),"")</f>
        <v/>
      </c>
      <c r="D2674" s="66"/>
      <c r="E2674" s="66"/>
      <c r="F2674" s="66"/>
      <c r="G2674" s="66"/>
      <c r="H2674" s="25" t="str">
        <f ca="1">_xlfn.IFNA(INDIRECT(_xlfn.TEXTJOIN("",TRUE,A2667,"!",ADDRESS(16+(A2668-1)*J2667,6))),"")</f>
        <v/>
      </c>
      <c r="I2674" s="25" t="str">
        <f ca="1">_xlfn.IFNA(INDIRECT(_xlfn.TEXTJOIN("",TRUE,A2667,"!",ADDRESS(16+(A2668-1)*J2667,13))),"")</f>
        <v/>
      </c>
      <c r="J2674" s="25" t="str">
        <f ca="1">_xlfn.IFNA(INDIRECT(_xlfn.TEXTJOIN("",TRUE,A2667,"!",ADDRESS(16+(A2668-1)*J2667,14))),"")</f>
        <v/>
      </c>
    </row>
    <row r="2675" spans="1:10" ht="10.5" customHeight="1" x14ac:dyDescent="0.2">
      <c r="A2675" s="65" t="str">
        <f ca="1">_xlfn.IFNA(INDIRECT(_xlfn.TEXTJOIN("",TRUE,A2667,"!",ADDRESS(17+(A2668-1)*J2667,1))),"")</f>
        <v/>
      </c>
      <c r="B2675" s="65"/>
      <c r="C2675" s="66" t="str">
        <f ca="1">_xlfn.IFNA(INDIRECT(_xlfn.TEXTJOIN("",TRUE,A2667,"!",ADDRESS(17+(A2668-1)*J2667,2))),"")</f>
        <v/>
      </c>
      <c r="D2675" s="66"/>
      <c r="E2675" s="66"/>
      <c r="F2675" s="66"/>
      <c r="G2675" s="66"/>
      <c r="H2675" s="25" t="str">
        <f ca="1">_xlfn.IFNA(INDIRECT(_xlfn.TEXTJOIN("",TRUE,A2667,"!",ADDRESS(17+(A2668-1)*J2667,6))),"")</f>
        <v/>
      </c>
      <c r="I2675" s="25" t="str">
        <f ca="1">_xlfn.IFNA(INDIRECT(_xlfn.TEXTJOIN("",TRUE,A2667,"!",ADDRESS(17+(A2668-1)*J2667,13))),"")</f>
        <v/>
      </c>
      <c r="J2675" s="25" t="str">
        <f ca="1">_xlfn.IFNA(INDIRECT(_xlfn.TEXTJOIN("",TRUE,A2667,"!",ADDRESS(17+(A2668-1)*J2667,14))),"")</f>
        <v/>
      </c>
    </row>
    <row r="2676" spans="1:10" ht="10.5" customHeight="1" x14ac:dyDescent="0.2">
      <c r="A2676" s="65" t="str">
        <f ca="1">_xlfn.IFNA(INDIRECT(_xlfn.TEXTJOIN("",TRUE,A2667,"!",ADDRESS(18+(A2668-1)*J2667,1))),"")</f>
        <v/>
      </c>
      <c r="B2676" s="65"/>
      <c r="C2676" s="66" t="str">
        <f ca="1">_xlfn.IFNA(INDIRECT(_xlfn.TEXTJOIN("",TRUE,A2667,"!",ADDRESS(18+(A2668-1)*J2667,2))),"")</f>
        <v/>
      </c>
      <c r="D2676" s="66"/>
      <c r="E2676" s="66"/>
      <c r="F2676" s="66"/>
      <c r="G2676" s="66"/>
      <c r="H2676" s="25" t="str">
        <f ca="1">_xlfn.IFNA(INDIRECT(_xlfn.TEXTJOIN("",TRUE,A2667,"!",ADDRESS(18+(A2668-1)*J2667,6))),"")</f>
        <v/>
      </c>
      <c r="I2676" s="25" t="str">
        <f ca="1">_xlfn.IFNA(INDIRECT(_xlfn.TEXTJOIN("",TRUE,A2667,"!",ADDRESS(18+(A2668-1)*J2667,13))),"")</f>
        <v/>
      </c>
      <c r="J2676" s="25" t="str">
        <f ca="1">_xlfn.IFNA(INDIRECT(_xlfn.TEXTJOIN("",TRUE,A2667,"!",ADDRESS(18+(A2668-1)*J2667,14))),"")</f>
        <v/>
      </c>
    </row>
    <row r="2677" spans="1:10" ht="10.5" customHeight="1" x14ac:dyDescent="0.2">
      <c r="A2677" s="60" t="str">
        <f ca="1">_xlfn.IFNA(INDIRECT(_xlfn.TEXTJOIN("",TRUE,A2667,"!",ADDRESS(19+(A2668-1)*J2667,1))),"")</f>
        <v/>
      </c>
      <c r="B2677" s="61"/>
      <c r="C2677" s="57" t="str">
        <f ca="1">_xlfn.IFNA(INDIRECT(_xlfn.TEXTJOIN("",TRUE,A2667,"!",ADDRESS(19+(A2668-1)*J2667,2))),"")</f>
        <v/>
      </c>
      <c r="D2677" s="58"/>
      <c r="E2677" s="58"/>
      <c r="F2677" s="58"/>
      <c r="G2677" s="59"/>
      <c r="H2677" s="25" t="str">
        <f ca="1">_xlfn.IFNA(INDIRECT(_xlfn.TEXTJOIN("",TRUE,A2667,"!",ADDRESS(19+(A2668-1)*J2667,6))),"")</f>
        <v/>
      </c>
      <c r="I2677" s="25" t="str">
        <f ca="1">_xlfn.IFNA(INDIRECT(_xlfn.TEXTJOIN("",TRUE,A2667,"!",ADDRESS(19+(A2668-1)*J2667,13))),"")</f>
        <v/>
      </c>
      <c r="J2677" s="25" t="str">
        <f ca="1">_xlfn.IFNA(INDIRECT(_xlfn.TEXTJOIN("",TRUE,A2667,"!",ADDRESS(19+(A2668-1)*J2667,14))),"")</f>
        <v/>
      </c>
    </row>
    <row r="2678" spans="1:10" ht="10.5" customHeight="1" x14ac:dyDescent="0.2">
      <c r="A2678" s="65" t="str">
        <f ca="1">_xlfn.IFNA(INDIRECT(_xlfn.TEXTJOIN("",TRUE,A2667,"!",ADDRESS(20+(A2668-1)*J2667,1))),"")</f>
        <v/>
      </c>
      <c r="B2678" s="65"/>
      <c r="C2678" s="66" t="str">
        <f ca="1">_xlfn.IFNA(INDIRECT(_xlfn.TEXTJOIN("",TRUE,A2667,"!",ADDRESS(20+(A2668-1)*J2667,2))),"")</f>
        <v/>
      </c>
      <c r="D2678" s="66"/>
      <c r="E2678" s="66"/>
      <c r="F2678" s="66"/>
      <c r="G2678" s="66"/>
      <c r="H2678" s="25" t="str">
        <f ca="1">_xlfn.IFNA(INDIRECT(_xlfn.TEXTJOIN("",TRUE,A2667,"!",ADDRESS(20+(A2668-1)*J2667,6))),"")</f>
        <v/>
      </c>
      <c r="I2678" s="25" t="str">
        <f ca="1">_xlfn.IFNA(INDIRECT(_xlfn.TEXTJOIN("",TRUE,A2667,"!",ADDRESS(20+(A2668-1)*J2667,13))),"")</f>
        <v/>
      </c>
      <c r="J2678" s="25" t="str">
        <f ca="1">_xlfn.IFNA(INDIRECT(_xlfn.TEXTJOIN("",TRUE,A2667,"!",ADDRESS(20+(A2668-1)*J2667,14))),"")</f>
        <v/>
      </c>
    </row>
    <row r="2679" spans="1:10" ht="10.5" customHeight="1" x14ac:dyDescent="0.2">
      <c r="A2679" s="71" t="str">
        <f ca="1">IF(ISNA(A2668),"","Total Credits/ Total Grade Points")</f>
        <v/>
      </c>
      <c r="B2679" s="71"/>
      <c r="C2679" s="71"/>
      <c r="D2679" s="71"/>
      <c r="E2679" s="71"/>
      <c r="F2679" s="71"/>
      <c r="G2679" s="71"/>
      <c r="H2679" s="27" t="str">
        <f ca="1">IF(ISNA(A2668),"",SUM(H2671:H2678))</f>
        <v/>
      </c>
      <c r="I2679" s="26" t="str">
        <f ca="1">IF(ISNA(A2668),"","-")</f>
        <v/>
      </c>
      <c r="J2679" s="27" t="str">
        <f ca="1">IF(ISNA(A2668),"",SUMPRODUCT(J2671:J2678,H2671:H2678))</f>
        <v/>
      </c>
    </row>
    <row r="2680" spans="1:10" ht="10.5" customHeight="1" x14ac:dyDescent="0.2">
      <c r="A2680" s="24" t="s">
        <v>133</v>
      </c>
      <c r="B2680" s="72" t="str">
        <f ca="1">IF(ISNA(A2681),"","Semester IV (Spring Semester 2023-24)")</f>
        <v/>
      </c>
      <c r="C2680" s="72"/>
      <c r="D2680" s="72"/>
      <c r="E2680" s="72"/>
      <c r="F2680" s="72"/>
      <c r="G2680" s="72"/>
      <c r="H2680" s="72"/>
      <c r="I2680" s="72"/>
      <c r="J2680" s="24">
        <f>ROWS(A2684:B2690)+9</f>
        <v>16</v>
      </c>
    </row>
    <row r="2681" spans="1:10" ht="10.5" customHeight="1" x14ac:dyDescent="0.2">
      <c r="A2681" s="24" t="e">
        <f ca="1">INDEX(SEM_IV!$A$6:$A$43,Marksheets!J2681)</f>
        <v>#N/A</v>
      </c>
      <c r="B2681" s="63"/>
      <c r="C2681" s="63"/>
      <c r="D2681" s="63"/>
      <c r="E2681" s="63"/>
      <c r="F2681" s="63"/>
      <c r="G2681" s="63"/>
      <c r="H2681" s="63"/>
      <c r="I2681" s="63"/>
      <c r="J2681" s="24" t="e">
        <f ca="1">MATCH(H2631,SEM_IV!$B$6:$B$43,0)</f>
        <v>#N/A</v>
      </c>
    </row>
    <row r="2682" spans="1:10" ht="10.5" customHeight="1" x14ac:dyDescent="0.2">
      <c r="A2682" s="64" t="str">
        <f ca="1">IF(ISNA(A2681),"","Subject Code")</f>
        <v/>
      </c>
      <c r="B2682" s="64"/>
      <c r="C2682" s="64" t="str">
        <f ca="1">IF(ISNA(A2681),"","Subject Name")</f>
        <v/>
      </c>
      <c r="D2682" s="64"/>
      <c r="E2682" s="64"/>
      <c r="F2682" s="64"/>
      <c r="G2682" s="64"/>
      <c r="H2682" s="64" t="str">
        <f ca="1">IF(ISNA(A2681),"","Credits")</f>
        <v/>
      </c>
      <c r="I2682" s="64" t="str">
        <f ca="1">IF(ISNA(A2681),"","Grade")</f>
        <v/>
      </c>
      <c r="J2682" s="64" t="str">
        <f ca="1">IF(ISNA(A2681),"","Grade Points")</f>
        <v/>
      </c>
    </row>
    <row r="2683" spans="1:10" ht="15" x14ac:dyDescent="0.2">
      <c r="A2683" s="64"/>
      <c r="B2683" s="64"/>
      <c r="C2683" s="64"/>
      <c r="D2683" s="64"/>
      <c r="E2683" s="64"/>
      <c r="F2683" s="64"/>
      <c r="G2683" s="64"/>
      <c r="H2683" s="64"/>
      <c r="I2683" s="64"/>
      <c r="J2683" s="64"/>
    </row>
    <row r="2684" spans="1:10" ht="10.5" customHeight="1" x14ac:dyDescent="0.2">
      <c r="A2684" s="65" t="str">
        <f ca="1">_xlfn.IFNA(INDIRECT(_xlfn.TEXTJOIN("",TRUE,A2680,"!",ADDRESS(13+(A2681-1)*J2680,1))),"")</f>
        <v/>
      </c>
      <c r="B2684" s="65"/>
      <c r="C2684" s="66" t="str">
        <f ca="1">_xlfn.IFNA(INDIRECT(_xlfn.TEXTJOIN("",TRUE,A2680,"!",ADDRESS(13+(A2681-1)*J2680,2))),"")</f>
        <v/>
      </c>
      <c r="D2684" s="66"/>
      <c r="E2684" s="66"/>
      <c r="F2684" s="66"/>
      <c r="G2684" s="66"/>
      <c r="H2684" s="25" t="str">
        <f ca="1">_xlfn.IFNA(INDIRECT(_xlfn.TEXTJOIN("",TRUE,A2680,"!",ADDRESS(13+(A2681-1)*J2680,6))),"")</f>
        <v/>
      </c>
      <c r="I2684" s="25" t="str">
        <f ca="1">_xlfn.IFNA(INDIRECT(_xlfn.TEXTJOIN("",TRUE,A2680,"!",ADDRESS(13+(A2681-1)*J2680,13))),"")</f>
        <v/>
      </c>
      <c r="J2684" s="25" t="str">
        <f ca="1">_xlfn.IFNA(INDIRECT(_xlfn.TEXTJOIN("",TRUE,A2680,"!",ADDRESS(13+(A2681-1)*J2680,14))),"")</f>
        <v/>
      </c>
    </row>
    <row r="2685" spans="1:10" ht="10.5" customHeight="1" x14ac:dyDescent="0.2">
      <c r="A2685" s="65" t="str">
        <f ca="1">_xlfn.IFNA(INDIRECT(_xlfn.TEXTJOIN("",TRUE,A2680,"!",ADDRESS(14+(A2681-1)*J2680,1))),"")</f>
        <v/>
      </c>
      <c r="B2685" s="65"/>
      <c r="C2685" s="66" t="str">
        <f ca="1">_xlfn.IFNA(INDIRECT(_xlfn.TEXTJOIN("",TRUE,A2680,"!",ADDRESS(14+(A2681-1)*J2680,2))),"")</f>
        <v/>
      </c>
      <c r="D2685" s="66"/>
      <c r="E2685" s="66"/>
      <c r="F2685" s="66"/>
      <c r="G2685" s="66"/>
      <c r="H2685" s="25" t="str">
        <f ca="1">_xlfn.IFNA(INDIRECT(_xlfn.TEXTJOIN("",TRUE,A2680,"!",ADDRESS(14+(A2681-1)*J2680,6))),"")</f>
        <v/>
      </c>
      <c r="I2685" s="25" t="str">
        <f ca="1">_xlfn.IFNA(INDIRECT(_xlfn.TEXTJOIN("",TRUE,A2680,"!",ADDRESS(14+(A2681-1)*J2680,13))),"")</f>
        <v/>
      </c>
      <c r="J2685" s="25" t="str">
        <f ca="1">_xlfn.IFNA(INDIRECT(_xlfn.TEXTJOIN("",TRUE,A2680,"!",ADDRESS(14+(A2681-1)*J2680,14))),"")</f>
        <v/>
      </c>
    </row>
    <row r="2686" spans="1:10" ht="10.5" customHeight="1" x14ac:dyDescent="0.2">
      <c r="A2686" s="65" t="str">
        <f ca="1">_xlfn.IFNA(INDIRECT(_xlfn.TEXTJOIN("",TRUE,A2680,"!",ADDRESS(15+(A2681-1)*J2680,1))),"")</f>
        <v/>
      </c>
      <c r="B2686" s="65"/>
      <c r="C2686" s="66" t="str">
        <f ca="1">_xlfn.IFNA(INDIRECT(_xlfn.TEXTJOIN("",TRUE,A2680,"!",ADDRESS(15+(A2681-1)*J2680,2))),"")</f>
        <v/>
      </c>
      <c r="D2686" s="66"/>
      <c r="E2686" s="66"/>
      <c r="F2686" s="66"/>
      <c r="G2686" s="66"/>
      <c r="H2686" s="25" t="str">
        <f ca="1">_xlfn.IFNA(INDIRECT(_xlfn.TEXTJOIN("",TRUE,A2680,"!",ADDRESS(15+(A2681-1)*J2680,6))),"")</f>
        <v/>
      </c>
      <c r="I2686" s="25" t="str">
        <f ca="1">_xlfn.IFNA(INDIRECT(_xlfn.TEXTJOIN("",TRUE,A2680,"!",ADDRESS(15+(A2681-1)*J2680,13))),"")</f>
        <v/>
      </c>
      <c r="J2686" s="25" t="str">
        <f ca="1">_xlfn.IFNA(INDIRECT(_xlfn.TEXTJOIN("",TRUE,A2680,"!",ADDRESS(15+(A2681-1)*J2680,14))),"")</f>
        <v/>
      </c>
    </row>
    <row r="2687" spans="1:10" ht="10.5" customHeight="1" x14ac:dyDescent="0.2">
      <c r="A2687" s="65" t="str">
        <f ca="1">_xlfn.IFNA(INDIRECT(_xlfn.TEXTJOIN("",TRUE,A2680,"!",ADDRESS(16+(A2681-1)*J2680,1))),"")</f>
        <v/>
      </c>
      <c r="B2687" s="65"/>
      <c r="C2687" s="66" t="str">
        <f ca="1">_xlfn.IFNA(INDIRECT(_xlfn.TEXTJOIN("",TRUE,A2680,"!",ADDRESS(16+(A2681-1)*J2680,2))),"")</f>
        <v/>
      </c>
      <c r="D2687" s="66"/>
      <c r="E2687" s="66"/>
      <c r="F2687" s="66"/>
      <c r="G2687" s="66"/>
      <c r="H2687" s="25" t="str">
        <f ca="1">_xlfn.IFNA(INDIRECT(_xlfn.TEXTJOIN("",TRUE,A2680,"!",ADDRESS(16+(A2681-1)*J2680,6))),"")</f>
        <v/>
      </c>
      <c r="I2687" s="25" t="str">
        <f ca="1">_xlfn.IFNA(INDIRECT(_xlfn.TEXTJOIN("",TRUE,A2680,"!",ADDRESS(16+(A2681-1)*J2680,13))),"")</f>
        <v/>
      </c>
      <c r="J2687" s="25" t="str">
        <f ca="1">_xlfn.IFNA(INDIRECT(_xlfn.TEXTJOIN("",TRUE,A2680,"!",ADDRESS(16+(A2681-1)*J2680,14))),"")</f>
        <v/>
      </c>
    </row>
    <row r="2688" spans="1:10" ht="10.5" customHeight="1" x14ac:dyDescent="0.2">
      <c r="A2688" s="65" t="str">
        <f ca="1">_xlfn.IFNA(INDIRECT(_xlfn.TEXTJOIN("",TRUE,A2680,"!",ADDRESS(17+(A2681-1)*J2680,1))),"")</f>
        <v/>
      </c>
      <c r="B2688" s="65"/>
      <c r="C2688" s="66" t="str">
        <f ca="1">_xlfn.IFNA(INDIRECT(_xlfn.TEXTJOIN("",TRUE,A2680,"!",ADDRESS(17+(A2681-1)*J2680,2))),"")</f>
        <v/>
      </c>
      <c r="D2688" s="66"/>
      <c r="E2688" s="66"/>
      <c r="F2688" s="66"/>
      <c r="G2688" s="66"/>
      <c r="H2688" s="25" t="str">
        <f ca="1">_xlfn.IFNA(INDIRECT(_xlfn.TEXTJOIN("",TRUE,A2680,"!",ADDRESS(17+(A2681-1)*J2680,6))),"")</f>
        <v/>
      </c>
      <c r="I2688" s="25" t="str">
        <f ca="1">_xlfn.IFNA(INDIRECT(_xlfn.TEXTJOIN("",TRUE,A2680,"!",ADDRESS(17+(A2681-1)*J2680,13))),"")</f>
        <v/>
      </c>
      <c r="J2688" s="25" t="str">
        <f ca="1">_xlfn.IFNA(INDIRECT(_xlfn.TEXTJOIN("",TRUE,A2680,"!",ADDRESS(17+(A2681-1)*J2680,14))),"")</f>
        <v/>
      </c>
    </row>
    <row r="2689" spans="1:10" ht="10.5" customHeight="1" x14ac:dyDescent="0.2">
      <c r="A2689" s="65" t="str">
        <f ca="1">_xlfn.IFNA(INDIRECT(_xlfn.TEXTJOIN("",TRUE,A2680,"!",ADDRESS(18+(A2681-1)*J2680,1))),"")</f>
        <v/>
      </c>
      <c r="B2689" s="65"/>
      <c r="C2689" s="66" t="str">
        <f ca="1">_xlfn.IFNA(INDIRECT(_xlfn.TEXTJOIN("",TRUE,A2680,"!",ADDRESS(18+(A2681-1)*J2680,2))),"")</f>
        <v/>
      </c>
      <c r="D2689" s="66"/>
      <c r="E2689" s="66"/>
      <c r="F2689" s="66"/>
      <c r="G2689" s="66"/>
      <c r="H2689" s="25" t="str">
        <f ca="1">_xlfn.IFNA(INDIRECT(_xlfn.TEXTJOIN("",TRUE,A2680,"!",ADDRESS(18+(A2681-1)*J2680,6))),"")</f>
        <v/>
      </c>
      <c r="I2689" s="25" t="str">
        <f ca="1">_xlfn.IFNA(INDIRECT(_xlfn.TEXTJOIN("",TRUE,A2680,"!",ADDRESS(18+(A2681-1)*J2680,13))),"")</f>
        <v/>
      </c>
      <c r="J2689" s="25" t="str">
        <f ca="1">_xlfn.IFNA(INDIRECT(_xlfn.TEXTJOIN("",TRUE,A2680,"!",ADDRESS(18+(A2681-1)*J2680,14))),"")</f>
        <v/>
      </c>
    </row>
    <row r="2690" spans="1:10" ht="15" x14ac:dyDescent="0.2">
      <c r="A2690" s="60" t="str">
        <f ca="1">_xlfn.IFNA(INDIRECT(_xlfn.TEXTJOIN("",TRUE,A2680,"!",ADDRESS(19+(A2681-1)*J2680,1))),"")</f>
        <v/>
      </c>
      <c r="B2690" s="61"/>
      <c r="C2690" s="57" t="str">
        <f ca="1">_xlfn.IFNA(INDIRECT(_xlfn.TEXTJOIN("",TRUE,A2680,"!",ADDRESS(19+(A2681-1)*J2680,2))),"")</f>
        <v/>
      </c>
      <c r="D2690" s="58"/>
      <c r="E2690" s="58"/>
      <c r="F2690" s="58"/>
      <c r="G2690" s="59"/>
      <c r="H2690" s="25" t="str">
        <f ca="1">_xlfn.IFNA(INDIRECT(_xlfn.TEXTJOIN("",TRUE,A2680,"!",ADDRESS(19+(A2681-1)*J2680,6))),"")</f>
        <v/>
      </c>
      <c r="I2690" s="25" t="str">
        <f ca="1">_xlfn.IFNA(INDIRECT(_xlfn.TEXTJOIN("",TRUE,A2680,"!",ADDRESS(19+(A2681-1)*J2680,13))),"")</f>
        <v/>
      </c>
      <c r="J2690" s="25" t="str">
        <f ca="1">_xlfn.IFNA(INDIRECT(_xlfn.TEXTJOIN("",TRUE,A2680,"!",ADDRESS(19+(A2681-1)*J2680,14))),"")</f>
        <v/>
      </c>
    </row>
    <row r="2691" spans="1:10" ht="10.5" customHeight="1" x14ac:dyDescent="0.2">
      <c r="A2691" s="71" t="str">
        <f ca="1">IF(ISNA(A2681),"","Total Credits/ Total Grade Points")</f>
        <v/>
      </c>
      <c r="B2691" s="71"/>
      <c r="C2691" s="71"/>
      <c r="D2691" s="71"/>
      <c r="E2691" s="71"/>
      <c r="F2691" s="71"/>
      <c r="G2691" s="71"/>
      <c r="H2691" s="27" t="str">
        <f ca="1">IF(ISNA(A2681),"",SUM(H2683:H2690))</f>
        <v/>
      </c>
      <c r="I2691" s="26" t="str">
        <f ca="1">IF(ISNA(A2681),"","-")</f>
        <v/>
      </c>
      <c r="J2691" s="27" t="str">
        <f ca="1">IF(ISNA(A2681),"",SUMPRODUCT(J2683:J2690,H2683:H2690))</f>
        <v/>
      </c>
    </row>
    <row r="2692" spans="1:10" ht="10.5" customHeight="1" x14ac:dyDescent="0.2">
      <c r="A2692" s="75" t="s">
        <v>137</v>
      </c>
      <c r="B2692" s="75"/>
      <c r="C2692" s="75"/>
      <c r="D2692" s="75"/>
      <c r="E2692" s="75"/>
      <c r="F2692" s="76" t="s">
        <v>138</v>
      </c>
      <c r="G2692" s="76"/>
      <c r="H2692" s="76"/>
      <c r="I2692" s="76"/>
      <c r="J2692" s="76"/>
    </row>
    <row r="2693" spans="1:10" ht="10.5" customHeight="1" x14ac:dyDescent="0.2">
      <c r="A2693" s="43" t="s">
        <v>139</v>
      </c>
      <c r="B2693" s="43"/>
      <c r="C2693" s="43"/>
      <c r="D2693" s="43"/>
      <c r="E2693" s="43"/>
      <c r="F2693" s="43"/>
      <c r="G2693" s="43"/>
      <c r="H2693" s="43"/>
      <c r="I2693" s="43"/>
      <c r="J2693" s="43"/>
    </row>
    <row r="2694" spans="1:10" ht="10.5" customHeight="1" x14ac:dyDescent="0.2">
      <c r="A2694" s="10"/>
      <c r="B2694" s="26"/>
      <c r="C2694" s="26" t="s">
        <v>140</v>
      </c>
      <c r="D2694" s="26" t="s">
        <v>141</v>
      </c>
      <c r="E2694" s="26" t="s">
        <v>142</v>
      </c>
      <c r="F2694" s="26" t="s">
        <v>143</v>
      </c>
      <c r="G2694" s="26" t="s">
        <v>144</v>
      </c>
      <c r="H2694" s="79" t="s">
        <v>145</v>
      </c>
      <c r="I2694" s="79"/>
      <c r="J2694" s="30"/>
    </row>
    <row r="2695" spans="1:10" ht="10.5" customHeight="1" x14ac:dyDescent="0.2">
      <c r="A2695" s="10"/>
      <c r="B2695" s="80" t="s">
        <v>146</v>
      </c>
      <c r="C2695" s="73" t="e">
        <f ca="1">J2651/H2651</f>
        <v>#N/A</v>
      </c>
      <c r="D2695" s="73" t="e">
        <f ca="1">J2666/H2666</f>
        <v>#VALUE!</v>
      </c>
      <c r="E2695" s="73" t="str">
        <f ca="1">IFERROR(J2679/H2679,"")</f>
        <v/>
      </c>
      <c r="F2695" s="73" t="str">
        <f ca="1">IFERROR(J2691/H2691,"")</f>
        <v/>
      </c>
      <c r="G2695" s="82" t="e">
        <f ca="1">F2697</f>
        <v>#N/A</v>
      </c>
      <c r="H2695" s="83" t="e">
        <f ca="1">IF(TC_IV!N613&lt;96,_xlfn.TEXTJOIN(" ",TRUE,"CARRY OVER",TC_I!V901,",",TC_II!V745,",",TC_III!V650,TC_IV!V612),IF(G2695&gt;=8,"First Division with Distinction",IF(G2695&gt;=6.5,"First Division",IF(G2695&gt;=5,"Second Division",IF(G2695&gt;=4,"Third Division","Fail")))))</f>
        <v>#N/A</v>
      </c>
      <c r="I2695" s="83"/>
      <c r="J2695" s="30"/>
    </row>
    <row r="2696" spans="1:10" ht="10.5" customHeight="1" x14ac:dyDescent="0.2">
      <c r="B2696" s="81"/>
      <c r="C2696" s="74"/>
      <c r="D2696" s="74"/>
      <c r="E2696" s="74"/>
      <c r="F2696" s="74"/>
      <c r="G2696" s="82"/>
      <c r="H2696" s="83"/>
      <c r="I2696" s="83"/>
    </row>
    <row r="2697" spans="1:10" ht="10.5" customHeight="1" x14ac:dyDescent="0.2">
      <c r="B2697" s="80" t="s">
        <v>48</v>
      </c>
      <c r="C2697" s="73" t="e">
        <f ca="1">J2651/H2651</f>
        <v>#N/A</v>
      </c>
      <c r="D2697" s="73" t="e">
        <f ca="1">SUM(J2666,J2651)/SUM(H2666,H2651)</f>
        <v>#N/A</v>
      </c>
      <c r="E2697" s="73" t="e">
        <f ca="1">SUM(J2679,J2666,J2651)/SUM(H2679,H2666,H2651)</f>
        <v>#N/A</v>
      </c>
      <c r="F2697" s="73" t="e">
        <f ca="1">SUM(J2691,J2679,J2666,J2651)/SUM(H2651,H2666,H2679,H2691)</f>
        <v>#N/A</v>
      </c>
      <c r="G2697" s="82"/>
      <c r="H2697" s="83"/>
      <c r="I2697" s="83"/>
    </row>
    <row r="2698" spans="1:10" ht="15.5" customHeight="1" x14ac:dyDescent="0.2">
      <c r="B2698" s="81"/>
      <c r="C2698" s="74"/>
      <c r="D2698" s="74"/>
      <c r="E2698" s="74"/>
      <c r="F2698" s="74"/>
      <c r="G2698" s="82"/>
      <c r="H2698" s="83"/>
      <c r="I2698" s="83"/>
    </row>
    <row r="2700" spans="1:10" ht="10.5" customHeight="1" x14ac:dyDescent="0.2">
      <c r="A2700" s="56" t="s">
        <v>24</v>
      </c>
      <c r="B2700" s="56"/>
      <c r="C2700" s="56" t="str">
        <f ca="1">INDIRECT(_xlfn.TEXTJOIN("",TRUE,A2702,"!",ADDRESS(9+(A2703-1)*J2702,2)))</f>
        <v/>
      </c>
      <c r="D2700" s="56"/>
      <c r="E2700" s="56"/>
      <c r="F2700" s="56" t="s">
        <v>135</v>
      </c>
      <c r="G2700" s="56"/>
      <c r="H2700" s="62" t="str">
        <f ca="1">INDIRECT(_xlfn.TEXTJOIN("",TRUE,A2702,"!",ADDRESS(9+(A2703-1)*J2702,9)))</f>
        <v/>
      </c>
      <c r="I2700" s="56"/>
      <c r="J2700" s="56"/>
    </row>
    <row r="2701" spans="1:10" ht="10.5" customHeight="1" x14ac:dyDescent="0.2">
      <c r="A2701" s="56" t="s">
        <v>25</v>
      </c>
      <c r="B2701" s="56"/>
      <c r="C2701" s="56" t="str">
        <f ca="1">INDIRECT(_xlfn.TEXTJOIN("",TRUE,A2702,"!",ADDRESS(9+(A2703-1)*J2702,5)))</f>
        <v/>
      </c>
      <c r="D2701" s="56"/>
      <c r="E2701" s="56"/>
      <c r="F2701" s="47" t="s">
        <v>136</v>
      </c>
      <c r="G2701" s="47"/>
      <c r="H2701" s="62" t="str">
        <f ca="1">INDIRECT(_xlfn.TEXTJOIN("",TRUE,A2702,"!",ADDRESS(9+(A2703-1)*J2702,13)))</f>
        <v/>
      </c>
      <c r="I2701" s="56"/>
      <c r="J2701" s="56"/>
    </row>
    <row r="2702" spans="1:10" ht="10.5" customHeight="1" x14ac:dyDescent="0.2">
      <c r="A2702" s="24" t="s">
        <v>53</v>
      </c>
      <c r="B2702" s="43" t="s">
        <v>148</v>
      </c>
      <c r="C2702" s="43"/>
      <c r="D2702" s="43"/>
      <c r="E2702" s="43"/>
      <c r="F2702" s="43"/>
      <c r="G2702" s="43"/>
      <c r="H2702" s="43"/>
      <c r="I2702" s="43"/>
      <c r="J2702" s="24">
        <f>ROWS(A2706:B2719)+9</f>
        <v>23</v>
      </c>
    </row>
    <row r="2703" spans="1:10" ht="10.5" customHeight="1" x14ac:dyDescent="0.2">
      <c r="A2703" s="24">
        <f>A2634+1</f>
        <v>40</v>
      </c>
      <c r="B2703" s="63"/>
      <c r="C2703" s="63"/>
      <c r="D2703" s="63"/>
      <c r="E2703" s="63"/>
      <c r="F2703" s="63"/>
      <c r="G2703" s="63"/>
      <c r="H2703" s="63"/>
      <c r="I2703" s="63"/>
      <c r="J2703" s="29"/>
    </row>
    <row r="2704" spans="1:10" ht="10.5" customHeight="1" x14ac:dyDescent="0.2">
      <c r="A2704" s="64" t="s">
        <v>28</v>
      </c>
      <c r="B2704" s="64"/>
      <c r="C2704" s="64" t="s">
        <v>29</v>
      </c>
      <c r="D2704" s="64"/>
      <c r="E2704" s="64"/>
      <c r="F2704" s="64"/>
      <c r="G2704" s="64"/>
      <c r="H2704" s="64" t="s">
        <v>30</v>
      </c>
      <c r="I2704" s="64" t="s">
        <v>9</v>
      </c>
      <c r="J2704" s="64" t="s">
        <v>34</v>
      </c>
    </row>
    <row r="2705" spans="1:10" ht="10.5" customHeight="1" x14ac:dyDescent="0.2">
      <c r="A2705" s="64"/>
      <c r="B2705" s="64"/>
      <c r="C2705" s="64"/>
      <c r="D2705" s="64"/>
      <c r="E2705" s="64"/>
      <c r="F2705" s="64"/>
      <c r="G2705" s="64"/>
      <c r="H2705" s="64"/>
      <c r="I2705" s="64"/>
      <c r="J2705" s="64"/>
    </row>
    <row r="2706" spans="1:10" ht="10.5" customHeight="1" x14ac:dyDescent="0.2">
      <c r="A2706" s="65" t="str">
        <f ca="1">INDIRECT(_xlfn.TEXTJOIN("",TRUE,A2702,"!",ADDRESS(13+(A2703-1)*J2702,1)))</f>
        <v/>
      </c>
      <c r="B2706" s="65"/>
      <c r="C2706" s="66" t="str">
        <f ca="1">INDIRECT(_xlfn.TEXTJOIN("",TRUE,A2702,"!",ADDRESS(13+(A2703-1)*J2702,2)))</f>
        <v/>
      </c>
      <c r="D2706" s="66"/>
      <c r="E2706" s="66"/>
      <c r="F2706" s="66"/>
      <c r="G2706" s="66"/>
      <c r="H2706" s="25" t="str">
        <f ca="1">INDIRECT(_xlfn.TEXTJOIN("",TRUE,A2702,"!",ADDRESS(13+(A2703-1)*J2702,6)))</f>
        <v/>
      </c>
      <c r="I2706" s="25" t="str">
        <f ca="1">INDIRECT(_xlfn.TEXTJOIN("",TRUE,A2702,"!",ADDRESS(13+(A2703-1)*J2702,13)))</f>
        <v/>
      </c>
      <c r="J2706" s="25" t="e">
        <f ca="1">INDIRECT(_xlfn.TEXTJOIN("",TRUE,A2702,"!",ADDRESS(13+(A2703-1)*J2702,14)))</f>
        <v>#N/A</v>
      </c>
    </row>
    <row r="2707" spans="1:10" ht="10.5" customHeight="1" x14ac:dyDescent="0.2">
      <c r="A2707" s="65" t="str">
        <f ca="1">INDIRECT(_xlfn.TEXTJOIN("",TRUE,A2702,"!",ADDRESS(14+(A2703-1)*J2702,1)))</f>
        <v/>
      </c>
      <c r="B2707" s="65"/>
      <c r="C2707" s="66" t="str">
        <f ca="1">INDIRECT(_xlfn.TEXTJOIN("",TRUE,A2702,"!",ADDRESS(14+(A2703-1)*J2702,2)))</f>
        <v/>
      </c>
      <c r="D2707" s="66"/>
      <c r="E2707" s="66"/>
      <c r="F2707" s="66"/>
      <c r="G2707" s="66"/>
      <c r="H2707" s="25" t="str">
        <f ca="1">INDIRECT(_xlfn.TEXTJOIN("",TRUE,A2702,"!",ADDRESS(14+(A2703-1)*J2702,6)))</f>
        <v/>
      </c>
      <c r="I2707" s="25" t="str">
        <f ca="1">INDIRECT(_xlfn.TEXTJOIN("",TRUE,A2702,"!",ADDRESS(14+(A2703-1)*J2702,13)))</f>
        <v/>
      </c>
      <c r="J2707" s="25" t="e">
        <f ca="1">INDIRECT(_xlfn.TEXTJOIN("",TRUE,A2702,"!",ADDRESS(14+(A2703-1)*J2702,14)))</f>
        <v>#N/A</v>
      </c>
    </row>
    <row r="2708" spans="1:10" ht="10.5" customHeight="1" x14ac:dyDescent="0.2">
      <c r="A2708" s="65" t="str">
        <f ca="1">INDIRECT(_xlfn.TEXTJOIN("",TRUE,A2702,"!",ADDRESS(15+(A2703-1)*J2702,1)))</f>
        <v/>
      </c>
      <c r="B2708" s="65"/>
      <c r="C2708" s="66" t="str">
        <f ca="1">INDIRECT(_xlfn.TEXTJOIN("",TRUE,A2702,"!",ADDRESS(15+(A2703-1)*J2702,2)))</f>
        <v/>
      </c>
      <c r="D2708" s="66"/>
      <c r="E2708" s="66"/>
      <c r="F2708" s="66"/>
      <c r="G2708" s="66"/>
      <c r="H2708" s="25" t="str">
        <f ca="1">INDIRECT(_xlfn.TEXTJOIN("",TRUE,A2702,"!",ADDRESS(15+(A2703-1)*J2702,6)))</f>
        <v/>
      </c>
      <c r="I2708" s="25" t="str">
        <f ca="1">INDIRECT(_xlfn.TEXTJOIN("",TRUE,A2702,"!",ADDRESS(15+(A2703-1)*J2702,13)))</f>
        <v/>
      </c>
      <c r="J2708" s="25" t="e">
        <f ca="1">INDIRECT(_xlfn.TEXTJOIN("",TRUE,A2702,"!",ADDRESS(15+(A2703-1)*J2702,14)))</f>
        <v>#N/A</v>
      </c>
    </row>
    <row r="2709" spans="1:10" ht="10.5" customHeight="1" x14ac:dyDescent="0.2">
      <c r="A2709" s="65" t="str">
        <f ca="1">INDIRECT(_xlfn.TEXTJOIN("",TRUE,A2702,"!",ADDRESS(16+(A2703-1)*J2702,1)))</f>
        <v/>
      </c>
      <c r="B2709" s="65"/>
      <c r="C2709" s="66" t="str">
        <f ca="1">INDIRECT(_xlfn.TEXTJOIN("",TRUE,A2702,"!",ADDRESS(16+(A2703-1)*J2702,2)))</f>
        <v/>
      </c>
      <c r="D2709" s="66"/>
      <c r="E2709" s="66"/>
      <c r="F2709" s="66"/>
      <c r="G2709" s="66"/>
      <c r="H2709" s="25" t="str">
        <f ca="1">INDIRECT(_xlfn.TEXTJOIN("",TRUE,A2702,"!",ADDRESS(16+(A2703-1)*J2702,6)))</f>
        <v/>
      </c>
      <c r="I2709" s="25" t="str">
        <f ca="1">INDIRECT(_xlfn.TEXTJOIN("",TRUE,A2702,"!",ADDRESS(16+(A2703-1)*J2702,13)))</f>
        <v/>
      </c>
      <c r="J2709" s="25" t="e">
        <f ca="1">INDIRECT(_xlfn.TEXTJOIN("",TRUE,A2702,"!",ADDRESS(16+(A2703-1)*J2702,14)))</f>
        <v>#N/A</v>
      </c>
    </row>
    <row r="2710" spans="1:10" ht="10.5" customHeight="1" x14ac:dyDescent="0.2">
      <c r="A2710" s="65" t="str">
        <f ca="1">INDIRECT(_xlfn.TEXTJOIN("",TRUE,A2702,"!",ADDRESS(17+(A2703-1)*J2702,1)))</f>
        <v/>
      </c>
      <c r="B2710" s="65"/>
      <c r="C2710" s="66" t="str">
        <f ca="1">INDIRECT(_xlfn.TEXTJOIN("",TRUE,A2702,"!",ADDRESS(17+(A2703-1)*J2702,2)))</f>
        <v/>
      </c>
      <c r="D2710" s="66"/>
      <c r="E2710" s="66"/>
      <c r="F2710" s="66"/>
      <c r="G2710" s="66"/>
      <c r="H2710" s="25" t="str">
        <f ca="1">INDIRECT(_xlfn.TEXTJOIN("",TRUE,A2702,"!",ADDRESS(17+(A2703-1)*J2702,6)))</f>
        <v/>
      </c>
      <c r="I2710" s="25" t="str">
        <f ca="1">INDIRECT(_xlfn.TEXTJOIN("",TRUE,A2702,"!",ADDRESS(17+(A2703-1)*J2702,13)))</f>
        <v/>
      </c>
      <c r="J2710" s="25" t="e">
        <f ca="1">INDIRECT(_xlfn.TEXTJOIN("",TRUE,A2702,"!",ADDRESS(17+(A2703-1)*J2702,14)))</f>
        <v>#N/A</v>
      </c>
    </row>
    <row r="2711" spans="1:10" ht="10.5" customHeight="1" x14ac:dyDescent="0.2">
      <c r="A2711" s="65" t="str">
        <f ca="1">INDIRECT(_xlfn.TEXTJOIN("",TRUE,A2702,"!",ADDRESS(18+(A2703-1)*J2702,1)))</f>
        <v/>
      </c>
      <c r="B2711" s="65"/>
      <c r="C2711" s="66" t="str">
        <f ca="1">INDIRECT(_xlfn.TEXTJOIN("",TRUE,A2702,"!",ADDRESS(18+(A2703-1)*J2702,2)))</f>
        <v/>
      </c>
      <c r="D2711" s="66"/>
      <c r="E2711" s="66"/>
      <c r="F2711" s="66"/>
      <c r="G2711" s="66"/>
      <c r="H2711" s="25" t="str">
        <f ca="1">INDIRECT(_xlfn.TEXTJOIN("",TRUE,A2702,"!",ADDRESS(18+(A2703-1)*J2702,6)))</f>
        <v/>
      </c>
      <c r="I2711" s="25" t="str">
        <f ca="1">INDIRECT(_xlfn.TEXTJOIN("",TRUE,A2702,"!",ADDRESS(18+(A2703-1)*J2702,13)))</f>
        <v/>
      </c>
      <c r="J2711" s="25" t="e">
        <f ca="1">INDIRECT(_xlfn.TEXTJOIN("",TRUE,A2702,"!",ADDRESS(18+(A2703-1)*J2702,14)))</f>
        <v>#N/A</v>
      </c>
    </row>
    <row r="2712" spans="1:10" ht="10.5" customHeight="1" x14ac:dyDescent="0.2">
      <c r="A2712" s="60" t="str">
        <f ca="1">INDIRECT(_xlfn.TEXTJOIN("",TRUE,A2702,"!",ADDRESS(19+(A2703-1)*J2702,1)))</f>
        <v/>
      </c>
      <c r="B2712" s="61"/>
      <c r="C2712" s="57" t="str">
        <f ca="1">INDIRECT(_xlfn.TEXTJOIN("",TRUE,A2702,"!",ADDRESS(19+(A2703-1)*J2702,2)))</f>
        <v/>
      </c>
      <c r="D2712" s="58"/>
      <c r="E2712" s="58"/>
      <c r="F2712" s="58"/>
      <c r="G2712" s="59"/>
      <c r="H2712" s="25" t="str">
        <f ca="1">INDIRECT(_xlfn.TEXTJOIN("",TRUE,A2702,"!",ADDRESS(19+(A2703-1)*J2702,6)))</f>
        <v/>
      </c>
      <c r="I2712" s="25" t="str">
        <f ca="1">INDIRECT(_xlfn.TEXTJOIN("",TRUE,A2702,"!",ADDRESS(19+(A2703-1)*J2702,13)))</f>
        <v/>
      </c>
      <c r="J2712" s="25" t="e">
        <f ca="1">INDIRECT(_xlfn.TEXTJOIN("",TRUE,A2702,"!",ADDRESS(19+(A2703-1)*J2702,14)))</f>
        <v>#N/A</v>
      </c>
    </row>
    <row r="2713" spans="1:10" ht="10.5" customHeight="1" x14ac:dyDescent="0.2">
      <c r="A2713" s="65" t="str">
        <f ca="1">INDIRECT(_xlfn.TEXTJOIN("",TRUE,A2702,"!",ADDRESS(20+(A2703-1)*J2702,1)))</f>
        <v/>
      </c>
      <c r="B2713" s="65"/>
      <c r="C2713" s="66" t="str">
        <f ca="1">INDIRECT(_xlfn.TEXTJOIN("",TRUE,A2702,"!",ADDRESS(20+(A2703-1)*J2702,2)))</f>
        <v/>
      </c>
      <c r="D2713" s="66"/>
      <c r="E2713" s="66"/>
      <c r="F2713" s="66"/>
      <c r="G2713" s="66"/>
      <c r="H2713" s="25" t="str">
        <f ca="1">INDIRECT(_xlfn.TEXTJOIN("",TRUE,A2702,"!",ADDRESS(20+(A2703-1)*J2702,6)))</f>
        <v/>
      </c>
      <c r="I2713" s="25" t="str">
        <f ca="1">INDIRECT(_xlfn.TEXTJOIN("",TRUE,A2702,"!",ADDRESS(20+(A2703-1)*J2702,13)))</f>
        <v/>
      </c>
      <c r="J2713" s="25" t="e">
        <f ca="1">INDIRECT(_xlfn.TEXTJOIN("",TRUE,A2702,"!",ADDRESS(20+(A2703-1)*J2702,14)))</f>
        <v>#N/A</v>
      </c>
    </row>
    <row r="2714" spans="1:10" ht="10.5" customHeight="1" x14ac:dyDescent="0.2">
      <c r="A2714" s="65" t="str">
        <f ca="1">INDIRECT(_xlfn.TEXTJOIN("",TRUE,A2702,"!",ADDRESS(21+(A2703-1)*J2702,1)))</f>
        <v/>
      </c>
      <c r="B2714" s="65"/>
      <c r="C2714" s="66" t="str">
        <f ca="1">INDIRECT(_xlfn.TEXTJOIN("",TRUE,A2702,"!",ADDRESS(21+(A2703-1)*J2702,2)))</f>
        <v/>
      </c>
      <c r="D2714" s="66"/>
      <c r="E2714" s="66"/>
      <c r="F2714" s="66"/>
      <c r="G2714" s="66"/>
      <c r="H2714" s="25" t="str">
        <f ca="1">INDIRECT(_xlfn.TEXTJOIN("",TRUE,A2702,"!",ADDRESS(21+(A2703-1)*J2702,6)))</f>
        <v/>
      </c>
      <c r="I2714" s="25" t="str">
        <f ca="1">INDIRECT(_xlfn.TEXTJOIN("",TRUE,A2702,"!",ADDRESS(21+(A2703-1)*J2702,13)))</f>
        <v/>
      </c>
      <c r="J2714" s="25" t="e">
        <f ca="1">INDIRECT(_xlfn.TEXTJOIN("",TRUE,A2702,"!",ADDRESS(21+(A2703-1)*J2702,14)))</f>
        <v>#N/A</v>
      </c>
    </row>
    <row r="2715" spans="1:10" ht="10.5" customHeight="1" x14ac:dyDescent="0.2">
      <c r="A2715" s="65" t="str">
        <f ca="1">INDIRECT(_xlfn.TEXTJOIN("",TRUE,A2702,"!",ADDRESS(22+(A2703-1)*J2702,1)))</f>
        <v/>
      </c>
      <c r="B2715" s="65"/>
      <c r="C2715" s="66" t="str">
        <f ca="1">INDIRECT(_xlfn.TEXTJOIN("",TRUE,A2702,"!",ADDRESS(22+(A2703-1)*J2702,2)))</f>
        <v/>
      </c>
      <c r="D2715" s="66"/>
      <c r="E2715" s="66"/>
      <c r="F2715" s="66"/>
      <c r="G2715" s="66"/>
      <c r="H2715" s="25" t="str">
        <f ca="1">INDIRECT(_xlfn.TEXTJOIN("",TRUE,A2702,"!",ADDRESS(22+(A2703-1)*J2702,6)))</f>
        <v/>
      </c>
      <c r="I2715" s="25" t="str">
        <f ca="1">INDIRECT(_xlfn.TEXTJOIN("",TRUE,A2702,"!",ADDRESS(22+(A2703-1)*J2702,13)))</f>
        <v/>
      </c>
      <c r="J2715" s="25" t="e">
        <f ca="1">INDIRECT(_xlfn.TEXTJOIN("",TRUE,A2702,"!",ADDRESS(22+(A2703-1)*J2702,14)))</f>
        <v>#N/A</v>
      </c>
    </row>
    <row r="2716" spans="1:10" ht="10.5" customHeight="1" x14ac:dyDescent="0.2">
      <c r="A2716" s="65" t="str">
        <f ca="1">INDIRECT(_xlfn.TEXTJOIN("",TRUE,A2702,"!",ADDRESS(23+(A2703-1)*J2702,1)))</f>
        <v/>
      </c>
      <c r="B2716" s="65"/>
      <c r="C2716" s="66" t="str">
        <f ca="1">INDIRECT(_xlfn.TEXTJOIN("",TRUE,A2702,"!",ADDRESS(23+(A2703-1)*J2702,2)))</f>
        <v/>
      </c>
      <c r="D2716" s="66"/>
      <c r="E2716" s="66"/>
      <c r="F2716" s="66"/>
      <c r="G2716" s="66"/>
      <c r="H2716" s="25" t="str">
        <f ca="1">INDIRECT(_xlfn.TEXTJOIN("",TRUE,A2702,"!",ADDRESS(23+(A2703-1)*J2702,6)))</f>
        <v/>
      </c>
      <c r="I2716" s="25" t="str">
        <f ca="1">INDIRECT(_xlfn.TEXTJOIN("",TRUE,A2702,"!",ADDRESS(23+(A2703-1)*J2702,13)))</f>
        <v/>
      </c>
      <c r="J2716" s="25" t="e">
        <f ca="1">INDIRECT(_xlfn.TEXTJOIN("",TRUE,A2702,"!",ADDRESS(23+(A2703-1)*J2702,14)))</f>
        <v>#N/A</v>
      </c>
    </row>
    <row r="2717" spans="1:10" ht="10.5" customHeight="1" x14ac:dyDescent="0.2">
      <c r="A2717" s="65" t="str">
        <f ca="1">INDIRECT(_xlfn.TEXTJOIN("",TRUE,A2702,"!",ADDRESS(24+(A2703-1)*J2702,1)))</f>
        <v/>
      </c>
      <c r="B2717" s="65"/>
      <c r="C2717" s="66" t="str">
        <f ca="1">INDIRECT(_xlfn.TEXTJOIN("",TRUE,A2702,"!",ADDRESS(24+(A2703-1)*J2702,2)))</f>
        <v/>
      </c>
      <c r="D2717" s="66"/>
      <c r="E2717" s="66"/>
      <c r="F2717" s="66"/>
      <c r="G2717" s="66"/>
      <c r="H2717" s="25" t="str">
        <f ca="1">INDIRECT(_xlfn.TEXTJOIN("",TRUE,A2702,"!",ADDRESS(24+(A2703-1)*J2702,6)))</f>
        <v/>
      </c>
      <c r="I2717" s="25" t="str">
        <f ca="1">INDIRECT(_xlfn.TEXTJOIN("",TRUE,A2702,"!",ADDRESS(24+(A2703-1)*J2702,13)))</f>
        <v/>
      </c>
      <c r="J2717" s="25" t="e">
        <f ca="1">INDIRECT(_xlfn.TEXTJOIN("",TRUE,A2702,"!",ADDRESS(24+(A2703-1)*J2702,14)))</f>
        <v>#N/A</v>
      </c>
    </row>
    <row r="2718" spans="1:10" ht="10.5" customHeight="1" x14ac:dyDescent="0.2">
      <c r="A2718" s="65" t="str">
        <f ca="1">INDIRECT(_xlfn.TEXTJOIN("",TRUE,A2702,"!",ADDRESS(25+(A2703-1)*J2702,1)))</f>
        <v/>
      </c>
      <c r="B2718" s="65"/>
      <c r="C2718" s="66" t="str">
        <f ca="1">INDIRECT(_xlfn.TEXTJOIN("",TRUE,A2702,"!",ADDRESS(25+(A2703-1)*J2702,2)))</f>
        <v/>
      </c>
      <c r="D2718" s="66"/>
      <c r="E2718" s="66"/>
      <c r="F2718" s="66"/>
      <c r="G2718" s="66"/>
      <c r="H2718" s="25" t="str">
        <f ca="1">INDIRECT(_xlfn.TEXTJOIN("",TRUE,A2702,"!",ADDRESS(25+(A2703-1)*J2702,6)))</f>
        <v/>
      </c>
      <c r="I2718" s="25" t="str">
        <f ca="1">INDIRECT(_xlfn.TEXTJOIN("",TRUE,A2702,"!",ADDRESS(25+(A2703-1)*J2702,13)))</f>
        <v/>
      </c>
      <c r="J2718" s="25" t="e">
        <f ca="1">INDIRECT(_xlfn.TEXTJOIN("",TRUE,A2702,"!",ADDRESS(25+(A2703-1)*J2702,14)))</f>
        <v>#N/A</v>
      </c>
    </row>
    <row r="2719" spans="1:10" ht="10.5" customHeight="1" x14ac:dyDescent="0.2">
      <c r="A2719" s="65" t="str">
        <f ca="1">INDIRECT(_xlfn.TEXTJOIN("",TRUE,A2702,"!",ADDRESS(26+(A2703-1)*J2702,1)))</f>
        <v/>
      </c>
      <c r="B2719" s="65"/>
      <c r="C2719" s="66" t="str">
        <f ca="1">INDIRECT(_xlfn.TEXTJOIN("",TRUE,A2702,"!",ADDRESS(26+(A2703-1)*J2702,2)))</f>
        <v/>
      </c>
      <c r="D2719" s="66"/>
      <c r="E2719" s="66"/>
      <c r="F2719" s="66"/>
      <c r="G2719" s="66"/>
      <c r="H2719" s="25" t="str">
        <f ca="1">INDIRECT(_xlfn.TEXTJOIN("",TRUE,A2702,"!",ADDRESS(26+(A2703-1)*J2702,6)))</f>
        <v/>
      </c>
      <c r="I2719" s="25" t="b">
        <f ca="1">INDIRECT(_xlfn.TEXTJOIN("",TRUE,A2702,"!",ADDRESS(26+(A2703-1)*J2702,13)))</f>
        <v>0</v>
      </c>
      <c r="J2719" s="25" t="e">
        <f ca="1">INDIRECT(_xlfn.TEXTJOIN("",TRUE,A2702,"!",ADDRESS(26+(A2703-1)*J2702,14)))</f>
        <v>#N/A</v>
      </c>
    </row>
    <row r="2720" spans="1:10" ht="10.5" customHeight="1" x14ac:dyDescent="0.2">
      <c r="A2720" s="71" t="s">
        <v>52</v>
      </c>
      <c r="B2720" s="71"/>
      <c r="C2720" s="71"/>
      <c r="D2720" s="71"/>
      <c r="E2720" s="71"/>
      <c r="F2720" s="71"/>
      <c r="G2720" s="71"/>
      <c r="H2720" s="27">
        <f ca="1">SUM(H2706:H2719)</f>
        <v>0</v>
      </c>
      <c r="I2720" s="26" t="s">
        <v>44</v>
      </c>
      <c r="J2720" s="27" t="e">
        <f ca="1">SUMPRODUCT(J2706:J2718,H2706:H2718)</f>
        <v>#N/A</v>
      </c>
    </row>
    <row r="2721" spans="1:10" ht="10.5" customHeight="1" x14ac:dyDescent="0.2">
      <c r="A2721" s="24" t="s">
        <v>57</v>
      </c>
      <c r="B2721" s="72" t="str">
        <f ca="1">IF(ISNA(A2722),"","Semester II (Spring Semester 2022-23)")</f>
        <v/>
      </c>
      <c r="C2721" s="72"/>
      <c r="D2721" s="72"/>
      <c r="E2721" s="72"/>
      <c r="F2721" s="72"/>
      <c r="G2721" s="72"/>
      <c r="H2721" s="72"/>
      <c r="I2721" s="72"/>
      <c r="J2721" s="24">
        <f>ROWS(A2725:B2734)+9</f>
        <v>19</v>
      </c>
    </row>
    <row r="2722" spans="1:10" ht="10.5" customHeight="1" x14ac:dyDescent="0.2">
      <c r="A2722" s="24" t="e">
        <f ca="1">INDEX(SEM_II!$A$6:$A$45,Marksheets!J2722)</f>
        <v>#N/A</v>
      </c>
      <c r="B2722" s="63"/>
      <c r="C2722" s="63"/>
      <c r="D2722" s="63"/>
      <c r="E2722" s="63"/>
      <c r="F2722" s="63"/>
      <c r="G2722" s="63"/>
      <c r="H2722" s="63"/>
      <c r="I2722" s="63"/>
      <c r="J2722" s="24" t="e">
        <f ca="1">MATCH(H2700,SEM_II!$B$6:$B$45,0)</f>
        <v>#N/A</v>
      </c>
    </row>
    <row r="2723" spans="1:10" ht="10.5" customHeight="1" x14ac:dyDescent="0.2">
      <c r="A2723" s="64" t="str">
        <f ca="1">IF(ISNA(A2722),"","Subject Code")</f>
        <v/>
      </c>
      <c r="B2723" s="64"/>
      <c r="C2723" s="64" t="str">
        <f ca="1">IF(ISNA(A2722),"","Subject Name")</f>
        <v/>
      </c>
      <c r="D2723" s="64"/>
      <c r="E2723" s="64"/>
      <c r="F2723" s="64"/>
      <c r="G2723" s="64"/>
      <c r="H2723" s="64" t="str">
        <f ca="1">IF(ISNA(A2722),"","Credits")</f>
        <v/>
      </c>
      <c r="I2723" s="64" t="str">
        <f ca="1">IF(ISNA(A2722),"","Grade")</f>
        <v/>
      </c>
      <c r="J2723" s="64" t="str">
        <f ca="1">IF(ISNA(A2722),"","Grade Points")</f>
        <v/>
      </c>
    </row>
    <row r="2724" spans="1:10" ht="10.5" customHeight="1" x14ac:dyDescent="0.2">
      <c r="A2724" s="64"/>
      <c r="B2724" s="64"/>
      <c r="C2724" s="64"/>
      <c r="D2724" s="64"/>
      <c r="E2724" s="64"/>
      <c r="F2724" s="64"/>
      <c r="G2724" s="64"/>
      <c r="H2724" s="64"/>
      <c r="I2724" s="64"/>
      <c r="J2724" s="64"/>
    </row>
    <row r="2725" spans="1:10" ht="10.5" customHeight="1" x14ac:dyDescent="0.2">
      <c r="A2725" s="65" t="str">
        <f ca="1">_xlfn.IFNA(INDIRECT(_xlfn.TEXTJOIN("",TRUE,A2721,"!",ADDRESS(13+(A2722-1)*J2721,1))),"")</f>
        <v/>
      </c>
      <c r="B2725" s="65"/>
      <c r="C2725" s="66" t="str">
        <f ca="1">_xlfn.IFNA(INDIRECT(_xlfn.TEXTJOIN("",TRUE,A2721,"!",ADDRESS(13+(A2722-1)*J2721,2))),"")</f>
        <v/>
      </c>
      <c r="D2725" s="66"/>
      <c r="E2725" s="66"/>
      <c r="F2725" s="66"/>
      <c r="G2725" s="66"/>
      <c r="H2725" s="25" t="str">
        <f ca="1">_xlfn.IFNA(INDIRECT(_xlfn.TEXTJOIN("",TRUE,A2721,"!",ADDRESS(13+(A2722-1)*J2721,6))),"")</f>
        <v/>
      </c>
      <c r="I2725" s="25" t="str">
        <f ca="1">_xlfn.IFNA(INDIRECT(_xlfn.TEXTJOIN("",TRUE,A2721,"!",ADDRESS(13+(A2722-1)*J2721,13))),"")</f>
        <v/>
      </c>
      <c r="J2725" s="25" t="str">
        <f ca="1">_xlfn.IFNA(INDIRECT(_xlfn.TEXTJOIN("",TRUE,A2721,"!",ADDRESS(13+(A2722-1)*J2721,14))),"")</f>
        <v/>
      </c>
    </row>
    <row r="2726" spans="1:10" ht="10.5" customHeight="1" x14ac:dyDescent="0.2">
      <c r="A2726" s="65" t="str">
        <f ca="1">_xlfn.IFNA(INDIRECT(_xlfn.TEXTJOIN("",TRUE,A2721,"!",ADDRESS(14+(A2722-1)*J2721,1))),"")</f>
        <v/>
      </c>
      <c r="B2726" s="65"/>
      <c r="C2726" s="66" t="str">
        <f ca="1">_xlfn.IFNA(INDIRECT(_xlfn.TEXTJOIN("",TRUE,A2721,"!",ADDRESS(14+(A2722-1)*J2721,2))),"")</f>
        <v/>
      </c>
      <c r="D2726" s="66"/>
      <c r="E2726" s="66"/>
      <c r="F2726" s="66"/>
      <c r="G2726" s="66"/>
      <c r="H2726" s="25" t="str">
        <f ca="1">_xlfn.IFNA(INDIRECT(_xlfn.TEXTJOIN("",TRUE,A2721,"!",ADDRESS(14+(A2722-1)*J2721,6))),"")</f>
        <v/>
      </c>
      <c r="I2726" s="25" t="str">
        <f ca="1">_xlfn.IFNA(INDIRECT(_xlfn.TEXTJOIN("",TRUE,A2721,"!",ADDRESS(14+(A2722-1)*J2721,13))),"")</f>
        <v/>
      </c>
      <c r="J2726" s="25" t="str">
        <f ca="1">_xlfn.IFNA(INDIRECT(_xlfn.TEXTJOIN("",TRUE,A2721,"!",ADDRESS(14+(A2722-1)*J2721,14))),"")</f>
        <v/>
      </c>
    </row>
    <row r="2727" spans="1:10" ht="10.5" customHeight="1" x14ac:dyDescent="0.2">
      <c r="A2727" s="65" t="str">
        <f ca="1">_xlfn.IFNA(INDIRECT(_xlfn.TEXTJOIN("",TRUE,A2721,"!",ADDRESS(15+(A2722-1)*J2721,1))),"")</f>
        <v/>
      </c>
      <c r="B2727" s="65"/>
      <c r="C2727" s="66" t="str">
        <f ca="1">_xlfn.IFNA(INDIRECT(_xlfn.TEXTJOIN("",TRUE,A2721,"!",ADDRESS(15+(A2722-1)*J2721,2))),"")</f>
        <v/>
      </c>
      <c r="D2727" s="66"/>
      <c r="E2727" s="66"/>
      <c r="F2727" s="66"/>
      <c r="G2727" s="66"/>
      <c r="H2727" s="25" t="str">
        <f ca="1">_xlfn.IFNA(INDIRECT(_xlfn.TEXTJOIN("",TRUE,A2721,"!",ADDRESS(15+(A2722-1)*J2721,6))),"")</f>
        <v/>
      </c>
      <c r="I2727" s="25" t="str">
        <f ca="1">_xlfn.IFNA(INDIRECT(_xlfn.TEXTJOIN("",TRUE,A2721,"!",ADDRESS(15+(A2722-1)*J2721,13))),"")</f>
        <v/>
      </c>
      <c r="J2727" s="25" t="str">
        <f ca="1">_xlfn.IFNA(INDIRECT(_xlfn.TEXTJOIN("",TRUE,A2721,"!",ADDRESS(15+(A2722-1)*J2721,14))),"")</f>
        <v/>
      </c>
    </row>
    <row r="2728" spans="1:10" ht="10.5" customHeight="1" x14ac:dyDescent="0.2">
      <c r="A2728" s="65" t="str">
        <f ca="1">_xlfn.IFNA(INDIRECT(_xlfn.TEXTJOIN("",TRUE,A2721,"!",ADDRESS(16+(A2722-1)*J2721,1))),"")</f>
        <v/>
      </c>
      <c r="B2728" s="65"/>
      <c r="C2728" s="66" t="str">
        <f ca="1">_xlfn.IFNA(INDIRECT(_xlfn.TEXTJOIN("",TRUE,A2721,"!",ADDRESS(16+(A2722-1)*J2721,2))),"")</f>
        <v/>
      </c>
      <c r="D2728" s="66"/>
      <c r="E2728" s="66"/>
      <c r="F2728" s="66"/>
      <c r="G2728" s="66"/>
      <c r="H2728" s="25" t="str">
        <f ca="1">_xlfn.IFNA(INDIRECT(_xlfn.TEXTJOIN("",TRUE,A2721,"!",ADDRESS(16+(A2722-1)*J2721,6))),"")</f>
        <v/>
      </c>
      <c r="I2728" s="25" t="str">
        <f ca="1">_xlfn.IFNA(INDIRECT(_xlfn.TEXTJOIN("",TRUE,A2721,"!",ADDRESS(16+(A2722-1)*J2721,13))),"")</f>
        <v/>
      </c>
      <c r="J2728" s="25" t="str">
        <f ca="1">_xlfn.IFNA(INDIRECT(_xlfn.TEXTJOIN("",TRUE,A2721,"!",ADDRESS(16+(A2722-1)*J2721,14))),"")</f>
        <v/>
      </c>
    </row>
    <row r="2729" spans="1:10" ht="10.5" customHeight="1" x14ac:dyDescent="0.2">
      <c r="A2729" s="65" t="str">
        <f ca="1">_xlfn.IFNA(INDIRECT(_xlfn.TEXTJOIN("",TRUE,A2721,"!",ADDRESS(17+(A2722-1)*J2721,1))),"")</f>
        <v/>
      </c>
      <c r="B2729" s="65"/>
      <c r="C2729" s="66" t="str">
        <f ca="1">_xlfn.IFNA(INDIRECT(_xlfn.TEXTJOIN("",TRUE,A2721,"!",ADDRESS(17+(A2722-1)*J2721,2))),"")</f>
        <v/>
      </c>
      <c r="D2729" s="66"/>
      <c r="E2729" s="66"/>
      <c r="F2729" s="66"/>
      <c r="G2729" s="66"/>
      <c r="H2729" s="25" t="str">
        <f ca="1">_xlfn.IFNA(INDIRECT(_xlfn.TEXTJOIN("",TRUE,A2721,"!",ADDRESS(17+(A2722-1)*J2721,6))),"")</f>
        <v/>
      </c>
      <c r="I2729" s="25" t="str">
        <f ca="1">_xlfn.IFNA(INDIRECT(_xlfn.TEXTJOIN("",TRUE,A2721,"!",ADDRESS(17+(A2722-1)*J2721,13))),"")</f>
        <v/>
      </c>
      <c r="J2729" s="25" t="str">
        <f ca="1">_xlfn.IFNA(INDIRECT(_xlfn.TEXTJOIN("",TRUE,A2721,"!",ADDRESS(17+(A2722-1)*J2721,14))),"")</f>
        <v/>
      </c>
    </row>
    <row r="2730" spans="1:10" ht="10.5" customHeight="1" x14ac:dyDescent="0.2">
      <c r="A2730" s="65" t="str">
        <f ca="1">_xlfn.IFNA(INDIRECT(_xlfn.TEXTJOIN("",TRUE,A2721,"!",ADDRESS(18+(A2722-1)*J2721,1))),"")</f>
        <v/>
      </c>
      <c r="B2730" s="65"/>
      <c r="C2730" s="66" t="str">
        <f ca="1">_xlfn.IFNA(INDIRECT(_xlfn.TEXTJOIN("",TRUE,A2721,"!",ADDRESS(18+(A2722-1)*J2721,2))),"")</f>
        <v/>
      </c>
      <c r="D2730" s="66"/>
      <c r="E2730" s="66"/>
      <c r="F2730" s="66"/>
      <c r="G2730" s="66"/>
      <c r="H2730" s="25" t="str">
        <f ca="1">_xlfn.IFNA(INDIRECT(_xlfn.TEXTJOIN("",TRUE,A2721,"!",ADDRESS(18+(A2722-1)*J2721,6))),"")</f>
        <v/>
      </c>
      <c r="I2730" s="25" t="str">
        <f ca="1">_xlfn.IFNA(INDIRECT(_xlfn.TEXTJOIN("",TRUE,A2721,"!",ADDRESS(18+(A2722-1)*J2721,13))),"")</f>
        <v/>
      </c>
      <c r="J2730" s="25" t="str">
        <f ca="1">_xlfn.IFNA(INDIRECT(_xlfn.TEXTJOIN("",TRUE,A2721,"!",ADDRESS(18+(A2722-1)*J2721,14))),"")</f>
        <v/>
      </c>
    </row>
    <row r="2731" spans="1:10" ht="10.5" customHeight="1" x14ac:dyDescent="0.2">
      <c r="A2731" s="60" t="str">
        <f ca="1">_xlfn.IFNA(INDIRECT(_xlfn.TEXTJOIN("",TRUE,A2721,"!",ADDRESS(19+(A2722-1)*J2721,1))),"")</f>
        <v/>
      </c>
      <c r="B2731" s="61"/>
      <c r="C2731" s="57" t="str">
        <f ca="1">_xlfn.IFNA(INDIRECT(_xlfn.TEXTJOIN("",TRUE,A2721,"!",ADDRESS(19+(A2722-1)*J2721,2))),"")</f>
        <v/>
      </c>
      <c r="D2731" s="58"/>
      <c r="E2731" s="58"/>
      <c r="F2731" s="58"/>
      <c r="G2731" s="59"/>
      <c r="H2731" s="25" t="str">
        <f ca="1">_xlfn.IFNA(INDIRECT(_xlfn.TEXTJOIN("",TRUE,A2721,"!",ADDRESS(19+(A2722-1)*J2721,6))),"")</f>
        <v/>
      </c>
      <c r="I2731" s="25" t="str">
        <f ca="1">_xlfn.IFNA(INDIRECT(_xlfn.TEXTJOIN("",TRUE,A2721,"!",ADDRESS(19+(A2722-1)*J2721,13))),"")</f>
        <v/>
      </c>
      <c r="J2731" s="25" t="str">
        <f ca="1">_xlfn.IFNA(INDIRECT(_xlfn.TEXTJOIN("",TRUE,A2721,"!",ADDRESS(19+(A2722-1)*J2721,14))),"")</f>
        <v/>
      </c>
    </row>
    <row r="2732" spans="1:10" ht="10.5" customHeight="1" x14ac:dyDescent="0.2">
      <c r="A2732" s="65" t="str">
        <f ca="1">_xlfn.IFNA(INDIRECT(_xlfn.TEXTJOIN("",TRUE,A2721,"!",ADDRESS(20+(A2722-1)*J2721,1))),"")</f>
        <v/>
      </c>
      <c r="B2732" s="65"/>
      <c r="C2732" s="66" t="str">
        <f ca="1">_xlfn.IFNA(INDIRECT(_xlfn.TEXTJOIN("",TRUE,A2721,"!",ADDRESS(20+(A2722-1)*J2721,2))),"")</f>
        <v/>
      </c>
      <c r="D2732" s="66"/>
      <c r="E2732" s="66"/>
      <c r="F2732" s="66"/>
      <c r="G2732" s="66"/>
      <c r="H2732" s="25" t="str">
        <f ca="1">_xlfn.IFNA(INDIRECT(_xlfn.TEXTJOIN("",TRUE,A2721,"!",ADDRESS(20+(A2722-1)*J2721,6))),"")</f>
        <v/>
      </c>
      <c r="I2732" s="25" t="str">
        <f ca="1">_xlfn.IFNA(INDIRECT(_xlfn.TEXTJOIN("",TRUE,A2721,"!",ADDRESS(20+(A2722-1)*J2721,13))),"")</f>
        <v/>
      </c>
      <c r="J2732" s="25" t="str">
        <f ca="1">_xlfn.IFNA(INDIRECT(_xlfn.TEXTJOIN("",TRUE,A2721,"!",ADDRESS(20+(A2722-1)*J2721,14))),"")</f>
        <v/>
      </c>
    </row>
    <row r="2733" spans="1:10" ht="10.5" customHeight="1" x14ac:dyDescent="0.2">
      <c r="A2733" s="65" t="str">
        <f ca="1">_xlfn.IFNA(INDIRECT(_xlfn.TEXTJOIN("",TRUE,A2721,"!",ADDRESS(21+(A2722-1)*J2721,1))),"")</f>
        <v/>
      </c>
      <c r="B2733" s="65"/>
      <c r="C2733" s="66" t="str">
        <f ca="1">_xlfn.IFNA(INDIRECT(_xlfn.TEXTJOIN("",TRUE,A2721,"!",ADDRESS(21+(A2722-1)*J2721,2))),"")</f>
        <v/>
      </c>
      <c r="D2733" s="66"/>
      <c r="E2733" s="66"/>
      <c r="F2733" s="66"/>
      <c r="G2733" s="66"/>
      <c r="H2733" s="25" t="str">
        <f ca="1">_xlfn.IFNA(INDIRECT(_xlfn.TEXTJOIN("",TRUE,A2721,"!",ADDRESS(21+(A2722-1)*J2721,6))),"")</f>
        <v/>
      </c>
      <c r="I2733" s="25" t="str">
        <f ca="1">_xlfn.IFNA(INDIRECT(_xlfn.TEXTJOIN("",TRUE,A2721,"!",ADDRESS(21+(A2722-1)*J2721,13))),"")</f>
        <v/>
      </c>
      <c r="J2733" s="25" t="str">
        <f ca="1">_xlfn.IFNA(INDIRECT(_xlfn.TEXTJOIN("",TRUE,A2721,"!",ADDRESS(21+(A2722-1)*J2721,14))),"")</f>
        <v/>
      </c>
    </row>
    <row r="2734" spans="1:10" ht="10.5" customHeight="1" x14ac:dyDescent="0.2">
      <c r="A2734" s="65" t="str">
        <f ca="1">_xlfn.IFNA(INDIRECT(_xlfn.TEXTJOIN("",TRUE,A2721,"!",ADDRESS(22+(A2722-1)*J2721,1))),"")</f>
        <v/>
      </c>
      <c r="B2734" s="65"/>
      <c r="C2734" s="66" t="str">
        <f ca="1">_xlfn.IFNA(INDIRECT(_xlfn.TEXTJOIN("",TRUE,A2721,"!",ADDRESS(22+(A2722-1)*J2721,2))),"")</f>
        <v/>
      </c>
      <c r="D2734" s="66"/>
      <c r="E2734" s="66"/>
      <c r="F2734" s="66"/>
      <c r="G2734" s="66"/>
      <c r="H2734" s="25" t="str">
        <f ca="1">_xlfn.IFNA(INDIRECT(_xlfn.TEXTJOIN("",TRUE,A2721,"!",ADDRESS(22+(A2722-1)*J2721,6))),"")</f>
        <v/>
      </c>
      <c r="I2734" s="25" t="str">
        <f ca="1">_xlfn.IFNA(INDIRECT(_xlfn.TEXTJOIN("",TRUE,A2721,"!",ADDRESS(22+(A2722-1)*J2721,13))),"")</f>
        <v/>
      </c>
      <c r="J2734" s="25" t="str">
        <f ca="1">_xlfn.IFNA(INDIRECT(_xlfn.TEXTJOIN("",TRUE,A2721,"!",ADDRESS(22+(A2722-1)*J2721,14))),"")</f>
        <v/>
      </c>
    </row>
    <row r="2735" spans="1:10" ht="10.5" customHeight="1" x14ac:dyDescent="0.2">
      <c r="A2735" s="71" t="str">
        <f ca="1">IF(ISNA(A2722),"","Total Credits/ Total Grade Points")</f>
        <v/>
      </c>
      <c r="B2735" s="71"/>
      <c r="C2735" s="71"/>
      <c r="D2735" s="71"/>
      <c r="E2735" s="71"/>
      <c r="F2735" s="71"/>
      <c r="G2735" s="71"/>
      <c r="H2735" s="27" t="str">
        <f ca="1">IF(ISNA(A2722),"",SUM(H2725:H2734))</f>
        <v/>
      </c>
      <c r="I2735" s="26" t="str">
        <f ca="1">IF(ISNA(A2722),"","-")</f>
        <v/>
      </c>
      <c r="J2735" s="27" t="str">
        <f ca="1">IF(ISNA(A2722),"",SUMPRODUCT(J2725:J2734,H2725:H2734))</f>
        <v/>
      </c>
    </row>
    <row r="2736" spans="1:10" ht="10.5" customHeight="1" x14ac:dyDescent="0.2">
      <c r="A2736" s="24" t="s">
        <v>60</v>
      </c>
      <c r="B2736" s="72" t="str">
        <f ca="1">IF(ISNA(A2737),"","Semester III (Autumn Semester 2023-24)")</f>
        <v/>
      </c>
      <c r="C2736" s="72"/>
      <c r="D2736" s="72"/>
      <c r="E2736" s="72"/>
      <c r="F2736" s="72"/>
      <c r="G2736" s="72"/>
      <c r="H2736" s="72"/>
      <c r="I2736" s="72"/>
      <c r="J2736" s="24">
        <f>ROWS(A2740:B2747)+9</f>
        <v>17</v>
      </c>
    </row>
    <row r="2737" spans="1:10" ht="10.5" customHeight="1" x14ac:dyDescent="0.2">
      <c r="A2737" s="24" t="e">
        <f ca="1">INDEX(SEM_III!$A$6:$A$43,Marksheets!J2737)</f>
        <v>#N/A</v>
      </c>
      <c r="B2737" s="63"/>
      <c r="C2737" s="63"/>
      <c r="D2737" s="63"/>
      <c r="E2737" s="63"/>
      <c r="F2737" s="63"/>
      <c r="G2737" s="63"/>
      <c r="H2737" s="63"/>
      <c r="I2737" s="63"/>
      <c r="J2737" s="24" t="e">
        <f ca="1">MATCH(H2700,SEM_III!$B$6:$B$43,0)</f>
        <v>#N/A</v>
      </c>
    </row>
    <row r="2738" spans="1:10" ht="10.5" customHeight="1" x14ac:dyDescent="0.2">
      <c r="A2738" s="64" t="str">
        <f ca="1">IF(ISNA(A2737),"","Subject Code")</f>
        <v/>
      </c>
      <c r="B2738" s="64"/>
      <c r="C2738" s="64" t="str">
        <f ca="1">IF(ISNA(A2737),"","Subject Name")</f>
        <v/>
      </c>
      <c r="D2738" s="64"/>
      <c r="E2738" s="64"/>
      <c r="F2738" s="64"/>
      <c r="G2738" s="64"/>
      <c r="H2738" s="64" t="str">
        <f ca="1">IF(ISNA(A2737),"","Credits")</f>
        <v/>
      </c>
      <c r="I2738" s="64" t="str">
        <f ca="1">IF(ISNA(A2737),"","Grade")</f>
        <v/>
      </c>
      <c r="J2738" s="64" t="str">
        <f ca="1">IF(ISNA(A2737),"","Grade Points")</f>
        <v/>
      </c>
    </row>
    <row r="2739" spans="1:10" ht="10.5" customHeight="1" x14ac:dyDescent="0.2">
      <c r="A2739" s="64"/>
      <c r="B2739" s="64"/>
      <c r="C2739" s="64"/>
      <c r="D2739" s="64"/>
      <c r="E2739" s="64"/>
      <c r="F2739" s="64"/>
      <c r="G2739" s="64"/>
      <c r="H2739" s="64"/>
      <c r="I2739" s="64"/>
      <c r="J2739" s="64"/>
    </row>
    <row r="2740" spans="1:10" ht="10.5" customHeight="1" x14ac:dyDescent="0.2">
      <c r="A2740" s="65" t="str">
        <f ca="1">_xlfn.IFNA(INDIRECT(_xlfn.TEXTJOIN("",TRUE,A2736,"!",ADDRESS(13+(A2737-1)*J2736,1))),"")</f>
        <v/>
      </c>
      <c r="B2740" s="65"/>
      <c r="C2740" s="66" t="str">
        <f ca="1">_xlfn.IFNA(INDIRECT(_xlfn.TEXTJOIN("",TRUE,A2736,"!",ADDRESS(13+(A2737-1)*J2736,2))),"")</f>
        <v/>
      </c>
      <c r="D2740" s="66"/>
      <c r="E2740" s="66"/>
      <c r="F2740" s="66"/>
      <c r="G2740" s="66"/>
      <c r="H2740" s="25" t="str">
        <f ca="1">_xlfn.IFNA(INDIRECT(_xlfn.TEXTJOIN("",TRUE,A2736,"!",ADDRESS(13+(A2737-1)*J2736,6))),"")</f>
        <v/>
      </c>
      <c r="I2740" s="25" t="str">
        <f ca="1">_xlfn.IFNA(INDIRECT(_xlfn.TEXTJOIN("",TRUE,A2736,"!",ADDRESS(13+(A2737-1)*J2736,13))),"")</f>
        <v/>
      </c>
      <c r="J2740" s="25" t="str">
        <f ca="1">_xlfn.IFNA(INDIRECT(_xlfn.TEXTJOIN("",TRUE,A2736,"!",ADDRESS(13+(A2737-1)*J2736,14))),"")</f>
        <v/>
      </c>
    </row>
    <row r="2741" spans="1:10" ht="10.5" customHeight="1" x14ac:dyDescent="0.2">
      <c r="A2741" s="65" t="str">
        <f ca="1">_xlfn.IFNA(INDIRECT(_xlfn.TEXTJOIN("",TRUE,A2736,"!",ADDRESS(14+(A2737-1)*J2736,1))),"")</f>
        <v/>
      </c>
      <c r="B2741" s="65"/>
      <c r="C2741" s="66" t="str">
        <f ca="1">_xlfn.IFNA(INDIRECT(_xlfn.TEXTJOIN("",TRUE,A2736,"!",ADDRESS(14+(A2737-1)*J2736,2))),"")</f>
        <v/>
      </c>
      <c r="D2741" s="66"/>
      <c r="E2741" s="66"/>
      <c r="F2741" s="66"/>
      <c r="G2741" s="66"/>
      <c r="H2741" s="25" t="str">
        <f ca="1">_xlfn.IFNA(INDIRECT(_xlfn.TEXTJOIN("",TRUE,A2736,"!",ADDRESS(14+(A2737-1)*J2736,6))),"")</f>
        <v/>
      </c>
      <c r="I2741" s="25" t="str">
        <f ca="1">_xlfn.IFNA(INDIRECT(_xlfn.TEXTJOIN("",TRUE,A2736,"!",ADDRESS(14+(A2737-1)*J2736,13))),"")</f>
        <v/>
      </c>
      <c r="J2741" s="25" t="str">
        <f ca="1">_xlfn.IFNA(INDIRECT(_xlfn.TEXTJOIN("",TRUE,A2736,"!",ADDRESS(14+(A2737-1)*J2736,14))),"")</f>
        <v/>
      </c>
    </row>
    <row r="2742" spans="1:10" ht="10.5" customHeight="1" x14ac:dyDescent="0.2">
      <c r="A2742" s="65" t="str">
        <f ca="1">_xlfn.IFNA(INDIRECT(_xlfn.TEXTJOIN("",TRUE,A2736,"!",ADDRESS(15+(A2737-1)*J2736,1))),"")</f>
        <v/>
      </c>
      <c r="B2742" s="65"/>
      <c r="C2742" s="66" t="str">
        <f ca="1">_xlfn.IFNA(INDIRECT(_xlfn.TEXTJOIN("",TRUE,A2736,"!",ADDRESS(15+(A2737-1)*J2736,2))),"")</f>
        <v/>
      </c>
      <c r="D2742" s="66"/>
      <c r="E2742" s="66"/>
      <c r="F2742" s="66"/>
      <c r="G2742" s="66"/>
      <c r="H2742" s="25" t="str">
        <f ca="1">_xlfn.IFNA(INDIRECT(_xlfn.TEXTJOIN("",TRUE,A2736,"!",ADDRESS(15+(A2737-1)*J2736,6))),"")</f>
        <v/>
      </c>
      <c r="I2742" s="25" t="str">
        <f ca="1">_xlfn.IFNA(INDIRECT(_xlfn.TEXTJOIN("",TRUE,A2736,"!",ADDRESS(15+(A2737-1)*J2736,13))),"")</f>
        <v/>
      </c>
      <c r="J2742" s="25" t="str">
        <f ca="1">_xlfn.IFNA(INDIRECT(_xlfn.TEXTJOIN("",TRUE,A2736,"!",ADDRESS(15+(A2737-1)*J2736,14))),"")</f>
        <v/>
      </c>
    </row>
    <row r="2743" spans="1:10" ht="10.5" customHeight="1" x14ac:dyDescent="0.2">
      <c r="A2743" s="65" t="str">
        <f ca="1">_xlfn.IFNA(INDIRECT(_xlfn.TEXTJOIN("",TRUE,A2736,"!",ADDRESS(16+(A2737-1)*J2736,1))),"")</f>
        <v/>
      </c>
      <c r="B2743" s="65"/>
      <c r="C2743" s="66" t="str">
        <f ca="1">_xlfn.IFNA(INDIRECT(_xlfn.TEXTJOIN("",TRUE,A2736,"!",ADDRESS(16+(A2737-1)*J2736,2))),"")</f>
        <v/>
      </c>
      <c r="D2743" s="66"/>
      <c r="E2743" s="66"/>
      <c r="F2743" s="66"/>
      <c r="G2743" s="66"/>
      <c r="H2743" s="25" t="str">
        <f ca="1">_xlfn.IFNA(INDIRECT(_xlfn.TEXTJOIN("",TRUE,A2736,"!",ADDRESS(16+(A2737-1)*J2736,6))),"")</f>
        <v/>
      </c>
      <c r="I2743" s="25" t="str">
        <f ca="1">_xlfn.IFNA(INDIRECT(_xlfn.TEXTJOIN("",TRUE,A2736,"!",ADDRESS(16+(A2737-1)*J2736,13))),"")</f>
        <v/>
      </c>
      <c r="J2743" s="25" t="str">
        <f ca="1">_xlfn.IFNA(INDIRECT(_xlfn.TEXTJOIN("",TRUE,A2736,"!",ADDRESS(16+(A2737-1)*J2736,14))),"")</f>
        <v/>
      </c>
    </row>
    <row r="2744" spans="1:10" ht="10.5" customHeight="1" x14ac:dyDescent="0.2">
      <c r="A2744" s="65" t="str">
        <f ca="1">_xlfn.IFNA(INDIRECT(_xlfn.TEXTJOIN("",TRUE,A2736,"!",ADDRESS(17+(A2737-1)*J2736,1))),"")</f>
        <v/>
      </c>
      <c r="B2744" s="65"/>
      <c r="C2744" s="66" t="str">
        <f ca="1">_xlfn.IFNA(INDIRECT(_xlfn.TEXTJOIN("",TRUE,A2736,"!",ADDRESS(17+(A2737-1)*J2736,2))),"")</f>
        <v/>
      </c>
      <c r="D2744" s="66"/>
      <c r="E2744" s="66"/>
      <c r="F2744" s="66"/>
      <c r="G2744" s="66"/>
      <c r="H2744" s="25" t="str">
        <f ca="1">_xlfn.IFNA(INDIRECT(_xlfn.TEXTJOIN("",TRUE,A2736,"!",ADDRESS(17+(A2737-1)*J2736,6))),"")</f>
        <v/>
      </c>
      <c r="I2744" s="25" t="str">
        <f ca="1">_xlfn.IFNA(INDIRECT(_xlfn.TEXTJOIN("",TRUE,A2736,"!",ADDRESS(17+(A2737-1)*J2736,13))),"")</f>
        <v/>
      </c>
      <c r="J2744" s="25" t="str">
        <f ca="1">_xlfn.IFNA(INDIRECT(_xlfn.TEXTJOIN("",TRUE,A2736,"!",ADDRESS(17+(A2737-1)*J2736,14))),"")</f>
        <v/>
      </c>
    </row>
    <row r="2745" spans="1:10" ht="10.5" customHeight="1" x14ac:dyDescent="0.2">
      <c r="A2745" s="65" t="str">
        <f ca="1">_xlfn.IFNA(INDIRECT(_xlfn.TEXTJOIN("",TRUE,A2736,"!",ADDRESS(18+(A2737-1)*J2736,1))),"")</f>
        <v/>
      </c>
      <c r="B2745" s="65"/>
      <c r="C2745" s="66" t="str">
        <f ca="1">_xlfn.IFNA(INDIRECT(_xlfn.TEXTJOIN("",TRUE,A2736,"!",ADDRESS(18+(A2737-1)*J2736,2))),"")</f>
        <v/>
      </c>
      <c r="D2745" s="66"/>
      <c r="E2745" s="66"/>
      <c r="F2745" s="66"/>
      <c r="G2745" s="66"/>
      <c r="H2745" s="25" t="str">
        <f ca="1">_xlfn.IFNA(INDIRECT(_xlfn.TEXTJOIN("",TRUE,A2736,"!",ADDRESS(18+(A2737-1)*J2736,6))),"")</f>
        <v/>
      </c>
      <c r="I2745" s="25" t="str">
        <f ca="1">_xlfn.IFNA(INDIRECT(_xlfn.TEXTJOIN("",TRUE,A2736,"!",ADDRESS(18+(A2737-1)*J2736,13))),"")</f>
        <v/>
      </c>
      <c r="J2745" s="25" t="str">
        <f ca="1">_xlfn.IFNA(INDIRECT(_xlfn.TEXTJOIN("",TRUE,A2736,"!",ADDRESS(18+(A2737-1)*J2736,14))),"")</f>
        <v/>
      </c>
    </row>
    <row r="2746" spans="1:10" ht="10.5" customHeight="1" x14ac:dyDescent="0.2">
      <c r="A2746" s="60" t="str">
        <f ca="1">_xlfn.IFNA(INDIRECT(_xlfn.TEXTJOIN("",TRUE,A2736,"!",ADDRESS(19+(A2737-1)*J2736,1))),"")</f>
        <v/>
      </c>
      <c r="B2746" s="61"/>
      <c r="C2746" s="57" t="str">
        <f ca="1">_xlfn.IFNA(INDIRECT(_xlfn.TEXTJOIN("",TRUE,A2736,"!",ADDRESS(19+(A2737-1)*J2736,2))),"")</f>
        <v/>
      </c>
      <c r="D2746" s="58"/>
      <c r="E2746" s="58"/>
      <c r="F2746" s="58"/>
      <c r="G2746" s="59"/>
      <c r="H2746" s="25" t="str">
        <f ca="1">_xlfn.IFNA(INDIRECT(_xlfn.TEXTJOIN("",TRUE,A2736,"!",ADDRESS(19+(A2737-1)*J2736,6))),"")</f>
        <v/>
      </c>
      <c r="I2746" s="25" t="str">
        <f ca="1">_xlfn.IFNA(INDIRECT(_xlfn.TEXTJOIN("",TRUE,A2736,"!",ADDRESS(19+(A2737-1)*J2736,13))),"")</f>
        <v/>
      </c>
      <c r="J2746" s="25" t="str">
        <f ca="1">_xlfn.IFNA(INDIRECT(_xlfn.TEXTJOIN("",TRUE,A2736,"!",ADDRESS(19+(A2737-1)*J2736,14))),"")</f>
        <v/>
      </c>
    </row>
    <row r="2747" spans="1:10" ht="10.5" customHeight="1" x14ac:dyDescent="0.2">
      <c r="A2747" s="65" t="str">
        <f ca="1">_xlfn.IFNA(INDIRECT(_xlfn.TEXTJOIN("",TRUE,A2736,"!",ADDRESS(20+(A2737-1)*J2736,1))),"")</f>
        <v/>
      </c>
      <c r="B2747" s="65"/>
      <c r="C2747" s="66" t="str">
        <f ca="1">_xlfn.IFNA(INDIRECT(_xlfn.TEXTJOIN("",TRUE,A2736,"!",ADDRESS(20+(A2737-1)*J2736,2))),"")</f>
        <v/>
      </c>
      <c r="D2747" s="66"/>
      <c r="E2747" s="66"/>
      <c r="F2747" s="66"/>
      <c r="G2747" s="66"/>
      <c r="H2747" s="25" t="str">
        <f ca="1">_xlfn.IFNA(INDIRECT(_xlfn.TEXTJOIN("",TRUE,A2736,"!",ADDRESS(20+(A2737-1)*J2736,6))),"")</f>
        <v/>
      </c>
      <c r="I2747" s="25" t="str">
        <f ca="1">_xlfn.IFNA(INDIRECT(_xlfn.TEXTJOIN("",TRUE,A2736,"!",ADDRESS(20+(A2737-1)*J2736,13))),"")</f>
        <v/>
      </c>
      <c r="J2747" s="25" t="str">
        <f ca="1">_xlfn.IFNA(INDIRECT(_xlfn.TEXTJOIN("",TRUE,A2736,"!",ADDRESS(20+(A2737-1)*J2736,14))),"")</f>
        <v/>
      </c>
    </row>
    <row r="2748" spans="1:10" ht="10.5" customHeight="1" x14ac:dyDescent="0.2">
      <c r="A2748" s="71" t="str">
        <f ca="1">IF(ISNA(A2737),"","Total Credits/ Total Grade Points")</f>
        <v/>
      </c>
      <c r="B2748" s="71"/>
      <c r="C2748" s="71"/>
      <c r="D2748" s="71"/>
      <c r="E2748" s="71"/>
      <c r="F2748" s="71"/>
      <c r="G2748" s="71"/>
      <c r="H2748" s="27" t="str">
        <f ca="1">IF(ISNA(A2737),"",SUM(H2740:H2747))</f>
        <v/>
      </c>
      <c r="I2748" s="26" t="str">
        <f ca="1">IF(ISNA(A2737),"","-")</f>
        <v/>
      </c>
      <c r="J2748" s="27" t="str">
        <f ca="1">IF(ISNA(A2737),"",SUMPRODUCT(J2740:J2747,H2740:H2747))</f>
        <v/>
      </c>
    </row>
    <row r="2749" spans="1:10" ht="10.5" customHeight="1" x14ac:dyDescent="0.2">
      <c r="A2749" s="24" t="s">
        <v>133</v>
      </c>
      <c r="B2749" s="72" t="str">
        <f ca="1">IF(ISNA(A2750),"","Semester IV (Spring Semester 2023-24)")</f>
        <v/>
      </c>
      <c r="C2749" s="72"/>
      <c r="D2749" s="72"/>
      <c r="E2749" s="72"/>
      <c r="F2749" s="72"/>
      <c r="G2749" s="72"/>
      <c r="H2749" s="72"/>
      <c r="I2749" s="72"/>
      <c r="J2749" s="24">
        <f>ROWS(A2753:B2759)+9</f>
        <v>16</v>
      </c>
    </row>
    <row r="2750" spans="1:10" ht="10.5" customHeight="1" x14ac:dyDescent="0.2">
      <c r="A2750" s="24" t="e">
        <f ca="1">INDEX(SEM_IV!$A$6:$A$43,Marksheets!J2750)</f>
        <v>#N/A</v>
      </c>
      <c r="B2750" s="63"/>
      <c r="C2750" s="63"/>
      <c r="D2750" s="63"/>
      <c r="E2750" s="63"/>
      <c r="F2750" s="63"/>
      <c r="G2750" s="63"/>
      <c r="H2750" s="63"/>
      <c r="I2750" s="63"/>
      <c r="J2750" s="24" t="e">
        <f ca="1">MATCH(H2700,SEM_IV!$B$6:$B$43,0)</f>
        <v>#N/A</v>
      </c>
    </row>
    <row r="2751" spans="1:10" ht="10.5" customHeight="1" x14ac:dyDescent="0.2">
      <c r="A2751" s="64" t="str">
        <f ca="1">IF(ISNA(A2750),"","Subject Code")</f>
        <v/>
      </c>
      <c r="B2751" s="64"/>
      <c r="C2751" s="64" t="str">
        <f ca="1">IF(ISNA(A2750),"","Subject Name")</f>
        <v/>
      </c>
      <c r="D2751" s="64"/>
      <c r="E2751" s="64"/>
      <c r="F2751" s="64"/>
      <c r="G2751" s="64"/>
      <c r="H2751" s="64" t="str">
        <f ca="1">IF(ISNA(A2750),"","Credits")</f>
        <v/>
      </c>
      <c r="I2751" s="64" t="str">
        <f ca="1">IF(ISNA(A2750),"","Grade")</f>
        <v/>
      </c>
      <c r="J2751" s="64" t="str">
        <f ca="1">IF(ISNA(A2750),"","Grade Points")</f>
        <v/>
      </c>
    </row>
    <row r="2752" spans="1:10" ht="10.5" customHeight="1" x14ac:dyDescent="0.2">
      <c r="A2752" s="64"/>
      <c r="B2752" s="64"/>
      <c r="C2752" s="64"/>
      <c r="D2752" s="64"/>
      <c r="E2752" s="64"/>
      <c r="F2752" s="64"/>
      <c r="G2752" s="64"/>
      <c r="H2752" s="64"/>
      <c r="I2752" s="64"/>
      <c r="J2752" s="64"/>
    </row>
    <row r="2753" spans="1:10" ht="10.5" customHeight="1" x14ac:dyDescent="0.2">
      <c r="A2753" s="65" t="str">
        <f ca="1">_xlfn.IFNA(INDIRECT(_xlfn.TEXTJOIN("",TRUE,A2749,"!",ADDRESS(13+(A2750-1)*J2749,1))),"")</f>
        <v/>
      </c>
      <c r="B2753" s="65"/>
      <c r="C2753" s="66" t="str">
        <f ca="1">_xlfn.IFNA(INDIRECT(_xlfn.TEXTJOIN("",TRUE,A2749,"!",ADDRESS(13+(A2750-1)*J2749,2))),"")</f>
        <v/>
      </c>
      <c r="D2753" s="66"/>
      <c r="E2753" s="66"/>
      <c r="F2753" s="66"/>
      <c r="G2753" s="66"/>
      <c r="H2753" s="25" t="str">
        <f ca="1">_xlfn.IFNA(INDIRECT(_xlfn.TEXTJOIN("",TRUE,A2749,"!",ADDRESS(13+(A2750-1)*J2749,6))),"")</f>
        <v/>
      </c>
      <c r="I2753" s="25" t="str">
        <f ca="1">_xlfn.IFNA(INDIRECT(_xlfn.TEXTJOIN("",TRUE,A2749,"!",ADDRESS(13+(A2750-1)*J2749,13))),"")</f>
        <v/>
      </c>
      <c r="J2753" s="25" t="str">
        <f ca="1">_xlfn.IFNA(INDIRECT(_xlfn.TEXTJOIN("",TRUE,A2749,"!",ADDRESS(13+(A2750-1)*J2749,14))),"")</f>
        <v/>
      </c>
    </row>
    <row r="2754" spans="1:10" ht="10.5" customHeight="1" x14ac:dyDescent="0.2">
      <c r="A2754" s="65" t="str">
        <f ca="1">_xlfn.IFNA(INDIRECT(_xlfn.TEXTJOIN("",TRUE,A2749,"!",ADDRESS(14+(A2750-1)*J2749,1))),"")</f>
        <v/>
      </c>
      <c r="B2754" s="65"/>
      <c r="C2754" s="66" t="str">
        <f ca="1">_xlfn.IFNA(INDIRECT(_xlfn.TEXTJOIN("",TRUE,A2749,"!",ADDRESS(14+(A2750-1)*J2749,2))),"")</f>
        <v/>
      </c>
      <c r="D2754" s="66"/>
      <c r="E2754" s="66"/>
      <c r="F2754" s="66"/>
      <c r="G2754" s="66"/>
      <c r="H2754" s="25" t="str">
        <f ca="1">_xlfn.IFNA(INDIRECT(_xlfn.TEXTJOIN("",TRUE,A2749,"!",ADDRESS(14+(A2750-1)*J2749,6))),"")</f>
        <v/>
      </c>
      <c r="I2754" s="25" t="str">
        <f ca="1">_xlfn.IFNA(INDIRECT(_xlfn.TEXTJOIN("",TRUE,A2749,"!",ADDRESS(14+(A2750-1)*J2749,13))),"")</f>
        <v/>
      </c>
      <c r="J2754" s="25" t="str">
        <f ca="1">_xlfn.IFNA(INDIRECT(_xlfn.TEXTJOIN("",TRUE,A2749,"!",ADDRESS(14+(A2750-1)*J2749,14))),"")</f>
        <v/>
      </c>
    </row>
    <row r="2755" spans="1:10" ht="10.5" customHeight="1" x14ac:dyDescent="0.2">
      <c r="A2755" s="65" t="str">
        <f ca="1">_xlfn.IFNA(INDIRECT(_xlfn.TEXTJOIN("",TRUE,A2749,"!",ADDRESS(15+(A2750-1)*J2749,1))),"")</f>
        <v/>
      </c>
      <c r="B2755" s="65"/>
      <c r="C2755" s="66" t="str">
        <f ca="1">_xlfn.IFNA(INDIRECT(_xlfn.TEXTJOIN("",TRUE,A2749,"!",ADDRESS(15+(A2750-1)*J2749,2))),"")</f>
        <v/>
      </c>
      <c r="D2755" s="66"/>
      <c r="E2755" s="66"/>
      <c r="F2755" s="66"/>
      <c r="G2755" s="66"/>
      <c r="H2755" s="25" t="str">
        <f ca="1">_xlfn.IFNA(INDIRECT(_xlfn.TEXTJOIN("",TRUE,A2749,"!",ADDRESS(15+(A2750-1)*J2749,6))),"")</f>
        <v/>
      </c>
      <c r="I2755" s="25" t="str">
        <f ca="1">_xlfn.IFNA(INDIRECT(_xlfn.TEXTJOIN("",TRUE,A2749,"!",ADDRESS(15+(A2750-1)*J2749,13))),"")</f>
        <v/>
      </c>
      <c r="J2755" s="25" t="str">
        <f ca="1">_xlfn.IFNA(INDIRECT(_xlfn.TEXTJOIN("",TRUE,A2749,"!",ADDRESS(15+(A2750-1)*J2749,14))),"")</f>
        <v/>
      </c>
    </row>
    <row r="2756" spans="1:10" ht="10.5" customHeight="1" x14ac:dyDescent="0.2">
      <c r="A2756" s="65" t="str">
        <f ca="1">_xlfn.IFNA(INDIRECT(_xlfn.TEXTJOIN("",TRUE,A2749,"!",ADDRESS(16+(A2750-1)*J2749,1))),"")</f>
        <v/>
      </c>
      <c r="B2756" s="65"/>
      <c r="C2756" s="66" t="str">
        <f ca="1">_xlfn.IFNA(INDIRECT(_xlfn.TEXTJOIN("",TRUE,A2749,"!",ADDRESS(16+(A2750-1)*J2749,2))),"")</f>
        <v/>
      </c>
      <c r="D2756" s="66"/>
      <c r="E2756" s="66"/>
      <c r="F2756" s="66"/>
      <c r="G2756" s="66"/>
      <c r="H2756" s="25" t="str">
        <f ca="1">_xlfn.IFNA(INDIRECT(_xlfn.TEXTJOIN("",TRUE,A2749,"!",ADDRESS(16+(A2750-1)*J2749,6))),"")</f>
        <v/>
      </c>
      <c r="I2756" s="25" t="str">
        <f ca="1">_xlfn.IFNA(INDIRECT(_xlfn.TEXTJOIN("",TRUE,A2749,"!",ADDRESS(16+(A2750-1)*J2749,13))),"")</f>
        <v/>
      </c>
      <c r="J2756" s="25" t="str">
        <f ca="1">_xlfn.IFNA(INDIRECT(_xlfn.TEXTJOIN("",TRUE,A2749,"!",ADDRESS(16+(A2750-1)*J2749,14))),"")</f>
        <v/>
      </c>
    </row>
    <row r="2757" spans="1:10" ht="10.5" customHeight="1" x14ac:dyDescent="0.2">
      <c r="A2757" s="65" t="str">
        <f ca="1">_xlfn.IFNA(INDIRECT(_xlfn.TEXTJOIN("",TRUE,A2749,"!",ADDRESS(17+(A2750-1)*J2749,1))),"")</f>
        <v/>
      </c>
      <c r="B2757" s="65"/>
      <c r="C2757" s="66" t="str">
        <f ca="1">_xlfn.IFNA(INDIRECT(_xlfn.TEXTJOIN("",TRUE,A2749,"!",ADDRESS(17+(A2750-1)*J2749,2))),"")</f>
        <v/>
      </c>
      <c r="D2757" s="66"/>
      <c r="E2757" s="66"/>
      <c r="F2757" s="66"/>
      <c r="G2757" s="66"/>
      <c r="H2757" s="25" t="str">
        <f ca="1">_xlfn.IFNA(INDIRECT(_xlfn.TEXTJOIN("",TRUE,A2749,"!",ADDRESS(17+(A2750-1)*J2749,6))),"")</f>
        <v/>
      </c>
      <c r="I2757" s="25" t="str">
        <f ca="1">_xlfn.IFNA(INDIRECT(_xlfn.TEXTJOIN("",TRUE,A2749,"!",ADDRESS(17+(A2750-1)*J2749,13))),"")</f>
        <v/>
      </c>
      <c r="J2757" s="25" t="str">
        <f ca="1">_xlfn.IFNA(INDIRECT(_xlfn.TEXTJOIN("",TRUE,A2749,"!",ADDRESS(17+(A2750-1)*J2749,14))),"")</f>
        <v/>
      </c>
    </row>
    <row r="2758" spans="1:10" ht="10.5" customHeight="1" x14ac:dyDescent="0.2">
      <c r="A2758" s="65" t="str">
        <f ca="1">_xlfn.IFNA(INDIRECT(_xlfn.TEXTJOIN("",TRUE,A2749,"!",ADDRESS(18+(A2750-1)*J2749,1))),"")</f>
        <v/>
      </c>
      <c r="B2758" s="65"/>
      <c r="C2758" s="66" t="str">
        <f ca="1">_xlfn.IFNA(INDIRECT(_xlfn.TEXTJOIN("",TRUE,A2749,"!",ADDRESS(18+(A2750-1)*J2749,2))),"")</f>
        <v/>
      </c>
      <c r="D2758" s="66"/>
      <c r="E2758" s="66"/>
      <c r="F2758" s="66"/>
      <c r="G2758" s="66"/>
      <c r="H2758" s="25" t="str">
        <f ca="1">_xlfn.IFNA(INDIRECT(_xlfn.TEXTJOIN("",TRUE,A2749,"!",ADDRESS(18+(A2750-1)*J2749,6))),"")</f>
        <v/>
      </c>
      <c r="I2758" s="25" t="str">
        <f ca="1">_xlfn.IFNA(INDIRECT(_xlfn.TEXTJOIN("",TRUE,A2749,"!",ADDRESS(18+(A2750-1)*J2749,13))),"")</f>
        <v/>
      </c>
      <c r="J2758" s="25" t="str">
        <f ca="1">_xlfn.IFNA(INDIRECT(_xlfn.TEXTJOIN("",TRUE,A2749,"!",ADDRESS(18+(A2750-1)*J2749,14))),"")</f>
        <v/>
      </c>
    </row>
    <row r="2759" spans="1:10" ht="10.5" customHeight="1" x14ac:dyDescent="0.2">
      <c r="A2759" s="60" t="str">
        <f ca="1">_xlfn.IFNA(INDIRECT(_xlfn.TEXTJOIN("",TRUE,A2749,"!",ADDRESS(19+(A2750-1)*J2749,1))),"")</f>
        <v/>
      </c>
      <c r="B2759" s="61"/>
      <c r="C2759" s="57" t="str">
        <f ca="1">_xlfn.IFNA(INDIRECT(_xlfn.TEXTJOIN("",TRUE,A2749,"!",ADDRESS(19+(A2750-1)*J2749,2))),"")</f>
        <v/>
      </c>
      <c r="D2759" s="58"/>
      <c r="E2759" s="58"/>
      <c r="F2759" s="58"/>
      <c r="G2759" s="59"/>
      <c r="H2759" s="25" t="str">
        <f ca="1">_xlfn.IFNA(INDIRECT(_xlfn.TEXTJOIN("",TRUE,A2749,"!",ADDRESS(19+(A2750-1)*J2749,6))),"")</f>
        <v/>
      </c>
      <c r="I2759" s="25" t="str">
        <f ca="1">_xlfn.IFNA(INDIRECT(_xlfn.TEXTJOIN("",TRUE,A2749,"!",ADDRESS(19+(A2750-1)*J2749,13))),"")</f>
        <v/>
      </c>
      <c r="J2759" s="25" t="str">
        <f ca="1">_xlfn.IFNA(INDIRECT(_xlfn.TEXTJOIN("",TRUE,A2749,"!",ADDRESS(19+(A2750-1)*J2749,14))),"")</f>
        <v/>
      </c>
    </row>
    <row r="2760" spans="1:10" ht="10.5" customHeight="1" x14ac:dyDescent="0.2">
      <c r="A2760" s="71" t="str">
        <f ca="1">IF(ISNA(A2750),"","Total Credits/ Total Grade Points")</f>
        <v/>
      </c>
      <c r="B2760" s="71"/>
      <c r="C2760" s="71"/>
      <c r="D2760" s="71"/>
      <c r="E2760" s="71"/>
      <c r="F2760" s="71"/>
      <c r="G2760" s="71"/>
      <c r="H2760" s="27" t="str">
        <f ca="1">IF(ISNA(A2750),"",SUM(H2752:H2759))</f>
        <v/>
      </c>
      <c r="I2760" s="26" t="str">
        <f ca="1">IF(ISNA(A2750),"","-")</f>
        <v/>
      </c>
      <c r="J2760" s="27" t="str">
        <f ca="1">IF(ISNA(A2750),"",SUMPRODUCT(J2752:J2759,H2752:H2759))</f>
        <v/>
      </c>
    </row>
    <row r="2761" spans="1:10" ht="10.5" customHeight="1" x14ac:dyDescent="0.2">
      <c r="A2761" s="75" t="s">
        <v>137</v>
      </c>
      <c r="B2761" s="75"/>
      <c r="C2761" s="75"/>
      <c r="D2761" s="75"/>
      <c r="E2761" s="75"/>
      <c r="F2761" s="76" t="s">
        <v>138</v>
      </c>
      <c r="G2761" s="76"/>
      <c r="H2761" s="76"/>
      <c r="I2761" s="76"/>
      <c r="J2761" s="76"/>
    </row>
    <row r="2762" spans="1:10" ht="10.5" customHeight="1" x14ac:dyDescent="0.2">
      <c r="A2762" s="43" t="s">
        <v>139</v>
      </c>
      <c r="B2762" s="43"/>
      <c r="C2762" s="43"/>
      <c r="D2762" s="43"/>
      <c r="E2762" s="43"/>
      <c r="F2762" s="43"/>
      <c r="G2762" s="43"/>
      <c r="H2762" s="43"/>
      <c r="I2762" s="43"/>
      <c r="J2762" s="43"/>
    </row>
    <row r="2763" spans="1:10" ht="10.5" customHeight="1" x14ac:dyDescent="0.2">
      <c r="A2763" s="10"/>
      <c r="B2763" s="26"/>
      <c r="C2763" s="26" t="s">
        <v>140</v>
      </c>
      <c r="D2763" s="26" t="s">
        <v>141</v>
      </c>
      <c r="E2763" s="26" t="s">
        <v>142</v>
      </c>
      <c r="F2763" s="26" t="s">
        <v>143</v>
      </c>
      <c r="G2763" s="26" t="s">
        <v>144</v>
      </c>
      <c r="H2763" s="79" t="s">
        <v>145</v>
      </c>
      <c r="I2763" s="79"/>
      <c r="J2763" s="30"/>
    </row>
    <row r="2764" spans="1:10" ht="10.5" customHeight="1" x14ac:dyDescent="0.2">
      <c r="A2764" s="10"/>
      <c r="B2764" s="80" t="s">
        <v>146</v>
      </c>
      <c r="C2764" s="73" t="e">
        <f ca="1">J2720/H2720</f>
        <v>#N/A</v>
      </c>
      <c r="D2764" s="73" t="e">
        <f ca="1">J2735/H2735</f>
        <v>#VALUE!</v>
      </c>
      <c r="E2764" s="73" t="str">
        <f ca="1">IFERROR(J2748/H2748,"")</f>
        <v/>
      </c>
      <c r="F2764" s="73" t="str">
        <f ca="1">IFERROR(J2760/H2760,"")</f>
        <v/>
      </c>
      <c r="G2764" s="82" t="e">
        <f ca="1">F2766</f>
        <v>#N/A</v>
      </c>
      <c r="H2764" s="83" t="e">
        <f ca="1">IF(G2764&gt;=8,"First Division with Distinction",IF(G2764&gt;=6.5,"First Division",IF(G2764&gt;=5,"Second Division",IF(G2764&gt;=4,"Third Division","Fail"))))</f>
        <v>#N/A</v>
      </c>
      <c r="I2764" s="83"/>
      <c r="J2764" s="30"/>
    </row>
    <row r="2765" spans="1:10" ht="10.5" customHeight="1" x14ac:dyDescent="0.2">
      <c r="B2765" s="81"/>
      <c r="C2765" s="74"/>
      <c r="D2765" s="74"/>
      <c r="E2765" s="74"/>
      <c r="F2765" s="74"/>
      <c r="G2765" s="82"/>
      <c r="H2765" s="83"/>
      <c r="I2765" s="83"/>
    </row>
    <row r="2766" spans="1:10" ht="10.5" customHeight="1" x14ac:dyDescent="0.2">
      <c r="B2766" s="80" t="s">
        <v>48</v>
      </c>
      <c r="C2766" s="73" t="e">
        <f ca="1">J2720/H2720</f>
        <v>#N/A</v>
      </c>
      <c r="D2766" s="73" t="e">
        <f ca="1">SUM(J2735,J2720)/SUM(H2735,H2720)</f>
        <v>#N/A</v>
      </c>
      <c r="E2766" s="73" t="e">
        <f ca="1">SUM(J2748,J2735,J2720)/SUM(H2748,H2735,H2720)</f>
        <v>#N/A</v>
      </c>
      <c r="F2766" s="73" t="e">
        <f ca="1">SUM(J2760,J2748,J2735,J2720)/SUM(H2720,H2735,H2748,H2760)</f>
        <v>#N/A</v>
      </c>
      <c r="G2766" s="82"/>
      <c r="H2766" s="83"/>
      <c r="I2766" s="83"/>
    </row>
    <row r="2767" spans="1:10" ht="10.5" customHeight="1" x14ac:dyDescent="0.2">
      <c r="B2767" s="81"/>
      <c r="C2767" s="74"/>
      <c r="D2767" s="74"/>
      <c r="E2767" s="74"/>
      <c r="F2767" s="74"/>
      <c r="G2767" s="82"/>
      <c r="H2767" s="83"/>
      <c r="I2767" s="83"/>
    </row>
  </sheetData>
  <mergeCells count="5205">
    <mergeCell ref="A2757:B2757"/>
    <mergeCell ref="C2757:G2757"/>
    <mergeCell ref="A2758:B2758"/>
    <mergeCell ref="C2758:G2758"/>
    <mergeCell ref="A2759:B2759"/>
    <mergeCell ref="C2759:G2759"/>
    <mergeCell ref="A2754:B2754"/>
    <mergeCell ref="C2754:G2754"/>
    <mergeCell ref="A2755:B2755"/>
    <mergeCell ref="G2764:G2767"/>
    <mergeCell ref="H2764:I2767"/>
    <mergeCell ref="B2766:B2767"/>
    <mergeCell ref="C2766:C2767"/>
    <mergeCell ref="D2766:D2767"/>
    <mergeCell ref="E2766:E2767"/>
    <mergeCell ref="F2766:F2767"/>
    <mergeCell ref="A2760:G2760"/>
    <mergeCell ref="A2761:E2761"/>
    <mergeCell ref="F2761:J2761"/>
    <mergeCell ref="A2762:J2762"/>
    <mergeCell ref="H2763:I2763"/>
    <mergeCell ref="B2764:B2765"/>
    <mergeCell ref="C2764:C2765"/>
    <mergeCell ref="D2764:D2765"/>
    <mergeCell ref="E2764:E2765"/>
    <mergeCell ref="F2764:F2765"/>
    <mergeCell ref="C2755:G2755"/>
    <mergeCell ref="A2756:B2756"/>
    <mergeCell ref="C2756:G2756"/>
    <mergeCell ref="A2751:B2752"/>
    <mergeCell ref="C2751:G2752"/>
    <mergeCell ref="H2751:H2752"/>
    <mergeCell ref="I2751:I2752"/>
    <mergeCell ref="J2751:J2752"/>
    <mergeCell ref="A2753:B2753"/>
    <mergeCell ref="C2753:G2753"/>
    <mergeCell ref="A2746:B2746"/>
    <mergeCell ref="C2746:G2746"/>
    <mergeCell ref="A2747:B2747"/>
    <mergeCell ref="C2747:G2747"/>
    <mergeCell ref="A2748:G2748"/>
    <mergeCell ref="B2749:I2750"/>
    <mergeCell ref="A2743:B2743"/>
    <mergeCell ref="C2743:G2743"/>
    <mergeCell ref="A2744:B2744"/>
    <mergeCell ref="C2744:G2744"/>
    <mergeCell ref="A2745:B2745"/>
    <mergeCell ref="C2745:G2745"/>
    <mergeCell ref="J2738:J2739"/>
    <mergeCell ref="A2740:B2740"/>
    <mergeCell ref="C2740:G2740"/>
    <mergeCell ref="A2741:B2741"/>
    <mergeCell ref="C2741:G2741"/>
    <mergeCell ref="A2742:B2742"/>
    <mergeCell ref="C2742:G2742"/>
    <mergeCell ref="A2735:G2735"/>
    <mergeCell ref="B2736:I2737"/>
    <mergeCell ref="A2738:B2739"/>
    <mergeCell ref="C2738:G2739"/>
    <mergeCell ref="H2738:H2739"/>
    <mergeCell ref="I2738:I2739"/>
    <mergeCell ref="A2732:B2732"/>
    <mergeCell ref="C2732:G2732"/>
    <mergeCell ref="A2733:B2733"/>
    <mergeCell ref="C2733:G2733"/>
    <mergeCell ref="A2734:B2734"/>
    <mergeCell ref="C2734:G2734"/>
    <mergeCell ref="A2729:B2729"/>
    <mergeCell ref="C2729:G2729"/>
    <mergeCell ref="A2730:B2730"/>
    <mergeCell ref="C2730:G2730"/>
    <mergeCell ref="A2731:B2731"/>
    <mergeCell ref="C2731:G2731"/>
    <mergeCell ref="A2726:B2726"/>
    <mergeCell ref="C2726:G2726"/>
    <mergeCell ref="A2727:B2727"/>
    <mergeCell ref="C2727:G2727"/>
    <mergeCell ref="A2728:B2728"/>
    <mergeCell ref="C2728:G2728"/>
    <mergeCell ref="A2723:B2724"/>
    <mergeCell ref="C2723:G2724"/>
    <mergeCell ref="H2723:H2724"/>
    <mergeCell ref="I2723:I2724"/>
    <mergeCell ref="J2723:J2724"/>
    <mergeCell ref="A2725:B2725"/>
    <mergeCell ref="C2725:G2725"/>
    <mergeCell ref="A2718:B2718"/>
    <mergeCell ref="C2718:G2718"/>
    <mergeCell ref="A2719:B2719"/>
    <mergeCell ref="C2719:G2719"/>
    <mergeCell ref="A2720:G2720"/>
    <mergeCell ref="B2721:I2722"/>
    <mergeCell ref="A2715:B2715"/>
    <mergeCell ref="C2715:G2715"/>
    <mergeCell ref="A2716:B2716"/>
    <mergeCell ref="C2716:G2716"/>
    <mergeCell ref="A2717:B2717"/>
    <mergeCell ref="C2717:G2717"/>
    <mergeCell ref="A2712:B2712"/>
    <mergeCell ref="C2712:G2712"/>
    <mergeCell ref="A2713:B2713"/>
    <mergeCell ref="C2713:G2713"/>
    <mergeCell ref="A2714:B2714"/>
    <mergeCell ref="C2714:G2714"/>
    <mergeCell ref="A2709:B2709"/>
    <mergeCell ref="C2709:G2709"/>
    <mergeCell ref="A2710:B2710"/>
    <mergeCell ref="C2710:G2710"/>
    <mergeCell ref="A2711:B2711"/>
    <mergeCell ref="C2711:G2711"/>
    <mergeCell ref="A2706:B2706"/>
    <mergeCell ref="C2706:G2706"/>
    <mergeCell ref="A2707:B2707"/>
    <mergeCell ref="C2707:G2707"/>
    <mergeCell ref="A2708:B2708"/>
    <mergeCell ref="C2708:G2708"/>
    <mergeCell ref="B2702:I2703"/>
    <mergeCell ref="A2704:B2705"/>
    <mergeCell ref="C2704:G2705"/>
    <mergeCell ref="H2704:H2705"/>
    <mergeCell ref="I2704:I2705"/>
    <mergeCell ref="J2704:J2705"/>
    <mergeCell ref="A2700:B2700"/>
    <mergeCell ref="C2700:E2700"/>
    <mergeCell ref="F2700:G2700"/>
    <mergeCell ref="H2700:J2700"/>
    <mergeCell ref="A2701:B2701"/>
    <mergeCell ref="C2701:E2701"/>
    <mergeCell ref="F2701:G2701"/>
    <mergeCell ref="H2701:J2701"/>
    <mergeCell ref="G2695:G2698"/>
    <mergeCell ref="H2695:I2698"/>
    <mergeCell ref="B2697:B2698"/>
    <mergeCell ref="C2697:C2698"/>
    <mergeCell ref="D2697:D2698"/>
    <mergeCell ref="E2697:E2698"/>
    <mergeCell ref="F2697:F2698"/>
    <mergeCell ref="A2691:G2691"/>
    <mergeCell ref="A2692:E2692"/>
    <mergeCell ref="F2692:J2692"/>
    <mergeCell ref="A2693:J2693"/>
    <mergeCell ref="H2694:I2694"/>
    <mergeCell ref="B2695:B2696"/>
    <mergeCell ref="C2695:C2696"/>
    <mergeCell ref="D2695:D2696"/>
    <mergeCell ref="E2695:E2696"/>
    <mergeCell ref="F2695:F2696"/>
    <mergeCell ref="A2688:B2688"/>
    <mergeCell ref="C2688:G2688"/>
    <mergeCell ref="A2689:B2689"/>
    <mergeCell ref="C2689:G2689"/>
    <mergeCell ref="A2690:B2690"/>
    <mergeCell ref="C2690:G2690"/>
    <mergeCell ref="A2685:B2685"/>
    <mergeCell ref="C2685:G2685"/>
    <mergeCell ref="A2686:B2686"/>
    <mergeCell ref="C2686:G2686"/>
    <mergeCell ref="A2687:B2687"/>
    <mergeCell ref="C2687:G2687"/>
    <mergeCell ref="A2682:B2683"/>
    <mergeCell ref="C2682:G2683"/>
    <mergeCell ref="H2682:H2683"/>
    <mergeCell ref="I2682:I2683"/>
    <mergeCell ref="J2682:J2683"/>
    <mergeCell ref="A2684:B2684"/>
    <mergeCell ref="C2684:G2684"/>
    <mergeCell ref="A2677:B2677"/>
    <mergeCell ref="C2677:G2677"/>
    <mergeCell ref="A2678:B2678"/>
    <mergeCell ref="C2678:G2678"/>
    <mergeCell ref="A2679:G2679"/>
    <mergeCell ref="B2680:I2681"/>
    <mergeCell ref="A2674:B2674"/>
    <mergeCell ref="C2674:G2674"/>
    <mergeCell ref="A2675:B2675"/>
    <mergeCell ref="C2675:G2675"/>
    <mergeCell ref="A2676:B2676"/>
    <mergeCell ref="C2676:G2676"/>
    <mergeCell ref="J2669:J2670"/>
    <mergeCell ref="A2671:B2671"/>
    <mergeCell ref="C2671:G2671"/>
    <mergeCell ref="A2672:B2672"/>
    <mergeCell ref="C2672:G2672"/>
    <mergeCell ref="A2673:B2673"/>
    <mergeCell ref="C2673:G2673"/>
    <mergeCell ref="A2666:G2666"/>
    <mergeCell ref="B2667:I2668"/>
    <mergeCell ref="A2669:B2670"/>
    <mergeCell ref="C2669:G2670"/>
    <mergeCell ref="H2669:H2670"/>
    <mergeCell ref="I2669:I2670"/>
    <mergeCell ref="A2663:B2663"/>
    <mergeCell ref="C2663:G2663"/>
    <mergeCell ref="A2664:B2664"/>
    <mergeCell ref="C2664:G2664"/>
    <mergeCell ref="A2665:B2665"/>
    <mergeCell ref="C2665:G2665"/>
    <mergeCell ref="A2660:B2660"/>
    <mergeCell ref="C2660:G2660"/>
    <mergeCell ref="A2661:B2661"/>
    <mergeCell ref="C2661:G2661"/>
    <mergeCell ref="A2662:B2662"/>
    <mergeCell ref="C2662:G2662"/>
    <mergeCell ref="A2657:B2657"/>
    <mergeCell ref="C2657:G2657"/>
    <mergeCell ref="A2658:B2658"/>
    <mergeCell ref="C2658:G2658"/>
    <mergeCell ref="A2659:B2659"/>
    <mergeCell ref="C2659:G2659"/>
    <mergeCell ref="A2654:B2655"/>
    <mergeCell ref="C2654:G2655"/>
    <mergeCell ref="H2654:H2655"/>
    <mergeCell ref="I2654:I2655"/>
    <mergeCell ref="J2654:J2655"/>
    <mergeCell ref="A2656:B2656"/>
    <mergeCell ref="C2656:G2656"/>
    <mergeCell ref="A2649:B2649"/>
    <mergeCell ref="C2649:G2649"/>
    <mergeCell ref="A2650:B2650"/>
    <mergeCell ref="C2650:G2650"/>
    <mergeCell ref="A2651:G2651"/>
    <mergeCell ref="B2652:I2653"/>
    <mergeCell ref="A2646:B2646"/>
    <mergeCell ref="C2646:G2646"/>
    <mergeCell ref="A2647:B2647"/>
    <mergeCell ref="C2647:G2647"/>
    <mergeCell ref="A2648:B2648"/>
    <mergeCell ref="C2648:G2648"/>
    <mergeCell ref="A2643:B2643"/>
    <mergeCell ref="C2643:G2643"/>
    <mergeCell ref="A2644:B2644"/>
    <mergeCell ref="C2644:G2644"/>
    <mergeCell ref="A2645:B2645"/>
    <mergeCell ref="C2645:G2645"/>
    <mergeCell ref="A2640:B2640"/>
    <mergeCell ref="C2640:G2640"/>
    <mergeCell ref="A2641:B2641"/>
    <mergeCell ref="C2641:G2641"/>
    <mergeCell ref="A2642:B2642"/>
    <mergeCell ref="C2642:G2642"/>
    <mergeCell ref="A2637:B2637"/>
    <mergeCell ref="C2637:G2637"/>
    <mergeCell ref="A2638:B2638"/>
    <mergeCell ref="C2638:G2638"/>
    <mergeCell ref="A2639:B2639"/>
    <mergeCell ref="C2639:G2639"/>
    <mergeCell ref="B2633:I2634"/>
    <mergeCell ref="A2635:B2636"/>
    <mergeCell ref="C2635:G2636"/>
    <mergeCell ref="H2635:H2636"/>
    <mergeCell ref="I2635:I2636"/>
    <mergeCell ref="J2635:J2636"/>
    <mergeCell ref="A2631:B2631"/>
    <mergeCell ref="C2631:E2631"/>
    <mergeCell ref="F2631:G2631"/>
    <mergeCell ref="H2631:J2631"/>
    <mergeCell ref="A2632:B2632"/>
    <mergeCell ref="C2632:E2632"/>
    <mergeCell ref="F2632:G2632"/>
    <mergeCell ref="H2632:J2632"/>
    <mergeCell ref="G2626:G2629"/>
    <mergeCell ref="H2626:I2629"/>
    <mergeCell ref="B2628:B2629"/>
    <mergeCell ref="C2628:C2629"/>
    <mergeCell ref="D2628:D2629"/>
    <mergeCell ref="E2628:E2629"/>
    <mergeCell ref="F2628:F2629"/>
    <mergeCell ref="A2622:G2622"/>
    <mergeCell ref="A2623:E2623"/>
    <mergeCell ref="F2623:J2623"/>
    <mergeCell ref="A2624:J2624"/>
    <mergeCell ref="H2625:I2625"/>
    <mergeCell ref="B2626:B2627"/>
    <mergeCell ref="C2626:C2627"/>
    <mergeCell ref="D2626:D2627"/>
    <mergeCell ref="E2626:E2627"/>
    <mergeCell ref="F2626:F2627"/>
    <mergeCell ref="A2619:B2619"/>
    <mergeCell ref="C2619:G2619"/>
    <mergeCell ref="A2620:B2620"/>
    <mergeCell ref="C2620:G2620"/>
    <mergeCell ref="A2621:B2621"/>
    <mergeCell ref="C2621:G2621"/>
    <mergeCell ref="A2616:B2616"/>
    <mergeCell ref="C2616:G2616"/>
    <mergeCell ref="A2617:B2617"/>
    <mergeCell ref="C2617:G2617"/>
    <mergeCell ref="A2618:B2618"/>
    <mergeCell ref="C2618:G2618"/>
    <mergeCell ref="A2613:B2614"/>
    <mergeCell ref="C2613:G2614"/>
    <mergeCell ref="H2613:H2614"/>
    <mergeCell ref="I2613:I2614"/>
    <mergeCell ref="J2613:J2614"/>
    <mergeCell ref="A2615:B2615"/>
    <mergeCell ref="C2615:G2615"/>
    <mergeCell ref="A2608:B2608"/>
    <mergeCell ref="C2608:G2608"/>
    <mergeCell ref="A2609:B2609"/>
    <mergeCell ref="C2609:G2609"/>
    <mergeCell ref="A2610:G2610"/>
    <mergeCell ref="B2611:I2612"/>
    <mergeCell ref="A2605:B2605"/>
    <mergeCell ref="C2605:G2605"/>
    <mergeCell ref="A2606:B2606"/>
    <mergeCell ref="C2606:G2606"/>
    <mergeCell ref="A2607:B2607"/>
    <mergeCell ref="C2607:G2607"/>
    <mergeCell ref="J2600:J2601"/>
    <mergeCell ref="A2602:B2602"/>
    <mergeCell ref="C2602:G2602"/>
    <mergeCell ref="A2603:B2603"/>
    <mergeCell ref="C2603:G2603"/>
    <mergeCell ref="A2604:B2604"/>
    <mergeCell ref="C2604:G2604"/>
    <mergeCell ref="A2597:G2597"/>
    <mergeCell ref="B2598:I2599"/>
    <mergeCell ref="A2600:B2601"/>
    <mergeCell ref="C2600:G2601"/>
    <mergeCell ref="H2600:H2601"/>
    <mergeCell ref="I2600:I2601"/>
    <mergeCell ref="A2594:B2594"/>
    <mergeCell ref="C2594:G2594"/>
    <mergeCell ref="A2595:B2595"/>
    <mergeCell ref="C2595:G2595"/>
    <mergeCell ref="A2596:B2596"/>
    <mergeCell ref="C2596:G2596"/>
    <mergeCell ref="A2591:B2591"/>
    <mergeCell ref="C2591:G2591"/>
    <mergeCell ref="A2592:B2592"/>
    <mergeCell ref="C2592:G2592"/>
    <mergeCell ref="A2593:B2593"/>
    <mergeCell ref="C2593:G2593"/>
    <mergeCell ref="A2588:B2588"/>
    <mergeCell ref="C2588:G2588"/>
    <mergeCell ref="A2589:B2589"/>
    <mergeCell ref="C2589:G2589"/>
    <mergeCell ref="A2590:B2590"/>
    <mergeCell ref="C2590:G2590"/>
    <mergeCell ref="A2585:B2586"/>
    <mergeCell ref="C2585:G2586"/>
    <mergeCell ref="H2585:H2586"/>
    <mergeCell ref="I2585:I2586"/>
    <mergeCell ref="J2585:J2586"/>
    <mergeCell ref="A2587:B2587"/>
    <mergeCell ref="C2587:G2587"/>
    <mergeCell ref="A2580:B2580"/>
    <mergeCell ref="C2580:G2580"/>
    <mergeCell ref="A2581:B2581"/>
    <mergeCell ref="C2581:G2581"/>
    <mergeCell ref="A2582:G2582"/>
    <mergeCell ref="B2583:I2584"/>
    <mergeCell ref="A2577:B2577"/>
    <mergeCell ref="C2577:G2577"/>
    <mergeCell ref="A2578:B2578"/>
    <mergeCell ref="C2578:G2578"/>
    <mergeCell ref="A2579:B2579"/>
    <mergeCell ref="C2579:G2579"/>
    <mergeCell ref="A2574:B2574"/>
    <mergeCell ref="C2574:G2574"/>
    <mergeCell ref="A2575:B2575"/>
    <mergeCell ref="C2575:G2575"/>
    <mergeCell ref="A2576:B2576"/>
    <mergeCell ref="C2576:G2576"/>
    <mergeCell ref="A2571:B2571"/>
    <mergeCell ref="C2571:G2571"/>
    <mergeCell ref="A2572:B2572"/>
    <mergeCell ref="C2572:G2572"/>
    <mergeCell ref="A2573:B2573"/>
    <mergeCell ref="C2573:G2573"/>
    <mergeCell ref="A2568:B2568"/>
    <mergeCell ref="C2568:G2568"/>
    <mergeCell ref="A2569:B2569"/>
    <mergeCell ref="C2569:G2569"/>
    <mergeCell ref="A2570:B2570"/>
    <mergeCell ref="C2570:G2570"/>
    <mergeCell ref="B2564:I2565"/>
    <mergeCell ref="A2566:B2567"/>
    <mergeCell ref="C2566:G2567"/>
    <mergeCell ref="H2566:H2567"/>
    <mergeCell ref="I2566:I2567"/>
    <mergeCell ref="J2566:J2567"/>
    <mergeCell ref="A2562:B2562"/>
    <mergeCell ref="C2562:E2562"/>
    <mergeCell ref="F2562:G2562"/>
    <mergeCell ref="H2562:J2562"/>
    <mergeCell ref="A2563:B2563"/>
    <mergeCell ref="C2563:E2563"/>
    <mergeCell ref="F2563:G2563"/>
    <mergeCell ref="H2563:J2563"/>
    <mergeCell ref="G2557:G2560"/>
    <mergeCell ref="H2557:I2560"/>
    <mergeCell ref="B2559:B2560"/>
    <mergeCell ref="C2559:C2560"/>
    <mergeCell ref="D2559:D2560"/>
    <mergeCell ref="E2559:E2560"/>
    <mergeCell ref="F2559:F2560"/>
    <mergeCell ref="A2553:G2553"/>
    <mergeCell ref="A2554:E2554"/>
    <mergeCell ref="F2554:J2554"/>
    <mergeCell ref="A2555:J2555"/>
    <mergeCell ref="H2556:I2556"/>
    <mergeCell ref="B2557:B2558"/>
    <mergeCell ref="C2557:C2558"/>
    <mergeCell ref="D2557:D2558"/>
    <mergeCell ref="E2557:E2558"/>
    <mergeCell ref="F2557:F2558"/>
    <mergeCell ref="A2550:B2550"/>
    <mergeCell ref="C2550:G2550"/>
    <mergeCell ref="A2551:B2551"/>
    <mergeCell ref="C2551:G2551"/>
    <mergeCell ref="A2552:B2552"/>
    <mergeCell ref="C2552:G2552"/>
    <mergeCell ref="A2547:B2547"/>
    <mergeCell ref="C2547:G2547"/>
    <mergeCell ref="A2548:B2548"/>
    <mergeCell ref="C2548:G2548"/>
    <mergeCell ref="A2549:B2549"/>
    <mergeCell ref="C2549:G2549"/>
    <mergeCell ref="A2544:B2545"/>
    <mergeCell ref="C2544:G2545"/>
    <mergeCell ref="H2544:H2545"/>
    <mergeCell ref="I2544:I2545"/>
    <mergeCell ref="J2544:J2545"/>
    <mergeCell ref="A2546:B2546"/>
    <mergeCell ref="C2546:G2546"/>
    <mergeCell ref="A2539:B2539"/>
    <mergeCell ref="C2539:G2539"/>
    <mergeCell ref="A2540:B2540"/>
    <mergeCell ref="C2540:G2540"/>
    <mergeCell ref="A2541:G2541"/>
    <mergeCell ref="B2542:I2543"/>
    <mergeCell ref="A2536:B2536"/>
    <mergeCell ref="C2536:G2536"/>
    <mergeCell ref="A2537:B2537"/>
    <mergeCell ref="C2537:G2537"/>
    <mergeCell ref="A2538:B2538"/>
    <mergeCell ref="C2538:G2538"/>
    <mergeCell ref="J2531:J2532"/>
    <mergeCell ref="A2533:B2533"/>
    <mergeCell ref="C2533:G2533"/>
    <mergeCell ref="A2534:B2534"/>
    <mergeCell ref="C2534:G2534"/>
    <mergeCell ref="A2535:B2535"/>
    <mergeCell ref="C2535:G2535"/>
    <mergeCell ref="A2528:G2528"/>
    <mergeCell ref="B2529:I2530"/>
    <mergeCell ref="A2531:B2532"/>
    <mergeCell ref="C2531:G2532"/>
    <mergeCell ref="H2531:H2532"/>
    <mergeCell ref="I2531:I2532"/>
    <mergeCell ref="A2525:B2525"/>
    <mergeCell ref="C2525:G2525"/>
    <mergeCell ref="A2526:B2526"/>
    <mergeCell ref="C2526:G2526"/>
    <mergeCell ref="A2527:B2527"/>
    <mergeCell ref="C2527:G2527"/>
    <mergeCell ref="A2522:B2522"/>
    <mergeCell ref="C2522:G2522"/>
    <mergeCell ref="A2523:B2523"/>
    <mergeCell ref="C2523:G2523"/>
    <mergeCell ref="A2524:B2524"/>
    <mergeCell ref="C2524:G2524"/>
    <mergeCell ref="A2519:B2519"/>
    <mergeCell ref="C2519:G2519"/>
    <mergeCell ref="A2520:B2520"/>
    <mergeCell ref="C2520:G2520"/>
    <mergeCell ref="A2521:B2521"/>
    <mergeCell ref="C2521:G2521"/>
    <mergeCell ref="A2516:B2517"/>
    <mergeCell ref="C2516:G2517"/>
    <mergeCell ref="H2516:H2517"/>
    <mergeCell ref="I2516:I2517"/>
    <mergeCell ref="J2516:J2517"/>
    <mergeCell ref="A2518:B2518"/>
    <mergeCell ref="C2518:G2518"/>
    <mergeCell ref="A2511:B2511"/>
    <mergeCell ref="C2511:G2511"/>
    <mergeCell ref="A2512:B2512"/>
    <mergeCell ref="C2512:G2512"/>
    <mergeCell ref="A2513:G2513"/>
    <mergeCell ref="B2514:I2515"/>
    <mergeCell ref="A2508:B2508"/>
    <mergeCell ref="C2508:G2508"/>
    <mergeCell ref="A2509:B2509"/>
    <mergeCell ref="C2509:G2509"/>
    <mergeCell ref="A2510:B2510"/>
    <mergeCell ref="C2510:G2510"/>
    <mergeCell ref="A2505:B2505"/>
    <mergeCell ref="C2505:G2505"/>
    <mergeCell ref="A2506:B2506"/>
    <mergeCell ref="C2506:G2506"/>
    <mergeCell ref="A2507:B2507"/>
    <mergeCell ref="C2507:G2507"/>
    <mergeCell ref="A2502:B2502"/>
    <mergeCell ref="C2502:G2502"/>
    <mergeCell ref="A2503:B2503"/>
    <mergeCell ref="C2503:G2503"/>
    <mergeCell ref="A2504:B2504"/>
    <mergeCell ref="C2504:G2504"/>
    <mergeCell ref="A2499:B2499"/>
    <mergeCell ref="C2499:G2499"/>
    <mergeCell ref="A2500:B2500"/>
    <mergeCell ref="C2500:G2500"/>
    <mergeCell ref="A2501:B2501"/>
    <mergeCell ref="C2501:G2501"/>
    <mergeCell ref="B2495:I2496"/>
    <mergeCell ref="A2497:B2498"/>
    <mergeCell ref="C2497:G2498"/>
    <mergeCell ref="H2497:H2498"/>
    <mergeCell ref="I2497:I2498"/>
    <mergeCell ref="J2497:J2498"/>
    <mergeCell ref="A2493:B2493"/>
    <mergeCell ref="C2493:E2493"/>
    <mergeCell ref="F2493:G2493"/>
    <mergeCell ref="H2493:J2493"/>
    <mergeCell ref="A2494:B2494"/>
    <mergeCell ref="C2494:E2494"/>
    <mergeCell ref="F2494:G2494"/>
    <mergeCell ref="H2494:J2494"/>
    <mergeCell ref="G2488:G2491"/>
    <mergeCell ref="H2488:I2491"/>
    <mergeCell ref="B2490:B2491"/>
    <mergeCell ref="C2490:C2491"/>
    <mergeCell ref="D2490:D2491"/>
    <mergeCell ref="E2490:E2491"/>
    <mergeCell ref="F2490:F2491"/>
    <mergeCell ref="A2484:G2484"/>
    <mergeCell ref="A2485:E2485"/>
    <mergeCell ref="F2485:J2485"/>
    <mergeCell ref="A2486:J2486"/>
    <mergeCell ref="H2487:I2487"/>
    <mergeCell ref="B2488:B2489"/>
    <mergeCell ref="C2488:C2489"/>
    <mergeCell ref="D2488:D2489"/>
    <mergeCell ref="E2488:E2489"/>
    <mergeCell ref="F2488:F2489"/>
    <mergeCell ref="A2481:B2481"/>
    <mergeCell ref="C2481:G2481"/>
    <mergeCell ref="A2482:B2482"/>
    <mergeCell ref="C2482:G2482"/>
    <mergeCell ref="A2483:B2483"/>
    <mergeCell ref="C2483:G2483"/>
    <mergeCell ref="A2478:B2478"/>
    <mergeCell ref="C2478:G2478"/>
    <mergeCell ref="A2479:B2479"/>
    <mergeCell ref="C2479:G2479"/>
    <mergeCell ref="A2480:B2480"/>
    <mergeCell ref="C2480:G2480"/>
    <mergeCell ref="A2475:B2476"/>
    <mergeCell ref="C2475:G2476"/>
    <mergeCell ref="H2475:H2476"/>
    <mergeCell ref="I2475:I2476"/>
    <mergeCell ref="J2475:J2476"/>
    <mergeCell ref="A2477:B2477"/>
    <mergeCell ref="C2477:G2477"/>
    <mergeCell ref="A2470:B2470"/>
    <mergeCell ref="C2470:G2470"/>
    <mergeCell ref="A2471:B2471"/>
    <mergeCell ref="C2471:G2471"/>
    <mergeCell ref="A2472:G2472"/>
    <mergeCell ref="B2473:I2474"/>
    <mergeCell ref="A2467:B2467"/>
    <mergeCell ref="C2467:G2467"/>
    <mergeCell ref="A2468:B2468"/>
    <mergeCell ref="C2468:G2468"/>
    <mergeCell ref="A2469:B2469"/>
    <mergeCell ref="C2469:G2469"/>
    <mergeCell ref="J2462:J2463"/>
    <mergeCell ref="A2464:B2464"/>
    <mergeCell ref="C2464:G2464"/>
    <mergeCell ref="A2465:B2465"/>
    <mergeCell ref="C2465:G2465"/>
    <mergeCell ref="A2466:B2466"/>
    <mergeCell ref="C2466:G2466"/>
    <mergeCell ref="A2459:G2459"/>
    <mergeCell ref="B2460:I2461"/>
    <mergeCell ref="A2462:B2463"/>
    <mergeCell ref="C2462:G2463"/>
    <mergeCell ref="H2462:H2463"/>
    <mergeCell ref="I2462:I2463"/>
    <mergeCell ref="A2456:B2456"/>
    <mergeCell ref="C2456:G2456"/>
    <mergeCell ref="A2457:B2457"/>
    <mergeCell ref="C2457:G2457"/>
    <mergeCell ref="A2458:B2458"/>
    <mergeCell ref="C2458:G2458"/>
    <mergeCell ref="A2453:B2453"/>
    <mergeCell ref="C2453:G2453"/>
    <mergeCell ref="A2454:B2454"/>
    <mergeCell ref="C2454:G2454"/>
    <mergeCell ref="A2455:B2455"/>
    <mergeCell ref="C2455:G2455"/>
    <mergeCell ref="A2450:B2450"/>
    <mergeCell ref="C2450:G2450"/>
    <mergeCell ref="A2451:B2451"/>
    <mergeCell ref="C2451:G2451"/>
    <mergeCell ref="A2452:B2452"/>
    <mergeCell ref="C2452:G2452"/>
    <mergeCell ref="A2447:B2448"/>
    <mergeCell ref="C2447:G2448"/>
    <mergeCell ref="H2447:H2448"/>
    <mergeCell ref="I2447:I2448"/>
    <mergeCell ref="J2447:J2448"/>
    <mergeCell ref="A2449:B2449"/>
    <mergeCell ref="C2449:G2449"/>
    <mergeCell ref="A2442:B2442"/>
    <mergeCell ref="C2442:G2442"/>
    <mergeCell ref="A2443:B2443"/>
    <mergeCell ref="C2443:G2443"/>
    <mergeCell ref="A2444:G2444"/>
    <mergeCell ref="B2445:I2446"/>
    <mergeCell ref="A2439:B2439"/>
    <mergeCell ref="C2439:G2439"/>
    <mergeCell ref="A2440:B2440"/>
    <mergeCell ref="C2440:G2440"/>
    <mergeCell ref="A2441:B2441"/>
    <mergeCell ref="C2441:G2441"/>
    <mergeCell ref="A2436:B2436"/>
    <mergeCell ref="C2436:G2436"/>
    <mergeCell ref="A2437:B2437"/>
    <mergeCell ref="C2437:G2437"/>
    <mergeCell ref="A2438:B2438"/>
    <mergeCell ref="C2438:G2438"/>
    <mergeCell ref="A2433:B2433"/>
    <mergeCell ref="C2433:G2433"/>
    <mergeCell ref="A2434:B2434"/>
    <mergeCell ref="C2434:G2434"/>
    <mergeCell ref="A2435:B2435"/>
    <mergeCell ref="C2435:G2435"/>
    <mergeCell ref="A2430:B2430"/>
    <mergeCell ref="C2430:G2430"/>
    <mergeCell ref="A2431:B2431"/>
    <mergeCell ref="C2431:G2431"/>
    <mergeCell ref="A2432:B2432"/>
    <mergeCell ref="C2432:G2432"/>
    <mergeCell ref="B2426:I2427"/>
    <mergeCell ref="A2428:B2429"/>
    <mergeCell ref="C2428:G2429"/>
    <mergeCell ref="H2428:H2429"/>
    <mergeCell ref="I2428:I2429"/>
    <mergeCell ref="J2428:J2429"/>
    <mergeCell ref="A2424:B2424"/>
    <mergeCell ref="C2424:E2424"/>
    <mergeCell ref="F2424:G2424"/>
    <mergeCell ref="H2424:J2424"/>
    <mergeCell ref="A2425:B2425"/>
    <mergeCell ref="C2425:E2425"/>
    <mergeCell ref="F2425:G2425"/>
    <mergeCell ref="H2425:J2425"/>
    <mergeCell ref="G2419:G2422"/>
    <mergeCell ref="H2419:I2422"/>
    <mergeCell ref="B2421:B2422"/>
    <mergeCell ref="C2421:C2422"/>
    <mergeCell ref="D2421:D2422"/>
    <mergeCell ref="E2421:E2422"/>
    <mergeCell ref="F2421:F2422"/>
    <mergeCell ref="A2415:G2415"/>
    <mergeCell ref="A2416:E2416"/>
    <mergeCell ref="F2416:J2416"/>
    <mergeCell ref="A2417:J2417"/>
    <mergeCell ref="H2418:I2418"/>
    <mergeCell ref="B2419:B2420"/>
    <mergeCell ref="C2419:C2420"/>
    <mergeCell ref="D2419:D2420"/>
    <mergeCell ref="E2419:E2420"/>
    <mergeCell ref="F2419:F2420"/>
    <mergeCell ref="A2412:B2412"/>
    <mergeCell ref="C2412:G2412"/>
    <mergeCell ref="A2413:B2413"/>
    <mergeCell ref="C2413:G2413"/>
    <mergeCell ref="A2414:B2414"/>
    <mergeCell ref="C2414:G2414"/>
    <mergeCell ref="A2409:B2409"/>
    <mergeCell ref="C2409:G2409"/>
    <mergeCell ref="A2410:B2410"/>
    <mergeCell ref="C2410:G2410"/>
    <mergeCell ref="A2411:B2411"/>
    <mergeCell ref="C2411:G2411"/>
    <mergeCell ref="A2406:B2407"/>
    <mergeCell ref="C2406:G2407"/>
    <mergeCell ref="H2406:H2407"/>
    <mergeCell ref="I2406:I2407"/>
    <mergeCell ref="J2406:J2407"/>
    <mergeCell ref="A2408:B2408"/>
    <mergeCell ref="C2408:G2408"/>
    <mergeCell ref="A2401:B2401"/>
    <mergeCell ref="C2401:G2401"/>
    <mergeCell ref="A2402:B2402"/>
    <mergeCell ref="C2402:G2402"/>
    <mergeCell ref="A2403:G2403"/>
    <mergeCell ref="B2404:I2405"/>
    <mergeCell ref="A2398:B2398"/>
    <mergeCell ref="C2398:G2398"/>
    <mergeCell ref="A2399:B2399"/>
    <mergeCell ref="C2399:G2399"/>
    <mergeCell ref="A2400:B2400"/>
    <mergeCell ref="C2400:G2400"/>
    <mergeCell ref="J2393:J2394"/>
    <mergeCell ref="A2395:B2395"/>
    <mergeCell ref="C2395:G2395"/>
    <mergeCell ref="A2396:B2396"/>
    <mergeCell ref="C2396:G2396"/>
    <mergeCell ref="A2397:B2397"/>
    <mergeCell ref="C2397:G2397"/>
    <mergeCell ref="A2390:G2390"/>
    <mergeCell ref="B2391:I2392"/>
    <mergeCell ref="A2393:B2394"/>
    <mergeCell ref="C2393:G2394"/>
    <mergeCell ref="H2393:H2394"/>
    <mergeCell ref="I2393:I2394"/>
    <mergeCell ref="A2387:B2387"/>
    <mergeCell ref="C2387:G2387"/>
    <mergeCell ref="A2388:B2388"/>
    <mergeCell ref="C2388:G2388"/>
    <mergeCell ref="A2389:B2389"/>
    <mergeCell ref="C2389:G2389"/>
    <mergeCell ref="A2384:B2384"/>
    <mergeCell ref="C2384:G2384"/>
    <mergeCell ref="A2385:B2385"/>
    <mergeCell ref="C2385:G2385"/>
    <mergeCell ref="A2386:B2386"/>
    <mergeCell ref="C2386:G2386"/>
    <mergeCell ref="A2381:B2381"/>
    <mergeCell ref="C2381:G2381"/>
    <mergeCell ref="A2382:B2382"/>
    <mergeCell ref="C2382:G2382"/>
    <mergeCell ref="A2383:B2383"/>
    <mergeCell ref="C2383:G2383"/>
    <mergeCell ref="A2378:B2379"/>
    <mergeCell ref="C2378:G2379"/>
    <mergeCell ref="H2378:H2379"/>
    <mergeCell ref="I2378:I2379"/>
    <mergeCell ref="J2378:J2379"/>
    <mergeCell ref="A2380:B2380"/>
    <mergeCell ref="C2380:G2380"/>
    <mergeCell ref="A2373:B2373"/>
    <mergeCell ref="C2373:G2373"/>
    <mergeCell ref="A2374:B2374"/>
    <mergeCell ref="C2374:G2374"/>
    <mergeCell ref="A2375:G2375"/>
    <mergeCell ref="B2376:I2377"/>
    <mergeCell ref="A2370:B2370"/>
    <mergeCell ref="C2370:G2370"/>
    <mergeCell ref="A2371:B2371"/>
    <mergeCell ref="C2371:G2371"/>
    <mergeCell ref="A2372:B2372"/>
    <mergeCell ref="C2372:G2372"/>
    <mergeCell ref="A2367:B2367"/>
    <mergeCell ref="C2367:G2367"/>
    <mergeCell ref="A2368:B2368"/>
    <mergeCell ref="C2368:G2368"/>
    <mergeCell ref="A2369:B2369"/>
    <mergeCell ref="C2369:G2369"/>
    <mergeCell ref="A2364:B2364"/>
    <mergeCell ref="C2364:G2364"/>
    <mergeCell ref="A2365:B2365"/>
    <mergeCell ref="C2365:G2365"/>
    <mergeCell ref="A2366:B2366"/>
    <mergeCell ref="C2366:G2366"/>
    <mergeCell ref="A2361:B2361"/>
    <mergeCell ref="C2361:G2361"/>
    <mergeCell ref="A2362:B2362"/>
    <mergeCell ref="C2362:G2362"/>
    <mergeCell ref="A2363:B2363"/>
    <mergeCell ref="C2363:G2363"/>
    <mergeCell ref="B2357:I2358"/>
    <mergeCell ref="A2359:B2360"/>
    <mergeCell ref="C2359:G2360"/>
    <mergeCell ref="H2359:H2360"/>
    <mergeCell ref="I2359:I2360"/>
    <mergeCell ref="J2359:J2360"/>
    <mergeCell ref="A2355:B2355"/>
    <mergeCell ref="C2355:E2355"/>
    <mergeCell ref="F2355:G2355"/>
    <mergeCell ref="H2355:J2355"/>
    <mergeCell ref="A2356:B2356"/>
    <mergeCell ref="C2356:E2356"/>
    <mergeCell ref="F2356:G2356"/>
    <mergeCell ref="H2356:J2356"/>
    <mergeCell ref="G2350:G2353"/>
    <mergeCell ref="H2350:I2353"/>
    <mergeCell ref="B2352:B2353"/>
    <mergeCell ref="C2352:C2353"/>
    <mergeCell ref="D2352:D2353"/>
    <mergeCell ref="E2352:E2353"/>
    <mergeCell ref="F2352:F2353"/>
    <mergeCell ref="A2346:G2346"/>
    <mergeCell ref="A2347:E2347"/>
    <mergeCell ref="F2347:J2347"/>
    <mergeCell ref="A2348:J2348"/>
    <mergeCell ref="H2349:I2349"/>
    <mergeCell ref="B2350:B2351"/>
    <mergeCell ref="C2350:C2351"/>
    <mergeCell ref="D2350:D2351"/>
    <mergeCell ref="E2350:E2351"/>
    <mergeCell ref="F2350:F2351"/>
    <mergeCell ref="A2343:B2343"/>
    <mergeCell ref="C2343:G2343"/>
    <mergeCell ref="A2344:B2344"/>
    <mergeCell ref="C2344:G2344"/>
    <mergeCell ref="A2345:B2345"/>
    <mergeCell ref="C2345:G2345"/>
    <mergeCell ref="A2340:B2340"/>
    <mergeCell ref="C2340:G2340"/>
    <mergeCell ref="A2341:B2341"/>
    <mergeCell ref="C2341:G2341"/>
    <mergeCell ref="A2342:B2342"/>
    <mergeCell ref="C2342:G2342"/>
    <mergeCell ref="A2337:B2338"/>
    <mergeCell ref="C2337:G2338"/>
    <mergeCell ref="H2337:H2338"/>
    <mergeCell ref="I2337:I2338"/>
    <mergeCell ref="J2337:J2338"/>
    <mergeCell ref="A2339:B2339"/>
    <mergeCell ref="C2339:G2339"/>
    <mergeCell ref="A2332:B2332"/>
    <mergeCell ref="C2332:G2332"/>
    <mergeCell ref="A2333:B2333"/>
    <mergeCell ref="C2333:G2333"/>
    <mergeCell ref="A2334:G2334"/>
    <mergeCell ref="B2335:I2336"/>
    <mergeCell ref="A2329:B2329"/>
    <mergeCell ref="C2329:G2329"/>
    <mergeCell ref="A2330:B2330"/>
    <mergeCell ref="C2330:G2330"/>
    <mergeCell ref="A2331:B2331"/>
    <mergeCell ref="C2331:G2331"/>
    <mergeCell ref="J2324:J2325"/>
    <mergeCell ref="A2326:B2326"/>
    <mergeCell ref="C2326:G2326"/>
    <mergeCell ref="A2327:B2327"/>
    <mergeCell ref="C2327:G2327"/>
    <mergeCell ref="A2328:B2328"/>
    <mergeCell ref="C2328:G2328"/>
    <mergeCell ref="A2321:G2321"/>
    <mergeCell ref="B2322:I2323"/>
    <mergeCell ref="A2324:B2325"/>
    <mergeCell ref="C2324:G2325"/>
    <mergeCell ref="H2324:H2325"/>
    <mergeCell ref="I2324:I2325"/>
    <mergeCell ref="A2318:B2318"/>
    <mergeCell ref="C2318:G2318"/>
    <mergeCell ref="A2319:B2319"/>
    <mergeCell ref="C2319:G2319"/>
    <mergeCell ref="A2320:B2320"/>
    <mergeCell ref="C2320:G2320"/>
    <mergeCell ref="A2315:B2315"/>
    <mergeCell ref="C2315:G2315"/>
    <mergeCell ref="A2316:B2316"/>
    <mergeCell ref="C2316:G2316"/>
    <mergeCell ref="A2317:B2317"/>
    <mergeCell ref="C2317:G2317"/>
    <mergeCell ref="A2312:B2312"/>
    <mergeCell ref="C2312:G2312"/>
    <mergeCell ref="A2313:B2313"/>
    <mergeCell ref="C2313:G2313"/>
    <mergeCell ref="A2314:B2314"/>
    <mergeCell ref="C2314:G2314"/>
    <mergeCell ref="A2309:B2310"/>
    <mergeCell ref="C2309:G2310"/>
    <mergeCell ref="H2309:H2310"/>
    <mergeCell ref="I2309:I2310"/>
    <mergeCell ref="J2309:J2310"/>
    <mergeCell ref="A2311:B2311"/>
    <mergeCell ref="C2311:G2311"/>
    <mergeCell ref="A2304:B2304"/>
    <mergeCell ref="C2304:G2304"/>
    <mergeCell ref="A2305:B2305"/>
    <mergeCell ref="C2305:G2305"/>
    <mergeCell ref="A2306:G2306"/>
    <mergeCell ref="B2307:I2308"/>
    <mergeCell ref="A2301:B2301"/>
    <mergeCell ref="C2301:G2301"/>
    <mergeCell ref="A2302:B2302"/>
    <mergeCell ref="C2302:G2302"/>
    <mergeCell ref="A2303:B2303"/>
    <mergeCell ref="C2303:G2303"/>
    <mergeCell ref="A2298:B2298"/>
    <mergeCell ref="C2298:G2298"/>
    <mergeCell ref="A2299:B2299"/>
    <mergeCell ref="C2299:G2299"/>
    <mergeCell ref="A2300:B2300"/>
    <mergeCell ref="C2300:G2300"/>
    <mergeCell ref="A2295:B2295"/>
    <mergeCell ref="C2295:G2295"/>
    <mergeCell ref="A2296:B2296"/>
    <mergeCell ref="C2296:G2296"/>
    <mergeCell ref="A2297:B2297"/>
    <mergeCell ref="C2297:G2297"/>
    <mergeCell ref="A2292:B2292"/>
    <mergeCell ref="C2292:G2292"/>
    <mergeCell ref="A2293:B2293"/>
    <mergeCell ref="C2293:G2293"/>
    <mergeCell ref="A2294:B2294"/>
    <mergeCell ref="C2294:G2294"/>
    <mergeCell ref="B2288:I2289"/>
    <mergeCell ref="A2290:B2291"/>
    <mergeCell ref="C2290:G2291"/>
    <mergeCell ref="H2290:H2291"/>
    <mergeCell ref="I2290:I2291"/>
    <mergeCell ref="J2290:J2291"/>
    <mergeCell ref="A2286:B2286"/>
    <mergeCell ref="C2286:E2286"/>
    <mergeCell ref="F2286:G2286"/>
    <mergeCell ref="H2286:J2286"/>
    <mergeCell ref="A2287:B2287"/>
    <mergeCell ref="C2287:E2287"/>
    <mergeCell ref="F2287:G2287"/>
    <mergeCell ref="H2287:J2287"/>
    <mergeCell ref="G2281:G2284"/>
    <mergeCell ref="H2281:I2284"/>
    <mergeCell ref="B2283:B2284"/>
    <mergeCell ref="C2283:C2284"/>
    <mergeCell ref="D2283:D2284"/>
    <mergeCell ref="E2283:E2284"/>
    <mergeCell ref="F2283:F2284"/>
    <mergeCell ref="A2277:G2277"/>
    <mergeCell ref="A2278:E2278"/>
    <mergeCell ref="F2278:J2278"/>
    <mergeCell ref="A2279:J2279"/>
    <mergeCell ref="H2280:I2280"/>
    <mergeCell ref="B2281:B2282"/>
    <mergeCell ref="C2281:C2282"/>
    <mergeCell ref="D2281:D2282"/>
    <mergeCell ref="E2281:E2282"/>
    <mergeCell ref="F2281:F2282"/>
    <mergeCell ref="A2274:B2274"/>
    <mergeCell ref="C2274:G2274"/>
    <mergeCell ref="A2275:B2275"/>
    <mergeCell ref="C2275:G2275"/>
    <mergeCell ref="A2276:B2276"/>
    <mergeCell ref="C2276:G2276"/>
    <mergeCell ref="A2271:B2271"/>
    <mergeCell ref="C2271:G2271"/>
    <mergeCell ref="A2272:B2272"/>
    <mergeCell ref="C2272:G2272"/>
    <mergeCell ref="A2273:B2273"/>
    <mergeCell ref="C2273:G2273"/>
    <mergeCell ref="A2268:B2269"/>
    <mergeCell ref="C2268:G2269"/>
    <mergeCell ref="H2268:H2269"/>
    <mergeCell ref="I2268:I2269"/>
    <mergeCell ref="J2268:J2269"/>
    <mergeCell ref="A2270:B2270"/>
    <mergeCell ref="C2270:G2270"/>
    <mergeCell ref="A2263:B2263"/>
    <mergeCell ref="C2263:G2263"/>
    <mergeCell ref="A2264:B2264"/>
    <mergeCell ref="C2264:G2264"/>
    <mergeCell ref="A2265:G2265"/>
    <mergeCell ref="B2266:I2267"/>
    <mergeCell ref="A2260:B2260"/>
    <mergeCell ref="C2260:G2260"/>
    <mergeCell ref="A2261:B2261"/>
    <mergeCell ref="C2261:G2261"/>
    <mergeCell ref="A2262:B2262"/>
    <mergeCell ref="C2262:G2262"/>
    <mergeCell ref="J2255:J2256"/>
    <mergeCell ref="A2257:B2257"/>
    <mergeCell ref="C2257:G2257"/>
    <mergeCell ref="A2258:B2258"/>
    <mergeCell ref="C2258:G2258"/>
    <mergeCell ref="A2259:B2259"/>
    <mergeCell ref="C2259:G2259"/>
    <mergeCell ref="A2252:G2252"/>
    <mergeCell ref="B2253:I2254"/>
    <mergeCell ref="A2255:B2256"/>
    <mergeCell ref="C2255:G2256"/>
    <mergeCell ref="H2255:H2256"/>
    <mergeCell ref="I2255:I2256"/>
    <mergeCell ref="A2249:B2249"/>
    <mergeCell ref="C2249:G2249"/>
    <mergeCell ref="A2250:B2250"/>
    <mergeCell ref="C2250:G2250"/>
    <mergeCell ref="A2251:B2251"/>
    <mergeCell ref="C2251:G2251"/>
    <mergeCell ref="A2246:B2246"/>
    <mergeCell ref="C2246:G2246"/>
    <mergeCell ref="A2247:B2247"/>
    <mergeCell ref="C2247:G2247"/>
    <mergeCell ref="A2248:B2248"/>
    <mergeCell ref="C2248:G2248"/>
    <mergeCell ref="A2243:B2243"/>
    <mergeCell ref="C2243:G2243"/>
    <mergeCell ref="A2244:B2244"/>
    <mergeCell ref="C2244:G2244"/>
    <mergeCell ref="A2245:B2245"/>
    <mergeCell ref="C2245:G2245"/>
    <mergeCell ref="A2240:B2241"/>
    <mergeCell ref="C2240:G2241"/>
    <mergeCell ref="H2240:H2241"/>
    <mergeCell ref="I2240:I2241"/>
    <mergeCell ref="J2240:J2241"/>
    <mergeCell ref="A2242:B2242"/>
    <mergeCell ref="C2242:G2242"/>
    <mergeCell ref="A2235:B2235"/>
    <mergeCell ref="C2235:G2235"/>
    <mergeCell ref="A2236:B2236"/>
    <mergeCell ref="C2236:G2236"/>
    <mergeCell ref="A2237:G2237"/>
    <mergeCell ref="B2238:I2239"/>
    <mergeCell ref="A2232:B2232"/>
    <mergeCell ref="C2232:G2232"/>
    <mergeCell ref="A2233:B2233"/>
    <mergeCell ref="C2233:G2233"/>
    <mergeCell ref="A2234:B2234"/>
    <mergeCell ref="C2234:G2234"/>
    <mergeCell ref="A2229:B2229"/>
    <mergeCell ref="C2229:G2229"/>
    <mergeCell ref="A2230:B2230"/>
    <mergeCell ref="C2230:G2230"/>
    <mergeCell ref="A2231:B2231"/>
    <mergeCell ref="C2231:G2231"/>
    <mergeCell ref="A2226:B2226"/>
    <mergeCell ref="C2226:G2226"/>
    <mergeCell ref="A2227:B2227"/>
    <mergeCell ref="C2227:G2227"/>
    <mergeCell ref="A2228:B2228"/>
    <mergeCell ref="C2228:G2228"/>
    <mergeCell ref="A2223:B2223"/>
    <mergeCell ref="C2223:G2223"/>
    <mergeCell ref="A2224:B2224"/>
    <mergeCell ref="C2224:G2224"/>
    <mergeCell ref="A2225:B2225"/>
    <mergeCell ref="C2225:G2225"/>
    <mergeCell ref="B2219:I2220"/>
    <mergeCell ref="A2221:B2222"/>
    <mergeCell ref="C2221:G2222"/>
    <mergeCell ref="H2221:H2222"/>
    <mergeCell ref="I2221:I2222"/>
    <mergeCell ref="J2221:J2222"/>
    <mergeCell ref="A2217:B2217"/>
    <mergeCell ref="C2217:E2217"/>
    <mergeCell ref="F2217:G2217"/>
    <mergeCell ref="H2217:J2217"/>
    <mergeCell ref="A2218:B2218"/>
    <mergeCell ref="C2218:E2218"/>
    <mergeCell ref="F2218:G2218"/>
    <mergeCell ref="H2218:J2218"/>
    <mergeCell ref="G2212:G2215"/>
    <mergeCell ref="H2212:I2215"/>
    <mergeCell ref="B2214:B2215"/>
    <mergeCell ref="C2214:C2215"/>
    <mergeCell ref="D2214:D2215"/>
    <mergeCell ref="E2214:E2215"/>
    <mergeCell ref="F2214:F2215"/>
    <mergeCell ref="A2208:G2208"/>
    <mergeCell ref="A2209:E2209"/>
    <mergeCell ref="F2209:J2209"/>
    <mergeCell ref="A2210:J2210"/>
    <mergeCell ref="H2211:I2211"/>
    <mergeCell ref="B2212:B2213"/>
    <mergeCell ref="C2212:C2213"/>
    <mergeCell ref="D2212:D2213"/>
    <mergeCell ref="E2212:E2213"/>
    <mergeCell ref="F2212:F2213"/>
    <mergeCell ref="A2205:B2205"/>
    <mergeCell ref="C2205:G2205"/>
    <mergeCell ref="A2206:B2206"/>
    <mergeCell ref="C2206:G2206"/>
    <mergeCell ref="A2207:B2207"/>
    <mergeCell ref="C2207:G2207"/>
    <mergeCell ref="A2202:B2202"/>
    <mergeCell ref="C2202:G2202"/>
    <mergeCell ref="A2203:B2203"/>
    <mergeCell ref="C2203:G2203"/>
    <mergeCell ref="A2204:B2204"/>
    <mergeCell ref="C2204:G2204"/>
    <mergeCell ref="A2199:B2200"/>
    <mergeCell ref="C2199:G2200"/>
    <mergeCell ref="H2199:H2200"/>
    <mergeCell ref="I2199:I2200"/>
    <mergeCell ref="J2199:J2200"/>
    <mergeCell ref="A2201:B2201"/>
    <mergeCell ref="C2201:G2201"/>
    <mergeCell ref="A2194:B2194"/>
    <mergeCell ref="C2194:G2194"/>
    <mergeCell ref="A2195:B2195"/>
    <mergeCell ref="C2195:G2195"/>
    <mergeCell ref="A2196:G2196"/>
    <mergeCell ref="B2197:I2198"/>
    <mergeCell ref="A2191:B2191"/>
    <mergeCell ref="C2191:G2191"/>
    <mergeCell ref="A2192:B2192"/>
    <mergeCell ref="C2192:G2192"/>
    <mergeCell ref="A2193:B2193"/>
    <mergeCell ref="C2193:G2193"/>
    <mergeCell ref="J2186:J2187"/>
    <mergeCell ref="A2188:B2188"/>
    <mergeCell ref="C2188:G2188"/>
    <mergeCell ref="A2189:B2189"/>
    <mergeCell ref="C2189:G2189"/>
    <mergeCell ref="A2190:B2190"/>
    <mergeCell ref="C2190:G2190"/>
    <mergeCell ref="A2183:G2183"/>
    <mergeCell ref="B2184:I2185"/>
    <mergeCell ref="A2186:B2187"/>
    <mergeCell ref="C2186:G2187"/>
    <mergeCell ref="H2186:H2187"/>
    <mergeCell ref="I2186:I2187"/>
    <mergeCell ref="A2180:B2180"/>
    <mergeCell ref="C2180:G2180"/>
    <mergeCell ref="A2181:B2181"/>
    <mergeCell ref="C2181:G2181"/>
    <mergeCell ref="A2182:B2182"/>
    <mergeCell ref="C2182:G2182"/>
    <mergeCell ref="A2177:B2177"/>
    <mergeCell ref="C2177:G2177"/>
    <mergeCell ref="A2178:B2178"/>
    <mergeCell ref="C2178:G2178"/>
    <mergeCell ref="A2179:B2179"/>
    <mergeCell ref="C2179:G2179"/>
    <mergeCell ref="A2174:B2174"/>
    <mergeCell ref="C2174:G2174"/>
    <mergeCell ref="A2175:B2175"/>
    <mergeCell ref="C2175:G2175"/>
    <mergeCell ref="A2176:B2176"/>
    <mergeCell ref="C2176:G2176"/>
    <mergeCell ref="A2171:B2172"/>
    <mergeCell ref="C2171:G2172"/>
    <mergeCell ref="H2171:H2172"/>
    <mergeCell ref="I2171:I2172"/>
    <mergeCell ref="J2171:J2172"/>
    <mergeCell ref="A2173:B2173"/>
    <mergeCell ref="C2173:G2173"/>
    <mergeCell ref="A2166:B2166"/>
    <mergeCell ref="C2166:G2166"/>
    <mergeCell ref="A2167:B2167"/>
    <mergeCell ref="C2167:G2167"/>
    <mergeCell ref="A2168:G2168"/>
    <mergeCell ref="B2169:I2170"/>
    <mergeCell ref="A2163:B2163"/>
    <mergeCell ref="C2163:G2163"/>
    <mergeCell ref="A2164:B2164"/>
    <mergeCell ref="C2164:G2164"/>
    <mergeCell ref="A2165:B2165"/>
    <mergeCell ref="C2165:G2165"/>
    <mergeCell ref="A2160:B2160"/>
    <mergeCell ref="C2160:G2160"/>
    <mergeCell ref="A2161:B2161"/>
    <mergeCell ref="C2161:G2161"/>
    <mergeCell ref="A2162:B2162"/>
    <mergeCell ref="C2162:G2162"/>
    <mergeCell ref="A2157:B2157"/>
    <mergeCell ref="C2157:G2157"/>
    <mergeCell ref="A2158:B2158"/>
    <mergeCell ref="C2158:G2158"/>
    <mergeCell ref="A2159:B2159"/>
    <mergeCell ref="C2159:G2159"/>
    <mergeCell ref="A2154:B2154"/>
    <mergeCell ref="C2154:G2154"/>
    <mergeCell ref="A2155:B2155"/>
    <mergeCell ref="C2155:G2155"/>
    <mergeCell ref="A2156:B2156"/>
    <mergeCell ref="C2156:G2156"/>
    <mergeCell ref="B2150:I2151"/>
    <mergeCell ref="A2152:B2153"/>
    <mergeCell ref="C2152:G2153"/>
    <mergeCell ref="H2152:H2153"/>
    <mergeCell ref="I2152:I2153"/>
    <mergeCell ref="J2152:J2153"/>
    <mergeCell ref="A2148:B2148"/>
    <mergeCell ref="C2148:E2148"/>
    <mergeCell ref="F2148:G2148"/>
    <mergeCell ref="H2148:J2148"/>
    <mergeCell ref="A2149:B2149"/>
    <mergeCell ref="C2149:E2149"/>
    <mergeCell ref="F2149:G2149"/>
    <mergeCell ref="H2149:J2149"/>
    <mergeCell ref="G2143:G2146"/>
    <mergeCell ref="H2143:I2146"/>
    <mergeCell ref="B2145:B2146"/>
    <mergeCell ref="C2145:C2146"/>
    <mergeCell ref="D2145:D2146"/>
    <mergeCell ref="E2145:E2146"/>
    <mergeCell ref="F2145:F2146"/>
    <mergeCell ref="A2139:G2139"/>
    <mergeCell ref="A2140:E2140"/>
    <mergeCell ref="F2140:J2140"/>
    <mergeCell ref="A2141:J2141"/>
    <mergeCell ref="H2142:I2142"/>
    <mergeCell ref="B2143:B2144"/>
    <mergeCell ref="C2143:C2144"/>
    <mergeCell ref="D2143:D2144"/>
    <mergeCell ref="E2143:E2144"/>
    <mergeCell ref="F2143:F2144"/>
    <mergeCell ref="A2136:B2136"/>
    <mergeCell ref="C2136:G2136"/>
    <mergeCell ref="A2137:B2137"/>
    <mergeCell ref="C2137:G2137"/>
    <mergeCell ref="A2138:B2138"/>
    <mergeCell ref="C2138:G2138"/>
    <mergeCell ref="A2133:B2133"/>
    <mergeCell ref="C2133:G2133"/>
    <mergeCell ref="A2134:B2134"/>
    <mergeCell ref="C2134:G2134"/>
    <mergeCell ref="A2135:B2135"/>
    <mergeCell ref="C2135:G2135"/>
    <mergeCell ref="A2130:B2131"/>
    <mergeCell ref="C2130:G2131"/>
    <mergeCell ref="H2130:H2131"/>
    <mergeCell ref="I2130:I2131"/>
    <mergeCell ref="J2130:J2131"/>
    <mergeCell ref="A2132:B2132"/>
    <mergeCell ref="C2132:G2132"/>
    <mergeCell ref="A2125:B2125"/>
    <mergeCell ref="C2125:G2125"/>
    <mergeCell ref="A2126:B2126"/>
    <mergeCell ref="C2126:G2126"/>
    <mergeCell ref="A2127:G2127"/>
    <mergeCell ref="B2128:I2129"/>
    <mergeCell ref="A2122:B2122"/>
    <mergeCell ref="C2122:G2122"/>
    <mergeCell ref="A2123:B2123"/>
    <mergeCell ref="C2123:G2123"/>
    <mergeCell ref="A2124:B2124"/>
    <mergeCell ref="C2124:G2124"/>
    <mergeCell ref="J2117:J2118"/>
    <mergeCell ref="A2119:B2119"/>
    <mergeCell ref="C2119:G2119"/>
    <mergeCell ref="A2120:B2120"/>
    <mergeCell ref="C2120:G2120"/>
    <mergeCell ref="A2121:B2121"/>
    <mergeCell ref="C2121:G2121"/>
    <mergeCell ref="A2114:G2114"/>
    <mergeCell ref="B2115:I2116"/>
    <mergeCell ref="A2117:B2118"/>
    <mergeCell ref="C2117:G2118"/>
    <mergeCell ref="H2117:H2118"/>
    <mergeCell ref="I2117:I2118"/>
    <mergeCell ref="A2111:B2111"/>
    <mergeCell ref="C2111:G2111"/>
    <mergeCell ref="A2112:B2112"/>
    <mergeCell ref="C2112:G2112"/>
    <mergeCell ref="A2113:B2113"/>
    <mergeCell ref="C2113:G2113"/>
    <mergeCell ref="A2108:B2108"/>
    <mergeCell ref="C2108:G2108"/>
    <mergeCell ref="A2109:B2109"/>
    <mergeCell ref="C2109:G2109"/>
    <mergeCell ref="A2110:B2110"/>
    <mergeCell ref="C2110:G2110"/>
    <mergeCell ref="A2105:B2105"/>
    <mergeCell ref="C2105:G2105"/>
    <mergeCell ref="A2106:B2106"/>
    <mergeCell ref="C2106:G2106"/>
    <mergeCell ref="A2107:B2107"/>
    <mergeCell ref="C2107:G2107"/>
    <mergeCell ref="A2102:B2103"/>
    <mergeCell ref="C2102:G2103"/>
    <mergeCell ref="H2102:H2103"/>
    <mergeCell ref="I2102:I2103"/>
    <mergeCell ref="J2102:J2103"/>
    <mergeCell ref="A2104:B2104"/>
    <mergeCell ref="C2104:G2104"/>
    <mergeCell ref="A2097:B2097"/>
    <mergeCell ref="C2097:G2097"/>
    <mergeCell ref="A2098:B2098"/>
    <mergeCell ref="C2098:G2098"/>
    <mergeCell ref="A2099:G2099"/>
    <mergeCell ref="B2100:I2101"/>
    <mergeCell ref="A2094:B2094"/>
    <mergeCell ref="C2094:G2094"/>
    <mergeCell ref="A2095:B2095"/>
    <mergeCell ref="C2095:G2095"/>
    <mergeCell ref="A2096:B2096"/>
    <mergeCell ref="C2096:G2096"/>
    <mergeCell ref="A2091:B2091"/>
    <mergeCell ref="C2091:G2091"/>
    <mergeCell ref="A2092:B2092"/>
    <mergeCell ref="C2092:G2092"/>
    <mergeCell ref="A2093:B2093"/>
    <mergeCell ref="C2093:G2093"/>
    <mergeCell ref="A2088:B2088"/>
    <mergeCell ref="C2088:G2088"/>
    <mergeCell ref="A2089:B2089"/>
    <mergeCell ref="C2089:G2089"/>
    <mergeCell ref="A2090:B2090"/>
    <mergeCell ref="C2090:G2090"/>
    <mergeCell ref="A2085:B2085"/>
    <mergeCell ref="C2085:G2085"/>
    <mergeCell ref="A2086:B2086"/>
    <mergeCell ref="C2086:G2086"/>
    <mergeCell ref="A2087:B2087"/>
    <mergeCell ref="C2087:G2087"/>
    <mergeCell ref="B2081:I2082"/>
    <mergeCell ref="A2083:B2084"/>
    <mergeCell ref="C2083:G2084"/>
    <mergeCell ref="H2083:H2084"/>
    <mergeCell ref="I2083:I2084"/>
    <mergeCell ref="J2083:J2084"/>
    <mergeCell ref="A2079:B2079"/>
    <mergeCell ref="C2079:E2079"/>
    <mergeCell ref="F2079:G2079"/>
    <mergeCell ref="H2079:J2079"/>
    <mergeCell ref="A2080:B2080"/>
    <mergeCell ref="C2080:E2080"/>
    <mergeCell ref="F2080:G2080"/>
    <mergeCell ref="H2080:J2080"/>
    <mergeCell ref="G2074:G2077"/>
    <mergeCell ref="H2074:I2077"/>
    <mergeCell ref="B2076:B2077"/>
    <mergeCell ref="C2076:C2077"/>
    <mergeCell ref="D2076:D2077"/>
    <mergeCell ref="E2076:E2077"/>
    <mergeCell ref="F2076:F2077"/>
    <mergeCell ref="A2070:G2070"/>
    <mergeCell ref="A2071:E2071"/>
    <mergeCell ref="F2071:J2071"/>
    <mergeCell ref="A2072:J2072"/>
    <mergeCell ref="H2073:I2073"/>
    <mergeCell ref="B2074:B2075"/>
    <mergeCell ref="C2074:C2075"/>
    <mergeCell ref="D2074:D2075"/>
    <mergeCell ref="E2074:E2075"/>
    <mergeCell ref="F2074:F2075"/>
    <mergeCell ref="A2067:B2067"/>
    <mergeCell ref="C2067:G2067"/>
    <mergeCell ref="A2068:B2068"/>
    <mergeCell ref="C2068:G2068"/>
    <mergeCell ref="A2069:B2069"/>
    <mergeCell ref="C2069:G2069"/>
    <mergeCell ref="A2064:B2064"/>
    <mergeCell ref="C2064:G2064"/>
    <mergeCell ref="A2065:B2065"/>
    <mergeCell ref="C2065:G2065"/>
    <mergeCell ref="A2066:B2066"/>
    <mergeCell ref="C2066:G2066"/>
    <mergeCell ref="A2061:B2062"/>
    <mergeCell ref="C2061:G2062"/>
    <mergeCell ref="H2061:H2062"/>
    <mergeCell ref="I2061:I2062"/>
    <mergeCell ref="J2061:J2062"/>
    <mergeCell ref="A2063:B2063"/>
    <mergeCell ref="C2063:G2063"/>
    <mergeCell ref="A2056:B2056"/>
    <mergeCell ref="C2056:G2056"/>
    <mergeCell ref="A2057:B2057"/>
    <mergeCell ref="C2057:G2057"/>
    <mergeCell ref="A2058:G2058"/>
    <mergeCell ref="B2059:I2060"/>
    <mergeCell ref="A2053:B2053"/>
    <mergeCell ref="C2053:G2053"/>
    <mergeCell ref="A2054:B2054"/>
    <mergeCell ref="C2054:G2054"/>
    <mergeCell ref="A2055:B2055"/>
    <mergeCell ref="C2055:G2055"/>
    <mergeCell ref="J2048:J2049"/>
    <mergeCell ref="A2050:B2050"/>
    <mergeCell ref="C2050:G2050"/>
    <mergeCell ref="A2051:B2051"/>
    <mergeCell ref="C2051:G2051"/>
    <mergeCell ref="A2052:B2052"/>
    <mergeCell ref="C2052:G2052"/>
    <mergeCell ref="A2045:G2045"/>
    <mergeCell ref="B2046:I2047"/>
    <mergeCell ref="A2048:B2049"/>
    <mergeCell ref="C2048:G2049"/>
    <mergeCell ref="H2048:H2049"/>
    <mergeCell ref="I2048:I2049"/>
    <mergeCell ref="A2042:B2042"/>
    <mergeCell ref="C2042:G2042"/>
    <mergeCell ref="A2043:B2043"/>
    <mergeCell ref="C2043:G2043"/>
    <mergeCell ref="A2044:B2044"/>
    <mergeCell ref="C2044:G2044"/>
    <mergeCell ref="A2039:B2039"/>
    <mergeCell ref="C2039:G2039"/>
    <mergeCell ref="A2040:B2040"/>
    <mergeCell ref="C2040:G2040"/>
    <mergeCell ref="A2041:B2041"/>
    <mergeCell ref="C2041:G2041"/>
    <mergeCell ref="A2036:B2036"/>
    <mergeCell ref="C2036:G2036"/>
    <mergeCell ref="A2037:B2037"/>
    <mergeCell ref="C2037:G2037"/>
    <mergeCell ref="A2038:B2038"/>
    <mergeCell ref="C2038:G2038"/>
    <mergeCell ref="A2033:B2034"/>
    <mergeCell ref="C2033:G2034"/>
    <mergeCell ref="H2033:H2034"/>
    <mergeCell ref="I2033:I2034"/>
    <mergeCell ref="J2033:J2034"/>
    <mergeCell ref="A2035:B2035"/>
    <mergeCell ref="C2035:G2035"/>
    <mergeCell ref="A2028:B2028"/>
    <mergeCell ref="C2028:G2028"/>
    <mergeCell ref="A2029:B2029"/>
    <mergeCell ref="C2029:G2029"/>
    <mergeCell ref="A2030:G2030"/>
    <mergeCell ref="B2031:I2032"/>
    <mergeCell ref="A2025:B2025"/>
    <mergeCell ref="C2025:G2025"/>
    <mergeCell ref="A2026:B2026"/>
    <mergeCell ref="C2026:G2026"/>
    <mergeCell ref="A2027:B2027"/>
    <mergeCell ref="C2027:G2027"/>
    <mergeCell ref="A2022:B2022"/>
    <mergeCell ref="C2022:G2022"/>
    <mergeCell ref="A2023:B2023"/>
    <mergeCell ref="C2023:G2023"/>
    <mergeCell ref="A2024:B2024"/>
    <mergeCell ref="C2024:G2024"/>
    <mergeCell ref="A2019:B2019"/>
    <mergeCell ref="C2019:G2019"/>
    <mergeCell ref="A2020:B2020"/>
    <mergeCell ref="C2020:G2020"/>
    <mergeCell ref="A2021:B2021"/>
    <mergeCell ref="C2021:G2021"/>
    <mergeCell ref="A2016:B2016"/>
    <mergeCell ref="C2016:G2016"/>
    <mergeCell ref="A2017:B2017"/>
    <mergeCell ref="C2017:G2017"/>
    <mergeCell ref="A2018:B2018"/>
    <mergeCell ref="C2018:G2018"/>
    <mergeCell ref="B2012:I2013"/>
    <mergeCell ref="A2014:B2015"/>
    <mergeCell ref="C2014:G2015"/>
    <mergeCell ref="H2014:H2015"/>
    <mergeCell ref="I2014:I2015"/>
    <mergeCell ref="J2014:J2015"/>
    <mergeCell ref="A2010:B2010"/>
    <mergeCell ref="C2010:E2010"/>
    <mergeCell ref="F2010:G2010"/>
    <mergeCell ref="H2010:J2010"/>
    <mergeCell ref="A2011:B2011"/>
    <mergeCell ref="C2011:E2011"/>
    <mergeCell ref="F2011:G2011"/>
    <mergeCell ref="H2011:J2011"/>
    <mergeCell ref="G2005:G2008"/>
    <mergeCell ref="H2005:I2008"/>
    <mergeCell ref="B2007:B2008"/>
    <mergeCell ref="C2007:C2008"/>
    <mergeCell ref="D2007:D2008"/>
    <mergeCell ref="E2007:E2008"/>
    <mergeCell ref="F2007:F2008"/>
    <mergeCell ref="A2001:G2001"/>
    <mergeCell ref="A2002:E2002"/>
    <mergeCell ref="F2002:J2002"/>
    <mergeCell ref="A2003:J2003"/>
    <mergeCell ref="H2004:I2004"/>
    <mergeCell ref="B2005:B2006"/>
    <mergeCell ref="C2005:C2006"/>
    <mergeCell ref="D2005:D2006"/>
    <mergeCell ref="E2005:E2006"/>
    <mergeCell ref="F2005:F2006"/>
    <mergeCell ref="A1998:B1998"/>
    <mergeCell ref="C1998:G1998"/>
    <mergeCell ref="A1999:B1999"/>
    <mergeCell ref="C1999:G1999"/>
    <mergeCell ref="A2000:B2000"/>
    <mergeCell ref="C2000:G2000"/>
    <mergeCell ref="A1995:B1995"/>
    <mergeCell ref="C1995:G1995"/>
    <mergeCell ref="A1996:B1996"/>
    <mergeCell ref="C1996:G1996"/>
    <mergeCell ref="A1997:B1997"/>
    <mergeCell ref="C1997:G1997"/>
    <mergeCell ref="A1992:B1993"/>
    <mergeCell ref="C1992:G1993"/>
    <mergeCell ref="H1992:H1993"/>
    <mergeCell ref="I1992:I1993"/>
    <mergeCell ref="J1992:J1993"/>
    <mergeCell ref="A1994:B1994"/>
    <mergeCell ref="C1994:G1994"/>
    <mergeCell ref="A1987:B1987"/>
    <mergeCell ref="C1987:G1987"/>
    <mergeCell ref="A1988:B1988"/>
    <mergeCell ref="C1988:G1988"/>
    <mergeCell ref="A1989:G1989"/>
    <mergeCell ref="B1990:I1991"/>
    <mergeCell ref="A1984:B1984"/>
    <mergeCell ref="C1984:G1984"/>
    <mergeCell ref="A1985:B1985"/>
    <mergeCell ref="C1985:G1985"/>
    <mergeCell ref="A1986:B1986"/>
    <mergeCell ref="C1986:G1986"/>
    <mergeCell ref="J1979:J1980"/>
    <mergeCell ref="A1981:B1981"/>
    <mergeCell ref="C1981:G1981"/>
    <mergeCell ref="A1982:B1982"/>
    <mergeCell ref="C1982:G1982"/>
    <mergeCell ref="A1983:B1983"/>
    <mergeCell ref="C1983:G1983"/>
    <mergeCell ref="A1976:G1976"/>
    <mergeCell ref="B1977:I1978"/>
    <mergeCell ref="A1979:B1980"/>
    <mergeCell ref="C1979:G1980"/>
    <mergeCell ref="H1979:H1980"/>
    <mergeCell ref="I1979:I1980"/>
    <mergeCell ref="A1973:B1973"/>
    <mergeCell ref="C1973:G1973"/>
    <mergeCell ref="A1974:B1974"/>
    <mergeCell ref="C1974:G1974"/>
    <mergeCell ref="A1975:B1975"/>
    <mergeCell ref="C1975:G1975"/>
    <mergeCell ref="A1970:B1970"/>
    <mergeCell ref="C1970:G1970"/>
    <mergeCell ref="A1971:B1971"/>
    <mergeCell ref="C1971:G1971"/>
    <mergeCell ref="A1972:B1972"/>
    <mergeCell ref="C1972:G1972"/>
    <mergeCell ref="A1967:B1967"/>
    <mergeCell ref="C1967:G1967"/>
    <mergeCell ref="A1968:B1968"/>
    <mergeCell ref="C1968:G1968"/>
    <mergeCell ref="A1969:B1969"/>
    <mergeCell ref="C1969:G1969"/>
    <mergeCell ref="A1964:B1965"/>
    <mergeCell ref="C1964:G1965"/>
    <mergeCell ref="H1964:H1965"/>
    <mergeCell ref="I1964:I1965"/>
    <mergeCell ref="J1964:J1965"/>
    <mergeCell ref="A1966:B1966"/>
    <mergeCell ref="C1966:G1966"/>
    <mergeCell ref="A1959:B1959"/>
    <mergeCell ref="C1959:G1959"/>
    <mergeCell ref="A1960:B1960"/>
    <mergeCell ref="C1960:G1960"/>
    <mergeCell ref="A1961:G1961"/>
    <mergeCell ref="B1962:I1963"/>
    <mergeCell ref="A1956:B1956"/>
    <mergeCell ref="C1956:G1956"/>
    <mergeCell ref="A1957:B1957"/>
    <mergeCell ref="C1957:G1957"/>
    <mergeCell ref="A1958:B1958"/>
    <mergeCell ref="C1958:G1958"/>
    <mergeCell ref="A1953:B1953"/>
    <mergeCell ref="C1953:G1953"/>
    <mergeCell ref="A1954:B1954"/>
    <mergeCell ref="C1954:G1954"/>
    <mergeCell ref="A1955:B1955"/>
    <mergeCell ref="C1955:G1955"/>
    <mergeCell ref="A1950:B1950"/>
    <mergeCell ref="C1950:G1950"/>
    <mergeCell ref="A1951:B1951"/>
    <mergeCell ref="C1951:G1951"/>
    <mergeCell ref="A1952:B1952"/>
    <mergeCell ref="C1952:G1952"/>
    <mergeCell ref="A1947:B1947"/>
    <mergeCell ref="C1947:G1947"/>
    <mergeCell ref="A1948:B1948"/>
    <mergeCell ref="C1948:G1948"/>
    <mergeCell ref="A1949:B1949"/>
    <mergeCell ref="C1949:G1949"/>
    <mergeCell ref="B1943:I1944"/>
    <mergeCell ref="A1945:B1946"/>
    <mergeCell ref="C1945:G1946"/>
    <mergeCell ref="H1945:H1946"/>
    <mergeCell ref="I1945:I1946"/>
    <mergeCell ref="J1945:J1946"/>
    <mergeCell ref="A1941:B1941"/>
    <mergeCell ref="C1941:E1941"/>
    <mergeCell ref="F1941:G1941"/>
    <mergeCell ref="H1941:J1941"/>
    <mergeCell ref="A1942:B1942"/>
    <mergeCell ref="C1942:E1942"/>
    <mergeCell ref="F1942:G1942"/>
    <mergeCell ref="H1942:J1942"/>
    <mergeCell ref="G1936:G1939"/>
    <mergeCell ref="H1936:I1939"/>
    <mergeCell ref="B1938:B1939"/>
    <mergeCell ref="C1938:C1939"/>
    <mergeCell ref="D1938:D1939"/>
    <mergeCell ref="E1938:E1939"/>
    <mergeCell ref="F1938:F1939"/>
    <mergeCell ref="A1932:G1932"/>
    <mergeCell ref="A1933:E1933"/>
    <mergeCell ref="F1933:J1933"/>
    <mergeCell ref="A1934:J1934"/>
    <mergeCell ref="H1935:I1935"/>
    <mergeCell ref="B1936:B1937"/>
    <mergeCell ref="C1936:C1937"/>
    <mergeCell ref="D1936:D1937"/>
    <mergeCell ref="E1936:E1937"/>
    <mergeCell ref="F1936:F1937"/>
    <mergeCell ref="A1929:B1929"/>
    <mergeCell ref="C1929:G1929"/>
    <mergeCell ref="A1930:B1930"/>
    <mergeCell ref="C1930:G1930"/>
    <mergeCell ref="A1931:B1931"/>
    <mergeCell ref="C1931:G1931"/>
    <mergeCell ref="A1926:B1926"/>
    <mergeCell ref="C1926:G1926"/>
    <mergeCell ref="A1927:B1927"/>
    <mergeCell ref="C1927:G1927"/>
    <mergeCell ref="A1928:B1928"/>
    <mergeCell ref="C1928:G1928"/>
    <mergeCell ref="A1923:B1924"/>
    <mergeCell ref="C1923:G1924"/>
    <mergeCell ref="H1923:H1924"/>
    <mergeCell ref="I1923:I1924"/>
    <mergeCell ref="J1923:J1924"/>
    <mergeCell ref="A1925:B1925"/>
    <mergeCell ref="C1925:G1925"/>
    <mergeCell ref="A1918:B1918"/>
    <mergeCell ref="C1918:G1918"/>
    <mergeCell ref="A1919:B1919"/>
    <mergeCell ref="C1919:G1919"/>
    <mergeCell ref="A1920:G1920"/>
    <mergeCell ref="B1921:I1922"/>
    <mergeCell ref="A1915:B1915"/>
    <mergeCell ref="C1915:G1915"/>
    <mergeCell ref="A1916:B1916"/>
    <mergeCell ref="C1916:G1916"/>
    <mergeCell ref="A1917:B1917"/>
    <mergeCell ref="C1917:G1917"/>
    <mergeCell ref="J1910:J1911"/>
    <mergeCell ref="A1912:B1912"/>
    <mergeCell ref="C1912:G1912"/>
    <mergeCell ref="A1913:B1913"/>
    <mergeCell ref="C1913:G1913"/>
    <mergeCell ref="A1914:B1914"/>
    <mergeCell ref="C1914:G1914"/>
    <mergeCell ref="A1907:G1907"/>
    <mergeCell ref="B1908:I1909"/>
    <mergeCell ref="A1910:B1911"/>
    <mergeCell ref="C1910:G1911"/>
    <mergeCell ref="H1910:H1911"/>
    <mergeCell ref="I1910:I1911"/>
    <mergeCell ref="A1904:B1904"/>
    <mergeCell ref="C1904:G1904"/>
    <mergeCell ref="A1905:B1905"/>
    <mergeCell ref="C1905:G1905"/>
    <mergeCell ref="A1906:B1906"/>
    <mergeCell ref="C1906:G1906"/>
    <mergeCell ref="A1901:B1901"/>
    <mergeCell ref="C1901:G1901"/>
    <mergeCell ref="A1902:B1902"/>
    <mergeCell ref="C1902:G1902"/>
    <mergeCell ref="A1903:B1903"/>
    <mergeCell ref="C1903:G1903"/>
    <mergeCell ref="A1898:B1898"/>
    <mergeCell ref="C1898:G1898"/>
    <mergeCell ref="A1899:B1899"/>
    <mergeCell ref="C1899:G1899"/>
    <mergeCell ref="A1900:B1900"/>
    <mergeCell ref="C1900:G1900"/>
    <mergeCell ref="A1895:B1896"/>
    <mergeCell ref="C1895:G1896"/>
    <mergeCell ref="H1895:H1896"/>
    <mergeCell ref="I1895:I1896"/>
    <mergeCell ref="J1895:J1896"/>
    <mergeCell ref="A1897:B1897"/>
    <mergeCell ref="C1897:G1897"/>
    <mergeCell ref="A1890:B1890"/>
    <mergeCell ref="C1890:G1890"/>
    <mergeCell ref="A1891:B1891"/>
    <mergeCell ref="C1891:G1891"/>
    <mergeCell ref="A1892:G1892"/>
    <mergeCell ref="B1893:I1894"/>
    <mergeCell ref="A1887:B1887"/>
    <mergeCell ref="C1887:G1887"/>
    <mergeCell ref="A1888:B1888"/>
    <mergeCell ref="C1888:G1888"/>
    <mergeCell ref="A1889:B1889"/>
    <mergeCell ref="C1889:G1889"/>
    <mergeCell ref="A1884:B1884"/>
    <mergeCell ref="C1884:G1884"/>
    <mergeCell ref="A1885:B1885"/>
    <mergeCell ref="C1885:G1885"/>
    <mergeCell ref="A1886:B1886"/>
    <mergeCell ref="C1886:G1886"/>
    <mergeCell ref="A1881:B1881"/>
    <mergeCell ref="C1881:G1881"/>
    <mergeCell ref="A1882:B1882"/>
    <mergeCell ref="C1882:G1882"/>
    <mergeCell ref="A1883:B1883"/>
    <mergeCell ref="C1883:G1883"/>
    <mergeCell ref="A1878:B1878"/>
    <mergeCell ref="C1878:G1878"/>
    <mergeCell ref="A1879:B1879"/>
    <mergeCell ref="C1879:G1879"/>
    <mergeCell ref="A1880:B1880"/>
    <mergeCell ref="C1880:G1880"/>
    <mergeCell ref="B1874:I1875"/>
    <mergeCell ref="A1876:B1877"/>
    <mergeCell ref="C1876:G1877"/>
    <mergeCell ref="H1876:H1877"/>
    <mergeCell ref="I1876:I1877"/>
    <mergeCell ref="J1876:J1877"/>
    <mergeCell ref="A1872:B1872"/>
    <mergeCell ref="C1872:E1872"/>
    <mergeCell ref="F1872:G1872"/>
    <mergeCell ref="H1872:J1872"/>
    <mergeCell ref="A1873:B1873"/>
    <mergeCell ref="C1873:E1873"/>
    <mergeCell ref="F1873:G1873"/>
    <mergeCell ref="H1873:J1873"/>
    <mergeCell ref="G1867:G1870"/>
    <mergeCell ref="H1867:I1870"/>
    <mergeCell ref="B1869:B1870"/>
    <mergeCell ref="C1869:C1870"/>
    <mergeCell ref="D1869:D1870"/>
    <mergeCell ref="E1869:E1870"/>
    <mergeCell ref="F1869:F1870"/>
    <mergeCell ref="A1863:G1863"/>
    <mergeCell ref="A1864:E1864"/>
    <mergeCell ref="F1864:J1864"/>
    <mergeCell ref="A1865:J1865"/>
    <mergeCell ref="H1866:I1866"/>
    <mergeCell ref="B1867:B1868"/>
    <mergeCell ref="C1867:C1868"/>
    <mergeCell ref="D1867:D1868"/>
    <mergeCell ref="E1867:E1868"/>
    <mergeCell ref="F1867:F1868"/>
    <mergeCell ref="A1860:B1860"/>
    <mergeCell ref="C1860:G1860"/>
    <mergeCell ref="A1861:B1861"/>
    <mergeCell ref="C1861:G1861"/>
    <mergeCell ref="A1862:B1862"/>
    <mergeCell ref="C1862:G1862"/>
    <mergeCell ref="A1857:B1857"/>
    <mergeCell ref="C1857:G1857"/>
    <mergeCell ref="A1858:B1858"/>
    <mergeCell ref="C1858:G1858"/>
    <mergeCell ref="A1859:B1859"/>
    <mergeCell ref="C1859:G1859"/>
    <mergeCell ref="A1854:B1855"/>
    <mergeCell ref="C1854:G1855"/>
    <mergeCell ref="H1854:H1855"/>
    <mergeCell ref="I1854:I1855"/>
    <mergeCell ref="J1854:J1855"/>
    <mergeCell ref="A1856:B1856"/>
    <mergeCell ref="C1856:G1856"/>
    <mergeCell ref="A1849:B1849"/>
    <mergeCell ref="C1849:G1849"/>
    <mergeCell ref="A1850:B1850"/>
    <mergeCell ref="C1850:G1850"/>
    <mergeCell ref="A1851:G1851"/>
    <mergeCell ref="B1852:I1853"/>
    <mergeCell ref="A1846:B1846"/>
    <mergeCell ref="C1846:G1846"/>
    <mergeCell ref="A1847:B1847"/>
    <mergeCell ref="C1847:G1847"/>
    <mergeCell ref="A1848:B1848"/>
    <mergeCell ref="C1848:G1848"/>
    <mergeCell ref="J1841:J1842"/>
    <mergeCell ref="A1843:B1843"/>
    <mergeCell ref="C1843:G1843"/>
    <mergeCell ref="A1844:B1844"/>
    <mergeCell ref="C1844:G1844"/>
    <mergeCell ref="A1845:B1845"/>
    <mergeCell ref="C1845:G1845"/>
    <mergeCell ref="A1838:G1838"/>
    <mergeCell ref="B1839:I1840"/>
    <mergeCell ref="A1841:B1842"/>
    <mergeCell ref="C1841:G1842"/>
    <mergeCell ref="H1841:H1842"/>
    <mergeCell ref="I1841:I1842"/>
    <mergeCell ref="A1835:B1835"/>
    <mergeCell ref="C1835:G1835"/>
    <mergeCell ref="A1836:B1836"/>
    <mergeCell ref="C1836:G1836"/>
    <mergeCell ref="A1837:B1837"/>
    <mergeCell ref="C1837:G1837"/>
    <mergeCell ref="A1832:B1832"/>
    <mergeCell ref="C1832:G1832"/>
    <mergeCell ref="A1833:B1833"/>
    <mergeCell ref="C1833:G1833"/>
    <mergeCell ref="A1834:B1834"/>
    <mergeCell ref="C1834:G1834"/>
    <mergeCell ref="A1829:B1829"/>
    <mergeCell ref="C1829:G1829"/>
    <mergeCell ref="A1830:B1830"/>
    <mergeCell ref="C1830:G1830"/>
    <mergeCell ref="A1831:B1831"/>
    <mergeCell ref="C1831:G1831"/>
    <mergeCell ref="A1826:B1827"/>
    <mergeCell ref="C1826:G1827"/>
    <mergeCell ref="H1826:H1827"/>
    <mergeCell ref="I1826:I1827"/>
    <mergeCell ref="J1826:J1827"/>
    <mergeCell ref="A1828:B1828"/>
    <mergeCell ref="C1828:G1828"/>
    <mergeCell ref="A1821:B1821"/>
    <mergeCell ref="C1821:G1821"/>
    <mergeCell ref="A1822:B1822"/>
    <mergeCell ref="C1822:G1822"/>
    <mergeCell ref="A1823:G1823"/>
    <mergeCell ref="B1824:I1825"/>
    <mergeCell ref="A1818:B1818"/>
    <mergeCell ref="C1818:G1818"/>
    <mergeCell ref="A1819:B1819"/>
    <mergeCell ref="C1819:G1819"/>
    <mergeCell ref="A1820:B1820"/>
    <mergeCell ref="C1820:G1820"/>
    <mergeCell ref="A1815:B1815"/>
    <mergeCell ref="C1815:G1815"/>
    <mergeCell ref="A1816:B1816"/>
    <mergeCell ref="C1816:G1816"/>
    <mergeCell ref="A1817:B1817"/>
    <mergeCell ref="C1817:G1817"/>
    <mergeCell ref="A1812:B1812"/>
    <mergeCell ref="C1812:G1812"/>
    <mergeCell ref="A1813:B1813"/>
    <mergeCell ref="C1813:G1813"/>
    <mergeCell ref="A1814:B1814"/>
    <mergeCell ref="C1814:G1814"/>
    <mergeCell ref="A1809:B1809"/>
    <mergeCell ref="C1809:G1809"/>
    <mergeCell ref="A1810:B1810"/>
    <mergeCell ref="C1810:G1810"/>
    <mergeCell ref="A1811:B1811"/>
    <mergeCell ref="C1811:G1811"/>
    <mergeCell ref="B1805:I1806"/>
    <mergeCell ref="A1807:B1808"/>
    <mergeCell ref="C1807:G1808"/>
    <mergeCell ref="H1807:H1808"/>
    <mergeCell ref="I1807:I1808"/>
    <mergeCell ref="J1807:J1808"/>
    <mergeCell ref="A1803:B1803"/>
    <mergeCell ref="C1803:E1803"/>
    <mergeCell ref="F1803:G1803"/>
    <mergeCell ref="H1803:J1803"/>
    <mergeCell ref="A1804:B1804"/>
    <mergeCell ref="C1804:E1804"/>
    <mergeCell ref="F1804:G1804"/>
    <mergeCell ref="H1804:J1804"/>
    <mergeCell ref="G1798:G1801"/>
    <mergeCell ref="H1798:I1801"/>
    <mergeCell ref="B1800:B1801"/>
    <mergeCell ref="C1800:C1801"/>
    <mergeCell ref="D1800:D1801"/>
    <mergeCell ref="E1800:E1801"/>
    <mergeCell ref="F1800:F1801"/>
    <mergeCell ref="A1794:G1794"/>
    <mergeCell ref="A1795:E1795"/>
    <mergeCell ref="F1795:J1795"/>
    <mergeCell ref="A1796:J1796"/>
    <mergeCell ref="H1797:I1797"/>
    <mergeCell ref="B1798:B1799"/>
    <mergeCell ref="C1798:C1799"/>
    <mergeCell ref="D1798:D1799"/>
    <mergeCell ref="E1798:E1799"/>
    <mergeCell ref="F1798:F1799"/>
    <mergeCell ref="A1791:B1791"/>
    <mergeCell ref="C1791:G1791"/>
    <mergeCell ref="A1792:B1792"/>
    <mergeCell ref="C1792:G1792"/>
    <mergeCell ref="A1793:B1793"/>
    <mergeCell ref="C1793:G1793"/>
    <mergeCell ref="A1788:B1788"/>
    <mergeCell ref="C1788:G1788"/>
    <mergeCell ref="A1789:B1789"/>
    <mergeCell ref="C1789:G1789"/>
    <mergeCell ref="A1790:B1790"/>
    <mergeCell ref="C1790:G1790"/>
    <mergeCell ref="A1785:B1786"/>
    <mergeCell ref="C1785:G1786"/>
    <mergeCell ref="H1785:H1786"/>
    <mergeCell ref="I1785:I1786"/>
    <mergeCell ref="J1785:J1786"/>
    <mergeCell ref="A1787:B1787"/>
    <mergeCell ref="C1787:G1787"/>
    <mergeCell ref="A1780:B1780"/>
    <mergeCell ref="C1780:G1780"/>
    <mergeCell ref="A1781:B1781"/>
    <mergeCell ref="C1781:G1781"/>
    <mergeCell ref="A1782:G1782"/>
    <mergeCell ref="B1783:I1784"/>
    <mergeCell ref="A1777:B1777"/>
    <mergeCell ref="C1777:G1777"/>
    <mergeCell ref="A1778:B1778"/>
    <mergeCell ref="C1778:G1778"/>
    <mergeCell ref="A1779:B1779"/>
    <mergeCell ref="C1779:G1779"/>
    <mergeCell ref="J1772:J1773"/>
    <mergeCell ref="A1774:B1774"/>
    <mergeCell ref="C1774:G1774"/>
    <mergeCell ref="A1775:B1775"/>
    <mergeCell ref="C1775:G1775"/>
    <mergeCell ref="A1776:B1776"/>
    <mergeCell ref="C1776:G1776"/>
    <mergeCell ref="A1769:G1769"/>
    <mergeCell ref="B1770:I1771"/>
    <mergeCell ref="A1772:B1773"/>
    <mergeCell ref="C1772:G1773"/>
    <mergeCell ref="H1772:H1773"/>
    <mergeCell ref="I1772:I1773"/>
    <mergeCell ref="A1766:B1766"/>
    <mergeCell ref="C1766:G1766"/>
    <mergeCell ref="A1767:B1767"/>
    <mergeCell ref="C1767:G1767"/>
    <mergeCell ref="A1768:B1768"/>
    <mergeCell ref="C1768:G1768"/>
    <mergeCell ref="A1763:B1763"/>
    <mergeCell ref="C1763:G1763"/>
    <mergeCell ref="A1764:B1764"/>
    <mergeCell ref="C1764:G1764"/>
    <mergeCell ref="A1765:B1765"/>
    <mergeCell ref="C1765:G1765"/>
    <mergeCell ref="A1760:B1760"/>
    <mergeCell ref="C1760:G1760"/>
    <mergeCell ref="A1761:B1761"/>
    <mergeCell ref="C1761:G1761"/>
    <mergeCell ref="A1762:B1762"/>
    <mergeCell ref="C1762:G1762"/>
    <mergeCell ref="A1757:B1758"/>
    <mergeCell ref="C1757:G1758"/>
    <mergeCell ref="H1757:H1758"/>
    <mergeCell ref="I1757:I1758"/>
    <mergeCell ref="J1757:J1758"/>
    <mergeCell ref="A1759:B1759"/>
    <mergeCell ref="C1759:G1759"/>
    <mergeCell ref="A1752:B1752"/>
    <mergeCell ref="C1752:G1752"/>
    <mergeCell ref="A1753:B1753"/>
    <mergeCell ref="C1753:G1753"/>
    <mergeCell ref="A1754:G1754"/>
    <mergeCell ref="B1755:I1756"/>
    <mergeCell ref="A1749:B1749"/>
    <mergeCell ref="C1749:G1749"/>
    <mergeCell ref="A1750:B1750"/>
    <mergeCell ref="C1750:G1750"/>
    <mergeCell ref="A1751:B1751"/>
    <mergeCell ref="C1751:G1751"/>
    <mergeCell ref="A1746:B1746"/>
    <mergeCell ref="C1746:G1746"/>
    <mergeCell ref="A1747:B1747"/>
    <mergeCell ref="C1747:G1747"/>
    <mergeCell ref="A1748:B1748"/>
    <mergeCell ref="C1748:G1748"/>
    <mergeCell ref="A1743:B1743"/>
    <mergeCell ref="C1743:G1743"/>
    <mergeCell ref="A1744:B1744"/>
    <mergeCell ref="C1744:G1744"/>
    <mergeCell ref="A1745:B1745"/>
    <mergeCell ref="C1745:G1745"/>
    <mergeCell ref="A1740:B1740"/>
    <mergeCell ref="C1740:G1740"/>
    <mergeCell ref="A1741:B1741"/>
    <mergeCell ref="C1741:G1741"/>
    <mergeCell ref="A1742:B1742"/>
    <mergeCell ref="C1742:G1742"/>
    <mergeCell ref="B1736:I1737"/>
    <mergeCell ref="A1738:B1739"/>
    <mergeCell ref="C1738:G1739"/>
    <mergeCell ref="H1738:H1739"/>
    <mergeCell ref="I1738:I1739"/>
    <mergeCell ref="J1738:J1739"/>
    <mergeCell ref="A1734:B1734"/>
    <mergeCell ref="C1734:E1734"/>
    <mergeCell ref="F1734:G1734"/>
    <mergeCell ref="H1734:J1734"/>
    <mergeCell ref="A1735:B1735"/>
    <mergeCell ref="C1735:E1735"/>
    <mergeCell ref="F1735:G1735"/>
    <mergeCell ref="H1735:J1735"/>
    <mergeCell ref="G1729:G1732"/>
    <mergeCell ref="H1729:I1732"/>
    <mergeCell ref="B1731:B1732"/>
    <mergeCell ref="C1731:C1732"/>
    <mergeCell ref="D1731:D1732"/>
    <mergeCell ref="E1731:E1732"/>
    <mergeCell ref="F1731:F1732"/>
    <mergeCell ref="A1725:G1725"/>
    <mergeCell ref="A1726:E1726"/>
    <mergeCell ref="F1726:J1726"/>
    <mergeCell ref="A1727:J1727"/>
    <mergeCell ref="H1728:I1728"/>
    <mergeCell ref="B1729:B1730"/>
    <mergeCell ref="C1729:C1730"/>
    <mergeCell ref="D1729:D1730"/>
    <mergeCell ref="E1729:E1730"/>
    <mergeCell ref="F1729:F1730"/>
    <mergeCell ref="A1722:B1722"/>
    <mergeCell ref="C1722:G1722"/>
    <mergeCell ref="A1723:B1723"/>
    <mergeCell ref="C1723:G1723"/>
    <mergeCell ref="A1724:B1724"/>
    <mergeCell ref="C1724:G1724"/>
    <mergeCell ref="A1719:B1719"/>
    <mergeCell ref="C1719:G1719"/>
    <mergeCell ref="A1720:B1720"/>
    <mergeCell ref="C1720:G1720"/>
    <mergeCell ref="A1721:B1721"/>
    <mergeCell ref="C1721:G1721"/>
    <mergeCell ref="A1716:B1717"/>
    <mergeCell ref="C1716:G1717"/>
    <mergeCell ref="H1716:H1717"/>
    <mergeCell ref="I1716:I1717"/>
    <mergeCell ref="J1716:J1717"/>
    <mergeCell ref="A1718:B1718"/>
    <mergeCell ref="C1718:G1718"/>
    <mergeCell ref="A1711:B1711"/>
    <mergeCell ref="C1711:G1711"/>
    <mergeCell ref="A1712:B1712"/>
    <mergeCell ref="C1712:G1712"/>
    <mergeCell ref="A1713:G1713"/>
    <mergeCell ref="B1714:I1715"/>
    <mergeCell ref="A1708:B1708"/>
    <mergeCell ref="C1708:G1708"/>
    <mergeCell ref="A1709:B1709"/>
    <mergeCell ref="C1709:G1709"/>
    <mergeCell ref="A1710:B1710"/>
    <mergeCell ref="C1710:G1710"/>
    <mergeCell ref="J1703:J1704"/>
    <mergeCell ref="A1705:B1705"/>
    <mergeCell ref="C1705:G1705"/>
    <mergeCell ref="A1706:B1706"/>
    <mergeCell ref="C1706:G1706"/>
    <mergeCell ref="A1707:B1707"/>
    <mergeCell ref="C1707:G1707"/>
    <mergeCell ref="A1700:G1700"/>
    <mergeCell ref="B1701:I1702"/>
    <mergeCell ref="A1703:B1704"/>
    <mergeCell ref="C1703:G1704"/>
    <mergeCell ref="H1703:H1704"/>
    <mergeCell ref="I1703:I1704"/>
    <mergeCell ref="A1697:B1697"/>
    <mergeCell ref="C1697:G1697"/>
    <mergeCell ref="A1698:B1698"/>
    <mergeCell ref="C1698:G1698"/>
    <mergeCell ref="A1699:B1699"/>
    <mergeCell ref="C1699:G1699"/>
    <mergeCell ref="A1694:B1694"/>
    <mergeCell ref="C1694:G1694"/>
    <mergeCell ref="A1695:B1695"/>
    <mergeCell ref="C1695:G1695"/>
    <mergeCell ref="A1696:B1696"/>
    <mergeCell ref="C1696:G1696"/>
    <mergeCell ref="A1691:B1691"/>
    <mergeCell ref="C1691:G1691"/>
    <mergeCell ref="A1692:B1692"/>
    <mergeCell ref="C1692:G1692"/>
    <mergeCell ref="A1693:B1693"/>
    <mergeCell ref="C1693:G1693"/>
    <mergeCell ref="A1688:B1689"/>
    <mergeCell ref="C1688:G1689"/>
    <mergeCell ref="H1688:H1689"/>
    <mergeCell ref="I1688:I1689"/>
    <mergeCell ref="J1688:J1689"/>
    <mergeCell ref="A1690:B1690"/>
    <mergeCell ref="C1690:G1690"/>
    <mergeCell ref="A1683:B1683"/>
    <mergeCell ref="C1683:G1683"/>
    <mergeCell ref="A1684:B1684"/>
    <mergeCell ref="C1684:G1684"/>
    <mergeCell ref="A1685:G1685"/>
    <mergeCell ref="B1686:I1687"/>
    <mergeCell ref="A1680:B1680"/>
    <mergeCell ref="C1680:G1680"/>
    <mergeCell ref="A1681:B1681"/>
    <mergeCell ref="C1681:G1681"/>
    <mergeCell ref="A1682:B1682"/>
    <mergeCell ref="C1682:G1682"/>
    <mergeCell ref="A1677:B1677"/>
    <mergeCell ref="C1677:G1677"/>
    <mergeCell ref="A1678:B1678"/>
    <mergeCell ref="C1678:G1678"/>
    <mergeCell ref="A1679:B1679"/>
    <mergeCell ref="C1679:G1679"/>
    <mergeCell ref="A1674:B1674"/>
    <mergeCell ref="C1674:G1674"/>
    <mergeCell ref="A1675:B1675"/>
    <mergeCell ref="C1675:G1675"/>
    <mergeCell ref="A1676:B1676"/>
    <mergeCell ref="C1676:G1676"/>
    <mergeCell ref="A1671:B1671"/>
    <mergeCell ref="C1671:G1671"/>
    <mergeCell ref="A1672:B1672"/>
    <mergeCell ref="C1672:G1672"/>
    <mergeCell ref="A1673:B1673"/>
    <mergeCell ref="C1673:G1673"/>
    <mergeCell ref="B1667:I1668"/>
    <mergeCell ref="A1669:B1670"/>
    <mergeCell ref="C1669:G1670"/>
    <mergeCell ref="H1669:H1670"/>
    <mergeCell ref="I1669:I1670"/>
    <mergeCell ref="J1669:J1670"/>
    <mergeCell ref="A1665:B1665"/>
    <mergeCell ref="C1665:E1665"/>
    <mergeCell ref="F1665:G1665"/>
    <mergeCell ref="H1665:J1665"/>
    <mergeCell ref="A1666:B1666"/>
    <mergeCell ref="C1666:E1666"/>
    <mergeCell ref="F1666:G1666"/>
    <mergeCell ref="H1666:J1666"/>
    <mergeCell ref="G1660:G1663"/>
    <mergeCell ref="H1660:I1663"/>
    <mergeCell ref="B1662:B1663"/>
    <mergeCell ref="C1662:C1663"/>
    <mergeCell ref="D1662:D1663"/>
    <mergeCell ref="E1662:E1663"/>
    <mergeCell ref="F1662:F1663"/>
    <mergeCell ref="A1656:G1656"/>
    <mergeCell ref="A1657:E1657"/>
    <mergeCell ref="F1657:J1657"/>
    <mergeCell ref="A1658:J1658"/>
    <mergeCell ref="H1659:I1659"/>
    <mergeCell ref="B1660:B1661"/>
    <mergeCell ref="C1660:C1661"/>
    <mergeCell ref="D1660:D1661"/>
    <mergeCell ref="E1660:E1661"/>
    <mergeCell ref="F1660:F1661"/>
    <mergeCell ref="A1653:B1653"/>
    <mergeCell ref="C1653:G1653"/>
    <mergeCell ref="A1654:B1654"/>
    <mergeCell ref="C1654:G1654"/>
    <mergeCell ref="A1655:B1655"/>
    <mergeCell ref="C1655:G1655"/>
    <mergeCell ref="A1650:B1650"/>
    <mergeCell ref="C1650:G1650"/>
    <mergeCell ref="A1651:B1651"/>
    <mergeCell ref="C1651:G1651"/>
    <mergeCell ref="A1652:B1652"/>
    <mergeCell ref="C1652:G1652"/>
    <mergeCell ref="A1647:B1648"/>
    <mergeCell ref="C1647:G1648"/>
    <mergeCell ref="H1647:H1648"/>
    <mergeCell ref="I1647:I1648"/>
    <mergeCell ref="J1647:J1648"/>
    <mergeCell ref="A1649:B1649"/>
    <mergeCell ref="C1649:G1649"/>
    <mergeCell ref="A1642:B1642"/>
    <mergeCell ref="C1642:G1642"/>
    <mergeCell ref="A1643:B1643"/>
    <mergeCell ref="C1643:G1643"/>
    <mergeCell ref="A1644:G1644"/>
    <mergeCell ref="B1645:I1646"/>
    <mergeCell ref="A1639:B1639"/>
    <mergeCell ref="C1639:G1639"/>
    <mergeCell ref="A1640:B1640"/>
    <mergeCell ref="C1640:G1640"/>
    <mergeCell ref="A1641:B1641"/>
    <mergeCell ref="C1641:G1641"/>
    <mergeCell ref="J1634:J1635"/>
    <mergeCell ref="A1636:B1636"/>
    <mergeCell ref="C1636:G1636"/>
    <mergeCell ref="A1637:B1637"/>
    <mergeCell ref="C1637:G1637"/>
    <mergeCell ref="A1638:B1638"/>
    <mergeCell ref="C1638:G1638"/>
    <mergeCell ref="A1631:G1631"/>
    <mergeCell ref="B1632:I1633"/>
    <mergeCell ref="A1634:B1635"/>
    <mergeCell ref="C1634:G1635"/>
    <mergeCell ref="H1634:H1635"/>
    <mergeCell ref="I1634:I1635"/>
    <mergeCell ref="A1628:B1628"/>
    <mergeCell ref="C1628:G1628"/>
    <mergeCell ref="A1629:B1629"/>
    <mergeCell ref="C1629:G1629"/>
    <mergeCell ref="A1630:B1630"/>
    <mergeCell ref="C1630:G1630"/>
    <mergeCell ref="A1625:B1625"/>
    <mergeCell ref="C1625:G1625"/>
    <mergeCell ref="A1626:B1626"/>
    <mergeCell ref="C1626:G1626"/>
    <mergeCell ref="A1627:B1627"/>
    <mergeCell ref="C1627:G1627"/>
    <mergeCell ref="A1622:B1622"/>
    <mergeCell ref="C1622:G1622"/>
    <mergeCell ref="A1623:B1623"/>
    <mergeCell ref="C1623:G1623"/>
    <mergeCell ref="A1624:B1624"/>
    <mergeCell ref="C1624:G1624"/>
    <mergeCell ref="A1619:B1620"/>
    <mergeCell ref="C1619:G1620"/>
    <mergeCell ref="H1619:H1620"/>
    <mergeCell ref="I1619:I1620"/>
    <mergeCell ref="J1619:J1620"/>
    <mergeCell ref="A1621:B1621"/>
    <mergeCell ref="C1621:G1621"/>
    <mergeCell ref="A1614:B1614"/>
    <mergeCell ref="C1614:G1614"/>
    <mergeCell ref="A1615:B1615"/>
    <mergeCell ref="C1615:G1615"/>
    <mergeCell ref="A1616:G1616"/>
    <mergeCell ref="B1617:I1618"/>
    <mergeCell ref="A1611:B1611"/>
    <mergeCell ref="C1611:G1611"/>
    <mergeCell ref="A1612:B1612"/>
    <mergeCell ref="C1612:G1612"/>
    <mergeCell ref="A1613:B1613"/>
    <mergeCell ref="C1613:G1613"/>
    <mergeCell ref="A1608:B1608"/>
    <mergeCell ref="C1608:G1608"/>
    <mergeCell ref="A1609:B1609"/>
    <mergeCell ref="C1609:G1609"/>
    <mergeCell ref="A1610:B1610"/>
    <mergeCell ref="C1610:G1610"/>
    <mergeCell ref="A1605:B1605"/>
    <mergeCell ref="C1605:G1605"/>
    <mergeCell ref="A1606:B1606"/>
    <mergeCell ref="C1606:G1606"/>
    <mergeCell ref="A1607:B1607"/>
    <mergeCell ref="C1607:G1607"/>
    <mergeCell ref="A1602:B1602"/>
    <mergeCell ref="C1602:G1602"/>
    <mergeCell ref="A1603:B1603"/>
    <mergeCell ref="C1603:G1603"/>
    <mergeCell ref="A1604:B1604"/>
    <mergeCell ref="C1604:G1604"/>
    <mergeCell ref="B1598:I1599"/>
    <mergeCell ref="A1600:B1601"/>
    <mergeCell ref="C1600:G1601"/>
    <mergeCell ref="H1600:H1601"/>
    <mergeCell ref="I1600:I1601"/>
    <mergeCell ref="J1600:J1601"/>
    <mergeCell ref="A1596:B1596"/>
    <mergeCell ref="C1596:E1596"/>
    <mergeCell ref="F1596:G1596"/>
    <mergeCell ref="H1596:J1596"/>
    <mergeCell ref="A1597:B1597"/>
    <mergeCell ref="C1597:E1597"/>
    <mergeCell ref="F1597:G1597"/>
    <mergeCell ref="H1597:J1597"/>
    <mergeCell ref="G1591:G1594"/>
    <mergeCell ref="H1591:I1594"/>
    <mergeCell ref="B1593:B1594"/>
    <mergeCell ref="C1593:C1594"/>
    <mergeCell ref="D1593:D1594"/>
    <mergeCell ref="E1593:E1594"/>
    <mergeCell ref="F1593:F1594"/>
    <mergeCell ref="A1587:G1587"/>
    <mergeCell ref="A1588:E1588"/>
    <mergeCell ref="F1588:J1588"/>
    <mergeCell ref="A1589:J1589"/>
    <mergeCell ref="H1590:I1590"/>
    <mergeCell ref="B1591:B1592"/>
    <mergeCell ref="C1591:C1592"/>
    <mergeCell ref="D1591:D1592"/>
    <mergeCell ref="E1591:E1592"/>
    <mergeCell ref="F1591:F1592"/>
    <mergeCell ref="A1584:B1584"/>
    <mergeCell ref="C1584:G1584"/>
    <mergeCell ref="A1585:B1585"/>
    <mergeCell ref="C1585:G1585"/>
    <mergeCell ref="A1586:B1586"/>
    <mergeCell ref="C1586:G1586"/>
    <mergeCell ref="A1581:B1581"/>
    <mergeCell ref="C1581:G1581"/>
    <mergeCell ref="A1582:B1582"/>
    <mergeCell ref="C1582:G1582"/>
    <mergeCell ref="A1583:B1583"/>
    <mergeCell ref="C1583:G1583"/>
    <mergeCell ref="A1578:B1579"/>
    <mergeCell ref="C1578:G1579"/>
    <mergeCell ref="H1578:H1579"/>
    <mergeCell ref="I1578:I1579"/>
    <mergeCell ref="J1578:J1579"/>
    <mergeCell ref="A1580:B1580"/>
    <mergeCell ref="C1580:G1580"/>
    <mergeCell ref="A1573:B1573"/>
    <mergeCell ref="C1573:G1573"/>
    <mergeCell ref="A1574:B1574"/>
    <mergeCell ref="C1574:G1574"/>
    <mergeCell ref="A1575:G1575"/>
    <mergeCell ref="B1576:I1577"/>
    <mergeCell ref="A1570:B1570"/>
    <mergeCell ref="C1570:G1570"/>
    <mergeCell ref="A1571:B1571"/>
    <mergeCell ref="C1571:G1571"/>
    <mergeCell ref="A1572:B1572"/>
    <mergeCell ref="C1572:G1572"/>
    <mergeCell ref="J1565:J1566"/>
    <mergeCell ref="A1567:B1567"/>
    <mergeCell ref="C1567:G1567"/>
    <mergeCell ref="A1568:B1568"/>
    <mergeCell ref="C1568:G1568"/>
    <mergeCell ref="A1569:B1569"/>
    <mergeCell ref="C1569:G1569"/>
    <mergeCell ref="A1562:G1562"/>
    <mergeCell ref="B1563:I1564"/>
    <mergeCell ref="A1565:B1566"/>
    <mergeCell ref="C1565:G1566"/>
    <mergeCell ref="H1565:H1566"/>
    <mergeCell ref="I1565:I1566"/>
    <mergeCell ref="A1559:B1559"/>
    <mergeCell ref="C1559:G1559"/>
    <mergeCell ref="A1560:B1560"/>
    <mergeCell ref="C1560:G1560"/>
    <mergeCell ref="A1561:B1561"/>
    <mergeCell ref="C1561:G1561"/>
    <mergeCell ref="A1556:B1556"/>
    <mergeCell ref="C1556:G1556"/>
    <mergeCell ref="A1557:B1557"/>
    <mergeCell ref="C1557:G1557"/>
    <mergeCell ref="A1558:B1558"/>
    <mergeCell ref="C1558:G1558"/>
    <mergeCell ref="A1553:B1553"/>
    <mergeCell ref="C1553:G1553"/>
    <mergeCell ref="A1554:B1554"/>
    <mergeCell ref="C1554:G1554"/>
    <mergeCell ref="A1555:B1555"/>
    <mergeCell ref="C1555:G1555"/>
    <mergeCell ref="A1550:B1551"/>
    <mergeCell ref="C1550:G1551"/>
    <mergeCell ref="H1550:H1551"/>
    <mergeCell ref="I1550:I1551"/>
    <mergeCell ref="J1550:J1551"/>
    <mergeCell ref="A1552:B1552"/>
    <mergeCell ref="C1552:G1552"/>
    <mergeCell ref="A1545:B1545"/>
    <mergeCell ref="C1545:G1545"/>
    <mergeCell ref="A1546:B1546"/>
    <mergeCell ref="C1546:G1546"/>
    <mergeCell ref="A1547:G1547"/>
    <mergeCell ref="B1548:I1549"/>
    <mergeCell ref="A1542:B1542"/>
    <mergeCell ref="C1542:G1542"/>
    <mergeCell ref="A1543:B1543"/>
    <mergeCell ref="C1543:G1543"/>
    <mergeCell ref="A1544:B1544"/>
    <mergeCell ref="C1544:G1544"/>
    <mergeCell ref="A1539:B1539"/>
    <mergeCell ref="C1539:G1539"/>
    <mergeCell ref="A1540:B1540"/>
    <mergeCell ref="C1540:G1540"/>
    <mergeCell ref="A1541:B1541"/>
    <mergeCell ref="C1541:G1541"/>
    <mergeCell ref="A1536:B1536"/>
    <mergeCell ref="C1536:G1536"/>
    <mergeCell ref="A1537:B1537"/>
    <mergeCell ref="C1537:G1537"/>
    <mergeCell ref="A1538:B1538"/>
    <mergeCell ref="C1538:G1538"/>
    <mergeCell ref="A1533:B1533"/>
    <mergeCell ref="C1533:G1533"/>
    <mergeCell ref="A1534:B1534"/>
    <mergeCell ref="C1534:G1534"/>
    <mergeCell ref="A1535:B1535"/>
    <mergeCell ref="C1535:G1535"/>
    <mergeCell ref="B1529:I1530"/>
    <mergeCell ref="A1531:B1532"/>
    <mergeCell ref="C1531:G1532"/>
    <mergeCell ref="H1531:H1532"/>
    <mergeCell ref="I1531:I1532"/>
    <mergeCell ref="J1531:J1532"/>
    <mergeCell ref="A1527:B1527"/>
    <mergeCell ref="C1527:E1527"/>
    <mergeCell ref="F1527:G1527"/>
    <mergeCell ref="H1527:J1527"/>
    <mergeCell ref="A1528:B1528"/>
    <mergeCell ref="C1528:E1528"/>
    <mergeCell ref="F1528:G1528"/>
    <mergeCell ref="H1528:J1528"/>
    <mergeCell ref="G1522:G1525"/>
    <mergeCell ref="H1522:I1525"/>
    <mergeCell ref="B1524:B1525"/>
    <mergeCell ref="C1524:C1525"/>
    <mergeCell ref="D1524:D1525"/>
    <mergeCell ref="E1524:E1525"/>
    <mergeCell ref="F1524:F1525"/>
    <mergeCell ref="A1518:G1518"/>
    <mergeCell ref="A1519:E1519"/>
    <mergeCell ref="F1519:J1519"/>
    <mergeCell ref="A1520:J1520"/>
    <mergeCell ref="H1521:I1521"/>
    <mergeCell ref="B1522:B1523"/>
    <mergeCell ref="C1522:C1523"/>
    <mergeCell ref="D1522:D1523"/>
    <mergeCell ref="E1522:E1523"/>
    <mergeCell ref="F1522:F1523"/>
    <mergeCell ref="A1515:B1515"/>
    <mergeCell ref="C1515:G1515"/>
    <mergeCell ref="A1516:B1516"/>
    <mergeCell ref="C1516:G1516"/>
    <mergeCell ref="A1517:B1517"/>
    <mergeCell ref="C1517:G1517"/>
    <mergeCell ref="A1512:B1512"/>
    <mergeCell ref="C1512:G1512"/>
    <mergeCell ref="A1513:B1513"/>
    <mergeCell ref="C1513:G1513"/>
    <mergeCell ref="A1514:B1514"/>
    <mergeCell ref="C1514:G1514"/>
    <mergeCell ref="A1509:B1510"/>
    <mergeCell ref="C1509:G1510"/>
    <mergeCell ref="H1509:H1510"/>
    <mergeCell ref="I1509:I1510"/>
    <mergeCell ref="J1509:J1510"/>
    <mergeCell ref="A1511:B1511"/>
    <mergeCell ref="C1511:G1511"/>
    <mergeCell ref="A1504:B1504"/>
    <mergeCell ref="C1504:G1504"/>
    <mergeCell ref="A1505:B1505"/>
    <mergeCell ref="C1505:G1505"/>
    <mergeCell ref="A1506:G1506"/>
    <mergeCell ref="B1507:I1508"/>
    <mergeCell ref="A1501:B1501"/>
    <mergeCell ref="C1501:G1501"/>
    <mergeCell ref="A1502:B1502"/>
    <mergeCell ref="C1502:G1502"/>
    <mergeCell ref="A1503:B1503"/>
    <mergeCell ref="C1503:G1503"/>
    <mergeCell ref="J1496:J1497"/>
    <mergeCell ref="A1498:B1498"/>
    <mergeCell ref="C1498:G1498"/>
    <mergeCell ref="A1499:B1499"/>
    <mergeCell ref="C1499:G1499"/>
    <mergeCell ref="A1500:B1500"/>
    <mergeCell ref="C1500:G1500"/>
    <mergeCell ref="A1493:G1493"/>
    <mergeCell ref="B1494:I1495"/>
    <mergeCell ref="A1496:B1497"/>
    <mergeCell ref="C1496:G1497"/>
    <mergeCell ref="H1496:H1497"/>
    <mergeCell ref="I1496:I1497"/>
    <mergeCell ref="A1490:B1490"/>
    <mergeCell ref="C1490:G1490"/>
    <mergeCell ref="A1491:B1491"/>
    <mergeCell ref="C1491:G1491"/>
    <mergeCell ref="A1492:B1492"/>
    <mergeCell ref="C1492:G1492"/>
    <mergeCell ref="A1487:B1487"/>
    <mergeCell ref="C1487:G1487"/>
    <mergeCell ref="A1488:B1488"/>
    <mergeCell ref="C1488:G1488"/>
    <mergeCell ref="A1489:B1489"/>
    <mergeCell ref="C1489:G1489"/>
    <mergeCell ref="A1484:B1484"/>
    <mergeCell ref="C1484:G1484"/>
    <mergeCell ref="A1485:B1485"/>
    <mergeCell ref="C1485:G1485"/>
    <mergeCell ref="A1486:B1486"/>
    <mergeCell ref="C1486:G1486"/>
    <mergeCell ref="A1481:B1482"/>
    <mergeCell ref="C1481:G1482"/>
    <mergeCell ref="H1481:H1482"/>
    <mergeCell ref="I1481:I1482"/>
    <mergeCell ref="J1481:J1482"/>
    <mergeCell ref="A1483:B1483"/>
    <mergeCell ref="C1483:G1483"/>
    <mergeCell ref="A1476:B1476"/>
    <mergeCell ref="C1476:G1476"/>
    <mergeCell ref="A1477:B1477"/>
    <mergeCell ref="C1477:G1477"/>
    <mergeCell ref="A1478:G1478"/>
    <mergeCell ref="B1479:I1480"/>
    <mergeCell ref="A1473:B1473"/>
    <mergeCell ref="C1473:G1473"/>
    <mergeCell ref="A1474:B1474"/>
    <mergeCell ref="C1474:G1474"/>
    <mergeCell ref="A1475:B1475"/>
    <mergeCell ref="C1475:G1475"/>
    <mergeCell ref="A1470:B1470"/>
    <mergeCell ref="C1470:G1470"/>
    <mergeCell ref="A1471:B1471"/>
    <mergeCell ref="C1471:G1471"/>
    <mergeCell ref="A1472:B1472"/>
    <mergeCell ref="C1472:G1472"/>
    <mergeCell ref="A1467:B1467"/>
    <mergeCell ref="C1467:G1467"/>
    <mergeCell ref="A1468:B1468"/>
    <mergeCell ref="C1468:G1468"/>
    <mergeCell ref="A1469:B1469"/>
    <mergeCell ref="C1469:G1469"/>
    <mergeCell ref="A1464:B1464"/>
    <mergeCell ref="C1464:G1464"/>
    <mergeCell ref="A1465:B1465"/>
    <mergeCell ref="C1465:G1465"/>
    <mergeCell ref="A1466:B1466"/>
    <mergeCell ref="C1466:G1466"/>
    <mergeCell ref="B1460:I1461"/>
    <mergeCell ref="A1462:B1463"/>
    <mergeCell ref="C1462:G1463"/>
    <mergeCell ref="H1462:H1463"/>
    <mergeCell ref="I1462:I1463"/>
    <mergeCell ref="J1462:J1463"/>
    <mergeCell ref="A1458:B1458"/>
    <mergeCell ref="C1458:E1458"/>
    <mergeCell ref="F1458:G1458"/>
    <mergeCell ref="H1458:J1458"/>
    <mergeCell ref="A1459:B1459"/>
    <mergeCell ref="C1459:E1459"/>
    <mergeCell ref="F1459:G1459"/>
    <mergeCell ref="H1459:J1459"/>
    <mergeCell ref="G1453:G1456"/>
    <mergeCell ref="H1453:I1456"/>
    <mergeCell ref="B1455:B1456"/>
    <mergeCell ref="C1455:C1456"/>
    <mergeCell ref="D1455:D1456"/>
    <mergeCell ref="E1455:E1456"/>
    <mergeCell ref="F1455:F1456"/>
    <mergeCell ref="A1449:G1449"/>
    <mergeCell ref="A1450:E1450"/>
    <mergeCell ref="F1450:J1450"/>
    <mergeCell ref="A1451:J1451"/>
    <mergeCell ref="H1452:I1452"/>
    <mergeCell ref="B1453:B1454"/>
    <mergeCell ref="C1453:C1454"/>
    <mergeCell ref="D1453:D1454"/>
    <mergeCell ref="E1453:E1454"/>
    <mergeCell ref="F1453:F1454"/>
    <mergeCell ref="A1446:B1446"/>
    <mergeCell ref="C1446:G1446"/>
    <mergeCell ref="A1447:B1447"/>
    <mergeCell ref="C1447:G1447"/>
    <mergeCell ref="A1448:B1448"/>
    <mergeCell ref="C1448:G1448"/>
    <mergeCell ref="A1443:B1443"/>
    <mergeCell ref="C1443:G1443"/>
    <mergeCell ref="A1444:B1444"/>
    <mergeCell ref="C1444:G1444"/>
    <mergeCell ref="A1445:B1445"/>
    <mergeCell ref="C1445:G1445"/>
    <mergeCell ref="A1440:B1441"/>
    <mergeCell ref="C1440:G1441"/>
    <mergeCell ref="H1440:H1441"/>
    <mergeCell ref="I1440:I1441"/>
    <mergeCell ref="J1440:J1441"/>
    <mergeCell ref="A1442:B1442"/>
    <mergeCell ref="C1442:G1442"/>
    <mergeCell ref="A1435:B1435"/>
    <mergeCell ref="C1435:G1435"/>
    <mergeCell ref="A1436:B1436"/>
    <mergeCell ref="C1436:G1436"/>
    <mergeCell ref="A1437:G1437"/>
    <mergeCell ref="B1438:I1439"/>
    <mergeCell ref="A1432:B1432"/>
    <mergeCell ref="C1432:G1432"/>
    <mergeCell ref="A1433:B1433"/>
    <mergeCell ref="C1433:G1433"/>
    <mergeCell ref="A1434:B1434"/>
    <mergeCell ref="C1434:G1434"/>
    <mergeCell ref="J1427:J1428"/>
    <mergeCell ref="A1429:B1429"/>
    <mergeCell ref="C1429:G1429"/>
    <mergeCell ref="A1430:B1430"/>
    <mergeCell ref="C1430:G1430"/>
    <mergeCell ref="A1431:B1431"/>
    <mergeCell ref="C1431:G1431"/>
    <mergeCell ref="A1424:G1424"/>
    <mergeCell ref="B1425:I1426"/>
    <mergeCell ref="A1427:B1428"/>
    <mergeCell ref="C1427:G1428"/>
    <mergeCell ref="H1427:H1428"/>
    <mergeCell ref="I1427:I1428"/>
    <mergeCell ref="A1421:B1421"/>
    <mergeCell ref="C1421:G1421"/>
    <mergeCell ref="A1422:B1422"/>
    <mergeCell ref="C1422:G1422"/>
    <mergeCell ref="A1423:B1423"/>
    <mergeCell ref="C1423:G1423"/>
    <mergeCell ref="A1418:B1418"/>
    <mergeCell ref="C1418:G1418"/>
    <mergeCell ref="A1419:B1419"/>
    <mergeCell ref="C1419:G1419"/>
    <mergeCell ref="A1420:B1420"/>
    <mergeCell ref="C1420:G1420"/>
    <mergeCell ref="A1415:B1415"/>
    <mergeCell ref="C1415:G1415"/>
    <mergeCell ref="A1416:B1416"/>
    <mergeCell ref="C1416:G1416"/>
    <mergeCell ref="A1417:B1417"/>
    <mergeCell ref="C1417:G1417"/>
    <mergeCell ref="A1412:B1413"/>
    <mergeCell ref="C1412:G1413"/>
    <mergeCell ref="H1412:H1413"/>
    <mergeCell ref="I1412:I1413"/>
    <mergeCell ref="J1412:J1413"/>
    <mergeCell ref="A1414:B1414"/>
    <mergeCell ref="C1414:G1414"/>
    <mergeCell ref="A1407:B1407"/>
    <mergeCell ref="C1407:G1407"/>
    <mergeCell ref="A1408:B1408"/>
    <mergeCell ref="C1408:G1408"/>
    <mergeCell ref="A1409:G1409"/>
    <mergeCell ref="B1410:I1411"/>
    <mergeCell ref="A1404:B1404"/>
    <mergeCell ref="C1404:G1404"/>
    <mergeCell ref="A1405:B1405"/>
    <mergeCell ref="C1405:G1405"/>
    <mergeCell ref="A1406:B1406"/>
    <mergeCell ref="C1406:G1406"/>
    <mergeCell ref="A1401:B1401"/>
    <mergeCell ref="C1401:G1401"/>
    <mergeCell ref="A1402:B1402"/>
    <mergeCell ref="C1402:G1402"/>
    <mergeCell ref="A1403:B1403"/>
    <mergeCell ref="C1403:G1403"/>
    <mergeCell ref="A1398:B1398"/>
    <mergeCell ref="C1398:G1398"/>
    <mergeCell ref="A1399:B1399"/>
    <mergeCell ref="C1399:G1399"/>
    <mergeCell ref="A1400:B1400"/>
    <mergeCell ref="C1400:G1400"/>
    <mergeCell ref="A1395:B1395"/>
    <mergeCell ref="C1395:G1395"/>
    <mergeCell ref="A1396:B1396"/>
    <mergeCell ref="C1396:G1396"/>
    <mergeCell ref="A1397:B1397"/>
    <mergeCell ref="C1397:G1397"/>
    <mergeCell ref="B1391:I1392"/>
    <mergeCell ref="A1393:B1394"/>
    <mergeCell ref="C1393:G1394"/>
    <mergeCell ref="H1393:H1394"/>
    <mergeCell ref="I1393:I1394"/>
    <mergeCell ref="J1393:J1394"/>
    <mergeCell ref="A1389:B1389"/>
    <mergeCell ref="C1389:E1389"/>
    <mergeCell ref="F1389:G1389"/>
    <mergeCell ref="H1389:J1389"/>
    <mergeCell ref="A1390:B1390"/>
    <mergeCell ref="C1390:E1390"/>
    <mergeCell ref="F1390:G1390"/>
    <mergeCell ref="H1390:J1390"/>
    <mergeCell ref="G1384:G1387"/>
    <mergeCell ref="H1384:I1387"/>
    <mergeCell ref="B1386:B1387"/>
    <mergeCell ref="C1386:C1387"/>
    <mergeCell ref="D1386:D1387"/>
    <mergeCell ref="E1386:E1387"/>
    <mergeCell ref="F1386:F1387"/>
    <mergeCell ref="A1380:G1380"/>
    <mergeCell ref="A1381:E1381"/>
    <mergeCell ref="F1381:J1381"/>
    <mergeCell ref="A1382:J1382"/>
    <mergeCell ref="H1383:I1383"/>
    <mergeCell ref="B1384:B1385"/>
    <mergeCell ref="C1384:C1385"/>
    <mergeCell ref="D1384:D1385"/>
    <mergeCell ref="E1384:E1385"/>
    <mergeCell ref="F1384:F1385"/>
    <mergeCell ref="A1377:B1377"/>
    <mergeCell ref="C1377:G1377"/>
    <mergeCell ref="A1378:B1378"/>
    <mergeCell ref="C1378:G1378"/>
    <mergeCell ref="A1379:B1379"/>
    <mergeCell ref="C1379:G1379"/>
    <mergeCell ref="A1374:B1374"/>
    <mergeCell ref="C1374:G1374"/>
    <mergeCell ref="A1375:B1375"/>
    <mergeCell ref="C1375:G1375"/>
    <mergeCell ref="A1376:B1376"/>
    <mergeCell ref="C1376:G1376"/>
    <mergeCell ref="A1371:B1372"/>
    <mergeCell ref="C1371:G1372"/>
    <mergeCell ref="H1371:H1372"/>
    <mergeCell ref="I1371:I1372"/>
    <mergeCell ref="J1371:J1372"/>
    <mergeCell ref="A1373:B1373"/>
    <mergeCell ref="C1373:G1373"/>
    <mergeCell ref="A1366:B1366"/>
    <mergeCell ref="C1366:G1366"/>
    <mergeCell ref="A1367:B1367"/>
    <mergeCell ref="C1367:G1367"/>
    <mergeCell ref="A1368:G1368"/>
    <mergeCell ref="B1369:I1370"/>
    <mergeCell ref="A1363:B1363"/>
    <mergeCell ref="C1363:G1363"/>
    <mergeCell ref="A1364:B1364"/>
    <mergeCell ref="C1364:G1364"/>
    <mergeCell ref="A1365:B1365"/>
    <mergeCell ref="C1365:G1365"/>
    <mergeCell ref="J1358:J1359"/>
    <mergeCell ref="A1360:B1360"/>
    <mergeCell ref="C1360:G1360"/>
    <mergeCell ref="A1361:B1361"/>
    <mergeCell ref="C1361:G1361"/>
    <mergeCell ref="A1362:B1362"/>
    <mergeCell ref="C1362:G1362"/>
    <mergeCell ref="A1355:G1355"/>
    <mergeCell ref="B1356:I1357"/>
    <mergeCell ref="A1358:B1359"/>
    <mergeCell ref="C1358:G1359"/>
    <mergeCell ref="H1358:H1359"/>
    <mergeCell ref="I1358:I1359"/>
    <mergeCell ref="A1352:B1352"/>
    <mergeCell ref="C1352:G1352"/>
    <mergeCell ref="A1353:B1353"/>
    <mergeCell ref="C1353:G1353"/>
    <mergeCell ref="A1354:B1354"/>
    <mergeCell ref="C1354:G1354"/>
    <mergeCell ref="A1349:B1349"/>
    <mergeCell ref="C1349:G1349"/>
    <mergeCell ref="A1350:B1350"/>
    <mergeCell ref="C1350:G1350"/>
    <mergeCell ref="A1351:B1351"/>
    <mergeCell ref="C1351:G1351"/>
    <mergeCell ref="A1346:B1346"/>
    <mergeCell ref="C1346:G1346"/>
    <mergeCell ref="A1347:B1347"/>
    <mergeCell ref="C1347:G1347"/>
    <mergeCell ref="A1348:B1348"/>
    <mergeCell ref="C1348:G1348"/>
    <mergeCell ref="A1343:B1344"/>
    <mergeCell ref="C1343:G1344"/>
    <mergeCell ref="H1343:H1344"/>
    <mergeCell ref="I1343:I1344"/>
    <mergeCell ref="J1343:J1344"/>
    <mergeCell ref="A1345:B1345"/>
    <mergeCell ref="C1345:G1345"/>
    <mergeCell ref="A1338:B1338"/>
    <mergeCell ref="C1338:G1338"/>
    <mergeCell ref="A1339:B1339"/>
    <mergeCell ref="C1339:G1339"/>
    <mergeCell ref="A1340:G1340"/>
    <mergeCell ref="B1341:I1342"/>
    <mergeCell ref="A1335:B1335"/>
    <mergeCell ref="C1335:G1335"/>
    <mergeCell ref="A1336:B1336"/>
    <mergeCell ref="C1336:G1336"/>
    <mergeCell ref="A1337:B1337"/>
    <mergeCell ref="C1337:G1337"/>
    <mergeCell ref="A1332:B1332"/>
    <mergeCell ref="C1332:G1332"/>
    <mergeCell ref="A1333:B1333"/>
    <mergeCell ref="C1333:G1333"/>
    <mergeCell ref="A1334:B1334"/>
    <mergeCell ref="C1334:G1334"/>
    <mergeCell ref="A1329:B1329"/>
    <mergeCell ref="C1329:G1329"/>
    <mergeCell ref="A1330:B1330"/>
    <mergeCell ref="C1330:G1330"/>
    <mergeCell ref="A1331:B1331"/>
    <mergeCell ref="C1331:G1331"/>
    <mergeCell ref="A1326:B1326"/>
    <mergeCell ref="C1326:G1326"/>
    <mergeCell ref="A1327:B1327"/>
    <mergeCell ref="C1327:G1327"/>
    <mergeCell ref="A1328:B1328"/>
    <mergeCell ref="C1328:G1328"/>
    <mergeCell ref="B1322:I1323"/>
    <mergeCell ref="A1324:B1325"/>
    <mergeCell ref="C1324:G1325"/>
    <mergeCell ref="H1324:H1325"/>
    <mergeCell ref="I1324:I1325"/>
    <mergeCell ref="J1324:J1325"/>
    <mergeCell ref="A1320:B1320"/>
    <mergeCell ref="C1320:E1320"/>
    <mergeCell ref="F1320:G1320"/>
    <mergeCell ref="H1320:J1320"/>
    <mergeCell ref="A1321:B1321"/>
    <mergeCell ref="C1321:E1321"/>
    <mergeCell ref="F1321:G1321"/>
    <mergeCell ref="H1321:J1321"/>
    <mergeCell ref="G1315:G1318"/>
    <mergeCell ref="H1315:I1318"/>
    <mergeCell ref="B1317:B1318"/>
    <mergeCell ref="C1317:C1318"/>
    <mergeCell ref="D1317:D1318"/>
    <mergeCell ref="E1317:E1318"/>
    <mergeCell ref="F1317:F1318"/>
    <mergeCell ref="A1311:G1311"/>
    <mergeCell ref="A1312:E1312"/>
    <mergeCell ref="F1312:J1312"/>
    <mergeCell ref="A1313:J1313"/>
    <mergeCell ref="H1314:I1314"/>
    <mergeCell ref="B1315:B1316"/>
    <mergeCell ref="C1315:C1316"/>
    <mergeCell ref="D1315:D1316"/>
    <mergeCell ref="E1315:E1316"/>
    <mergeCell ref="F1315:F1316"/>
    <mergeCell ref="A1308:B1308"/>
    <mergeCell ref="C1308:G1308"/>
    <mergeCell ref="A1309:B1309"/>
    <mergeCell ref="C1309:G1309"/>
    <mergeCell ref="A1310:B1310"/>
    <mergeCell ref="C1310:G1310"/>
    <mergeCell ref="A1305:B1305"/>
    <mergeCell ref="C1305:G1305"/>
    <mergeCell ref="A1306:B1306"/>
    <mergeCell ref="C1306:G1306"/>
    <mergeCell ref="A1307:B1307"/>
    <mergeCell ref="C1307:G1307"/>
    <mergeCell ref="A1302:B1303"/>
    <mergeCell ref="C1302:G1303"/>
    <mergeCell ref="H1302:H1303"/>
    <mergeCell ref="I1302:I1303"/>
    <mergeCell ref="J1302:J1303"/>
    <mergeCell ref="A1304:B1304"/>
    <mergeCell ref="C1304:G1304"/>
    <mergeCell ref="A1297:B1297"/>
    <mergeCell ref="C1297:G1297"/>
    <mergeCell ref="A1298:B1298"/>
    <mergeCell ref="C1298:G1298"/>
    <mergeCell ref="A1299:G1299"/>
    <mergeCell ref="B1300:I1301"/>
    <mergeCell ref="A1294:B1294"/>
    <mergeCell ref="C1294:G1294"/>
    <mergeCell ref="A1295:B1295"/>
    <mergeCell ref="C1295:G1295"/>
    <mergeCell ref="A1296:B1296"/>
    <mergeCell ref="C1296:G1296"/>
    <mergeCell ref="J1289:J1290"/>
    <mergeCell ref="A1291:B1291"/>
    <mergeCell ref="C1291:G1291"/>
    <mergeCell ref="A1292:B1292"/>
    <mergeCell ref="C1292:G1292"/>
    <mergeCell ref="A1293:B1293"/>
    <mergeCell ref="C1293:G1293"/>
    <mergeCell ref="A1286:G1286"/>
    <mergeCell ref="B1287:I1288"/>
    <mergeCell ref="A1289:B1290"/>
    <mergeCell ref="C1289:G1290"/>
    <mergeCell ref="H1289:H1290"/>
    <mergeCell ref="I1289:I1290"/>
    <mergeCell ref="A1283:B1283"/>
    <mergeCell ref="C1283:G1283"/>
    <mergeCell ref="A1284:B1284"/>
    <mergeCell ref="C1284:G1284"/>
    <mergeCell ref="A1285:B1285"/>
    <mergeCell ref="C1285:G1285"/>
    <mergeCell ref="A1280:B1280"/>
    <mergeCell ref="C1280:G1280"/>
    <mergeCell ref="A1281:B1281"/>
    <mergeCell ref="C1281:G1281"/>
    <mergeCell ref="A1282:B1282"/>
    <mergeCell ref="C1282:G1282"/>
    <mergeCell ref="A1277:B1277"/>
    <mergeCell ref="C1277:G1277"/>
    <mergeCell ref="A1278:B1278"/>
    <mergeCell ref="C1278:G1278"/>
    <mergeCell ref="A1279:B1279"/>
    <mergeCell ref="C1279:G1279"/>
    <mergeCell ref="A1274:B1275"/>
    <mergeCell ref="C1274:G1275"/>
    <mergeCell ref="H1274:H1275"/>
    <mergeCell ref="I1274:I1275"/>
    <mergeCell ref="J1274:J1275"/>
    <mergeCell ref="A1276:B1276"/>
    <mergeCell ref="C1276:G1276"/>
    <mergeCell ref="A1269:B1269"/>
    <mergeCell ref="C1269:G1269"/>
    <mergeCell ref="A1270:B1270"/>
    <mergeCell ref="C1270:G1270"/>
    <mergeCell ref="A1271:G1271"/>
    <mergeCell ref="B1272:I1273"/>
    <mergeCell ref="A1266:B1266"/>
    <mergeCell ref="C1266:G1266"/>
    <mergeCell ref="A1267:B1267"/>
    <mergeCell ref="C1267:G1267"/>
    <mergeCell ref="A1268:B1268"/>
    <mergeCell ref="C1268:G1268"/>
    <mergeCell ref="A1263:B1263"/>
    <mergeCell ref="C1263:G1263"/>
    <mergeCell ref="A1264:B1264"/>
    <mergeCell ref="C1264:G1264"/>
    <mergeCell ref="A1265:B1265"/>
    <mergeCell ref="C1265:G1265"/>
    <mergeCell ref="A1260:B1260"/>
    <mergeCell ref="C1260:G1260"/>
    <mergeCell ref="A1261:B1261"/>
    <mergeCell ref="C1261:G1261"/>
    <mergeCell ref="A1262:B1262"/>
    <mergeCell ref="C1262:G1262"/>
    <mergeCell ref="A1257:B1257"/>
    <mergeCell ref="C1257:G1257"/>
    <mergeCell ref="A1258:B1258"/>
    <mergeCell ref="C1258:G1258"/>
    <mergeCell ref="A1259:B1259"/>
    <mergeCell ref="C1259:G1259"/>
    <mergeCell ref="B1253:I1254"/>
    <mergeCell ref="A1255:B1256"/>
    <mergeCell ref="C1255:G1256"/>
    <mergeCell ref="H1255:H1256"/>
    <mergeCell ref="I1255:I1256"/>
    <mergeCell ref="J1255:J1256"/>
    <mergeCell ref="A1251:B1251"/>
    <mergeCell ref="C1251:E1251"/>
    <mergeCell ref="F1251:G1251"/>
    <mergeCell ref="H1251:J1251"/>
    <mergeCell ref="A1252:B1252"/>
    <mergeCell ref="C1252:E1252"/>
    <mergeCell ref="F1252:G1252"/>
    <mergeCell ref="H1252:J1252"/>
    <mergeCell ref="G1246:G1249"/>
    <mergeCell ref="H1246:I1249"/>
    <mergeCell ref="B1248:B1249"/>
    <mergeCell ref="C1248:C1249"/>
    <mergeCell ref="D1248:D1249"/>
    <mergeCell ref="E1248:E1249"/>
    <mergeCell ref="F1248:F1249"/>
    <mergeCell ref="A1242:G1242"/>
    <mergeCell ref="A1243:E1243"/>
    <mergeCell ref="F1243:J1243"/>
    <mergeCell ref="A1244:J1244"/>
    <mergeCell ref="H1245:I1245"/>
    <mergeCell ref="B1246:B1247"/>
    <mergeCell ref="C1246:C1247"/>
    <mergeCell ref="D1246:D1247"/>
    <mergeCell ref="E1246:E1247"/>
    <mergeCell ref="F1246:F1247"/>
    <mergeCell ref="A1239:B1239"/>
    <mergeCell ref="C1239:G1239"/>
    <mergeCell ref="A1240:B1240"/>
    <mergeCell ref="C1240:G1240"/>
    <mergeCell ref="A1241:B1241"/>
    <mergeCell ref="C1241:G1241"/>
    <mergeCell ref="A1236:B1236"/>
    <mergeCell ref="C1236:G1236"/>
    <mergeCell ref="A1237:B1237"/>
    <mergeCell ref="C1237:G1237"/>
    <mergeCell ref="A1238:B1238"/>
    <mergeCell ref="C1238:G1238"/>
    <mergeCell ref="A1233:B1234"/>
    <mergeCell ref="C1233:G1234"/>
    <mergeCell ref="H1233:H1234"/>
    <mergeCell ref="I1233:I1234"/>
    <mergeCell ref="J1233:J1234"/>
    <mergeCell ref="A1235:B1235"/>
    <mergeCell ref="C1235:G1235"/>
    <mergeCell ref="A1228:B1228"/>
    <mergeCell ref="C1228:G1228"/>
    <mergeCell ref="A1229:B1229"/>
    <mergeCell ref="C1229:G1229"/>
    <mergeCell ref="A1230:G1230"/>
    <mergeCell ref="B1231:I1232"/>
    <mergeCell ref="A1225:B1225"/>
    <mergeCell ref="C1225:G1225"/>
    <mergeCell ref="A1226:B1226"/>
    <mergeCell ref="C1226:G1226"/>
    <mergeCell ref="A1227:B1227"/>
    <mergeCell ref="C1227:G1227"/>
    <mergeCell ref="J1220:J1221"/>
    <mergeCell ref="A1222:B1222"/>
    <mergeCell ref="C1222:G1222"/>
    <mergeCell ref="A1223:B1223"/>
    <mergeCell ref="C1223:G1223"/>
    <mergeCell ref="A1224:B1224"/>
    <mergeCell ref="C1224:G1224"/>
    <mergeCell ref="A1217:G1217"/>
    <mergeCell ref="B1218:I1219"/>
    <mergeCell ref="A1220:B1221"/>
    <mergeCell ref="C1220:G1221"/>
    <mergeCell ref="H1220:H1221"/>
    <mergeCell ref="I1220:I1221"/>
    <mergeCell ref="A1214:B1214"/>
    <mergeCell ref="C1214:G1214"/>
    <mergeCell ref="A1215:B1215"/>
    <mergeCell ref="C1215:G1215"/>
    <mergeCell ref="A1216:B1216"/>
    <mergeCell ref="C1216:G1216"/>
    <mergeCell ref="A1211:B1211"/>
    <mergeCell ref="C1211:G1211"/>
    <mergeCell ref="A1212:B1212"/>
    <mergeCell ref="C1212:G1212"/>
    <mergeCell ref="A1213:B1213"/>
    <mergeCell ref="C1213:G1213"/>
    <mergeCell ref="A1208:B1208"/>
    <mergeCell ref="C1208:G1208"/>
    <mergeCell ref="A1209:B1209"/>
    <mergeCell ref="C1209:G1209"/>
    <mergeCell ref="A1210:B1210"/>
    <mergeCell ref="C1210:G1210"/>
    <mergeCell ref="A1205:B1206"/>
    <mergeCell ref="C1205:G1206"/>
    <mergeCell ref="H1205:H1206"/>
    <mergeCell ref="I1205:I1206"/>
    <mergeCell ref="J1205:J1206"/>
    <mergeCell ref="A1207:B1207"/>
    <mergeCell ref="C1207:G1207"/>
    <mergeCell ref="A1200:B1200"/>
    <mergeCell ref="C1200:G1200"/>
    <mergeCell ref="A1201:B1201"/>
    <mergeCell ref="C1201:G1201"/>
    <mergeCell ref="A1202:G1202"/>
    <mergeCell ref="B1203:I1204"/>
    <mergeCell ref="A1197:B1197"/>
    <mergeCell ref="C1197:G1197"/>
    <mergeCell ref="A1198:B1198"/>
    <mergeCell ref="C1198:G1198"/>
    <mergeCell ref="A1199:B1199"/>
    <mergeCell ref="C1199:G1199"/>
    <mergeCell ref="A1194:B1194"/>
    <mergeCell ref="C1194:G1194"/>
    <mergeCell ref="A1195:B1195"/>
    <mergeCell ref="C1195:G1195"/>
    <mergeCell ref="A1196:B1196"/>
    <mergeCell ref="C1196:G1196"/>
    <mergeCell ref="A1191:B1191"/>
    <mergeCell ref="C1191:G1191"/>
    <mergeCell ref="A1192:B1192"/>
    <mergeCell ref="C1192:G1192"/>
    <mergeCell ref="A1193:B1193"/>
    <mergeCell ref="C1193:G1193"/>
    <mergeCell ref="A1188:B1188"/>
    <mergeCell ref="C1188:G1188"/>
    <mergeCell ref="A1189:B1189"/>
    <mergeCell ref="C1189:G1189"/>
    <mergeCell ref="A1190:B1190"/>
    <mergeCell ref="C1190:G1190"/>
    <mergeCell ref="B1184:I1185"/>
    <mergeCell ref="A1186:B1187"/>
    <mergeCell ref="C1186:G1187"/>
    <mergeCell ref="H1186:H1187"/>
    <mergeCell ref="I1186:I1187"/>
    <mergeCell ref="J1186:J1187"/>
    <mergeCell ref="A1182:B1182"/>
    <mergeCell ref="C1182:E1182"/>
    <mergeCell ref="F1182:G1182"/>
    <mergeCell ref="H1182:J1182"/>
    <mergeCell ref="A1183:B1183"/>
    <mergeCell ref="C1183:E1183"/>
    <mergeCell ref="F1183:G1183"/>
    <mergeCell ref="H1183:J1183"/>
    <mergeCell ref="G1177:G1180"/>
    <mergeCell ref="H1177:I1180"/>
    <mergeCell ref="B1179:B1180"/>
    <mergeCell ref="C1179:C1180"/>
    <mergeCell ref="D1179:D1180"/>
    <mergeCell ref="E1179:E1180"/>
    <mergeCell ref="F1179:F1180"/>
    <mergeCell ref="A1173:G1173"/>
    <mergeCell ref="A1174:E1174"/>
    <mergeCell ref="F1174:J1174"/>
    <mergeCell ref="A1175:J1175"/>
    <mergeCell ref="H1176:I1176"/>
    <mergeCell ref="B1177:B1178"/>
    <mergeCell ref="C1177:C1178"/>
    <mergeCell ref="D1177:D1178"/>
    <mergeCell ref="E1177:E1178"/>
    <mergeCell ref="F1177:F1178"/>
    <mergeCell ref="A1170:B1170"/>
    <mergeCell ref="C1170:G1170"/>
    <mergeCell ref="A1171:B1171"/>
    <mergeCell ref="C1171:G1171"/>
    <mergeCell ref="A1172:B1172"/>
    <mergeCell ref="C1172:G1172"/>
    <mergeCell ref="A1167:B1167"/>
    <mergeCell ref="C1167:G1167"/>
    <mergeCell ref="A1168:B1168"/>
    <mergeCell ref="C1168:G1168"/>
    <mergeCell ref="A1169:B1169"/>
    <mergeCell ref="C1169:G1169"/>
    <mergeCell ref="A1164:B1165"/>
    <mergeCell ref="C1164:G1165"/>
    <mergeCell ref="H1164:H1165"/>
    <mergeCell ref="I1164:I1165"/>
    <mergeCell ref="J1164:J1165"/>
    <mergeCell ref="A1166:B1166"/>
    <mergeCell ref="C1166:G1166"/>
    <mergeCell ref="A1159:B1159"/>
    <mergeCell ref="C1159:G1159"/>
    <mergeCell ref="A1160:B1160"/>
    <mergeCell ref="C1160:G1160"/>
    <mergeCell ref="A1161:G1161"/>
    <mergeCell ref="B1162:I1163"/>
    <mergeCell ref="A1156:B1156"/>
    <mergeCell ref="C1156:G1156"/>
    <mergeCell ref="A1157:B1157"/>
    <mergeCell ref="C1157:G1157"/>
    <mergeCell ref="A1158:B1158"/>
    <mergeCell ref="C1158:G1158"/>
    <mergeCell ref="J1151:J1152"/>
    <mergeCell ref="A1153:B1153"/>
    <mergeCell ref="C1153:G1153"/>
    <mergeCell ref="A1154:B1154"/>
    <mergeCell ref="C1154:G1154"/>
    <mergeCell ref="A1155:B1155"/>
    <mergeCell ref="C1155:G1155"/>
    <mergeCell ref="A1148:G1148"/>
    <mergeCell ref="B1149:I1150"/>
    <mergeCell ref="A1151:B1152"/>
    <mergeCell ref="C1151:G1152"/>
    <mergeCell ref="H1151:H1152"/>
    <mergeCell ref="I1151:I1152"/>
    <mergeCell ref="A1145:B1145"/>
    <mergeCell ref="C1145:G1145"/>
    <mergeCell ref="A1146:B1146"/>
    <mergeCell ref="C1146:G1146"/>
    <mergeCell ref="A1147:B1147"/>
    <mergeCell ref="C1147:G1147"/>
    <mergeCell ref="A1142:B1142"/>
    <mergeCell ref="C1142:G1142"/>
    <mergeCell ref="A1143:B1143"/>
    <mergeCell ref="C1143:G1143"/>
    <mergeCell ref="A1144:B1144"/>
    <mergeCell ref="C1144:G1144"/>
    <mergeCell ref="A1139:B1139"/>
    <mergeCell ref="C1139:G1139"/>
    <mergeCell ref="A1140:B1140"/>
    <mergeCell ref="C1140:G1140"/>
    <mergeCell ref="A1141:B1141"/>
    <mergeCell ref="C1141:G1141"/>
    <mergeCell ref="A1136:B1137"/>
    <mergeCell ref="C1136:G1137"/>
    <mergeCell ref="H1136:H1137"/>
    <mergeCell ref="I1136:I1137"/>
    <mergeCell ref="J1136:J1137"/>
    <mergeCell ref="A1138:B1138"/>
    <mergeCell ref="C1138:G1138"/>
    <mergeCell ref="A1131:B1131"/>
    <mergeCell ref="C1131:G1131"/>
    <mergeCell ref="A1132:B1132"/>
    <mergeCell ref="C1132:G1132"/>
    <mergeCell ref="A1133:G1133"/>
    <mergeCell ref="B1134:I1135"/>
    <mergeCell ref="A1128:B1128"/>
    <mergeCell ref="C1128:G1128"/>
    <mergeCell ref="A1129:B1129"/>
    <mergeCell ref="C1129:G1129"/>
    <mergeCell ref="A1130:B1130"/>
    <mergeCell ref="C1130:G1130"/>
    <mergeCell ref="A1125:B1125"/>
    <mergeCell ref="C1125:G1125"/>
    <mergeCell ref="A1126:B1126"/>
    <mergeCell ref="C1126:G1126"/>
    <mergeCell ref="A1127:B1127"/>
    <mergeCell ref="C1127:G1127"/>
    <mergeCell ref="A1122:B1122"/>
    <mergeCell ref="C1122:G1122"/>
    <mergeCell ref="A1123:B1123"/>
    <mergeCell ref="C1123:G1123"/>
    <mergeCell ref="A1124:B1124"/>
    <mergeCell ref="C1124:G1124"/>
    <mergeCell ref="A1119:B1119"/>
    <mergeCell ref="C1119:G1119"/>
    <mergeCell ref="A1120:B1120"/>
    <mergeCell ref="C1120:G1120"/>
    <mergeCell ref="A1121:B1121"/>
    <mergeCell ref="C1121:G1121"/>
    <mergeCell ref="B1115:I1116"/>
    <mergeCell ref="A1117:B1118"/>
    <mergeCell ref="C1117:G1118"/>
    <mergeCell ref="H1117:H1118"/>
    <mergeCell ref="I1117:I1118"/>
    <mergeCell ref="J1117:J1118"/>
    <mergeCell ref="A1113:B1113"/>
    <mergeCell ref="C1113:E1113"/>
    <mergeCell ref="F1113:G1113"/>
    <mergeCell ref="H1113:J1113"/>
    <mergeCell ref="A1114:B1114"/>
    <mergeCell ref="C1114:E1114"/>
    <mergeCell ref="F1114:G1114"/>
    <mergeCell ref="H1114:J1114"/>
    <mergeCell ref="G1108:G1111"/>
    <mergeCell ref="H1108:I1111"/>
    <mergeCell ref="B1110:B1111"/>
    <mergeCell ref="C1110:C1111"/>
    <mergeCell ref="D1110:D1111"/>
    <mergeCell ref="E1110:E1111"/>
    <mergeCell ref="F1110:F1111"/>
    <mergeCell ref="A1104:G1104"/>
    <mergeCell ref="A1105:E1105"/>
    <mergeCell ref="F1105:J1105"/>
    <mergeCell ref="A1106:J1106"/>
    <mergeCell ref="H1107:I1107"/>
    <mergeCell ref="B1108:B1109"/>
    <mergeCell ref="C1108:C1109"/>
    <mergeCell ref="D1108:D1109"/>
    <mergeCell ref="E1108:E1109"/>
    <mergeCell ref="F1108:F1109"/>
    <mergeCell ref="A1101:B1101"/>
    <mergeCell ref="C1101:G1101"/>
    <mergeCell ref="A1102:B1102"/>
    <mergeCell ref="C1102:G1102"/>
    <mergeCell ref="A1103:B1103"/>
    <mergeCell ref="C1103:G1103"/>
    <mergeCell ref="A1098:B1098"/>
    <mergeCell ref="C1098:G1098"/>
    <mergeCell ref="A1099:B1099"/>
    <mergeCell ref="C1099:G1099"/>
    <mergeCell ref="A1100:B1100"/>
    <mergeCell ref="C1100:G1100"/>
    <mergeCell ref="A1095:B1096"/>
    <mergeCell ref="C1095:G1096"/>
    <mergeCell ref="H1095:H1096"/>
    <mergeCell ref="I1095:I1096"/>
    <mergeCell ref="J1095:J1096"/>
    <mergeCell ref="A1097:B1097"/>
    <mergeCell ref="C1097:G1097"/>
    <mergeCell ref="A1090:B1090"/>
    <mergeCell ref="C1090:G1090"/>
    <mergeCell ref="A1091:B1091"/>
    <mergeCell ref="C1091:G1091"/>
    <mergeCell ref="A1092:G1092"/>
    <mergeCell ref="B1093:I1094"/>
    <mergeCell ref="A1087:B1087"/>
    <mergeCell ref="C1087:G1087"/>
    <mergeCell ref="A1088:B1088"/>
    <mergeCell ref="C1088:G1088"/>
    <mergeCell ref="A1089:B1089"/>
    <mergeCell ref="C1089:G1089"/>
    <mergeCell ref="J1082:J1083"/>
    <mergeCell ref="A1084:B1084"/>
    <mergeCell ref="C1084:G1084"/>
    <mergeCell ref="A1085:B1085"/>
    <mergeCell ref="C1085:G1085"/>
    <mergeCell ref="A1086:B1086"/>
    <mergeCell ref="C1086:G1086"/>
    <mergeCell ref="A1079:G1079"/>
    <mergeCell ref="B1080:I1081"/>
    <mergeCell ref="A1082:B1083"/>
    <mergeCell ref="C1082:G1083"/>
    <mergeCell ref="H1082:H1083"/>
    <mergeCell ref="I1082:I1083"/>
    <mergeCell ref="A1076:B1076"/>
    <mergeCell ref="C1076:G1076"/>
    <mergeCell ref="A1077:B1077"/>
    <mergeCell ref="C1077:G1077"/>
    <mergeCell ref="A1078:B1078"/>
    <mergeCell ref="C1078:G1078"/>
    <mergeCell ref="A1073:B1073"/>
    <mergeCell ref="C1073:G1073"/>
    <mergeCell ref="A1074:B1074"/>
    <mergeCell ref="C1074:G1074"/>
    <mergeCell ref="A1075:B1075"/>
    <mergeCell ref="C1075:G1075"/>
    <mergeCell ref="A1070:B1070"/>
    <mergeCell ref="C1070:G1070"/>
    <mergeCell ref="A1071:B1071"/>
    <mergeCell ref="C1071:G1071"/>
    <mergeCell ref="A1072:B1072"/>
    <mergeCell ref="C1072:G1072"/>
    <mergeCell ref="A1067:B1068"/>
    <mergeCell ref="C1067:G1068"/>
    <mergeCell ref="H1067:H1068"/>
    <mergeCell ref="I1067:I1068"/>
    <mergeCell ref="J1067:J1068"/>
    <mergeCell ref="A1069:B1069"/>
    <mergeCell ref="C1069:G1069"/>
    <mergeCell ref="A1062:B1062"/>
    <mergeCell ref="C1062:G1062"/>
    <mergeCell ref="A1063:B1063"/>
    <mergeCell ref="C1063:G1063"/>
    <mergeCell ref="A1064:G1064"/>
    <mergeCell ref="B1065:I1066"/>
    <mergeCell ref="A1059:B1059"/>
    <mergeCell ref="C1059:G1059"/>
    <mergeCell ref="A1060:B1060"/>
    <mergeCell ref="C1060:G1060"/>
    <mergeCell ref="A1061:B1061"/>
    <mergeCell ref="C1061:G1061"/>
    <mergeCell ref="A1056:B1056"/>
    <mergeCell ref="C1056:G1056"/>
    <mergeCell ref="A1057:B1057"/>
    <mergeCell ref="C1057:G1057"/>
    <mergeCell ref="A1058:B1058"/>
    <mergeCell ref="C1058:G1058"/>
    <mergeCell ref="A1053:B1053"/>
    <mergeCell ref="C1053:G1053"/>
    <mergeCell ref="A1054:B1054"/>
    <mergeCell ref="C1054:G1054"/>
    <mergeCell ref="A1055:B1055"/>
    <mergeCell ref="C1055:G1055"/>
    <mergeCell ref="A1050:B1050"/>
    <mergeCell ref="C1050:G1050"/>
    <mergeCell ref="A1051:B1051"/>
    <mergeCell ref="C1051:G1051"/>
    <mergeCell ref="A1052:B1052"/>
    <mergeCell ref="C1052:G1052"/>
    <mergeCell ref="B1046:I1047"/>
    <mergeCell ref="A1048:B1049"/>
    <mergeCell ref="C1048:G1049"/>
    <mergeCell ref="H1048:H1049"/>
    <mergeCell ref="I1048:I1049"/>
    <mergeCell ref="J1048:J1049"/>
    <mergeCell ref="A1044:B1044"/>
    <mergeCell ref="C1044:E1044"/>
    <mergeCell ref="F1044:G1044"/>
    <mergeCell ref="H1044:J1044"/>
    <mergeCell ref="A1045:B1045"/>
    <mergeCell ref="C1045:E1045"/>
    <mergeCell ref="F1045:G1045"/>
    <mergeCell ref="H1045:J1045"/>
    <mergeCell ref="G1039:G1042"/>
    <mergeCell ref="H1039:I1042"/>
    <mergeCell ref="B1041:B1042"/>
    <mergeCell ref="C1041:C1042"/>
    <mergeCell ref="D1041:D1042"/>
    <mergeCell ref="E1041:E1042"/>
    <mergeCell ref="F1041:F1042"/>
    <mergeCell ref="A1035:G1035"/>
    <mergeCell ref="A1036:E1036"/>
    <mergeCell ref="F1036:J1036"/>
    <mergeCell ref="A1037:J1037"/>
    <mergeCell ref="H1038:I1038"/>
    <mergeCell ref="B1039:B1040"/>
    <mergeCell ref="C1039:C1040"/>
    <mergeCell ref="D1039:D1040"/>
    <mergeCell ref="E1039:E1040"/>
    <mergeCell ref="F1039:F1040"/>
    <mergeCell ref="A1032:B1032"/>
    <mergeCell ref="C1032:G1032"/>
    <mergeCell ref="A1033:B1033"/>
    <mergeCell ref="C1033:G1033"/>
    <mergeCell ref="A1034:B1034"/>
    <mergeCell ref="C1034:G1034"/>
    <mergeCell ref="A1029:B1029"/>
    <mergeCell ref="C1029:G1029"/>
    <mergeCell ref="A1030:B1030"/>
    <mergeCell ref="C1030:G1030"/>
    <mergeCell ref="A1031:B1031"/>
    <mergeCell ref="C1031:G1031"/>
    <mergeCell ref="A1026:B1027"/>
    <mergeCell ref="C1026:G1027"/>
    <mergeCell ref="H1026:H1027"/>
    <mergeCell ref="I1026:I1027"/>
    <mergeCell ref="J1026:J1027"/>
    <mergeCell ref="A1028:B1028"/>
    <mergeCell ref="C1028:G1028"/>
    <mergeCell ref="A1021:B1021"/>
    <mergeCell ref="C1021:G1021"/>
    <mergeCell ref="A1022:B1022"/>
    <mergeCell ref="C1022:G1022"/>
    <mergeCell ref="A1023:G1023"/>
    <mergeCell ref="B1024:I1025"/>
    <mergeCell ref="A1018:B1018"/>
    <mergeCell ref="C1018:G1018"/>
    <mergeCell ref="A1019:B1019"/>
    <mergeCell ref="C1019:G1019"/>
    <mergeCell ref="A1020:B1020"/>
    <mergeCell ref="C1020:G1020"/>
    <mergeCell ref="J1013:J1014"/>
    <mergeCell ref="A1015:B1015"/>
    <mergeCell ref="C1015:G1015"/>
    <mergeCell ref="A1016:B1016"/>
    <mergeCell ref="C1016:G1016"/>
    <mergeCell ref="A1017:B1017"/>
    <mergeCell ref="C1017:G1017"/>
    <mergeCell ref="A1010:G1010"/>
    <mergeCell ref="B1011:I1012"/>
    <mergeCell ref="A1013:B1014"/>
    <mergeCell ref="C1013:G1014"/>
    <mergeCell ref="H1013:H1014"/>
    <mergeCell ref="I1013:I1014"/>
    <mergeCell ref="A1007:B1007"/>
    <mergeCell ref="C1007:G1007"/>
    <mergeCell ref="A1008:B1008"/>
    <mergeCell ref="C1008:G1008"/>
    <mergeCell ref="A1009:B1009"/>
    <mergeCell ref="C1009:G1009"/>
    <mergeCell ref="A1004:B1004"/>
    <mergeCell ref="C1004:G1004"/>
    <mergeCell ref="A1005:B1005"/>
    <mergeCell ref="C1005:G1005"/>
    <mergeCell ref="A1006:B1006"/>
    <mergeCell ref="C1006:G1006"/>
    <mergeCell ref="A1001:B1001"/>
    <mergeCell ref="C1001:G1001"/>
    <mergeCell ref="A1002:B1002"/>
    <mergeCell ref="C1002:G1002"/>
    <mergeCell ref="A1003:B1003"/>
    <mergeCell ref="C1003:G1003"/>
    <mergeCell ref="A998:B999"/>
    <mergeCell ref="C998:G999"/>
    <mergeCell ref="H998:H999"/>
    <mergeCell ref="I998:I999"/>
    <mergeCell ref="J998:J999"/>
    <mergeCell ref="A1000:B1000"/>
    <mergeCell ref="C1000:G1000"/>
    <mergeCell ref="A993:B993"/>
    <mergeCell ref="C993:G993"/>
    <mergeCell ref="A994:B994"/>
    <mergeCell ref="C994:G994"/>
    <mergeCell ref="A995:G995"/>
    <mergeCell ref="B996:I997"/>
    <mergeCell ref="A990:B990"/>
    <mergeCell ref="C990:G990"/>
    <mergeCell ref="A991:B991"/>
    <mergeCell ref="C991:G991"/>
    <mergeCell ref="A992:B992"/>
    <mergeCell ref="C992:G992"/>
    <mergeCell ref="A987:B987"/>
    <mergeCell ref="C987:G987"/>
    <mergeCell ref="A988:B988"/>
    <mergeCell ref="C988:G988"/>
    <mergeCell ref="A989:B989"/>
    <mergeCell ref="C989:G989"/>
    <mergeCell ref="A984:B984"/>
    <mergeCell ref="C984:G984"/>
    <mergeCell ref="A985:B985"/>
    <mergeCell ref="C985:G985"/>
    <mergeCell ref="A986:B986"/>
    <mergeCell ref="C986:G986"/>
    <mergeCell ref="A981:B981"/>
    <mergeCell ref="C981:G981"/>
    <mergeCell ref="A982:B982"/>
    <mergeCell ref="C982:G982"/>
    <mergeCell ref="A983:B983"/>
    <mergeCell ref="C983:G983"/>
    <mergeCell ref="B977:I978"/>
    <mergeCell ref="A979:B980"/>
    <mergeCell ref="C979:G980"/>
    <mergeCell ref="H979:H980"/>
    <mergeCell ref="I979:I980"/>
    <mergeCell ref="J979:J980"/>
    <mergeCell ref="A975:B975"/>
    <mergeCell ref="C975:E975"/>
    <mergeCell ref="F975:G975"/>
    <mergeCell ref="H975:J975"/>
    <mergeCell ref="A976:B976"/>
    <mergeCell ref="C976:E976"/>
    <mergeCell ref="F976:G976"/>
    <mergeCell ref="H976:J976"/>
    <mergeCell ref="G970:G973"/>
    <mergeCell ref="H970:I973"/>
    <mergeCell ref="B972:B973"/>
    <mergeCell ref="C972:C973"/>
    <mergeCell ref="D972:D973"/>
    <mergeCell ref="E972:E973"/>
    <mergeCell ref="F972:F973"/>
    <mergeCell ref="A966:G966"/>
    <mergeCell ref="A967:E967"/>
    <mergeCell ref="F967:J967"/>
    <mergeCell ref="A968:J968"/>
    <mergeCell ref="H969:I969"/>
    <mergeCell ref="B970:B971"/>
    <mergeCell ref="C970:C971"/>
    <mergeCell ref="D970:D971"/>
    <mergeCell ref="E970:E971"/>
    <mergeCell ref="F970:F971"/>
    <mergeCell ref="A963:B963"/>
    <mergeCell ref="C963:G963"/>
    <mergeCell ref="A964:B964"/>
    <mergeCell ref="C964:G964"/>
    <mergeCell ref="A965:B965"/>
    <mergeCell ref="C965:G965"/>
    <mergeCell ref="A960:B960"/>
    <mergeCell ref="C960:G960"/>
    <mergeCell ref="A961:B961"/>
    <mergeCell ref="C961:G961"/>
    <mergeCell ref="A962:B962"/>
    <mergeCell ref="C962:G962"/>
    <mergeCell ref="A957:B958"/>
    <mergeCell ref="C957:G958"/>
    <mergeCell ref="H957:H958"/>
    <mergeCell ref="I957:I958"/>
    <mergeCell ref="J957:J958"/>
    <mergeCell ref="A959:B959"/>
    <mergeCell ref="C959:G959"/>
    <mergeCell ref="A952:B952"/>
    <mergeCell ref="C952:G952"/>
    <mergeCell ref="A953:B953"/>
    <mergeCell ref="C953:G953"/>
    <mergeCell ref="A954:G954"/>
    <mergeCell ref="B955:I956"/>
    <mergeCell ref="A949:B949"/>
    <mergeCell ref="C949:G949"/>
    <mergeCell ref="A950:B950"/>
    <mergeCell ref="C950:G950"/>
    <mergeCell ref="A951:B951"/>
    <mergeCell ref="C951:G951"/>
    <mergeCell ref="J944:J945"/>
    <mergeCell ref="A946:B946"/>
    <mergeCell ref="C946:G946"/>
    <mergeCell ref="A947:B947"/>
    <mergeCell ref="C947:G947"/>
    <mergeCell ref="A948:B948"/>
    <mergeCell ref="C948:G948"/>
    <mergeCell ref="A941:G941"/>
    <mergeCell ref="B942:I943"/>
    <mergeCell ref="A944:B945"/>
    <mergeCell ref="C944:G945"/>
    <mergeCell ref="H944:H945"/>
    <mergeCell ref="I944:I945"/>
    <mergeCell ref="A938:B938"/>
    <mergeCell ref="C938:G938"/>
    <mergeCell ref="A939:B939"/>
    <mergeCell ref="C939:G939"/>
    <mergeCell ref="A940:B940"/>
    <mergeCell ref="C940:G940"/>
    <mergeCell ref="A935:B935"/>
    <mergeCell ref="C935:G935"/>
    <mergeCell ref="A936:B936"/>
    <mergeCell ref="C936:G936"/>
    <mergeCell ref="A937:B937"/>
    <mergeCell ref="C937:G937"/>
    <mergeCell ref="A932:B932"/>
    <mergeCell ref="C932:G932"/>
    <mergeCell ref="A933:B933"/>
    <mergeCell ref="C933:G933"/>
    <mergeCell ref="A934:B934"/>
    <mergeCell ref="C934:G934"/>
    <mergeCell ref="A929:B930"/>
    <mergeCell ref="C929:G930"/>
    <mergeCell ref="H929:H930"/>
    <mergeCell ref="I929:I930"/>
    <mergeCell ref="J929:J930"/>
    <mergeCell ref="A931:B931"/>
    <mergeCell ref="C931:G931"/>
    <mergeCell ref="A924:B924"/>
    <mergeCell ref="C924:G924"/>
    <mergeCell ref="A925:B925"/>
    <mergeCell ref="C925:G925"/>
    <mergeCell ref="A926:G926"/>
    <mergeCell ref="B927:I928"/>
    <mergeCell ref="A921:B921"/>
    <mergeCell ref="C921:G921"/>
    <mergeCell ref="A922:B922"/>
    <mergeCell ref="C922:G922"/>
    <mergeCell ref="A923:B923"/>
    <mergeCell ref="C923:G923"/>
    <mergeCell ref="A918:B918"/>
    <mergeCell ref="C918:G918"/>
    <mergeCell ref="A919:B919"/>
    <mergeCell ref="C919:G919"/>
    <mergeCell ref="A920:B920"/>
    <mergeCell ref="C920:G920"/>
    <mergeCell ref="A915:B915"/>
    <mergeCell ref="C915:G915"/>
    <mergeCell ref="A916:B916"/>
    <mergeCell ref="C916:G916"/>
    <mergeCell ref="A917:B917"/>
    <mergeCell ref="C917:G917"/>
    <mergeCell ref="A912:B912"/>
    <mergeCell ref="C912:G912"/>
    <mergeCell ref="A913:B913"/>
    <mergeCell ref="C913:G913"/>
    <mergeCell ref="A914:B914"/>
    <mergeCell ref="C914:G914"/>
    <mergeCell ref="B908:I909"/>
    <mergeCell ref="A910:B911"/>
    <mergeCell ref="C910:G911"/>
    <mergeCell ref="H910:H911"/>
    <mergeCell ref="I910:I911"/>
    <mergeCell ref="J910:J911"/>
    <mergeCell ref="A906:B906"/>
    <mergeCell ref="C906:E906"/>
    <mergeCell ref="F906:G906"/>
    <mergeCell ref="H906:J906"/>
    <mergeCell ref="A907:B907"/>
    <mergeCell ref="C907:E907"/>
    <mergeCell ref="F907:G907"/>
    <mergeCell ref="H907:J907"/>
    <mergeCell ref="G901:G904"/>
    <mergeCell ref="H901:I904"/>
    <mergeCell ref="B903:B904"/>
    <mergeCell ref="C903:C904"/>
    <mergeCell ref="D903:D904"/>
    <mergeCell ref="E903:E904"/>
    <mergeCell ref="F903:F904"/>
    <mergeCell ref="A897:G897"/>
    <mergeCell ref="A898:E898"/>
    <mergeCell ref="F898:J898"/>
    <mergeCell ref="A899:J899"/>
    <mergeCell ref="H900:I900"/>
    <mergeCell ref="B901:B902"/>
    <mergeCell ref="C901:C902"/>
    <mergeCell ref="D901:D902"/>
    <mergeCell ref="E901:E902"/>
    <mergeCell ref="F901:F902"/>
    <mergeCell ref="A894:B894"/>
    <mergeCell ref="C894:G894"/>
    <mergeCell ref="A895:B895"/>
    <mergeCell ref="C895:G895"/>
    <mergeCell ref="A896:B896"/>
    <mergeCell ref="C896:G896"/>
    <mergeCell ref="A891:B891"/>
    <mergeCell ref="C891:G891"/>
    <mergeCell ref="A892:B892"/>
    <mergeCell ref="C892:G892"/>
    <mergeCell ref="A893:B893"/>
    <mergeCell ref="C893:G893"/>
    <mergeCell ref="A888:B889"/>
    <mergeCell ref="C888:G889"/>
    <mergeCell ref="H888:H889"/>
    <mergeCell ref="I888:I889"/>
    <mergeCell ref="J888:J889"/>
    <mergeCell ref="A890:B890"/>
    <mergeCell ref="C890:G890"/>
    <mergeCell ref="A883:B883"/>
    <mergeCell ref="C883:G883"/>
    <mergeCell ref="A884:B884"/>
    <mergeCell ref="C884:G884"/>
    <mergeCell ref="A885:G885"/>
    <mergeCell ref="B886:I887"/>
    <mergeCell ref="A880:B880"/>
    <mergeCell ref="C880:G880"/>
    <mergeCell ref="A881:B881"/>
    <mergeCell ref="C881:G881"/>
    <mergeCell ref="A882:B882"/>
    <mergeCell ref="C882:G882"/>
    <mergeCell ref="J875:J876"/>
    <mergeCell ref="A877:B877"/>
    <mergeCell ref="C877:G877"/>
    <mergeCell ref="A878:B878"/>
    <mergeCell ref="C878:G878"/>
    <mergeCell ref="A879:B879"/>
    <mergeCell ref="C879:G879"/>
    <mergeCell ref="A872:G872"/>
    <mergeCell ref="B873:I874"/>
    <mergeCell ref="A875:B876"/>
    <mergeCell ref="C875:G876"/>
    <mergeCell ref="H875:H876"/>
    <mergeCell ref="I875:I876"/>
    <mergeCell ref="A869:B869"/>
    <mergeCell ref="C869:G869"/>
    <mergeCell ref="A870:B870"/>
    <mergeCell ref="C870:G870"/>
    <mergeCell ref="A871:B871"/>
    <mergeCell ref="C871:G871"/>
    <mergeCell ref="A866:B866"/>
    <mergeCell ref="C866:G866"/>
    <mergeCell ref="A867:B867"/>
    <mergeCell ref="C867:G867"/>
    <mergeCell ref="A868:B868"/>
    <mergeCell ref="C868:G868"/>
    <mergeCell ref="A863:B863"/>
    <mergeCell ref="C863:G863"/>
    <mergeCell ref="A864:B864"/>
    <mergeCell ref="C864:G864"/>
    <mergeCell ref="A865:B865"/>
    <mergeCell ref="C865:G865"/>
    <mergeCell ref="A860:B861"/>
    <mergeCell ref="C860:G861"/>
    <mergeCell ref="H860:H861"/>
    <mergeCell ref="I860:I861"/>
    <mergeCell ref="J860:J861"/>
    <mergeCell ref="A862:B862"/>
    <mergeCell ref="C862:G862"/>
    <mergeCell ref="A855:B855"/>
    <mergeCell ref="C855:G855"/>
    <mergeCell ref="A856:B856"/>
    <mergeCell ref="C856:G856"/>
    <mergeCell ref="A857:G857"/>
    <mergeCell ref="B858:I859"/>
    <mergeCell ref="A852:B852"/>
    <mergeCell ref="C852:G852"/>
    <mergeCell ref="A853:B853"/>
    <mergeCell ref="C853:G853"/>
    <mergeCell ref="A854:B854"/>
    <mergeCell ref="C854:G854"/>
    <mergeCell ref="A849:B849"/>
    <mergeCell ref="C849:G849"/>
    <mergeCell ref="A850:B850"/>
    <mergeCell ref="C850:G850"/>
    <mergeCell ref="A851:B851"/>
    <mergeCell ref="C851:G851"/>
    <mergeCell ref="A846:B846"/>
    <mergeCell ref="C846:G846"/>
    <mergeCell ref="A847:B847"/>
    <mergeCell ref="C847:G847"/>
    <mergeCell ref="A848:B848"/>
    <mergeCell ref="C848:G848"/>
    <mergeCell ref="A843:B843"/>
    <mergeCell ref="C843:G843"/>
    <mergeCell ref="A844:B844"/>
    <mergeCell ref="C844:G844"/>
    <mergeCell ref="A845:B845"/>
    <mergeCell ref="C845:G845"/>
    <mergeCell ref="B839:I840"/>
    <mergeCell ref="A841:B842"/>
    <mergeCell ref="C841:G842"/>
    <mergeCell ref="H841:H842"/>
    <mergeCell ref="I841:I842"/>
    <mergeCell ref="J841:J842"/>
    <mergeCell ref="A837:B837"/>
    <mergeCell ref="C837:E837"/>
    <mergeCell ref="F837:G837"/>
    <mergeCell ref="H837:J837"/>
    <mergeCell ref="A838:B838"/>
    <mergeCell ref="C838:E838"/>
    <mergeCell ref="F838:G838"/>
    <mergeCell ref="H838:J838"/>
    <mergeCell ref="G832:G835"/>
    <mergeCell ref="H832:I835"/>
    <mergeCell ref="B834:B835"/>
    <mergeCell ref="C834:C835"/>
    <mergeCell ref="D834:D835"/>
    <mergeCell ref="E834:E835"/>
    <mergeCell ref="F834:F835"/>
    <mergeCell ref="A828:G828"/>
    <mergeCell ref="A829:E829"/>
    <mergeCell ref="F829:J829"/>
    <mergeCell ref="A830:J830"/>
    <mergeCell ref="H831:I831"/>
    <mergeCell ref="B832:B833"/>
    <mergeCell ref="C832:C833"/>
    <mergeCell ref="D832:D833"/>
    <mergeCell ref="E832:E833"/>
    <mergeCell ref="F832:F833"/>
    <mergeCell ref="A825:B825"/>
    <mergeCell ref="C825:G825"/>
    <mergeCell ref="A826:B826"/>
    <mergeCell ref="C826:G826"/>
    <mergeCell ref="A827:B827"/>
    <mergeCell ref="C827:G827"/>
    <mergeCell ref="A822:B822"/>
    <mergeCell ref="C822:G822"/>
    <mergeCell ref="A823:B823"/>
    <mergeCell ref="C823:G823"/>
    <mergeCell ref="A824:B824"/>
    <mergeCell ref="C824:G824"/>
    <mergeCell ref="A819:B820"/>
    <mergeCell ref="C819:G820"/>
    <mergeCell ref="H819:H820"/>
    <mergeCell ref="I819:I820"/>
    <mergeCell ref="J819:J820"/>
    <mergeCell ref="A821:B821"/>
    <mergeCell ref="C821:G821"/>
    <mergeCell ref="A814:B814"/>
    <mergeCell ref="C814:G814"/>
    <mergeCell ref="A815:B815"/>
    <mergeCell ref="C815:G815"/>
    <mergeCell ref="A816:G816"/>
    <mergeCell ref="B817:I818"/>
    <mergeCell ref="A811:B811"/>
    <mergeCell ref="C811:G811"/>
    <mergeCell ref="A812:B812"/>
    <mergeCell ref="C812:G812"/>
    <mergeCell ref="A813:B813"/>
    <mergeCell ref="C813:G813"/>
    <mergeCell ref="J806:J807"/>
    <mergeCell ref="A808:B808"/>
    <mergeCell ref="C808:G808"/>
    <mergeCell ref="A809:B809"/>
    <mergeCell ref="C809:G809"/>
    <mergeCell ref="A810:B810"/>
    <mergeCell ref="C810:G810"/>
    <mergeCell ref="A803:G803"/>
    <mergeCell ref="B804:I805"/>
    <mergeCell ref="A806:B807"/>
    <mergeCell ref="C806:G807"/>
    <mergeCell ref="H806:H807"/>
    <mergeCell ref="I806:I807"/>
    <mergeCell ref="A800:B800"/>
    <mergeCell ref="C800:G800"/>
    <mergeCell ref="A801:B801"/>
    <mergeCell ref="C801:G801"/>
    <mergeCell ref="A802:B802"/>
    <mergeCell ref="C802:G802"/>
    <mergeCell ref="A797:B797"/>
    <mergeCell ref="C797:G797"/>
    <mergeCell ref="A798:B798"/>
    <mergeCell ref="C798:G798"/>
    <mergeCell ref="A799:B799"/>
    <mergeCell ref="C799:G799"/>
    <mergeCell ref="A794:B794"/>
    <mergeCell ref="C794:G794"/>
    <mergeCell ref="A795:B795"/>
    <mergeCell ref="C795:G795"/>
    <mergeCell ref="A796:B796"/>
    <mergeCell ref="C796:G796"/>
    <mergeCell ref="A791:B792"/>
    <mergeCell ref="C791:G792"/>
    <mergeCell ref="H791:H792"/>
    <mergeCell ref="I791:I792"/>
    <mergeCell ref="J791:J792"/>
    <mergeCell ref="A793:B793"/>
    <mergeCell ref="C793:G793"/>
    <mergeCell ref="A786:B786"/>
    <mergeCell ref="C786:G786"/>
    <mergeCell ref="A787:B787"/>
    <mergeCell ref="C787:G787"/>
    <mergeCell ref="A788:G788"/>
    <mergeCell ref="B789:I790"/>
    <mergeCell ref="A783:B783"/>
    <mergeCell ref="C783:G783"/>
    <mergeCell ref="A784:B784"/>
    <mergeCell ref="C784:G784"/>
    <mergeCell ref="A785:B785"/>
    <mergeCell ref="C785:G785"/>
    <mergeCell ref="A780:B780"/>
    <mergeCell ref="C780:G780"/>
    <mergeCell ref="A781:B781"/>
    <mergeCell ref="C781:G781"/>
    <mergeCell ref="A782:B782"/>
    <mergeCell ref="C782:G782"/>
    <mergeCell ref="A777:B777"/>
    <mergeCell ref="C777:G777"/>
    <mergeCell ref="A778:B778"/>
    <mergeCell ref="C778:G778"/>
    <mergeCell ref="A779:B779"/>
    <mergeCell ref="C779:G779"/>
    <mergeCell ref="A774:B774"/>
    <mergeCell ref="C774:G774"/>
    <mergeCell ref="A775:B775"/>
    <mergeCell ref="C775:G775"/>
    <mergeCell ref="A776:B776"/>
    <mergeCell ref="C776:G776"/>
    <mergeCell ref="B770:I771"/>
    <mergeCell ref="A772:B773"/>
    <mergeCell ref="C772:G773"/>
    <mergeCell ref="H772:H773"/>
    <mergeCell ref="I772:I773"/>
    <mergeCell ref="J772:J773"/>
    <mergeCell ref="A768:B768"/>
    <mergeCell ref="C768:E768"/>
    <mergeCell ref="F768:G768"/>
    <mergeCell ref="H768:J768"/>
    <mergeCell ref="A769:B769"/>
    <mergeCell ref="C769:E769"/>
    <mergeCell ref="F769:G769"/>
    <mergeCell ref="H769:J769"/>
    <mergeCell ref="G763:G766"/>
    <mergeCell ref="H763:I766"/>
    <mergeCell ref="B765:B766"/>
    <mergeCell ref="C765:C766"/>
    <mergeCell ref="D765:D766"/>
    <mergeCell ref="E765:E766"/>
    <mergeCell ref="F765:F766"/>
    <mergeCell ref="A759:G759"/>
    <mergeCell ref="A760:E760"/>
    <mergeCell ref="F760:J760"/>
    <mergeCell ref="A761:J761"/>
    <mergeCell ref="H762:I762"/>
    <mergeCell ref="B763:B764"/>
    <mergeCell ref="C763:C764"/>
    <mergeCell ref="D763:D764"/>
    <mergeCell ref="E763:E764"/>
    <mergeCell ref="F763:F764"/>
    <mergeCell ref="A756:B756"/>
    <mergeCell ref="C756:G756"/>
    <mergeCell ref="A757:B757"/>
    <mergeCell ref="C757:G757"/>
    <mergeCell ref="A758:B758"/>
    <mergeCell ref="C758:G758"/>
    <mergeCell ref="A753:B753"/>
    <mergeCell ref="C753:G753"/>
    <mergeCell ref="A754:B754"/>
    <mergeCell ref="C754:G754"/>
    <mergeCell ref="A755:B755"/>
    <mergeCell ref="C755:G755"/>
    <mergeCell ref="A750:B751"/>
    <mergeCell ref="C750:G751"/>
    <mergeCell ref="H750:H751"/>
    <mergeCell ref="I750:I751"/>
    <mergeCell ref="J750:J751"/>
    <mergeCell ref="A752:B752"/>
    <mergeCell ref="C752:G752"/>
    <mergeCell ref="A745:B745"/>
    <mergeCell ref="C745:G745"/>
    <mergeCell ref="A746:B746"/>
    <mergeCell ref="C746:G746"/>
    <mergeCell ref="A747:G747"/>
    <mergeCell ref="B748:I749"/>
    <mergeCell ref="A742:B742"/>
    <mergeCell ref="C742:G742"/>
    <mergeCell ref="A743:B743"/>
    <mergeCell ref="C743:G743"/>
    <mergeCell ref="A744:B744"/>
    <mergeCell ref="C744:G744"/>
    <mergeCell ref="J737:J738"/>
    <mergeCell ref="A739:B739"/>
    <mergeCell ref="C739:G739"/>
    <mergeCell ref="A740:B740"/>
    <mergeCell ref="C740:G740"/>
    <mergeCell ref="A741:B741"/>
    <mergeCell ref="C741:G741"/>
    <mergeCell ref="A734:G734"/>
    <mergeCell ref="B735:I736"/>
    <mergeCell ref="A737:B738"/>
    <mergeCell ref="C737:G738"/>
    <mergeCell ref="H737:H738"/>
    <mergeCell ref="I737:I738"/>
    <mergeCell ref="A731:B731"/>
    <mergeCell ref="C731:G731"/>
    <mergeCell ref="A732:B732"/>
    <mergeCell ref="C732:G732"/>
    <mergeCell ref="A733:B733"/>
    <mergeCell ref="C733:G733"/>
    <mergeCell ref="A728:B728"/>
    <mergeCell ref="C728:G728"/>
    <mergeCell ref="A729:B729"/>
    <mergeCell ref="C729:G729"/>
    <mergeCell ref="A730:B730"/>
    <mergeCell ref="C730:G730"/>
    <mergeCell ref="A725:B725"/>
    <mergeCell ref="C725:G725"/>
    <mergeCell ref="A726:B726"/>
    <mergeCell ref="C726:G726"/>
    <mergeCell ref="A727:B727"/>
    <mergeCell ref="C727:G727"/>
    <mergeCell ref="A722:B723"/>
    <mergeCell ref="C722:G723"/>
    <mergeCell ref="H722:H723"/>
    <mergeCell ref="I722:I723"/>
    <mergeCell ref="J722:J723"/>
    <mergeCell ref="A724:B724"/>
    <mergeCell ref="C724:G724"/>
    <mergeCell ref="A717:B717"/>
    <mergeCell ref="C717:G717"/>
    <mergeCell ref="A718:B718"/>
    <mergeCell ref="C718:G718"/>
    <mergeCell ref="A719:G719"/>
    <mergeCell ref="B720:I721"/>
    <mergeCell ref="A714:B714"/>
    <mergeCell ref="C714:G714"/>
    <mergeCell ref="A715:B715"/>
    <mergeCell ref="C715:G715"/>
    <mergeCell ref="A716:B716"/>
    <mergeCell ref="C716:G716"/>
    <mergeCell ref="A711:B711"/>
    <mergeCell ref="C711:G711"/>
    <mergeCell ref="A712:B712"/>
    <mergeCell ref="C712:G712"/>
    <mergeCell ref="A713:B713"/>
    <mergeCell ref="C713:G713"/>
    <mergeCell ref="A708:B708"/>
    <mergeCell ref="C708:G708"/>
    <mergeCell ref="A709:B709"/>
    <mergeCell ref="C709:G709"/>
    <mergeCell ref="A710:B710"/>
    <mergeCell ref="C710:G710"/>
    <mergeCell ref="A705:B705"/>
    <mergeCell ref="C705:G705"/>
    <mergeCell ref="A706:B706"/>
    <mergeCell ref="C706:G706"/>
    <mergeCell ref="A707:B707"/>
    <mergeCell ref="C707:G707"/>
    <mergeCell ref="B701:I702"/>
    <mergeCell ref="A703:B704"/>
    <mergeCell ref="C703:G704"/>
    <mergeCell ref="H703:H704"/>
    <mergeCell ref="I703:I704"/>
    <mergeCell ref="J703:J704"/>
    <mergeCell ref="A699:B699"/>
    <mergeCell ref="C699:E699"/>
    <mergeCell ref="F699:G699"/>
    <mergeCell ref="H699:J699"/>
    <mergeCell ref="A700:B700"/>
    <mergeCell ref="C700:E700"/>
    <mergeCell ref="F700:G700"/>
    <mergeCell ref="H700:J700"/>
    <mergeCell ref="G694:G697"/>
    <mergeCell ref="H694:I697"/>
    <mergeCell ref="B696:B697"/>
    <mergeCell ref="C696:C697"/>
    <mergeCell ref="D696:D697"/>
    <mergeCell ref="E696:E697"/>
    <mergeCell ref="F696:F697"/>
    <mergeCell ref="A690:G690"/>
    <mergeCell ref="A691:E691"/>
    <mergeCell ref="F691:J691"/>
    <mergeCell ref="A692:J692"/>
    <mergeCell ref="H693:I693"/>
    <mergeCell ref="B694:B695"/>
    <mergeCell ref="C694:C695"/>
    <mergeCell ref="D694:D695"/>
    <mergeCell ref="E694:E695"/>
    <mergeCell ref="F694:F695"/>
    <mergeCell ref="A687:B687"/>
    <mergeCell ref="C687:G687"/>
    <mergeCell ref="A688:B688"/>
    <mergeCell ref="C688:G688"/>
    <mergeCell ref="A689:B689"/>
    <mergeCell ref="C689:G689"/>
    <mergeCell ref="A684:B684"/>
    <mergeCell ref="C684:G684"/>
    <mergeCell ref="A685:B685"/>
    <mergeCell ref="C685:G685"/>
    <mergeCell ref="A686:B686"/>
    <mergeCell ref="C686:G686"/>
    <mergeCell ref="A681:B682"/>
    <mergeCell ref="C681:G682"/>
    <mergeCell ref="H681:H682"/>
    <mergeCell ref="I681:I682"/>
    <mergeCell ref="J681:J682"/>
    <mergeCell ref="A683:B683"/>
    <mergeCell ref="C683:G683"/>
    <mergeCell ref="A676:B676"/>
    <mergeCell ref="C676:G676"/>
    <mergeCell ref="A677:B677"/>
    <mergeCell ref="C677:G677"/>
    <mergeCell ref="A678:G678"/>
    <mergeCell ref="B679:I680"/>
    <mergeCell ref="A673:B673"/>
    <mergeCell ref="C673:G673"/>
    <mergeCell ref="A674:B674"/>
    <mergeCell ref="C674:G674"/>
    <mergeCell ref="A675:B675"/>
    <mergeCell ref="C675:G675"/>
    <mergeCell ref="J668:J669"/>
    <mergeCell ref="A670:B670"/>
    <mergeCell ref="C670:G670"/>
    <mergeCell ref="A671:B671"/>
    <mergeCell ref="C671:G671"/>
    <mergeCell ref="A672:B672"/>
    <mergeCell ref="C672:G672"/>
    <mergeCell ref="A665:G665"/>
    <mergeCell ref="B666:I667"/>
    <mergeCell ref="A668:B669"/>
    <mergeCell ref="C668:G669"/>
    <mergeCell ref="H668:H669"/>
    <mergeCell ref="I668:I669"/>
    <mergeCell ref="A662:B662"/>
    <mergeCell ref="C662:G662"/>
    <mergeCell ref="A663:B663"/>
    <mergeCell ref="C663:G663"/>
    <mergeCell ref="A664:B664"/>
    <mergeCell ref="C664:G664"/>
    <mergeCell ref="A659:B659"/>
    <mergeCell ref="C659:G659"/>
    <mergeCell ref="A660:B660"/>
    <mergeCell ref="C660:G660"/>
    <mergeCell ref="A661:B661"/>
    <mergeCell ref="C661:G661"/>
    <mergeCell ref="A656:B656"/>
    <mergeCell ref="C656:G656"/>
    <mergeCell ref="A657:B657"/>
    <mergeCell ref="C657:G657"/>
    <mergeCell ref="A658:B658"/>
    <mergeCell ref="C658:G658"/>
    <mergeCell ref="A653:B654"/>
    <mergeCell ref="C653:G654"/>
    <mergeCell ref="H653:H654"/>
    <mergeCell ref="I653:I654"/>
    <mergeCell ref="J653:J654"/>
    <mergeCell ref="A655:B655"/>
    <mergeCell ref="C655:G655"/>
    <mergeCell ref="A648:B648"/>
    <mergeCell ref="C648:G648"/>
    <mergeCell ref="A649:B649"/>
    <mergeCell ref="C649:G649"/>
    <mergeCell ref="A650:G650"/>
    <mergeCell ref="B651:I652"/>
    <mergeCell ref="A645:B645"/>
    <mergeCell ref="C645:G645"/>
    <mergeCell ref="A646:B646"/>
    <mergeCell ref="C646:G646"/>
    <mergeCell ref="A647:B647"/>
    <mergeCell ref="C647:G647"/>
    <mergeCell ref="A642:B642"/>
    <mergeCell ref="C642:G642"/>
    <mergeCell ref="A643:B643"/>
    <mergeCell ref="C643:G643"/>
    <mergeCell ref="A644:B644"/>
    <mergeCell ref="C644:G644"/>
    <mergeCell ref="A639:B639"/>
    <mergeCell ref="C639:G639"/>
    <mergeCell ref="A640:B640"/>
    <mergeCell ref="C640:G640"/>
    <mergeCell ref="A641:B641"/>
    <mergeCell ref="C641:G641"/>
    <mergeCell ref="A636:B636"/>
    <mergeCell ref="C636:G636"/>
    <mergeCell ref="A637:B637"/>
    <mergeCell ref="C637:G637"/>
    <mergeCell ref="A638:B638"/>
    <mergeCell ref="C638:G638"/>
    <mergeCell ref="B632:I633"/>
    <mergeCell ref="A634:B635"/>
    <mergeCell ref="C634:G635"/>
    <mergeCell ref="H634:H635"/>
    <mergeCell ref="I634:I635"/>
    <mergeCell ref="J634:J635"/>
    <mergeCell ref="A630:B630"/>
    <mergeCell ref="C630:E630"/>
    <mergeCell ref="F630:G630"/>
    <mergeCell ref="H630:J630"/>
    <mergeCell ref="A631:B631"/>
    <mergeCell ref="C631:E631"/>
    <mergeCell ref="F631:G631"/>
    <mergeCell ref="H631:J631"/>
    <mergeCell ref="G625:G628"/>
    <mergeCell ref="H625:I628"/>
    <mergeCell ref="B627:B628"/>
    <mergeCell ref="C627:C628"/>
    <mergeCell ref="D627:D628"/>
    <mergeCell ref="E627:E628"/>
    <mergeCell ref="F627:F628"/>
    <mergeCell ref="A621:G621"/>
    <mergeCell ref="A622:E622"/>
    <mergeCell ref="F622:J622"/>
    <mergeCell ref="A623:J623"/>
    <mergeCell ref="H624:I624"/>
    <mergeCell ref="B625:B626"/>
    <mergeCell ref="C625:C626"/>
    <mergeCell ref="D625:D626"/>
    <mergeCell ref="E625:E626"/>
    <mergeCell ref="F625:F626"/>
    <mergeCell ref="A618:B618"/>
    <mergeCell ref="C618:G618"/>
    <mergeCell ref="A619:B619"/>
    <mergeCell ref="C619:G619"/>
    <mergeCell ref="A620:B620"/>
    <mergeCell ref="C620:G620"/>
    <mergeCell ref="A615:B615"/>
    <mergeCell ref="C615:G615"/>
    <mergeCell ref="A616:B616"/>
    <mergeCell ref="C616:G616"/>
    <mergeCell ref="A617:B617"/>
    <mergeCell ref="C617:G617"/>
    <mergeCell ref="A612:B613"/>
    <mergeCell ref="C612:G613"/>
    <mergeCell ref="H612:H613"/>
    <mergeCell ref="I612:I613"/>
    <mergeCell ref="J612:J613"/>
    <mergeCell ref="A614:B614"/>
    <mergeCell ref="C614:G614"/>
    <mergeCell ref="A607:B607"/>
    <mergeCell ref="C607:G607"/>
    <mergeCell ref="A608:B608"/>
    <mergeCell ref="C608:G608"/>
    <mergeCell ref="A609:G609"/>
    <mergeCell ref="B610:I611"/>
    <mergeCell ref="A604:B604"/>
    <mergeCell ref="C604:G604"/>
    <mergeCell ref="A605:B605"/>
    <mergeCell ref="C605:G605"/>
    <mergeCell ref="A606:B606"/>
    <mergeCell ref="C606:G606"/>
    <mergeCell ref="J599:J600"/>
    <mergeCell ref="A601:B601"/>
    <mergeCell ref="C601:G601"/>
    <mergeCell ref="A602:B602"/>
    <mergeCell ref="C602:G602"/>
    <mergeCell ref="A603:B603"/>
    <mergeCell ref="C603:G603"/>
    <mergeCell ref="A596:G596"/>
    <mergeCell ref="B597:I598"/>
    <mergeCell ref="A599:B600"/>
    <mergeCell ref="C599:G600"/>
    <mergeCell ref="H599:H600"/>
    <mergeCell ref="I599:I600"/>
    <mergeCell ref="A593:B593"/>
    <mergeCell ref="C593:G593"/>
    <mergeCell ref="A594:B594"/>
    <mergeCell ref="C594:G594"/>
    <mergeCell ref="A595:B595"/>
    <mergeCell ref="C595:G595"/>
    <mergeCell ref="A590:B590"/>
    <mergeCell ref="C590:G590"/>
    <mergeCell ref="A591:B591"/>
    <mergeCell ref="C591:G591"/>
    <mergeCell ref="A592:B592"/>
    <mergeCell ref="C592:G592"/>
    <mergeCell ref="A587:B587"/>
    <mergeCell ref="C587:G587"/>
    <mergeCell ref="A588:B588"/>
    <mergeCell ref="C588:G588"/>
    <mergeCell ref="A589:B589"/>
    <mergeCell ref="C589:G589"/>
    <mergeCell ref="A584:B585"/>
    <mergeCell ref="C584:G585"/>
    <mergeCell ref="H584:H585"/>
    <mergeCell ref="I584:I585"/>
    <mergeCell ref="J584:J585"/>
    <mergeCell ref="A586:B586"/>
    <mergeCell ref="C586:G586"/>
    <mergeCell ref="A579:B579"/>
    <mergeCell ref="C579:G579"/>
    <mergeCell ref="A580:B580"/>
    <mergeCell ref="C580:G580"/>
    <mergeCell ref="A581:G581"/>
    <mergeCell ref="B582:I583"/>
    <mergeCell ref="A576:B576"/>
    <mergeCell ref="C576:G576"/>
    <mergeCell ref="A577:B577"/>
    <mergeCell ref="C577:G577"/>
    <mergeCell ref="A578:B578"/>
    <mergeCell ref="C578:G578"/>
    <mergeCell ref="A573:B573"/>
    <mergeCell ref="C573:G573"/>
    <mergeCell ref="A574:B574"/>
    <mergeCell ref="C574:G574"/>
    <mergeCell ref="A575:B575"/>
    <mergeCell ref="C575:G575"/>
    <mergeCell ref="A570:B570"/>
    <mergeCell ref="C570:G570"/>
    <mergeCell ref="A571:B571"/>
    <mergeCell ref="C571:G571"/>
    <mergeCell ref="A572:B572"/>
    <mergeCell ref="C572:G572"/>
    <mergeCell ref="A567:B567"/>
    <mergeCell ref="C567:G567"/>
    <mergeCell ref="A568:B568"/>
    <mergeCell ref="C568:G568"/>
    <mergeCell ref="A569:B569"/>
    <mergeCell ref="C569:G569"/>
    <mergeCell ref="B563:I564"/>
    <mergeCell ref="A565:B566"/>
    <mergeCell ref="C565:G566"/>
    <mergeCell ref="H565:H566"/>
    <mergeCell ref="I565:I566"/>
    <mergeCell ref="J565:J566"/>
    <mergeCell ref="A561:B561"/>
    <mergeCell ref="C561:E561"/>
    <mergeCell ref="F561:G561"/>
    <mergeCell ref="H561:J561"/>
    <mergeCell ref="A562:B562"/>
    <mergeCell ref="C562:E562"/>
    <mergeCell ref="F562:G562"/>
    <mergeCell ref="H562:J562"/>
    <mergeCell ref="G556:G559"/>
    <mergeCell ref="H556:I559"/>
    <mergeCell ref="B558:B559"/>
    <mergeCell ref="C558:C559"/>
    <mergeCell ref="D558:D559"/>
    <mergeCell ref="E558:E559"/>
    <mergeCell ref="F558:F559"/>
    <mergeCell ref="A552:G552"/>
    <mergeCell ref="A553:E553"/>
    <mergeCell ref="F553:J553"/>
    <mergeCell ref="A554:J554"/>
    <mergeCell ref="H555:I555"/>
    <mergeCell ref="B556:B557"/>
    <mergeCell ref="C556:C557"/>
    <mergeCell ref="D556:D557"/>
    <mergeCell ref="E556:E557"/>
    <mergeCell ref="F556:F557"/>
    <mergeCell ref="A549:B549"/>
    <mergeCell ref="C549:G549"/>
    <mergeCell ref="A550:B550"/>
    <mergeCell ref="C550:G550"/>
    <mergeCell ref="A551:B551"/>
    <mergeCell ref="C551:G551"/>
    <mergeCell ref="A546:B546"/>
    <mergeCell ref="C546:G546"/>
    <mergeCell ref="A547:B547"/>
    <mergeCell ref="C547:G547"/>
    <mergeCell ref="A548:B548"/>
    <mergeCell ref="C548:G548"/>
    <mergeCell ref="A543:B544"/>
    <mergeCell ref="C543:G544"/>
    <mergeCell ref="H543:H544"/>
    <mergeCell ref="I543:I544"/>
    <mergeCell ref="J543:J544"/>
    <mergeCell ref="A545:B545"/>
    <mergeCell ref="C545:G545"/>
    <mergeCell ref="A538:B538"/>
    <mergeCell ref="C538:G538"/>
    <mergeCell ref="A539:B539"/>
    <mergeCell ref="C539:G539"/>
    <mergeCell ref="A540:G540"/>
    <mergeCell ref="B541:I542"/>
    <mergeCell ref="A535:B535"/>
    <mergeCell ref="C535:G535"/>
    <mergeCell ref="A536:B536"/>
    <mergeCell ref="C536:G536"/>
    <mergeCell ref="A537:B537"/>
    <mergeCell ref="C537:G537"/>
    <mergeCell ref="J530:J531"/>
    <mergeCell ref="A532:B532"/>
    <mergeCell ref="C532:G532"/>
    <mergeCell ref="A533:B533"/>
    <mergeCell ref="C533:G533"/>
    <mergeCell ref="A534:B534"/>
    <mergeCell ref="C534:G534"/>
    <mergeCell ref="A527:G527"/>
    <mergeCell ref="B528:I529"/>
    <mergeCell ref="A530:B531"/>
    <mergeCell ref="C530:G531"/>
    <mergeCell ref="H530:H531"/>
    <mergeCell ref="I530:I531"/>
    <mergeCell ref="A524:B524"/>
    <mergeCell ref="C524:G524"/>
    <mergeCell ref="A525:B525"/>
    <mergeCell ref="C525:G525"/>
    <mergeCell ref="A526:B526"/>
    <mergeCell ref="C526:G526"/>
    <mergeCell ref="A521:B521"/>
    <mergeCell ref="C521:G521"/>
    <mergeCell ref="A522:B522"/>
    <mergeCell ref="C522:G522"/>
    <mergeCell ref="A523:B523"/>
    <mergeCell ref="C523:G523"/>
    <mergeCell ref="A518:B518"/>
    <mergeCell ref="C518:G518"/>
    <mergeCell ref="A519:B519"/>
    <mergeCell ref="C519:G519"/>
    <mergeCell ref="A520:B520"/>
    <mergeCell ref="C520:G520"/>
    <mergeCell ref="A515:B516"/>
    <mergeCell ref="C515:G516"/>
    <mergeCell ref="H515:H516"/>
    <mergeCell ref="I515:I516"/>
    <mergeCell ref="J515:J516"/>
    <mergeCell ref="A517:B517"/>
    <mergeCell ref="C517:G517"/>
    <mergeCell ref="A510:B510"/>
    <mergeCell ref="C510:G510"/>
    <mergeCell ref="A511:B511"/>
    <mergeCell ref="C511:G511"/>
    <mergeCell ref="A512:G512"/>
    <mergeCell ref="B513:I514"/>
    <mergeCell ref="A507:B507"/>
    <mergeCell ref="C507:G507"/>
    <mergeCell ref="A508:B508"/>
    <mergeCell ref="C508:G508"/>
    <mergeCell ref="A509:B509"/>
    <mergeCell ref="C509:G509"/>
    <mergeCell ref="A504:B504"/>
    <mergeCell ref="C504:G504"/>
    <mergeCell ref="A505:B505"/>
    <mergeCell ref="C505:G505"/>
    <mergeCell ref="A506:B506"/>
    <mergeCell ref="C506:G506"/>
    <mergeCell ref="A501:B501"/>
    <mergeCell ref="C501:G501"/>
    <mergeCell ref="A502:B502"/>
    <mergeCell ref="C502:G502"/>
    <mergeCell ref="A503:B503"/>
    <mergeCell ref="C503:G503"/>
    <mergeCell ref="A498:B498"/>
    <mergeCell ref="C498:G498"/>
    <mergeCell ref="A499:B499"/>
    <mergeCell ref="C499:G499"/>
    <mergeCell ref="A500:B500"/>
    <mergeCell ref="C500:G500"/>
    <mergeCell ref="B494:I495"/>
    <mergeCell ref="A496:B497"/>
    <mergeCell ref="C496:G497"/>
    <mergeCell ref="H496:H497"/>
    <mergeCell ref="I496:I497"/>
    <mergeCell ref="J496:J497"/>
    <mergeCell ref="A492:B492"/>
    <mergeCell ref="C492:E492"/>
    <mergeCell ref="F492:G492"/>
    <mergeCell ref="H492:J492"/>
    <mergeCell ref="A493:B493"/>
    <mergeCell ref="C493:E493"/>
    <mergeCell ref="F493:G493"/>
    <mergeCell ref="H493:J493"/>
    <mergeCell ref="G487:G490"/>
    <mergeCell ref="H487:I490"/>
    <mergeCell ref="B489:B490"/>
    <mergeCell ref="C489:C490"/>
    <mergeCell ref="D489:D490"/>
    <mergeCell ref="E489:E490"/>
    <mergeCell ref="F489:F490"/>
    <mergeCell ref="A483:G483"/>
    <mergeCell ref="A484:E484"/>
    <mergeCell ref="F484:J484"/>
    <mergeCell ref="A485:J485"/>
    <mergeCell ref="H486:I486"/>
    <mergeCell ref="B487:B488"/>
    <mergeCell ref="C487:C488"/>
    <mergeCell ref="D487:D488"/>
    <mergeCell ref="E487:E488"/>
    <mergeCell ref="F487:F488"/>
    <mergeCell ref="A480:B480"/>
    <mergeCell ref="C480:G480"/>
    <mergeCell ref="A481:B481"/>
    <mergeCell ref="C481:G481"/>
    <mergeCell ref="A482:B482"/>
    <mergeCell ref="C482:G482"/>
    <mergeCell ref="A477:B477"/>
    <mergeCell ref="C477:G477"/>
    <mergeCell ref="A478:B478"/>
    <mergeCell ref="C478:G478"/>
    <mergeCell ref="A479:B479"/>
    <mergeCell ref="C479:G479"/>
    <mergeCell ref="A474:B475"/>
    <mergeCell ref="C474:G475"/>
    <mergeCell ref="H474:H475"/>
    <mergeCell ref="I474:I475"/>
    <mergeCell ref="J474:J475"/>
    <mergeCell ref="A476:B476"/>
    <mergeCell ref="C476:G476"/>
    <mergeCell ref="A469:B469"/>
    <mergeCell ref="C469:G469"/>
    <mergeCell ref="A470:B470"/>
    <mergeCell ref="C470:G470"/>
    <mergeCell ref="A471:G471"/>
    <mergeCell ref="B472:I473"/>
    <mergeCell ref="A466:B466"/>
    <mergeCell ref="C466:G466"/>
    <mergeCell ref="A467:B467"/>
    <mergeCell ref="C467:G467"/>
    <mergeCell ref="A468:B468"/>
    <mergeCell ref="C468:G468"/>
    <mergeCell ref="J461:J462"/>
    <mergeCell ref="A463:B463"/>
    <mergeCell ref="C463:G463"/>
    <mergeCell ref="A464:B464"/>
    <mergeCell ref="C464:G464"/>
    <mergeCell ref="A465:B465"/>
    <mergeCell ref="C465:G465"/>
    <mergeCell ref="A458:G458"/>
    <mergeCell ref="B459:I460"/>
    <mergeCell ref="A461:B462"/>
    <mergeCell ref="C461:G462"/>
    <mergeCell ref="H461:H462"/>
    <mergeCell ref="I461:I462"/>
    <mergeCell ref="A455:B455"/>
    <mergeCell ref="C455:G455"/>
    <mergeCell ref="A456:B456"/>
    <mergeCell ref="C456:G456"/>
    <mergeCell ref="A457:B457"/>
    <mergeCell ref="C457:G457"/>
    <mergeCell ref="A452:B452"/>
    <mergeCell ref="C452:G452"/>
    <mergeCell ref="A453:B453"/>
    <mergeCell ref="C453:G453"/>
    <mergeCell ref="A454:B454"/>
    <mergeCell ref="C454:G454"/>
    <mergeCell ref="A449:B449"/>
    <mergeCell ref="C449:G449"/>
    <mergeCell ref="A450:B450"/>
    <mergeCell ref="C450:G450"/>
    <mergeCell ref="A451:B451"/>
    <mergeCell ref="C451:G451"/>
    <mergeCell ref="A446:B447"/>
    <mergeCell ref="C446:G447"/>
    <mergeCell ref="H446:H447"/>
    <mergeCell ref="I446:I447"/>
    <mergeCell ref="J446:J447"/>
    <mergeCell ref="A448:B448"/>
    <mergeCell ref="C448:G448"/>
    <mergeCell ref="A441:B441"/>
    <mergeCell ref="C441:G441"/>
    <mergeCell ref="A442:B442"/>
    <mergeCell ref="C442:G442"/>
    <mergeCell ref="A443:G443"/>
    <mergeCell ref="B444:I445"/>
    <mergeCell ref="A438:B438"/>
    <mergeCell ref="C438:G438"/>
    <mergeCell ref="A439:B439"/>
    <mergeCell ref="C439:G439"/>
    <mergeCell ref="A440:B440"/>
    <mergeCell ref="C440:G440"/>
    <mergeCell ref="A435:B435"/>
    <mergeCell ref="C435:G435"/>
    <mergeCell ref="A436:B436"/>
    <mergeCell ref="C436:G436"/>
    <mergeCell ref="A437:B437"/>
    <mergeCell ref="C437:G437"/>
    <mergeCell ref="A432:B432"/>
    <mergeCell ref="C432:G432"/>
    <mergeCell ref="A433:B433"/>
    <mergeCell ref="C433:G433"/>
    <mergeCell ref="A434:B434"/>
    <mergeCell ref="C434:G434"/>
    <mergeCell ref="A429:B429"/>
    <mergeCell ref="C429:G429"/>
    <mergeCell ref="A430:B430"/>
    <mergeCell ref="C430:G430"/>
    <mergeCell ref="A431:B431"/>
    <mergeCell ref="C431:G431"/>
    <mergeCell ref="B425:I426"/>
    <mergeCell ref="A427:B428"/>
    <mergeCell ref="C427:G428"/>
    <mergeCell ref="H427:H428"/>
    <mergeCell ref="I427:I428"/>
    <mergeCell ref="J427:J428"/>
    <mergeCell ref="A423:B423"/>
    <mergeCell ref="C423:E423"/>
    <mergeCell ref="F423:G423"/>
    <mergeCell ref="H423:J423"/>
    <mergeCell ref="A424:B424"/>
    <mergeCell ref="C424:E424"/>
    <mergeCell ref="F424:G424"/>
    <mergeCell ref="H424:J424"/>
    <mergeCell ref="G418:G421"/>
    <mergeCell ref="H418:I421"/>
    <mergeCell ref="B420:B421"/>
    <mergeCell ref="C420:C421"/>
    <mergeCell ref="D420:D421"/>
    <mergeCell ref="E420:E421"/>
    <mergeCell ref="F420:F421"/>
    <mergeCell ref="A414:G414"/>
    <mergeCell ref="A415:E415"/>
    <mergeCell ref="F415:J415"/>
    <mergeCell ref="A416:J416"/>
    <mergeCell ref="H417:I417"/>
    <mergeCell ref="B418:B419"/>
    <mergeCell ref="C418:C419"/>
    <mergeCell ref="D418:D419"/>
    <mergeCell ref="E418:E419"/>
    <mergeCell ref="F418:F419"/>
    <mergeCell ref="A411:B411"/>
    <mergeCell ref="C411:G411"/>
    <mergeCell ref="A412:B412"/>
    <mergeCell ref="C412:G412"/>
    <mergeCell ref="A413:B413"/>
    <mergeCell ref="C413:G413"/>
    <mergeCell ref="A408:B408"/>
    <mergeCell ref="C408:G408"/>
    <mergeCell ref="A409:B409"/>
    <mergeCell ref="C409:G409"/>
    <mergeCell ref="A410:B410"/>
    <mergeCell ref="C410:G410"/>
    <mergeCell ref="A405:B406"/>
    <mergeCell ref="C405:G406"/>
    <mergeCell ref="H405:H406"/>
    <mergeCell ref="I405:I406"/>
    <mergeCell ref="J405:J406"/>
    <mergeCell ref="A407:B407"/>
    <mergeCell ref="C407:G407"/>
    <mergeCell ref="A400:B400"/>
    <mergeCell ref="C400:G400"/>
    <mergeCell ref="A401:B401"/>
    <mergeCell ref="C401:G401"/>
    <mergeCell ref="A402:G402"/>
    <mergeCell ref="B403:I404"/>
    <mergeCell ref="A397:B397"/>
    <mergeCell ref="C397:G397"/>
    <mergeCell ref="A398:B398"/>
    <mergeCell ref="C398:G398"/>
    <mergeCell ref="A399:B399"/>
    <mergeCell ref="C399:G399"/>
    <mergeCell ref="J392:J393"/>
    <mergeCell ref="A394:B394"/>
    <mergeCell ref="C394:G394"/>
    <mergeCell ref="A395:B395"/>
    <mergeCell ref="C395:G395"/>
    <mergeCell ref="A396:B396"/>
    <mergeCell ref="C396:G396"/>
    <mergeCell ref="A389:G389"/>
    <mergeCell ref="B390:I391"/>
    <mergeCell ref="A392:B393"/>
    <mergeCell ref="C392:G393"/>
    <mergeCell ref="H392:H393"/>
    <mergeCell ref="I392:I393"/>
    <mergeCell ref="A386:B386"/>
    <mergeCell ref="C386:G386"/>
    <mergeCell ref="A387:B387"/>
    <mergeCell ref="C387:G387"/>
    <mergeCell ref="A388:B388"/>
    <mergeCell ref="C388:G388"/>
    <mergeCell ref="A383:B383"/>
    <mergeCell ref="C383:G383"/>
    <mergeCell ref="A384:B384"/>
    <mergeCell ref="C384:G384"/>
    <mergeCell ref="A385:B385"/>
    <mergeCell ref="C385:G385"/>
    <mergeCell ref="A380:B380"/>
    <mergeCell ref="C380:G380"/>
    <mergeCell ref="A381:B381"/>
    <mergeCell ref="C381:G381"/>
    <mergeCell ref="A382:B382"/>
    <mergeCell ref="C382:G382"/>
    <mergeCell ref="A377:B378"/>
    <mergeCell ref="C377:G378"/>
    <mergeCell ref="H377:H378"/>
    <mergeCell ref="I377:I378"/>
    <mergeCell ref="J377:J378"/>
    <mergeCell ref="A379:B379"/>
    <mergeCell ref="C379:G379"/>
    <mergeCell ref="A372:B372"/>
    <mergeCell ref="C372:G372"/>
    <mergeCell ref="A373:B373"/>
    <mergeCell ref="C373:G373"/>
    <mergeCell ref="A374:G374"/>
    <mergeCell ref="B375:I376"/>
    <mergeCell ref="A369:B369"/>
    <mergeCell ref="C369:G369"/>
    <mergeCell ref="A370:B370"/>
    <mergeCell ref="C370:G370"/>
    <mergeCell ref="A371:B371"/>
    <mergeCell ref="C371:G371"/>
    <mergeCell ref="A366:B366"/>
    <mergeCell ref="C366:G366"/>
    <mergeCell ref="A367:B367"/>
    <mergeCell ref="C367:G367"/>
    <mergeCell ref="A368:B368"/>
    <mergeCell ref="C368:G368"/>
    <mergeCell ref="A363:B363"/>
    <mergeCell ref="C363:G363"/>
    <mergeCell ref="A364:B364"/>
    <mergeCell ref="C364:G364"/>
    <mergeCell ref="A365:B365"/>
    <mergeCell ref="C365:G365"/>
    <mergeCell ref="A360:B360"/>
    <mergeCell ref="C360:G360"/>
    <mergeCell ref="A361:B361"/>
    <mergeCell ref="C361:G361"/>
    <mergeCell ref="A362:B362"/>
    <mergeCell ref="C362:G362"/>
    <mergeCell ref="B356:I357"/>
    <mergeCell ref="A358:B359"/>
    <mergeCell ref="C358:G359"/>
    <mergeCell ref="H358:H359"/>
    <mergeCell ref="I358:I359"/>
    <mergeCell ref="J358:J359"/>
    <mergeCell ref="A354:B354"/>
    <mergeCell ref="C354:E354"/>
    <mergeCell ref="F354:G354"/>
    <mergeCell ref="H354:J354"/>
    <mergeCell ref="A355:B355"/>
    <mergeCell ref="C355:E355"/>
    <mergeCell ref="F355:G355"/>
    <mergeCell ref="H355:J355"/>
    <mergeCell ref="G349:G352"/>
    <mergeCell ref="H349:I352"/>
    <mergeCell ref="B351:B352"/>
    <mergeCell ref="C351:C352"/>
    <mergeCell ref="D351:D352"/>
    <mergeCell ref="E351:E352"/>
    <mergeCell ref="F351:F352"/>
    <mergeCell ref="A345:G345"/>
    <mergeCell ref="A346:E346"/>
    <mergeCell ref="F346:J346"/>
    <mergeCell ref="A347:J347"/>
    <mergeCell ref="H348:I348"/>
    <mergeCell ref="B349:B350"/>
    <mergeCell ref="C349:C350"/>
    <mergeCell ref="D349:D350"/>
    <mergeCell ref="E349:E350"/>
    <mergeCell ref="F349:F350"/>
    <mergeCell ref="A342:B342"/>
    <mergeCell ref="C342:G342"/>
    <mergeCell ref="A343:B343"/>
    <mergeCell ref="C343:G343"/>
    <mergeCell ref="A344:B344"/>
    <mergeCell ref="C344:G344"/>
    <mergeCell ref="A339:B339"/>
    <mergeCell ref="C339:G339"/>
    <mergeCell ref="A340:B340"/>
    <mergeCell ref="C340:G340"/>
    <mergeCell ref="A341:B341"/>
    <mergeCell ref="C341:G341"/>
    <mergeCell ref="A336:B337"/>
    <mergeCell ref="C336:G337"/>
    <mergeCell ref="H336:H337"/>
    <mergeCell ref="I336:I337"/>
    <mergeCell ref="J336:J337"/>
    <mergeCell ref="A338:B338"/>
    <mergeCell ref="C338:G338"/>
    <mergeCell ref="A331:B331"/>
    <mergeCell ref="C331:G331"/>
    <mergeCell ref="A332:B332"/>
    <mergeCell ref="C332:G332"/>
    <mergeCell ref="A333:G333"/>
    <mergeCell ref="B334:I335"/>
    <mergeCell ref="A328:B328"/>
    <mergeCell ref="C328:G328"/>
    <mergeCell ref="A329:B329"/>
    <mergeCell ref="C329:G329"/>
    <mergeCell ref="A330:B330"/>
    <mergeCell ref="C330:G330"/>
    <mergeCell ref="J323:J324"/>
    <mergeCell ref="A325:B325"/>
    <mergeCell ref="C325:G325"/>
    <mergeCell ref="A326:B326"/>
    <mergeCell ref="C326:G326"/>
    <mergeCell ref="A327:B327"/>
    <mergeCell ref="C327:G327"/>
    <mergeCell ref="A320:G320"/>
    <mergeCell ref="B321:I322"/>
    <mergeCell ref="A323:B324"/>
    <mergeCell ref="C323:G324"/>
    <mergeCell ref="H323:H324"/>
    <mergeCell ref="I323:I324"/>
    <mergeCell ref="A317:B317"/>
    <mergeCell ref="C317:G317"/>
    <mergeCell ref="A318:B318"/>
    <mergeCell ref="C318:G318"/>
    <mergeCell ref="A319:B319"/>
    <mergeCell ref="C319:G319"/>
    <mergeCell ref="A314:B314"/>
    <mergeCell ref="C314:G314"/>
    <mergeCell ref="A315:B315"/>
    <mergeCell ref="C315:G315"/>
    <mergeCell ref="A316:B316"/>
    <mergeCell ref="C316:G316"/>
    <mergeCell ref="A311:B311"/>
    <mergeCell ref="C311:G311"/>
    <mergeCell ref="A312:B312"/>
    <mergeCell ref="C312:G312"/>
    <mergeCell ref="A313:B313"/>
    <mergeCell ref="C313:G313"/>
    <mergeCell ref="A308:B309"/>
    <mergeCell ref="C308:G309"/>
    <mergeCell ref="H308:H309"/>
    <mergeCell ref="I308:I309"/>
    <mergeCell ref="J308:J309"/>
    <mergeCell ref="A310:B310"/>
    <mergeCell ref="C310:G310"/>
    <mergeCell ref="A303:B303"/>
    <mergeCell ref="C303:G303"/>
    <mergeCell ref="A304:B304"/>
    <mergeCell ref="C304:G304"/>
    <mergeCell ref="A305:G305"/>
    <mergeCell ref="B306:I307"/>
    <mergeCell ref="A300:B300"/>
    <mergeCell ref="C300:G300"/>
    <mergeCell ref="A301:B301"/>
    <mergeCell ref="C301:G301"/>
    <mergeCell ref="A302:B302"/>
    <mergeCell ref="C302:G302"/>
    <mergeCell ref="A297:B297"/>
    <mergeCell ref="C297:G297"/>
    <mergeCell ref="A298:B298"/>
    <mergeCell ref="C298:G298"/>
    <mergeCell ref="A299:B299"/>
    <mergeCell ref="C299:G299"/>
    <mergeCell ref="A294:B294"/>
    <mergeCell ref="C294:G294"/>
    <mergeCell ref="A295:B295"/>
    <mergeCell ref="C295:G295"/>
    <mergeCell ref="A296:B296"/>
    <mergeCell ref="C296:G296"/>
    <mergeCell ref="A291:B291"/>
    <mergeCell ref="C291:G291"/>
    <mergeCell ref="A292:B292"/>
    <mergeCell ref="C292:G292"/>
    <mergeCell ref="A293:B293"/>
    <mergeCell ref="C293:G293"/>
    <mergeCell ref="B287:I288"/>
    <mergeCell ref="A289:B290"/>
    <mergeCell ref="C289:G290"/>
    <mergeCell ref="H289:H290"/>
    <mergeCell ref="I289:I290"/>
    <mergeCell ref="J289:J290"/>
    <mergeCell ref="A285:B285"/>
    <mergeCell ref="C285:E285"/>
    <mergeCell ref="F285:G285"/>
    <mergeCell ref="H285:J285"/>
    <mergeCell ref="A286:B286"/>
    <mergeCell ref="C286:E286"/>
    <mergeCell ref="F286:G286"/>
    <mergeCell ref="H286:J286"/>
    <mergeCell ref="G280:G283"/>
    <mergeCell ref="H280:I283"/>
    <mergeCell ref="B282:B283"/>
    <mergeCell ref="C282:C283"/>
    <mergeCell ref="D282:D283"/>
    <mergeCell ref="E282:E283"/>
    <mergeCell ref="F282:F283"/>
    <mergeCell ref="A276:G276"/>
    <mergeCell ref="A277:E277"/>
    <mergeCell ref="F277:J277"/>
    <mergeCell ref="A278:J278"/>
    <mergeCell ref="H279:I279"/>
    <mergeCell ref="B280:B281"/>
    <mergeCell ref="C280:C281"/>
    <mergeCell ref="D280:D281"/>
    <mergeCell ref="E280:E281"/>
    <mergeCell ref="F280:F281"/>
    <mergeCell ref="A273:B273"/>
    <mergeCell ref="C273:G273"/>
    <mergeCell ref="A274:B274"/>
    <mergeCell ref="C274:G274"/>
    <mergeCell ref="A275:B275"/>
    <mergeCell ref="C275:G275"/>
    <mergeCell ref="A270:B270"/>
    <mergeCell ref="C270:G270"/>
    <mergeCell ref="A271:B271"/>
    <mergeCell ref="C271:G271"/>
    <mergeCell ref="A272:B272"/>
    <mergeCell ref="C272:G272"/>
    <mergeCell ref="A267:B268"/>
    <mergeCell ref="C267:G268"/>
    <mergeCell ref="H267:H268"/>
    <mergeCell ref="I267:I268"/>
    <mergeCell ref="J267:J268"/>
    <mergeCell ref="A269:B269"/>
    <mergeCell ref="C269:G269"/>
    <mergeCell ref="A262:B262"/>
    <mergeCell ref="C262:G262"/>
    <mergeCell ref="A263:B263"/>
    <mergeCell ref="C263:G263"/>
    <mergeCell ref="A264:G264"/>
    <mergeCell ref="B265:I266"/>
    <mergeCell ref="A259:B259"/>
    <mergeCell ref="C259:G259"/>
    <mergeCell ref="A260:B260"/>
    <mergeCell ref="C260:G260"/>
    <mergeCell ref="A261:B261"/>
    <mergeCell ref="C261:G261"/>
    <mergeCell ref="J254:J255"/>
    <mergeCell ref="A256:B256"/>
    <mergeCell ref="C256:G256"/>
    <mergeCell ref="A257:B257"/>
    <mergeCell ref="C257:G257"/>
    <mergeCell ref="A258:B258"/>
    <mergeCell ref="C258:G258"/>
    <mergeCell ref="A251:G251"/>
    <mergeCell ref="B252:I253"/>
    <mergeCell ref="A254:B255"/>
    <mergeCell ref="C254:G255"/>
    <mergeCell ref="H254:H255"/>
    <mergeCell ref="I254:I255"/>
    <mergeCell ref="A248:B248"/>
    <mergeCell ref="C248:G248"/>
    <mergeCell ref="A249:B249"/>
    <mergeCell ref="C249:G249"/>
    <mergeCell ref="A250:B250"/>
    <mergeCell ref="C250:G250"/>
    <mergeCell ref="A245:B245"/>
    <mergeCell ref="C245:G245"/>
    <mergeCell ref="A246:B246"/>
    <mergeCell ref="C246:G246"/>
    <mergeCell ref="A247:B247"/>
    <mergeCell ref="C247:G247"/>
    <mergeCell ref="A242:B242"/>
    <mergeCell ref="C242:G242"/>
    <mergeCell ref="A243:B243"/>
    <mergeCell ref="C243:G243"/>
    <mergeCell ref="A244:B244"/>
    <mergeCell ref="C244:G244"/>
    <mergeCell ref="A239:B240"/>
    <mergeCell ref="C239:G240"/>
    <mergeCell ref="H239:H240"/>
    <mergeCell ref="I239:I240"/>
    <mergeCell ref="J239:J240"/>
    <mergeCell ref="A241:B241"/>
    <mergeCell ref="C241:G241"/>
    <mergeCell ref="A234:B234"/>
    <mergeCell ref="C234:G234"/>
    <mergeCell ref="A235:B235"/>
    <mergeCell ref="C235:G235"/>
    <mergeCell ref="A236:G236"/>
    <mergeCell ref="B237:I238"/>
    <mergeCell ref="A231:B231"/>
    <mergeCell ref="C231:G231"/>
    <mergeCell ref="A232:B232"/>
    <mergeCell ref="C232:G232"/>
    <mergeCell ref="A233:B233"/>
    <mergeCell ref="C233:G233"/>
    <mergeCell ref="A228:B228"/>
    <mergeCell ref="C228:G228"/>
    <mergeCell ref="A229:B229"/>
    <mergeCell ref="C229:G229"/>
    <mergeCell ref="A230:B230"/>
    <mergeCell ref="C230:G230"/>
    <mergeCell ref="A225:B225"/>
    <mergeCell ref="C225:G225"/>
    <mergeCell ref="A226:B226"/>
    <mergeCell ref="C226:G226"/>
    <mergeCell ref="A227:B227"/>
    <mergeCell ref="C227:G227"/>
    <mergeCell ref="A222:B222"/>
    <mergeCell ref="C222:G222"/>
    <mergeCell ref="A223:B223"/>
    <mergeCell ref="C223:G223"/>
    <mergeCell ref="A224:B224"/>
    <mergeCell ref="C224:G224"/>
    <mergeCell ref="B218:I219"/>
    <mergeCell ref="A220:B221"/>
    <mergeCell ref="C220:G221"/>
    <mergeCell ref="H220:H221"/>
    <mergeCell ref="I220:I221"/>
    <mergeCell ref="J220:J221"/>
    <mergeCell ref="A216:B216"/>
    <mergeCell ref="C216:E216"/>
    <mergeCell ref="F216:G216"/>
    <mergeCell ref="H216:J216"/>
    <mergeCell ref="A217:B217"/>
    <mergeCell ref="C217:E217"/>
    <mergeCell ref="F217:G217"/>
    <mergeCell ref="H217:J217"/>
    <mergeCell ref="G211:G214"/>
    <mergeCell ref="H211:I214"/>
    <mergeCell ref="B213:B214"/>
    <mergeCell ref="C213:C214"/>
    <mergeCell ref="D213:D214"/>
    <mergeCell ref="E213:E214"/>
    <mergeCell ref="F213:F214"/>
    <mergeCell ref="A207:G207"/>
    <mergeCell ref="A208:E208"/>
    <mergeCell ref="F208:J208"/>
    <mergeCell ref="A209:J209"/>
    <mergeCell ref="H210:I210"/>
    <mergeCell ref="B211:B212"/>
    <mergeCell ref="C211:C212"/>
    <mergeCell ref="D211:D212"/>
    <mergeCell ref="E211:E212"/>
    <mergeCell ref="F211:F212"/>
    <mergeCell ref="A204:B204"/>
    <mergeCell ref="C204:G204"/>
    <mergeCell ref="A205:B205"/>
    <mergeCell ref="C205:G205"/>
    <mergeCell ref="A206:B206"/>
    <mergeCell ref="C206:G206"/>
    <mergeCell ref="A201:B201"/>
    <mergeCell ref="C201:G201"/>
    <mergeCell ref="A202:B202"/>
    <mergeCell ref="C202:G202"/>
    <mergeCell ref="A203:B203"/>
    <mergeCell ref="C203:G203"/>
    <mergeCell ref="A198:B199"/>
    <mergeCell ref="C198:G199"/>
    <mergeCell ref="H198:H199"/>
    <mergeCell ref="I198:I199"/>
    <mergeCell ref="J198:J199"/>
    <mergeCell ref="A200:B200"/>
    <mergeCell ref="C200:G200"/>
    <mergeCell ref="A193:B193"/>
    <mergeCell ref="C193:G193"/>
    <mergeCell ref="A194:B194"/>
    <mergeCell ref="C194:G194"/>
    <mergeCell ref="A195:G195"/>
    <mergeCell ref="B196:I197"/>
    <mergeCell ref="A190:B190"/>
    <mergeCell ref="C190:G190"/>
    <mergeCell ref="A191:B191"/>
    <mergeCell ref="C191:G191"/>
    <mergeCell ref="A192:B192"/>
    <mergeCell ref="C192:G192"/>
    <mergeCell ref="J185:J186"/>
    <mergeCell ref="A187:B187"/>
    <mergeCell ref="C187:G187"/>
    <mergeCell ref="A188:B188"/>
    <mergeCell ref="C188:G188"/>
    <mergeCell ref="A189:B189"/>
    <mergeCell ref="C189:G189"/>
    <mergeCell ref="A181:B181"/>
    <mergeCell ref="C181:G181"/>
    <mergeCell ref="A182:G182"/>
    <mergeCell ref="B183:I184"/>
    <mergeCell ref="A185:B186"/>
    <mergeCell ref="C185:G186"/>
    <mergeCell ref="H185:H186"/>
    <mergeCell ref="I185:I186"/>
    <mergeCell ref="A178:B178"/>
    <mergeCell ref="C178:G178"/>
    <mergeCell ref="A179:B179"/>
    <mergeCell ref="C179:G179"/>
    <mergeCell ref="A180:B180"/>
    <mergeCell ref="C180:G180"/>
    <mergeCell ref="A175:B175"/>
    <mergeCell ref="C175:G175"/>
    <mergeCell ref="A176:B176"/>
    <mergeCell ref="C176:G176"/>
    <mergeCell ref="A177:B177"/>
    <mergeCell ref="C177:G177"/>
    <mergeCell ref="J170:J171"/>
    <mergeCell ref="A172:B172"/>
    <mergeCell ref="C172:G172"/>
    <mergeCell ref="A173:B173"/>
    <mergeCell ref="C173:G173"/>
    <mergeCell ref="A174:B174"/>
    <mergeCell ref="C174:G174"/>
    <mergeCell ref="A166:B166"/>
    <mergeCell ref="C166:G166"/>
    <mergeCell ref="A167:G167"/>
    <mergeCell ref="B168:I169"/>
    <mergeCell ref="A170:B171"/>
    <mergeCell ref="C170:G171"/>
    <mergeCell ref="H170:H171"/>
    <mergeCell ref="I170:I171"/>
    <mergeCell ref="A163:B163"/>
    <mergeCell ref="C163:G163"/>
    <mergeCell ref="A164:B164"/>
    <mergeCell ref="C164:G164"/>
    <mergeCell ref="A165:B165"/>
    <mergeCell ref="C165:G165"/>
    <mergeCell ref="A160:B160"/>
    <mergeCell ref="C160:G160"/>
    <mergeCell ref="A161:B161"/>
    <mergeCell ref="C161:G161"/>
    <mergeCell ref="A162:B162"/>
    <mergeCell ref="C162:G162"/>
    <mergeCell ref="A157:B157"/>
    <mergeCell ref="C157:G157"/>
    <mergeCell ref="A158:B158"/>
    <mergeCell ref="C158:G158"/>
    <mergeCell ref="A159:B159"/>
    <mergeCell ref="C159:G159"/>
    <mergeCell ref="A154:B154"/>
    <mergeCell ref="C154:G154"/>
    <mergeCell ref="A155:B155"/>
    <mergeCell ref="C155:G155"/>
    <mergeCell ref="A156:B156"/>
    <mergeCell ref="C156:G156"/>
    <mergeCell ref="A151:B152"/>
    <mergeCell ref="C151:G152"/>
    <mergeCell ref="H151:H152"/>
    <mergeCell ref="I151:I152"/>
    <mergeCell ref="J151:J152"/>
    <mergeCell ref="A153:B153"/>
    <mergeCell ref="C153:G153"/>
    <mergeCell ref="H147:J147"/>
    <mergeCell ref="A148:B148"/>
    <mergeCell ref="C148:E148"/>
    <mergeCell ref="F148:G148"/>
    <mergeCell ref="H148:J148"/>
    <mergeCell ref="B149:I150"/>
    <mergeCell ref="D144:D145"/>
    <mergeCell ref="E144:E145"/>
    <mergeCell ref="F144:F145"/>
    <mergeCell ref="A147:B147"/>
    <mergeCell ref="C147:E147"/>
    <mergeCell ref="F147:G147"/>
    <mergeCell ref="F139:J139"/>
    <mergeCell ref="A140:J140"/>
    <mergeCell ref="H141:I141"/>
    <mergeCell ref="B142:B143"/>
    <mergeCell ref="C142:C143"/>
    <mergeCell ref="D142:D143"/>
    <mergeCell ref="E142:E143"/>
    <mergeCell ref="F142:F143"/>
    <mergeCell ref="G142:G145"/>
    <mergeCell ref="J116:J117"/>
    <mergeCell ref="A118:B118"/>
    <mergeCell ref="C118:G118"/>
    <mergeCell ref="A126:G126"/>
    <mergeCell ref="B127:I128"/>
    <mergeCell ref="A129:B130"/>
    <mergeCell ref="C129:G130"/>
    <mergeCell ref="H129:H130"/>
    <mergeCell ref="I129:I130"/>
    <mergeCell ref="J129:J130"/>
    <mergeCell ref="A125:B125"/>
    <mergeCell ref="C125:G125"/>
    <mergeCell ref="A122:B122"/>
    <mergeCell ref="C122:G122"/>
    <mergeCell ref="A123:B123"/>
    <mergeCell ref="C123:G123"/>
    <mergeCell ref="A124:B124"/>
    <mergeCell ref="C124:G124"/>
    <mergeCell ref="A119:B119"/>
    <mergeCell ref="C119:G119"/>
    <mergeCell ref="A120:B120"/>
    <mergeCell ref="C120:G120"/>
    <mergeCell ref="A121:B121"/>
    <mergeCell ref="J101:J102"/>
    <mergeCell ref="A103:B103"/>
    <mergeCell ref="C103:G103"/>
    <mergeCell ref="A113:G113"/>
    <mergeCell ref="B114:I115"/>
    <mergeCell ref="F78:G78"/>
    <mergeCell ref="H78:J78"/>
    <mergeCell ref="B80:I81"/>
    <mergeCell ref="A82:B83"/>
    <mergeCell ref="C82:G83"/>
    <mergeCell ref="H82:H83"/>
    <mergeCell ref="I82:I83"/>
    <mergeCell ref="J82:J83"/>
    <mergeCell ref="H142:I145"/>
    <mergeCell ref="B144:B145"/>
    <mergeCell ref="C144:C145"/>
    <mergeCell ref="A136:B136"/>
    <mergeCell ref="C136:G136"/>
    <mergeCell ref="A137:B137"/>
    <mergeCell ref="C137:G137"/>
    <mergeCell ref="A138:G138"/>
    <mergeCell ref="A133:B133"/>
    <mergeCell ref="C133:G133"/>
    <mergeCell ref="A134:B134"/>
    <mergeCell ref="C134:G134"/>
    <mergeCell ref="A135:B135"/>
    <mergeCell ref="C135:G135"/>
    <mergeCell ref="A132:B132"/>
    <mergeCell ref="C132:G132"/>
    <mergeCell ref="A131:B131"/>
    <mergeCell ref="C131:G131"/>
    <mergeCell ref="A139:E139"/>
    <mergeCell ref="C121:G121"/>
    <mergeCell ref="A116:B117"/>
    <mergeCell ref="C116:G117"/>
    <mergeCell ref="H116:H117"/>
    <mergeCell ref="I116:I117"/>
    <mergeCell ref="A110:B110"/>
    <mergeCell ref="C110:G110"/>
    <mergeCell ref="A111:B111"/>
    <mergeCell ref="C111:G111"/>
    <mergeCell ref="A112:B112"/>
    <mergeCell ref="C112:G112"/>
    <mergeCell ref="A107:B107"/>
    <mergeCell ref="C107:G107"/>
    <mergeCell ref="A108:B108"/>
    <mergeCell ref="C108:G108"/>
    <mergeCell ref="A109:B109"/>
    <mergeCell ref="C109:G109"/>
    <mergeCell ref="A104:B104"/>
    <mergeCell ref="C104:G104"/>
    <mergeCell ref="A105:B105"/>
    <mergeCell ref="C105:G105"/>
    <mergeCell ref="A106:B106"/>
    <mergeCell ref="C106:G106"/>
    <mergeCell ref="A101:B102"/>
    <mergeCell ref="C101:G102"/>
    <mergeCell ref="H101:H102"/>
    <mergeCell ref="A98:G98"/>
    <mergeCell ref="B99:I100"/>
    <mergeCell ref="A95:B95"/>
    <mergeCell ref="C95:G95"/>
    <mergeCell ref="A96:B96"/>
    <mergeCell ref="C96:G96"/>
    <mergeCell ref="A97:B97"/>
    <mergeCell ref="C97:G97"/>
    <mergeCell ref="I101:I102"/>
    <mergeCell ref="A92:B92"/>
    <mergeCell ref="C92:G92"/>
    <mergeCell ref="A93:B93"/>
    <mergeCell ref="C93:G93"/>
    <mergeCell ref="A94:B94"/>
    <mergeCell ref="C94:G94"/>
    <mergeCell ref="C91:G91"/>
    <mergeCell ref="A91:B91"/>
    <mergeCell ref="A89:B89"/>
    <mergeCell ref="C89:G89"/>
    <mergeCell ref="A86:B86"/>
    <mergeCell ref="C86:G86"/>
    <mergeCell ref="A87:B87"/>
    <mergeCell ref="C87:G87"/>
    <mergeCell ref="A88:B88"/>
    <mergeCell ref="C88:G88"/>
    <mergeCell ref="A85:B85"/>
    <mergeCell ref="C85:G85"/>
    <mergeCell ref="A90:B90"/>
    <mergeCell ref="C90:G90"/>
    <mergeCell ref="A84:B84"/>
    <mergeCell ref="C84:G84"/>
    <mergeCell ref="H79:J79"/>
    <mergeCell ref="C65:G65"/>
    <mergeCell ref="A66:B66"/>
    <mergeCell ref="C66:G66"/>
    <mergeCell ref="A67:B67"/>
    <mergeCell ref="C67:G67"/>
    <mergeCell ref="A79:B79"/>
    <mergeCell ref="C79:E79"/>
    <mergeCell ref="F79:G79"/>
    <mergeCell ref="A78:B78"/>
    <mergeCell ref="C78:E78"/>
    <mergeCell ref="D75:D76"/>
    <mergeCell ref="E75:E76"/>
    <mergeCell ref="F75:F76"/>
    <mergeCell ref="A27:B27"/>
    <mergeCell ref="A28:B28"/>
    <mergeCell ref="C27:G27"/>
    <mergeCell ref="C28:G28"/>
    <mergeCell ref="A43:B43"/>
    <mergeCell ref="C43:G43"/>
    <mergeCell ref="A65:B65"/>
    <mergeCell ref="H72:I72"/>
    <mergeCell ref="B73:B74"/>
    <mergeCell ref="C73:C74"/>
    <mergeCell ref="D73:D74"/>
    <mergeCell ref="E73:E74"/>
    <mergeCell ref="F73:F74"/>
    <mergeCell ref="G73:G76"/>
    <mergeCell ref="H73:I76"/>
    <mergeCell ref="B75:B76"/>
    <mergeCell ref="J47:J48"/>
    <mergeCell ref="A49:B49"/>
    <mergeCell ref="C49:G49"/>
    <mergeCell ref="A50:B50"/>
    <mergeCell ref="C50:G50"/>
    <mergeCell ref="A51:B51"/>
    <mergeCell ref="C51:G51"/>
    <mergeCell ref="C75:C76"/>
    <mergeCell ref="A68:B68"/>
    <mergeCell ref="C68:G68"/>
    <mergeCell ref="A69:G69"/>
    <mergeCell ref="A70:E70"/>
    <mergeCell ref="F70:J70"/>
    <mergeCell ref="A71:J71"/>
    <mergeCell ref="J60:J61"/>
    <mergeCell ref="A62:B62"/>
    <mergeCell ref="C62:G62"/>
    <mergeCell ref="A63:B63"/>
    <mergeCell ref="C63:G63"/>
    <mergeCell ref="A64:B64"/>
    <mergeCell ref="C64:G64"/>
    <mergeCell ref="A57:G57"/>
    <mergeCell ref="B58:I59"/>
    <mergeCell ref="A60:B61"/>
    <mergeCell ref="C60:G61"/>
    <mergeCell ref="H60:H61"/>
    <mergeCell ref="I60:I61"/>
    <mergeCell ref="A34:B34"/>
    <mergeCell ref="C34:G34"/>
    <mergeCell ref="A35:B35"/>
    <mergeCell ref="C35:G35"/>
    <mergeCell ref="A36:B36"/>
    <mergeCell ref="C36:G36"/>
    <mergeCell ref="A29:G29"/>
    <mergeCell ref="B30:I31"/>
    <mergeCell ref="A55:B55"/>
    <mergeCell ref="C55:G55"/>
    <mergeCell ref="A56:B56"/>
    <mergeCell ref="C56:G56"/>
    <mergeCell ref="A52:B52"/>
    <mergeCell ref="C52:G52"/>
    <mergeCell ref="A53:B53"/>
    <mergeCell ref="C53:G53"/>
    <mergeCell ref="A54:B54"/>
    <mergeCell ref="C54:G54"/>
    <mergeCell ref="A44:G44"/>
    <mergeCell ref="B45:I46"/>
    <mergeCell ref="A47:B48"/>
    <mergeCell ref="C47:G48"/>
    <mergeCell ref="H47:H48"/>
    <mergeCell ref="I47:I48"/>
    <mergeCell ref="A40:B40"/>
    <mergeCell ref="C40:G40"/>
    <mergeCell ref="A41:B41"/>
    <mergeCell ref="C41:G41"/>
    <mergeCell ref="A42:B42"/>
    <mergeCell ref="C42:G42"/>
    <mergeCell ref="A37:B37"/>
    <mergeCell ref="C37:G37"/>
    <mergeCell ref="A38:B38"/>
    <mergeCell ref="C38:G38"/>
    <mergeCell ref="A39:B39"/>
    <mergeCell ref="C39:G39"/>
    <mergeCell ref="A1:J1"/>
    <mergeCell ref="A2:J3"/>
    <mergeCell ref="A4:J4"/>
    <mergeCell ref="B5:I6"/>
    <mergeCell ref="B7:I7"/>
    <mergeCell ref="A9:B9"/>
    <mergeCell ref="C9:E9"/>
    <mergeCell ref="F9:G9"/>
    <mergeCell ref="H9:J9"/>
    <mergeCell ref="A23:B23"/>
    <mergeCell ref="C23:G23"/>
    <mergeCell ref="A18:B18"/>
    <mergeCell ref="C18:G18"/>
    <mergeCell ref="A19:B19"/>
    <mergeCell ref="C19:G19"/>
    <mergeCell ref="A20:B20"/>
    <mergeCell ref="C20:G20"/>
    <mergeCell ref="A15:B15"/>
    <mergeCell ref="C15:G15"/>
    <mergeCell ref="A16:B16"/>
    <mergeCell ref="C16:G16"/>
    <mergeCell ref="A17:B17"/>
    <mergeCell ref="A13:B14"/>
    <mergeCell ref="C13:G14"/>
    <mergeCell ref="H13:H14"/>
    <mergeCell ref="I13:I14"/>
    <mergeCell ref="J13:J14"/>
    <mergeCell ref="C17:G17"/>
    <mergeCell ref="A10:B10"/>
    <mergeCell ref="C10:E10"/>
    <mergeCell ref="F10:G10"/>
    <mergeCell ref="C22:G22"/>
    <mergeCell ref="A22:B22"/>
    <mergeCell ref="C21:G21"/>
    <mergeCell ref="A21:B21"/>
    <mergeCell ref="H10:J10"/>
    <mergeCell ref="B11:I12"/>
    <mergeCell ref="A32:B33"/>
    <mergeCell ref="C32:G33"/>
    <mergeCell ref="H32:H33"/>
    <mergeCell ref="I32:I33"/>
    <mergeCell ref="A24:B24"/>
    <mergeCell ref="C24:G24"/>
    <mergeCell ref="A25:B25"/>
    <mergeCell ref="C25:G25"/>
    <mergeCell ref="A26:B26"/>
    <mergeCell ref="C26:G26"/>
    <mergeCell ref="J32:J33"/>
  </mergeCells>
  <conditionalFormatting sqref="I1:I14 I30:I33 I45:I48 I58:I61 I70:I76">
    <cfRule type="containsText" dxfId="174" priority="40" operator="containsText" text="F">
      <formula>NOT(ISERROR(SEARCH("F",I1)))</formula>
    </cfRule>
  </conditionalFormatting>
  <conditionalFormatting sqref="I78:I83 I99:I102 I114:I117 I127:I130 I139:I145">
    <cfRule type="containsText" dxfId="173" priority="39" operator="containsText" text="F">
      <formula>NOT(ISERROR(SEARCH("F",I78)))</formula>
    </cfRule>
  </conditionalFormatting>
  <conditionalFormatting sqref="I147:I152 I168:I171 I183:I186 I196:I199 I208:I214">
    <cfRule type="containsText" dxfId="172" priority="38" operator="containsText" text="F">
      <formula>NOT(ISERROR(SEARCH("F",I147)))</formula>
    </cfRule>
  </conditionalFormatting>
  <conditionalFormatting sqref="I216:I221 I237:I240 I252:I255 I265:I268 I277:I283">
    <cfRule type="containsText" dxfId="171" priority="37" operator="containsText" text="F">
      <formula>NOT(ISERROR(SEARCH("F",I216)))</formula>
    </cfRule>
  </conditionalFormatting>
  <conditionalFormatting sqref="I285:I290 I306:I309 I321:I324 I334:I337 I346:I352">
    <cfRule type="containsText" dxfId="170" priority="36" operator="containsText" text="F">
      <formula>NOT(ISERROR(SEARCH("F",I285)))</formula>
    </cfRule>
  </conditionalFormatting>
  <conditionalFormatting sqref="I354:I359 I375:I378 I390:I393 I403:I406 I415:I421">
    <cfRule type="containsText" dxfId="169" priority="35" operator="containsText" text="F">
      <formula>NOT(ISERROR(SEARCH("F",I354)))</formula>
    </cfRule>
  </conditionalFormatting>
  <conditionalFormatting sqref="I423:I428 I444:I447 I459:I462 I472:I475 I484:I490">
    <cfRule type="containsText" dxfId="168" priority="34" operator="containsText" text="F">
      <formula>NOT(ISERROR(SEARCH("F",I423)))</formula>
    </cfRule>
  </conditionalFormatting>
  <conditionalFormatting sqref="I492:I497 I513:I516 I528:I531 I541:I544 I553:I559">
    <cfRule type="containsText" dxfId="167" priority="33" operator="containsText" text="F">
      <formula>NOT(ISERROR(SEARCH("F",I492)))</formula>
    </cfRule>
  </conditionalFormatting>
  <conditionalFormatting sqref="I561:I566 I582:I585 I597:I600 I610:I613 I622:I628">
    <cfRule type="containsText" dxfId="166" priority="32" operator="containsText" text="F">
      <formula>NOT(ISERROR(SEARCH("F",I561)))</formula>
    </cfRule>
  </conditionalFormatting>
  <conditionalFormatting sqref="I630:I635 I651:I654 I666:I669 I679:I682 I691:I697">
    <cfRule type="containsText" dxfId="165" priority="31" operator="containsText" text="F">
      <formula>NOT(ISERROR(SEARCH("F",I630)))</formula>
    </cfRule>
  </conditionalFormatting>
  <conditionalFormatting sqref="I699:I704 I720:I723 I735:I738 I748:I751 I760:I766">
    <cfRule type="containsText" dxfId="164" priority="30" operator="containsText" text="F">
      <formula>NOT(ISERROR(SEARCH("F",I699)))</formula>
    </cfRule>
  </conditionalFormatting>
  <conditionalFormatting sqref="I768:I773 I789:I792 I804:I807 I817:I820 I829:I835">
    <cfRule type="containsText" dxfId="163" priority="29" operator="containsText" text="F">
      <formula>NOT(ISERROR(SEARCH("F",I768)))</formula>
    </cfRule>
  </conditionalFormatting>
  <conditionalFormatting sqref="I837:I842 I858:I861 I873:I876 I886:I889 I898:I904">
    <cfRule type="containsText" dxfId="162" priority="28" operator="containsText" text="F">
      <formula>NOT(ISERROR(SEARCH("F",I837)))</formula>
    </cfRule>
  </conditionalFormatting>
  <conditionalFormatting sqref="I906:I911 I927:I930 I942:I945 I955:I958 I967:I973">
    <cfRule type="containsText" dxfId="161" priority="27" operator="containsText" text="F">
      <formula>NOT(ISERROR(SEARCH("F",I906)))</formula>
    </cfRule>
  </conditionalFormatting>
  <conditionalFormatting sqref="I975:I980 I996:I999 I1011:I1014 I1024:I1027 I1036:I1042">
    <cfRule type="containsText" dxfId="160" priority="26" operator="containsText" text="F">
      <formula>NOT(ISERROR(SEARCH("F",I975)))</formula>
    </cfRule>
  </conditionalFormatting>
  <conditionalFormatting sqref="I1044:I1049 I1065:I1068 I1080:I1083 I1093:I1096 I1105:I1111">
    <cfRule type="containsText" dxfId="159" priority="25" operator="containsText" text="F">
      <formula>NOT(ISERROR(SEARCH("F",I1044)))</formula>
    </cfRule>
  </conditionalFormatting>
  <conditionalFormatting sqref="I1113:I1118 I1134:I1137 I1149:I1152 I1162:I1165 I1174:I1180">
    <cfRule type="containsText" dxfId="158" priority="24" operator="containsText" text="F">
      <formula>NOT(ISERROR(SEARCH("F",I1113)))</formula>
    </cfRule>
  </conditionalFormatting>
  <conditionalFormatting sqref="I1182:I1187 I1203:I1206 I1218:I1221 I1231:I1234 I1243:I1249">
    <cfRule type="containsText" dxfId="157" priority="23" operator="containsText" text="F">
      <formula>NOT(ISERROR(SEARCH("F",I1182)))</formula>
    </cfRule>
  </conditionalFormatting>
  <conditionalFormatting sqref="I1251:I1256 I1272:I1275 I1287:I1290 I1300:I1303 I1312:I1318">
    <cfRule type="containsText" dxfId="156" priority="22" operator="containsText" text="F">
      <formula>NOT(ISERROR(SEARCH("F",I1251)))</formula>
    </cfRule>
  </conditionalFormatting>
  <conditionalFormatting sqref="I1320:I1325 I1341:I1344 I1356:I1359 I1369:I1372 I1381:I1387">
    <cfRule type="containsText" dxfId="155" priority="21" operator="containsText" text="F">
      <formula>NOT(ISERROR(SEARCH("F",I1320)))</formula>
    </cfRule>
  </conditionalFormatting>
  <conditionalFormatting sqref="I1389:I1394 I1410:I1413 I1425:I1428 I1438:I1441 I1450:I1456">
    <cfRule type="containsText" dxfId="154" priority="20" operator="containsText" text="F">
      <formula>NOT(ISERROR(SEARCH("F",I1389)))</formula>
    </cfRule>
  </conditionalFormatting>
  <conditionalFormatting sqref="I1458:I1463 I1479:I1482 I1494:I1497 I1507:I1510 I1519:I1525">
    <cfRule type="containsText" dxfId="153" priority="19" operator="containsText" text="F">
      <formula>NOT(ISERROR(SEARCH("F",I1458)))</formula>
    </cfRule>
  </conditionalFormatting>
  <conditionalFormatting sqref="I1527:I1532 I1548:I1551 I1563:I1566 I1576:I1579 I1588:I1594">
    <cfRule type="containsText" dxfId="152" priority="18" operator="containsText" text="F">
      <formula>NOT(ISERROR(SEARCH("F",I1527)))</formula>
    </cfRule>
  </conditionalFormatting>
  <conditionalFormatting sqref="I1596:I1601 I1617:I1620 I1632:I1635 I1645:I1648 I1657:I1663">
    <cfRule type="containsText" dxfId="151" priority="17" operator="containsText" text="F">
      <formula>NOT(ISERROR(SEARCH("F",I1596)))</formula>
    </cfRule>
  </conditionalFormatting>
  <conditionalFormatting sqref="I1665:I1670 I1686:I1689 I1701:I1704 I1714:I1717 I1726:I1732">
    <cfRule type="containsText" dxfId="150" priority="16" operator="containsText" text="F">
      <formula>NOT(ISERROR(SEARCH("F",I1665)))</formula>
    </cfRule>
  </conditionalFormatting>
  <conditionalFormatting sqref="I1734:I1739 I1755:I1758 I1770:I1773 I1783:I1786 I1795:I1801">
    <cfRule type="containsText" dxfId="149" priority="15" operator="containsText" text="F">
      <formula>NOT(ISERROR(SEARCH("F",I1734)))</formula>
    </cfRule>
  </conditionalFormatting>
  <conditionalFormatting sqref="I1803:I1808 I1824:I1827 I1839:I1842 I1852:I1855 I1864:I1870">
    <cfRule type="containsText" dxfId="148" priority="14" operator="containsText" text="F">
      <formula>NOT(ISERROR(SEARCH("F",I1803)))</formula>
    </cfRule>
  </conditionalFormatting>
  <conditionalFormatting sqref="I1872:I1877 I1893:I1896 I1908:I1911 I1921:I1924 I1933:I1939">
    <cfRule type="containsText" dxfId="147" priority="13" operator="containsText" text="F">
      <formula>NOT(ISERROR(SEARCH("F",I1872)))</formula>
    </cfRule>
  </conditionalFormatting>
  <conditionalFormatting sqref="I1941:I1946 I1962:I1965 I1977:I1980 I1990:I1993 I2002:I2008">
    <cfRule type="containsText" dxfId="146" priority="12" operator="containsText" text="F">
      <formula>NOT(ISERROR(SEARCH("F",I1941)))</formula>
    </cfRule>
  </conditionalFormatting>
  <conditionalFormatting sqref="I2010:I2015 I2031:I2034 I2046:I2049 I2059:I2062 I2071:I2077">
    <cfRule type="containsText" dxfId="145" priority="11" operator="containsText" text="F">
      <formula>NOT(ISERROR(SEARCH("F",I2010)))</formula>
    </cfRule>
  </conditionalFormatting>
  <conditionalFormatting sqref="I2079:I2084 I2100:I2103 I2115:I2118 I2128:I2131 I2140:I2146">
    <cfRule type="containsText" dxfId="144" priority="10" operator="containsText" text="F">
      <formula>NOT(ISERROR(SEARCH("F",I2079)))</formula>
    </cfRule>
  </conditionalFormatting>
  <conditionalFormatting sqref="I2148:I2153 I2169:I2172 I2184:I2187 I2197:I2200 I2209:I2215">
    <cfRule type="containsText" dxfId="143" priority="9" operator="containsText" text="F">
      <formula>NOT(ISERROR(SEARCH("F",I2148)))</formula>
    </cfRule>
  </conditionalFormatting>
  <conditionalFormatting sqref="I2217:I2222 I2238:I2241 I2253:I2256 I2266:I2269 I2278:I2284">
    <cfRule type="containsText" dxfId="142" priority="8" operator="containsText" text="F">
      <formula>NOT(ISERROR(SEARCH("F",I2217)))</formula>
    </cfRule>
  </conditionalFormatting>
  <conditionalFormatting sqref="I2286:I2291 I2307:I2310 I2322:I2325 I2335:I2338 I2347:I2353">
    <cfRule type="containsText" dxfId="141" priority="7" operator="containsText" text="F">
      <formula>NOT(ISERROR(SEARCH("F",I2286)))</formula>
    </cfRule>
  </conditionalFormatting>
  <conditionalFormatting sqref="I2355:I2360 I2376:I2379 I2391:I2394 I2404:I2407 I2416:I2422">
    <cfRule type="containsText" dxfId="140" priority="6" operator="containsText" text="F">
      <formula>NOT(ISERROR(SEARCH("F",I2355)))</formula>
    </cfRule>
  </conditionalFormatting>
  <conditionalFormatting sqref="I2424:I2429 I2445:I2448 I2460:I2463 I2473:I2476 I2485:I2491">
    <cfRule type="containsText" dxfId="139" priority="5" operator="containsText" text="F">
      <formula>NOT(ISERROR(SEARCH("F",I2424)))</formula>
    </cfRule>
  </conditionalFormatting>
  <conditionalFormatting sqref="I2493:I2498 I2514:I2517 I2529:I2532 I2542:I2545 I2554:I2560">
    <cfRule type="containsText" dxfId="138" priority="4" operator="containsText" text="F">
      <formula>NOT(ISERROR(SEARCH("F",I2493)))</formula>
    </cfRule>
  </conditionalFormatting>
  <conditionalFormatting sqref="I2562:I2567 I2583:I2586 I2598:I2601 I2611:I2614 I2623:I2629">
    <cfRule type="containsText" dxfId="137" priority="3" operator="containsText" text="F">
      <formula>NOT(ISERROR(SEARCH("F",I2562)))</formula>
    </cfRule>
  </conditionalFormatting>
  <conditionalFormatting sqref="I2631:I2636 I2652:I2655 I2667:I2670 I2680:I2683 I2692:I2698">
    <cfRule type="containsText" dxfId="136" priority="2" operator="containsText" text="F">
      <formula>NOT(ISERROR(SEARCH("F",I2631)))</formula>
    </cfRule>
  </conditionalFormatting>
  <conditionalFormatting sqref="I2700:I2705 I2721:I2724 I2736:I2739 I2749:I2752 I2761:I2767">
    <cfRule type="containsText" dxfId="135" priority="1" operator="containsText" text="F">
      <formula>NOT(ISERROR(SEARCH("F",I2700)))</formula>
    </cfRule>
  </conditionalFormatting>
  <printOptions horizontalCentered="1"/>
  <pageMargins left="0.31496062992125984" right="0.31496062992125984" top="0.11811023622047245" bottom="0.62992125984251968" header="0.19685039370078741" footer="0.11811023622047245"/>
  <pageSetup paperSize="9" orientation="portrait" r:id="rId1"/>
  <headerFooter>
    <oddHeader>&amp;C&amp;G</oddHeader>
    <oddFooter xml:space="preserve">&amp;L&amp;"Times New Roman,Bold"&amp;10Prepared by                                 Checked by
01.08.2024&amp;C&amp;"Times New Roman,Bold"&amp;10                                                   Examination Controller
&amp;R&amp;"Times New Roman,Bold"&amp;10Director
</oddFooter>
  </headerFooter>
  <rowBreaks count="39" manualBreakCount="39">
    <brk id="77" max="16383" man="1"/>
    <brk id="146" max="16383" man="1"/>
    <brk id="215" max="16383" man="1"/>
    <brk id="284" max="16383" man="1"/>
    <brk id="353" max="16383" man="1"/>
    <brk id="422" max="16383" man="1"/>
    <brk id="491" max="16383" man="1"/>
    <brk id="560" max="16383" man="1"/>
    <brk id="629" max="16383" man="1"/>
    <brk id="698" max="16383" man="1"/>
    <brk id="767" max="16383" man="1"/>
    <brk id="836" max="16383" man="1"/>
    <brk id="905" max="16383" man="1"/>
    <brk id="974" max="16383" man="1"/>
    <brk id="1043" max="16383" man="1"/>
    <brk id="1112" max="16383" man="1"/>
    <brk id="1181" max="16383" man="1"/>
    <brk id="1250" max="16383" man="1"/>
    <brk id="1319" max="16383" man="1"/>
    <brk id="1388" max="16383" man="1"/>
    <brk id="1457" max="16383" man="1"/>
    <brk id="1526" max="16383" man="1"/>
    <brk id="1595" max="16383" man="1"/>
    <brk id="1664" max="16383" man="1"/>
    <brk id="1733" max="16383" man="1"/>
    <brk id="1802" max="16383" man="1"/>
    <brk id="1871" max="16383" man="1"/>
    <brk id="1940" max="16383" man="1"/>
    <brk id="2009" max="16383" man="1"/>
    <brk id="2078" max="16383" man="1"/>
    <brk id="2147" max="16383" man="1"/>
    <brk id="2216" max="16383" man="1"/>
    <brk id="2285" max="16383" man="1"/>
    <brk id="2354" max="16383" man="1"/>
    <brk id="2423" max="16383" man="1"/>
    <brk id="2492" max="16383" man="1"/>
    <brk id="2561" max="16383" man="1"/>
    <brk id="2630" max="16383" man="1"/>
    <brk id="2699" max="16383" man="1"/>
  </rowBreak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926"/>
  <sheetViews>
    <sheetView tabSelected="1" view="pageLayout" topLeftCell="A38" zoomScaleNormal="100" workbookViewId="0">
      <selection activeCell="B5" sqref="B5:I6"/>
    </sheetView>
  </sheetViews>
  <sheetFormatPr baseColWidth="10" defaultColWidth="8.83203125" defaultRowHeight="28" customHeight="1" x14ac:dyDescent="0.2"/>
  <sheetData>
    <row r="1" spans="1:10" ht="26.25" customHeight="1" x14ac:dyDescent="0.2">
      <c r="A1" s="123" t="s">
        <v>243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26.25" customHeight="1" x14ac:dyDescent="0.2">
      <c r="A2" s="124" t="s">
        <v>20</v>
      </c>
      <c r="B2" s="124"/>
      <c r="C2" s="124"/>
      <c r="D2" s="124"/>
      <c r="E2" s="124"/>
      <c r="F2" s="124"/>
      <c r="G2" s="124"/>
      <c r="H2" s="124"/>
      <c r="I2" s="124"/>
      <c r="J2" s="124"/>
    </row>
    <row r="3" spans="1:10" ht="26.25" customHeight="1" x14ac:dyDescent="0.2">
      <c r="A3" s="125" t="s">
        <v>149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26.25" customHeight="1" x14ac:dyDescent="0.2">
      <c r="A4" s="13"/>
      <c r="B4" s="126" t="s">
        <v>49</v>
      </c>
      <c r="C4" s="126"/>
      <c r="D4" s="126"/>
      <c r="E4" s="126"/>
      <c r="F4" s="126"/>
      <c r="G4" s="126"/>
      <c r="H4" s="126"/>
      <c r="I4" s="126"/>
      <c r="J4" s="13"/>
    </row>
    <row r="5" spans="1:10" ht="26.25" customHeight="1" x14ac:dyDescent="0.2">
      <c r="A5" s="14"/>
      <c r="B5" s="127" t="s">
        <v>247</v>
      </c>
      <c r="C5" s="127"/>
      <c r="D5" s="127"/>
      <c r="E5" s="127"/>
      <c r="F5" s="127"/>
      <c r="G5" s="127"/>
      <c r="H5" s="127"/>
      <c r="I5" s="127"/>
      <c r="J5" s="14"/>
    </row>
    <row r="6" spans="1:10" ht="26.25" customHeight="1" x14ac:dyDescent="0.2">
      <c r="B6" s="127"/>
      <c r="C6" s="127"/>
      <c r="D6" s="127"/>
      <c r="E6" s="127"/>
      <c r="F6" s="127"/>
      <c r="G6" s="127"/>
      <c r="H6" s="127"/>
      <c r="I6" s="127"/>
      <c r="J6" s="14"/>
    </row>
    <row r="7" spans="1:10" ht="26.25" customHeight="1" x14ac:dyDescent="0.2">
      <c r="A7" s="112" t="s">
        <v>24</v>
      </c>
      <c r="B7" s="112"/>
      <c r="C7" s="112" t="str">
        <f ca="1">INDIRECT(_xlfn.TEXTJOIN("",TRUE,A28,"!",ADDRESS(9+(A29-1)*A25,2)))</f>
        <v>ABHISHEK RAWAT</v>
      </c>
      <c r="D7" s="112"/>
      <c r="E7" s="112"/>
      <c r="F7" s="112" t="s">
        <v>50</v>
      </c>
      <c r="G7" s="112"/>
      <c r="H7" s="112"/>
      <c r="I7" s="113">
        <f ca="1">INDIRECT(_xlfn.TEXTJOIN("",TRUE,A28,"!",ADDRESS(9+(A29-1)*A25,9)))</f>
        <v>250090600001</v>
      </c>
      <c r="J7" s="113"/>
    </row>
    <row r="8" spans="1:10" ht="26.25" customHeight="1" x14ac:dyDescent="0.2">
      <c r="A8" s="112" t="s">
        <v>25</v>
      </c>
      <c r="B8" s="112"/>
      <c r="C8" s="112" t="str">
        <f ca="1">INDIRECT(_xlfn.TEXTJOIN("",TRUE,A28,"!",ADDRESS(9+(A29-1)*A25,5)))</f>
        <v>RAMESH RAWAT</v>
      </c>
      <c r="D8" s="112"/>
      <c r="E8" s="112"/>
      <c r="F8" s="114" t="s">
        <v>51</v>
      </c>
      <c r="G8" s="114"/>
      <c r="H8" s="114"/>
      <c r="I8" s="113" t="str">
        <f ca="1">INDIRECT(_xlfn.TEXTJOIN("",TRUE,A28,"!",ADDRESS(9+(A29-1)*A25,13)))</f>
        <v>UTU/2506100119</v>
      </c>
      <c r="J8" s="113"/>
    </row>
    <row r="9" spans="1:10" ht="26.25" customHeight="1" x14ac:dyDescent="0.2">
      <c r="A9" s="95" t="s">
        <v>28</v>
      </c>
      <c r="B9" s="95"/>
      <c r="C9" s="95" t="s">
        <v>29</v>
      </c>
      <c r="D9" s="95"/>
      <c r="E9" s="95"/>
      <c r="F9" s="95"/>
      <c r="G9" s="95"/>
      <c r="H9" s="15" t="s">
        <v>30</v>
      </c>
      <c r="I9" s="15" t="s">
        <v>9</v>
      </c>
      <c r="J9" s="15" t="s">
        <v>34</v>
      </c>
    </row>
    <row r="10" spans="1:10" ht="26.25" customHeight="1" x14ac:dyDescent="0.2">
      <c r="A10" s="96" t="str">
        <f ca="1">INDIRECT(_xlfn.TEXTJOIN("",TRUE,A28,"!",ADDRESS(13+(A29-1)*A25,1)))</f>
        <v>CAT 004</v>
      </c>
      <c r="B10" s="97"/>
      <c r="C10" s="106" t="str">
        <f ca="1">INDIRECT(_xlfn.TEXTJOIN("",TRUE,A28,"!",ADDRESS(13+(A29-1)*A25,2)))</f>
        <v>Discrete Structure</v>
      </c>
      <c r="D10" s="107"/>
      <c r="E10" s="107"/>
      <c r="F10" s="107"/>
      <c r="G10" s="108"/>
      <c r="H10" s="20">
        <f ca="1">INDIRECT(_xlfn.TEXTJOIN("",TRUE,A28,"!",ADDRESS(13+(A29-1)*A25,6)))</f>
        <v>4</v>
      </c>
      <c r="I10" s="20" t="str">
        <f ca="1">INDIRECT(_xlfn.TEXTJOIN("",TRUE,A28,"!",ADDRESS(13+(A29-1)*A25,13)))</f>
        <v>C+</v>
      </c>
      <c r="J10" s="20">
        <f ca="1">INDIRECT(_xlfn.TEXTJOIN("",TRUE,A28,"!",ADDRESS(13+(A29-1)*A25,14)))</f>
        <v>7.5</v>
      </c>
    </row>
    <row r="11" spans="1:10" ht="26.25" customHeight="1" x14ac:dyDescent="0.2">
      <c r="A11" s="96" t="str">
        <f ca="1">INDIRECT(_xlfn.TEXTJOIN("",TRUE,A28,"!",ADDRESS(14+(A29-1)*A25,1)))</f>
        <v>CAT 005</v>
      </c>
      <c r="B11" s="97"/>
      <c r="C11" s="106" t="str">
        <f ca="1">INDIRECT(_xlfn.TEXTJOIN("",TRUE,A28,"!",ADDRESS(14+(A29-1)*A25,2)))</f>
        <v>Database Management System</v>
      </c>
      <c r="D11" s="107"/>
      <c r="E11" s="107"/>
      <c r="F11" s="107"/>
      <c r="G11" s="108"/>
      <c r="H11" s="20">
        <f ca="1">INDIRECT(_xlfn.TEXTJOIN("",TRUE,A28,"!",ADDRESS(14+(A29-1)*A25,6)))</f>
        <v>4</v>
      </c>
      <c r="I11" s="20" t="str">
        <f ca="1">INDIRECT(_xlfn.TEXTJOIN("",TRUE,A28,"!",ADDRESS(14+(A29-1)*A25,13)))</f>
        <v>D+</v>
      </c>
      <c r="J11" s="20">
        <f ca="1">INDIRECT(_xlfn.TEXTJOIN("",TRUE,A28,"!",ADDRESS(14+(A29-1)*A25,14)))</f>
        <v>6.5</v>
      </c>
    </row>
    <row r="12" spans="1:10" ht="26.25" customHeight="1" x14ac:dyDescent="0.2">
      <c r="A12" s="96" t="str">
        <f ca="1">INDIRECT(_xlfn.TEXTJOIN("",TRUE,A28,"!",ADDRESS(15+(A29-1)*A25,1)))</f>
        <v>CAT 006</v>
      </c>
      <c r="B12" s="97"/>
      <c r="C12" s="106" t="str">
        <f ca="1">INDIRECT(_xlfn.TEXTJOIN("",TRUE,A28,"!",ADDRESS(15+(A29-1)*A25,2)))</f>
        <v>Operating System</v>
      </c>
      <c r="D12" s="107"/>
      <c r="E12" s="107"/>
      <c r="F12" s="107"/>
      <c r="G12" s="108"/>
      <c r="H12" s="20">
        <f ca="1">INDIRECT(_xlfn.TEXTJOIN("",TRUE,A28,"!",ADDRESS(15+(A29-1)*A25,6)))</f>
        <v>4</v>
      </c>
      <c r="I12" s="20" t="str">
        <f ca="1">INDIRECT(_xlfn.TEXTJOIN("",TRUE,A28,"!",ADDRESS(15+(A29-1)*A25,13)))</f>
        <v>C</v>
      </c>
      <c r="J12" s="20">
        <f ca="1">INDIRECT(_xlfn.TEXTJOIN("",TRUE,A28,"!",ADDRESS(15+(A29-1)*A25,14)))</f>
        <v>7</v>
      </c>
    </row>
    <row r="13" spans="1:10" ht="26.25" customHeight="1" x14ac:dyDescent="0.2">
      <c r="A13" s="96" t="str">
        <f ca="1">INDIRECT(_xlfn.TEXTJOIN("",TRUE,A28,"!",ADDRESS(16+(A29-1)*A25,1)))</f>
        <v>CAT 007</v>
      </c>
      <c r="B13" s="97"/>
      <c r="C13" s="106" t="str">
        <f ca="1">INDIRECT(_xlfn.TEXTJOIN("",TRUE,A28,"!",ADDRESS(16+(A29-1)*A25,2)))</f>
        <v>Computer Organization</v>
      </c>
      <c r="D13" s="107"/>
      <c r="E13" s="107"/>
      <c r="F13" s="107"/>
      <c r="G13" s="108"/>
      <c r="H13" s="20">
        <f ca="1">INDIRECT(_xlfn.TEXTJOIN("",TRUE,A28,"!",ADDRESS(16+(A29-1)*A25,6)))</f>
        <v>4</v>
      </c>
      <c r="I13" s="20" t="str">
        <f ca="1">INDIRECT(_xlfn.TEXTJOIN("",TRUE,A28,"!",ADDRESS(16+(A29-1)*A25,13)))</f>
        <v>E+</v>
      </c>
      <c r="J13" s="20">
        <f ca="1">INDIRECT(_xlfn.TEXTJOIN("",TRUE,A28,"!",ADDRESS(16+(A29-1)*A25,14)))</f>
        <v>5.5</v>
      </c>
    </row>
    <row r="14" spans="1:10" ht="26.25" customHeight="1" x14ac:dyDescent="0.2">
      <c r="A14" s="96" t="str">
        <f ca="1">INDIRECT(_xlfn.TEXTJOIN("",TRUE,A28,"!",ADDRESS(17+(A29-1)*A25,1)))</f>
        <v>AHT 303</v>
      </c>
      <c r="B14" s="97"/>
      <c r="C14" s="106" t="str">
        <f ca="1">INDIRECT(_xlfn.TEXTJOIN("",TRUE,A28,"!",ADDRESS(17+(A29-1)*A25,2)))</f>
        <v>Technical Communication Skills</v>
      </c>
      <c r="D14" s="107"/>
      <c r="E14" s="107"/>
      <c r="F14" s="107"/>
      <c r="G14" s="108"/>
      <c r="H14" s="20">
        <f ca="1">INDIRECT(_xlfn.TEXTJOIN("",TRUE,A28,"!",ADDRESS(17+(A29-1)*A25,6)))</f>
        <v>4</v>
      </c>
      <c r="I14" s="20" t="str">
        <f ca="1">INDIRECT(_xlfn.TEXTJOIN("",TRUE,A28,"!",ADDRESS(17+(A29-1)*A25,13)))</f>
        <v>C</v>
      </c>
      <c r="J14" s="20">
        <f ca="1">INDIRECT(_xlfn.TEXTJOIN("",TRUE,A28,"!",ADDRESS(17+(A29-1)*A25,14)))</f>
        <v>7</v>
      </c>
    </row>
    <row r="15" spans="1:10" ht="26.25" customHeight="1" x14ac:dyDescent="0.2">
      <c r="A15" s="96" t="str">
        <f ca="1">INDIRECT(_xlfn.TEXTJOIN("",TRUE,A28,"!",ADDRESS(18+(A29-1)*A25,1)))</f>
        <v>CAT 008</v>
      </c>
      <c r="B15" s="97"/>
      <c r="C15" s="106" t="str">
        <f ca="1">INDIRECT(_xlfn.TEXTJOIN("",TRUE,A28,"!",ADDRESS(18+(A29-1)*A25,2)))</f>
        <v>Python Programming ($)</v>
      </c>
      <c r="D15" s="107"/>
      <c r="E15" s="107"/>
      <c r="F15" s="107"/>
      <c r="G15" s="108"/>
      <c r="H15" s="20">
        <f ca="1">INDIRECT(_xlfn.TEXTJOIN("",TRUE,A28,"!",ADDRESS(18+(A29-1)*A25,6)))</f>
        <v>0</v>
      </c>
      <c r="I15" s="20" t="str">
        <f ca="1">INDIRECT(_xlfn.TEXTJOIN("",TRUE,A28,"!",ADDRESS(18+(A29-1)*A25,13)))</f>
        <v>D+</v>
      </c>
      <c r="J15" s="20">
        <f ca="1">INDIRECT(_xlfn.TEXTJOIN("",TRUE,A28,"!",ADDRESS(18+(A29-1)*A25,14)))</f>
        <v>6.5</v>
      </c>
    </row>
    <row r="16" spans="1:10" ht="26.25" customHeight="1" x14ac:dyDescent="0.2">
      <c r="A16" s="96" t="str">
        <f ca="1">INDIRECT(_xlfn.TEXTJOIN("",TRUE,A28,"!",ADDRESS(19+(A29-1)*A25,1)))</f>
        <v>CAT 001</v>
      </c>
      <c r="B16" s="97"/>
      <c r="C16" s="106" t="str">
        <f ca="1">INDIRECT(_xlfn.TEXTJOIN("",TRUE,A28,"!",ADDRESS(19+(A29-1)*A25,2)))</f>
        <v>Introduction of Information Technology ($)</v>
      </c>
      <c r="D16" s="107"/>
      <c r="E16" s="107"/>
      <c r="F16" s="107"/>
      <c r="G16" s="108"/>
      <c r="H16" s="20">
        <f ca="1">INDIRECT(_xlfn.TEXTJOIN("",TRUE,A28,"!",ADDRESS(19+(A29-1)*A25,6)))</f>
        <v>0</v>
      </c>
      <c r="I16" s="20" t="str">
        <f ca="1">INDIRECT(_xlfn.TEXTJOIN("",TRUE,A28,"!",ADDRESS(19+(A29-1)*A25,13)))</f>
        <v>A+</v>
      </c>
      <c r="J16" s="20">
        <f ca="1">INDIRECT(_xlfn.TEXTJOIN("",TRUE,A28,"!",ADDRESS(19+(A29-1)*A25,14)))</f>
        <v>9.5</v>
      </c>
    </row>
    <row r="17" spans="1:10" ht="26.25" customHeight="1" x14ac:dyDescent="0.2">
      <c r="A17" s="96" t="str">
        <f ca="1">INDIRECT(_xlfn.TEXTJOIN("",TRUE,A28,"!",ADDRESS(20+(A29-1)*A25,1)))</f>
        <v>CAT 002</v>
      </c>
      <c r="B17" s="97"/>
      <c r="C17" s="106" t="str">
        <f ca="1">INDIRECT(_xlfn.TEXTJOIN("",TRUE,A28,"!",ADDRESS(20+(A29-1)*A25,2)))</f>
        <v>Programming Fundamentals with "C" ($)</v>
      </c>
      <c r="D17" s="107"/>
      <c r="E17" s="107"/>
      <c r="F17" s="107"/>
      <c r="G17" s="108"/>
      <c r="H17" s="20">
        <f ca="1">INDIRECT(_xlfn.TEXTJOIN("",TRUE,A28,"!",ADDRESS(20+(A29-1)*A25,6)))</f>
        <v>0</v>
      </c>
      <c r="I17" s="20" t="str">
        <f ca="1">INDIRECT(_xlfn.TEXTJOIN("",TRUE,A28,"!",ADDRESS(20+(A29-1)*A25,13)))</f>
        <v>B+</v>
      </c>
      <c r="J17" s="20">
        <f ca="1">INDIRECT(_xlfn.TEXTJOIN("",TRUE,A28,"!",ADDRESS(20+(A29-1)*A25,14)))</f>
        <v>8.5</v>
      </c>
    </row>
    <row r="18" spans="1:10" ht="26.25" customHeight="1" x14ac:dyDescent="0.2">
      <c r="A18" s="96" t="str">
        <f ca="1">INDIRECT(_xlfn.TEXTJOIN("",TRUE,A28,"!",ADDRESS(21+(A29-1)*A25,1)))</f>
        <v>CAT 003</v>
      </c>
      <c r="B18" s="97"/>
      <c r="C18" s="106" t="str">
        <f ca="1">INDIRECT(_xlfn.TEXTJOIN("",TRUE,A28,"!",ADDRESS(21+(A29-1)*A25,2)))</f>
        <v>Fundamental of Web Technology ($)</v>
      </c>
      <c r="D18" s="107"/>
      <c r="E18" s="107"/>
      <c r="F18" s="107"/>
      <c r="G18" s="108"/>
      <c r="H18" s="20">
        <f ca="1">INDIRECT(_xlfn.TEXTJOIN("",TRUE,A28,"!",ADDRESS(21+(A29-1)*A25,6)))</f>
        <v>0</v>
      </c>
      <c r="I18" s="20" t="str">
        <f ca="1">INDIRECT(_xlfn.TEXTJOIN("",TRUE,A28,"!",ADDRESS(21+(A29-1)*A25,13)))</f>
        <v>A</v>
      </c>
      <c r="J18" s="20">
        <f ca="1">INDIRECT(_xlfn.TEXTJOIN("",TRUE,A28,"!",ADDRESS(21+(A29-1)*A25,14)))</f>
        <v>9</v>
      </c>
    </row>
    <row r="19" spans="1:10" ht="26.25" customHeight="1" x14ac:dyDescent="0.2">
      <c r="A19" s="96" t="str">
        <f ca="1">INDIRECT(_xlfn.TEXTJOIN("",TRUE,A28,"!",ADDRESS(22+(A29-1)*A25,1)))</f>
        <v>CAP 001</v>
      </c>
      <c r="B19" s="97"/>
      <c r="C19" s="106" t="str">
        <f ca="1">INDIRECT(_xlfn.TEXTJOIN("",TRUE,A28,"!",ADDRESS(22+(A29-1)*A25,2)))</f>
        <v>Database Management System Lab</v>
      </c>
      <c r="D19" s="107"/>
      <c r="E19" s="107"/>
      <c r="F19" s="107"/>
      <c r="G19" s="108"/>
      <c r="H19" s="20">
        <f ca="1">INDIRECT(_xlfn.TEXTJOIN("",TRUE,A28,"!",ADDRESS(22+(A29-1)*A25,6)))</f>
        <v>1</v>
      </c>
      <c r="I19" s="20" t="str">
        <f ca="1">INDIRECT(_xlfn.TEXTJOIN("",TRUE,A28,"!",ADDRESS(22+(A29-1)*A25,13)))</f>
        <v>B+</v>
      </c>
      <c r="J19" s="20">
        <f ca="1">INDIRECT(_xlfn.TEXTJOIN("",TRUE,A28,"!",ADDRESS(22+(A29-1)*A25,14)))</f>
        <v>8.5</v>
      </c>
    </row>
    <row r="20" spans="1:10" ht="26.25" customHeight="1" x14ac:dyDescent="0.2">
      <c r="A20" s="110" t="str">
        <f ca="1">INDIRECT(_xlfn.TEXTJOIN("",TRUE,A28,"!",ADDRESS(23+(A29-1)*A25,1)))</f>
        <v>CAP 002</v>
      </c>
      <c r="B20" s="111"/>
      <c r="C20" s="115" t="str">
        <f ca="1">INDIRECT(_xlfn.TEXTJOIN("",TRUE,A28,"!",ADDRESS(23+(A29-1)*A25,2)))</f>
        <v>Operating System Lab</v>
      </c>
      <c r="D20" s="116"/>
      <c r="E20" s="116"/>
      <c r="F20" s="116"/>
      <c r="G20" s="117"/>
      <c r="H20" s="20">
        <f ca="1">INDIRECT(_xlfn.TEXTJOIN("",TRUE,A28,"!",ADDRESS(23+(A29-1)*A25,6)))</f>
        <v>1</v>
      </c>
      <c r="I20" s="20" t="str">
        <f ca="1">INDIRECT(_xlfn.TEXTJOIN("",TRUE,A28,"!",ADDRESS(23+(A29-1)*A25,13)))</f>
        <v>A</v>
      </c>
      <c r="J20" s="20">
        <f ca="1">INDIRECT(_xlfn.TEXTJOIN("",TRUE,A28,"!",ADDRESS(23+(A29-1)*A25,14)))</f>
        <v>9</v>
      </c>
    </row>
    <row r="21" spans="1:10" ht="26.25" customHeight="1" x14ac:dyDescent="0.2">
      <c r="A21" s="110" t="str">
        <f ca="1">INDIRECT(_xlfn.TEXTJOIN("",TRUE,A28,"!",ADDRESS(24+(A29-1)*A25,1)))</f>
        <v>CAP 003</v>
      </c>
      <c r="B21" s="111"/>
      <c r="C21" s="115" t="str">
        <f ca="1">INDIRECT(_xlfn.TEXTJOIN("",TRUE,A28,"!",ADDRESS(24+(A29-1)*A25,2)))</f>
        <v>Computer Organization Lab</v>
      </c>
      <c r="D21" s="116"/>
      <c r="E21" s="116"/>
      <c r="F21" s="116"/>
      <c r="G21" s="117"/>
      <c r="H21" s="20">
        <f ca="1">INDIRECT(_xlfn.TEXTJOIN("",TRUE,A28,"!",ADDRESS(24+(A29-1)*A25,6)))</f>
        <v>1</v>
      </c>
      <c r="I21" s="20" t="str">
        <f ca="1">INDIRECT(_xlfn.TEXTJOIN("",TRUE,A28,"!",ADDRESS(24+(A29-1)*A25,13)))</f>
        <v>A</v>
      </c>
      <c r="J21" s="20">
        <f ca="1">INDIRECT(_xlfn.TEXTJOIN("",TRUE,A28,"!",ADDRESS(24+(A29-1)*A25,14)))</f>
        <v>9</v>
      </c>
    </row>
    <row r="22" spans="1:10" ht="26.25" customHeight="1" x14ac:dyDescent="0.2">
      <c r="A22" s="110" t="str">
        <f ca="1">INDIRECT(_xlfn.TEXTJOIN("",TRUE,A28,"!",ADDRESS(25+(A29-1)*A25,1)))</f>
        <v>AHP 303</v>
      </c>
      <c r="B22" s="111"/>
      <c r="C22" s="115" t="str">
        <f ca="1">INDIRECT(_xlfn.TEXTJOIN("",TRUE,A28,"!",ADDRESS(25+(A29-1)*A25,2)))</f>
        <v>Technical Communication Skills</v>
      </c>
      <c r="D22" s="116"/>
      <c r="E22" s="116"/>
      <c r="F22" s="116"/>
      <c r="G22" s="117"/>
      <c r="H22" s="20">
        <f ca="1">INDIRECT(_xlfn.TEXTJOIN("",TRUE,A28,"!",ADDRESS(25+(A29-1)*A25,6)))</f>
        <v>1</v>
      </c>
      <c r="I22" s="20" t="str">
        <f ca="1">INDIRECT(_xlfn.TEXTJOIN("",TRUE,A28,"!",ADDRESS(25+(A29-1)*A25,13)))</f>
        <v>B</v>
      </c>
      <c r="J22" s="20">
        <f ca="1">INDIRECT(_xlfn.TEXTJOIN("",TRUE,A28,"!",ADDRESS(25+(A29-1)*A25,14)))</f>
        <v>8</v>
      </c>
    </row>
    <row r="23" spans="1:10" ht="26.25" customHeight="1" x14ac:dyDescent="0.2">
      <c r="A23" s="100" t="s">
        <v>52</v>
      </c>
      <c r="B23" s="101"/>
      <c r="C23" s="101"/>
      <c r="D23" s="101"/>
      <c r="E23" s="101"/>
      <c r="F23" s="101"/>
      <c r="G23" s="102"/>
      <c r="H23" s="98">
        <f ca="1">SUM(H10:H23)</f>
        <v>24</v>
      </c>
      <c r="I23" s="118" t="s">
        <v>44</v>
      </c>
      <c r="J23" s="102">
        <f ca="1">SUMPRODUCT(J10:J22,H10:H22)</f>
        <v>168.5</v>
      </c>
    </row>
    <row r="24" spans="1:10" ht="26.25" customHeight="1" x14ac:dyDescent="0.2">
      <c r="A24" s="103"/>
      <c r="B24" s="104"/>
      <c r="C24" s="104"/>
      <c r="D24" s="104"/>
      <c r="E24" s="104"/>
      <c r="F24" s="104"/>
      <c r="G24" s="105"/>
      <c r="H24" s="99"/>
      <c r="I24" s="118"/>
      <c r="J24" s="105"/>
    </row>
    <row r="25" spans="1:10" ht="26.25" customHeight="1" x14ac:dyDescent="0.2">
      <c r="A25" s="22">
        <f>ROWS(A10:B23)+9</f>
        <v>23</v>
      </c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26.25" customHeight="1" x14ac:dyDescent="0.2">
      <c r="A26" s="120" t="s">
        <v>40</v>
      </c>
      <c r="B26" s="120"/>
      <c r="C26" s="21">
        <f ca="1">INDIRECT(_xlfn.TEXTJOIN("",TRUE,A28,"!",ADDRESS(5+A29*A25,12)))</f>
        <v>24</v>
      </c>
      <c r="D26" s="120" t="s">
        <v>38</v>
      </c>
      <c r="E26" s="120"/>
      <c r="F26" s="18">
        <f ca="1">INDIRECT(_xlfn.TEXTJOIN("",TRUE,A28,"!",ADDRESS(5+A29*A25,8)))</f>
        <v>7.020833333333333</v>
      </c>
      <c r="G26" s="120" t="s">
        <v>39</v>
      </c>
      <c r="H26" s="120"/>
      <c r="I26" s="109">
        <f ca="1">INDIRECT(_xlfn.TEXTJOIN("",TRUE,A28,"!",ADDRESS(5+A29*A25,10)))</f>
        <v>7.020833333333333</v>
      </c>
      <c r="J26" s="109"/>
    </row>
    <row r="27" spans="1:10" ht="26.25" customHeight="1" x14ac:dyDescent="0.2">
      <c r="A27" s="19" t="s">
        <v>36</v>
      </c>
      <c r="B27" s="95" t="str">
        <f ca="1">INDIRECT(_xlfn.TEXTJOIN("",TRUE,A28,"!",ADDRESS(5+A29*A25,2)))</f>
        <v>PASS</v>
      </c>
      <c r="C27" s="95"/>
      <c r="D27" s="121" t="s">
        <v>37</v>
      </c>
      <c r="E27" s="121"/>
      <c r="F27" s="122" t="str">
        <f ca="1">INDIRECT(_xlfn.TEXTJOIN("",TRUE,A28,"!",ADDRESS(5+A29*A25,5)))</f>
        <v/>
      </c>
      <c r="G27" s="122"/>
      <c r="H27" s="122"/>
      <c r="I27" s="122"/>
      <c r="J27" s="122"/>
    </row>
    <row r="28" spans="1:10" ht="26.25" customHeight="1" x14ac:dyDescent="0.2">
      <c r="A28" s="22" t="s">
        <v>53</v>
      </c>
    </row>
    <row r="29" spans="1:10" ht="26.25" customHeight="1" x14ac:dyDescent="0.2">
      <c r="A29" s="22">
        <v>1</v>
      </c>
    </row>
    <row r="30" spans="1:10" ht="26.25" customHeight="1" x14ac:dyDescent="0.2">
      <c r="A30" s="112" t="s">
        <v>24</v>
      </c>
      <c r="B30" s="112"/>
      <c r="C30" s="112" t="str">
        <f ca="1">INDIRECT(_xlfn.TEXTJOIN("",TRUE,A51,"!",ADDRESS(9+(A52-1)*A48,2)))</f>
        <v>ABHISHEK SINGH NAYAL</v>
      </c>
      <c r="D30" s="112"/>
      <c r="E30" s="112"/>
      <c r="F30" s="112" t="s">
        <v>50</v>
      </c>
      <c r="G30" s="112"/>
      <c r="H30" s="112"/>
      <c r="I30" s="113">
        <f ca="1">INDIRECT(_xlfn.TEXTJOIN("",TRUE,A51,"!",ADDRESS(9+(A52-1)*A48,9)))</f>
        <v>250090600002</v>
      </c>
      <c r="J30" s="113"/>
    </row>
    <row r="31" spans="1:10" ht="26.25" customHeight="1" x14ac:dyDescent="0.2">
      <c r="A31" s="112" t="s">
        <v>25</v>
      </c>
      <c r="B31" s="112"/>
      <c r="C31" s="112" t="str">
        <f ca="1">INDIRECT(_xlfn.TEXTJOIN("",TRUE,A51,"!",ADDRESS(9+(A52-1)*A48,5)))</f>
        <v>RAVENDRA SINGH NAYAL</v>
      </c>
      <c r="D31" s="112"/>
      <c r="E31" s="112"/>
      <c r="F31" s="114" t="s">
        <v>51</v>
      </c>
      <c r="G31" s="114"/>
      <c r="H31" s="114"/>
      <c r="I31" s="113" t="str">
        <f ca="1">INDIRECT(_xlfn.TEXTJOIN("",TRUE,A51,"!",ADDRESS(9+(A52-1)*A48,13)))</f>
        <v>UTU/2506100159</v>
      </c>
      <c r="J31" s="113"/>
    </row>
    <row r="32" spans="1:10" ht="26.25" customHeight="1" x14ac:dyDescent="0.2">
      <c r="A32" s="95" t="s">
        <v>28</v>
      </c>
      <c r="B32" s="95"/>
      <c r="C32" s="95" t="s">
        <v>29</v>
      </c>
      <c r="D32" s="95"/>
      <c r="E32" s="95"/>
      <c r="F32" s="95"/>
      <c r="G32" s="95"/>
      <c r="H32" s="15" t="s">
        <v>30</v>
      </c>
      <c r="I32" s="15" t="s">
        <v>9</v>
      </c>
      <c r="J32" s="15" t="s">
        <v>34</v>
      </c>
    </row>
    <row r="33" spans="1:10" ht="26.25" customHeight="1" x14ac:dyDescent="0.2">
      <c r="A33" s="96" t="str">
        <f ca="1">INDIRECT(_xlfn.TEXTJOIN("",TRUE,A51,"!",ADDRESS(13+(A52-1)*A48,1)))</f>
        <v>CAT 004</v>
      </c>
      <c r="B33" s="97"/>
      <c r="C33" s="106" t="str">
        <f ca="1">INDIRECT(_xlfn.TEXTJOIN("",TRUE,A51,"!",ADDRESS(13+(A52-1)*A48,2)))</f>
        <v>Discrete Structure</v>
      </c>
      <c r="D33" s="107"/>
      <c r="E33" s="107"/>
      <c r="F33" s="107"/>
      <c r="G33" s="108"/>
      <c r="H33" s="20">
        <f ca="1">INDIRECT(_xlfn.TEXTJOIN("",TRUE,A51,"!",ADDRESS(13+(A52-1)*A48,6)))</f>
        <v>4</v>
      </c>
      <c r="I33" s="20" t="str">
        <f ca="1">INDIRECT(_xlfn.TEXTJOIN("",TRUE,A51,"!",ADDRESS(13+(A52-1)*A48,13)))</f>
        <v>D+</v>
      </c>
      <c r="J33" s="20">
        <f ca="1">INDIRECT(_xlfn.TEXTJOIN("",TRUE,A51,"!",ADDRESS(13+(A52-1)*A48,14)))</f>
        <v>6.5</v>
      </c>
    </row>
    <row r="34" spans="1:10" ht="26.25" customHeight="1" x14ac:dyDescent="0.2">
      <c r="A34" s="96" t="str">
        <f ca="1">INDIRECT(_xlfn.TEXTJOIN("",TRUE,A51,"!",ADDRESS(14+(A52-1)*A48,1)))</f>
        <v>CAT 005</v>
      </c>
      <c r="B34" s="97"/>
      <c r="C34" s="106" t="str">
        <f ca="1">INDIRECT(_xlfn.TEXTJOIN("",TRUE,A51,"!",ADDRESS(14+(A52-1)*A48,2)))</f>
        <v>Database Management System</v>
      </c>
      <c r="D34" s="107"/>
      <c r="E34" s="107"/>
      <c r="F34" s="107"/>
      <c r="G34" s="108"/>
      <c r="H34" s="20">
        <f ca="1">INDIRECT(_xlfn.TEXTJOIN("",TRUE,A51,"!",ADDRESS(14+(A52-1)*A48,6)))</f>
        <v>4</v>
      </c>
      <c r="I34" s="20" t="str">
        <f ca="1">INDIRECT(_xlfn.TEXTJOIN("",TRUE,A51,"!",ADDRESS(14+(A52-1)*A48,13)))</f>
        <v>E+</v>
      </c>
      <c r="J34" s="20">
        <f ca="1">INDIRECT(_xlfn.TEXTJOIN("",TRUE,A51,"!",ADDRESS(14+(A52-1)*A48,14)))</f>
        <v>5.5</v>
      </c>
    </row>
    <row r="35" spans="1:10" ht="26.25" customHeight="1" x14ac:dyDescent="0.2">
      <c r="A35" s="96" t="str">
        <f ca="1">INDIRECT(_xlfn.TEXTJOIN("",TRUE,A51,"!",ADDRESS(15+(A52-1)*A48,1)))</f>
        <v>CAT 006</v>
      </c>
      <c r="B35" s="97"/>
      <c r="C35" s="106" t="str">
        <f ca="1">INDIRECT(_xlfn.TEXTJOIN("",TRUE,A51,"!",ADDRESS(15+(A52-1)*A48,2)))</f>
        <v>Operating System</v>
      </c>
      <c r="D35" s="107"/>
      <c r="E35" s="107"/>
      <c r="F35" s="107"/>
      <c r="G35" s="108"/>
      <c r="H35" s="20">
        <f ca="1">INDIRECT(_xlfn.TEXTJOIN("",TRUE,A51,"!",ADDRESS(15+(A52-1)*A48,6)))</f>
        <v>4</v>
      </c>
      <c r="I35" s="20" t="str">
        <f ca="1">INDIRECT(_xlfn.TEXTJOIN("",TRUE,A51,"!",ADDRESS(15+(A52-1)*A48,13)))</f>
        <v>C</v>
      </c>
      <c r="J35" s="20">
        <f ca="1">INDIRECT(_xlfn.TEXTJOIN("",TRUE,A51,"!",ADDRESS(15+(A52-1)*A48,14)))</f>
        <v>7</v>
      </c>
    </row>
    <row r="36" spans="1:10" ht="26.25" customHeight="1" x14ac:dyDescent="0.2">
      <c r="A36" s="96" t="str">
        <f ca="1">INDIRECT(_xlfn.TEXTJOIN("",TRUE,A51,"!",ADDRESS(16+(A52-1)*A48,1)))</f>
        <v>CAT 007</v>
      </c>
      <c r="B36" s="97"/>
      <c r="C36" s="106" t="str">
        <f ca="1">INDIRECT(_xlfn.TEXTJOIN("",TRUE,A51,"!",ADDRESS(16+(A52-1)*A48,2)))</f>
        <v>Computer Organization</v>
      </c>
      <c r="D36" s="107"/>
      <c r="E36" s="107"/>
      <c r="F36" s="107"/>
      <c r="G36" s="108"/>
      <c r="H36" s="20">
        <f ca="1">INDIRECT(_xlfn.TEXTJOIN("",TRUE,A51,"!",ADDRESS(16+(A52-1)*A48,6)))</f>
        <v>4</v>
      </c>
      <c r="I36" s="20" t="str">
        <f ca="1">INDIRECT(_xlfn.TEXTJOIN("",TRUE,A51,"!",ADDRESS(16+(A52-1)*A48,13)))</f>
        <v>D+</v>
      </c>
      <c r="J36" s="20">
        <f ca="1">INDIRECT(_xlfn.TEXTJOIN("",TRUE,A51,"!",ADDRESS(16+(A52-1)*A48,14)))</f>
        <v>6.5</v>
      </c>
    </row>
    <row r="37" spans="1:10" ht="26.25" customHeight="1" x14ac:dyDescent="0.2">
      <c r="A37" s="96" t="str">
        <f ca="1">INDIRECT(_xlfn.TEXTJOIN("",TRUE,A51,"!",ADDRESS(17+(A52-1)*A48,1)))</f>
        <v>AHT 303</v>
      </c>
      <c r="B37" s="97"/>
      <c r="C37" s="106" t="str">
        <f ca="1">INDIRECT(_xlfn.TEXTJOIN("",TRUE,A51,"!",ADDRESS(17+(A52-1)*A48,2)))</f>
        <v>Technical Communication Skills</v>
      </c>
      <c r="D37" s="107"/>
      <c r="E37" s="107"/>
      <c r="F37" s="107"/>
      <c r="G37" s="108"/>
      <c r="H37" s="20">
        <f ca="1">INDIRECT(_xlfn.TEXTJOIN("",TRUE,A51,"!",ADDRESS(17+(A52-1)*A48,6)))</f>
        <v>4</v>
      </c>
      <c r="I37" s="20" t="str">
        <f ca="1">INDIRECT(_xlfn.TEXTJOIN("",TRUE,A51,"!",ADDRESS(17+(A52-1)*A48,13)))</f>
        <v>C+</v>
      </c>
      <c r="J37" s="20">
        <f ca="1">INDIRECT(_xlfn.TEXTJOIN("",TRUE,A51,"!",ADDRESS(17+(A52-1)*A48,14)))</f>
        <v>7.5</v>
      </c>
    </row>
    <row r="38" spans="1:10" ht="26.25" customHeight="1" x14ac:dyDescent="0.2">
      <c r="A38" s="96" t="str">
        <f ca="1">INDIRECT(_xlfn.TEXTJOIN("",TRUE,A51,"!",ADDRESS(18+(A52-1)*A48,1)))</f>
        <v>CAT 008</v>
      </c>
      <c r="B38" s="97"/>
      <c r="C38" s="106" t="str">
        <f ca="1">INDIRECT(_xlfn.TEXTJOIN("",TRUE,A51,"!",ADDRESS(18+(A52-1)*A48,2)))</f>
        <v>Python Programming ($)</v>
      </c>
      <c r="D38" s="107"/>
      <c r="E38" s="107"/>
      <c r="F38" s="107"/>
      <c r="G38" s="108"/>
      <c r="H38" s="20">
        <f ca="1">INDIRECT(_xlfn.TEXTJOIN("",TRUE,A51,"!",ADDRESS(18+(A52-1)*A48,6)))</f>
        <v>0</v>
      </c>
      <c r="I38" s="20" t="str">
        <f ca="1">INDIRECT(_xlfn.TEXTJOIN("",TRUE,A51,"!",ADDRESS(18+(A52-1)*A48,13)))</f>
        <v>E+</v>
      </c>
      <c r="J38" s="20">
        <f ca="1">INDIRECT(_xlfn.TEXTJOIN("",TRUE,A51,"!",ADDRESS(18+(A52-1)*A48,14)))</f>
        <v>5.5</v>
      </c>
    </row>
    <row r="39" spans="1:10" ht="26.25" customHeight="1" x14ac:dyDescent="0.2">
      <c r="A39" s="96" t="str">
        <f ca="1">INDIRECT(_xlfn.TEXTJOIN("",TRUE,A51,"!",ADDRESS(19+(A52-1)*A48,1)))</f>
        <v>CAT 001</v>
      </c>
      <c r="B39" s="97"/>
      <c r="C39" s="106" t="str">
        <f ca="1">INDIRECT(_xlfn.TEXTJOIN("",TRUE,A51,"!",ADDRESS(19+(A52-1)*A48,2)))</f>
        <v>Introduction of Information Technology ($)</v>
      </c>
      <c r="D39" s="107"/>
      <c r="E39" s="107"/>
      <c r="F39" s="107"/>
      <c r="G39" s="108"/>
      <c r="H39" s="20">
        <f ca="1">INDIRECT(_xlfn.TEXTJOIN("",TRUE,A51,"!",ADDRESS(19+(A52-1)*A48,6)))</f>
        <v>0</v>
      </c>
      <c r="I39" s="20" t="str">
        <f ca="1">INDIRECT(_xlfn.TEXTJOIN("",TRUE,A51,"!",ADDRESS(19+(A52-1)*A48,13)))</f>
        <v>-</v>
      </c>
      <c r="J39" s="20" t="str">
        <f ca="1">INDIRECT(_xlfn.TEXTJOIN("",TRUE,A51,"!",ADDRESS(19+(A52-1)*A48,14)))</f>
        <v>-</v>
      </c>
    </row>
    <row r="40" spans="1:10" ht="26.25" customHeight="1" x14ac:dyDescent="0.2">
      <c r="A40" s="96" t="str">
        <f ca="1">INDIRECT(_xlfn.TEXTJOIN("",TRUE,A51,"!",ADDRESS(20+(A52-1)*A48,1)))</f>
        <v>CAT 002</v>
      </c>
      <c r="B40" s="97"/>
      <c r="C40" s="106" t="str">
        <f ca="1">INDIRECT(_xlfn.TEXTJOIN("",TRUE,A51,"!",ADDRESS(20+(A52-1)*A48,2)))</f>
        <v>Programming Fundamentals with "C" ($)</v>
      </c>
      <c r="D40" s="107"/>
      <c r="E40" s="107"/>
      <c r="F40" s="107"/>
      <c r="G40" s="108"/>
      <c r="H40" s="20">
        <f ca="1">INDIRECT(_xlfn.TEXTJOIN("",TRUE,A51,"!",ADDRESS(20+(A52-1)*A48,6)))</f>
        <v>0</v>
      </c>
      <c r="I40" s="20" t="str">
        <f ca="1">INDIRECT(_xlfn.TEXTJOIN("",TRUE,A51,"!",ADDRESS(20+(A52-1)*A48,13)))</f>
        <v>-</v>
      </c>
      <c r="J40" s="20" t="str">
        <f ca="1">INDIRECT(_xlfn.TEXTJOIN("",TRUE,A51,"!",ADDRESS(20+(A52-1)*A48,14)))</f>
        <v>-</v>
      </c>
    </row>
    <row r="41" spans="1:10" ht="26.25" customHeight="1" x14ac:dyDescent="0.2">
      <c r="A41" s="96" t="str">
        <f ca="1">INDIRECT(_xlfn.TEXTJOIN("",TRUE,A51,"!",ADDRESS(21+(A52-1)*A48,1)))</f>
        <v>CAT 003</v>
      </c>
      <c r="B41" s="97"/>
      <c r="C41" s="106" t="str">
        <f ca="1">INDIRECT(_xlfn.TEXTJOIN("",TRUE,A51,"!",ADDRESS(21+(A52-1)*A48,2)))</f>
        <v>Fundamental of Web Technology ($)</v>
      </c>
      <c r="D41" s="107"/>
      <c r="E41" s="107"/>
      <c r="F41" s="107"/>
      <c r="G41" s="108"/>
      <c r="H41" s="20">
        <f ca="1">INDIRECT(_xlfn.TEXTJOIN("",TRUE,A51,"!",ADDRESS(21+(A52-1)*A48,6)))</f>
        <v>0</v>
      </c>
      <c r="I41" s="20" t="str">
        <f ca="1">INDIRECT(_xlfn.TEXTJOIN("",TRUE,A51,"!",ADDRESS(21+(A52-1)*A48,13)))</f>
        <v>-</v>
      </c>
      <c r="J41" s="20" t="str">
        <f ca="1">INDIRECT(_xlfn.TEXTJOIN("",TRUE,A51,"!",ADDRESS(21+(A52-1)*A48,14)))</f>
        <v>-</v>
      </c>
    </row>
    <row r="42" spans="1:10" ht="26.25" customHeight="1" x14ac:dyDescent="0.2">
      <c r="A42" s="96" t="str">
        <f ca="1">INDIRECT(_xlfn.TEXTJOIN("",TRUE,A51,"!",ADDRESS(22+(A52-1)*A48,1)))</f>
        <v>CAP 001</v>
      </c>
      <c r="B42" s="97"/>
      <c r="C42" s="106" t="str">
        <f ca="1">INDIRECT(_xlfn.TEXTJOIN("",TRUE,A51,"!",ADDRESS(22+(A52-1)*A48,2)))</f>
        <v>Database Management System Lab</v>
      </c>
      <c r="D42" s="107"/>
      <c r="E42" s="107"/>
      <c r="F42" s="107"/>
      <c r="G42" s="108"/>
      <c r="H42" s="20">
        <f ca="1">INDIRECT(_xlfn.TEXTJOIN("",TRUE,A51,"!",ADDRESS(22+(A52-1)*A48,6)))</f>
        <v>1</v>
      </c>
      <c r="I42" s="20" t="str">
        <f ca="1">INDIRECT(_xlfn.TEXTJOIN("",TRUE,A51,"!",ADDRESS(22+(A52-1)*A48,13)))</f>
        <v>B</v>
      </c>
      <c r="J42" s="20">
        <f ca="1">INDIRECT(_xlfn.TEXTJOIN("",TRUE,A51,"!",ADDRESS(22+(A52-1)*A48,14)))</f>
        <v>8</v>
      </c>
    </row>
    <row r="43" spans="1:10" ht="26.25" customHeight="1" x14ac:dyDescent="0.2">
      <c r="A43" s="110" t="str">
        <f ca="1">INDIRECT(_xlfn.TEXTJOIN("",TRUE,A51,"!",ADDRESS(23+(A52-1)*A48,1)))</f>
        <v>CAP 002</v>
      </c>
      <c r="B43" s="111"/>
      <c r="C43" s="115" t="str">
        <f ca="1">INDIRECT(_xlfn.TEXTJOIN("",TRUE,A51,"!",ADDRESS(23+(A52-1)*A48,2)))</f>
        <v>Operating System Lab</v>
      </c>
      <c r="D43" s="116"/>
      <c r="E43" s="116"/>
      <c r="F43" s="116"/>
      <c r="G43" s="117"/>
      <c r="H43" s="20">
        <f ca="1">INDIRECT(_xlfn.TEXTJOIN("",TRUE,A51,"!",ADDRESS(23+(A52-1)*A48,6)))</f>
        <v>1</v>
      </c>
      <c r="I43" s="20" t="str">
        <f ca="1">INDIRECT(_xlfn.TEXTJOIN("",TRUE,A51,"!",ADDRESS(23+(A52-1)*A48,13)))</f>
        <v>A+</v>
      </c>
      <c r="J43" s="20">
        <f ca="1">INDIRECT(_xlfn.TEXTJOIN("",TRUE,A51,"!",ADDRESS(23+(A52-1)*A48,14)))</f>
        <v>9.5</v>
      </c>
    </row>
    <row r="44" spans="1:10" ht="26.25" customHeight="1" x14ac:dyDescent="0.2">
      <c r="A44" s="110" t="str">
        <f ca="1">INDIRECT(_xlfn.TEXTJOIN("",TRUE,A51,"!",ADDRESS(24+(A52-1)*A48,1)))</f>
        <v>CAP 003</v>
      </c>
      <c r="B44" s="111"/>
      <c r="C44" s="115" t="str">
        <f ca="1">INDIRECT(_xlfn.TEXTJOIN("",TRUE,A51,"!",ADDRESS(24+(A52-1)*A48,2)))</f>
        <v>Computer Organization Lab</v>
      </c>
      <c r="D44" s="116"/>
      <c r="E44" s="116"/>
      <c r="F44" s="116"/>
      <c r="G44" s="117"/>
      <c r="H44" s="20">
        <f ca="1">INDIRECT(_xlfn.TEXTJOIN("",TRUE,A51,"!",ADDRESS(24+(A52-1)*A48,6)))</f>
        <v>1</v>
      </c>
      <c r="I44" s="20" t="str">
        <f ca="1">INDIRECT(_xlfn.TEXTJOIN("",TRUE,A51,"!",ADDRESS(24+(A52-1)*A48,13)))</f>
        <v>A+</v>
      </c>
      <c r="J44" s="20">
        <f ca="1">INDIRECT(_xlfn.TEXTJOIN("",TRUE,A51,"!",ADDRESS(24+(A52-1)*A48,14)))</f>
        <v>9.5</v>
      </c>
    </row>
    <row r="45" spans="1:10" ht="26.25" customHeight="1" x14ac:dyDescent="0.2">
      <c r="A45" s="110" t="str">
        <f ca="1">INDIRECT(_xlfn.TEXTJOIN("",TRUE,A51,"!",ADDRESS(25+(A52-1)*A48,1)))</f>
        <v>AHP 303</v>
      </c>
      <c r="B45" s="111"/>
      <c r="C45" s="115" t="str">
        <f ca="1">INDIRECT(_xlfn.TEXTJOIN("",TRUE,A51,"!",ADDRESS(25+(A52-1)*A48,2)))</f>
        <v>Technical Communication Skills</v>
      </c>
      <c r="D45" s="116"/>
      <c r="E45" s="116"/>
      <c r="F45" s="116"/>
      <c r="G45" s="117"/>
      <c r="H45" s="20">
        <f ca="1">INDIRECT(_xlfn.TEXTJOIN("",TRUE,A51,"!",ADDRESS(25+(A52-1)*A48,6)))</f>
        <v>1</v>
      </c>
      <c r="I45" s="20" t="str">
        <f ca="1">INDIRECT(_xlfn.TEXTJOIN("",TRUE,A51,"!",ADDRESS(25+(A52-1)*A48,13)))</f>
        <v>B+</v>
      </c>
      <c r="J45" s="20">
        <f ca="1">INDIRECT(_xlfn.TEXTJOIN("",TRUE,A51,"!",ADDRESS(25+(A52-1)*A48,14)))</f>
        <v>8.5</v>
      </c>
    </row>
    <row r="46" spans="1:10" ht="26.25" customHeight="1" x14ac:dyDescent="0.2">
      <c r="A46" s="100" t="s">
        <v>52</v>
      </c>
      <c r="B46" s="101"/>
      <c r="C46" s="101"/>
      <c r="D46" s="101"/>
      <c r="E46" s="101"/>
      <c r="F46" s="101"/>
      <c r="G46" s="102"/>
      <c r="H46" s="98">
        <f ca="1">SUM(H33:H46)</f>
        <v>24</v>
      </c>
      <c r="I46" s="118" t="s">
        <v>44</v>
      </c>
      <c r="J46" s="102">
        <f ca="1">SUMPRODUCT(J33:J45,H33:H45)</f>
        <v>167.5</v>
      </c>
    </row>
    <row r="47" spans="1:10" ht="26.25" customHeight="1" x14ac:dyDescent="0.2">
      <c r="A47" s="103"/>
      <c r="B47" s="104"/>
      <c r="C47" s="104"/>
      <c r="D47" s="104"/>
      <c r="E47" s="104"/>
      <c r="F47" s="104"/>
      <c r="G47" s="105"/>
      <c r="H47" s="99"/>
      <c r="I47" s="118"/>
      <c r="J47" s="105"/>
    </row>
    <row r="48" spans="1:10" ht="26.25" customHeight="1" x14ac:dyDescent="0.2">
      <c r="A48" s="22">
        <f>ROWS(A33:B46)+9</f>
        <v>23</v>
      </c>
      <c r="B48" s="17"/>
      <c r="C48" s="17"/>
      <c r="D48" s="17"/>
      <c r="E48" s="17"/>
      <c r="F48" s="17"/>
      <c r="G48" s="17"/>
      <c r="H48" s="17"/>
      <c r="I48" s="17"/>
      <c r="J48" s="17"/>
    </row>
    <row r="49" spans="1:10" ht="26.25" customHeight="1" x14ac:dyDescent="0.2">
      <c r="A49" s="120" t="s">
        <v>40</v>
      </c>
      <c r="B49" s="120"/>
      <c r="C49" s="21">
        <f ca="1">INDIRECT(_xlfn.TEXTJOIN("",TRUE,A51,"!",ADDRESS(5+A52*A48,12)))</f>
        <v>24</v>
      </c>
      <c r="D49" s="120" t="s">
        <v>38</v>
      </c>
      <c r="E49" s="120"/>
      <c r="F49" s="18">
        <f ca="1">INDIRECT(_xlfn.TEXTJOIN("",TRUE,A51,"!",ADDRESS(5+A52*A48,8)))</f>
        <v>6.979166666666667</v>
      </c>
      <c r="G49" s="120" t="s">
        <v>39</v>
      </c>
      <c r="H49" s="120"/>
      <c r="I49" s="109">
        <f ca="1">INDIRECT(_xlfn.TEXTJOIN("",TRUE,A51,"!",ADDRESS(5+A52*A48,10)))</f>
        <v>6.979166666666667</v>
      </c>
      <c r="J49" s="109"/>
    </row>
    <row r="50" spans="1:10" ht="26.25" customHeight="1" x14ac:dyDescent="0.2">
      <c r="A50" s="19" t="s">
        <v>36</v>
      </c>
      <c r="B50" s="95" t="str">
        <f ca="1">INDIRECT(_xlfn.TEXTJOIN("",TRUE,A51,"!",ADDRESS(5+A52*A48,2)))</f>
        <v>PASS</v>
      </c>
      <c r="C50" s="95"/>
      <c r="D50" s="121" t="s">
        <v>37</v>
      </c>
      <c r="E50" s="121"/>
      <c r="F50" s="122" t="str">
        <f ca="1">INDIRECT(_xlfn.TEXTJOIN("",TRUE,A51,"!",ADDRESS(5+A52*A48,5)))</f>
        <v/>
      </c>
      <c r="G50" s="122"/>
      <c r="H50" s="122"/>
      <c r="I50" s="122"/>
      <c r="J50" s="122"/>
    </row>
    <row r="51" spans="1:10" ht="26.25" customHeight="1" x14ac:dyDescent="0.2">
      <c r="A51" s="22" t="str">
        <f>A28</f>
        <v>TC_I</v>
      </c>
    </row>
    <row r="52" spans="1:10" ht="26.25" customHeight="1" x14ac:dyDescent="0.2">
      <c r="A52" s="22">
        <f>A29+1</f>
        <v>2</v>
      </c>
    </row>
    <row r="53" spans="1:10" ht="26.25" customHeight="1" x14ac:dyDescent="0.2">
      <c r="A53" s="112" t="s">
        <v>24</v>
      </c>
      <c r="B53" s="112"/>
      <c r="C53" s="112" t="str">
        <f ca="1">INDIRECT(_xlfn.TEXTJOIN("",TRUE,A74,"!",ADDRESS(9+(A75-1)*A71,2)))</f>
        <v>ASHOK CHANDRA UPRETI</v>
      </c>
      <c r="D53" s="112"/>
      <c r="E53" s="112"/>
      <c r="F53" s="112" t="s">
        <v>50</v>
      </c>
      <c r="G53" s="112"/>
      <c r="H53" s="112"/>
      <c r="I53" s="113">
        <f ca="1">INDIRECT(_xlfn.TEXTJOIN("",TRUE,A74,"!",ADDRESS(9+(A75-1)*A71,9)))</f>
        <v>250090600003</v>
      </c>
      <c r="J53" s="113"/>
    </row>
    <row r="54" spans="1:10" ht="26.25" customHeight="1" x14ac:dyDescent="0.2">
      <c r="A54" s="112" t="s">
        <v>25</v>
      </c>
      <c r="B54" s="112"/>
      <c r="C54" s="112" t="str">
        <f ca="1">INDIRECT(_xlfn.TEXTJOIN("",TRUE,A74,"!",ADDRESS(9+(A75-1)*A71,5)))</f>
        <v>LALITA PRASAD UPRETI</v>
      </c>
      <c r="D54" s="112"/>
      <c r="E54" s="112"/>
      <c r="F54" s="114" t="s">
        <v>51</v>
      </c>
      <c r="G54" s="114"/>
      <c r="H54" s="114"/>
      <c r="I54" s="113" t="str">
        <f ca="1">INDIRECT(_xlfn.TEXTJOIN("",TRUE,A74,"!",ADDRESS(9+(A75-1)*A71,13)))</f>
        <v>UTU/2506100120</v>
      </c>
      <c r="J54" s="113"/>
    </row>
    <row r="55" spans="1:10" ht="26.25" customHeight="1" x14ac:dyDescent="0.2">
      <c r="A55" s="95" t="s">
        <v>28</v>
      </c>
      <c r="B55" s="95"/>
      <c r="C55" s="95" t="s">
        <v>29</v>
      </c>
      <c r="D55" s="95"/>
      <c r="E55" s="95"/>
      <c r="F55" s="95"/>
      <c r="G55" s="95"/>
      <c r="H55" s="15" t="s">
        <v>30</v>
      </c>
      <c r="I55" s="15" t="s">
        <v>9</v>
      </c>
      <c r="J55" s="15" t="s">
        <v>34</v>
      </c>
    </row>
    <row r="56" spans="1:10" ht="26.25" customHeight="1" x14ac:dyDescent="0.2">
      <c r="A56" s="96" t="str">
        <f ca="1">INDIRECT(_xlfn.TEXTJOIN("",TRUE,A74,"!",ADDRESS(13+(A75-1)*A71,1)))</f>
        <v>CAT 004</v>
      </c>
      <c r="B56" s="97"/>
      <c r="C56" s="106" t="str">
        <f ca="1">INDIRECT(_xlfn.TEXTJOIN("",TRUE,A74,"!",ADDRESS(13+(A75-1)*A71,2)))</f>
        <v>Discrete Structure</v>
      </c>
      <c r="D56" s="107"/>
      <c r="E56" s="107"/>
      <c r="F56" s="107"/>
      <c r="G56" s="108"/>
      <c r="H56" s="20">
        <f ca="1">INDIRECT(_xlfn.TEXTJOIN("",TRUE,A74,"!",ADDRESS(13+(A75-1)*A71,6)))</f>
        <v>4</v>
      </c>
      <c r="I56" s="20" t="str">
        <f ca="1">INDIRECT(_xlfn.TEXTJOIN("",TRUE,A74,"!",ADDRESS(13+(A75-1)*A71,13)))</f>
        <v>B</v>
      </c>
      <c r="J56" s="20">
        <f ca="1">INDIRECT(_xlfn.TEXTJOIN("",TRUE,A74,"!",ADDRESS(13+(A75-1)*A71,14)))</f>
        <v>8</v>
      </c>
    </row>
    <row r="57" spans="1:10" ht="26.25" customHeight="1" x14ac:dyDescent="0.2">
      <c r="A57" s="96" t="str">
        <f ca="1">INDIRECT(_xlfn.TEXTJOIN("",TRUE,A74,"!",ADDRESS(14+(A75-1)*A71,1)))</f>
        <v>CAT 005</v>
      </c>
      <c r="B57" s="97"/>
      <c r="C57" s="106" t="str">
        <f ca="1">INDIRECT(_xlfn.TEXTJOIN("",TRUE,A74,"!",ADDRESS(14+(A75-1)*A71,2)))</f>
        <v>Database Management System</v>
      </c>
      <c r="D57" s="107"/>
      <c r="E57" s="107"/>
      <c r="F57" s="107"/>
      <c r="G57" s="108"/>
      <c r="H57" s="20">
        <f ca="1">INDIRECT(_xlfn.TEXTJOIN("",TRUE,A74,"!",ADDRESS(14+(A75-1)*A71,6)))</f>
        <v>4</v>
      </c>
      <c r="I57" s="20" t="str">
        <f ca="1">INDIRECT(_xlfn.TEXTJOIN("",TRUE,A74,"!",ADDRESS(14+(A75-1)*A71,13)))</f>
        <v>A</v>
      </c>
      <c r="J57" s="20">
        <f ca="1">INDIRECT(_xlfn.TEXTJOIN("",TRUE,A74,"!",ADDRESS(14+(A75-1)*A71,14)))</f>
        <v>9</v>
      </c>
    </row>
    <row r="58" spans="1:10" ht="26.25" customHeight="1" x14ac:dyDescent="0.2">
      <c r="A58" s="96" t="str">
        <f ca="1">INDIRECT(_xlfn.TEXTJOIN("",TRUE,A74,"!",ADDRESS(15+(A75-1)*A71,1)))</f>
        <v>CAT 006</v>
      </c>
      <c r="B58" s="97"/>
      <c r="C58" s="106" t="str">
        <f ca="1">INDIRECT(_xlfn.TEXTJOIN("",TRUE,A74,"!",ADDRESS(15+(A75-1)*A71,2)))</f>
        <v>Operating System</v>
      </c>
      <c r="D58" s="107"/>
      <c r="E58" s="107"/>
      <c r="F58" s="107"/>
      <c r="G58" s="108"/>
      <c r="H58" s="20">
        <f ca="1">INDIRECT(_xlfn.TEXTJOIN("",TRUE,A74,"!",ADDRESS(15+(A75-1)*A71,6)))</f>
        <v>4</v>
      </c>
      <c r="I58" s="20" t="str">
        <f ca="1">INDIRECT(_xlfn.TEXTJOIN("",TRUE,A74,"!",ADDRESS(15+(A75-1)*A71,13)))</f>
        <v>A+</v>
      </c>
      <c r="J58" s="20">
        <f ca="1">INDIRECT(_xlfn.TEXTJOIN("",TRUE,A74,"!",ADDRESS(15+(A75-1)*A71,14)))</f>
        <v>9.5</v>
      </c>
    </row>
    <row r="59" spans="1:10" ht="26.25" customHeight="1" x14ac:dyDescent="0.2">
      <c r="A59" s="96" t="str">
        <f ca="1">INDIRECT(_xlfn.TEXTJOIN("",TRUE,A74,"!",ADDRESS(16+(A75-1)*A71,1)))</f>
        <v>CAT 007</v>
      </c>
      <c r="B59" s="97"/>
      <c r="C59" s="106" t="str">
        <f ca="1">INDIRECT(_xlfn.TEXTJOIN("",TRUE,A74,"!",ADDRESS(16+(A75-1)*A71,2)))</f>
        <v>Computer Organization</v>
      </c>
      <c r="D59" s="107"/>
      <c r="E59" s="107"/>
      <c r="F59" s="107"/>
      <c r="G59" s="108"/>
      <c r="H59" s="20">
        <f ca="1">INDIRECT(_xlfn.TEXTJOIN("",TRUE,A74,"!",ADDRESS(16+(A75-1)*A71,6)))</f>
        <v>4</v>
      </c>
      <c r="I59" s="20" t="str">
        <f ca="1">INDIRECT(_xlfn.TEXTJOIN("",TRUE,A74,"!",ADDRESS(16+(A75-1)*A71,13)))</f>
        <v>A</v>
      </c>
      <c r="J59" s="20">
        <f ca="1">INDIRECT(_xlfn.TEXTJOIN("",TRUE,A74,"!",ADDRESS(16+(A75-1)*A71,14)))</f>
        <v>9</v>
      </c>
    </row>
    <row r="60" spans="1:10" ht="26.25" customHeight="1" x14ac:dyDescent="0.2">
      <c r="A60" s="96" t="str">
        <f ca="1">INDIRECT(_xlfn.TEXTJOIN("",TRUE,A74,"!",ADDRESS(17+(A75-1)*A71,1)))</f>
        <v>AHT 303</v>
      </c>
      <c r="B60" s="97"/>
      <c r="C60" s="106" t="str">
        <f ca="1">INDIRECT(_xlfn.TEXTJOIN("",TRUE,A74,"!",ADDRESS(17+(A75-1)*A71,2)))</f>
        <v>Technical Communication Skills</v>
      </c>
      <c r="D60" s="107"/>
      <c r="E60" s="107"/>
      <c r="F60" s="107"/>
      <c r="G60" s="108"/>
      <c r="H60" s="20">
        <f ca="1">INDIRECT(_xlfn.TEXTJOIN("",TRUE,A74,"!",ADDRESS(17+(A75-1)*A71,6)))</f>
        <v>4</v>
      </c>
      <c r="I60" s="20" t="str">
        <f ca="1">INDIRECT(_xlfn.TEXTJOIN("",TRUE,A74,"!",ADDRESS(17+(A75-1)*A71,13)))</f>
        <v>A+</v>
      </c>
      <c r="J60" s="20">
        <f ca="1">INDIRECT(_xlfn.TEXTJOIN("",TRUE,A74,"!",ADDRESS(17+(A75-1)*A71,14)))</f>
        <v>9.5</v>
      </c>
    </row>
    <row r="61" spans="1:10" ht="26.25" customHeight="1" x14ac:dyDescent="0.2">
      <c r="A61" s="96" t="str">
        <f ca="1">INDIRECT(_xlfn.TEXTJOIN("",TRUE,A74,"!",ADDRESS(18+(A75-1)*A71,1)))</f>
        <v>CAT 008</v>
      </c>
      <c r="B61" s="97"/>
      <c r="C61" s="106" t="str">
        <f ca="1">INDIRECT(_xlfn.TEXTJOIN("",TRUE,A74,"!",ADDRESS(18+(A75-1)*A71,2)))</f>
        <v>Python Programming ($)</v>
      </c>
      <c r="D61" s="107"/>
      <c r="E61" s="107"/>
      <c r="F61" s="107"/>
      <c r="G61" s="108"/>
      <c r="H61" s="20">
        <f ca="1">INDIRECT(_xlfn.TEXTJOIN("",TRUE,A74,"!",ADDRESS(18+(A75-1)*A71,6)))</f>
        <v>0</v>
      </c>
      <c r="I61" s="20" t="str">
        <f ca="1">INDIRECT(_xlfn.TEXTJOIN("",TRUE,A74,"!",ADDRESS(18+(A75-1)*A71,13)))</f>
        <v>D+</v>
      </c>
      <c r="J61" s="20">
        <f ca="1">INDIRECT(_xlfn.TEXTJOIN("",TRUE,A74,"!",ADDRESS(18+(A75-1)*A71,14)))</f>
        <v>6.5</v>
      </c>
    </row>
    <row r="62" spans="1:10" ht="26.25" customHeight="1" x14ac:dyDescent="0.2">
      <c r="A62" s="96" t="str">
        <f ca="1">INDIRECT(_xlfn.TEXTJOIN("",TRUE,A74,"!",ADDRESS(19+(A75-1)*A71,1)))</f>
        <v>CAT 001</v>
      </c>
      <c r="B62" s="97"/>
      <c r="C62" s="106" t="str">
        <f ca="1">INDIRECT(_xlfn.TEXTJOIN("",TRUE,A74,"!",ADDRESS(19+(A75-1)*A71,2)))</f>
        <v>Introduction of Information Technology ($)</v>
      </c>
      <c r="D62" s="107"/>
      <c r="E62" s="107"/>
      <c r="F62" s="107"/>
      <c r="G62" s="108"/>
      <c r="H62" s="20">
        <f ca="1">INDIRECT(_xlfn.TEXTJOIN("",TRUE,A74,"!",ADDRESS(19+(A75-1)*A71,6)))</f>
        <v>0</v>
      </c>
      <c r="I62" s="20" t="str">
        <f ca="1">INDIRECT(_xlfn.TEXTJOIN("",TRUE,A74,"!",ADDRESS(19+(A75-1)*A71,13)))</f>
        <v>A+</v>
      </c>
      <c r="J62" s="20">
        <f ca="1">INDIRECT(_xlfn.TEXTJOIN("",TRUE,A74,"!",ADDRESS(19+(A75-1)*A71,14)))</f>
        <v>9.5</v>
      </c>
    </row>
    <row r="63" spans="1:10" ht="26.25" customHeight="1" x14ac:dyDescent="0.2">
      <c r="A63" s="96" t="str">
        <f ca="1">INDIRECT(_xlfn.TEXTJOIN("",TRUE,A74,"!",ADDRESS(20+(A75-1)*A71,1)))</f>
        <v>CAT 002</v>
      </c>
      <c r="B63" s="97"/>
      <c r="C63" s="106" t="str">
        <f ca="1">INDIRECT(_xlfn.TEXTJOIN("",TRUE,A74,"!",ADDRESS(20+(A75-1)*A71,2)))</f>
        <v>Programming Fundamentals with "C" ($)</v>
      </c>
      <c r="D63" s="107"/>
      <c r="E63" s="107"/>
      <c r="F63" s="107"/>
      <c r="G63" s="108"/>
      <c r="H63" s="20">
        <f ca="1">INDIRECT(_xlfn.TEXTJOIN("",TRUE,A74,"!",ADDRESS(20+(A75-1)*A71,6)))</f>
        <v>0</v>
      </c>
      <c r="I63" s="20" t="str">
        <f ca="1">INDIRECT(_xlfn.TEXTJOIN("",TRUE,A74,"!",ADDRESS(20+(A75-1)*A71,13)))</f>
        <v>B</v>
      </c>
      <c r="J63" s="20">
        <f ca="1">INDIRECT(_xlfn.TEXTJOIN("",TRUE,A74,"!",ADDRESS(20+(A75-1)*A71,14)))</f>
        <v>8</v>
      </c>
    </row>
    <row r="64" spans="1:10" ht="26.25" customHeight="1" x14ac:dyDescent="0.2">
      <c r="A64" s="96" t="str">
        <f ca="1">INDIRECT(_xlfn.TEXTJOIN("",TRUE,A74,"!",ADDRESS(21+(A75-1)*A71,1)))</f>
        <v>CAT 003</v>
      </c>
      <c r="B64" s="97"/>
      <c r="C64" s="106" t="str">
        <f ca="1">INDIRECT(_xlfn.TEXTJOIN("",TRUE,A74,"!",ADDRESS(21+(A75-1)*A71,2)))</f>
        <v>Fundamental of Web Technology ($)</v>
      </c>
      <c r="D64" s="107"/>
      <c r="E64" s="107"/>
      <c r="F64" s="107"/>
      <c r="G64" s="108"/>
      <c r="H64" s="20">
        <f ca="1">INDIRECT(_xlfn.TEXTJOIN("",TRUE,A74,"!",ADDRESS(21+(A75-1)*A71,6)))</f>
        <v>0</v>
      </c>
      <c r="I64" s="20" t="str">
        <f ca="1">INDIRECT(_xlfn.TEXTJOIN("",TRUE,A74,"!",ADDRESS(21+(A75-1)*A71,13)))</f>
        <v>B+</v>
      </c>
      <c r="J64" s="20">
        <f ca="1">INDIRECT(_xlfn.TEXTJOIN("",TRUE,A74,"!",ADDRESS(21+(A75-1)*A71,14)))</f>
        <v>8.5</v>
      </c>
    </row>
    <row r="65" spans="1:10" ht="26.25" customHeight="1" x14ac:dyDescent="0.2">
      <c r="A65" s="96" t="str">
        <f ca="1">INDIRECT(_xlfn.TEXTJOIN("",TRUE,A74,"!",ADDRESS(22+(A75-1)*A71,1)))</f>
        <v>CAP 001</v>
      </c>
      <c r="B65" s="97"/>
      <c r="C65" s="106" t="str">
        <f ca="1">INDIRECT(_xlfn.TEXTJOIN("",TRUE,A74,"!",ADDRESS(22+(A75-1)*A71,2)))</f>
        <v>Database Management System Lab</v>
      </c>
      <c r="D65" s="107"/>
      <c r="E65" s="107"/>
      <c r="F65" s="107"/>
      <c r="G65" s="108"/>
      <c r="H65" s="20">
        <f ca="1">INDIRECT(_xlfn.TEXTJOIN("",TRUE,A74,"!",ADDRESS(22+(A75-1)*A71,6)))</f>
        <v>1</v>
      </c>
      <c r="I65" s="20" t="str">
        <f ca="1">INDIRECT(_xlfn.TEXTJOIN("",TRUE,A74,"!",ADDRESS(22+(A75-1)*A71,13)))</f>
        <v>A+</v>
      </c>
      <c r="J65" s="20">
        <f ca="1">INDIRECT(_xlfn.TEXTJOIN("",TRUE,A74,"!",ADDRESS(22+(A75-1)*A71,14)))</f>
        <v>9.5</v>
      </c>
    </row>
    <row r="66" spans="1:10" ht="26.25" customHeight="1" x14ac:dyDescent="0.2">
      <c r="A66" s="110" t="str">
        <f ca="1">INDIRECT(_xlfn.TEXTJOIN("",TRUE,A74,"!",ADDRESS(23+(A75-1)*A71,1)))</f>
        <v>CAP 002</v>
      </c>
      <c r="B66" s="111"/>
      <c r="C66" s="115" t="str">
        <f ca="1">INDIRECT(_xlfn.TEXTJOIN("",TRUE,A74,"!",ADDRESS(23+(A75-1)*A71,2)))</f>
        <v>Operating System Lab</v>
      </c>
      <c r="D66" s="116"/>
      <c r="E66" s="116"/>
      <c r="F66" s="116"/>
      <c r="G66" s="117"/>
      <c r="H66" s="20">
        <f ca="1">INDIRECT(_xlfn.TEXTJOIN("",TRUE,A74,"!",ADDRESS(23+(A75-1)*A71,6)))</f>
        <v>1</v>
      </c>
      <c r="I66" s="20" t="str">
        <f ca="1">INDIRECT(_xlfn.TEXTJOIN("",TRUE,A74,"!",ADDRESS(23+(A75-1)*A71,13)))</f>
        <v>O</v>
      </c>
      <c r="J66" s="20">
        <f ca="1">INDIRECT(_xlfn.TEXTJOIN("",TRUE,A74,"!",ADDRESS(23+(A75-1)*A71,14)))</f>
        <v>10</v>
      </c>
    </row>
    <row r="67" spans="1:10" ht="26.25" customHeight="1" x14ac:dyDescent="0.2">
      <c r="A67" s="110" t="str">
        <f ca="1">INDIRECT(_xlfn.TEXTJOIN("",TRUE,A74,"!",ADDRESS(24+(A75-1)*A71,1)))</f>
        <v>CAP 003</v>
      </c>
      <c r="B67" s="111"/>
      <c r="C67" s="115" t="str">
        <f ca="1">INDIRECT(_xlfn.TEXTJOIN("",TRUE,A74,"!",ADDRESS(24+(A75-1)*A71,2)))</f>
        <v>Computer Organization Lab</v>
      </c>
      <c r="D67" s="116"/>
      <c r="E67" s="116"/>
      <c r="F67" s="116"/>
      <c r="G67" s="117"/>
      <c r="H67" s="20">
        <f ca="1">INDIRECT(_xlfn.TEXTJOIN("",TRUE,A74,"!",ADDRESS(24+(A75-1)*A71,6)))</f>
        <v>1</v>
      </c>
      <c r="I67" s="20" t="str">
        <f ca="1">INDIRECT(_xlfn.TEXTJOIN("",TRUE,A74,"!",ADDRESS(24+(A75-1)*A71,13)))</f>
        <v>A+</v>
      </c>
      <c r="J67" s="20">
        <f ca="1">INDIRECT(_xlfn.TEXTJOIN("",TRUE,A74,"!",ADDRESS(24+(A75-1)*A71,14)))</f>
        <v>9.5</v>
      </c>
    </row>
    <row r="68" spans="1:10" ht="26.25" customHeight="1" x14ac:dyDescent="0.2">
      <c r="A68" s="110" t="str">
        <f ca="1">INDIRECT(_xlfn.TEXTJOIN("",TRUE,A74,"!",ADDRESS(25+(A75-1)*A71,1)))</f>
        <v>AHP 303</v>
      </c>
      <c r="B68" s="111"/>
      <c r="C68" s="115" t="str">
        <f ca="1">INDIRECT(_xlfn.TEXTJOIN("",TRUE,A74,"!",ADDRESS(25+(A75-1)*A71,2)))</f>
        <v>Technical Communication Skills</v>
      </c>
      <c r="D68" s="116"/>
      <c r="E68" s="116"/>
      <c r="F68" s="116"/>
      <c r="G68" s="117"/>
      <c r="H68" s="20">
        <f ca="1">INDIRECT(_xlfn.TEXTJOIN("",TRUE,A74,"!",ADDRESS(25+(A75-1)*A71,6)))</f>
        <v>1</v>
      </c>
      <c r="I68" s="20" t="str">
        <f ca="1">INDIRECT(_xlfn.TEXTJOIN("",TRUE,A74,"!",ADDRESS(25+(A75-1)*A71,13)))</f>
        <v>A+</v>
      </c>
      <c r="J68" s="20">
        <f ca="1">INDIRECT(_xlfn.TEXTJOIN("",TRUE,A74,"!",ADDRESS(25+(A75-1)*A71,14)))</f>
        <v>9.5</v>
      </c>
    </row>
    <row r="69" spans="1:10" ht="26.25" customHeight="1" x14ac:dyDescent="0.2">
      <c r="A69" s="100" t="s">
        <v>52</v>
      </c>
      <c r="B69" s="101"/>
      <c r="C69" s="101"/>
      <c r="D69" s="101"/>
      <c r="E69" s="101"/>
      <c r="F69" s="101"/>
      <c r="G69" s="102"/>
      <c r="H69" s="98">
        <f ca="1">SUM(H56:H69)</f>
        <v>24</v>
      </c>
      <c r="I69" s="100" t="s">
        <v>44</v>
      </c>
      <c r="J69" s="118">
        <f ca="1">SUMPRODUCT(J56:J68,H56:H68)</f>
        <v>218.5</v>
      </c>
    </row>
    <row r="70" spans="1:10" ht="26.25" customHeight="1" x14ac:dyDescent="0.2">
      <c r="A70" s="103"/>
      <c r="B70" s="104"/>
      <c r="C70" s="104"/>
      <c r="D70" s="104"/>
      <c r="E70" s="104"/>
      <c r="F70" s="104"/>
      <c r="G70" s="105"/>
      <c r="H70" s="99"/>
      <c r="I70" s="103"/>
      <c r="J70" s="118"/>
    </row>
    <row r="71" spans="1:10" ht="26.25" customHeight="1" x14ac:dyDescent="0.2">
      <c r="A71" s="22">
        <f>ROWS(A56:B69)+9</f>
        <v>23</v>
      </c>
      <c r="B71" s="17"/>
      <c r="C71" s="17"/>
      <c r="D71" s="17"/>
      <c r="E71" s="17"/>
      <c r="F71" s="17"/>
      <c r="G71" s="17"/>
      <c r="H71" s="17"/>
      <c r="I71" s="17"/>
      <c r="J71" s="17"/>
    </row>
    <row r="72" spans="1:10" ht="26.25" customHeight="1" x14ac:dyDescent="0.2">
      <c r="A72" s="120" t="s">
        <v>40</v>
      </c>
      <c r="B72" s="120"/>
      <c r="C72" s="21">
        <f ca="1">INDIRECT(_xlfn.TEXTJOIN("",TRUE,A74,"!",ADDRESS(5+A75*A71,12)))</f>
        <v>24</v>
      </c>
      <c r="D72" s="120" t="s">
        <v>38</v>
      </c>
      <c r="E72" s="120"/>
      <c r="F72" s="18">
        <f ca="1">INDIRECT(_xlfn.TEXTJOIN("",TRUE,A74,"!",ADDRESS(5+A75*A71,8)))</f>
        <v>9.1041666666666661</v>
      </c>
      <c r="G72" s="120" t="s">
        <v>39</v>
      </c>
      <c r="H72" s="120"/>
      <c r="I72" s="109">
        <f ca="1">INDIRECT(_xlfn.TEXTJOIN("",TRUE,A74,"!",ADDRESS(5+A75*A71,10)))</f>
        <v>9.1041666666666661</v>
      </c>
      <c r="J72" s="109"/>
    </row>
    <row r="73" spans="1:10" ht="26.25" customHeight="1" x14ac:dyDescent="0.2">
      <c r="A73" s="19" t="s">
        <v>36</v>
      </c>
      <c r="B73" s="95" t="str">
        <f ca="1">INDIRECT(_xlfn.TEXTJOIN("",TRUE,A74,"!",ADDRESS(5+A75*A71,2)))</f>
        <v>PASS</v>
      </c>
      <c r="C73" s="95"/>
      <c r="D73" s="121" t="s">
        <v>37</v>
      </c>
      <c r="E73" s="121"/>
      <c r="F73" s="122" t="str">
        <f ca="1">INDIRECT(_xlfn.TEXTJOIN("",TRUE,A74,"!",ADDRESS(5+A75*A71,5)))</f>
        <v/>
      </c>
      <c r="G73" s="122"/>
      <c r="H73" s="122"/>
      <c r="I73" s="122"/>
      <c r="J73" s="122"/>
    </row>
    <row r="74" spans="1:10" ht="26.25" customHeight="1" x14ac:dyDescent="0.2">
      <c r="A74" s="22" t="str">
        <f>A51</f>
        <v>TC_I</v>
      </c>
    </row>
    <row r="75" spans="1:10" ht="26.25" customHeight="1" x14ac:dyDescent="0.2">
      <c r="A75" s="22">
        <f>A52+1</f>
        <v>3</v>
      </c>
    </row>
    <row r="76" spans="1:10" ht="26.25" customHeight="1" x14ac:dyDescent="0.2">
      <c r="A76" s="112" t="s">
        <v>24</v>
      </c>
      <c r="B76" s="112"/>
      <c r="C76" s="112" t="str">
        <f ca="1">INDIRECT(_xlfn.TEXTJOIN("",TRUE,A97,"!",ADDRESS(9+(A98-1)*A94,2)))</f>
        <v>AYUSH SINGH RAWAT</v>
      </c>
      <c r="D76" s="112"/>
      <c r="E76" s="112"/>
      <c r="F76" s="112" t="s">
        <v>50</v>
      </c>
      <c r="G76" s="112"/>
      <c r="H76" s="112"/>
      <c r="I76" s="113">
        <f ca="1">INDIRECT(_xlfn.TEXTJOIN("",TRUE,A97,"!",ADDRESS(9+(A98-1)*A94,9)))</f>
        <v>250090600004</v>
      </c>
      <c r="J76" s="113"/>
    </row>
    <row r="77" spans="1:10" ht="26.25" customHeight="1" x14ac:dyDescent="0.2">
      <c r="A77" s="112" t="s">
        <v>25</v>
      </c>
      <c r="B77" s="112"/>
      <c r="C77" s="112" t="str">
        <f ca="1">INDIRECT(_xlfn.TEXTJOIN("",TRUE,A97,"!",ADDRESS(9+(A98-1)*A94,5)))</f>
        <v>RAJENDRA SINGH RAWAT</v>
      </c>
      <c r="D77" s="112"/>
      <c r="E77" s="112"/>
      <c r="F77" s="114" t="s">
        <v>51</v>
      </c>
      <c r="G77" s="114"/>
      <c r="H77" s="114"/>
      <c r="I77" s="113" t="str">
        <f ca="1">INDIRECT(_xlfn.TEXTJOIN("",TRUE,A97,"!",ADDRESS(9+(A98-1)*A94,13)))</f>
        <v>UTU/2506100116</v>
      </c>
      <c r="J77" s="113"/>
    </row>
    <row r="78" spans="1:10" ht="26.25" customHeight="1" x14ac:dyDescent="0.2">
      <c r="A78" s="95" t="s">
        <v>28</v>
      </c>
      <c r="B78" s="95"/>
      <c r="C78" s="95" t="s">
        <v>29</v>
      </c>
      <c r="D78" s="95"/>
      <c r="E78" s="95"/>
      <c r="F78" s="95"/>
      <c r="G78" s="95"/>
      <c r="H78" s="15" t="s">
        <v>30</v>
      </c>
      <c r="I78" s="15" t="s">
        <v>9</v>
      </c>
      <c r="J78" s="15" t="s">
        <v>34</v>
      </c>
    </row>
    <row r="79" spans="1:10" ht="26.25" customHeight="1" x14ac:dyDescent="0.2">
      <c r="A79" s="96" t="str">
        <f ca="1">INDIRECT(_xlfn.TEXTJOIN("",TRUE,A97,"!",ADDRESS(13+(A98-1)*A94,1)))</f>
        <v>CAT 004</v>
      </c>
      <c r="B79" s="97"/>
      <c r="C79" s="106" t="str">
        <f ca="1">INDIRECT(_xlfn.TEXTJOIN("",TRUE,A97,"!",ADDRESS(13+(A98-1)*A94,2)))</f>
        <v>Discrete Structure</v>
      </c>
      <c r="D79" s="107"/>
      <c r="E79" s="107"/>
      <c r="F79" s="107"/>
      <c r="G79" s="108"/>
      <c r="H79" s="20">
        <f ca="1">INDIRECT(_xlfn.TEXTJOIN("",TRUE,A97,"!",ADDRESS(13+(A98-1)*A94,6)))</f>
        <v>4</v>
      </c>
      <c r="I79" s="20" t="str">
        <f ca="1">INDIRECT(_xlfn.TEXTJOIN("",TRUE,A97,"!",ADDRESS(13+(A98-1)*A94,13)))</f>
        <v>D+</v>
      </c>
      <c r="J79" s="20">
        <f ca="1">INDIRECT(_xlfn.TEXTJOIN("",TRUE,A97,"!",ADDRESS(13+(A98-1)*A94,14)))</f>
        <v>6.5</v>
      </c>
    </row>
    <row r="80" spans="1:10" ht="26.25" customHeight="1" x14ac:dyDescent="0.2">
      <c r="A80" s="96" t="str">
        <f ca="1">INDIRECT(_xlfn.TEXTJOIN("",TRUE,A97,"!",ADDRESS(14+(A98-1)*A94,1)))</f>
        <v>CAT 005</v>
      </c>
      <c r="B80" s="97"/>
      <c r="C80" s="106" t="str">
        <f ca="1">INDIRECT(_xlfn.TEXTJOIN("",TRUE,A97,"!",ADDRESS(14+(A98-1)*A94,2)))</f>
        <v>Database Management System</v>
      </c>
      <c r="D80" s="107"/>
      <c r="E80" s="107"/>
      <c r="F80" s="107"/>
      <c r="G80" s="108"/>
      <c r="H80" s="20">
        <f ca="1">INDIRECT(_xlfn.TEXTJOIN("",TRUE,A97,"!",ADDRESS(14+(A98-1)*A94,6)))</f>
        <v>4</v>
      </c>
      <c r="I80" s="20" t="str">
        <f ca="1">INDIRECT(_xlfn.TEXTJOIN("",TRUE,A97,"!",ADDRESS(14+(A98-1)*A94,13)))</f>
        <v>E+</v>
      </c>
      <c r="J80" s="20">
        <f ca="1">INDIRECT(_xlfn.TEXTJOIN("",TRUE,A97,"!",ADDRESS(14+(A98-1)*A94,14)))</f>
        <v>5.5</v>
      </c>
    </row>
    <row r="81" spans="1:10" ht="26.25" customHeight="1" x14ac:dyDescent="0.2">
      <c r="A81" s="96" t="str">
        <f ca="1">INDIRECT(_xlfn.TEXTJOIN("",TRUE,A97,"!",ADDRESS(15+(A98-1)*A94,1)))</f>
        <v>CAT 006</v>
      </c>
      <c r="B81" s="97"/>
      <c r="C81" s="106" t="str">
        <f ca="1">INDIRECT(_xlfn.TEXTJOIN("",TRUE,A97,"!",ADDRESS(15+(A98-1)*A94,2)))</f>
        <v>Operating System</v>
      </c>
      <c r="D81" s="107"/>
      <c r="E81" s="107"/>
      <c r="F81" s="107"/>
      <c r="G81" s="108"/>
      <c r="H81" s="20">
        <f ca="1">INDIRECT(_xlfn.TEXTJOIN("",TRUE,A97,"!",ADDRESS(15+(A98-1)*A94,6)))</f>
        <v>4</v>
      </c>
      <c r="I81" s="20" t="str">
        <f ca="1">INDIRECT(_xlfn.TEXTJOIN("",TRUE,A97,"!",ADDRESS(15+(A98-1)*A94,13)))</f>
        <v>C</v>
      </c>
      <c r="J81" s="20">
        <f ca="1">INDIRECT(_xlfn.TEXTJOIN("",TRUE,A97,"!",ADDRESS(15+(A98-1)*A94,14)))</f>
        <v>7</v>
      </c>
    </row>
    <row r="82" spans="1:10" ht="26.25" customHeight="1" x14ac:dyDescent="0.2">
      <c r="A82" s="96" t="str">
        <f ca="1">INDIRECT(_xlfn.TEXTJOIN("",TRUE,A97,"!",ADDRESS(16+(A98-1)*A94,1)))</f>
        <v>CAT 007</v>
      </c>
      <c r="B82" s="97"/>
      <c r="C82" s="106" t="str">
        <f ca="1">INDIRECT(_xlfn.TEXTJOIN("",TRUE,A97,"!",ADDRESS(16+(A98-1)*A94,2)))</f>
        <v>Computer Organization</v>
      </c>
      <c r="D82" s="107"/>
      <c r="E82" s="107"/>
      <c r="F82" s="107"/>
      <c r="G82" s="108"/>
      <c r="H82" s="20">
        <f ca="1">INDIRECT(_xlfn.TEXTJOIN("",TRUE,A97,"!",ADDRESS(16+(A98-1)*A94,6)))</f>
        <v>4</v>
      </c>
      <c r="I82" s="20" t="str">
        <f ca="1">INDIRECT(_xlfn.TEXTJOIN("",TRUE,A97,"!",ADDRESS(16+(A98-1)*A94,13)))</f>
        <v>E+</v>
      </c>
      <c r="J82" s="20">
        <f ca="1">INDIRECT(_xlfn.TEXTJOIN("",TRUE,A97,"!",ADDRESS(16+(A98-1)*A94,14)))</f>
        <v>5.5</v>
      </c>
    </row>
    <row r="83" spans="1:10" ht="26.25" customHeight="1" x14ac:dyDescent="0.2">
      <c r="A83" s="96" t="str">
        <f ca="1">INDIRECT(_xlfn.TEXTJOIN("",TRUE,A97,"!",ADDRESS(17+(A98-1)*A94,1)))</f>
        <v>AHT 303</v>
      </c>
      <c r="B83" s="97"/>
      <c r="C83" s="106" t="str">
        <f ca="1">INDIRECT(_xlfn.TEXTJOIN("",TRUE,A97,"!",ADDRESS(17+(A98-1)*A94,2)))</f>
        <v>Technical Communication Skills</v>
      </c>
      <c r="D83" s="107"/>
      <c r="E83" s="107"/>
      <c r="F83" s="107"/>
      <c r="G83" s="108"/>
      <c r="H83" s="20">
        <f ca="1">INDIRECT(_xlfn.TEXTJOIN("",TRUE,A97,"!",ADDRESS(17+(A98-1)*A94,6)))</f>
        <v>4</v>
      </c>
      <c r="I83" s="20" t="str">
        <f ca="1">INDIRECT(_xlfn.TEXTJOIN("",TRUE,A97,"!",ADDRESS(17+(A98-1)*A94,13)))</f>
        <v>Ab</v>
      </c>
      <c r="J83" s="20">
        <f ca="1">INDIRECT(_xlfn.TEXTJOIN("",TRUE,A97,"!",ADDRESS(17+(A98-1)*A94,14)))</f>
        <v>0</v>
      </c>
    </row>
    <row r="84" spans="1:10" ht="26.25" customHeight="1" x14ac:dyDescent="0.2">
      <c r="A84" s="96" t="str">
        <f ca="1">INDIRECT(_xlfn.TEXTJOIN("",TRUE,A97,"!",ADDRESS(18+(A98-1)*A94,1)))</f>
        <v>CAT 008</v>
      </c>
      <c r="B84" s="97"/>
      <c r="C84" s="106" t="str">
        <f ca="1">INDIRECT(_xlfn.TEXTJOIN("",TRUE,A97,"!",ADDRESS(18+(A98-1)*A94,2)))</f>
        <v>Python Programming ($)</v>
      </c>
      <c r="D84" s="107"/>
      <c r="E84" s="107"/>
      <c r="F84" s="107"/>
      <c r="G84" s="108"/>
      <c r="H84" s="20">
        <f ca="1">INDIRECT(_xlfn.TEXTJOIN("",TRUE,A97,"!",ADDRESS(18+(A98-1)*A94,6)))</f>
        <v>0</v>
      </c>
      <c r="I84" s="20" t="str">
        <f ca="1">INDIRECT(_xlfn.TEXTJOIN("",TRUE,A97,"!",ADDRESS(18+(A98-1)*A94,13)))</f>
        <v>E+</v>
      </c>
      <c r="J84" s="20">
        <f ca="1">INDIRECT(_xlfn.TEXTJOIN("",TRUE,A97,"!",ADDRESS(18+(A98-1)*A94,14)))</f>
        <v>5.5</v>
      </c>
    </row>
    <row r="85" spans="1:10" ht="26.25" customHeight="1" x14ac:dyDescent="0.2">
      <c r="A85" s="96" t="str">
        <f ca="1">INDIRECT(_xlfn.TEXTJOIN("",TRUE,A97,"!",ADDRESS(19+(A98-1)*A94,1)))</f>
        <v>CAT 001</v>
      </c>
      <c r="B85" s="97"/>
      <c r="C85" s="106" t="str">
        <f ca="1">INDIRECT(_xlfn.TEXTJOIN("",TRUE,A97,"!",ADDRESS(19+(A98-1)*A94,2)))</f>
        <v>Introduction of Information Technology ($)</v>
      </c>
      <c r="D85" s="107"/>
      <c r="E85" s="107"/>
      <c r="F85" s="107"/>
      <c r="G85" s="108"/>
      <c r="H85" s="20">
        <f ca="1">INDIRECT(_xlfn.TEXTJOIN("",TRUE,A97,"!",ADDRESS(19+(A98-1)*A94,6)))</f>
        <v>0</v>
      </c>
      <c r="I85" s="20" t="str">
        <f ca="1">INDIRECT(_xlfn.TEXTJOIN("",TRUE,A97,"!",ADDRESS(19+(A98-1)*A94,13)))</f>
        <v>-</v>
      </c>
      <c r="J85" s="20" t="str">
        <f ca="1">INDIRECT(_xlfn.TEXTJOIN("",TRUE,A97,"!",ADDRESS(19+(A98-1)*A94,14)))</f>
        <v>-</v>
      </c>
    </row>
    <row r="86" spans="1:10" ht="26.25" customHeight="1" x14ac:dyDescent="0.2">
      <c r="A86" s="96" t="str">
        <f ca="1">INDIRECT(_xlfn.TEXTJOIN("",TRUE,A97,"!",ADDRESS(20+(A98-1)*A94,1)))</f>
        <v>CAT 002</v>
      </c>
      <c r="B86" s="97"/>
      <c r="C86" s="106" t="str">
        <f ca="1">INDIRECT(_xlfn.TEXTJOIN("",TRUE,A97,"!",ADDRESS(20+(A98-1)*A94,2)))</f>
        <v>Programming Fundamentals with "C" ($)</v>
      </c>
      <c r="D86" s="107"/>
      <c r="E86" s="107"/>
      <c r="F86" s="107"/>
      <c r="G86" s="108"/>
      <c r="H86" s="20">
        <f ca="1">INDIRECT(_xlfn.TEXTJOIN("",TRUE,A97,"!",ADDRESS(20+(A98-1)*A94,6)))</f>
        <v>0</v>
      </c>
      <c r="I86" s="20" t="str">
        <f ca="1">INDIRECT(_xlfn.TEXTJOIN("",TRUE,A97,"!",ADDRESS(20+(A98-1)*A94,13)))</f>
        <v>-</v>
      </c>
      <c r="J86" s="20" t="str">
        <f ca="1">INDIRECT(_xlfn.TEXTJOIN("",TRUE,A97,"!",ADDRESS(20+(A98-1)*A94,14)))</f>
        <v>-</v>
      </c>
    </row>
    <row r="87" spans="1:10" ht="26.25" customHeight="1" x14ac:dyDescent="0.2">
      <c r="A87" s="96" t="str">
        <f ca="1">INDIRECT(_xlfn.TEXTJOIN("",TRUE,A97,"!",ADDRESS(21+(A98-1)*A94,1)))</f>
        <v>CAT 003</v>
      </c>
      <c r="B87" s="97"/>
      <c r="C87" s="106" t="str">
        <f ca="1">INDIRECT(_xlfn.TEXTJOIN("",TRUE,A97,"!",ADDRESS(21+(A98-1)*A94,2)))</f>
        <v>Fundamental of Web Technology ($)</v>
      </c>
      <c r="D87" s="107"/>
      <c r="E87" s="107"/>
      <c r="F87" s="107"/>
      <c r="G87" s="108"/>
      <c r="H87" s="20">
        <f ca="1">INDIRECT(_xlfn.TEXTJOIN("",TRUE,A97,"!",ADDRESS(21+(A98-1)*A94,6)))</f>
        <v>0</v>
      </c>
      <c r="I87" s="20" t="str">
        <f ca="1">INDIRECT(_xlfn.TEXTJOIN("",TRUE,A97,"!",ADDRESS(21+(A98-1)*A94,13)))</f>
        <v>-</v>
      </c>
      <c r="J87" s="20" t="str">
        <f ca="1">INDIRECT(_xlfn.TEXTJOIN("",TRUE,A97,"!",ADDRESS(21+(A98-1)*A94,14)))</f>
        <v>-</v>
      </c>
    </row>
    <row r="88" spans="1:10" ht="26.25" customHeight="1" x14ac:dyDescent="0.2">
      <c r="A88" s="96" t="str">
        <f ca="1">INDIRECT(_xlfn.TEXTJOIN("",TRUE,A97,"!",ADDRESS(22+(A98-1)*A94,1)))</f>
        <v>CAP 001</v>
      </c>
      <c r="B88" s="97"/>
      <c r="C88" s="106" t="str">
        <f ca="1">INDIRECT(_xlfn.TEXTJOIN("",TRUE,A97,"!",ADDRESS(22+(A98-1)*A94,2)))</f>
        <v>Database Management System Lab</v>
      </c>
      <c r="D88" s="107"/>
      <c r="E88" s="107"/>
      <c r="F88" s="107"/>
      <c r="G88" s="108"/>
      <c r="H88" s="20">
        <f ca="1">INDIRECT(_xlfn.TEXTJOIN("",TRUE,A97,"!",ADDRESS(22+(A98-1)*A94,6)))</f>
        <v>1</v>
      </c>
      <c r="I88" s="20" t="str">
        <f ca="1">INDIRECT(_xlfn.TEXTJOIN("",TRUE,A97,"!",ADDRESS(22+(A98-1)*A94,13)))</f>
        <v>C+</v>
      </c>
      <c r="J88" s="20">
        <f ca="1">INDIRECT(_xlfn.TEXTJOIN("",TRUE,A97,"!",ADDRESS(22+(A98-1)*A94,14)))</f>
        <v>7.5</v>
      </c>
    </row>
    <row r="89" spans="1:10" ht="26.25" customHeight="1" x14ac:dyDescent="0.2">
      <c r="A89" s="110" t="str">
        <f ca="1">INDIRECT(_xlfn.TEXTJOIN("",TRUE,A97,"!",ADDRESS(23+(A98-1)*A94,1)))</f>
        <v>CAP 002</v>
      </c>
      <c r="B89" s="111"/>
      <c r="C89" s="115" t="str">
        <f ca="1">INDIRECT(_xlfn.TEXTJOIN("",TRUE,A97,"!",ADDRESS(23+(A98-1)*A94,2)))</f>
        <v>Operating System Lab</v>
      </c>
      <c r="D89" s="116"/>
      <c r="E89" s="116"/>
      <c r="F89" s="116"/>
      <c r="G89" s="117"/>
      <c r="H89" s="20">
        <f ca="1">INDIRECT(_xlfn.TEXTJOIN("",TRUE,A97,"!",ADDRESS(23+(A98-1)*A94,6)))</f>
        <v>1</v>
      </c>
      <c r="I89" s="20" t="str">
        <f ca="1">INDIRECT(_xlfn.TEXTJOIN("",TRUE,A97,"!",ADDRESS(23+(A98-1)*A94,13)))</f>
        <v>B+</v>
      </c>
      <c r="J89" s="20">
        <f ca="1">INDIRECT(_xlfn.TEXTJOIN("",TRUE,A97,"!",ADDRESS(23+(A98-1)*A94,14)))</f>
        <v>8.5</v>
      </c>
    </row>
    <row r="90" spans="1:10" ht="26.25" customHeight="1" x14ac:dyDescent="0.2">
      <c r="A90" s="110" t="str">
        <f ca="1">INDIRECT(_xlfn.TEXTJOIN("",TRUE,A97,"!",ADDRESS(24+(A98-1)*A94,1)))</f>
        <v>CAP 003</v>
      </c>
      <c r="B90" s="111"/>
      <c r="C90" s="115" t="str">
        <f ca="1">INDIRECT(_xlfn.TEXTJOIN("",TRUE,A97,"!",ADDRESS(24+(A98-1)*A94,2)))</f>
        <v>Computer Organization Lab</v>
      </c>
      <c r="D90" s="116"/>
      <c r="E90" s="116"/>
      <c r="F90" s="116"/>
      <c r="G90" s="117"/>
      <c r="H90" s="20">
        <f ca="1">INDIRECT(_xlfn.TEXTJOIN("",TRUE,A97,"!",ADDRESS(24+(A98-1)*A94,6)))</f>
        <v>1</v>
      </c>
      <c r="I90" s="20" t="str">
        <f ca="1">INDIRECT(_xlfn.TEXTJOIN("",TRUE,A97,"!",ADDRESS(24+(A98-1)*A94,13)))</f>
        <v>A</v>
      </c>
      <c r="J90" s="20">
        <f ca="1">INDIRECT(_xlfn.TEXTJOIN("",TRUE,A97,"!",ADDRESS(24+(A98-1)*A94,14)))</f>
        <v>9</v>
      </c>
    </row>
    <row r="91" spans="1:10" ht="26.25" customHeight="1" x14ac:dyDescent="0.2">
      <c r="A91" s="110" t="str">
        <f ca="1">INDIRECT(_xlfn.TEXTJOIN("",TRUE,A97,"!",ADDRESS(25+(A98-1)*A94,1)))</f>
        <v>AHP 303</v>
      </c>
      <c r="B91" s="111"/>
      <c r="C91" s="115" t="str">
        <f ca="1">INDIRECT(_xlfn.TEXTJOIN("",TRUE,A97,"!",ADDRESS(25+(A98-1)*A94,2)))</f>
        <v>Technical Communication Skills</v>
      </c>
      <c r="D91" s="116"/>
      <c r="E91" s="116"/>
      <c r="F91" s="116"/>
      <c r="G91" s="117"/>
      <c r="H91" s="20">
        <f ca="1">INDIRECT(_xlfn.TEXTJOIN("",TRUE,A97,"!",ADDRESS(25+(A98-1)*A94,6)))</f>
        <v>1</v>
      </c>
      <c r="I91" s="20" t="str">
        <f ca="1">INDIRECT(_xlfn.TEXTJOIN("",TRUE,A97,"!",ADDRESS(25+(A98-1)*A94,13)))</f>
        <v>B+</v>
      </c>
      <c r="J91" s="20">
        <f ca="1">INDIRECT(_xlfn.TEXTJOIN("",TRUE,A97,"!",ADDRESS(25+(A98-1)*A94,14)))</f>
        <v>8.5</v>
      </c>
    </row>
    <row r="92" spans="1:10" ht="26.25" customHeight="1" x14ac:dyDescent="0.2">
      <c r="A92" s="100" t="s">
        <v>52</v>
      </c>
      <c r="B92" s="101"/>
      <c r="C92" s="101"/>
      <c r="D92" s="101"/>
      <c r="E92" s="101"/>
      <c r="F92" s="101"/>
      <c r="G92" s="102"/>
      <c r="H92" s="98">
        <f ca="1">SUM(H79:H92)</f>
        <v>24</v>
      </c>
      <c r="I92" s="118" t="s">
        <v>44</v>
      </c>
      <c r="J92" s="102">
        <f ca="1">SUMPRODUCT(J79:J91,H79:H91)</f>
        <v>131.5</v>
      </c>
    </row>
    <row r="93" spans="1:10" ht="26.25" customHeight="1" x14ac:dyDescent="0.2">
      <c r="A93" s="103"/>
      <c r="B93" s="104"/>
      <c r="C93" s="104"/>
      <c r="D93" s="104"/>
      <c r="E93" s="104"/>
      <c r="F93" s="104"/>
      <c r="G93" s="105"/>
      <c r="H93" s="99"/>
      <c r="I93" s="118"/>
      <c r="J93" s="105"/>
    </row>
    <row r="94" spans="1:10" ht="26.25" customHeight="1" x14ac:dyDescent="0.2">
      <c r="A94" s="22">
        <f>ROWS(A79:B92)+9</f>
        <v>23</v>
      </c>
      <c r="B94" s="17"/>
      <c r="C94" s="17"/>
      <c r="D94" s="17"/>
      <c r="E94" s="17"/>
      <c r="F94" s="17"/>
      <c r="G94" s="17"/>
      <c r="H94" s="17"/>
      <c r="I94" s="17"/>
      <c r="J94" s="17"/>
    </row>
    <row r="95" spans="1:10" ht="26.25" customHeight="1" x14ac:dyDescent="0.2">
      <c r="A95" s="120" t="s">
        <v>40</v>
      </c>
      <c r="B95" s="120"/>
      <c r="C95" s="21">
        <f ca="1">INDIRECT(_xlfn.TEXTJOIN("",TRUE,A97,"!",ADDRESS(5+A98*A94,12)))</f>
        <v>20</v>
      </c>
      <c r="D95" s="120" t="s">
        <v>38</v>
      </c>
      <c r="E95" s="120"/>
      <c r="F95" s="18">
        <f ca="1">INDIRECT(_xlfn.TEXTJOIN("",TRUE,A97,"!",ADDRESS(5+A98*A94,8)))</f>
        <v>5.479166666666667</v>
      </c>
      <c r="G95" s="120" t="s">
        <v>39</v>
      </c>
      <c r="H95" s="120"/>
      <c r="I95" s="109">
        <f ca="1">INDIRECT(_xlfn.TEXTJOIN("",TRUE,A97,"!",ADDRESS(5+A98*A94,10)))</f>
        <v>5.479166666666667</v>
      </c>
      <c r="J95" s="109"/>
    </row>
    <row r="96" spans="1:10" ht="26.25" customHeight="1" x14ac:dyDescent="0.2">
      <c r="A96" s="19" t="s">
        <v>36</v>
      </c>
      <c r="B96" s="95" t="str">
        <f ca="1">INDIRECT(_xlfn.TEXTJOIN("",TRUE,A97,"!",ADDRESS(5+A98*A94,2)))</f>
        <v>CARRY OVER</v>
      </c>
      <c r="C96" s="95"/>
      <c r="D96" s="121" t="s">
        <v>37</v>
      </c>
      <c r="E96" s="121"/>
      <c r="F96" s="122" t="str">
        <f ca="1">INDIRECT(_xlfn.TEXTJOIN("",TRUE,A97,"!",ADDRESS(5+A98*A94,5)))</f>
        <v>BACK IN AHT 303</v>
      </c>
      <c r="G96" s="122"/>
      <c r="H96" s="122"/>
      <c r="I96" s="122"/>
      <c r="J96" s="122"/>
    </row>
    <row r="97" spans="1:10" ht="26.25" customHeight="1" x14ac:dyDescent="0.2">
      <c r="A97" s="22" t="str">
        <f>A74</f>
        <v>TC_I</v>
      </c>
    </row>
    <row r="98" spans="1:10" ht="26.25" customHeight="1" x14ac:dyDescent="0.2">
      <c r="A98" s="22">
        <f>A75+1</f>
        <v>4</v>
      </c>
    </row>
    <row r="99" spans="1:10" ht="26.25" customHeight="1" x14ac:dyDescent="0.2">
      <c r="A99" s="112" t="s">
        <v>24</v>
      </c>
      <c r="B99" s="112"/>
      <c r="C99" s="112" t="str">
        <f ca="1">INDIRECT(_xlfn.TEXTJOIN("",TRUE,A120,"!",ADDRESS(9+(A121-1)*A117,2)))</f>
        <v>DEEPAK BISHT</v>
      </c>
      <c r="D99" s="112"/>
      <c r="E99" s="112"/>
      <c r="F99" s="112" t="s">
        <v>50</v>
      </c>
      <c r="G99" s="112"/>
      <c r="H99" s="112"/>
      <c r="I99" s="113">
        <f ca="1">INDIRECT(_xlfn.TEXTJOIN("",TRUE,A120,"!",ADDRESS(9+(A121-1)*A117,9)))</f>
        <v>250090600005</v>
      </c>
      <c r="J99" s="113"/>
    </row>
    <row r="100" spans="1:10" ht="26.25" customHeight="1" x14ac:dyDescent="0.2">
      <c r="A100" s="112" t="s">
        <v>25</v>
      </c>
      <c r="B100" s="112"/>
      <c r="C100" s="112" t="str">
        <f ca="1">INDIRECT(_xlfn.TEXTJOIN("",TRUE,A120,"!",ADDRESS(9+(A121-1)*A117,5)))</f>
        <v>DIWAN SINGH BISHT</v>
      </c>
      <c r="D100" s="112"/>
      <c r="E100" s="112"/>
      <c r="F100" s="114" t="s">
        <v>51</v>
      </c>
      <c r="G100" s="114"/>
      <c r="H100" s="114"/>
      <c r="I100" s="113" t="str">
        <f ca="1">INDIRECT(_xlfn.TEXTJOIN("",TRUE,A120,"!",ADDRESS(9+(A121-1)*A117,13)))</f>
        <v>UTU/2506100147</v>
      </c>
      <c r="J100" s="113"/>
    </row>
    <row r="101" spans="1:10" ht="26.25" customHeight="1" x14ac:dyDescent="0.2">
      <c r="A101" s="95" t="s">
        <v>28</v>
      </c>
      <c r="B101" s="95"/>
      <c r="C101" s="95" t="s">
        <v>29</v>
      </c>
      <c r="D101" s="95"/>
      <c r="E101" s="95"/>
      <c r="F101" s="95"/>
      <c r="G101" s="95"/>
      <c r="H101" s="15" t="s">
        <v>30</v>
      </c>
      <c r="I101" s="15" t="s">
        <v>9</v>
      </c>
      <c r="J101" s="15" t="s">
        <v>34</v>
      </c>
    </row>
    <row r="102" spans="1:10" ht="26.25" customHeight="1" x14ac:dyDescent="0.2">
      <c r="A102" s="96" t="str">
        <f ca="1">INDIRECT(_xlfn.TEXTJOIN("",TRUE,A120,"!",ADDRESS(13+(A121-1)*A117,1)))</f>
        <v>CAT 004</v>
      </c>
      <c r="B102" s="97"/>
      <c r="C102" s="106" t="str">
        <f ca="1">INDIRECT(_xlfn.TEXTJOIN("",TRUE,A120,"!",ADDRESS(13+(A121-1)*A117,2)))</f>
        <v>Discrete Structure</v>
      </c>
      <c r="D102" s="107"/>
      <c r="E102" s="107"/>
      <c r="F102" s="107"/>
      <c r="G102" s="108"/>
      <c r="H102" s="20">
        <f ca="1">INDIRECT(_xlfn.TEXTJOIN("",TRUE,A120,"!",ADDRESS(13+(A121-1)*A117,6)))</f>
        <v>4</v>
      </c>
      <c r="I102" s="20" t="str">
        <f ca="1">INDIRECT(_xlfn.TEXTJOIN("",TRUE,A120,"!",ADDRESS(13+(A121-1)*A117,13)))</f>
        <v>D+</v>
      </c>
      <c r="J102" s="20">
        <f ca="1">INDIRECT(_xlfn.TEXTJOIN("",TRUE,A120,"!",ADDRESS(13+(A121-1)*A117,14)))</f>
        <v>6.5</v>
      </c>
    </row>
    <row r="103" spans="1:10" ht="26.25" customHeight="1" x14ac:dyDescent="0.2">
      <c r="A103" s="96" t="str">
        <f ca="1">INDIRECT(_xlfn.TEXTJOIN("",TRUE,A120,"!",ADDRESS(14+(A121-1)*A117,1)))</f>
        <v>CAT 005</v>
      </c>
      <c r="B103" s="97"/>
      <c r="C103" s="106" t="str">
        <f ca="1">INDIRECT(_xlfn.TEXTJOIN("",TRUE,A120,"!",ADDRESS(14+(A121-1)*A117,2)))</f>
        <v>Database Management System</v>
      </c>
      <c r="D103" s="107"/>
      <c r="E103" s="107"/>
      <c r="F103" s="107"/>
      <c r="G103" s="108"/>
      <c r="H103" s="20">
        <f ca="1">INDIRECT(_xlfn.TEXTJOIN("",TRUE,A120,"!",ADDRESS(14+(A121-1)*A117,6)))</f>
        <v>4</v>
      </c>
      <c r="I103" s="20" t="str">
        <f ca="1">INDIRECT(_xlfn.TEXTJOIN("",TRUE,A120,"!",ADDRESS(14+(A121-1)*A117,13)))</f>
        <v>D</v>
      </c>
      <c r="J103" s="20">
        <f ca="1">INDIRECT(_xlfn.TEXTJOIN("",TRUE,A120,"!",ADDRESS(14+(A121-1)*A117,14)))</f>
        <v>6</v>
      </c>
    </row>
    <row r="104" spans="1:10" ht="26.25" customHeight="1" x14ac:dyDescent="0.2">
      <c r="A104" s="96" t="str">
        <f ca="1">INDIRECT(_xlfn.TEXTJOIN("",TRUE,A120,"!",ADDRESS(15+(A121-1)*A117,1)))</f>
        <v>CAT 006</v>
      </c>
      <c r="B104" s="97"/>
      <c r="C104" s="106" t="str">
        <f ca="1">INDIRECT(_xlfn.TEXTJOIN("",TRUE,A120,"!",ADDRESS(15+(A121-1)*A117,2)))</f>
        <v>Operating System</v>
      </c>
      <c r="D104" s="107"/>
      <c r="E104" s="107"/>
      <c r="F104" s="107"/>
      <c r="G104" s="108"/>
      <c r="H104" s="20">
        <f ca="1">INDIRECT(_xlfn.TEXTJOIN("",TRUE,A120,"!",ADDRESS(15+(A121-1)*A117,6)))</f>
        <v>4</v>
      </c>
      <c r="I104" s="20" t="str">
        <f ca="1">INDIRECT(_xlfn.TEXTJOIN("",TRUE,A120,"!",ADDRESS(15+(A121-1)*A117,13)))</f>
        <v>B+</v>
      </c>
      <c r="J104" s="20">
        <f ca="1">INDIRECT(_xlfn.TEXTJOIN("",TRUE,A120,"!",ADDRESS(15+(A121-1)*A117,14)))</f>
        <v>8.5</v>
      </c>
    </row>
    <row r="105" spans="1:10" ht="26.25" customHeight="1" x14ac:dyDescent="0.2">
      <c r="A105" s="96" t="str">
        <f ca="1">INDIRECT(_xlfn.TEXTJOIN("",TRUE,A120,"!",ADDRESS(16+(A121-1)*A117,1)))</f>
        <v>CAT 007</v>
      </c>
      <c r="B105" s="97"/>
      <c r="C105" s="106" t="str">
        <f ca="1">INDIRECT(_xlfn.TEXTJOIN("",TRUE,A120,"!",ADDRESS(16+(A121-1)*A117,2)))</f>
        <v>Computer Organization</v>
      </c>
      <c r="D105" s="107"/>
      <c r="E105" s="107"/>
      <c r="F105" s="107"/>
      <c r="G105" s="108"/>
      <c r="H105" s="20">
        <f ca="1">INDIRECT(_xlfn.TEXTJOIN("",TRUE,A120,"!",ADDRESS(16+(A121-1)*A117,6)))</f>
        <v>4</v>
      </c>
      <c r="I105" s="20" t="str">
        <f ca="1">INDIRECT(_xlfn.TEXTJOIN("",TRUE,A120,"!",ADDRESS(16+(A121-1)*A117,13)))</f>
        <v>E</v>
      </c>
      <c r="J105" s="20">
        <f ca="1">INDIRECT(_xlfn.TEXTJOIN("",TRUE,A120,"!",ADDRESS(16+(A121-1)*A117,14)))</f>
        <v>5</v>
      </c>
    </row>
    <row r="106" spans="1:10" ht="26.25" customHeight="1" x14ac:dyDescent="0.2">
      <c r="A106" s="96" t="str">
        <f ca="1">INDIRECT(_xlfn.TEXTJOIN("",TRUE,A120,"!",ADDRESS(17+(A121-1)*A117,1)))</f>
        <v>AHT 303</v>
      </c>
      <c r="B106" s="97"/>
      <c r="C106" s="106" t="str">
        <f ca="1">INDIRECT(_xlfn.TEXTJOIN("",TRUE,A120,"!",ADDRESS(17+(A121-1)*A117,2)))</f>
        <v>Technical Communication Skills</v>
      </c>
      <c r="D106" s="107"/>
      <c r="E106" s="107"/>
      <c r="F106" s="107"/>
      <c r="G106" s="108"/>
      <c r="H106" s="20">
        <f ca="1">INDIRECT(_xlfn.TEXTJOIN("",TRUE,A120,"!",ADDRESS(17+(A121-1)*A117,6)))</f>
        <v>4</v>
      </c>
      <c r="I106" s="20" t="str">
        <f ca="1">INDIRECT(_xlfn.TEXTJOIN("",TRUE,A120,"!",ADDRESS(17+(A121-1)*A117,13)))</f>
        <v>D+</v>
      </c>
      <c r="J106" s="20">
        <f ca="1">INDIRECT(_xlfn.TEXTJOIN("",TRUE,A120,"!",ADDRESS(17+(A121-1)*A117,14)))</f>
        <v>6.5</v>
      </c>
    </row>
    <row r="107" spans="1:10" ht="26.25" customHeight="1" x14ac:dyDescent="0.2">
      <c r="A107" s="96" t="str">
        <f ca="1">INDIRECT(_xlfn.TEXTJOIN("",TRUE,A120,"!",ADDRESS(18+(A121-1)*A117,1)))</f>
        <v>CAT 008</v>
      </c>
      <c r="B107" s="97"/>
      <c r="C107" s="106" t="str">
        <f ca="1">INDIRECT(_xlfn.TEXTJOIN("",TRUE,A120,"!",ADDRESS(18+(A121-1)*A117,2)))</f>
        <v>Python Programming ($)</v>
      </c>
      <c r="D107" s="107"/>
      <c r="E107" s="107"/>
      <c r="F107" s="107"/>
      <c r="G107" s="108"/>
      <c r="H107" s="20">
        <f ca="1">INDIRECT(_xlfn.TEXTJOIN("",TRUE,A120,"!",ADDRESS(18+(A121-1)*A117,6)))</f>
        <v>0</v>
      </c>
      <c r="I107" s="20" t="str">
        <f ca="1">INDIRECT(_xlfn.TEXTJOIN("",TRUE,A120,"!",ADDRESS(18+(A121-1)*A117,13)))</f>
        <v>C</v>
      </c>
      <c r="J107" s="20">
        <f ca="1">INDIRECT(_xlfn.TEXTJOIN("",TRUE,A120,"!",ADDRESS(18+(A121-1)*A117,14)))</f>
        <v>7</v>
      </c>
    </row>
    <row r="108" spans="1:10" ht="26.25" customHeight="1" x14ac:dyDescent="0.2">
      <c r="A108" s="96" t="str">
        <f ca="1">INDIRECT(_xlfn.TEXTJOIN("",TRUE,A120,"!",ADDRESS(19+(A121-1)*A117,1)))</f>
        <v>CAT 001</v>
      </c>
      <c r="B108" s="97"/>
      <c r="C108" s="106" t="str">
        <f ca="1">INDIRECT(_xlfn.TEXTJOIN("",TRUE,A120,"!",ADDRESS(19+(A121-1)*A117,2)))</f>
        <v>Introduction of Information Technology ($)</v>
      </c>
      <c r="D108" s="107"/>
      <c r="E108" s="107"/>
      <c r="F108" s="107"/>
      <c r="G108" s="108"/>
      <c r="H108" s="20">
        <f ca="1">INDIRECT(_xlfn.TEXTJOIN("",TRUE,A120,"!",ADDRESS(19+(A121-1)*A117,6)))</f>
        <v>0</v>
      </c>
      <c r="I108" s="20" t="str">
        <f ca="1">INDIRECT(_xlfn.TEXTJOIN("",TRUE,A120,"!",ADDRESS(19+(A121-1)*A117,13)))</f>
        <v>-</v>
      </c>
      <c r="J108" s="20" t="str">
        <f ca="1">INDIRECT(_xlfn.TEXTJOIN("",TRUE,A120,"!",ADDRESS(19+(A121-1)*A117,14)))</f>
        <v>-</v>
      </c>
    </row>
    <row r="109" spans="1:10" ht="26.25" customHeight="1" x14ac:dyDescent="0.2">
      <c r="A109" s="96" t="str">
        <f ca="1">INDIRECT(_xlfn.TEXTJOIN("",TRUE,A120,"!",ADDRESS(20+(A121-1)*A117,1)))</f>
        <v>CAT 002</v>
      </c>
      <c r="B109" s="97"/>
      <c r="C109" s="106" t="str">
        <f ca="1">INDIRECT(_xlfn.TEXTJOIN("",TRUE,A120,"!",ADDRESS(20+(A121-1)*A117,2)))</f>
        <v>Programming Fundamentals with "C" ($)</v>
      </c>
      <c r="D109" s="107"/>
      <c r="E109" s="107"/>
      <c r="F109" s="107"/>
      <c r="G109" s="108"/>
      <c r="H109" s="20">
        <f ca="1">INDIRECT(_xlfn.TEXTJOIN("",TRUE,A120,"!",ADDRESS(20+(A121-1)*A117,6)))</f>
        <v>0</v>
      </c>
      <c r="I109" s="20" t="str">
        <f ca="1">INDIRECT(_xlfn.TEXTJOIN("",TRUE,A120,"!",ADDRESS(20+(A121-1)*A117,13)))</f>
        <v>-</v>
      </c>
      <c r="J109" s="20" t="str">
        <f ca="1">INDIRECT(_xlfn.TEXTJOIN("",TRUE,A120,"!",ADDRESS(20+(A121-1)*A117,14)))</f>
        <v>-</v>
      </c>
    </row>
    <row r="110" spans="1:10" ht="26.25" customHeight="1" x14ac:dyDescent="0.2">
      <c r="A110" s="96" t="str">
        <f ca="1">INDIRECT(_xlfn.TEXTJOIN("",TRUE,A120,"!",ADDRESS(21+(A121-1)*A117,1)))</f>
        <v>CAT 003</v>
      </c>
      <c r="B110" s="97"/>
      <c r="C110" s="106" t="str">
        <f ca="1">INDIRECT(_xlfn.TEXTJOIN("",TRUE,A120,"!",ADDRESS(21+(A121-1)*A117,2)))</f>
        <v>Fundamental of Web Technology ($)</v>
      </c>
      <c r="D110" s="107"/>
      <c r="E110" s="107"/>
      <c r="F110" s="107"/>
      <c r="G110" s="108"/>
      <c r="H110" s="20">
        <f ca="1">INDIRECT(_xlfn.TEXTJOIN("",TRUE,A120,"!",ADDRESS(21+(A121-1)*A117,6)))</f>
        <v>0</v>
      </c>
      <c r="I110" s="20" t="str">
        <f ca="1">INDIRECT(_xlfn.TEXTJOIN("",TRUE,A120,"!",ADDRESS(21+(A121-1)*A117,13)))</f>
        <v>-</v>
      </c>
      <c r="J110" s="20" t="str">
        <f ca="1">INDIRECT(_xlfn.TEXTJOIN("",TRUE,A120,"!",ADDRESS(21+(A121-1)*A117,14)))</f>
        <v>-</v>
      </c>
    </row>
    <row r="111" spans="1:10" ht="26.25" customHeight="1" x14ac:dyDescent="0.2">
      <c r="A111" s="96" t="str">
        <f ca="1">INDIRECT(_xlfn.TEXTJOIN("",TRUE,A120,"!",ADDRESS(22+(A121-1)*A117,1)))</f>
        <v>CAP 001</v>
      </c>
      <c r="B111" s="97"/>
      <c r="C111" s="106" t="str">
        <f ca="1">INDIRECT(_xlfn.TEXTJOIN("",TRUE,A120,"!",ADDRESS(22+(A121-1)*A117,2)))</f>
        <v>Database Management System Lab</v>
      </c>
      <c r="D111" s="107"/>
      <c r="E111" s="107"/>
      <c r="F111" s="107"/>
      <c r="G111" s="108"/>
      <c r="H111" s="20">
        <f ca="1">INDIRECT(_xlfn.TEXTJOIN("",TRUE,A120,"!",ADDRESS(22+(A121-1)*A117,6)))</f>
        <v>1</v>
      </c>
      <c r="I111" s="20" t="str">
        <f ca="1">INDIRECT(_xlfn.TEXTJOIN("",TRUE,A120,"!",ADDRESS(22+(A121-1)*A117,13)))</f>
        <v>B+</v>
      </c>
      <c r="J111" s="20">
        <f ca="1">INDIRECT(_xlfn.TEXTJOIN("",TRUE,A120,"!",ADDRESS(22+(A121-1)*A117,14)))</f>
        <v>8.5</v>
      </c>
    </row>
    <row r="112" spans="1:10" ht="26.25" customHeight="1" x14ac:dyDescent="0.2">
      <c r="A112" s="110" t="str">
        <f ca="1">INDIRECT(_xlfn.TEXTJOIN("",TRUE,A120,"!",ADDRESS(23+(A121-1)*A117,1)))</f>
        <v>CAP 002</v>
      </c>
      <c r="B112" s="111"/>
      <c r="C112" s="115" t="str">
        <f ca="1">INDIRECT(_xlfn.TEXTJOIN("",TRUE,A120,"!",ADDRESS(23+(A121-1)*A117,2)))</f>
        <v>Operating System Lab</v>
      </c>
      <c r="D112" s="116"/>
      <c r="E112" s="116"/>
      <c r="F112" s="116"/>
      <c r="G112" s="117"/>
      <c r="H112" s="20">
        <f ca="1">INDIRECT(_xlfn.TEXTJOIN("",TRUE,A120,"!",ADDRESS(23+(A121-1)*A117,6)))</f>
        <v>1</v>
      </c>
      <c r="I112" s="20" t="str">
        <f ca="1">INDIRECT(_xlfn.TEXTJOIN("",TRUE,A120,"!",ADDRESS(23+(A121-1)*A117,13)))</f>
        <v>A+</v>
      </c>
      <c r="J112" s="20">
        <f ca="1">INDIRECT(_xlfn.TEXTJOIN("",TRUE,A120,"!",ADDRESS(23+(A121-1)*A117,14)))</f>
        <v>9.5</v>
      </c>
    </row>
    <row r="113" spans="1:10" ht="26.25" customHeight="1" x14ac:dyDescent="0.2">
      <c r="A113" s="110" t="str">
        <f ca="1">INDIRECT(_xlfn.TEXTJOIN("",TRUE,A120,"!",ADDRESS(24+(A121-1)*A117,1)))</f>
        <v>CAP 003</v>
      </c>
      <c r="B113" s="111"/>
      <c r="C113" s="115" t="str">
        <f ca="1">INDIRECT(_xlfn.TEXTJOIN("",TRUE,A120,"!",ADDRESS(24+(A121-1)*A117,2)))</f>
        <v>Computer Organization Lab</v>
      </c>
      <c r="D113" s="116"/>
      <c r="E113" s="116"/>
      <c r="F113" s="116"/>
      <c r="G113" s="117"/>
      <c r="H113" s="20">
        <f ca="1">INDIRECT(_xlfn.TEXTJOIN("",TRUE,A120,"!",ADDRESS(24+(A121-1)*A117,6)))</f>
        <v>1</v>
      </c>
      <c r="I113" s="20" t="str">
        <f ca="1">INDIRECT(_xlfn.TEXTJOIN("",TRUE,A120,"!",ADDRESS(24+(A121-1)*A117,13)))</f>
        <v>B+</v>
      </c>
      <c r="J113" s="20">
        <f ca="1">INDIRECT(_xlfn.TEXTJOIN("",TRUE,A120,"!",ADDRESS(24+(A121-1)*A117,14)))</f>
        <v>8.5</v>
      </c>
    </row>
    <row r="114" spans="1:10" ht="26.25" customHeight="1" x14ac:dyDescent="0.2">
      <c r="A114" s="110" t="str">
        <f ca="1">INDIRECT(_xlfn.TEXTJOIN("",TRUE,A120,"!",ADDRESS(25+(A121-1)*A117,1)))</f>
        <v>AHP 303</v>
      </c>
      <c r="B114" s="111"/>
      <c r="C114" s="115" t="str">
        <f ca="1">INDIRECT(_xlfn.TEXTJOIN("",TRUE,A120,"!",ADDRESS(25+(A121-1)*A117,2)))</f>
        <v>Technical Communication Skills</v>
      </c>
      <c r="D114" s="116"/>
      <c r="E114" s="116"/>
      <c r="F114" s="116"/>
      <c r="G114" s="117"/>
      <c r="H114" s="20">
        <f ca="1">INDIRECT(_xlfn.TEXTJOIN("",TRUE,A120,"!",ADDRESS(25+(A121-1)*A117,6)))</f>
        <v>1</v>
      </c>
      <c r="I114" s="20" t="str">
        <f ca="1">INDIRECT(_xlfn.TEXTJOIN("",TRUE,A120,"!",ADDRESS(25+(A121-1)*A117,13)))</f>
        <v>B+</v>
      </c>
      <c r="J114" s="20">
        <f ca="1">INDIRECT(_xlfn.TEXTJOIN("",TRUE,A120,"!",ADDRESS(25+(A121-1)*A117,14)))</f>
        <v>8.5</v>
      </c>
    </row>
    <row r="115" spans="1:10" ht="26.25" customHeight="1" x14ac:dyDescent="0.2">
      <c r="A115" s="100" t="s">
        <v>52</v>
      </c>
      <c r="B115" s="101"/>
      <c r="C115" s="101"/>
      <c r="D115" s="101"/>
      <c r="E115" s="101"/>
      <c r="F115" s="101"/>
      <c r="G115" s="102"/>
      <c r="H115" s="98">
        <f ca="1">SUM(H102:H115)</f>
        <v>24</v>
      </c>
      <c r="I115" s="119" t="str">
        <f ca="1">INDIRECT(_xlfn.TEXTJOIN("",TRUE,A120,"!",ADDRESS(26+(A121-1)*A117,13)))</f>
        <v>Excellent</v>
      </c>
      <c r="J115" s="102">
        <f ca="1">SUMPRODUCT(J102:J114,H102:H114)</f>
        <v>165</v>
      </c>
    </row>
    <row r="116" spans="1:10" ht="26.25" customHeight="1" x14ac:dyDescent="0.2">
      <c r="A116" s="103"/>
      <c r="B116" s="104"/>
      <c r="C116" s="104"/>
      <c r="D116" s="104"/>
      <c r="E116" s="104"/>
      <c r="F116" s="104"/>
      <c r="G116" s="105"/>
      <c r="H116" s="99"/>
      <c r="I116" s="119"/>
      <c r="J116" s="105"/>
    </row>
    <row r="117" spans="1:10" ht="26.25" customHeight="1" x14ac:dyDescent="0.2">
      <c r="A117" s="22">
        <f>ROWS(A102:B115)+9</f>
        <v>23</v>
      </c>
      <c r="B117" s="17"/>
      <c r="C117" s="17"/>
      <c r="D117" s="17"/>
      <c r="E117" s="17"/>
      <c r="F117" s="17"/>
      <c r="G117" s="17"/>
      <c r="H117" s="17"/>
      <c r="I117" s="17"/>
      <c r="J117" s="17"/>
    </row>
    <row r="118" spans="1:10" ht="26.25" customHeight="1" x14ac:dyDescent="0.2">
      <c r="A118" s="120" t="s">
        <v>40</v>
      </c>
      <c r="B118" s="120"/>
      <c r="C118" s="21">
        <f ca="1">INDIRECT(_xlfn.TEXTJOIN("",TRUE,A120,"!",ADDRESS(5+A121*A117,12)))</f>
        <v>24</v>
      </c>
      <c r="D118" s="120" t="s">
        <v>38</v>
      </c>
      <c r="E118" s="120"/>
      <c r="F118" s="18">
        <f ca="1">INDIRECT(_xlfn.TEXTJOIN("",TRUE,A120,"!",ADDRESS(5+A121*A117,8)))</f>
        <v>6.875</v>
      </c>
      <c r="G118" s="120" t="s">
        <v>39</v>
      </c>
      <c r="H118" s="120"/>
      <c r="I118" s="109">
        <f ca="1">INDIRECT(_xlfn.TEXTJOIN("",TRUE,A120,"!",ADDRESS(5+A121*A117,10)))</f>
        <v>6.875</v>
      </c>
      <c r="J118" s="109"/>
    </row>
    <row r="119" spans="1:10" ht="26.25" customHeight="1" x14ac:dyDescent="0.2">
      <c r="A119" s="19" t="s">
        <v>36</v>
      </c>
      <c r="B119" s="95" t="str">
        <f ca="1">INDIRECT(_xlfn.TEXTJOIN("",TRUE,A120,"!",ADDRESS(5+A121*A117,2)))</f>
        <v>PASS</v>
      </c>
      <c r="C119" s="95"/>
      <c r="D119" s="121" t="s">
        <v>37</v>
      </c>
      <c r="E119" s="121"/>
      <c r="F119" s="122" t="str">
        <f ca="1">INDIRECT(_xlfn.TEXTJOIN("",TRUE,A120,"!",ADDRESS(5+A121*A117,5)))</f>
        <v/>
      </c>
      <c r="G119" s="122"/>
      <c r="H119" s="122"/>
      <c r="I119" s="122"/>
      <c r="J119" s="122"/>
    </row>
    <row r="120" spans="1:10" ht="26.25" customHeight="1" x14ac:dyDescent="0.2">
      <c r="A120" s="22" t="str">
        <f>A97</f>
        <v>TC_I</v>
      </c>
    </row>
    <row r="121" spans="1:10" ht="26.25" customHeight="1" x14ac:dyDescent="0.2">
      <c r="A121" s="22">
        <f>A98+1</f>
        <v>5</v>
      </c>
    </row>
    <row r="122" spans="1:10" ht="26.25" customHeight="1" x14ac:dyDescent="0.2">
      <c r="A122" s="112" t="s">
        <v>24</v>
      </c>
      <c r="B122" s="112"/>
      <c r="C122" s="112" t="str">
        <f ca="1">INDIRECT(_xlfn.TEXTJOIN("",TRUE,A143,"!",ADDRESS(9+(A144-1)*A140,2)))</f>
        <v>DEVASHISH TIWARI</v>
      </c>
      <c r="D122" s="112"/>
      <c r="E122" s="112"/>
      <c r="F122" s="112" t="s">
        <v>50</v>
      </c>
      <c r="G122" s="112"/>
      <c r="H122" s="112"/>
      <c r="I122" s="113">
        <f ca="1">INDIRECT(_xlfn.TEXTJOIN("",TRUE,A143,"!",ADDRESS(9+(A144-1)*A140,9)))</f>
        <v>250090600006</v>
      </c>
      <c r="J122" s="113"/>
    </row>
    <row r="123" spans="1:10" ht="26.25" customHeight="1" x14ac:dyDescent="0.2">
      <c r="A123" s="112" t="s">
        <v>25</v>
      </c>
      <c r="B123" s="112"/>
      <c r="C123" s="112" t="str">
        <f ca="1">INDIRECT(_xlfn.TEXTJOIN("",TRUE,A143,"!",ADDRESS(9+(A144-1)*A140,5)))</f>
        <v>MAHESHWAR PRASAD TIWARI</v>
      </c>
      <c r="D123" s="112"/>
      <c r="E123" s="112"/>
      <c r="F123" s="114" t="s">
        <v>51</v>
      </c>
      <c r="G123" s="114"/>
      <c r="H123" s="114"/>
      <c r="I123" s="113" t="str">
        <f ca="1">INDIRECT(_xlfn.TEXTJOIN("",TRUE,A143,"!",ADDRESS(9+(A144-1)*A140,13)))</f>
        <v>UTU/2506100117</v>
      </c>
      <c r="J123" s="113"/>
    </row>
    <row r="124" spans="1:10" ht="26.25" customHeight="1" x14ac:dyDescent="0.2">
      <c r="A124" s="95" t="s">
        <v>28</v>
      </c>
      <c r="B124" s="95"/>
      <c r="C124" s="95" t="s">
        <v>29</v>
      </c>
      <c r="D124" s="95"/>
      <c r="E124" s="95"/>
      <c r="F124" s="95"/>
      <c r="G124" s="95"/>
      <c r="H124" s="15" t="s">
        <v>30</v>
      </c>
      <c r="I124" s="15" t="s">
        <v>9</v>
      </c>
      <c r="J124" s="15" t="s">
        <v>34</v>
      </c>
    </row>
    <row r="125" spans="1:10" ht="26.25" customHeight="1" x14ac:dyDescent="0.2">
      <c r="A125" s="96" t="str">
        <f ca="1">INDIRECT(_xlfn.TEXTJOIN("",TRUE,A143,"!",ADDRESS(13+(A144-1)*A140,1)))</f>
        <v>CAT 004</v>
      </c>
      <c r="B125" s="97"/>
      <c r="C125" s="106" t="str">
        <f ca="1">INDIRECT(_xlfn.TEXTJOIN("",TRUE,A143,"!",ADDRESS(13+(A144-1)*A140,2)))</f>
        <v>Discrete Structure</v>
      </c>
      <c r="D125" s="107"/>
      <c r="E125" s="107"/>
      <c r="F125" s="107"/>
      <c r="G125" s="108"/>
      <c r="H125" s="20">
        <f ca="1">INDIRECT(_xlfn.TEXTJOIN("",TRUE,A143,"!",ADDRESS(13+(A144-1)*A140,6)))</f>
        <v>4</v>
      </c>
      <c r="I125" s="20" t="str">
        <f ca="1">INDIRECT(_xlfn.TEXTJOIN("",TRUE,A143,"!",ADDRESS(13+(A144-1)*A140,13)))</f>
        <v>E+</v>
      </c>
      <c r="J125" s="20">
        <f ca="1">INDIRECT(_xlfn.TEXTJOIN("",TRUE,A143,"!",ADDRESS(13+(A144-1)*A140,14)))</f>
        <v>5.5</v>
      </c>
    </row>
    <row r="126" spans="1:10" ht="26.25" customHeight="1" x14ac:dyDescent="0.2">
      <c r="A126" s="96" t="str">
        <f ca="1">INDIRECT(_xlfn.TEXTJOIN("",TRUE,A143,"!",ADDRESS(14+(A144-1)*A140,1)))</f>
        <v>CAT 005</v>
      </c>
      <c r="B126" s="97"/>
      <c r="C126" s="106" t="str">
        <f ca="1">INDIRECT(_xlfn.TEXTJOIN("",TRUE,A143,"!",ADDRESS(14+(A144-1)*A140,2)))</f>
        <v>Database Management System</v>
      </c>
      <c r="D126" s="107"/>
      <c r="E126" s="107"/>
      <c r="F126" s="107"/>
      <c r="G126" s="108"/>
      <c r="H126" s="20">
        <f ca="1">INDIRECT(_xlfn.TEXTJOIN("",TRUE,A143,"!",ADDRESS(14+(A144-1)*A140,6)))</f>
        <v>4</v>
      </c>
      <c r="I126" s="20" t="str">
        <f ca="1">INDIRECT(_xlfn.TEXTJOIN("",TRUE,A143,"!",ADDRESS(14+(A144-1)*A140,13)))</f>
        <v>C+</v>
      </c>
      <c r="J126" s="20">
        <f ca="1">INDIRECT(_xlfn.TEXTJOIN("",TRUE,A143,"!",ADDRESS(14+(A144-1)*A140,14)))</f>
        <v>7.5</v>
      </c>
    </row>
    <row r="127" spans="1:10" ht="26.25" customHeight="1" x14ac:dyDescent="0.2">
      <c r="A127" s="96" t="str">
        <f ca="1">INDIRECT(_xlfn.TEXTJOIN("",TRUE,A143,"!",ADDRESS(15+(A144-1)*A140,1)))</f>
        <v>CAT 006</v>
      </c>
      <c r="B127" s="97"/>
      <c r="C127" s="106" t="str">
        <f ca="1">INDIRECT(_xlfn.TEXTJOIN("",TRUE,A143,"!",ADDRESS(15+(A144-1)*A140,2)))</f>
        <v>Operating System</v>
      </c>
      <c r="D127" s="107"/>
      <c r="E127" s="107"/>
      <c r="F127" s="107"/>
      <c r="G127" s="108"/>
      <c r="H127" s="20">
        <f ca="1">INDIRECT(_xlfn.TEXTJOIN("",TRUE,A143,"!",ADDRESS(15+(A144-1)*A140,6)))</f>
        <v>4</v>
      </c>
      <c r="I127" s="20" t="str">
        <f ca="1">INDIRECT(_xlfn.TEXTJOIN("",TRUE,A143,"!",ADDRESS(15+(A144-1)*A140,13)))</f>
        <v>C+</v>
      </c>
      <c r="J127" s="20">
        <f ca="1">INDIRECT(_xlfn.TEXTJOIN("",TRUE,A143,"!",ADDRESS(15+(A144-1)*A140,14)))</f>
        <v>7.5</v>
      </c>
    </row>
    <row r="128" spans="1:10" ht="26.25" customHeight="1" x14ac:dyDescent="0.2">
      <c r="A128" s="96" t="str">
        <f ca="1">INDIRECT(_xlfn.TEXTJOIN("",TRUE,A143,"!",ADDRESS(16+(A144-1)*A140,1)))</f>
        <v>CAT 007</v>
      </c>
      <c r="B128" s="97"/>
      <c r="C128" s="106" t="str">
        <f ca="1">INDIRECT(_xlfn.TEXTJOIN("",TRUE,A143,"!",ADDRESS(16+(A144-1)*A140,2)))</f>
        <v>Computer Organization</v>
      </c>
      <c r="D128" s="107"/>
      <c r="E128" s="107"/>
      <c r="F128" s="107"/>
      <c r="G128" s="108"/>
      <c r="H128" s="20">
        <f ca="1">INDIRECT(_xlfn.TEXTJOIN("",TRUE,A143,"!",ADDRESS(16+(A144-1)*A140,6)))</f>
        <v>4</v>
      </c>
      <c r="I128" s="20" t="str">
        <f ca="1">INDIRECT(_xlfn.TEXTJOIN("",TRUE,A143,"!",ADDRESS(16+(A144-1)*A140,13)))</f>
        <v>D</v>
      </c>
      <c r="J128" s="20">
        <f ca="1">INDIRECT(_xlfn.TEXTJOIN("",TRUE,A143,"!",ADDRESS(16+(A144-1)*A140,14)))</f>
        <v>6</v>
      </c>
    </row>
    <row r="129" spans="1:10" ht="26.25" customHeight="1" x14ac:dyDescent="0.2">
      <c r="A129" s="96" t="str">
        <f ca="1">INDIRECT(_xlfn.TEXTJOIN("",TRUE,A143,"!",ADDRESS(17+(A144-1)*A140,1)))</f>
        <v>AHT 303</v>
      </c>
      <c r="B129" s="97"/>
      <c r="C129" s="106" t="str">
        <f ca="1">INDIRECT(_xlfn.TEXTJOIN("",TRUE,A143,"!",ADDRESS(17+(A144-1)*A140,2)))</f>
        <v>Technical Communication Skills</v>
      </c>
      <c r="D129" s="107"/>
      <c r="E129" s="107"/>
      <c r="F129" s="107"/>
      <c r="G129" s="108"/>
      <c r="H129" s="20">
        <f ca="1">INDIRECT(_xlfn.TEXTJOIN("",TRUE,A143,"!",ADDRESS(17+(A144-1)*A140,6)))</f>
        <v>4</v>
      </c>
      <c r="I129" s="20" t="str">
        <f ca="1">INDIRECT(_xlfn.TEXTJOIN("",TRUE,A143,"!",ADDRESS(17+(A144-1)*A140,13)))</f>
        <v>B+</v>
      </c>
      <c r="J129" s="20">
        <f ca="1">INDIRECT(_xlfn.TEXTJOIN("",TRUE,A143,"!",ADDRESS(17+(A144-1)*A140,14)))</f>
        <v>8.5</v>
      </c>
    </row>
    <row r="130" spans="1:10" ht="26.25" customHeight="1" x14ac:dyDescent="0.2">
      <c r="A130" s="96" t="str">
        <f ca="1">INDIRECT(_xlfn.TEXTJOIN("",TRUE,A143,"!",ADDRESS(18+(A144-1)*A140,1)))</f>
        <v>CAT 008</v>
      </c>
      <c r="B130" s="97"/>
      <c r="C130" s="106" t="str">
        <f ca="1">INDIRECT(_xlfn.TEXTJOIN("",TRUE,A143,"!",ADDRESS(18+(A144-1)*A140,2)))</f>
        <v>Python Programming ($)</v>
      </c>
      <c r="D130" s="107"/>
      <c r="E130" s="107"/>
      <c r="F130" s="107"/>
      <c r="G130" s="108"/>
      <c r="H130" s="20">
        <f ca="1">INDIRECT(_xlfn.TEXTJOIN("",TRUE,A143,"!",ADDRESS(18+(A144-1)*A140,6)))</f>
        <v>0</v>
      </c>
      <c r="I130" s="20" t="str">
        <f ca="1">INDIRECT(_xlfn.TEXTJOIN("",TRUE,A143,"!",ADDRESS(18+(A144-1)*A140,13)))</f>
        <v>C</v>
      </c>
      <c r="J130" s="20">
        <f ca="1">INDIRECT(_xlfn.TEXTJOIN("",TRUE,A143,"!",ADDRESS(18+(A144-1)*A140,14)))</f>
        <v>7</v>
      </c>
    </row>
    <row r="131" spans="1:10" ht="26.25" customHeight="1" x14ac:dyDescent="0.2">
      <c r="A131" s="96" t="str">
        <f ca="1">INDIRECT(_xlfn.TEXTJOIN("",TRUE,A143,"!",ADDRESS(19+(A144-1)*A140,1)))</f>
        <v>CAT 001</v>
      </c>
      <c r="B131" s="97"/>
      <c r="C131" s="106" t="str">
        <f ca="1">INDIRECT(_xlfn.TEXTJOIN("",TRUE,A143,"!",ADDRESS(19+(A144-1)*A140,2)))</f>
        <v>Introduction of Information Technology ($)</v>
      </c>
      <c r="D131" s="107"/>
      <c r="E131" s="107"/>
      <c r="F131" s="107"/>
      <c r="G131" s="108"/>
      <c r="H131" s="20">
        <f ca="1">INDIRECT(_xlfn.TEXTJOIN("",TRUE,A143,"!",ADDRESS(19+(A144-1)*A140,6)))</f>
        <v>0</v>
      </c>
      <c r="I131" s="20" t="str">
        <f ca="1">INDIRECT(_xlfn.TEXTJOIN("",TRUE,A143,"!",ADDRESS(19+(A144-1)*A140,13)))</f>
        <v>-</v>
      </c>
      <c r="J131" s="20" t="str">
        <f ca="1">INDIRECT(_xlfn.TEXTJOIN("",TRUE,A143,"!",ADDRESS(19+(A144-1)*A140,14)))</f>
        <v>-</v>
      </c>
    </row>
    <row r="132" spans="1:10" ht="26.25" customHeight="1" x14ac:dyDescent="0.2">
      <c r="A132" s="96" t="str">
        <f ca="1">INDIRECT(_xlfn.TEXTJOIN("",TRUE,A143,"!",ADDRESS(20+(A144-1)*A140,1)))</f>
        <v>CAT 002</v>
      </c>
      <c r="B132" s="97"/>
      <c r="C132" s="106" t="str">
        <f ca="1">INDIRECT(_xlfn.TEXTJOIN("",TRUE,A143,"!",ADDRESS(20+(A144-1)*A140,2)))</f>
        <v>Programming Fundamentals with "C" ($)</v>
      </c>
      <c r="D132" s="107"/>
      <c r="E132" s="107"/>
      <c r="F132" s="107"/>
      <c r="G132" s="108"/>
      <c r="H132" s="20">
        <f ca="1">INDIRECT(_xlfn.TEXTJOIN("",TRUE,A143,"!",ADDRESS(20+(A144-1)*A140,6)))</f>
        <v>0</v>
      </c>
      <c r="I132" s="20" t="str">
        <f ca="1">INDIRECT(_xlfn.TEXTJOIN("",TRUE,A143,"!",ADDRESS(20+(A144-1)*A140,13)))</f>
        <v>-</v>
      </c>
      <c r="J132" s="20" t="str">
        <f ca="1">INDIRECT(_xlfn.TEXTJOIN("",TRUE,A143,"!",ADDRESS(20+(A144-1)*A140,14)))</f>
        <v>-</v>
      </c>
    </row>
    <row r="133" spans="1:10" ht="26.25" customHeight="1" x14ac:dyDescent="0.2">
      <c r="A133" s="96" t="str">
        <f ca="1">INDIRECT(_xlfn.TEXTJOIN("",TRUE,A143,"!",ADDRESS(21+(A144-1)*A140,1)))</f>
        <v>CAT 003</v>
      </c>
      <c r="B133" s="97"/>
      <c r="C133" s="106" t="str">
        <f ca="1">INDIRECT(_xlfn.TEXTJOIN("",TRUE,A143,"!",ADDRESS(21+(A144-1)*A140,2)))</f>
        <v>Fundamental of Web Technology ($)</v>
      </c>
      <c r="D133" s="107"/>
      <c r="E133" s="107"/>
      <c r="F133" s="107"/>
      <c r="G133" s="108"/>
      <c r="H133" s="20">
        <f ca="1">INDIRECT(_xlfn.TEXTJOIN("",TRUE,A143,"!",ADDRESS(21+(A144-1)*A140,6)))</f>
        <v>0</v>
      </c>
      <c r="I133" s="20" t="str">
        <f ca="1">INDIRECT(_xlfn.TEXTJOIN("",TRUE,A143,"!",ADDRESS(21+(A144-1)*A140,13)))</f>
        <v>-</v>
      </c>
      <c r="J133" s="20" t="str">
        <f ca="1">INDIRECT(_xlfn.TEXTJOIN("",TRUE,A143,"!",ADDRESS(21+(A144-1)*A140,14)))</f>
        <v>-</v>
      </c>
    </row>
    <row r="134" spans="1:10" ht="26.25" customHeight="1" x14ac:dyDescent="0.2">
      <c r="A134" s="96" t="str">
        <f ca="1">INDIRECT(_xlfn.TEXTJOIN("",TRUE,A143,"!",ADDRESS(22+(A144-1)*A140,1)))</f>
        <v>CAP 001</v>
      </c>
      <c r="B134" s="97"/>
      <c r="C134" s="106" t="str">
        <f ca="1">INDIRECT(_xlfn.TEXTJOIN("",TRUE,A143,"!",ADDRESS(22+(A144-1)*A140,2)))</f>
        <v>Database Management System Lab</v>
      </c>
      <c r="D134" s="107"/>
      <c r="E134" s="107"/>
      <c r="F134" s="107"/>
      <c r="G134" s="108"/>
      <c r="H134" s="20">
        <f ca="1">INDIRECT(_xlfn.TEXTJOIN("",TRUE,A143,"!",ADDRESS(22+(A144-1)*A140,6)))</f>
        <v>1</v>
      </c>
      <c r="I134" s="20" t="str">
        <f ca="1">INDIRECT(_xlfn.TEXTJOIN("",TRUE,A143,"!",ADDRESS(22+(A144-1)*A140,13)))</f>
        <v>A</v>
      </c>
      <c r="J134" s="20">
        <f ca="1">INDIRECT(_xlfn.TEXTJOIN("",TRUE,A143,"!",ADDRESS(22+(A144-1)*A140,14)))</f>
        <v>9</v>
      </c>
    </row>
    <row r="135" spans="1:10" ht="26.25" customHeight="1" x14ac:dyDescent="0.2">
      <c r="A135" s="110" t="str">
        <f ca="1">INDIRECT(_xlfn.TEXTJOIN("",TRUE,A143,"!",ADDRESS(23+(A144-1)*A140,1)))</f>
        <v>CAP 002</v>
      </c>
      <c r="B135" s="111"/>
      <c r="C135" s="115" t="str">
        <f ca="1">INDIRECT(_xlfn.TEXTJOIN("",TRUE,A143,"!",ADDRESS(23+(A144-1)*A140,2)))</f>
        <v>Operating System Lab</v>
      </c>
      <c r="D135" s="116"/>
      <c r="E135" s="116"/>
      <c r="F135" s="116"/>
      <c r="G135" s="117"/>
      <c r="H135" s="20">
        <f ca="1">INDIRECT(_xlfn.TEXTJOIN("",TRUE,A143,"!",ADDRESS(23+(A144-1)*A140,6)))</f>
        <v>1</v>
      </c>
      <c r="I135" s="20" t="str">
        <f ca="1">INDIRECT(_xlfn.TEXTJOIN("",TRUE,A143,"!",ADDRESS(23+(A144-1)*A140,13)))</f>
        <v>A+</v>
      </c>
      <c r="J135" s="20">
        <f ca="1">INDIRECT(_xlfn.TEXTJOIN("",TRUE,A143,"!",ADDRESS(23+(A144-1)*A140,14)))</f>
        <v>9.5</v>
      </c>
    </row>
    <row r="136" spans="1:10" ht="26.25" customHeight="1" x14ac:dyDescent="0.2">
      <c r="A136" s="110" t="str">
        <f ca="1">INDIRECT(_xlfn.TEXTJOIN("",TRUE,A143,"!",ADDRESS(24+(A144-1)*A140,1)))</f>
        <v>CAP 003</v>
      </c>
      <c r="B136" s="111"/>
      <c r="C136" s="115" t="str">
        <f ca="1">INDIRECT(_xlfn.TEXTJOIN("",TRUE,A143,"!",ADDRESS(24+(A144-1)*A140,2)))</f>
        <v>Computer Organization Lab</v>
      </c>
      <c r="D136" s="116"/>
      <c r="E136" s="116"/>
      <c r="F136" s="116"/>
      <c r="G136" s="117"/>
      <c r="H136" s="20">
        <f ca="1">INDIRECT(_xlfn.TEXTJOIN("",TRUE,A143,"!",ADDRESS(24+(A144-1)*A140,6)))</f>
        <v>1</v>
      </c>
      <c r="I136" s="20" t="str">
        <f ca="1">INDIRECT(_xlfn.TEXTJOIN("",TRUE,A143,"!",ADDRESS(24+(A144-1)*A140,13)))</f>
        <v>A</v>
      </c>
      <c r="J136" s="20">
        <f ca="1">INDIRECT(_xlfn.TEXTJOIN("",TRUE,A143,"!",ADDRESS(24+(A144-1)*A140,14)))</f>
        <v>9</v>
      </c>
    </row>
    <row r="137" spans="1:10" ht="26.25" customHeight="1" x14ac:dyDescent="0.2">
      <c r="A137" s="110" t="str">
        <f ca="1">INDIRECT(_xlfn.TEXTJOIN("",TRUE,A143,"!",ADDRESS(25+(A144-1)*A140,1)))</f>
        <v>AHP 303</v>
      </c>
      <c r="B137" s="111"/>
      <c r="C137" s="115" t="str">
        <f ca="1">INDIRECT(_xlfn.TEXTJOIN("",TRUE,A143,"!",ADDRESS(25+(A144-1)*A140,2)))</f>
        <v>Technical Communication Skills</v>
      </c>
      <c r="D137" s="116"/>
      <c r="E137" s="116"/>
      <c r="F137" s="116"/>
      <c r="G137" s="117"/>
      <c r="H137" s="20">
        <f ca="1">INDIRECT(_xlfn.TEXTJOIN("",TRUE,A143,"!",ADDRESS(25+(A144-1)*A140,6)))</f>
        <v>1</v>
      </c>
      <c r="I137" s="20" t="str">
        <f ca="1">INDIRECT(_xlfn.TEXTJOIN("",TRUE,A143,"!",ADDRESS(25+(A144-1)*A140,13)))</f>
        <v>A</v>
      </c>
      <c r="J137" s="20">
        <f ca="1">INDIRECT(_xlfn.TEXTJOIN("",TRUE,A143,"!",ADDRESS(25+(A144-1)*A140,14)))</f>
        <v>9</v>
      </c>
    </row>
    <row r="138" spans="1:10" ht="26.25" customHeight="1" x14ac:dyDescent="0.2">
      <c r="A138" s="100" t="s">
        <v>52</v>
      </c>
      <c r="B138" s="101"/>
      <c r="C138" s="101"/>
      <c r="D138" s="101"/>
      <c r="E138" s="101"/>
      <c r="F138" s="101"/>
      <c r="G138" s="102"/>
      <c r="H138" s="98">
        <f ca="1">SUM(H125:H138)</f>
        <v>24</v>
      </c>
      <c r="I138" s="118" t="s">
        <v>44</v>
      </c>
      <c r="J138" s="102">
        <f ca="1">SUMPRODUCT(J125:J137,H125:H137)</f>
        <v>176.5</v>
      </c>
    </row>
    <row r="139" spans="1:10" ht="26.25" customHeight="1" x14ac:dyDescent="0.2">
      <c r="A139" s="103"/>
      <c r="B139" s="104"/>
      <c r="C139" s="104"/>
      <c r="D139" s="104"/>
      <c r="E139" s="104"/>
      <c r="F139" s="104"/>
      <c r="G139" s="105"/>
      <c r="H139" s="99"/>
      <c r="I139" s="118"/>
      <c r="J139" s="105"/>
    </row>
    <row r="140" spans="1:10" ht="26.25" customHeight="1" x14ac:dyDescent="0.2">
      <c r="A140" s="22">
        <f>ROWS(A125:B138)+9</f>
        <v>23</v>
      </c>
      <c r="B140" s="17"/>
      <c r="C140" s="17"/>
      <c r="D140" s="17"/>
      <c r="E140" s="17"/>
      <c r="F140" s="17"/>
      <c r="G140" s="17"/>
      <c r="H140" s="17"/>
      <c r="I140" s="17"/>
      <c r="J140" s="17"/>
    </row>
    <row r="141" spans="1:10" ht="26.25" customHeight="1" x14ac:dyDescent="0.2">
      <c r="A141" s="120" t="s">
        <v>40</v>
      </c>
      <c r="B141" s="120"/>
      <c r="C141" s="21">
        <f ca="1">INDIRECT(_xlfn.TEXTJOIN("",TRUE,A143,"!",ADDRESS(5+A144*A140,12)))</f>
        <v>24</v>
      </c>
      <c r="D141" s="120" t="s">
        <v>38</v>
      </c>
      <c r="E141" s="120"/>
      <c r="F141" s="18">
        <f ca="1">INDIRECT(_xlfn.TEXTJOIN("",TRUE,A143,"!",ADDRESS(5+A144*A140,8)))</f>
        <v>7.354166666666667</v>
      </c>
      <c r="G141" s="120" t="s">
        <v>39</v>
      </c>
      <c r="H141" s="120"/>
      <c r="I141" s="109">
        <f ca="1">INDIRECT(_xlfn.TEXTJOIN("",TRUE,A143,"!",ADDRESS(5+A144*A140,10)))</f>
        <v>7.354166666666667</v>
      </c>
      <c r="J141" s="109"/>
    </row>
    <row r="142" spans="1:10" ht="26.25" customHeight="1" x14ac:dyDescent="0.2">
      <c r="A142" s="19" t="s">
        <v>36</v>
      </c>
      <c r="B142" s="95" t="str">
        <f ca="1">INDIRECT(_xlfn.TEXTJOIN("",TRUE,A143,"!",ADDRESS(5+A144*A140,2)))</f>
        <v>PASS</v>
      </c>
      <c r="C142" s="95"/>
      <c r="D142" s="121" t="s">
        <v>37</v>
      </c>
      <c r="E142" s="121"/>
      <c r="F142" s="122" t="str">
        <f ca="1">INDIRECT(_xlfn.TEXTJOIN("",TRUE,A143,"!",ADDRESS(5+A144*A140,5)))</f>
        <v/>
      </c>
      <c r="G142" s="122"/>
      <c r="H142" s="122"/>
      <c r="I142" s="122"/>
      <c r="J142" s="122"/>
    </row>
    <row r="143" spans="1:10" ht="26.25" customHeight="1" x14ac:dyDescent="0.2">
      <c r="A143" s="22" t="str">
        <f>A120</f>
        <v>TC_I</v>
      </c>
    </row>
    <row r="144" spans="1:10" ht="26.25" customHeight="1" x14ac:dyDescent="0.2">
      <c r="A144" s="22">
        <f>A121+1</f>
        <v>6</v>
      </c>
    </row>
    <row r="145" spans="1:10" ht="26.25" customHeight="1" x14ac:dyDescent="0.2">
      <c r="A145" s="112" t="s">
        <v>24</v>
      </c>
      <c r="B145" s="112"/>
      <c r="C145" s="112" t="str">
        <f ca="1">INDIRECT(_xlfn.TEXTJOIN("",TRUE,A166,"!",ADDRESS(9+(A167-1)*A163,2)))</f>
        <v>DIVESH PANT</v>
      </c>
      <c r="D145" s="112"/>
      <c r="E145" s="112"/>
      <c r="F145" s="112" t="s">
        <v>50</v>
      </c>
      <c r="G145" s="112"/>
      <c r="H145" s="112"/>
      <c r="I145" s="113">
        <f ca="1">INDIRECT(_xlfn.TEXTJOIN("",TRUE,A166,"!",ADDRESS(9+(A167-1)*A163,9)))</f>
        <v>250090600007</v>
      </c>
      <c r="J145" s="113"/>
    </row>
    <row r="146" spans="1:10" ht="26.25" customHeight="1" x14ac:dyDescent="0.2">
      <c r="A146" s="112" t="s">
        <v>25</v>
      </c>
      <c r="B146" s="112"/>
      <c r="C146" s="112" t="str">
        <f ca="1">INDIRECT(_xlfn.TEXTJOIN("",TRUE,A166,"!",ADDRESS(9+(A167-1)*A163,5)))</f>
        <v>DINESH CHANDRA PANT</v>
      </c>
      <c r="D146" s="112"/>
      <c r="E146" s="112"/>
      <c r="F146" s="114" t="s">
        <v>51</v>
      </c>
      <c r="G146" s="114"/>
      <c r="H146" s="114"/>
      <c r="I146" s="113" t="str">
        <f ca="1">INDIRECT(_xlfn.TEXTJOIN("",TRUE,A166,"!",ADDRESS(9+(A167-1)*A163,13)))</f>
        <v>UTU/2506100121</v>
      </c>
      <c r="J146" s="113"/>
    </row>
    <row r="147" spans="1:10" ht="26.25" customHeight="1" x14ac:dyDescent="0.2">
      <c r="A147" s="95" t="s">
        <v>28</v>
      </c>
      <c r="B147" s="95"/>
      <c r="C147" s="95" t="s">
        <v>29</v>
      </c>
      <c r="D147" s="95"/>
      <c r="E147" s="95"/>
      <c r="F147" s="95"/>
      <c r="G147" s="95"/>
      <c r="H147" s="15" t="s">
        <v>30</v>
      </c>
      <c r="I147" s="15" t="s">
        <v>9</v>
      </c>
      <c r="J147" s="15" t="s">
        <v>34</v>
      </c>
    </row>
    <row r="148" spans="1:10" ht="26.25" customHeight="1" x14ac:dyDescent="0.2">
      <c r="A148" s="96" t="str">
        <f ca="1">INDIRECT(_xlfn.TEXTJOIN("",TRUE,A166,"!",ADDRESS(13+(A167-1)*A163,1)))</f>
        <v>CAT 004</v>
      </c>
      <c r="B148" s="97"/>
      <c r="C148" s="106" t="str">
        <f ca="1">INDIRECT(_xlfn.TEXTJOIN("",TRUE,A166,"!",ADDRESS(13+(A167-1)*A163,2)))</f>
        <v>Discrete Structure</v>
      </c>
      <c r="D148" s="107"/>
      <c r="E148" s="107"/>
      <c r="F148" s="107"/>
      <c r="G148" s="108"/>
      <c r="H148" s="20">
        <f ca="1">INDIRECT(_xlfn.TEXTJOIN("",TRUE,A166,"!",ADDRESS(13+(A167-1)*A163,6)))</f>
        <v>4</v>
      </c>
      <c r="I148" s="20" t="str">
        <f ca="1">INDIRECT(_xlfn.TEXTJOIN("",TRUE,A166,"!",ADDRESS(13+(A167-1)*A163,13)))</f>
        <v>D</v>
      </c>
      <c r="J148" s="20">
        <f ca="1">INDIRECT(_xlfn.TEXTJOIN("",TRUE,A166,"!",ADDRESS(13+(A167-1)*A163,14)))</f>
        <v>6</v>
      </c>
    </row>
    <row r="149" spans="1:10" ht="26.25" customHeight="1" x14ac:dyDescent="0.2">
      <c r="A149" s="96" t="str">
        <f ca="1">INDIRECT(_xlfn.TEXTJOIN("",TRUE,A166,"!",ADDRESS(14+(A167-1)*A163,1)))</f>
        <v>CAT 005</v>
      </c>
      <c r="B149" s="97"/>
      <c r="C149" s="106" t="str">
        <f ca="1">INDIRECT(_xlfn.TEXTJOIN("",TRUE,A166,"!",ADDRESS(14+(A167-1)*A163,2)))</f>
        <v>Database Management System</v>
      </c>
      <c r="D149" s="107"/>
      <c r="E149" s="107"/>
      <c r="F149" s="107"/>
      <c r="G149" s="108"/>
      <c r="H149" s="20">
        <f ca="1">INDIRECT(_xlfn.TEXTJOIN("",TRUE,A166,"!",ADDRESS(14+(A167-1)*A163,6)))</f>
        <v>4</v>
      </c>
      <c r="I149" s="20" t="str">
        <f ca="1">INDIRECT(_xlfn.TEXTJOIN("",TRUE,A166,"!",ADDRESS(14+(A167-1)*A163,13)))</f>
        <v>E</v>
      </c>
      <c r="J149" s="20">
        <f ca="1">INDIRECT(_xlfn.TEXTJOIN("",TRUE,A166,"!",ADDRESS(14+(A167-1)*A163,14)))</f>
        <v>5</v>
      </c>
    </row>
    <row r="150" spans="1:10" ht="26.25" customHeight="1" x14ac:dyDescent="0.2">
      <c r="A150" s="96" t="str">
        <f ca="1">INDIRECT(_xlfn.TEXTJOIN("",TRUE,A166,"!",ADDRESS(15+(A167-1)*A163,1)))</f>
        <v>CAT 006</v>
      </c>
      <c r="B150" s="97"/>
      <c r="C150" s="106" t="str">
        <f ca="1">INDIRECT(_xlfn.TEXTJOIN("",TRUE,A166,"!",ADDRESS(15+(A167-1)*A163,2)))</f>
        <v>Operating System</v>
      </c>
      <c r="D150" s="107"/>
      <c r="E150" s="107"/>
      <c r="F150" s="107"/>
      <c r="G150" s="108"/>
      <c r="H150" s="20">
        <f ca="1">INDIRECT(_xlfn.TEXTJOIN("",TRUE,A166,"!",ADDRESS(15+(A167-1)*A163,6)))</f>
        <v>4</v>
      </c>
      <c r="I150" s="20" t="str">
        <f ca="1">INDIRECT(_xlfn.TEXTJOIN("",TRUE,A166,"!",ADDRESS(15+(A167-1)*A163,13)))</f>
        <v>D</v>
      </c>
      <c r="J150" s="20">
        <f ca="1">INDIRECT(_xlfn.TEXTJOIN("",TRUE,A166,"!",ADDRESS(15+(A167-1)*A163,14)))</f>
        <v>6</v>
      </c>
    </row>
    <row r="151" spans="1:10" ht="26.25" customHeight="1" x14ac:dyDescent="0.2">
      <c r="A151" s="96" t="str">
        <f ca="1">INDIRECT(_xlfn.TEXTJOIN("",TRUE,A166,"!",ADDRESS(16+(A167-1)*A163,1)))</f>
        <v>CAT 007</v>
      </c>
      <c r="B151" s="97"/>
      <c r="C151" s="106" t="str">
        <f ca="1">INDIRECT(_xlfn.TEXTJOIN("",TRUE,A166,"!",ADDRESS(16+(A167-1)*A163,2)))</f>
        <v>Computer Organization</v>
      </c>
      <c r="D151" s="107"/>
      <c r="E151" s="107"/>
      <c r="F151" s="107"/>
      <c r="G151" s="108"/>
      <c r="H151" s="20">
        <f ca="1">INDIRECT(_xlfn.TEXTJOIN("",TRUE,A166,"!",ADDRESS(16+(A167-1)*A163,6)))</f>
        <v>4</v>
      </c>
      <c r="I151" s="20" t="str">
        <f ca="1">INDIRECT(_xlfn.TEXTJOIN("",TRUE,A166,"!",ADDRESS(16+(A167-1)*A163,13)))</f>
        <v>D</v>
      </c>
      <c r="J151" s="20">
        <f ca="1">INDIRECT(_xlfn.TEXTJOIN("",TRUE,A166,"!",ADDRESS(16+(A167-1)*A163,14)))</f>
        <v>6</v>
      </c>
    </row>
    <row r="152" spans="1:10" ht="26.25" customHeight="1" x14ac:dyDescent="0.2">
      <c r="A152" s="96" t="str">
        <f ca="1">INDIRECT(_xlfn.TEXTJOIN("",TRUE,A166,"!",ADDRESS(17+(A167-1)*A163,1)))</f>
        <v>AHT 303</v>
      </c>
      <c r="B152" s="97"/>
      <c r="C152" s="106" t="str">
        <f ca="1">INDIRECT(_xlfn.TEXTJOIN("",TRUE,A166,"!",ADDRESS(17+(A167-1)*A163,2)))</f>
        <v>Technical Communication Skills</v>
      </c>
      <c r="D152" s="107"/>
      <c r="E152" s="107"/>
      <c r="F152" s="107"/>
      <c r="G152" s="108"/>
      <c r="H152" s="20">
        <f ca="1">INDIRECT(_xlfn.TEXTJOIN("",TRUE,A166,"!",ADDRESS(17+(A167-1)*A163,6)))</f>
        <v>4</v>
      </c>
      <c r="I152" s="20" t="str">
        <f ca="1">INDIRECT(_xlfn.TEXTJOIN("",TRUE,A166,"!",ADDRESS(17+(A167-1)*A163,13)))</f>
        <v>C</v>
      </c>
      <c r="J152" s="20">
        <f ca="1">INDIRECT(_xlfn.TEXTJOIN("",TRUE,A166,"!",ADDRESS(17+(A167-1)*A163,14)))</f>
        <v>7</v>
      </c>
    </row>
    <row r="153" spans="1:10" ht="26.25" customHeight="1" x14ac:dyDescent="0.2">
      <c r="A153" s="96" t="str">
        <f ca="1">INDIRECT(_xlfn.TEXTJOIN("",TRUE,A166,"!",ADDRESS(18+(A167-1)*A163,1)))</f>
        <v>CAT 008</v>
      </c>
      <c r="B153" s="97"/>
      <c r="C153" s="106" t="str">
        <f ca="1">INDIRECT(_xlfn.TEXTJOIN("",TRUE,A166,"!",ADDRESS(18+(A167-1)*A163,2)))</f>
        <v>Python Programming ($)</v>
      </c>
      <c r="D153" s="107"/>
      <c r="E153" s="107"/>
      <c r="F153" s="107"/>
      <c r="G153" s="108"/>
      <c r="H153" s="20">
        <f ca="1">INDIRECT(_xlfn.TEXTJOIN("",TRUE,A166,"!",ADDRESS(18+(A167-1)*A163,6)))</f>
        <v>0</v>
      </c>
      <c r="I153" s="20" t="str">
        <f ca="1">INDIRECT(_xlfn.TEXTJOIN("",TRUE,A166,"!",ADDRESS(18+(A167-1)*A163,13)))</f>
        <v>E+</v>
      </c>
      <c r="J153" s="20">
        <f ca="1">INDIRECT(_xlfn.TEXTJOIN("",TRUE,A166,"!",ADDRESS(18+(A167-1)*A163,14)))</f>
        <v>5.5</v>
      </c>
    </row>
    <row r="154" spans="1:10" ht="26.25" customHeight="1" x14ac:dyDescent="0.2">
      <c r="A154" s="96" t="str">
        <f ca="1">INDIRECT(_xlfn.TEXTJOIN("",TRUE,A166,"!",ADDRESS(19+(A167-1)*A163,1)))</f>
        <v>CAT 001</v>
      </c>
      <c r="B154" s="97"/>
      <c r="C154" s="106" t="str">
        <f ca="1">INDIRECT(_xlfn.TEXTJOIN("",TRUE,A166,"!",ADDRESS(19+(A167-1)*A163,2)))</f>
        <v>Introduction of Information Technology ($)</v>
      </c>
      <c r="D154" s="107"/>
      <c r="E154" s="107"/>
      <c r="F154" s="107"/>
      <c r="G154" s="108"/>
      <c r="H154" s="20">
        <f ca="1">INDIRECT(_xlfn.TEXTJOIN("",TRUE,A166,"!",ADDRESS(19+(A167-1)*A163,6)))</f>
        <v>0</v>
      </c>
      <c r="I154" s="20" t="str">
        <f ca="1">INDIRECT(_xlfn.TEXTJOIN("",TRUE,A166,"!",ADDRESS(19+(A167-1)*A163,13)))</f>
        <v>-</v>
      </c>
      <c r="J154" s="20" t="str">
        <f ca="1">INDIRECT(_xlfn.TEXTJOIN("",TRUE,A166,"!",ADDRESS(19+(A167-1)*A163,14)))</f>
        <v>-</v>
      </c>
    </row>
    <row r="155" spans="1:10" ht="26.25" customHeight="1" x14ac:dyDescent="0.2">
      <c r="A155" s="96" t="str">
        <f ca="1">INDIRECT(_xlfn.TEXTJOIN("",TRUE,A166,"!",ADDRESS(20+(A167-1)*A163,1)))</f>
        <v>CAT 002</v>
      </c>
      <c r="B155" s="97"/>
      <c r="C155" s="106" t="str">
        <f ca="1">INDIRECT(_xlfn.TEXTJOIN("",TRUE,A166,"!",ADDRESS(20+(A167-1)*A163,2)))</f>
        <v>Programming Fundamentals with "C" ($)</v>
      </c>
      <c r="D155" s="107"/>
      <c r="E155" s="107"/>
      <c r="F155" s="107"/>
      <c r="G155" s="108"/>
      <c r="H155" s="20">
        <f ca="1">INDIRECT(_xlfn.TEXTJOIN("",TRUE,A166,"!",ADDRESS(20+(A167-1)*A163,6)))</f>
        <v>0</v>
      </c>
      <c r="I155" s="20" t="str">
        <f ca="1">INDIRECT(_xlfn.TEXTJOIN("",TRUE,A166,"!",ADDRESS(20+(A167-1)*A163,13)))</f>
        <v>-</v>
      </c>
      <c r="J155" s="20" t="str">
        <f ca="1">INDIRECT(_xlfn.TEXTJOIN("",TRUE,A166,"!",ADDRESS(20+(A167-1)*A163,14)))</f>
        <v>-</v>
      </c>
    </row>
    <row r="156" spans="1:10" ht="26.25" customHeight="1" x14ac:dyDescent="0.2">
      <c r="A156" s="96" t="str">
        <f ca="1">INDIRECT(_xlfn.TEXTJOIN("",TRUE,A166,"!",ADDRESS(21+(A167-1)*A163,1)))</f>
        <v>CAT 003</v>
      </c>
      <c r="B156" s="97"/>
      <c r="C156" s="106" t="str">
        <f ca="1">INDIRECT(_xlfn.TEXTJOIN("",TRUE,A166,"!",ADDRESS(21+(A167-1)*A163,2)))</f>
        <v>Fundamental of Web Technology ($)</v>
      </c>
      <c r="D156" s="107"/>
      <c r="E156" s="107"/>
      <c r="F156" s="107"/>
      <c r="G156" s="108"/>
      <c r="H156" s="20">
        <f ca="1">INDIRECT(_xlfn.TEXTJOIN("",TRUE,A166,"!",ADDRESS(21+(A167-1)*A163,6)))</f>
        <v>0</v>
      </c>
      <c r="I156" s="20" t="str">
        <f ca="1">INDIRECT(_xlfn.TEXTJOIN("",TRUE,A166,"!",ADDRESS(21+(A167-1)*A163,13)))</f>
        <v>-</v>
      </c>
      <c r="J156" s="20" t="str">
        <f ca="1">INDIRECT(_xlfn.TEXTJOIN("",TRUE,A166,"!",ADDRESS(21+(A167-1)*A163,14)))</f>
        <v>-</v>
      </c>
    </row>
    <row r="157" spans="1:10" ht="26.25" customHeight="1" x14ac:dyDescent="0.2">
      <c r="A157" s="96" t="str">
        <f ca="1">INDIRECT(_xlfn.TEXTJOIN("",TRUE,A166,"!",ADDRESS(22+(A167-1)*A163,1)))</f>
        <v>CAP 001</v>
      </c>
      <c r="B157" s="97"/>
      <c r="C157" s="106" t="str">
        <f ca="1">INDIRECT(_xlfn.TEXTJOIN("",TRUE,A166,"!",ADDRESS(22+(A167-1)*A163,2)))</f>
        <v>Database Management System Lab</v>
      </c>
      <c r="D157" s="107"/>
      <c r="E157" s="107"/>
      <c r="F157" s="107"/>
      <c r="G157" s="108"/>
      <c r="H157" s="20">
        <f ca="1">INDIRECT(_xlfn.TEXTJOIN("",TRUE,A166,"!",ADDRESS(22+(A167-1)*A163,6)))</f>
        <v>1</v>
      </c>
      <c r="I157" s="20" t="str">
        <f ca="1">INDIRECT(_xlfn.TEXTJOIN("",TRUE,A166,"!",ADDRESS(22+(A167-1)*A163,13)))</f>
        <v>B+</v>
      </c>
      <c r="J157" s="20">
        <f ca="1">INDIRECT(_xlfn.TEXTJOIN("",TRUE,A166,"!",ADDRESS(22+(A167-1)*A163,14)))</f>
        <v>8.5</v>
      </c>
    </row>
    <row r="158" spans="1:10" ht="26.25" customHeight="1" x14ac:dyDescent="0.2">
      <c r="A158" s="110" t="str">
        <f ca="1">INDIRECT(_xlfn.TEXTJOIN("",TRUE,A166,"!",ADDRESS(23+(A167-1)*A163,1)))</f>
        <v>CAP 002</v>
      </c>
      <c r="B158" s="111"/>
      <c r="C158" s="115" t="str">
        <f ca="1">INDIRECT(_xlfn.TEXTJOIN("",TRUE,A166,"!",ADDRESS(23+(A167-1)*A163,2)))</f>
        <v>Operating System Lab</v>
      </c>
      <c r="D158" s="116"/>
      <c r="E158" s="116"/>
      <c r="F158" s="116"/>
      <c r="G158" s="117"/>
      <c r="H158" s="20">
        <f ca="1">INDIRECT(_xlfn.TEXTJOIN("",TRUE,A166,"!",ADDRESS(23+(A167-1)*A163,6)))</f>
        <v>1</v>
      </c>
      <c r="I158" s="20" t="str">
        <f ca="1">INDIRECT(_xlfn.TEXTJOIN("",TRUE,A166,"!",ADDRESS(23+(A167-1)*A163,13)))</f>
        <v>B+</v>
      </c>
      <c r="J158" s="20">
        <f ca="1">INDIRECT(_xlfn.TEXTJOIN("",TRUE,A166,"!",ADDRESS(23+(A167-1)*A163,14)))</f>
        <v>8.5</v>
      </c>
    </row>
    <row r="159" spans="1:10" ht="26.25" customHeight="1" x14ac:dyDescent="0.2">
      <c r="A159" s="110" t="str">
        <f ca="1">INDIRECT(_xlfn.TEXTJOIN("",TRUE,A166,"!",ADDRESS(24+(A167-1)*A163,1)))</f>
        <v>CAP 003</v>
      </c>
      <c r="B159" s="111"/>
      <c r="C159" s="115" t="str">
        <f ca="1">INDIRECT(_xlfn.TEXTJOIN("",TRUE,A166,"!",ADDRESS(24+(A167-1)*A163,2)))</f>
        <v>Computer Organization Lab</v>
      </c>
      <c r="D159" s="116"/>
      <c r="E159" s="116"/>
      <c r="F159" s="116"/>
      <c r="G159" s="117"/>
      <c r="H159" s="20">
        <f ca="1">INDIRECT(_xlfn.TEXTJOIN("",TRUE,A166,"!",ADDRESS(24+(A167-1)*A163,6)))</f>
        <v>1</v>
      </c>
      <c r="I159" s="20" t="str">
        <f ca="1">INDIRECT(_xlfn.TEXTJOIN("",TRUE,A166,"!",ADDRESS(24+(A167-1)*A163,13)))</f>
        <v>A+</v>
      </c>
      <c r="J159" s="20">
        <f ca="1">INDIRECT(_xlfn.TEXTJOIN("",TRUE,A166,"!",ADDRESS(24+(A167-1)*A163,14)))</f>
        <v>9.5</v>
      </c>
    </row>
    <row r="160" spans="1:10" ht="26.25" customHeight="1" x14ac:dyDescent="0.2">
      <c r="A160" s="110" t="str">
        <f ca="1">INDIRECT(_xlfn.TEXTJOIN("",TRUE,A166,"!",ADDRESS(25+(A167-1)*A163,1)))</f>
        <v>AHP 303</v>
      </c>
      <c r="B160" s="111"/>
      <c r="C160" s="115" t="str">
        <f ca="1">INDIRECT(_xlfn.TEXTJOIN("",TRUE,A166,"!",ADDRESS(25+(A167-1)*A163,2)))</f>
        <v>Technical Communication Skills</v>
      </c>
      <c r="D160" s="116"/>
      <c r="E160" s="116"/>
      <c r="F160" s="116"/>
      <c r="G160" s="117"/>
      <c r="H160" s="20">
        <f ca="1">INDIRECT(_xlfn.TEXTJOIN("",TRUE,A166,"!",ADDRESS(25+(A167-1)*A163,6)))</f>
        <v>1</v>
      </c>
      <c r="I160" s="20" t="str">
        <f ca="1">INDIRECT(_xlfn.TEXTJOIN("",TRUE,A166,"!",ADDRESS(25+(A167-1)*A163,13)))</f>
        <v>B+</v>
      </c>
      <c r="J160" s="20">
        <f ca="1">INDIRECT(_xlfn.TEXTJOIN("",TRUE,A166,"!",ADDRESS(25+(A167-1)*A163,14)))</f>
        <v>8.5</v>
      </c>
    </row>
    <row r="161" spans="1:10" ht="26.25" customHeight="1" x14ac:dyDescent="0.2">
      <c r="A161" s="100" t="s">
        <v>52</v>
      </c>
      <c r="B161" s="101"/>
      <c r="C161" s="101"/>
      <c r="D161" s="101"/>
      <c r="E161" s="101"/>
      <c r="F161" s="101"/>
      <c r="G161" s="102"/>
      <c r="H161" s="98">
        <f ca="1">SUM(H148:H161)</f>
        <v>24</v>
      </c>
      <c r="I161" s="98" t="s">
        <v>44</v>
      </c>
      <c r="J161" s="118">
        <f ca="1">SUMPRODUCT(J148:J160,H148:H160)</f>
        <v>155</v>
      </c>
    </row>
    <row r="162" spans="1:10" ht="26.25" customHeight="1" x14ac:dyDescent="0.2">
      <c r="A162" s="103"/>
      <c r="B162" s="104"/>
      <c r="C162" s="104"/>
      <c r="D162" s="104"/>
      <c r="E162" s="104"/>
      <c r="F162" s="104"/>
      <c r="G162" s="105"/>
      <c r="H162" s="99"/>
      <c r="I162" s="99"/>
      <c r="J162" s="118"/>
    </row>
    <row r="163" spans="1:10" ht="26.25" customHeight="1" x14ac:dyDescent="0.2">
      <c r="A163" s="22">
        <f>ROWS(A148:B161)+9</f>
        <v>23</v>
      </c>
      <c r="B163" s="17"/>
      <c r="C163" s="17"/>
      <c r="D163" s="17"/>
      <c r="E163" s="17"/>
      <c r="F163" s="17"/>
      <c r="G163" s="17"/>
      <c r="H163" s="17"/>
      <c r="I163" s="17"/>
      <c r="J163" s="17"/>
    </row>
    <row r="164" spans="1:10" ht="26.25" customHeight="1" x14ac:dyDescent="0.2">
      <c r="A164" s="120" t="s">
        <v>40</v>
      </c>
      <c r="B164" s="120"/>
      <c r="C164" s="21">
        <f ca="1">INDIRECT(_xlfn.TEXTJOIN("",TRUE,A166,"!",ADDRESS(5+A167*A163,12)))</f>
        <v>24</v>
      </c>
      <c r="D164" s="120" t="s">
        <v>38</v>
      </c>
      <c r="E164" s="120"/>
      <c r="F164" s="18">
        <f ca="1">INDIRECT(_xlfn.TEXTJOIN("",TRUE,A166,"!",ADDRESS(5+A167*A163,8)))</f>
        <v>6.458333333333333</v>
      </c>
      <c r="G164" s="120" t="s">
        <v>39</v>
      </c>
      <c r="H164" s="120"/>
      <c r="I164" s="109">
        <f ca="1">INDIRECT(_xlfn.TEXTJOIN("",TRUE,A166,"!",ADDRESS(5+A167*A163,10)))</f>
        <v>6.458333333333333</v>
      </c>
      <c r="J164" s="109"/>
    </row>
    <row r="165" spans="1:10" ht="26.25" customHeight="1" x14ac:dyDescent="0.2">
      <c r="A165" s="19" t="s">
        <v>36</v>
      </c>
      <c r="B165" s="95" t="str">
        <f ca="1">INDIRECT(_xlfn.TEXTJOIN("",TRUE,A166,"!",ADDRESS(5+A167*A163,2)))</f>
        <v>PASS</v>
      </c>
      <c r="C165" s="95"/>
      <c r="D165" s="121" t="s">
        <v>37</v>
      </c>
      <c r="E165" s="121"/>
      <c r="F165" s="122" t="str">
        <f ca="1">INDIRECT(_xlfn.TEXTJOIN("",TRUE,A166,"!",ADDRESS(5+A167*A163,5)))</f>
        <v/>
      </c>
      <c r="G165" s="122"/>
      <c r="H165" s="122"/>
      <c r="I165" s="122"/>
      <c r="J165" s="122"/>
    </row>
    <row r="166" spans="1:10" ht="26.25" customHeight="1" x14ac:dyDescent="0.2">
      <c r="A166" s="22" t="str">
        <f>A143</f>
        <v>TC_I</v>
      </c>
    </row>
    <row r="167" spans="1:10" ht="26.25" customHeight="1" x14ac:dyDescent="0.2">
      <c r="A167" s="22">
        <f>A144+1</f>
        <v>7</v>
      </c>
    </row>
    <row r="168" spans="1:10" ht="26.25" customHeight="1" x14ac:dyDescent="0.2">
      <c r="A168" s="112" t="s">
        <v>24</v>
      </c>
      <c r="B168" s="112"/>
      <c r="C168" s="112" t="str">
        <f ca="1">INDIRECT(_xlfn.TEXTJOIN("",TRUE,A189,"!",ADDRESS(9+(A190-1)*A186,2)))</f>
        <v>KHUSHI DWIVEDI</v>
      </c>
      <c r="D168" s="112"/>
      <c r="E168" s="112"/>
      <c r="F168" s="112" t="s">
        <v>50</v>
      </c>
      <c r="G168" s="112"/>
      <c r="H168" s="112"/>
      <c r="I168" s="113">
        <f ca="1">INDIRECT(_xlfn.TEXTJOIN("",TRUE,A189,"!",ADDRESS(9+(A190-1)*A186,9)))</f>
        <v>250090600008</v>
      </c>
      <c r="J168" s="113"/>
    </row>
    <row r="169" spans="1:10" ht="26.25" customHeight="1" x14ac:dyDescent="0.2">
      <c r="A169" s="112" t="s">
        <v>25</v>
      </c>
      <c r="B169" s="112"/>
      <c r="C169" s="112" t="str">
        <f ca="1">INDIRECT(_xlfn.TEXTJOIN("",TRUE,A189,"!",ADDRESS(9+(A190-1)*A186,5)))</f>
        <v>CHANDI PRASAD DWIVEDI</v>
      </c>
      <c r="D169" s="112"/>
      <c r="E169" s="112"/>
      <c r="F169" s="114" t="s">
        <v>51</v>
      </c>
      <c r="G169" s="114"/>
      <c r="H169" s="114"/>
      <c r="I169" s="113" t="str">
        <f ca="1">INDIRECT(_xlfn.TEXTJOIN("",TRUE,A189,"!",ADDRESS(9+(A190-1)*A186,13)))</f>
        <v>PUTU/2506100145</v>
      </c>
      <c r="J169" s="113"/>
    </row>
    <row r="170" spans="1:10" ht="26.25" customHeight="1" x14ac:dyDescent="0.2">
      <c r="A170" s="95" t="s">
        <v>28</v>
      </c>
      <c r="B170" s="95"/>
      <c r="C170" s="95" t="s">
        <v>29</v>
      </c>
      <c r="D170" s="95"/>
      <c r="E170" s="95"/>
      <c r="F170" s="95"/>
      <c r="G170" s="95"/>
      <c r="H170" s="15" t="s">
        <v>30</v>
      </c>
      <c r="I170" s="15" t="s">
        <v>9</v>
      </c>
      <c r="J170" s="15" t="s">
        <v>34</v>
      </c>
    </row>
    <row r="171" spans="1:10" ht="26.25" customHeight="1" x14ac:dyDescent="0.2">
      <c r="A171" s="96" t="str">
        <f ca="1">INDIRECT(_xlfn.TEXTJOIN("",TRUE,A189,"!",ADDRESS(13+(A190-1)*A186,1)))</f>
        <v>CAT 004</v>
      </c>
      <c r="B171" s="97"/>
      <c r="C171" s="106" t="str">
        <f ca="1">INDIRECT(_xlfn.TEXTJOIN("",TRUE,A189,"!",ADDRESS(13+(A190-1)*A186,2)))</f>
        <v>Discrete Structure</v>
      </c>
      <c r="D171" s="107"/>
      <c r="E171" s="107"/>
      <c r="F171" s="107"/>
      <c r="G171" s="108"/>
      <c r="H171" s="20">
        <f ca="1">INDIRECT(_xlfn.TEXTJOIN("",TRUE,A189,"!",ADDRESS(13+(A190-1)*A186,6)))</f>
        <v>4</v>
      </c>
      <c r="I171" s="20" t="str">
        <f ca="1">INDIRECT(_xlfn.TEXTJOIN("",TRUE,A189,"!",ADDRESS(13+(A190-1)*A186,13)))</f>
        <v>A</v>
      </c>
      <c r="J171" s="20">
        <f ca="1">INDIRECT(_xlfn.TEXTJOIN("",TRUE,A189,"!",ADDRESS(13+(A190-1)*A186,14)))</f>
        <v>9</v>
      </c>
    </row>
    <row r="172" spans="1:10" ht="26.25" customHeight="1" x14ac:dyDescent="0.2">
      <c r="A172" s="96" t="str">
        <f ca="1">INDIRECT(_xlfn.TEXTJOIN("",TRUE,A189,"!",ADDRESS(14+(A190-1)*A186,1)))</f>
        <v>CAT 005</v>
      </c>
      <c r="B172" s="97"/>
      <c r="C172" s="106" t="str">
        <f ca="1">INDIRECT(_xlfn.TEXTJOIN("",TRUE,A189,"!",ADDRESS(14+(A190-1)*A186,2)))</f>
        <v>Database Management System</v>
      </c>
      <c r="D172" s="107"/>
      <c r="E172" s="107"/>
      <c r="F172" s="107"/>
      <c r="G172" s="108"/>
      <c r="H172" s="20">
        <f ca="1">INDIRECT(_xlfn.TEXTJOIN("",TRUE,A189,"!",ADDRESS(14+(A190-1)*A186,6)))</f>
        <v>4</v>
      </c>
      <c r="I172" s="20" t="str">
        <f ca="1">INDIRECT(_xlfn.TEXTJOIN("",TRUE,A189,"!",ADDRESS(14+(A190-1)*A186,13)))</f>
        <v>A+</v>
      </c>
      <c r="J172" s="20">
        <f ca="1">INDIRECT(_xlfn.TEXTJOIN("",TRUE,A189,"!",ADDRESS(14+(A190-1)*A186,14)))</f>
        <v>9.5</v>
      </c>
    </row>
    <row r="173" spans="1:10" ht="26.25" customHeight="1" x14ac:dyDescent="0.2">
      <c r="A173" s="96" t="str">
        <f ca="1">INDIRECT(_xlfn.TEXTJOIN("",TRUE,A189,"!",ADDRESS(15+(A190-1)*A186,1)))</f>
        <v>CAT 006</v>
      </c>
      <c r="B173" s="97"/>
      <c r="C173" s="106" t="str">
        <f ca="1">INDIRECT(_xlfn.TEXTJOIN("",TRUE,A189,"!",ADDRESS(15+(A190-1)*A186,2)))</f>
        <v>Operating System</v>
      </c>
      <c r="D173" s="107"/>
      <c r="E173" s="107"/>
      <c r="F173" s="107"/>
      <c r="G173" s="108"/>
      <c r="H173" s="20">
        <f ca="1">INDIRECT(_xlfn.TEXTJOIN("",TRUE,A189,"!",ADDRESS(15+(A190-1)*A186,6)))</f>
        <v>4</v>
      </c>
      <c r="I173" s="20" t="str">
        <f ca="1">INDIRECT(_xlfn.TEXTJOIN("",TRUE,A189,"!",ADDRESS(15+(A190-1)*A186,13)))</f>
        <v>O</v>
      </c>
      <c r="J173" s="20">
        <f ca="1">INDIRECT(_xlfn.TEXTJOIN("",TRUE,A189,"!",ADDRESS(15+(A190-1)*A186,14)))</f>
        <v>10</v>
      </c>
    </row>
    <row r="174" spans="1:10" ht="26.25" customHeight="1" x14ac:dyDescent="0.2">
      <c r="A174" s="96" t="str">
        <f ca="1">INDIRECT(_xlfn.TEXTJOIN("",TRUE,A189,"!",ADDRESS(16+(A190-1)*A186,1)))</f>
        <v>CAT 007</v>
      </c>
      <c r="B174" s="97"/>
      <c r="C174" s="106" t="str">
        <f ca="1">INDIRECT(_xlfn.TEXTJOIN("",TRUE,A189,"!",ADDRESS(16+(A190-1)*A186,2)))</f>
        <v>Computer Organization</v>
      </c>
      <c r="D174" s="107"/>
      <c r="E174" s="107"/>
      <c r="F174" s="107"/>
      <c r="G174" s="108"/>
      <c r="H174" s="20">
        <f ca="1">INDIRECT(_xlfn.TEXTJOIN("",TRUE,A189,"!",ADDRESS(16+(A190-1)*A186,6)))</f>
        <v>4</v>
      </c>
      <c r="I174" s="20" t="str">
        <f ca="1">INDIRECT(_xlfn.TEXTJOIN("",TRUE,A189,"!",ADDRESS(16+(A190-1)*A186,13)))</f>
        <v>A+</v>
      </c>
      <c r="J174" s="20">
        <f ca="1">INDIRECT(_xlfn.TEXTJOIN("",TRUE,A189,"!",ADDRESS(16+(A190-1)*A186,14)))</f>
        <v>9.5</v>
      </c>
    </row>
    <row r="175" spans="1:10" ht="26.25" customHeight="1" x14ac:dyDescent="0.2">
      <c r="A175" s="96" t="str">
        <f ca="1">INDIRECT(_xlfn.TEXTJOIN("",TRUE,A189,"!",ADDRESS(17+(A190-1)*A186,1)))</f>
        <v>AHT 303</v>
      </c>
      <c r="B175" s="97"/>
      <c r="C175" s="106" t="str">
        <f ca="1">INDIRECT(_xlfn.TEXTJOIN("",TRUE,A189,"!",ADDRESS(17+(A190-1)*A186,2)))</f>
        <v>Technical Communication Skills</v>
      </c>
      <c r="D175" s="107"/>
      <c r="E175" s="107"/>
      <c r="F175" s="107"/>
      <c r="G175" s="108"/>
      <c r="H175" s="20">
        <f ca="1">INDIRECT(_xlfn.TEXTJOIN("",TRUE,A189,"!",ADDRESS(17+(A190-1)*A186,6)))</f>
        <v>4</v>
      </c>
      <c r="I175" s="20" t="str">
        <f ca="1">INDIRECT(_xlfn.TEXTJOIN("",TRUE,A189,"!",ADDRESS(17+(A190-1)*A186,13)))</f>
        <v>A</v>
      </c>
      <c r="J175" s="20">
        <f ca="1">INDIRECT(_xlfn.TEXTJOIN("",TRUE,A189,"!",ADDRESS(17+(A190-1)*A186,14)))</f>
        <v>9</v>
      </c>
    </row>
    <row r="176" spans="1:10" ht="26.25" customHeight="1" x14ac:dyDescent="0.2">
      <c r="A176" s="96" t="str">
        <f ca="1">INDIRECT(_xlfn.TEXTJOIN("",TRUE,A189,"!",ADDRESS(18+(A190-1)*A186,1)))</f>
        <v>CAT 008</v>
      </c>
      <c r="B176" s="97"/>
      <c r="C176" s="106" t="str">
        <f ca="1">INDIRECT(_xlfn.TEXTJOIN("",TRUE,A189,"!",ADDRESS(18+(A190-1)*A186,2)))</f>
        <v>Python Programming ($)</v>
      </c>
      <c r="D176" s="107"/>
      <c r="E176" s="107"/>
      <c r="F176" s="107"/>
      <c r="G176" s="108"/>
      <c r="H176" s="20">
        <f ca="1">INDIRECT(_xlfn.TEXTJOIN("",TRUE,A189,"!",ADDRESS(18+(A190-1)*A186,6)))</f>
        <v>0</v>
      </c>
      <c r="I176" s="20" t="str">
        <f ca="1">INDIRECT(_xlfn.TEXTJOIN("",TRUE,A189,"!",ADDRESS(18+(A190-1)*A186,13)))</f>
        <v>A</v>
      </c>
      <c r="J176" s="20">
        <f ca="1">INDIRECT(_xlfn.TEXTJOIN("",TRUE,A189,"!",ADDRESS(18+(A190-1)*A186,14)))</f>
        <v>9</v>
      </c>
    </row>
    <row r="177" spans="1:10" ht="26.25" customHeight="1" x14ac:dyDescent="0.2">
      <c r="A177" s="96" t="str">
        <f ca="1">INDIRECT(_xlfn.TEXTJOIN("",TRUE,A189,"!",ADDRESS(19+(A190-1)*A186,1)))</f>
        <v>CAT 001</v>
      </c>
      <c r="B177" s="97"/>
      <c r="C177" s="106" t="str">
        <f ca="1">INDIRECT(_xlfn.TEXTJOIN("",TRUE,A189,"!",ADDRESS(19+(A190-1)*A186,2)))</f>
        <v>Introduction of Information Technology ($)</v>
      </c>
      <c r="D177" s="107"/>
      <c r="E177" s="107"/>
      <c r="F177" s="107"/>
      <c r="G177" s="108"/>
      <c r="H177" s="20">
        <f ca="1">INDIRECT(_xlfn.TEXTJOIN("",TRUE,A189,"!",ADDRESS(19+(A190-1)*A186,6)))</f>
        <v>0</v>
      </c>
      <c r="I177" s="20" t="str">
        <f ca="1">INDIRECT(_xlfn.TEXTJOIN("",TRUE,A189,"!",ADDRESS(19+(A190-1)*A186,13)))</f>
        <v>-</v>
      </c>
      <c r="J177" s="20" t="str">
        <f ca="1">INDIRECT(_xlfn.TEXTJOIN("",TRUE,A189,"!",ADDRESS(19+(A190-1)*A186,14)))</f>
        <v>-</v>
      </c>
    </row>
    <row r="178" spans="1:10" ht="26.25" customHeight="1" x14ac:dyDescent="0.2">
      <c r="A178" s="96" t="str">
        <f ca="1">INDIRECT(_xlfn.TEXTJOIN("",TRUE,A189,"!",ADDRESS(20+(A190-1)*A186,1)))</f>
        <v>CAT 002</v>
      </c>
      <c r="B178" s="97"/>
      <c r="C178" s="106" t="str">
        <f ca="1">INDIRECT(_xlfn.TEXTJOIN("",TRUE,A189,"!",ADDRESS(20+(A190-1)*A186,2)))</f>
        <v>Programming Fundamentals with "C" ($)</v>
      </c>
      <c r="D178" s="107"/>
      <c r="E178" s="107"/>
      <c r="F178" s="107"/>
      <c r="G178" s="108"/>
      <c r="H178" s="20">
        <f ca="1">INDIRECT(_xlfn.TEXTJOIN("",TRUE,A189,"!",ADDRESS(20+(A190-1)*A186,6)))</f>
        <v>0</v>
      </c>
      <c r="I178" s="20" t="str">
        <f ca="1">INDIRECT(_xlfn.TEXTJOIN("",TRUE,A189,"!",ADDRESS(20+(A190-1)*A186,13)))</f>
        <v>-</v>
      </c>
      <c r="J178" s="20" t="str">
        <f ca="1">INDIRECT(_xlfn.TEXTJOIN("",TRUE,A189,"!",ADDRESS(20+(A190-1)*A186,14)))</f>
        <v>-</v>
      </c>
    </row>
    <row r="179" spans="1:10" ht="26.25" customHeight="1" x14ac:dyDescent="0.2">
      <c r="A179" s="96" t="str">
        <f ca="1">INDIRECT(_xlfn.TEXTJOIN("",TRUE,A189,"!",ADDRESS(21+(A190-1)*A186,1)))</f>
        <v>CAT 003</v>
      </c>
      <c r="B179" s="97"/>
      <c r="C179" s="106" t="str">
        <f ca="1">INDIRECT(_xlfn.TEXTJOIN("",TRUE,A189,"!",ADDRESS(21+(A190-1)*A186,2)))</f>
        <v>Fundamental of Web Technology ($)</v>
      </c>
      <c r="D179" s="107"/>
      <c r="E179" s="107"/>
      <c r="F179" s="107"/>
      <c r="G179" s="108"/>
      <c r="H179" s="20">
        <f ca="1">INDIRECT(_xlfn.TEXTJOIN("",TRUE,A189,"!",ADDRESS(21+(A190-1)*A186,6)))</f>
        <v>0</v>
      </c>
      <c r="I179" s="20" t="str">
        <f ca="1">INDIRECT(_xlfn.TEXTJOIN("",TRUE,A189,"!",ADDRESS(21+(A190-1)*A186,13)))</f>
        <v>-</v>
      </c>
      <c r="J179" s="20" t="str">
        <f ca="1">INDIRECT(_xlfn.TEXTJOIN("",TRUE,A189,"!",ADDRESS(21+(A190-1)*A186,14)))</f>
        <v>-</v>
      </c>
    </row>
    <row r="180" spans="1:10" ht="26.25" customHeight="1" x14ac:dyDescent="0.2">
      <c r="A180" s="96" t="str">
        <f ca="1">INDIRECT(_xlfn.TEXTJOIN("",TRUE,A189,"!",ADDRESS(22+(A190-1)*A186,1)))</f>
        <v>CAP 001</v>
      </c>
      <c r="B180" s="97"/>
      <c r="C180" s="106" t="str">
        <f ca="1">INDIRECT(_xlfn.TEXTJOIN("",TRUE,A189,"!",ADDRESS(22+(A190-1)*A186,2)))</f>
        <v>Database Management System Lab</v>
      </c>
      <c r="D180" s="107"/>
      <c r="E180" s="107"/>
      <c r="F180" s="107"/>
      <c r="G180" s="108"/>
      <c r="H180" s="20">
        <f ca="1">INDIRECT(_xlfn.TEXTJOIN("",TRUE,A189,"!",ADDRESS(22+(A190-1)*A186,6)))</f>
        <v>1</v>
      </c>
      <c r="I180" s="20" t="str">
        <f ca="1">INDIRECT(_xlfn.TEXTJOIN("",TRUE,A189,"!",ADDRESS(22+(A190-1)*A186,13)))</f>
        <v>O</v>
      </c>
      <c r="J180" s="20">
        <f ca="1">INDIRECT(_xlfn.TEXTJOIN("",TRUE,A189,"!",ADDRESS(22+(A190-1)*A186,14)))</f>
        <v>10</v>
      </c>
    </row>
    <row r="181" spans="1:10" ht="26.25" customHeight="1" x14ac:dyDescent="0.2">
      <c r="A181" s="110" t="str">
        <f ca="1">INDIRECT(_xlfn.TEXTJOIN("",TRUE,A189,"!",ADDRESS(23+(A190-1)*A186,1)))</f>
        <v>CAP 002</v>
      </c>
      <c r="B181" s="111"/>
      <c r="C181" s="115" t="str">
        <f ca="1">INDIRECT(_xlfn.TEXTJOIN("",TRUE,A189,"!",ADDRESS(23+(A190-1)*A186,2)))</f>
        <v>Operating System Lab</v>
      </c>
      <c r="D181" s="116"/>
      <c r="E181" s="116"/>
      <c r="F181" s="116"/>
      <c r="G181" s="117"/>
      <c r="H181" s="20">
        <f ca="1">INDIRECT(_xlfn.TEXTJOIN("",TRUE,A189,"!",ADDRESS(23+(A190-1)*A186,6)))</f>
        <v>1</v>
      </c>
      <c r="I181" s="20" t="str">
        <f ca="1">INDIRECT(_xlfn.TEXTJOIN("",TRUE,A189,"!",ADDRESS(23+(A190-1)*A186,13)))</f>
        <v>O</v>
      </c>
      <c r="J181" s="20">
        <f ca="1">INDIRECT(_xlfn.TEXTJOIN("",TRUE,A189,"!",ADDRESS(23+(A190-1)*A186,14)))</f>
        <v>10</v>
      </c>
    </row>
    <row r="182" spans="1:10" ht="26.25" customHeight="1" x14ac:dyDescent="0.2">
      <c r="A182" s="110" t="str">
        <f ca="1">INDIRECT(_xlfn.TEXTJOIN("",TRUE,A189,"!",ADDRESS(24+(A190-1)*A186,1)))</f>
        <v>CAP 003</v>
      </c>
      <c r="B182" s="111"/>
      <c r="C182" s="115" t="str">
        <f ca="1">INDIRECT(_xlfn.TEXTJOIN("",TRUE,A189,"!",ADDRESS(24+(A190-1)*A186,2)))</f>
        <v>Computer Organization Lab</v>
      </c>
      <c r="D182" s="116"/>
      <c r="E182" s="116"/>
      <c r="F182" s="116"/>
      <c r="G182" s="117"/>
      <c r="H182" s="20">
        <f ca="1">INDIRECT(_xlfn.TEXTJOIN("",TRUE,A189,"!",ADDRESS(24+(A190-1)*A186,6)))</f>
        <v>1</v>
      </c>
      <c r="I182" s="20" t="str">
        <f ca="1">INDIRECT(_xlfn.TEXTJOIN("",TRUE,A189,"!",ADDRESS(24+(A190-1)*A186,13)))</f>
        <v>O</v>
      </c>
      <c r="J182" s="20">
        <f ca="1">INDIRECT(_xlfn.TEXTJOIN("",TRUE,A189,"!",ADDRESS(24+(A190-1)*A186,14)))</f>
        <v>10</v>
      </c>
    </row>
    <row r="183" spans="1:10" ht="26.25" customHeight="1" x14ac:dyDescent="0.2">
      <c r="A183" s="110" t="str">
        <f ca="1">INDIRECT(_xlfn.TEXTJOIN("",TRUE,A189,"!",ADDRESS(25+(A190-1)*A186,1)))</f>
        <v>AHP 303</v>
      </c>
      <c r="B183" s="111"/>
      <c r="C183" s="115" t="str">
        <f ca="1">INDIRECT(_xlfn.TEXTJOIN("",TRUE,A189,"!",ADDRESS(25+(A190-1)*A186,2)))</f>
        <v>Technical Communication Skills</v>
      </c>
      <c r="D183" s="116"/>
      <c r="E183" s="116"/>
      <c r="F183" s="116"/>
      <c r="G183" s="117"/>
      <c r="H183" s="20">
        <f ca="1">INDIRECT(_xlfn.TEXTJOIN("",TRUE,A189,"!",ADDRESS(25+(A190-1)*A186,6)))</f>
        <v>1</v>
      </c>
      <c r="I183" s="20" t="str">
        <f ca="1">INDIRECT(_xlfn.TEXTJOIN("",TRUE,A189,"!",ADDRESS(25+(A190-1)*A186,13)))</f>
        <v>B+</v>
      </c>
      <c r="J183" s="20">
        <f ca="1">INDIRECT(_xlfn.TEXTJOIN("",TRUE,A189,"!",ADDRESS(25+(A190-1)*A186,14)))</f>
        <v>8.5</v>
      </c>
    </row>
    <row r="184" spans="1:10" ht="26.25" customHeight="1" x14ac:dyDescent="0.2">
      <c r="A184" s="100" t="s">
        <v>52</v>
      </c>
      <c r="B184" s="101"/>
      <c r="C184" s="101"/>
      <c r="D184" s="101"/>
      <c r="E184" s="101"/>
      <c r="F184" s="101"/>
      <c r="G184" s="102"/>
      <c r="H184" s="98">
        <f ca="1">SUM(H171:H184)</f>
        <v>24</v>
      </c>
      <c r="I184" s="98" t="s">
        <v>44</v>
      </c>
      <c r="J184" s="98">
        <f ca="1">SUMPRODUCT(J171:J183,H171:H183)</f>
        <v>226.5</v>
      </c>
    </row>
    <row r="185" spans="1:10" ht="26.25" customHeight="1" x14ac:dyDescent="0.2">
      <c r="A185" s="103"/>
      <c r="B185" s="104"/>
      <c r="C185" s="104"/>
      <c r="D185" s="104"/>
      <c r="E185" s="104"/>
      <c r="F185" s="104"/>
      <c r="G185" s="105"/>
      <c r="H185" s="99"/>
      <c r="I185" s="99"/>
      <c r="J185" s="99"/>
    </row>
    <row r="186" spans="1:10" ht="26.25" customHeight="1" x14ac:dyDescent="0.2">
      <c r="A186" s="22">
        <f>ROWS(A171:B184)+9</f>
        <v>23</v>
      </c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1:10" ht="26.25" customHeight="1" x14ac:dyDescent="0.2">
      <c r="A187" s="120" t="s">
        <v>40</v>
      </c>
      <c r="B187" s="120"/>
      <c r="C187" s="21">
        <f ca="1">INDIRECT(_xlfn.TEXTJOIN("",TRUE,A189,"!",ADDRESS(5+A190*A186,12)))</f>
        <v>24</v>
      </c>
      <c r="D187" s="120" t="s">
        <v>38</v>
      </c>
      <c r="E187" s="120"/>
      <c r="F187" s="18">
        <f ca="1">INDIRECT(_xlfn.TEXTJOIN("",TRUE,A189,"!",ADDRESS(5+A190*A186,8)))</f>
        <v>9.4375</v>
      </c>
      <c r="G187" s="120" t="s">
        <v>39</v>
      </c>
      <c r="H187" s="120"/>
      <c r="I187" s="109">
        <f ca="1">INDIRECT(_xlfn.TEXTJOIN("",TRUE,A189,"!",ADDRESS(5+A190*A186,10)))</f>
        <v>9.4375</v>
      </c>
      <c r="J187" s="109"/>
    </row>
    <row r="188" spans="1:10" ht="26.25" customHeight="1" x14ac:dyDescent="0.2">
      <c r="A188" s="19" t="s">
        <v>36</v>
      </c>
      <c r="B188" s="95" t="str">
        <f ca="1">INDIRECT(_xlfn.TEXTJOIN("",TRUE,A189,"!",ADDRESS(5+A190*A186,2)))</f>
        <v>PASS</v>
      </c>
      <c r="C188" s="95"/>
      <c r="D188" s="121" t="s">
        <v>37</v>
      </c>
      <c r="E188" s="121"/>
      <c r="F188" s="122" t="str">
        <f ca="1">INDIRECT(_xlfn.TEXTJOIN("",TRUE,A189,"!",ADDRESS(5+A190*A186,5)))</f>
        <v/>
      </c>
      <c r="G188" s="122"/>
      <c r="H188" s="122"/>
      <c r="I188" s="122"/>
      <c r="J188" s="122"/>
    </row>
    <row r="189" spans="1:10" ht="26.25" customHeight="1" x14ac:dyDescent="0.2">
      <c r="A189" s="22" t="str">
        <f>A166</f>
        <v>TC_I</v>
      </c>
    </row>
    <row r="190" spans="1:10" ht="26.25" customHeight="1" x14ac:dyDescent="0.2">
      <c r="A190" s="22">
        <f>A167+1</f>
        <v>8</v>
      </c>
    </row>
    <row r="191" spans="1:10" ht="26.25" customHeight="1" x14ac:dyDescent="0.2">
      <c r="A191" s="112" t="s">
        <v>24</v>
      </c>
      <c r="B191" s="112"/>
      <c r="C191" s="112" t="str">
        <f ca="1">INDIRECT(_xlfn.TEXTJOIN("",TRUE,A212,"!",ADDRESS(9+(A213-1)*A209,2)))</f>
        <v>KIRAN SAHANI</v>
      </c>
      <c r="D191" s="112"/>
      <c r="E191" s="112"/>
      <c r="F191" s="112" t="s">
        <v>50</v>
      </c>
      <c r="G191" s="112"/>
      <c r="H191" s="112"/>
      <c r="I191" s="113">
        <f ca="1">INDIRECT(_xlfn.TEXTJOIN("",TRUE,A212,"!",ADDRESS(9+(A213-1)*A209,9)))</f>
        <v>250090600009</v>
      </c>
      <c r="J191" s="113"/>
    </row>
    <row r="192" spans="1:10" ht="26.25" customHeight="1" x14ac:dyDescent="0.2">
      <c r="A192" s="112" t="s">
        <v>25</v>
      </c>
      <c r="B192" s="112"/>
      <c r="C192" s="112" t="str">
        <f ca="1">INDIRECT(_xlfn.TEXTJOIN("",TRUE,A212,"!",ADDRESS(9+(A213-1)*A209,5)))</f>
        <v>VINOD SAHANI</v>
      </c>
      <c r="D192" s="112"/>
      <c r="E192" s="112"/>
      <c r="F192" s="114" t="s">
        <v>51</v>
      </c>
      <c r="G192" s="114"/>
      <c r="H192" s="114"/>
      <c r="I192" s="113" t="str">
        <f ca="1">INDIRECT(_xlfn.TEXTJOIN("",TRUE,A212,"!",ADDRESS(9+(A213-1)*A209,13)))</f>
        <v>UTU/2506100160</v>
      </c>
      <c r="J192" s="113"/>
    </row>
    <row r="193" spans="1:10" ht="26.25" customHeight="1" x14ac:dyDescent="0.2">
      <c r="A193" s="95" t="s">
        <v>28</v>
      </c>
      <c r="B193" s="95"/>
      <c r="C193" s="95" t="s">
        <v>29</v>
      </c>
      <c r="D193" s="95"/>
      <c r="E193" s="95"/>
      <c r="F193" s="95"/>
      <c r="G193" s="95"/>
      <c r="H193" s="15" t="s">
        <v>30</v>
      </c>
      <c r="I193" s="15" t="s">
        <v>9</v>
      </c>
      <c r="J193" s="15" t="s">
        <v>34</v>
      </c>
    </row>
    <row r="194" spans="1:10" ht="26.25" customHeight="1" x14ac:dyDescent="0.2">
      <c r="A194" s="96" t="str">
        <f ca="1">INDIRECT(_xlfn.TEXTJOIN("",TRUE,A212,"!",ADDRESS(13+(A213-1)*A209,1)))</f>
        <v>CAT 004</v>
      </c>
      <c r="B194" s="97"/>
      <c r="C194" s="106" t="str">
        <f ca="1">INDIRECT(_xlfn.TEXTJOIN("",TRUE,A212,"!",ADDRESS(13+(A213-1)*A209,2)))</f>
        <v>Discrete Structure</v>
      </c>
      <c r="D194" s="107"/>
      <c r="E194" s="107"/>
      <c r="F194" s="107"/>
      <c r="G194" s="108"/>
      <c r="H194" s="20">
        <f ca="1">INDIRECT(_xlfn.TEXTJOIN("",TRUE,A212,"!",ADDRESS(13+(A213-1)*A209,6)))</f>
        <v>4</v>
      </c>
      <c r="I194" s="20" t="str">
        <f ca="1">INDIRECT(_xlfn.TEXTJOIN("",TRUE,A212,"!",ADDRESS(13+(A213-1)*A209,13)))</f>
        <v>C+</v>
      </c>
      <c r="J194" s="20">
        <f ca="1">INDIRECT(_xlfn.TEXTJOIN("",TRUE,A212,"!",ADDRESS(13+(A213-1)*A209,14)))</f>
        <v>7.5</v>
      </c>
    </row>
    <row r="195" spans="1:10" ht="26.25" customHeight="1" x14ac:dyDescent="0.2">
      <c r="A195" s="96" t="str">
        <f ca="1">INDIRECT(_xlfn.TEXTJOIN("",TRUE,A212,"!",ADDRESS(14+(A213-1)*A209,1)))</f>
        <v>CAT 005</v>
      </c>
      <c r="B195" s="97"/>
      <c r="C195" s="106" t="str">
        <f ca="1">INDIRECT(_xlfn.TEXTJOIN("",TRUE,A212,"!",ADDRESS(14+(A213-1)*A209,2)))</f>
        <v>Database Management System</v>
      </c>
      <c r="D195" s="107"/>
      <c r="E195" s="107"/>
      <c r="F195" s="107"/>
      <c r="G195" s="108"/>
      <c r="H195" s="20">
        <f ca="1">INDIRECT(_xlfn.TEXTJOIN("",TRUE,A212,"!",ADDRESS(14+(A213-1)*A209,6)))</f>
        <v>4</v>
      </c>
      <c r="I195" s="20" t="str">
        <f ca="1">INDIRECT(_xlfn.TEXTJOIN("",TRUE,A212,"!",ADDRESS(14+(A213-1)*A209,13)))</f>
        <v>D+</v>
      </c>
      <c r="J195" s="20">
        <f ca="1">INDIRECT(_xlfn.TEXTJOIN("",TRUE,A212,"!",ADDRESS(14+(A213-1)*A209,14)))</f>
        <v>6.5</v>
      </c>
    </row>
    <row r="196" spans="1:10" ht="26.25" customHeight="1" x14ac:dyDescent="0.2">
      <c r="A196" s="96" t="str">
        <f ca="1">INDIRECT(_xlfn.TEXTJOIN("",TRUE,A212,"!",ADDRESS(15+(A213-1)*A209,1)))</f>
        <v>CAT 006</v>
      </c>
      <c r="B196" s="97"/>
      <c r="C196" s="106" t="str">
        <f ca="1">INDIRECT(_xlfn.TEXTJOIN("",TRUE,A212,"!",ADDRESS(15+(A213-1)*A209,2)))</f>
        <v>Operating System</v>
      </c>
      <c r="D196" s="107"/>
      <c r="E196" s="107"/>
      <c r="F196" s="107"/>
      <c r="G196" s="108"/>
      <c r="H196" s="20">
        <f ca="1">INDIRECT(_xlfn.TEXTJOIN("",TRUE,A212,"!",ADDRESS(15+(A213-1)*A209,6)))</f>
        <v>4</v>
      </c>
      <c r="I196" s="20" t="str">
        <f ca="1">INDIRECT(_xlfn.TEXTJOIN("",TRUE,A212,"!",ADDRESS(15+(A213-1)*A209,13)))</f>
        <v>C+</v>
      </c>
      <c r="J196" s="20">
        <f ca="1">INDIRECT(_xlfn.TEXTJOIN("",TRUE,A212,"!",ADDRESS(15+(A213-1)*A209,14)))</f>
        <v>7.5</v>
      </c>
    </row>
    <row r="197" spans="1:10" ht="26.25" customHeight="1" x14ac:dyDescent="0.2">
      <c r="A197" s="96" t="str">
        <f ca="1">INDIRECT(_xlfn.TEXTJOIN("",TRUE,A212,"!",ADDRESS(16+(A213-1)*A209,1)))</f>
        <v>CAT 007</v>
      </c>
      <c r="B197" s="97"/>
      <c r="C197" s="106" t="str">
        <f ca="1">INDIRECT(_xlfn.TEXTJOIN("",TRUE,A212,"!",ADDRESS(16+(A213-1)*A209,2)))</f>
        <v>Computer Organization</v>
      </c>
      <c r="D197" s="107"/>
      <c r="E197" s="107"/>
      <c r="F197" s="107"/>
      <c r="G197" s="108"/>
      <c r="H197" s="20">
        <f ca="1">INDIRECT(_xlfn.TEXTJOIN("",TRUE,A212,"!",ADDRESS(16+(A213-1)*A209,6)))</f>
        <v>4</v>
      </c>
      <c r="I197" s="20" t="str">
        <f ca="1">INDIRECT(_xlfn.TEXTJOIN("",TRUE,A212,"!",ADDRESS(16+(A213-1)*A209,13)))</f>
        <v>D+</v>
      </c>
      <c r="J197" s="20">
        <f ca="1">INDIRECT(_xlfn.TEXTJOIN("",TRUE,A212,"!",ADDRESS(16+(A213-1)*A209,14)))</f>
        <v>6.5</v>
      </c>
    </row>
    <row r="198" spans="1:10" ht="26.25" customHeight="1" x14ac:dyDescent="0.2">
      <c r="A198" s="96" t="str">
        <f ca="1">INDIRECT(_xlfn.TEXTJOIN("",TRUE,A212,"!",ADDRESS(17+(A213-1)*A209,1)))</f>
        <v>AHT 303</v>
      </c>
      <c r="B198" s="97"/>
      <c r="C198" s="106" t="str">
        <f ca="1">INDIRECT(_xlfn.TEXTJOIN("",TRUE,A212,"!",ADDRESS(17+(A213-1)*A209,2)))</f>
        <v>Technical Communication Skills</v>
      </c>
      <c r="D198" s="107"/>
      <c r="E198" s="107"/>
      <c r="F198" s="107"/>
      <c r="G198" s="108"/>
      <c r="H198" s="20">
        <f ca="1">INDIRECT(_xlfn.TEXTJOIN("",TRUE,A212,"!",ADDRESS(17+(A213-1)*A209,6)))</f>
        <v>4</v>
      </c>
      <c r="I198" s="20" t="str">
        <f ca="1">INDIRECT(_xlfn.TEXTJOIN("",TRUE,A212,"!",ADDRESS(17+(A213-1)*A209,13)))</f>
        <v>D+</v>
      </c>
      <c r="J198" s="20">
        <f ca="1">INDIRECT(_xlfn.TEXTJOIN("",TRUE,A212,"!",ADDRESS(17+(A213-1)*A209,14)))</f>
        <v>6.5</v>
      </c>
    </row>
    <row r="199" spans="1:10" ht="26.25" customHeight="1" x14ac:dyDescent="0.2">
      <c r="A199" s="96" t="str">
        <f ca="1">INDIRECT(_xlfn.TEXTJOIN("",TRUE,A212,"!",ADDRESS(18+(A213-1)*A209,1)))</f>
        <v>CAT 008</v>
      </c>
      <c r="B199" s="97"/>
      <c r="C199" s="106" t="str">
        <f ca="1">INDIRECT(_xlfn.TEXTJOIN("",TRUE,A212,"!",ADDRESS(18+(A213-1)*A209,2)))</f>
        <v>Python Programming ($)</v>
      </c>
      <c r="D199" s="107"/>
      <c r="E199" s="107"/>
      <c r="F199" s="107"/>
      <c r="G199" s="108"/>
      <c r="H199" s="20">
        <f ca="1">INDIRECT(_xlfn.TEXTJOIN("",TRUE,A212,"!",ADDRESS(18+(A213-1)*A209,6)))</f>
        <v>0</v>
      </c>
      <c r="I199" s="20" t="str">
        <f ca="1">INDIRECT(_xlfn.TEXTJOIN("",TRUE,A212,"!",ADDRESS(18+(A213-1)*A209,13)))</f>
        <v>E+</v>
      </c>
      <c r="J199" s="20">
        <f ca="1">INDIRECT(_xlfn.TEXTJOIN("",TRUE,A212,"!",ADDRESS(18+(A213-1)*A209,14)))</f>
        <v>5.5</v>
      </c>
    </row>
    <row r="200" spans="1:10" ht="26.25" customHeight="1" x14ac:dyDescent="0.2">
      <c r="A200" s="96" t="str">
        <f ca="1">INDIRECT(_xlfn.TEXTJOIN("",TRUE,A212,"!",ADDRESS(19+(A213-1)*A209,1)))</f>
        <v>CAT 001</v>
      </c>
      <c r="B200" s="97"/>
      <c r="C200" s="106" t="str">
        <f ca="1">INDIRECT(_xlfn.TEXTJOIN("",TRUE,A212,"!",ADDRESS(19+(A213-1)*A209,2)))</f>
        <v>Introduction of Information Technology ($)</v>
      </c>
      <c r="D200" s="107"/>
      <c r="E200" s="107"/>
      <c r="F200" s="107"/>
      <c r="G200" s="108"/>
      <c r="H200" s="20">
        <f ca="1">INDIRECT(_xlfn.TEXTJOIN("",TRUE,A212,"!",ADDRESS(19+(A213-1)*A209,6)))</f>
        <v>0</v>
      </c>
      <c r="I200" s="20" t="str">
        <f ca="1">INDIRECT(_xlfn.TEXTJOIN("",TRUE,A212,"!",ADDRESS(19+(A213-1)*A209,13)))</f>
        <v>B</v>
      </c>
      <c r="J200" s="20">
        <f ca="1">INDIRECT(_xlfn.TEXTJOIN("",TRUE,A212,"!",ADDRESS(19+(A213-1)*A209,14)))</f>
        <v>8</v>
      </c>
    </row>
    <row r="201" spans="1:10" ht="26.25" customHeight="1" x14ac:dyDescent="0.2">
      <c r="A201" s="96" t="str">
        <f ca="1">INDIRECT(_xlfn.TEXTJOIN("",TRUE,A212,"!",ADDRESS(20+(A213-1)*A209,1)))</f>
        <v>CAT 002</v>
      </c>
      <c r="B201" s="97"/>
      <c r="C201" s="106" t="str">
        <f ca="1">INDIRECT(_xlfn.TEXTJOIN("",TRUE,A212,"!",ADDRESS(20+(A213-1)*A209,2)))</f>
        <v>Programming Fundamentals with "C" ($)</v>
      </c>
      <c r="D201" s="107"/>
      <c r="E201" s="107"/>
      <c r="F201" s="107"/>
      <c r="G201" s="108"/>
      <c r="H201" s="20">
        <f ca="1">INDIRECT(_xlfn.TEXTJOIN("",TRUE,A212,"!",ADDRESS(20+(A213-1)*A209,6)))</f>
        <v>0</v>
      </c>
      <c r="I201" s="20" t="str">
        <f ca="1">INDIRECT(_xlfn.TEXTJOIN("",TRUE,A212,"!",ADDRESS(20+(A213-1)*A209,13)))</f>
        <v>C+</v>
      </c>
      <c r="J201" s="20">
        <f ca="1">INDIRECT(_xlfn.TEXTJOIN("",TRUE,A212,"!",ADDRESS(20+(A213-1)*A209,14)))</f>
        <v>7.5</v>
      </c>
    </row>
    <row r="202" spans="1:10" ht="26.25" customHeight="1" x14ac:dyDescent="0.2">
      <c r="A202" s="96" t="str">
        <f ca="1">INDIRECT(_xlfn.TEXTJOIN("",TRUE,A212,"!",ADDRESS(21+(A213-1)*A209,1)))</f>
        <v>CAT 003</v>
      </c>
      <c r="B202" s="97"/>
      <c r="C202" s="106" t="str">
        <f ca="1">INDIRECT(_xlfn.TEXTJOIN("",TRUE,A212,"!",ADDRESS(21+(A213-1)*A209,2)))</f>
        <v>Fundamental of Web Technology ($)</v>
      </c>
      <c r="D202" s="107"/>
      <c r="E202" s="107"/>
      <c r="F202" s="107"/>
      <c r="G202" s="108"/>
      <c r="H202" s="20">
        <f ca="1">INDIRECT(_xlfn.TEXTJOIN("",TRUE,A212,"!",ADDRESS(21+(A213-1)*A209,6)))</f>
        <v>0</v>
      </c>
      <c r="I202" s="20" t="str">
        <f ca="1">INDIRECT(_xlfn.TEXTJOIN("",TRUE,A212,"!",ADDRESS(21+(A213-1)*A209,13)))</f>
        <v>B+</v>
      </c>
      <c r="J202" s="20">
        <f ca="1">INDIRECT(_xlfn.TEXTJOIN("",TRUE,A212,"!",ADDRESS(21+(A213-1)*A209,14)))</f>
        <v>8.5</v>
      </c>
    </row>
    <row r="203" spans="1:10" ht="26.25" customHeight="1" x14ac:dyDescent="0.2">
      <c r="A203" s="96" t="str">
        <f ca="1">INDIRECT(_xlfn.TEXTJOIN("",TRUE,A212,"!",ADDRESS(22+(A213-1)*A209,1)))</f>
        <v>CAP 001</v>
      </c>
      <c r="B203" s="97"/>
      <c r="C203" s="106" t="str">
        <f ca="1">INDIRECT(_xlfn.TEXTJOIN("",TRUE,A212,"!",ADDRESS(22+(A213-1)*A209,2)))</f>
        <v>Database Management System Lab</v>
      </c>
      <c r="D203" s="107"/>
      <c r="E203" s="107"/>
      <c r="F203" s="107"/>
      <c r="G203" s="108"/>
      <c r="H203" s="20">
        <f ca="1">INDIRECT(_xlfn.TEXTJOIN("",TRUE,A212,"!",ADDRESS(22+(A213-1)*A209,6)))</f>
        <v>1</v>
      </c>
      <c r="I203" s="20" t="str">
        <f ca="1">INDIRECT(_xlfn.TEXTJOIN("",TRUE,A212,"!",ADDRESS(22+(A213-1)*A209,13)))</f>
        <v>B+</v>
      </c>
      <c r="J203" s="20">
        <f ca="1">INDIRECT(_xlfn.TEXTJOIN("",TRUE,A212,"!",ADDRESS(22+(A213-1)*A209,14)))</f>
        <v>8.5</v>
      </c>
    </row>
    <row r="204" spans="1:10" ht="26.25" customHeight="1" x14ac:dyDescent="0.2">
      <c r="A204" s="110" t="str">
        <f ca="1">INDIRECT(_xlfn.TEXTJOIN("",TRUE,A212,"!",ADDRESS(23+(A213-1)*A209,1)))</f>
        <v>CAP 002</v>
      </c>
      <c r="B204" s="111"/>
      <c r="C204" s="115" t="str">
        <f ca="1">INDIRECT(_xlfn.TEXTJOIN("",TRUE,A212,"!",ADDRESS(23+(A213-1)*A209,2)))</f>
        <v>Operating System Lab</v>
      </c>
      <c r="D204" s="116"/>
      <c r="E204" s="116"/>
      <c r="F204" s="116"/>
      <c r="G204" s="117"/>
      <c r="H204" s="20">
        <f ca="1">INDIRECT(_xlfn.TEXTJOIN("",TRUE,A212,"!",ADDRESS(23+(A213-1)*A209,6)))</f>
        <v>1</v>
      </c>
      <c r="I204" s="20" t="str">
        <f ca="1">INDIRECT(_xlfn.TEXTJOIN("",TRUE,A212,"!",ADDRESS(23+(A213-1)*A209,13)))</f>
        <v>B+</v>
      </c>
      <c r="J204" s="20">
        <f ca="1">INDIRECT(_xlfn.TEXTJOIN("",TRUE,A212,"!",ADDRESS(23+(A213-1)*A209,14)))</f>
        <v>8.5</v>
      </c>
    </row>
    <row r="205" spans="1:10" ht="26.25" customHeight="1" x14ac:dyDescent="0.2">
      <c r="A205" s="110" t="str">
        <f ca="1">INDIRECT(_xlfn.TEXTJOIN("",TRUE,A212,"!",ADDRESS(24+(A213-1)*A209,1)))</f>
        <v>CAP 003</v>
      </c>
      <c r="B205" s="111"/>
      <c r="C205" s="115" t="str">
        <f ca="1">INDIRECT(_xlfn.TEXTJOIN("",TRUE,A212,"!",ADDRESS(24+(A213-1)*A209,2)))</f>
        <v>Computer Organization Lab</v>
      </c>
      <c r="D205" s="116"/>
      <c r="E205" s="116"/>
      <c r="F205" s="116"/>
      <c r="G205" s="117"/>
      <c r="H205" s="20">
        <f ca="1">INDIRECT(_xlfn.TEXTJOIN("",TRUE,A212,"!",ADDRESS(24+(A213-1)*A209,6)))</f>
        <v>1</v>
      </c>
      <c r="I205" s="20" t="str">
        <f ca="1">INDIRECT(_xlfn.TEXTJOIN("",TRUE,A212,"!",ADDRESS(24+(A213-1)*A209,13)))</f>
        <v>A+</v>
      </c>
      <c r="J205" s="20">
        <f ca="1">INDIRECT(_xlfn.TEXTJOIN("",TRUE,A212,"!",ADDRESS(24+(A213-1)*A209,14)))</f>
        <v>9.5</v>
      </c>
    </row>
    <row r="206" spans="1:10" ht="26.25" customHeight="1" x14ac:dyDescent="0.2">
      <c r="A206" s="110" t="str">
        <f ca="1">INDIRECT(_xlfn.TEXTJOIN("",TRUE,A212,"!",ADDRESS(25+(A213-1)*A209,1)))</f>
        <v>AHP 303</v>
      </c>
      <c r="B206" s="111"/>
      <c r="C206" s="115" t="str">
        <f ca="1">INDIRECT(_xlfn.TEXTJOIN("",TRUE,A212,"!",ADDRESS(25+(A213-1)*A209,2)))</f>
        <v>Technical Communication Skills</v>
      </c>
      <c r="D206" s="116"/>
      <c r="E206" s="116"/>
      <c r="F206" s="116"/>
      <c r="G206" s="117"/>
      <c r="H206" s="20">
        <f ca="1">INDIRECT(_xlfn.TEXTJOIN("",TRUE,A212,"!",ADDRESS(25+(A213-1)*A209,6)))</f>
        <v>1</v>
      </c>
      <c r="I206" s="20" t="str">
        <f ca="1">INDIRECT(_xlfn.TEXTJOIN("",TRUE,A212,"!",ADDRESS(25+(A213-1)*A209,13)))</f>
        <v>B</v>
      </c>
      <c r="J206" s="20">
        <f ca="1">INDIRECT(_xlfn.TEXTJOIN("",TRUE,A212,"!",ADDRESS(25+(A213-1)*A209,14)))</f>
        <v>8</v>
      </c>
    </row>
    <row r="207" spans="1:10" ht="26.25" customHeight="1" x14ac:dyDescent="0.2">
      <c r="A207" s="100" t="s">
        <v>52</v>
      </c>
      <c r="B207" s="101"/>
      <c r="C207" s="101"/>
      <c r="D207" s="101"/>
      <c r="E207" s="101"/>
      <c r="F207" s="101"/>
      <c r="G207" s="102"/>
      <c r="H207" s="98">
        <f ca="1">SUM(H194:H207)</f>
        <v>24</v>
      </c>
      <c r="I207" s="98" t="s">
        <v>44</v>
      </c>
      <c r="J207" s="98">
        <f ca="1">SUMPRODUCT(J194:J206,H194:H206)</f>
        <v>172.5</v>
      </c>
    </row>
    <row r="208" spans="1:10" ht="26.25" customHeight="1" x14ac:dyDescent="0.2">
      <c r="A208" s="103"/>
      <c r="B208" s="104"/>
      <c r="C208" s="104"/>
      <c r="D208" s="104"/>
      <c r="E208" s="104"/>
      <c r="F208" s="104"/>
      <c r="G208" s="105"/>
      <c r="H208" s="99"/>
      <c r="I208" s="99"/>
      <c r="J208" s="99"/>
    </row>
    <row r="209" spans="1:10" ht="26.25" customHeight="1" x14ac:dyDescent="0.2">
      <c r="A209" s="22">
        <f>ROWS(A194:B207)+9</f>
        <v>23</v>
      </c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1:10" ht="26.25" customHeight="1" x14ac:dyDescent="0.2">
      <c r="A210" s="120" t="s">
        <v>40</v>
      </c>
      <c r="B210" s="120"/>
      <c r="C210" s="21">
        <f ca="1">INDIRECT(_xlfn.TEXTJOIN("",TRUE,A212,"!",ADDRESS(5+A213*A209,12)))</f>
        <v>24</v>
      </c>
      <c r="D210" s="120" t="s">
        <v>38</v>
      </c>
      <c r="E210" s="120"/>
      <c r="F210" s="18">
        <f ca="1">INDIRECT(_xlfn.TEXTJOIN("",TRUE,A212,"!",ADDRESS(5+A213*A209,8)))</f>
        <v>7.1875</v>
      </c>
      <c r="G210" s="120" t="s">
        <v>39</v>
      </c>
      <c r="H210" s="120"/>
      <c r="I210" s="109">
        <f ca="1">INDIRECT(_xlfn.TEXTJOIN("",TRUE,A212,"!",ADDRESS(5+A213*A209,10)))</f>
        <v>7.1875</v>
      </c>
      <c r="J210" s="109"/>
    </row>
    <row r="211" spans="1:10" ht="26.25" customHeight="1" x14ac:dyDescent="0.2">
      <c r="A211" s="19" t="s">
        <v>36</v>
      </c>
      <c r="B211" s="95" t="str">
        <f ca="1">INDIRECT(_xlfn.TEXTJOIN("",TRUE,A212,"!",ADDRESS(5+A213*A209,2)))</f>
        <v>PASS</v>
      </c>
      <c r="C211" s="95"/>
      <c r="D211" s="121" t="s">
        <v>37</v>
      </c>
      <c r="E211" s="121"/>
      <c r="F211" s="122" t="str">
        <f ca="1">INDIRECT(_xlfn.TEXTJOIN("",TRUE,A212,"!",ADDRESS(5+A213*A209,5)))</f>
        <v/>
      </c>
      <c r="G211" s="122"/>
      <c r="H211" s="122"/>
      <c r="I211" s="122"/>
      <c r="J211" s="122"/>
    </row>
    <row r="212" spans="1:10" ht="26.25" customHeight="1" x14ac:dyDescent="0.2">
      <c r="A212" s="22" t="str">
        <f>A189</f>
        <v>TC_I</v>
      </c>
    </row>
    <row r="213" spans="1:10" ht="26.25" customHeight="1" x14ac:dyDescent="0.2">
      <c r="A213" s="22">
        <f>A190+1</f>
        <v>9</v>
      </c>
    </row>
    <row r="214" spans="1:10" ht="26.25" customHeight="1" x14ac:dyDescent="0.2">
      <c r="A214" s="112" t="s">
        <v>24</v>
      </c>
      <c r="B214" s="112"/>
      <c r="C214" s="112" t="str">
        <f ca="1">INDIRECT(_xlfn.TEXTJOIN("",TRUE,A235,"!",ADDRESS(9+(A236-1)*A232,2)))</f>
        <v>NIKITA BALODHI</v>
      </c>
      <c r="D214" s="112"/>
      <c r="E214" s="112"/>
      <c r="F214" s="112" t="s">
        <v>50</v>
      </c>
      <c r="G214" s="112"/>
      <c r="H214" s="112"/>
      <c r="I214" s="113">
        <f ca="1">INDIRECT(_xlfn.TEXTJOIN("",TRUE,A235,"!",ADDRESS(9+(A236-1)*A232,9)))</f>
        <v>250090600010</v>
      </c>
      <c r="J214" s="113"/>
    </row>
    <row r="215" spans="1:10" ht="26.25" customHeight="1" x14ac:dyDescent="0.2">
      <c r="A215" s="112" t="s">
        <v>25</v>
      </c>
      <c r="B215" s="112"/>
      <c r="C215" s="112" t="str">
        <f ca="1">INDIRECT(_xlfn.TEXTJOIN("",TRUE,A235,"!",ADDRESS(9+(A236-1)*A232,5)))</f>
        <v>MR DHANJAY PRASAD BALODHI</v>
      </c>
      <c r="D215" s="112"/>
      <c r="E215" s="112"/>
      <c r="F215" s="114" t="s">
        <v>51</v>
      </c>
      <c r="G215" s="114"/>
      <c r="H215" s="114"/>
      <c r="I215" s="113" t="str">
        <f ca="1">INDIRECT(_xlfn.TEXTJOIN("",TRUE,A235,"!",ADDRESS(9+(A236-1)*A232,13)))</f>
        <v>UTU/2506100154</v>
      </c>
      <c r="J215" s="113"/>
    </row>
    <row r="216" spans="1:10" ht="26.25" customHeight="1" x14ac:dyDescent="0.2">
      <c r="A216" s="95" t="s">
        <v>28</v>
      </c>
      <c r="B216" s="95"/>
      <c r="C216" s="95" t="s">
        <v>29</v>
      </c>
      <c r="D216" s="95"/>
      <c r="E216" s="95"/>
      <c r="F216" s="95"/>
      <c r="G216" s="95"/>
      <c r="H216" s="15" t="s">
        <v>30</v>
      </c>
      <c r="I216" s="15" t="s">
        <v>9</v>
      </c>
      <c r="J216" s="15" t="s">
        <v>34</v>
      </c>
    </row>
    <row r="217" spans="1:10" ht="26.25" customHeight="1" x14ac:dyDescent="0.2">
      <c r="A217" s="96" t="str">
        <f ca="1">INDIRECT(_xlfn.TEXTJOIN("",TRUE,A235,"!",ADDRESS(13+(A236-1)*A232,1)))</f>
        <v>CAT 004</v>
      </c>
      <c r="B217" s="97"/>
      <c r="C217" s="106" t="str">
        <f ca="1">INDIRECT(_xlfn.TEXTJOIN("",TRUE,A235,"!",ADDRESS(13+(A236-1)*A232,2)))</f>
        <v>Discrete Structure</v>
      </c>
      <c r="D217" s="107"/>
      <c r="E217" s="107"/>
      <c r="F217" s="107"/>
      <c r="G217" s="108"/>
      <c r="H217" s="20">
        <f ca="1">INDIRECT(_xlfn.TEXTJOIN("",TRUE,A235,"!",ADDRESS(13+(A236-1)*A232,6)))</f>
        <v>4</v>
      </c>
      <c r="I217" s="20" t="str">
        <f ca="1">INDIRECT(_xlfn.TEXTJOIN("",TRUE,A235,"!",ADDRESS(13+(A236-1)*A232,13)))</f>
        <v>D+</v>
      </c>
      <c r="J217" s="20">
        <f ca="1">INDIRECT(_xlfn.TEXTJOIN("",TRUE,A235,"!",ADDRESS(13+(A236-1)*A232,14)))</f>
        <v>6.5</v>
      </c>
    </row>
    <row r="218" spans="1:10" ht="26.25" customHeight="1" x14ac:dyDescent="0.2">
      <c r="A218" s="96" t="str">
        <f ca="1">INDIRECT(_xlfn.TEXTJOIN("",TRUE,A235,"!",ADDRESS(14+(A236-1)*A232,1)))</f>
        <v>CAT 005</v>
      </c>
      <c r="B218" s="97"/>
      <c r="C218" s="106" t="str">
        <f ca="1">INDIRECT(_xlfn.TEXTJOIN("",TRUE,A235,"!",ADDRESS(14+(A236-1)*A232,2)))</f>
        <v>Database Management System</v>
      </c>
      <c r="D218" s="107"/>
      <c r="E218" s="107"/>
      <c r="F218" s="107"/>
      <c r="G218" s="108"/>
      <c r="H218" s="20">
        <f ca="1">INDIRECT(_xlfn.TEXTJOIN("",TRUE,A235,"!",ADDRESS(14+(A236-1)*A232,6)))</f>
        <v>4</v>
      </c>
      <c r="I218" s="20" t="str">
        <f ca="1">INDIRECT(_xlfn.TEXTJOIN("",TRUE,A235,"!",ADDRESS(14+(A236-1)*A232,13)))</f>
        <v>C</v>
      </c>
      <c r="J218" s="20">
        <f ca="1">INDIRECT(_xlfn.TEXTJOIN("",TRUE,A235,"!",ADDRESS(14+(A236-1)*A232,14)))</f>
        <v>7</v>
      </c>
    </row>
    <row r="219" spans="1:10" ht="26.25" customHeight="1" x14ac:dyDescent="0.2">
      <c r="A219" s="96" t="str">
        <f ca="1">INDIRECT(_xlfn.TEXTJOIN("",TRUE,A235,"!",ADDRESS(15+(A236-1)*A232,1)))</f>
        <v>CAT 006</v>
      </c>
      <c r="B219" s="97"/>
      <c r="C219" s="106" t="str">
        <f ca="1">INDIRECT(_xlfn.TEXTJOIN("",TRUE,A235,"!",ADDRESS(15+(A236-1)*A232,2)))</f>
        <v>Operating System</v>
      </c>
      <c r="D219" s="107"/>
      <c r="E219" s="107"/>
      <c r="F219" s="107"/>
      <c r="G219" s="108"/>
      <c r="H219" s="20">
        <f ca="1">INDIRECT(_xlfn.TEXTJOIN("",TRUE,A235,"!",ADDRESS(15+(A236-1)*A232,6)))</f>
        <v>4</v>
      </c>
      <c r="I219" s="20" t="str">
        <f ca="1">INDIRECT(_xlfn.TEXTJOIN("",TRUE,A235,"!",ADDRESS(15+(A236-1)*A232,13)))</f>
        <v>B</v>
      </c>
      <c r="J219" s="20">
        <f ca="1">INDIRECT(_xlfn.TEXTJOIN("",TRUE,A235,"!",ADDRESS(15+(A236-1)*A232,14)))</f>
        <v>8</v>
      </c>
    </row>
    <row r="220" spans="1:10" ht="26.25" customHeight="1" x14ac:dyDescent="0.2">
      <c r="A220" s="96" t="str">
        <f ca="1">INDIRECT(_xlfn.TEXTJOIN("",TRUE,A235,"!",ADDRESS(16+(A236-1)*A232,1)))</f>
        <v>CAT 007</v>
      </c>
      <c r="B220" s="97"/>
      <c r="C220" s="106" t="str">
        <f ca="1">INDIRECT(_xlfn.TEXTJOIN("",TRUE,A235,"!",ADDRESS(16+(A236-1)*A232,2)))</f>
        <v>Computer Organization</v>
      </c>
      <c r="D220" s="107"/>
      <c r="E220" s="107"/>
      <c r="F220" s="107"/>
      <c r="G220" s="108"/>
      <c r="H220" s="20">
        <f ca="1">INDIRECT(_xlfn.TEXTJOIN("",TRUE,A235,"!",ADDRESS(16+(A236-1)*A232,6)))</f>
        <v>4</v>
      </c>
      <c r="I220" s="20" t="str">
        <f ca="1">INDIRECT(_xlfn.TEXTJOIN("",TRUE,A235,"!",ADDRESS(16+(A236-1)*A232,13)))</f>
        <v>D+</v>
      </c>
      <c r="J220" s="20">
        <f ca="1">INDIRECT(_xlfn.TEXTJOIN("",TRUE,A235,"!",ADDRESS(16+(A236-1)*A232,14)))</f>
        <v>6.5</v>
      </c>
    </row>
    <row r="221" spans="1:10" ht="26.25" customHeight="1" x14ac:dyDescent="0.2">
      <c r="A221" s="96" t="str">
        <f ca="1">INDIRECT(_xlfn.TEXTJOIN("",TRUE,A235,"!",ADDRESS(17+(A236-1)*A232,1)))</f>
        <v>AHT 303</v>
      </c>
      <c r="B221" s="97"/>
      <c r="C221" s="106" t="str">
        <f ca="1">INDIRECT(_xlfn.TEXTJOIN("",TRUE,A235,"!",ADDRESS(17+(A236-1)*A232,2)))</f>
        <v>Technical Communication Skills</v>
      </c>
      <c r="D221" s="107"/>
      <c r="E221" s="107"/>
      <c r="F221" s="107"/>
      <c r="G221" s="108"/>
      <c r="H221" s="20">
        <f ca="1">INDIRECT(_xlfn.TEXTJOIN("",TRUE,A235,"!",ADDRESS(17+(A236-1)*A232,6)))</f>
        <v>4</v>
      </c>
      <c r="I221" s="20" t="str">
        <f ca="1">INDIRECT(_xlfn.TEXTJOIN("",TRUE,A235,"!",ADDRESS(17+(A236-1)*A232,13)))</f>
        <v>B+</v>
      </c>
      <c r="J221" s="20">
        <f ca="1">INDIRECT(_xlfn.TEXTJOIN("",TRUE,A235,"!",ADDRESS(17+(A236-1)*A232,14)))</f>
        <v>8.5</v>
      </c>
    </row>
    <row r="222" spans="1:10" ht="26.25" customHeight="1" x14ac:dyDescent="0.2">
      <c r="A222" s="96" t="str">
        <f ca="1">INDIRECT(_xlfn.TEXTJOIN("",TRUE,A235,"!",ADDRESS(18+(A236-1)*A232,1)))</f>
        <v>CAT 008</v>
      </c>
      <c r="B222" s="97"/>
      <c r="C222" s="106" t="str">
        <f ca="1">INDIRECT(_xlfn.TEXTJOIN("",TRUE,A235,"!",ADDRESS(18+(A236-1)*A232,2)))</f>
        <v>Python Programming ($)</v>
      </c>
      <c r="D222" s="107"/>
      <c r="E222" s="107"/>
      <c r="F222" s="107"/>
      <c r="G222" s="108"/>
      <c r="H222" s="20">
        <f ca="1">INDIRECT(_xlfn.TEXTJOIN("",TRUE,A235,"!",ADDRESS(18+(A236-1)*A232,6)))</f>
        <v>0</v>
      </c>
      <c r="I222" s="20" t="str">
        <f ca="1">INDIRECT(_xlfn.TEXTJOIN("",TRUE,A235,"!",ADDRESS(18+(A236-1)*A232,13)))</f>
        <v>E+</v>
      </c>
      <c r="J222" s="20">
        <f ca="1">INDIRECT(_xlfn.TEXTJOIN("",TRUE,A235,"!",ADDRESS(18+(A236-1)*A232,14)))</f>
        <v>5.5</v>
      </c>
    </row>
    <row r="223" spans="1:10" ht="26.25" customHeight="1" x14ac:dyDescent="0.2">
      <c r="A223" s="96" t="str">
        <f ca="1">INDIRECT(_xlfn.TEXTJOIN("",TRUE,A235,"!",ADDRESS(19+(A236-1)*A232,1)))</f>
        <v>CAT 001</v>
      </c>
      <c r="B223" s="97"/>
      <c r="C223" s="106" t="str">
        <f ca="1">INDIRECT(_xlfn.TEXTJOIN("",TRUE,A235,"!",ADDRESS(19+(A236-1)*A232,2)))</f>
        <v>Introduction of Information Technology ($)</v>
      </c>
      <c r="D223" s="107"/>
      <c r="E223" s="107"/>
      <c r="F223" s="107"/>
      <c r="G223" s="108"/>
      <c r="H223" s="20">
        <f ca="1">INDIRECT(_xlfn.TEXTJOIN("",TRUE,A235,"!",ADDRESS(19+(A236-1)*A232,6)))</f>
        <v>0</v>
      </c>
      <c r="I223" s="20" t="str">
        <f ca="1">INDIRECT(_xlfn.TEXTJOIN("",TRUE,A235,"!",ADDRESS(19+(A236-1)*A232,13)))</f>
        <v>-</v>
      </c>
      <c r="J223" s="20" t="str">
        <f ca="1">INDIRECT(_xlfn.TEXTJOIN("",TRUE,A235,"!",ADDRESS(19+(A236-1)*A232,14)))</f>
        <v>-</v>
      </c>
    </row>
    <row r="224" spans="1:10" ht="26.25" customHeight="1" x14ac:dyDescent="0.2">
      <c r="A224" s="96" t="str">
        <f ca="1">INDIRECT(_xlfn.TEXTJOIN("",TRUE,A235,"!",ADDRESS(20+(A236-1)*A232,1)))</f>
        <v>CAT 002</v>
      </c>
      <c r="B224" s="97"/>
      <c r="C224" s="106" t="str">
        <f ca="1">INDIRECT(_xlfn.TEXTJOIN("",TRUE,A235,"!",ADDRESS(20+(A236-1)*A232,2)))</f>
        <v>Programming Fundamentals with "C" ($)</v>
      </c>
      <c r="D224" s="107"/>
      <c r="E224" s="107"/>
      <c r="F224" s="107"/>
      <c r="G224" s="108"/>
      <c r="H224" s="20">
        <f ca="1">INDIRECT(_xlfn.TEXTJOIN("",TRUE,A235,"!",ADDRESS(20+(A236-1)*A232,6)))</f>
        <v>0</v>
      </c>
      <c r="I224" s="20" t="str">
        <f ca="1">INDIRECT(_xlfn.TEXTJOIN("",TRUE,A235,"!",ADDRESS(20+(A236-1)*A232,13)))</f>
        <v>-</v>
      </c>
      <c r="J224" s="20" t="str">
        <f ca="1">INDIRECT(_xlfn.TEXTJOIN("",TRUE,A235,"!",ADDRESS(20+(A236-1)*A232,14)))</f>
        <v>-</v>
      </c>
    </row>
    <row r="225" spans="1:10" ht="26.25" customHeight="1" x14ac:dyDescent="0.2">
      <c r="A225" s="96" t="str">
        <f ca="1">INDIRECT(_xlfn.TEXTJOIN("",TRUE,A235,"!",ADDRESS(21+(A236-1)*A232,1)))</f>
        <v>CAT 003</v>
      </c>
      <c r="B225" s="97"/>
      <c r="C225" s="106" t="str">
        <f ca="1">INDIRECT(_xlfn.TEXTJOIN("",TRUE,A235,"!",ADDRESS(21+(A236-1)*A232,2)))</f>
        <v>Fundamental of Web Technology ($)</v>
      </c>
      <c r="D225" s="107"/>
      <c r="E225" s="107"/>
      <c r="F225" s="107"/>
      <c r="G225" s="108"/>
      <c r="H225" s="20">
        <f ca="1">INDIRECT(_xlfn.TEXTJOIN("",TRUE,A235,"!",ADDRESS(21+(A236-1)*A232,6)))</f>
        <v>0</v>
      </c>
      <c r="I225" s="20" t="str">
        <f ca="1">INDIRECT(_xlfn.TEXTJOIN("",TRUE,A235,"!",ADDRESS(21+(A236-1)*A232,13)))</f>
        <v>-</v>
      </c>
      <c r="J225" s="20" t="str">
        <f ca="1">INDIRECT(_xlfn.TEXTJOIN("",TRUE,A235,"!",ADDRESS(21+(A236-1)*A232,14)))</f>
        <v>-</v>
      </c>
    </row>
    <row r="226" spans="1:10" ht="26.25" customHeight="1" x14ac:dyDescent="0.2">
      <c r="A226" s="96" t="str">
        <f ca="1">INDIRECT(_xlfn.TEXTJOIN("",TRUE,A235,"!",ADDRESS(22+(A236-1)*A232,1)))</f>
        <v>CAP 001</v>
      </c>
      <c r="B226" s="97"/>
      <c r="C226" s="106" t="str">
        <f ca="1">INDIRECT(_xlfn.TEXTJOIN("",TRUE,A235,"!",ADDRESS(22+(A236-1)*A232,2)))</f>
        <v>Database Management System Lab</v>
      </c>
      <c r="D226" s="107"/>
      <c r="E226" s="107"/>
      <c r="F226" s="107"/>
      <c r="G226" s="108"/>
      <c r="H226" s="20">
        <f ca="1">INDIRECT(_xlfn.TEXTJOIN("",TRUE,A235,"!",ADDRESS(22+(A236-1)*A232,6)))</f>
        <v>1</v>
      </c>
      <c r="I226" s="20" t="str">
        <f ca="1">INDIRECT(_xlfn.TEXTJOIN("",TRUE,A235,"!",ADDRESS(22+(A236-1)*A232,13)))</f>
        <v>B</v>
      </c>
      <c r="J226" s="20">
        <f ca="1">INDIRECT(_xlfn.TEXTJOIN("",TRUE,A235,"!",ADDRESS(22+(A236-1)*A232,14)))</f>
        <v>8</v>
      </c>
    </row>
    <row r="227" spans="1:10" ht="26.25" customHeight="1" x14ac:dyDescent="0.2">
      <c r="A227" s="110" t="str">
        <f ca="1">INDIRECT(_xlfn.TEXTJOIN("",TRUE,A235,"!",ADDRESS(23+(A236-1)*A232,1)))</f>
        <v>CAP 002</v>
      </c>
      <c r="B227" s="111"/>
      <c r="C227" s="115" t="str">
        <f ca="1">INDIRECT(_xlfn.TEXTJOIN("",TRUE,A235,"!",ADDRESS(23+(A236-1)*A232,2)))</f>
        <v>Operating System Lab</v>
      </c>
      <c r="D227" s="116"/>
      <c r="E227" s="116"/>
      <c r="F227" s="116"/>
      <c r="G227" s="117"/>
      <c r="H227" s="20">
        <f ca="1">INDIRECT(_xlfn.TEXTJOIN("",TRUE,A235,"!",ADDRESS(23+(A236-1)*A232,6)))</f>
        <v>1</v>
      </c>
      <c r="I227" s="20" t="str">
        <f ca="1">INDIRECT(_xlfn.TEXTJOIN("",TRUE,A235,"!",ADDRESS(23+(A236-1)*A232,13)))</f>
        <v>A</v>
      </c>
      <c r="J227" s="20">
        <f ca="1">INDIRECT(_xlfn.TEXTJOIN("",TRUE,A235,"!",ADDRESS(23+(A236-1)*A232,14)))</f>
        <v>9</v>
      </c>
    </row>
    <row r="228" spans="1:10" ht="26.25" customHeight="1" x14ac:dyDescent="0.2">
      <c r="A228" s="110" t="str">
        <f ca="1">INDIRECT(_xlfn.TEXTJOIN("",TRUE,A235,"!",ADDRESS(24+(A236-1)*A232,1)))</f>
        <v>CAP 003</v>
      </c>
      <c r="B228" s="111"/>
      <c r="C228" s="115" t="str">
        <f ca="1">INDIRECT(_xlfn.TEXTJOIN("",TRUE,A235,"!",ADDRESS(24+(A236-1)*A232,2)))</f>
        <v>Computer Organization Lab</v>
      </c>
      <c r="D228" s="116"/>
      <c r="E228" s="116"/>
      <c r="F228" s="116"/>
      <c r="G228" s="117"/>
      <c r="H228" s="20">
        <f ca="1">INDIRECT(_xlfn.TEXTJOIN("",TRUE,A235,"!",ADDRESS(24+(A236-1)*A232,6)))</f>
        <v>1</v>
      </c>
      <c r="I228" s="20" t="str">
        <f ca="1">INDIRECT(_xlfn.TEXTJOIN("",TRUE,A235,"!",ADDRESS(24+(A236-1)*A232,13)))</f>
        <v>A</v>
      </c>
      <c r="J228" s="20">
        <f ca="1">INDIRECT(_xlfn.TEXTJOIN("",TRUE,A235,"!",ADDRESS(24+(A236-1)*A232,14)))</f>
        <v>9</v>
      </c>
    </row>
    <row r="229" spans="1:10" ht="26.25" customHeight="1" x14ac:dyDescent="0.2">
      <c r="A229" s="110" t="str">
        <f ca="1">INDIRECT(_xlfn.TEXTJOIN("",TRUE,A235,"!",ADDRESS(25+(A236-1)*A232,1)))</f>
        <v>AHP 303</v>
      </c>
      <c r="B229" s="111"/>
      <c r="C229" s="115" t="str">
        <f ca="1">INDIRECT(_xlfn.TEXTJOIN("",TRUE,A235,"!",ADDRESS(25+(A236-1)*A232,2)))</f>
        <v>Technical Communication Skills</v>
      </c>
      <c r="D229" s="116"/>
      <c r="E229" s="116"/>
      <c r="F229" s="116"/>
      <c r="G229" s="117"/>
      <c r="H229" s="20">
        <f ca="1">INDIRECT(_xlfn.TEXTJOIN("",TRUE,A235,"!",ADDRESS(25+(A236-1)*A232,6)))</f>
        <v>1</v>
      </c>
      <c r="I229" s="20" t="str">
        <f ca="1">INDIRECT(_xlfn.TEXTJOIN("",TRUE,A235,"!",ADDRESS(25+(A236-1)*A232,13)))</f>
        <v>B+</v>
      </c>
      <c r="J229" s="20">
        <f ca="1">INDIRECT(_xlfn.TEXTJOIN("",TRUE,A235,"!",ADDRESS(25+(A236-1)*A232,14)))</f>
        <v>8.5</v>
      </c>
    </row>
    <row r="230" spans="1:10" ht="26.25" customHeight="1" x14ac:dyDescent="0.2">
      <c r="A230" s="100" t="s">
        <v>52</v>
      </c>
      <c r="B230" s="101"/>
      <c r="C230" s="101"/>
      <c r="D230" s="101"/>
      <c r="E230" s="101"/>
      <c r="F230" s="101"/>
      <c r="G230" s="102"/>
      <c r="H230" s="98">
        <f ca="1">SUM(H217:H230)</f>
        <v>24</v>
      </c>
      <c r="I230" s="98" t="s">
        <v>44</v>
      </c>
      <c r="J230" s="98">
        <f ca="1">SUMPRODUCT(J217:J229,H217:H229)</f>
        <v>180.5</v>
      </c>
    </row>
    <row r="231" spans="1:10" ht="26.25" customHeight="1" x14ac:dyDescent="0.2">
      <c r="A231" s="103"/>
      <c r="B231" s="104"/>
      <c r="C231" s="104"/>
      <c r="D231" s="104"/>
      <c r="E231" s="104"/>
      <c r="F231" s="104"/>
      <c r="G231" s="105"/>
      <c r="H231" s="99"/>
      <c r="I231" s="99"/>
      <c r="J231" s="99"/>
    </row>
    <row r="232" spans="1:10" ht="26.25" customHeight="1" x14ac:dyDescent="0.2">
      <c r="A232" s="22">
        <f>ROWS(A217:B230)+9</f>
        <v>23</v>
      </c>
      <c r="B232" s="17"/>
      <c r="C232" s="17"/>
      <c r="D232" s="17"/>
      <c r="E232" s="17"/>
      <c r="F232" s="17"/>
      <c r="G232" s="17"/>
      <c r="H232" s="17"/>
      <c r="I232" s="17"/>
      <c r="J232" s="17"/>
    </row>
    <row r="233" spans="1:10" ht="26.25" customHeight="1" x14ac:dyDescent="0.2">
      <c r="A233" s="120" t="s">
        <v>40</v>
      </c>
      <c r="B233" s="120"/>
      <c r="C233" s="21">
        <f ca="1">INDIRECT(_xlfn.TEXTJOIN("",TRUE,A235,"!",ADDRESS(5+A236*A232,12)))</f>
        <v>24</v>
      </c>
      <c r="D233" s="120" t="s">
        <v>38</v>
      </c>
      <c r="E233" s="120"/>
      <c r="F233" s="18">
        <f ca="1">INDIRECT(_xlfn.TEXTJOIN("",TRUE,A235,"!",ADDRESS(5+A236*A232,8)))</f>
        <v>7.520833333333333</v>
      </c>
      <c r="G233" s="120" t="s">
        <v>39</v>
      </c>
      <c r="H233" s="120"/>
      <c r="I233" s="109">
        <f ca="1">INDIRECT(_xlfn.TEXTJOIN("",TRUE,A235,"!",ADDRESS(5+A236*A232,10)))</f>
        <v>7.520833333333333</v>
      </c>
      <c r="J233" s="109"/>
    </row>
    <row r="234" spans="1:10" ht="26.25" customHeight="1" x14ac:dyDescent="0.2">
      <c r="A234" s="19" t="s">
        <v>36</v>
      </c>
      <c r="B234" s="95" t="str">
        <f ca="1">INDIRECT(_xlfn.TEXTJOIN("",TRUE,A235,"!",ADDRESS(5+A236*A232,2)))</f>
        <v>PASS</v>
      </c>
      <c r="C234" s="95"/>
      <c r="D234" s="121" t="s">
        <v>37</v>
      </c>
      <c r="E234" s="121"/>
      <c r="F234" s="122" t="str">
        <f ca="1">INDIRECT(_xlfn.TEXTJOIN("",TRUE,A235,"!",ADDRESS(5+A236*A232,5)))</f>
        <v/>
      </c>
      <c r="G234" s="122"/>
      <c r="H234" s="122"/>
      <c r="I234" s="122"/>
      <c r="J234" s="122"/>
    </row>
    <row r="235" spans="1:10" ht="26.25" customHeight="1" x14ac:dyDescent="0.2">
      <c r="A235" s="22" t="str">
        <f>A212</f>
        <v>TC_I</v>
      </c>
    </row>
    <row r="236" spans="1:10" ht="26.25" customHeight="1" x14ac:dyDescent="0.2">
      <c r="A236" s="22">
        <f>A213+1</f>
        <v>10</v>
      </c>
    </row>
    <row r="237" spans="1:10" ht="26.25" customHeight="1" x14ac:dyDescent="0.2">
      <c r="A237" s="112" t="s">
        <v>24</v>
      </c>
      <c r="B237" s="112"/>
      <c r="C237" s="112" t="str">
        <f ca="1">INDIRECT(_xlfn.TEXTJOIN("",TRUE,A258,"!",ADDRESS(9+(A259-1)*A255,2)))</f>
        <v>NISHTHA ARORA</v>
      </c>
      <c r="D237" s="112"/>
      <c r="E237" s="112"/>
      <c r="F237" s="112" t="s">
        <v>50</v>
      </c>
      <c r="G237" s="112"/>
      <c r="H237" s="112"/>
      <c r="I237" s="113">
        <f ca="1">INDIRECT(_xlfn.TEXTJOIN("",TRUE,A258,"!",ADDRESS(9+(A259-1)*A255,9)))</f>
        <v>250090600011</v>
      </c>
      <c r="J237" s="113"/>
    </row>
    <row r="238" spans="1:10" ht="26.25" customHeight="1" x14ac:dyDescent="0.2">
      <c r="A238" s="112" t="s">
        <v>25</v>
      </c>
      <c r="B238" s="112"/>
      <c r="C238" s="112" t="str">
        <f ca="1">INDIRECT(_xlfn.TEXTJOIN("",TRUE,A258,"!",ADDRESS(9+(A259-1)*A255,5)))</f>
        <v>SUNIL ARORA</v>
      </c>
      <c r="D238" s="112"/>
      <c r="E238" s="112"/>
      <c r="F238" s="114" t="s">
        <v>51</v>
      </c>
      <c r="G238" s="114"/>
      <c r="H238" s="114"/>
      <c r="I238" s="113" t="str">
        <f ca="1">INDIRECT(_xlfn.TEXTJOIN("",TRUE,A258,"!",ADDRESS(9+(A259-1)*A255,13)))</f>
        <v>UTU/2506100161</v>
      </c>
      <c r="J238" s="113"/>
    </row>
    <row r="239" spans="1:10" ht="26.25" customHeight="1" x14ac:dyDescent="0.2">
      <c r="A239" s="95" t="s">
        <v>28</v>
      </c>
      <c r="B239" s="95"/>
      <c r="C239" s="95" t="s">
        <v>29</v>
      </c>
      <c r="D239" s="95"/>
      <c r="E239" s="95"/>
      <c r="F239" s="95"/>
      <c r="G239" s="95"/>
      <c r="H239" s="15" t="s">
        <v>30</v>
      </c>
      <c r="I239" s="15" t="s">
        <v>9</v>
      </c>
      <c r="J239" s="15" t="s">
        <v>34</v>
      </c>
    </row>
    <row r="240" spans="1:10" ht="26.25" customHeight="1" x14ac:dyDescent="0.2">
      <c r="A240" s="96" t="str">
        <f ca="1">INDIRECT(_xlfn.TEXTJOIN("",TRUE,A258,"!",ADDRESS(13+(A259-1)*A255,1)))</f>
        <v>CAT 004</v>
      </c>
      <c r="B240" s="97"/>
      <c r="C240" s="106" t="str">
        <f ca="1">INDIRECT(_xlfn.TEXTJOIN("",TRUE,A258,"!",ADDRESS(13+(A259-1)*A255,2)))</f>
        <v>Discrete Structure</v>
      </c>
      <c r="D240" s="107"/>
      <c r="E240" s="107"/>
      <c r="F240" s="107"/>
      <c r="G240" s="108"/>
      <c r="H240" s="20">
        <f ca="1">INDIRECT(_xlfn.TEXTJOIN("",TRUE,A258,"!",ADDRESS(13+(A259-1)*A255,6)))</f>
        <v>4</v>
      </c>
      <c r="I240" s="20" t="str">
        <f ca="1">INDIRECT(_xlfn.TEXTJOIN("",TRUE,A258,"!",ADDRESS(13+(A259-1)*A255,13)))</f>
        <v>D+</v>
      </c>
      <c r="J240" s="20">
        <f ca="1">INDIRECT(_xlfn.TEXTJOIN("",TRUE,A258,"!",ADDRESS(13+(A259-1)*A255,14)))</f>
        <v>6.5</v>
      </c>
    </row>
    <row r="241" spans="1:10" ht="26.25" customHeight="1" x14ac:dyDescent="0.2">
      <c r="A241" s="96" t="str">
        <f ca="1">INDIRECT(_xlfn.TEXTJOIN("",TRUE,A258,"!",ADDRESS(14+(A259-1)*A255,1)))</f>
        <v>CAT 005</v>
      </c>
      <c r="B241" s="97"/>
      <c r="C241" s="106" t="str">
        <f ca="1">INDIRECT(_xlfn.TEXTJOIN("",TRUE,A258,"!",ADDRESS(14+(A259-1)*A255,2)))</f>
        <v>Database Management System</v>
      </c>
      <c r="D241" s="107"/>
      <c r="E241" s="107"/>
      <c r="F241" s="107"/>
      <c r="G241" s="108"/>
      <c r="H241" s="20">
        <f ca="1">INDIRECT(_xlfn.TEXTJOIN("",TRUE,A258,"!",ADDRESS(14+(A259-1)*A255,6)))</f>
        <v>4</v>
      </c>
      <c r="I241" s="20" t="str">
        <f ca="1">INDIRECT(_xlfn.TEXTJOIN("",TRUE,A258,"!",ADDRESS(14+(A259-1)*A255,13)))</f>
        <v>C</v>
      </c>
      <c r="J241" s="20">
        <f ca="1">INDIRECT(_xlfn.TEXTJOIN("",TRUE,A258,"!",ADDRESS(14+(A259-1)*A255,14)))</f>
        <v>7</v>
      </c>
    </row>
    <row r="242" spans="1:10" ht="26.25" customHeight="1" x14ac:dyDescent="0.2">
      <c r="A242" s="96" t="str">
        <f ca="1">INDIRECT(_xlfn.TEXTJOIN("",TRUE,A258,"!",ADDRESS(15+(A259-1)*A255,1)))</f>
        <v>CAT 006</v>
      </c>
      <c r="B242" s="97"/>
      <c r="C242" s="106" t="str">
        <f ca="1">INDIRECT(_xlfn.TEXTJOIN("",TRUE,A258,"!",ADDRESS(15+(A259-1)*A255,2)))</f>
        <v>Operating System</v>
      </c>
      <c r="D242" s="107"/>
      <c r="E242" s="107"/>
      <c r="F242" s="107"/>
      <c r="G242" s="108"/>
      <c r="H242" s="20">
        <f ca="1">INDIRECT(_xlfn.TEXTJOIN("",TRUE,A258,"!",ADDRESS(15+(A259-1)*A255,6)))</f>
        <v>4</v>
      </c>
      <c r="I242" s="20" t="str">
        <f ca="1">INDIRECT(_xlfn.TEXTJOIN("",TRUE,A258,"!",ADDRESS(15+(A259-1)*A255,13)))</f>
        <v>B</v>
      </c>
      <c r="J242" s="20">
        <f ca="1">INDIRECT(_xlfn.TEXTJOIN("",TRUE,A258,"!",ADDRESS(15+(A259-1)*A255,14)))</f>
        <v>8</v>
      </c>
    </row>
    <row r="243" spans="1:10" ht="26.25" customHeight="1" x14ac:dyDescent="0.2">
      <c r="A243" s="96" t="str">
        <f ca="1">INDIRECT(_xlfn.TEXTJOIN("",TRUE,A258,"!",ADDRESS(16+(A259-1)*A255,1)))</f>
        <v>CAT 007</v>
      </c>
      <c r="B243" s="97"/>
      <c r="C243" s="106" t="str">
        <f ca="1">INDIRECT(_xlfn.TEXTJOIN("",TRUE,A258,"!",ADDRESS(16+(A259-1)*A255,2)))</f>
        <v>Computer Organization</v>
      </c>
      <c r="D243" s="107"/>
      <c r="E243" s="107"/>
      <c r="F243" s="107"/>
      <c r="G243" s="108"/>
      <c r="H243" s="20">
        <f ca="1">INDIRECT(_xlfn.TEXTJOIN("",TRUE,A258,"!",ADDRESS(16+(A259-1)*A255,6)))</f>
        <v>4</v>
      </c>
      <c r="I243" s="20" t="str">
        <f ca="1">INDIRECT(_xlfn.TEXTJOIN("",TRUE,A258,"!",ADDRESS(16+(A259-1)*A255,13)))</f>
        <v>D+</v>
      </c>
      <c r="J243" s="20">
        <f ca="1">INDIRECT(_xlfn.TEXTJOIN("",TRUE,A258,"!",ADDRESS(16+(A259-1)*A255,14)))</f>
        <v>6.5</v>
      </c>
    </row>
    <row r="244" spans="1:10" ht="26.25" customHeight="1" x14ac:dyDescent="0.2">
      <c r="A244" s="96" t="str">
        <f ca="1">INDIRECT(_xlfn.TEXTJOIN("",TRUE,A258,"!",ADDRESS(17+(A259-1)*A255,1)))</f>
        <v>AHT 303</v>
      </c>
      <c r="B244" s="97"/>
      <c r="C244" s="106" t="str">
        <f ca="1">INDIRECT(_xlfn.TEXTJOIN("",TRUE,A258,"!",ADDRESS(17+(A259-1)*A255,2)))</f>
        <v>Technical Communication Skills</v>
      </c>
      <c r="D244" s="107"/>
      <c r="E244" s="107"/>
      <c r="F244" s="107"/>
      <c r="G244" s="108"/>
      <c r="H244" s="20">
        <f ca="1">INDIRECT(_xlfn.TEXTJOIN("",TRUE,A258,"!",ADDRESS(17+(A259-1)*A255,6)))</f>
        <v>4</v>
      </c>
      <c r="I244" s="20" t="str">
        <f ca="1">INDIRECT(_xlfn.TEXTJOIN("",TRUE,A258,"!",ADDRESS(17+(A259-1)*A255,13)))</f>
        <v>B</v>
      </c>
      <c r="J244" s="20">
        <f ca="1">INDIRECT(_xlfn.TEXTJOIN("",TRUE,A258,"!",ADDRESS(17+(A259-1)*A255,14)))</f>
        <v>8</v>
      </c>
    </row>
    <row r="245" spans="1:10" ht="26.25" customHeight="1" x14ac:dyDescent="0.2">
      <c r="A245" s="96" t="str">
        <f ca="1">INDIRECT(_xlfn.TEXTJOIN("",TRUE,A258,"!",ADDRESS(18+(A259-1)*A255,1)))</f>
        <v>CAT 008</v>
      </c>
      <c r="B245" s="97"/>
      <c r="C245" s="106" t="str">
        <f ca="1">INDIRECT(_xlfn.TEXTJOIN("",TRUE,A258,"!",ADDRESS(18+(A259-1)*A255,2)))</f>
        <v>Python Programming ($)</v>
      </c>
      <c r="D245" s="107"/>
      <c r="E245" s="107"/>
      <c r="F245" s="107"/>
      <c r="G245" s="108"/>
      <c r="H245" s="20">
        <f ca="1">INDIRECT(_xlfn.TEXTJOIN("",TRUE,A258,"!",ADDRESS(18+(A259-1)*A255,6)))</f>
        <v>0</v>
      </c>
      <c r="I245" s="20" t="str">
        <f ca="1">INDIRECT(_xlfn.TEXTJOIN("",TRUE,A258,"!",ADDRESS(18+(A259-1)*A255,13)))</f>
        <v>D+</v>
      </c>
      <c r="J245" s="20">
        <f ca="1">INDIRECT(_xlfn.TEXTJOIN("",TRUE,A258,"!",ADDRESS(18+(A259-1)*A255,14)))</f>
        <v>6.5</v>
      </c>
    </row>
    <row r="246" spans="1:10" ht="26.25" customHeight="1" x14ac:dyDescent="0.2">
      <c r="A246" s="96" t="str">
        <f ca="1">INDIRECT(_xlfn.TEXTJOIN("",TRUE,A258,"!",ADDRESS(19+(A259-1)*A255,1)))</f>
        <v>CAT 001</v>
      </c>
      <c r="B246" s="97"/>
      <c r="C246" s="106" t="str">
        <f ca="1">INDIRECT(_xlfn.TEXTJOIN("",TRUE,A258,"!",ADDRESS(19+(A259-1)*A255,2)))</f>
        <v>Introduction of Information Technology ($)</v>
      </c>
      <c r="D246" s="107"/>
      <c r="E246" s="107"/>
      <c r="F246" s="107"/>
      <c r="G246" s="108"/>
      <c r="H246" s="20">
        <f ca="1">INDIRECT(_xlfn.TEXTJOIN("",TRUE,A258,"!",ADDRESS(19+(A259-1)*A255,6)))</f>
        <v>0</v>
      </c>
      <c r="I246" s="20" t="str">
        <f ca="1">INDIRECT(_xlfn.TEXTJOIN("",TRUE,A258,"!",ADDRESS(19+(A259-1)*A255,13)))</f>
        <v>-</v>
      </c>
      <c r="J246" s="20" t="str">
        <f ca="1">INDIRECT(_xlfn.TEXTJOIN("",TRUE,A258,"!",ADDRESS(19+(A259-1)*A255,14)))</f>
        <v>-</v>
      </c>
    </row>
    <row r="247" spans="1:10" ht="26.25" customHeight="1" x14ac:dyDescent="0.2">
      <c r="A247" s="96" t="str">
        <f ca="1">INDIRECT(_xlfn.TEXTJOIN("",TRUE,A258,"!",ADDRESS(20+(A259-1)*A255,1)))</f>
        <v>CAT 002</v>
      </c>
      <c r="B247" s="97"/>
      <c r="C247" s="106" t="str">
        <f ca="1">INDIRECT(_xlfn.TEXTJOIN("",TRUE,A258,"!",ADDRESS(20+(A259-1)*A255,2)))</f>
        <v>Programming Fundamentals with "C" ($)</v>
      </c>
      <c r="D247" s="107"/>
      <c r="E247" s="107"/>
      <c r="F247" s="107"/>
      <c r="G247" s="108"/>
      <c r="H247" s="20">
        <f ca="1">INDIRECT(_xlfn.TEXTJOIN("",TRUE,A258,"!",ADDRESS(20+(A259-1)*A255,6)))</f>
        <v>0</v>
      </c>
      <c r="I247" s="20" t="str">
        <f ca="1">INDIRECT(_xlfn.TEXTJOIN("",TRUE,A258,"!",ADDRESS(20+(A259-1)*A255,13)))</f>
        <v>-</v>
      </c>
      <c r="J247" s="20" t="str">
        <f ca="1">INDIRECT(_xlfn.TEXTJOIN("",TRUE,A258,"!",ADDRESS(20+(A259-1)*A255,14)))</f>
        <v>-</v>
      </c>
    </row>
    <row r="248" spans="1:10" ht="26.25" customHeight="1" x14ac:dyDescent="0.2">
      <c r="A248" s="96" t="str">
        <f ca="1">INDIRECT(_xlfn.TEXTJOIN("",TRUE,A258,"!",ADDRESS(21+(A259-1)*A255,1)))</f>
        <v>CAT 003</v>
      </c>
      <c r="B248" s="97"/>
      <c r="C248" s="106" t="str">
        <f ca="1">INDIRECT(_xlfn.TEXTJOIN("",TRUE,A258,"!",ADDRESS(21+(A259-1)*A255,2)))</f>
        <v>Fundamental of Web Technology ($)</v>
      </c>
      <c r="D248" s="107"/>
      <c r="E248" s="107"/>
      <c r="F248" s="107"/>
      <c r="G248" s="108"/>
      <c r="H248" s="20">
        <f ca="1">INDIRECT(_xlfn.TEXTJOIN("",TRUE,A258,"!",ADDRESS(21+(A259-1)*A255,6)))</f>
        <v>0</v>
      </c>
      <c r="I248" s="20" t="str">
        <f ca="1">INDIRECT(_xlfn.TEXTJOIN("",TRUE,A258,"!",ADDRESS(21+(A259-1)*A255,13)))</f>
        <v>-</v>
      </c>
      <c r="J248" s="20" t="str">
        <f ca="1">INDIRECT(_xlfn.TEXTJOIN("",TRUE,A258,"!",ADDRESS(21+(A259-1)*A255,14)))</f>
        <v>-</v>
      </c>
    </row>
    <row r="249" spans="1:10" ht="26.25" customHeight="1" x14ac:dyDescent="0.2">
      <c r="A249" s="96" t="str">
        <f ca="1">INDIRECT(_xlfn.TEXTJOIN("",TRUE,A258,"!",ADDRESS(22+(A259-1)*A255,1)))</f>
        <v>CAP 001</v>
      </c>
      <c r="B249" s="97"/>
      <c r="C249" s="106" t="str">
        <f ca="1">INDIRECT(_xlfn.TEXTJOIN("",TRUE,A258,"!",ADDRESS(22+(A259-1)*A255,2)))</f>
        <v>Database Management System Lab</v>
      </c>
      <c r="D249" s="107"/>
      <c r="E249" s="107"/>
      <c r="F249" s="107"/>
      <c r="G249" s="108"/>
      <c r="H249" s="20">
        <f ca="1">INDIRECT(_xlfn.TEXTJOIN("",TRUE,A258,"!",ADDRESS(22+(A259-1)*A255,6)))</f>
        <v>1</v>
      </c>
      <c r="I249" s="20" t="str">
        <f ca="1">INDIRECT(_xlfn.TEXTJOIN("",TRUE,A258,"!",ADDRESS(22+(A259-1)*A255,13)))</f>
        <v>B+</v>
      </c>
      <c r="J249" s="20">
        <f ca="1">INDIRECT(_xlfn.TEXTJOIN("",TRUE,A258,"!",ADDRESS(22+(A259-1)*A255,14)))</f>
        <v>8.5</v>
      </c>
    </row>
    <row r="250" spans="1:10" ht="26.25" customHeight="1" x14ac:dyDescent="0.2">
      <c r="A250" s="110" t="str">
        <f ca="1">INDIRECT(_xlfn.TEXTJOIN("",TRUE,A258,"!",ADDRESS(23+(A259-1)*A255,1)))</f>
        <v>CAP 002</v>
      </c>
      <c r="B250" s="111"/>
      <c r="C250" s="115" t="str">
        <f ca="1">INDIRECT(_xlfn.TEXTJOIN("",TRUE,A258,"!",ADDRESS(23+(A259-1)*A255,2)))</f>
        <v>Operating System Lab</v>
      </c>
      <c r="D250" s="116"/>
      <c r="E250" s="116"/>
      <c r="F250" s="116"/>
      <c r="G250" s="117"/>
      <c r="H250" s="20">
        <f ca="1">INDIRECT(_xlfn.TEXTJOIN("",TRUE,A258,"!",ADDRESS(23+(A259-1)*A255,6)))</f>
        <v>1</v>
      </c>
      <c r="I250" s="20" t="str">
        <f ca="1">INDIRECT(_xlfn.TEXTJOIN("",TRUE,A258,"!",ADDRESS(23+(A259-1)*A255,13)))</f>
        <v>O</v>
      </c>
      <c r="J250" s="20">
        <f ca="1">INDIRECT(_xlfn.TEXTJOIN("",TRUE,A258,"!",ADDRESS(23+(A259-1)*A255,14)))</f>
        <v>10</v>
      </c>
    </row>
    <row r="251" spans="1:10" ht="26.25" customHeight="1" x14ac:dyDescent="0.2">
      <c r="A251" s="110" t="str">
        <f ca="1">INDIRECT(_xlfn.TEXTJOIN("",TRUE,A258,"!",ADDRESS(24+(A259-1)*A255,1)))</f>
        <v>CAP 003</v>
      </c>
      <c r="B251" s="111"/>
      <c r="C251" s="115" t="str">
        <f ca="1">INDIRECT(_xlfn.TEXTJOIN("",TRUE,A258,"!",ADDRESS(24+(A259-1)*A255,2)))</f>
        <v>Computer Organization Lab</v>
      </c>
      <c r="D251" s="116"/>
      <c r="E251" s="116"/>
      <c r="F251" s="116"/>
      <c r="G251" s="117"/>
      <c r="H251" s="20">
        <f ca="1">INDIRECT(_xlfn.TEXTJOIN("",TRUE,A258,"!",ADDRESS(24+(A259-1)*A255,6)))</f>
        <v>1</v>
      </c>
      <c r="I251" s="20" t="str">
        <f ca="1">INDIRECT(_xlfn.TEXTJOIN("",TRUE,A258,"!",ADDRESS(24+(A259-1)*A255,13)))</f>
        <v>A</v>
      </c>
      <c r="J251" s="20">
        <f ca="1">INDIRECT(_xlfn.TEXTJOIN("",TRUE,A258,"!",ADDRESS(24+(A259-1)*A255,14)))</f>
        <v>9</v>
      </c>
    </row>
    <row r="252" spans="1:10" ht="26.25" customHeight="1" x14ac:dyDescent="0.2">
      <c r="A252" s="110" t="str">
        <f ca="1">INDIRECT(_xlfn.TEXTJOIN("",TRUE,A258,"!",ADDRESS(25+(A259-1)*A255,1)))</f>
        <v>AHP 303</v>
      </c>
      <c r="B252" s="111"/>
      <c r="C252" s="115" t="str">
        <f ca="1">INDIRECT(_xlfn.TEXTJOIN("",TRUE,A258,"!",ADDRESS(25+(A259-1)*A255,2)))</f>
        <v>Technical Communication Skills</v>
      </c>
      <c r="D252" s="116"/>
      <c r="E252" s="116"/>
      <c r="F252" s="116"/>
      <c r="G252" s="117"/>
      <c r="H252" s="20">
        <f ca="1">INDIRECT(_xlfn.TEXTJOIN("",TRUE,A258,"!",ADDRESS(25+(A259-1)*A255,6)))</f>
        <v>1</v>
      </c>
      <c r="I252" s="20" t="str">
        <f ca="1">INDIRECT(_xlfn.TEXTJOIN("",TRUE,A258,"!",ADDRESS(25+(A259-1)*A255,13)))</f>
        <v>B+</v>
      </c>
      <c r="J252" s="20">
        <f ca="1">INDIRECT(_xlfn.TEXTJOIN("",TRUE,A258,"!",ADDRESS(25+(A259-1)*A255,14)))</f>
        <v>8.5</v>
      </c>
    </row>
    <row r="253" spans="1:10" ht="26.25" customHeight="1" x14ac:dyDescent="0.2">
      <c r="A253" s="100" t="s">
        <v>52</v>
      </c>
      <c r="B253" s="101"/>
      <c r="C253" s="101"/>
      <c r="D253" s="101"/>
      <c r="E253" s="101"/>
      <c r="F253" s="101"/>
      <c r="G253" s="102"/>
      <c r="H253" s="98">
        <f ca="1">SUM(H240:H253)</f>
        <v>24</v>
      </c>
      <c r="I253" s="98" t="s">
        <v>44</v>
      </c>
      <c r="J253" s="118">
        <f ca="1">SUMPRODUCT(J240:J252,H240:H252)</f>
        <v>180</v>
      </c>
    </row>
    <row r="254" spans="1:10" ht="26.25" customHeight="1" x14ac:dyDescent="0.2">
      <c r="A254" s="103"/>
      <c r="B254" s="104"/>
      <c r="C254" s="104"/>
      <c r="D254" s="104"/>
      <c r="E254" s="104"/>
      <c r="F254" s="104"/>
      <c r="G254" s="105"/>
      <c r="H254" s="99"/>
      <c r="I254" s="99"/>
      <c r="J254" s="118"/>
    </row>
    <row r="255" spans="1:10" ht="26.25" customHeight="1" x14ac:dyDescent="0.2">
      <c r="A255" s="22">
        <f>ROWS(A240:B253)+9</f>
        <v>23</v>
      </c>
      <c r="B255" s="17"/>
      <c r="C255" s="17"/>
      <c r="D255" s="17"/>
      <c r="E255" s="17"/>
      <c r="F255" s="17"/>
      <c r="G255" s="17"/>
      <c r="H255" s="17"/>
      <c r="I255" s="17"/>
      <c r="J255" s="17"/>
    </row>
    <row r="256" spans="1:10" ht="26.25" customHeight="1" x14ac:dyDescent="0.2">
      <c r="A256" s="120" t="s">
        <v>40</v>
      </c>
      <c r="B256" s="120"/>
      <c r="C256" s="21">
        <f ca="1">INDIRECT(_xlfn.TEXTJOIN("",TRUE,A258,"!",ADDRESS(5+A259*A255,12)))</f>
        <v>24</v>
      </c>
      <c r="D256" s="120" t="s">
        <v>38</v>
      </c>
      <c r="E256" s="120"/>
      <c r="F256" s="18">
        <f ca="1">INDIRECT(_xlfn.TEXTJOIN("",TRUE,A258,"!",ADDRESS(5+A259*A255,8)))</f>
        <v>7.5</v>
      </c>
      <c r="G256" s="120" t="s">
        <v>39</v>
      </c>
      <c r="H256" s="120"/>
      <c r="I256" s="109">
        <f ca="1">INDIRECT(_xlfn.TEXTJOIN("",TRUE,A258,"!",ADDRESS(5+A259*A255,10)))</f>
        <v>7.5</v>
      </c>
      <c r="J256" s="109"/>
    </row>
    <row r="257" spans="1:10" ht="26.25" customHeight="1" x14ac:dyDescent="0.2">
      <c r="A257" s="19" t="s">
        <v>36</v>
      </c>
      <c r="B257" s="95" t="str">
        <f ca="1">INDIRECT(_xlfn.TEXTJOIN("",TRUE,A258,"!",ADDRESS(5+A259*A255,2)))</f>
        <v>PASS</v>
      </c>
      <c r="C257" s="95"/>
      <c r="D257" s="121" t="s">
        <v>37</v>
      </c>
      <c r="E257" s="121"/>
      <c r="F257" s="122" t="str">
        <f ca="1">INDIRECT(_xlfn.TEXTJOIN("",TRUE,A258,"!",ADDRESS(5+A259*A255,5)))</f>
        <v/>
      </c>
      <c r="G257" s="122"/>
      <c r="H257" s="122"/>
      <c r="I257" s="122"/>
      <c r="J257" s="122"/>
    </row>
    <row r="258" spans="1:10" ht="26.25" customHeight="1" x14ac:dyDescent="0.2">
      <c r="A258" s="22" t="str">
        <f>A235</f>
        <v>TC_I</v>
      </c>
    </row>
    <row r="259" spans="1:10" ht="26.25" customHeight="1" x14ac:dyDescent="0.2">
      <c r="A259" s="22">
        <f>A236+1</f>
        <v>11</v>
      </c>
    </row>
    <row r="260" spans="1:10" ht="26.25" customHeight="1" x14ac:dyDescent="0.2">
      <c r="A260" s="112" t="s">
        <v>24</v>
      </c>
      <c r="B260" s="112"/>
      <c r="C260" s="112" t="str">
        <f ca="1">INDIRECT(_xlfn.TEXTJOIN("",TRUE,A281,"!",ADDRESS(9+(A282-1)*A278,2)))</f>
        <v>OJASWEE BISHT</v>
      </c>
      <c r="D260" s="112"/>
      <c r="E260" s="112"/>
      <c r="F260" s="112" t="s">
        <v>50</v>
      </c>
      <c r="G260" s="112"/>
      <c r="H260" s="112"/>
      <c r="I260" s="113">
        <f ca="1">INDIRECT(_xlfn.TEXTJOIN("",TRUE,A281,"!",ADDRESS(9+(A282-1)*A278,9)))</f>
        <v>250090600012</v>
      </c>
      <c r="J260" s="113"/>
    </row>
    <row r="261" spans="1:10" ht="26.25" customHeight="1" x14ac:dyDescent="0.2">
      <c r="A261" s="112" t="s">
        <v>25</v>
      </c>
      <c r="B261" s="112"/>
      <c r="C261" s="112" t="str">
        <f ca="1">INDIRECT(_xlfn.TEXTJOIN("",TRUE,A281,"!",ADDRESS(9+(A282-1)*A278,5)))</f>
        <v>PRAMOD BISHT</v>
      </c>
      <c r="D261" s="112"/>
      <c r="E261" s="112"/>
      <c r="F261" s="114" t="s">
        <v>51</v>
      </c>
      <c r="G261" s="114"/>
      <c r="H261" s="114"/>
      <c r="I261" s="113" t="str">
        <f ca="1">INDIRECT(_xlfn.TEXTJOIN("",TRUE,A281,"!",ADDRESS(9+(A282-1)*A278,13)))</f>
        <v>UTU/2506100155</v>
      </c>
      <c r="J261" s="113"/>
    </row>
    <row r="262" spans="1:10" ht="26.25" customHeight="1" x14ac:dyDescent="0.2">
      <c r="A262" s="95" t="s">
        <v>28</v>
      </c>
      <c r="B262" s="95"/>
      <c r="C262" s="95" t="s">
        <v>29</v>
      </c>
      <c r="D262" s="95"/>
      <c r="E262" s="95"/>
      <c r="F262" s="95"/>
      <c r="G262" s="95"/>
      <c r="H262" s="15" t="s">
        <v>30</v>
      </c>
      <c r="I262" s="15" t="s">
        <v>9</v>
      </c>
      <c r="J262" s="15" t="s">
        <v>34</v>
      </c>
    </row>
    <row r="263" spans="1:10" ht="26.25" customHeight="1" x14ac:dyDescent="0.2">
      <c r="A263" s="96" t="str">
        <f ca="1">INDIRECT(_xlfn.TEXTJOIN("",TRUE,A281,"!",ADDRESS(13+(A282-1)*A278,1)))</f>
        <v>CAT 004</v>
      </c>
      <c r="B263" s="97"/>
      <c r="C263" s="106" t="str">
        <f ca="1">INDIRECT(_xlfn.TEXTJOIN("",TRUE,A281,"!",ADDRESS(13+(A282-1)*A278,2)))</f>
        <v>Discrete Structure</v>
      </c>
      <c r="D263" s="107"/>
      <c r="E263" s="107"/>
      <c r="F263" s="107"/>
      <c r="G263" s="108"/>
      <c r="H263" s="20">
        <f ca="1">INDIRECT(_xlfn.TEXTJOIN("",TRUE,A281,"!",ADDRESS(13+(A282-1)*A278,6)))</f>
        <v>4</v>
      </c>
      <c r="I263" s="20" t="str">
        <f ca="1">INDIRECT(_xlfn.TEXTJOIN("",TRUE,A281,"!",ADDRESS(13+(A282-1)*A278,13)))</f>
        <v>C+</v>
      </c>
      <c r="J263" s="20">
        <f ca="1">INDIRECT(_xlfn.TEXTJOIN("",TRUE,A281,"!",ADDRESS(13+(A282-1)*A278,14)))</f>
        <v>7.5</v>
      </c>
    </row>
    <row r="264" spans="1:10" ht="26.25" customHeight="1" x14ac:dyDescent="0.2">
      <c r="A264" s="96" t="str">
        <f ca="1">INDIRECT(_xlfn.TEXTJOIN("",TRUE,A281,"!",ADDRESS(14+(A282-1)*A278,1)))</f>
        <v>CAT 005</v>
      </c>
      <c r="B264" s="97"/>
      <c r="C264" s="106" t="str">
        <f ca="1">INDIRECT(_xlfn.TEXTJOIN("",TRUE,A281,"!",ADDRESS(14+(A282-1)*A278,2)))</f>
        <v>Database Management System</v>
      </c>
      <c r="D264" s="107"/>
      <c r="E264" s="107"/>
      <c r="F264" s="107"/>
      <c r="G264" s="108"/>
      <c r="H264" s="20">
        <f ca="1">INDIRECT(_xlfn.TEXTJOIN("",TRUE,A281,"!",ADDRESS(14+(A282-1)*A278,6)))</f>
        <v>4</v>
      </c>
      <c r="I264" s="20" t="str">
        <f ca="1">INDIRECT(_xlfn.TEXTJOIN("",TRUE,A281,"!",ADDRESS(14+(A282-1)*A278,13)))</f>
        <v>C</v>
      </c>
      <c r="J264" s="20">
        <f ca="1">INDIRECT(_xlfn.TEXTJOIN("",TRUE,A281,"!",ADDRESS(14+(A282-1)*A278,14)))</f>
        <v>7</v>
      </c>
    </row>
    <row r="265" spans="1:10" ht="26.25" customHeight="1" x14ac:dyDescent="0.2">
      <c r="A265" s="96" t="str">
        <f ca="1">INDIRECT(_xlfn.TEXTJOIN("",TRUE,A281,"!",ADDRESS(15+(A282-1)*A278,1)))</f>
        <v>CAT 006</v>
      </c>
      <c r="B265" s="97"/>
      <c r="C265" s="106" t="str">
        <f ca="1">INDIRECT(_xlfn.TEXTJOIN("",TRUE,A281,"!",ADDRESS(15+(A282-1)*A278,2)))</f>
        <v>Operating System</v>
      </c>
      <c r="D265" s="107"/>
      <c r="E265" s="107"/>
      <c r="F265" s="107"/>
      <c r="G265" s="108"/>
      <c r="H265" s="20">
        <f ca="1">INDIRECT(_xlfn.TEXTJOIN("",TRUE,A281,"!",ADDRESS(15+(A282-1)*A278,6)))</f>
        <v>4</v>
      </c>
      <c r="I265" s="20" t="str">
        <f ca="1">INDIRECT(_xlfn.TEXTJOIN("",TRUE,A281,"!",ADDRESS(15+(A282-1)*A278,13)))</f>
        <v>B+</v>
      </c>
      <c r="J265" s="20">
        <f ca="1">INDIRECT(_xlfn.TEXTJOIN("",TRUE,A281,"!",ADDRESS(15+(A282-1)*A278,14)))</f>
        <v>8.5</v>
      </c>
    </row>
    <row r="266" spans="1:10" ht="26.25" customHeight="1" x14ac:dyDescent="0.2">
      <c r="A266" s="96" t="str">
        <f ca="1">INDIRECT(_xlfn.TEXTJOIN("",TRUE,A281,"!",ADDRESS(16+(A282-1)*A278,1)))</f>
        <v>CAT 007</v>
      </c>
      <c r="B266" s="97"/>
      <c r="C266" s="106" t="str">
        <f ca="1">INDIRECT(_xlfn.TEXTJOIN("",TRUE,A281,"!",ADDRESS(16+(A282-1)*A278,2)))</f>
        <v>Computer Organization</v>
      </c>
      <c r="D266" s="107"/>
      <c r="E266" s="107"/>
      <c r="F266" s="107"/>
      <c r="G266" s="108"/>
      <c r="H266" s="20">
        <f ca="1">INDIRECT(_xlfn.TEXTJOIN("",TRUE,A281,"!",ADDRESS(16+(A282-1)*A278,6)))</f>
        <v>4</v>
      </c>
      <c r="I266" s="20" t="str">
        <f ca="1">INDIRECT(_xlfn.TEXTJOIN("",TRUE,A281,"!",ADDRESS(16+(A282-1)*A278,13)))</f>
        <v>C</v>
      </c>
      <c r="J266" s="20">
        <f ca="1">INDIRECT(_xlfn.TEXTJOIN("",TRUE,A281,"!",ADDRESS(16+(A282-1)*A278,14)))</f>
        <v>7</v>
      </c>
    </row>
    <row r="267" spans="1:10" ht="26.25" customHeight="1" x14ac:dyDescent="0.2">
      <c r="A267" s="96" t="str">
        <f ca="1">INDIRECT(_xlfn.TEXTJOIN("",TRUE,A281,"!",ADDRESS(17+(A282-1)*A278,1)))</f>
        <v>AHT 303</v>
      </c>
      <c r="B267" s="97"/>
      <c r="C267" s="106" t="str">
        <f ca="1">INDIRECT(_xlfn.TEXTJOIN("",TRUE,A281,"!",ADDRESS(17+(A282-1)*A278,2)))</f>
        <v>Technical Communication Skills</v>
      </c>
      <c r="D267" s="107"/>
      <c r="E267" s="107"/>
      <c r="F267" s="107"/>
      <c r="G267" s="108"/>
      <c r="H267" s="20">
        <f ca="1">INDIRECT(_xlfn.TEXTJOIN("",TRUE,A281,"!",ADDRESS(17+(A282-1)*A278,6)))</f>
        <v>4</v>
      </c>
      <c r="I267" s="20" t="str">
        <f ca="1">INDIRECT(_xlfn.TEXTJOIN("",TRUE,A281,"!",ADDRESS(17+(A282-1)*A278,13)))</f>
        <v>B</v>
      </c>
      <c r="J267" s="20">
        <f ca="1">INDIRECT(_xlfn.TEXTJOIN("",TRUE,A281,"!",ADDRESS(17+(A282-1)*A278,14)))</f>
        <v>8</v>
      </c>
    </row>
    <row r="268" spans="1:10" ht="26.25" customHeight="1" x14ac:dyDescent="0.2">
      <c r="A268" s="96" t="str">
        <f ca="1">INDIRECT(_xlfn.TEXTJOIN("",TRUE,A281,"!",ADDRESS(18+(A282-1)*A278,1)))</f>
        <v>CAT 008</v>
      </c>
      <c r="B268" s="97"/>
      <c r="C268" s="106" t="str">
        <f ca="1">INDIRECT(_xlfn.TEXTJOIN("",TRUE,A281,"!",ADDRESS(18+(A282-1)*A278,2)))</f>
        <v>Python Programming ($)</v>
      </c>
      <c r="D268" s="107"/>
      <c r="E268" s="107"/>
      <c r="F268" s="107"/>
      <c r="G268" s="108"/>
      <c r="H268" s="20">
        <f ca="1">INDIRECT(_xlfn.TEXTJOIN("",TRUE,A281,"!",ADDRESS(18+(A282-1)*A278,6)))</f>
        <v>0</v>
      </c>
      <c r="I268" s="20" t="str">
        <f ca="1">INDIRECT(_xlfn.TEXTJOIN("",TRUE,A281,"!",ADDRESS(18+(A282-1)*A278,13)))</f>
        <v>C+</v>
      </c>
      <c r="J268" s="20">
        <f ca="1">INDIRECT(_xlfn.TEXTJOIN("",TRUE,A281,"!",ADDRESS(18+(A282-1)*A278,14)))</f>
        <v>7.5</v>
      </c>
    </row>
    <row r="269" spans="1:10" ht="26.25" customHeight="1" x14ac:dyDescent="0.2">
      <c r="A269" s="96" t="str">
        <f ca="1">INDIRECT(_xlfn.TEXTJOIN("",TRUE,A281,"!",ADDRESS(19+(A282-1)*A278,1)))</f>
        <v>CAT 001</v>
      </c>
      <c r="B269" s="97"/>
      <c r="C269" s="106" t="str">
        <f ca="1">INDIRECT(_xlfn.TEXTJOIN("",TRUE,A281,"!",ADDRESS(19+(A282-1)*A278,2)))</f>
        <v>Introduction of Information Technology ($)</v>
      </c>
      <c r="D269" s="107"/>
      <c r="E269" s="107"/>
      <c r="F269" s="107"/>
      <c r="G269" s="108"/>
      <c r="H269" s="20">
        <f ca="1">INDIRECT(_xlfn.TEXTJOIN("",TRUE,A281,"!",ADDRESS(19+(A282-1)*A278,6)))</f>
        <v>0</v>
      </c>
      <c r="I269" s="20" t="str">
        <f ca="1">INDIRECT(_xlfn.TEXTJOIN("",TRUE,A281,"!",ADDRESS(19+(A282-1)*A278,13)))</f>
        <v>-</v>
      </c>
      <c r="J269" s="20" t="str">
        <f ca="1">INDIRECT(_xlfn.TEXTJOIN("",TRUE,A281,"!",ADDRESS(19+(A282-1)*A278,14)))</f>
        <v>-</v>
      </c>
    </row>
    <row r="270" spans="1:10" ht="26.25" customHeight="1" x14ac:dyDescent="0.2">
      <c r="A270" s="96" t="str">
        <f ca="1">INDIRECT(_xlfn.TEXTJOIN("",TRUE,A281,"!",ADDRESS(20+(A282-1)*A278,1)))</f>
        <v>CAT 002</v>
      </c>
      <c r="B270" s="97"/>
      <c r="C270" s="106" t="str">
        <f ca="1">INDIRECT(_xlfn.TEXTJOIN("",TRUE,A281,"!",ADDRESS(20+(A282-1)*A278,2)))</f>
        <v>Programming Fundamentals with "C" ($)</v>
      </c>
      <c r="D270" s="107"/>
      <c r="E270" s="107"/>
      <c r="F270" s="107"/>
      <c r="G270" s="108"/>
      <c r="H270" s="20">
        <f ca="1">INDIRECT(_xlfn.TEXTJOIN("",TRUE,A281,"!",ADDRESS(20+(A282-1)*A278,6)))</f>
        <v>0</v>
      </c>
      <c r="I270" s="20" t="str">
        <f ca="1">INDIRECT(_xlfn.TEXTJOIN("",TRUE,A281,"!",ADDRESS(20+(A282-1)*A278,13)))</f>
        <v>-</v>
      </c>
      <c r="J270" s="20" t="str">
        <f ca="1">INDIRECT(_xlfn.TEXTJOIN("",TRUE,A281,"!",ADDRESS(20+(A282-1)*A278,14)))</f>
        <v>-</v>
      </c>
    </row>
    <row r="271" spans="1:10" ht="26.25" customHeight="1" x14ac:dyDescent="0.2">
      <c r="A271" s="96" t="str">
        <f ca="1">INDIRECT(_xlfn.TEXTJOIN("",TRUE,A281,"!",ADDRESS(21+(A282-1)*A278,1)))</f>
        <v>CAT 003</v>
      </c>
      <c r="B271" s="97"/>
      <c r="C271" s="106" t="str">
        <f ca="1">INDIRECT(_xlfn.TEXTJOIN("",TRUE,A281,"!",ADDRESS(21+(A282-1)*A278,2)))</f>
        <v>Fundamental of Web Technology ($)</v>
      </c>
      <c r="D271" s="107"/>
      <c r="E271" s="107"/>
      <c r="F271" s="107"/>
      <c r="G271" s="108"/>
      <c r="H271" s="20">
        <f ca="1">INDIRECT(_xlfn.TEXTJOIN("",TRUE,A281,"!",ADDRESS(21+(A282-1)*A278,6)))</f>
        <v>0</v>
      </c>
      <c r="I271" s="20" t="str">
        <f ca="1">INDIRECT(_xlfn.TEXTJOIN("",TRUE,A281,"!",ADDRESS(21+(A282-1)*A278,13)))</f>
        <v>-</v>
      </c>
      <c r="J271" s="20" t="str">
        <f ca="1">INDIRECT(_xlfn.TEXTJOIN("",TRUE,A281,"!",ADDRESS(21+(A282-1)*A278,14)))</f>
        <v>-</v>
      </c>
    </row>
    <row r="272" spans="1:10" ht="26.25" customHeight="1" x14ac:dyDescent="0.2">
      <c r="A272" s="96" t="str">
        <f ca="1">INDIRECT(_xlfn.TEXTJOIN("",TRUE,A281,"!",ADDRESS(22+(A282-1)*A278,1)))</f>
        <v>CAP 001</v>
      </c>
      <c r="B272" s="97"/>
      <c r="C272" s="106" t="str">
        <f ca="1">INDIRECT(_xlfn.TEXTJOIN("",TRUE,A281,"!",ADDRESS(22+(A282-1)*A278,2)))</f>
        <v>Database Management System Lab</v>
      </c>
      <c r="D272" s="107"/>
      <c r="E272" s="107"/>
      <c r="F272" s="107"/>
      <c r="G272" s="108"/>
      <c r="H272" s="20">
        <f ca="1">INDIRECT(_xlfn.TEXTJOIN("",TRUE,A281,"!",ADDRESS(22+(A282-1)*A278,6)))</f>
        <v>1</v>
      </c>
      <c r="I272" s="20" t="str">
        <f ca="1">INDIRECT(_xlfn.TEXTJOIN("",TRUE,A281,"!",ADDRESS(22+(A282-1)*A278,13)))</f>
        <v>A+</v>
      </c>
      <c r="J272" s="20">
        <f ca="1">INDIRECT(_xlfn.TEXTJOIN("",TRUE,A281,"!",ADDRESS(22+(A282-1)*A278,14)))</f>
        <v>9.5</v>
      </c>
    </row>
    <row r="273" spans="1:10" ht="26.25" customHeight="1" x14ac:dyDescent="0.2">
      <c r="A273" s="110" t="str">
        <f ca="1">INDIRECT(_xlfn.TEXTJOIN("",TRUE,A281,"!",ADDRESS(23+(A282-1)*A278,1)))</f>
        <v>CAP 002</v>
      </c>
      <c r="B273" s="111"/>
      <c r="C273" s="115" t="str">
        <f ca="1">INDIRECT(_xlfn.TEXTJOIN("",TRUE,A281,"!",ADDRESS(23+(A282-1)*A278,2)))</f>
        <v>Operating System Lab</v>
      </c>
      <c r="D273" s="116"/>
      <c r="E273" s="116"/>
      <c r="F273" s="116"/>
      <c r="G273" s="117"/>
      <c r="H273" s="20">
        <f ca="1">INDIRECT(_xlfn.TEXTJOIN("",TRUE,A281,"!",ADDRESS(23+(A282-1)*A278,6)))</f>
        <v>1</v>
      </c>
      <c r="I273" s="20" t="str">
        <f ca="1">INDIRECT(_xlfn.TEXTJOIN("",TRUE,A281,"!",ADDRESS(23+(A282-1)*A278,13)))</f>
        <v>A+</v>
      </c>
      <c r="J273" s="20">
        <f ca="1">INDIRECT(_xlfn.TEXTJOIN("",TRUE,A281,"!",ADDRESS(23+(A282-1)*A278,14)))</f>
        <v>9.5</v>
      </c>
    </row>
    <row r="274" spans="1:10" ht="26.25" customHeight="1" x14ac:dyDescent="0.2">
      <c r="A274" s="110" t="str">
        <f ca="1">INDIRECT(_xlfn.TEXTJOIN("",TRUE,A281,"!",ADDRESS(24+(A282-1)*A278,1)))</f>
        <v>CAP 003</v>
      </c>
      <c r="B274" s="111"/>
      <c r="C274" s="115" t="str">
        <f ca="1">INDIRECT(_xlfn.TEXTJOIN("",TRUE,A281,"!",ADDRESS(24+(A282-1)*A278,2)))</f>
        <v>Computer Organization Lab</v>
      </c>
      <c r="D274" s="116"/>
      <c r="E274" s="116"/>
      <c r="F274" s="116"/>
      <c r="G274" s="117"/>
      <c r="H274" s="20">
        <f ca="1">INDIRECT(_xlfn.TEXTJOIN("",TRUE,A281,"!",ADDRESS(24+(A282-1)*A278,6)))</f>
        <v>1</v>
      </c>
      <c r="I274" s="20" t="str">
        <f ca="1">INDIRECT(_xlfn.TEXTJOIN("",TRUE,A281,"!",ADDRESS(24+(A282-1)*A278,13)))</f>
        <v>A</v>
      </c>
      <c r="J274" s="20">
        <f ca="1">INDIRECT(_xlfn.TEXTJOIN("",TRUE,A281,"!",ADDRESS(24+(A282-1)*A278,14)))</f>
        <v>9</v>
      </c>
    </row>
    <row r="275" spans="1:10" ht="26.25" customHeight="1" x14ac:dyDescent="0.2">
      <c r="A275" s="110" t="str">
        <f ca="1">INDIRECT(_xlfn.TEXTJOIN("",TRUE,A281,"!",ADDRESS(25+(A282-1)*A278,1)))</f>
        <v>AHP 303</v>
      </c>
      <c r="B275" s="111"/>
      <c r="C275" s="115" t="str">
        <f ca="1">INDIRECT(_xlfn.TEXTJOIN("",TRUE,A281,"!",ADDRESS(25+(A282-1)*A278,2)))</f>
        <v>Technical Communication Skills</v>
      </c>
      <c r="D275" s="116"/>
      <c r="E275" s="116"/>
      <c r="F275" s="116"/>
      <c r="G275" s="117"/>
      <c r="H275" s="20">
        <f ca="1">INDIRECT(_xlfn.TEXTJOIN("",TRUE,A281,"!",ADDRESS(25+(A282-1)*A278,6)))</f>
        <v>1</v>
      </c>
      <c r="I275" s="20" t="str">
        <f ca="1">INDIRECT(_xlfn.TEXTJOIN("",TRUE,A281,"!",ADDRESS(25+(A282-1)*A278,13)))</f>
        <v>A</v>
      </c>
      <c r="J275" s="20">
        <f ca="1">INDIRECT(_xlfn.TEXTJOIN("",TRUE,A281,"!",ADDRESS(25+(A282-1)*A278,14)))</f>
        <v>9</v>
      </c>
    </row>
    <row r="276" spans="1:10" ht="26.25" customHeight="1" x14ac:dyDescent="0.2">
      <c r="A276" s="100" t="s">
        <v>52</v>
      </c>
      <c r="B276" s="101"/>
      <c r="C276" s="101"/>
      <c r="D276" s="101"/>
      <c r="E276" s="101"/>
      <c r="F276" s="101"/>
      <c r="G276" s="102"/>
      <c r="H276" s="98">
        <f ca="1">SUM(H263:H276)</f>
        <v>24</v>
      </c>
      <c r="I276" s="98" t="s">
        <v>44</v>
      </c>
      <c r="J276" s="98">
        <f ca="1">SUMPRODUCT(J263:J275,H263:H275)</f>
        <v>189</v>
      </c>
    </row>
    <row r="277" spans="1:10" ht="26.25" customHeight="1" x14ac:dyDescent="0.2">
      <c r="A277" s="103"/>
      <c r="B277" s="104"/>
      <c r="C277" s="104"/>
      <c r="D277" s="104"/>
      <c r="E277" s="104"/>
      <c r="F277" s="104"/>
      <c r="G277" s="105"/>
      <c r="H277" s="99"/>
      <c r="I277" s="99"/>
      <c r="J277" s="99"/>
    </row>
    <row r="278" spans="1:10" ht="26.25" customHeight="1" x14ac:dyDescent="0.2">
      <c r="A278" s="22">
        <f>ROWS(A263:B276)+9</f>
        <v>23</v>
      </c>
      <c r="B278" s="17"/>
      <c r="C278" s="17"/>
      <c r="D278" s="17"/>
      <c r="E278" s="17"/>
      <c r="F278" s="17"/>
      <c r="G278" s="17"/>
      <c r="H278" s="17"/>
      <c r="I278" s="17"/>
      <c r="J278" s="17"/>
    </row>
    <row r="279" spans="1:10" ht="26.25" customHeight="1" x14ac:dyDescent="0.2">
      <c r="A279" s="120" t="s">
        <v>40</v>
      </c>
      <c r="B279" s="120"/>
      <c r="C279" s="21">
        <f ca="1">INDIRECT(_xlfn.TEXTJOIN("",TRUE,A281,"!",ADDRESS(5+A282*A278,12)))</f>
        <v>24</v>
      </c>
      <c r="D279" s="120" t="s">
        <v>38</v>
      </c>
      <c r="E279" s="120"/>
      <c r="F279" s="18">
        <f ca="1">INDIRECT(_xlfn.TEXTJOIN("",TRUE,A281,"!",ADDRESS(5+A282*A278,8)))</f>
        <v>7.875</v>
      </c>
      <c r="G279" s="120" t="s">
        <v>39</v>
      </c>
      <c r="H279" s="120"/>
      <c r="I279" s="109">
        <f ca="1">INDIRECT(_xlfn.TEXTJOIN("",TRUE,A281,"!",ADDRESS(5+A282*A278,10)))</f>
        <v>7.875</v>
      </c>
      <c r="J279" s="109"/>
    </row>
    <row r="280" spans="1:10" ht="26.25" customHeight="1" x14ac:dyDescent="0.2">
      <c r="A280" s="19" t="s">
        <v>36</v>
      </c>
      <c r="B280" s="95" t="str">
        <f ca="1">INDIRECT(_xlfn.TEXTJOIN("",TRUE,A281,"!",ADDRESS(5+A282*A278,2)))</f>
        <v>PASS</v>
      </c>
      <c r="C280" s="95"/>
      <c r="D280" s="121" t="s">
        <v>37</v>
      </c>
      <c r="E280" s="121"/>
      <c r="F280" s="122" t="str">
        <f ca="1">INDIRECT(_xlfn.TEXTJOIN("",TRUE,A281,"!",ADDRESS(5+A282*A278,5)))</f>
        <v/>
      </c>
      <c r="G280" s="122"/>
      <c r="H280" s="122"/>
      <c r="I280" s="122"/>
      <c r="J280" s="122"/>
    </row>
    <row r="281" spans="1:10" ht="26.25" customHeight="1" x14ac:dyDescent="0.2">
      <c r="A281" s="22" t="str">
        <f>A258</f>
        <v>TC_I</v>
      </c>
    </row>
    <row r="282" spans="1:10" ht="26.25" customHeight="1" x14ac:dyDescent="0.2">
      <c r="A282" s="22">
        <f>A259+1</f>
        <v>12</v>
      </c>
    </row>
    <row r="283" spans="1:10" ht="26.25" customHeight="1" x14ac:dyDescent="0.2">
      <c r="A283" s="112" t="s">
        <v>24</v>
      </c>
      <c r="B283" s="112"/>
      <c r="C283" s="112" t="str">
        <f ca="1">INDIRECT(_xlfn.TEXTJOIN("",TRUE,A304,"!",ADDRESS(9+(A305-1)*A301,2)))</f>
        <v>RATNESH JUYAL</v>
      </c>
      <c r="D283" s="112"/>
      <c r="E283" s="112"/>
      <c r="F283" s="112" t="s">
        <v>50</v>
      </c>
      <c r="G283" s="112"/>
      <c r="H283" s="112"/>
      <c r="I283" s="113">
        <f ca="1">INDIRECT(_xlfn.TEXTJOIN("",TRUE,A304,"!",ADDRESS(9+(A305-1)*A301,9)))</f>
        <v>250090600013</v>
      </c>
      <c r="J283" s="113"/>
    </row>
    <row r="284" spans="1:10" ht="26.25" customHeight="1" x14ac:dyDescent="0.2">
      <c r="A284" s="112" t="s">
        <v>25</v>
      </c>
      <c r="B284" s="112"/>
      <c r="C284" s="112" t="str">
        <f ca="1">INDIRECT(_xlfn.TEXTJOIN("",TRUE,A304,"!",ADDRESS(9+(A305-1)*A301,5)))</f>
        <v>BHAGWAT PRASAD JUYAL</v>
      </c>
      <c r="D284" s="112"/>
      <c r="E284" s="112"/>
      <c r="F284" s="114" t="s">
        <v>51</v>
      </c>
      <c r="G284" s="114"/>
      <c r="H284" s="114"/>
      <c r="I284" s="113" t="str">
        <f ca="1">INDIRECT(_xlfn.TEXTJOIN("",TRUE,A304,"!",ADDRESS(9+(A305-1)*A301,13)))</f>
        <v>UTU/2506100158</v>
      </c>
      <c r="J284" s="113"/>
    </row>
    <row r="285" spans="1:10" ht="26.25" customHeight="1" x14ac:dyDescent="0.2">
      <c r="A285" s="95" t="s">
        <v>28</v>
      </c>
      <c r="B285" s="95"/>
      <c r="C285" s="95" t="s">
        <v>29</v>
      </c>
      <c r="D285" s="95"/>
      <c r="E285" s="95"/>
      <c r="F285" s="95"/>
      <c r="G285" s="95"/>
      <c r="H285" s="15" t="s">
        <v>30</v>
      </c>
      <c r="I285" s="15" t="s">
        <v>9</v>
      </c>
      <c r="J285" s="15" t="s">
        <v>34</v>
      </c>
    </row>
    <row r="286" spans="1:10" ht="26.25" customHeight="1" x14ac:dyDescent="0.2">
      <c r="A286" s="96" t="str">
        <f ca="1">INDIRECT(_xlfn.TEXTJOIN("",TRUE,A304,"!",ADDRESS(13+(A305-1)*A301,1)))</f>
        <v>CAT 004</v>
      </c>
      <c r="B286" s="97"/>
      <c r="C286" s="106" t="str">
        <f ca="1">INDIRECT(_xlfn.TEXTJOIN("",TRUE,A304,"!",ADDRESS(13+(A305-1)*A301,2)))</f>
        <v>Discrete Structure</v>
      </c>
      <c r="D286" s="107"/>
      <c r="E286" s="107"/>
      <c r="F286" s="107"/>
      <c r="G286" s="108"/>
      <c r="H286" s="20">
        <f ca="1">INDIRECT(_xlfn.TEXTJOIN("",TRUE,A304,"!",ADDRESS(13+(A305-1)*A301,6)))</f>
        <v>4</v>
      </c>
      <c r="I286" s="20" t="str">
        <f ca="1">INDIRECT(_xlfn.TEXTJOIN("",TRUE,A304,"!",ADDRESS(13+(A305-1)*A301,13)))</f>
        <v>E+</v>
      </c>
      <c r="J286" s="20">
        <f ca="1">INDIRECT(_xlfn.TEXTJOIN("",TRUE,A304,"!",ADDRESS(13+(A305-1)*A301,14)))</f>
        <v>5.5</v>
      </c>
    </row>
    <row r="287" spans="1:10" ht="26.25" customHeight="1" x14ac:dyDescent="0.2">
      <c r="A287" s="96" t="str">
        <f ca="1">INDIRECT(_xlfn.TEXTJOIN("",TRUE,A304,"!",ADDRESS(14+(A305-1)*A301,1)))</f>
        <v>CAT 005</v>
      </c>
      <c r="B287" s="97"/>
      <c r="C287" s="106" t="str">
        <f ca="1">INDIRECT(_xlfn.TEXTJOIN("",TRUE,A304,"!",ADDRESS(14+(A305-1)*A301,2)))</f>
        <v>Database Management System</v>
      </c>
      <c r="D287" s="107"/>
      <c r="E287" s="107"/>
      <c r="F287" s="107"/>
      <c r="G287" s="108"/>
      <c r="H287" s="20">
        <f ca="1">INDIRECT(_xlfn.TEXTJOIN("",TRUE,A304,"!",ADDRESS(14+(A305-1)*A301,6)))</f>
        <v>4</v>
      </c>
      <c r="I287" s="20" t="str">
        <f ca="1">INDIRECT(_xlfn.TEXTJOIN("",TRUE,A304,"!",ADDRESS(14+(A305-1)*A301,13)))</f>
        <v>E</v>
      </c>
      <c r="J287" s="20">
        <f ca="1">INDIRECT(_xlfn.TEXTJOIN("",TRUE,A304,"!",ADDRESS(14+(A305-1)*A301,14)))</f>
        <v>5</v>
      </c>
    </row>
    <row r="288" spans="1:10" ht="26.25" customHeight="1" x14ac:dyDescent="0.2">
      <c r="A288" s="96" t="str">
        <f ca="1">INDIRECT(_xlfn.TEXTJOIN("",TRUE,A304,"!",ADDRESS(15+(A305-1)*A301,1)))</f>
        <v>CAT 006</v>
      </c>
      <c r="B288" s="97"/>
      <c r="C288" s="106" t="str">
        <f ca="1">INDIRECT(_xlfn.TEXTJOIN("",TRUE,A304,"!",ADDRESS(15+(A305-1)*A301,2)))</f>
        <v>Operating System</v>
      </c>
      <c r="D288" s="107"/>
      <c r="E288" s="107"/>
      <c r="F288" s="107"/>
      <c r="G288" s="108"/>
      <c r="H288" s="20">
        <f ca="1">INDIRECT(_xlfn.TEXTJOIN("",TRUE,A304,"!",ADDRESS(15+(A305-1)*A301,6)))</f>
        <v>4</v>
      </c>
      <c r="I288" s="20" t="str">
        <f ca="1">INDIRECT(_xlfn.TEXTJOIN("",TRUE,A304,"!",ADDRESS(15+(A305-1)*A301,13)))</f>
        <v>D+</v>
      </c>
      <c r="J288" s="20">
        <f ca="1">INDIRECT(_xlfn.TEXTJOIN("",TRUE,A304,"!",ADDRESS(15+(A305-1)*A301,14)))</f>
        <v>6.5</v>
      </c>
    </row>
    <row r="289" spans="1:10" ht="26.25" customHeight="1" x14ac:dyDescent="0.2">
      <c r="A289" s="96" t="str">
        <f ca="1">INDIRECT(_xlfn.TEXTJOIN("",TRUE,A304,"!",ADDRESS(16+(A305-1)*A301,1)))</f>
        <v>CAT 007</v>
      </c>
      <c r="B289" s="97"/>
      <c r="C289" s="106" t="str">
        <f ca="1">INDIRECT(_xlfn.TEXTJOIN("",TRUE,A304,"!",ADDRESS(16+(A305-1)*A301,2)))</f>
        <v>Computer Organization</v>
      </c>
      <c r="D289" s="107"/>
      <c r="E289" s="107"/>
      <c r="F289" s="107"/>
      <c r="G289" s="108"/>
      <c r="H289" s="20">
        <f ca="1">INDIRECT(_xlfn.TEXTJOIN("",TRUE,A304,"!",ADDRESS(16+(A305-1)*A301,6)))</f>
        <v>4</v>
      </c>
      <c r="I289" s="20" t="str">
        <f ca="1">INDIRECT(_xlfn.TEXTJOIN("",TRUE,A304,"!",ADDRESS(16+(A305-1)*A301,13)))</f>
        <v>P</v>
      </c>
      <c r="J289" s="20">
        <f ca="1">INDIRECT(_xlfn.TEXTJOIN("",TRUE,A304,"!",ADDRESS(16+(A305-1)*A301,14)))</f>
        <v>4.5</v>
      </c>
    </row>
    <row r="290" spans="1:10" ht="26.25" customHeight="1" x14ac:dyDescent="0.2">
      <c r="A290" s="96" t="str">
        <f ca="1">INDIRECT(_xlfn.TEXTJOIN("",TRUE,A304,"!",ADDRESS(17+(A305-1)*A301,1)))</f>
        <v>AHT 303</v>
      </c>
      <c r="B290" s="97"/>
      <c r="C290" s="106" t="str">
        <f ca="1">INDIRECT(_xlfn.TEXTJOIN("",TRUE,A304,"!",ADDRESS(17+(A305-1)*A301,2)))</f>
        <v>Technical Communication Skills</v>
      </c>
      <c r="D290" s="107"/>
      <c r="E290" s="107"/>
      <c r="F290" s="107"/>
      <c r="G290" s="108"/>
      <c r="H290" s="20">
        <f ca="1">INDIRECT(_xlfn.TEXTJOIN("",TRUE,A304,"!",ADDRESS(17+(A305-1)*A301,6)))</f>
        <v>4</v>
      </c>
      <c r="I290" s="20" t="str">
        <f ca="1">INDIRECT(_xlfn.TEXTJOIN("",TRUE,A304,"!",ADDRESS(17+(A305-1)*A301,13)))</f>
        <v>D</v>
      </c>
      <c r="J290" s="20">
        <f ca="1">INDIRECT(_xlfn.TEXTJOIN("",TRUE,A304,"!",ADDRESS(17+(A305-1)*A301,14)))</f>
        <v>6</v>
      </c>
    </row>
    <row r="291" spans="1:10" ht="26.25" customHeight="1" x14ac:dyDescent="0.2">
      <c r="A291" s="96" t="str">
        <f ca="1">INDIRECT(_xlfn.TEXTJOIN("",TRUE,A304,"!",ADDRESS(18+(A305-1)*A301,1)))</f>
        <v>CAT 008</v>
      </c>
      <c r="B291" s="97"/>
      <c r="C291" s="106" t="str">
        <f ca="1">INDIRECT(_xlfn.TEXTJOIN("",TRUE,A304,"!",ADDRESS(18+(A305-1)*A301,2)))</f>
        <v>Python Programming ($)</v>
      </c>
      <c r="D291" s="107"/>
      <c r="E291" s="107"/>
      <c r="F291" s="107"/>
      <c r="G291" s="108"/>
      <c r="H291" s="20">
        <f ca="1">INDIRECT(_xlfn.TEXTJOIN("",TRUE,A304,"!",ADDRESS(18+(A305-1)*A301,6)))</f>
        <v>0</v>
      </c>
      <c r="I291" s="20" t="str">
        <f ca="1">INDIRECT(_xlfn.TEXTJOIN("",TRUE,A304,"!",ADDRESS(18+(A305-1)*A301,13)))</f>
        <v>D</v>
      </c>
      <c r="J291" s="20">
        <f ca="1">INDIRECT(_xlfn.TEXTJOIN("",TRUE,A304,"!",ADDRESS(18+(A305-1)*A301,14)))</f>
        <v>6</v>
      </c>
    </row>
    <row r="292" spans="1:10" ht="26.25" customHeight="1" x14ac:dyDescent="0.2">
      <c r="A292" s="96" t="str">
        <f ca="1">INDIRECT(_xlfn.TEXTJOIN("",TRUE,A304,"!",ADDRESS(19+(A305-1)*A301,1)))</f>
        <v>CAT 001</v>
      </c>
      <c r="B292" s="97"/>
      <c r="C292" s="106" t="str">
        <f ca="1">INDIRECT(_xlfn.TEXTJOIN("",TRUE,A304,"!",ADDRESS(19+(A305-1)*A301,2)))</f>
        <v>Introduction of Information Technology ($)</v>
      </c>
      <c r="D292" s="107"/>
      <c r="E292" s="107"/>
      <c r="F292" s="107"/>
      <c r="G292" s="108"/>
      <c r="H292" s="20">
        <f ca="1">INDIRECT(_xlfn.TEXTJOIN("",TRUE,A304,"!",ADDRESS(19+(A305-1)*A301,6)))</f>
        <v>0</v>
      </c>
      <c r="I292" s="20" t="str">
        <f ca="1">INDIRECT(_xlfn.TEXTJOIN("",TRUE,A304,"!",ADDRESS(19+(A305-1)*A301,13)))</f>
        <v>-</v>
      </c>
      <c r="J292" s="20" t="str">
        <f ca="1">INDIRECT(_xlfn.TEXTJOIN("",TRUE,A304,"!",ADDRESS(19+(A305-1)*A301,14)))</f>
        <v>-</v>
      </c>
    </row>
    <row r="293" spans="1:10" ht="26.25" customHeight="1" x14ac:dyDescent="0.2">
      <c r="A293" s="96" t="str">
        <f ca="1">INDIRECT(_xlfn.TEXTJOIN("",TRUE,A304,"!",ADDRESS(20+(A305-1)*A301,1)))</f>
        <v>CAT 002</v>
      </c>
      <c r="B293" s="97"/>
      <c r="C293" s="106" t="str">
        <f ca="1">INDIRECT(_xlfn.TEXTJOIN("",TRUE,A304,"!",ADDRESS(20+(A305-1)*A301,2)))</f>
        <v>Programming Fundamentals with "C" ($)</v>
      </c>
      <c r="D293" s="107"/>
      <c r="E293" s="107"/>
      <c r="F293" s="107"/>
      <c r="G293" s="108"/>
      <c r="H293" s="20">
        <f ca="1">INDIRECT(_xlfn.TEXTJOIN("",TRUE,A304,"!",ADDRESS(20+(A305-1)*A301,6)))</f>
        <v>0</v>
      </c>
      <c r="I293" s="20" t="str">
        <f ca="1">INDIRECT(_xlfn.TEXTJOIN("",TRUE,A304,"!",ADDRESS(20+(A305-1)*A301,13)))</f>
        <v>-</v>
      </c>
      <c r="J293" s="20" t="str">
        <f ca="1">INDIRECT(_xlfn.TEXTJOIN("",TRUE,A304,"!",ADDRESS(20+(A305-1)*A301,14)))</f>
        <v>-</v>
      </c>
    </row>
    <row r="294" spans="1:10" ht="26.25" customHeight="1" x14ac:dyDescent="0.2">
      <c r="A294" s="96" t="str">
        <f ca="1">INDIRECT(_xlfn.TEXTJOIN("",TRUE,A304,"!",ADDRESS(21+(A305-1)*A301,1)))</f>
        <v>CAT 003</v>
      </c>
      <c r="B294" s="97"/>
      <c r="C294" s="106" t="str">
        <f ca="1">INDIRECT(_xlfn.TEXTJOIN("",TRUE,A304,"!",ADDRESS(21+(A305-1)*A301,2)))</f>
        <v>Fundamental of Web Technology ($)</v>
      </c>
      <c r="D294" s="107"/>
      <c r="E294" s="107"/>
      <c r="F294" s="107"/>
      <c r="G294" s="108"/>
      <c r="H294" s="20">
        <f ca="1">INDIRECT(_xlfn.TEXTJOIN("",TRUE,A304,"!",ADDRESS(21+(A305-1)*A301,6)))</f>
        <v>0</v>
      </c>
      <c r="I294" s="20" t="str">
        <f ca="1">INDIRECT(_xlfn.TEXTJOIN("",TRUE,A304,"!",ADDRESS(21+(A305-1)*A301,13)))</f>
        <v>-</v>
      </c>
      <c r="J294" s="20" t="str">
        <f ca="1">INDIRECT(_xlfn.TEXTJOIN("",TRUE,A304,"!",ADDRESS(21+(A305-1)*A301,14)))</f>
        <v>-</v>
      </c>
    </row>
    <row r="295" spans="1:10" ht="26.25" customHeight="1" x14ac:dyDescent="0.2">
      <c r="A295" s="96" t="str">
        <f ca="1">INDIRECT(_xlfn.TEXTJOIN("",TRUE,A304,"!",ADDRESS(22+(A305-1)*A301,1)))</f>
        <v>CAP 001</v>
      </c>
      <c r="B295" s="97"/>
      <c r="C295" s="106" t="str">
        <f ca="1">INDIRECT(_xlfn.TEXTJOIN("",TRUE,A304,"!",ADDRESS(22+(A305-1)*A301,2)))</f>
        <v>Database Management System Lab</v>
      </c>
      <c r="D295" s="107"/>
      <c r="E295" s="107"/>
      <c r="F295" s="107"/>
      <c r="G295" s="108"/>
      <c r="H295" s="20">
        <f ca="1">INDIRECT(_xlfn.TEXTJOIN("",TRUE,A304,"!",ADDRESS(22+(A305-1)*A301,6)))</f>
        <v>1</v>
      </c>
      <c r="I295" s="20" t="str">
        <f ca="1">INDIRECT(_xlfn.TEXTJOIN("",TRUE,A304,"!",ADDRESS(22+(A305-1)*A301,13)))</f>
        <v>C+</v>
      </c>
      <c r="J295" s="20">
        <f ca="1">INDIRECT(_xlfn.TEXTJOIN("",TRUE,A304,"!",ADDRESS(22+(A305-1)*A301,14)))</f>
        <v>7.5</v>
      </c>
    </row>
    <row r="296" spans="1:10" ht="26.25" customHeight="1" x14ac:dyDescent="0.2">
      <c r="A296" s="110" t="str">
        <f ca="1">INDIRECT(_xlfn.TEXTJOIN("",TRUE,A304,"!",ADDRESS(23+(A305-1)*A301,1)))</f>
        <v>CAP 002</v>
      </c>
      <c r="B296" s="111"/>
      <c r="C296" s="115" t="str">
        <f ca="1">INDIRECT(_xlfn.TEXTJOIN("",TRUE,A304,"!",ADDRESS(23+(A305-1)*A301,2)))</f>
        <v>Operating System Lab</v>
      </c>
      <c r="D296" s="116"/>
      <c r="E296" s="116"/>
      <c r="F296" s="116"/>
      <c r="G296" s="117"/>
      <c r="H296" s="20">
        <f ca="1">INDIRECT(_xlfn.TEXTJOIN("",TRUE,A304,"!",ADDRESS(23+(A305-1)*A301,6)))</f>
        <v>1</v>
      </c>
      <c r="I296" s="20" t="str">
        <f ca="1">INDIRECT(_xlfn.TEXTJOIN("",TRUE,A304,"!",ADDRESS(23+(A305-1)*A301,13)))</f>
        <v>B+</v>
      </c>
      <c r="J296" s="20">
        <f ca="1">INDIRECT(_xlfn.TEXTJOIN("",TRUE,A304,"!",ADDRESS(23+(A305-1)*A301,14)))</f>
        <v>8.5</v>
      </c>
    </row>
    <row r="297" spans="1:10" ht="26.25" customHeight="1" x14ac:dyDescent="0.2">
      <c r="A297" s="110" t="str">
        <f ca="1">INDIRECT(_xlfn.TEXTJOIN("",TRUE,A304,"!",ADDRESS(24+(A305-1)*A301,1)))</f>
        <v>CAP 003</v>
      </c>
      <c r="B297" s="111"/>
      <c r="C297" s="115" t="str">
        <f ca="1">INDIRECT(_xlfn.TEXTJOIN("",TRUE,A304,"!",ADDRESS(24+(A305-1)*A301,2)))</f>
        <v>Computer Organization Lab</v>
      </c>
      <c r="D297" s="116"/>
      <c r="E297" s="116"/>
      <c r="F297" s="116"/>
      <c r="G297" s="117"/>
      <c r="H297" s="20">
        <f ca="1">INDIRECT(_xlfn.TEXTJOIN("",TRUE,A304,"!",ADDRESS(24+(A305-1)*A301,6)))</f>
        <v>1</v>
      </c>
      <c r="I297" s="20" t="str">
        <f ca="1">INDIRECT(_xlfn.TEXTJOIN("",TRUE,A304,"!",ADDRESS(24+(A305-1)*A301,13)))</f>
        <v>A+</v>
      </c>
      <c r="J297" s="20">
        <f ca="1">INDIRECT(_xlfn.TEXTJOIN("",TRUE,A304,"!",ADDRESS(24+(A305-1)*A301,14)))</f>
        <v>9.5</v>
      </c>
    </row>
    <row r="298" spans="1:10" ht="26.25" customHeight="1" x14ac:dyDescent="0.2">
      <c r="A298" s="110" t="str">
        <f ca="1">INDIRECT(_xlfn.TEXTJOIN("",TRUE,A304,"!",ADDRESS(25+(A305-1)*A301,1)))</f>
        <v>AHP 303</v>
      </c>
      <c r="B298" s="111"/>
      <c r="C298" s="115" t="str">
        <f ca="1">INDIRECT(_xlfn.TEXTJOIN("",TRUE,A304,"!",ADDRESS(25+(A305-1)*A301,2)))</f>
        <v>Technical Communication Skills</v>
      </c>
      <c r="D298" s="116"/>
      <c r="E298" s="116"/>
      <c r="F298" s="116"/>
      <c r="G298" s="117"/>
      <c r="H298" s="20">
        <f ca="1">INDIRECT(_xlfn.TEXTJOIN("",TRUE,A304,"!",ADDRESS(25+(A305-1)*A301,6)))</f>
        <v>1</v>
      </c>
      <c r="I298" s="20" t="str">
        <f ca="1">INDIRECT(_xlfn.TEXTJOIN("",TRUE,A304,"!",ADDRESS(25+(A305-1)*A301,13)))</f>
        <v>B+</v>
      </c>
      <c r="J298" s="20">
        <f ca="1">INDIRECT(_xlfn.TEXTJOIN("",TRUE,A304,"!",ADDRESS(25+(A305-1)*A301,14)))</f>
        <v>8.5</v>
      </c>
    </row>
    <row r="299" spans="1:10" ht="26.25" customHeight="1" x14ac:dyDescent="0.2">
      <c r="A299" s="100" t="s">
        <v>52</v>
      </c>
      <c r="B299" s="101"/>
      <c r="C299" s="101"/>
      <c r="D299" s="101"/>
      <c r="E299" s="101"/>
      <c r="F299" s="101"/>
      <c r="G299" s="102"/>
      <c r="H299" s="98">
        <f ca="1">SUM(H286:H299)</f>
        <v>24</v>
      </c>
      <c r="I299" s="98" t="s">
        <v>44</v>
      </c>
      <c r="J299" s="98">
        <f ca="1">SUMPRODUCT(J286:J298,H286:H298)</f>
        <v>144</v>
      </c>
    </row>
    <row r="300" spans="1:10" ht="26.25" customHeight="1" x14ac:dyDescent="0.2">
      <c r="A300" s="103"/>
      <c r="B300" s="104"/>
      <c r="C300" s="104"/>
      <c r="D300" s="104"/>
      <c r="E300" s="104"/>
      <c r="F300" s="104"/>
      <c r="G300" s="105"/>
      <c r="H300" s="99"/>
      <c r="I300" s="99"/>
      <c r="J300" s="99"/>
    </row>
    <row r="301" spans="1:10" ht="26.25" customHeight="1" x14ac:dyDescent="0.2">
      <c r="A301" s="22">
        <f>ROWS(A286:B299)+9</f>
        <v>23</v>
      </c>
      <c r="B301" s="17"/>
      <c r="C301" s="17"/>
      <c r="D301" s="17"/>
      <c r="E301" s="17"/>
      <c r="F301" s="17"/>
      <c r="G301" s="17"/>
      <c r="H301" s="17"/>
      <c r="I301" s="17"/>
      <c r="J301" s="17"/>
    </row>
    <row r="302" spans="1:10" ht="26.25" customHeight="1" x14ac:dyDescent="0.2">
      <c r="A302" s="120" t="s">
        <v>40</v>
      </c>
      <c r="B302" s="120"/>
      <c r="C302" s="21">
        <f ca="1">INDIRECT(_xlfn.TEXTJOIN("",TRUE,A304,"!",ADDRESS(5+A305*A301,12)))</f>
        <v>24</v>
      </c>
      <c r="D302" s="120" t="s">
        <v>38</v>
      </c>
      <c r="E302" s="120"/>
      <c r="F302" s="18">
        <f ca="1">INDIRECT(_xlfn.TEXTJOIN("",TRUE,A304,"!",ADDRESS(5+A305*A301,8)))</f>
        <v>6</v>
      </c>
      <c r="G302" s="120" t="s">
        <v>39</v>
      </c>
      <c r="H302" s="120"/>
      <c r="I302" s="109">
        <f ca="1">INDIRECT(_xlfn.TEXTJOIN("",TRUE,A304,"!",ADDRESS(5+A305*A301,10)))</f>
        <v>6</v>
      </c>
      <c r="J302" s="109"/>
    </row>
    <row r="303" spans="1:10" ht="26.25" customHeight="1" x14ac:dyDescent="0.2">
      <c r="A303" s="19" t="s">
        <v>36</v>
      </c>
      <c r="B303" s="95" t="str">
        <f ca="1">INDIRECT(_xlfn.TEXTJOIN("",TRUE,A304,"!",ADDRESS(5+A305*A301,2)))</f>
        <v>PASS</v>
      </c>
      <c r="C303" s="95"/>
      <c r="D303" s="121" t="s">
        <v>37</v>
      </c>
      <c r="E303" s="121"/>
      <c r="F303" s="122" t="str">
        <f ca="1">INDIRECT(_xlfn.TEXTJOIN("",TRUE,A304,"!",ADDRESS(5+A305*A301,5)))</f>
        <v xml:space="preserve"> G+4 in CAT 007</v>
      </c>
      <c r="G303" s="122"/>
      <c r="H303" s="122"/>
      <c r="I303" s="122"/>
      <c r="J303" s="122"/>
    </row>
    <row r="304" spans="1:10" ht="26.25" customHeight="1" x14ac:dyDescent="0.2">
      <c r="A304" s="22" t="str">
        <f>A281</f>
        <v>TC_I</v>
      </c>
    </row>
    <row r="305" spans="1:10" ht="26.25" customHeight="1" x14ac:dyDescent="0.2">
      <c r="A305" s="22">
        <f>A282+1</f>
        <v>13</v>
      </c>
    </row>
    <row r="306" spans="1:10" ht="26.25" customHeight="1" x14ac:dyDescent="0.2">
      <c r="A306" s="112" t="s">
        <v>24</v>
      </c>
      <c r="B306" s="112"/>
      <c r="C306" s="112" t="str">
        <f ca="1">INDIRECT(_xlfn.TEXTJOIN("",TRUE,A327,"!",ADDRESS(9+(A328-1)*A324,2)))</f>
        <v>REETU SAINI</v>
      </c>
      <c r="D306" s="112"/>
      <c r="E306" s="112"/>
      <c r="F306" s="112" t="s">
        <v>50</v>
      </c>
      <c r="G306" s="112"/>
      <c r="H306" s="112"/>
      <c r="I306" s="113">
        <f ca="1">INDIRECT(_xlfn.TEXTJOIN("",TRUE,A327,"!",ADDRESS(9+(A328-1)*A324,9)))</f>
        <v>250090600014</v>
      </c>
      <c r="J306" s="113"/>
    </row>
    <row r="307" spans="1:10" ht="26.25" customHeight="1" x14ac:dyDescent="0.2">
      <c r="A307" s="112" t="s">
        <v>25</v>
      </c>
      <c r="B307" s="112"/>
      <c r="C307" s="112" t="str">
        <f ca="1">INDIRECT(_xlfn.TEXTJOIN("",TRUE,A327,"!",ADDRESS(9+(A328-1)*A324,5)))</f>
        <v>ARJUN SINGH SAINI</v>
      </c>
      <c r="D307" s="112"/>
      <c r="E307" s="112"/>
      <c r="F307" s="114" t="s">
        <v>51</v>
      </c>
      <c r="G307" s="114"/>
      <c r="H307" s="114"/>
      <c r="I307" s="113" t="str">
        <f ca="1">INDIRECT(_xlfn.TEXTJOIN("",TRUE,A327,"!",ADDRESS(9+(A328-1)*A324,13)))</f>
        <v>UTU/2506100138</v>
      </c>
      <c r="J307" s="113"/>
    </row>
    <row r="308" spans="1:10" ht="26.25" customHeight="1" x14ac:dyDescent="0.2">
      <c r="A308" s="95" t="s">
        <v>28</v>
      </c>
      <c r="B308" s="95"/>
      <c r="C308" s="95" t="s">
        <v>29</v>
      </c>
      <c r="D308" s="95"/>
      <c r="E308" s="95"/>
      <c r="F308" s="95"/>
      <c r="G308" s="95"/>
      <c r="H308" s="15" t="s">
        <v>30</v>
      </c>
      <c r="I308" s="15" t="s">
        <v>9</v>
      </c>
      <c r="J308" s="15" t="s">
        <v>34</v>
      </c>
    </row>
    <row r="309" spans="1:10" ht="26.25" customHeight="1" x14ac:dyDescent="0.2">
      <c r="A309" s="96" t="str">
        <f ca="1">INDIRECT(_xlfn.TEXTJOIN("",TRUE,A327,"!",ADDRESS(13+(A328-1)*A324,1)))</f>
        <v>CAT 004</v>
      </c>
      <c r="B309" s="97"/>
      <c r="C309" s="106" t="str">
        <f ca="1">INDIRECT(_xlfn.TEXTJOIN("",TRUE,A327,"!",ADDRESS(13+(A328-1)*A324,2)))</f>
        <v>Discrete Structure</v>
      </c>
      <c r="D309" s="107"/>
      <c r="E309" s="107"/>
      <c r="F309" s="107"/>
      <c r="G309" s="108"/>
      <c r="H309" s="20">
        <f ca="1">INDIRECT(_xlfn.TEXTJOIN("",TRUE,A327,"!",ADDRESS(13+(A328-1)*A324,6)))</f>
        <v>4</v>
      </c>
      <c r="I309" s="20" t="str">
        <f ca="1">INDIRECT(_xlfn.TEXTJOIN("",TRUE,A327,"!",ADDRESS(13+(A328-1)*A324,13)))</f>
        <v>E</v>
      </c>
      <c r="J309" s="20">
        <f ca="1">INDIRECT(_xlfn.TEXTJOIN("",TRUE,A327,"!",ADDRESS(13+(A328-1)*A324,14)))</f>
        <v>5</v>
      </c>
    </row>
    <row r="310" spans="1:10" ht="26.25" customHeight="1" x14ac:dyDescent="0.2">
      <c r="A310" s="96" t="str">
        <f ca="1">INDIRECT(_xlfn.TEXTJOIN("",TRUE,A327,"!",ADDRESS(14+(A328-1)*A324,1)))</f>
        <v>CAT 005</v>
      </c>
      <c r="B310" s="97"/>
      <c r="C310" s="106" t="str">
        <f ca="1">INDIRECT(_xlfn.TEXTJOIN("",TRUE,A327,"!",ADDRESS(14+(A328-1)*A324,2)))</f>
        <v>Database Management System</v>
      </c>
      <c r="D310" s="107"/>
      <c r="E310" s="107"/>
      <c r="F310" s="107"/>
      <c r="G310" s="108"/>
      <c r="H310" s="20">
        <f ca="1">INDIRECT(_xlfn.TEXTJOIN("",TRUE,A327,"!",ADDRESS(14+(A328-1)*A324,6)))</f>
        <v>4</v>
      </c>
      <c r="I310" s="20" t="str">
        <f ca="1">INDIRECT(_xlfn.TEXTJOIN("",TRUE,A327,"!",ADDRESS(14+(A328-1)*A324,13)))</f>
        <v>D+</v>
      </c>
      <c r="J310" s="20">
        <f ca="1">INDIRECT(_xlfn.TEXTJOIN("",TRUE,A327,"!",ADDRESS(14+(A328-1)*A324,14)))</f>
        <v>6.5</v>
      </c>
    </row>
    <row r="311" spans="1:10" ht="26.25" customHeight="1" x14ac:dyDescent="0.2">
      <c r="A311" s="96" t="str">
        <f ca="1">INDIRECT(_xlfn.TEXTJOIN("",TRUE,A327,"!",ADDRESS(15+(A328-1)*A324,1)))</f>
        <v>CAT 006</v>
      </c>
      <c r="B311" s="97"/>
      <c r="C311" s="106" t="str">
        <f ca="1">INDIRECT(_xlfn.TEXTJOIN("",TRUE,A327,"!",ADDRESS(15+(A328-1)*A324,2)))</f>
        <v>Operating System</v>
      </c>
      <c r="D311" s="107"/>
      <c r="E311" s="107"/>
      <c r="F311" s="107"/>
      <c r="G311" s="108"/>
      <c r="H311" s="20">
        <f ca="1">INDIRECT(_xlfn.TEXTJOIN("",TRUE,A327,"!",ADDRESS(15+(A328-1)*A324,6)))</f>
        <v>4</v>
      </c>
      <c r="I311" s="20" t="str">
        <f ca="1">INDIRECT(_xlfn.TEXTJOIN("",TRUE,A327,"!",ADDRESS(15+(A328-1)*A324,13)))</f>
        <v>B</v>
      </c>
      <c r="J311" s="20">
        <f ca="1">INDIRECT(_xlfn.TEXTJOIN("",TRUE,A327,"!",ADDRESS(15+(A328-1)*A324,14)))</f>
        <v>8</v>
      </c>
    </row>
    <row r="312" spans="1:10" ht="26.25" customHeight="1" x14ac:dyDescent="0.2">
      <c r="A312" s="96" t="str">
        <f ca="1">INDIRECT(_xlfn.TEXTJOIN("",TRUE,A327,"!",ADDRESS(16+(A328-1)*A324,1)))</f>
        <v>CAT 007</v>
      </c>
      <c r="B312" s="97"/>
      <c r="C312" s="106" t="str">
        <f ca="1">INDIRECT(_xlfn.TEXTJOIN("",TRUE,A327,"!",ADDRESS(16+(A328-1)*A324,2)))</f>
        <v>Computer Organization</v>
      </c>
      <c r="D312" s="107"/>
      <c r="E312" s="107"/>
      <c r="F312" s="107"/>
      <c r="G312" s="108"/>
      <c r="H312" s="20">
        <f ca="1">INDIRECT(_xlfn.TEXTJOIN("",TRUE,A327,"!",ADDRESS(16+(A328-1)*A324,6)))</f>
        <v>4</v>
      </c>
      <c r="I312" s="20" t="str">
        <f ca="1">INDIRECT(_xlfn.TEXTJOIN("",TRUE,A327,"!",ADDRESS(16+(A328-1)*A324,13)))</f>
        <v>E+</v>
      </c>
      <c r="J312" s="20">
        <f ca="1">INDIRECT(_xlfn.TEXTJOIN("",TRUE,A327,"!",ADDRESS(16+(A328-1)*A324,14)))</f>
        <v>5.5</v>
      </c>
    </row>
    <row r="313" spans="1:10" ht="26.25" customHeight="1" x14ac:dyDescent="0.2">
      <c r="A313" s="96" t="str">
        <f ca="1">INDIRECT(_xlfn.TEXTJOIN("",TRUE,A327,"!",ADDRESS(17+(A328-1)*A324,1)))</f>
        <v>AHT 303</v>
      </c>
      <c r="B313" s="97"/>
      <c r="C313" s="106" t="str">
        <f ca="1">INDIRECT(_xlfn.TEXTJOIN("",TRUE,A327,"!",ADDRESS(17+(A328-1)*A324,2)))</f>
        <v>Technical Communication Skills</v>
      </c>
      <c r="D313" s="107"/>
      <c r="E313" s="107"/>
      <c r="F313" s="107"/>
      <c r="G313" s="108"/>
      <c r="H313" s="20">
        <f ca="1">INDIRECT(_xlfn.TEXTJOIN("",TRUE,A327,"!",ADDRESS(17+(A328-1)*A324,6)))</f>
        <v>4</v>
      </c>
      <c r="I313" s="20" t="str">
        <f ca="1">INDIRECT(_xlfn.TEXTJOIN("",TRUE,A327,"!",ADDRESS(17+(A328-1)*A324,13)))</f>
        <v>D+</v>
      </c>
      <c r="J313" s="20">
        <f ca="1">INDIRECT(_xlfn.TEXTJOIN("",TRUE,A327,"!",ADDRESS(17+(A328-1)*A324,14)))</f>
        <v>6.5</v>
      </c>
    </row>
    <row r="314" spans="1:10" ht="26.25" customHeight="1" x14ac:dyDescent="0.2">
      <c r="A314" s="96" t="str">
        <f ca="1">INDIRECT(_xlfn.TEXTJOIN("",TRUE,A327,"!",ADDRESS(18+(A328-1)*A324,1)))</f>
        <v>CAT 008</v>
      </c>
      <c r="B314" s="97"/>
      <c r="C314" s="106" t="str">
        <f ca="1">INDIRECT(_xlfn.TEXTJOIN("",TRUE,A327,"!",ADDRESS(18+(A328-1)*A324,2)))</f>
        <v>Python Programming ($)</v>
      </c>
      <c r="D314" s="107"/>
      <c r="E314" s="107"/>
      <c r="F314" s="107"/>
      <c r="G314" s="108"/>
      <c r="H314" s="20">
        <f ca="1">INDIRECT(_xlfn.TEXTJOIN("",TRUE,A327,"!",ADDRESS(18+(A328-1)*A324,6)))</f>
        <v>0</v>
      </c>
      <c r="I314" s="20" t="str">
        <f ca="1">INDIRECT(_xlfn.TEXTJOIN("",TRUE,A327,"!",ADDRESS(18+(A328-1)*A324,13)))</f>
        <v>E+</v>
      </c>
      <c r="J314" s="20">
        <f ca="1">INDIRECT(_xlfn.TEXTJOIN("",TRUE,A327,"!",ADDRESS(18+(A328-1)*A324,14)))</f>
        <v>5.5</v>
      </c>
    </row>
    <row r="315" spans="1:10" ht="26.25" customHeight="1" x14ac:dyDescent="0.2">
      <c r="A315" s="96" t="str">
        <f ca="1">INDIRECT(_xlfn.TEXTJOIN("",TRUE,A327,"!",ADDRESS(19+(A328-1)*A324,1)))</f>
        <v>CAT 001</v>
      </c>
      <c r="B315" s="97"/>
      <c r="C315" s="106" t="str">
        <f ca="1">INDIRECT(_xlfn.TEXTJOIN("",TRUE,A327,"!",ADDRESS(19+(A328-1)*A324,2)))</f>
        <v>Introduction of Information Technology ($)</v>
      </c>
      <c r="D315" s="107"/>
      <c r="E315" s="107"/>
      <c r="F315" s="107"/>
      <c r="G315" s="108"/>
      <c r="H315" s="20">
        <f ca="1">INDIRECT(_xlfn.TEXTJOIN("",TRUE,A327,"!",ADDRESS(19+(A328-1)*A324,6)))</f>
        <v>0</v>
      </c>
      <c r="I315" s="20" t="str">
        <f ca="1">INDIRECT(_xlfn.TEXTJOIN("",TRUE,A327,"!",ADDRESS(19+(A328-1)*A324,13)))</f>
        <v>-</v>
      </c>
      <c r="J315" s="20" t="str">
        <f ca="1">INDIRECT(_xlfn.TEXTJOIN("",TRUE,A327,"!",ADDRESS(19+(A328-1)*A324,14)))</f>
        <v>-</v>
      </c>
    </row>
    <row r="316" spans="1:10" ht="26.25" customHeight="1" x14ac:dyDescent="0.2">
      <c r="A316" s="96" t="str">
        <f ca="1">INDIRECT(_xlfn.TEXTJOIN("",TRUE,A327,"!",ADDRESS(20+(A328-1)*A324,1)))</f>
        <v>CAT 002</v>
      </c>
      <c r="B316" s="97"/>
      <c r="C316" s="106" t="str">
        <f ca="1">INDIRECT(_xlfn.TEXTJOIN("",TRUE,A327,"!",ADDRESS(20+(A328-1)*A324,2)))</f>
        <v>Programming Fundamentals with "C" ($)</v>
      </c>
      <c r="D316" s="107"/>
      <c r="E316" s="107"/>
      <c r="F316" s="107"/>
      <c r="G316" s="108"/>
      <c r="H316" s="20">
        <f ca="1">INDIRECT(_xlfn.TEXTJOIN("",TRUE,A327,"!",ADDRESS(20+(A328-1)*A324,6)))</f>
        <v>0</v>
      </c>
      <c r="I316" s="20" t="str">
        <f ca="1">INDIRECT(_xlfn.TEXTJOIN("",TRUE,A327,"!",ADDRESS(20+(A328-1)*A324,13)))</f>
        <v>-</v>
      </c>
      <c r="J316" s="20" t="str">
        <f ca="1">INDIRECT(_xlfn.TEXTJOIN("",TRUE,A327,"!",ADDRESS(20+(A328-1)*A324,14)))</f>
        <v>-</v>
      </c>
    </row>
    <row r="317" spans="1:10" ht="26.25" customHeight="1" x14ac:dyDescent="0.2">
      <c r="A317" s="96" t="str">
        <f ca="1">INDIRECT(_xlfn.TEXTJOIN("",TRUE,A327,"!",ADDRESS(21+(A328-1)*A324,1)))</f>
        <v>CAT 003</v>
      </c>
      <c r="B317" s="97"/>
      <c r="C317" s="106" t="str">
        <f ca="1">INDIRECT(_xlfn.TEXTJOIN("",TRUE,A327,"!",ADDRESS(21+(A328-1)*A324,2)))</f>
        <v>Fundamental of Web Technology ($)</v>
      </c>
      <c r="D317" s="107"/>
      <c r="E317" s="107"/>
      <c r="F317" s="107"/>
      <c r="G317" s="108"/>
      <c r="H317" s="20">
        <f ca="1">INDIRECT(_xlfn.TEXTJOIN("",TRUE,A327,"!",ADDRESS(21+(A328-1)*A324,6)))</f>
        <v>0</v>
      </c>
      <c r="I317" s="20" t="str">
        <f ca="1">INDIRECT(_xlfn.TEXTJOIN("",TRUE,A327,"!",ADDRESS(21+(A328-1)*A324,13)))</f>
        <v>-</v>
      </c>
      <c r="J317" s="20" t="str">
        <f ca="1">INDIRECT(_xlfn.TEXTJOIN("",TRUE,A327,"!",ADDRESS(21+(A328-1)*A324,14)))</f>
        <v>-</v>
      </c>
    </row>
    <row r="318" spans="1:10" ht="26.25" customHeight="1" x14ac:dyDescent="0.2">
      <c r="A318" s="96" t="str">
        <f ca="1">INDIRECT(_xlfn.TEXTJOIN("",TRUE,A327,"!",ADDRESS(22+(A328-1)*A324,1)))</f>
        <v>CAP 001</v>
      </c>
      <c r="B318" s="97"/>
      <c r="C318" s="106" t="str">
        <f ca="1">INDIRECT(_xlfn.TEXTJOIN("",TRUE,A327,"!",ADDRESS(22+(A328-1)*A324,2)))</f>
        <v>Database Management System Lab</v>
      </c>
      <c r="D318" s="107"/>
      <c r="E318" s="107"/>
      <c r="F318" s="107"/>
      <c r="G318" s="108"/>
      <c r="H318" s="20">
        <f ca="1">INDIRECT(_xlfn.TEXTJOIN("",TRUE,A327,"!",ADDRESS(22+(A328-1)*A324,6)))</f>
        <v>1</v>
      </c>
      <c r="I318" s="20" t="str">
        <f ca="1">INDIRECT(_xlfn.TEXTJOIN("",TRUE,A327,"!",ADDRESS(22+(A328-1)*A324,13)))</f>
        <v>B</v>
      </c>
      <c r="J318" s="20">
        <f ca="1">INDIRECT(_xlfn.TEXTJOIN("",TRUE,A327,"!",ADDRESS(22+(A328-1)*A324,14)))</f>
        <v>8</v>
      </c>
    </row>
    <row r="319" spans="1:10" ht="26.25" customHeight="1" x14ac:dyDescent="0.2">
      <c r="A319" s="110" t="str">
        <f ca="1">INDIRECT(_xlfn.TEXTJOIN("",TRUE,A327,"!",ADDRESS(23+(A328-1)*A324,1)))</f>
        <v>CAP 002</v>
      </c>
      <c r="B319" s="111"/>
      <c r="C319" s="115" t="str">
        <f ca="1">INDIRECT(_xlfn.TEXTJOIN("",TRUE,A327,"!",ADDRESS(23+(A328-1)*A324,2)))</f>
        <v>Operating System Lab</v>
      </c>
      <c r="D319" s="116"/>
      <c r="E319" s="116"/>
      <c r="F319" s="116"/>
      <c r="G319" s="117"/>
      <c r="H319" s="20">
        <f ca="1">INDIRECT(_xlfn.TEXTJOIN("",TRUE,A327,"!",ADDRESS(23+(A328-1)*A324,6)))</f>
        <v>1</v>
      </c>
      <c r="I319" s="20" t="str">
        <f ca="1">INDIRECT(_xlfn.TEXTJOIN("",TRUE,A327,"!",ADDRESS(23+(A328-1)*A324,13)))</f>
        <v>B+</v>
      </c>
      <c r="J319" s="20">
        <f ca="1">INDIRECT(_xlfn.TEXTJOIN("",TRUE,A327,"!",ADDRESS(23+(A328-1)*A324,14)))</f>
        <v>8.5</v>
      </c>
    </row>
    <row r="320" spans="1:10" ht="26.25" customHeight="1" x14ac:dyDescent="0.2">
      <c r="A320" s="110" t="str">
        <f ca="1">INDIRECT(_xlfn.TEXTJOIN("",TRUE,A327,"!",ADDRESS(24+(A328-1)*A324,1)))</f>
        <v>CAP 003</v>
      </c>
      <c r="B320" s="111"/>
      <c r="C320" s="115" t="str">
        <f ca="1">INDIRECT(_xlfn.TEXTJOIN("",TRUE,A327,"!",ADDRESS(24+(A328-1)*A324,2)))</f>
        <v>Computer Organization Lab</v>
      </c>
      <c r="D320" s="116"/>
      <c r="E320" s="116"/>
      <c r="F320" s="116"/>
      <c r="G320" s="117"/>
      <c r="H320" s="20">
        <f ca="1">INDIRECT(_xlfn.TEXTJOIN("",TRUE,A327,"!",ADDRESS(24+(A328-1)*A324,6)))</f>
        <v>1</v>
      </c>
      <c r="I320" s="20" t="str">
        <f ca="1">INDIRECT(_xlfn.TEXTJOIN("",TRUE,A327,"!",ADDRESS(24+(A328-1)*A324,13)))</f>
        <v>B+</v>
      </c>
      <c r="J320" s="20">
        <f ca="1">INDIRECT(_xlfn.TEXTJOIN("",TRUE,A327,"!",ADDRESS(24+(A328-1)*A324,14)))</f>
        <v>8.5</v>
      </c>
    </row>
    <row r="321" spans="1:10" ht="26.25" customHeight="1" x14ac:dyDescent="0.2">
      <c r="A321" s="110" t="str">
        <f ca="1">INDIRECT(_xlfn.TEXTJOIN("",TRUE,A327,"!",ADDRESS(25+(A328-1)*A324,1)))</f>
        <v>AHP 303</v>
      </c>
      <c r="B321" s="111"/>
      <c r="C321" s="115" t="str">
        <f ca="1">INDIRECT(_xlfn.TEXTJOIN("",TRUE,A327,"!",ADDRESS(25+(A328-1)*A324,2)))</f>
        <v>Technical Communication Skills</v>
      </c>
      <c r="D321" s="116"/>
      <c r="E321" s="116"/>
      <c r="F321" s="116"/>
      <c r="G321" s="117"/>
      <c r="H321" s="20">
        <f ca="1">INDIRECT(_xlfn.TEXTJOIN("",TRUE,A327,"!",ADDRESS(25+(A328-1)*A324,6)))</f>
        <v>1</v>
      </c>
      <c r="I321" s="20" t="str">
        <f ca="1">INDIRECT(_xlfn.TEXTJOIN("",TRUE,A327,"!",ADDRESS(25+(A328-1)*A324,13)))</f>
        <v>B+</v>
      </c>
      <c r="J321" s="20">
        <f ca="1">INDIRECT(_xlfn.TEXTJOIN("",TRUE,A327,"!",ADDRESS(25+(A328-1)*A324,14)))</f>
        <v>8.5</v>
      </c>
    </row>
    <row r="322" spans="1:10" ht="26.25" customHeight="1" x14ac:dyDescent="0.2">
      <c r="A322" s="100" t="s">
        <v>52</v>
      </c>
      <c r="B322" s="101"/>
      <c r="C322" s="101"/>
      <c r="D322" s="101"/>
      <c r="E322" s="101"/>
      <c r="F322" s="101"/>
      <c r="G322" s="102"/>
      <c r="H322" s="98">
        <f ca="1">SUM(H309:H322)</f>
        <v>24</v>
      </c>
      <c r="I322" s="98" t="s">
        <v>44</v>
      </c>
      <c r="J322" s="98">
        <f ca="1">SUMPRODUCT(J309:J321,H309:H321)</f>
        <v>159.5</v>
      </c>
    </row>
    <row r="323" spans="1:10" ht="26.25" customHeight="1" x14ac:dyDescent="0.2">
      <c r="A323" s="103"/>
      <c r="B323" s="104"/>
      <c r="C323" s="104"/>
      <c r="D323" s="104"/>
      <c r="E323" s="104"/>
      <c r="F323" s="104"/>
      <c r="G323" s="105"/>
      <c r="H323" s="99"/>
      <c r="I323" s="99"/>
      <c r="J323" s="99"/>
    </row>
    <row r="324" spans="1:10" ht="26.25" customHeight="1" x14ac:dyDescent="0.2">
      <c r="A324" s="22">
        <f>ROWS(A309:B322)+9</f>
        <v>23</v>
      </c>
      <c r="B324" s="17"/>
      <c r="C324" s="17"/>
      <c r="D324" s="17"/>
      <c r="E324" s="17"/>
      <c r="F324" s="17"/>
      <c r="G324" s="17"/>
      <c r="H324" s="17"/>
      <c r="I324" s="17"/>
      <c r="J324" s="17"/>
    </row>
    <row r="325" spans="1:10" ht="26.25" customHeight="1" x14ac:dyDescent="0.2">
      <c r="A325" s="120" t="s">
        <v>40</v>
      </c>
      <c r="B325" s="120"/>
      <c r="C325" s="21">
        <f ca="1">INDIRECT(_xlfn.TEXTJOIN("",TRUE,A327,"!",ADDRESS(5+A328*A324,12)))</f>
        <v>24</v>
      </c>
      <c r="D325" s="120" t="s">
        <v>38</v>
      </c>
      <c r="E325" s="120"/>
      <c r="F325" s="18">
        <f ca="1">INDIRECT(_xlfn.TEXTJOIN("",TRUE,A327,"!",ADDRESS(5+A328*A324,8)))</f>
        <v>6.645833333333333</v>
      </c>
      <c r="G325" s="120" t="s">
        <v>39</v>
      </c>
      <c r="H325" s="120"/>
      <c r="I325" s="109">
        <f ca="1">INDIRECT(_xlfn.TEXTJOIN("",TRUE,A327,"!",ADDRESS(5+A328*A324,10)))</f>
        <v>6.645833333333333</v>
      </c>
      <c r="J325" s="109"/>
    </row>
    <row r="326" spans="1:10" ht="26.25" customHeight="1" x14ac:dyDescent="0.2">
      <c r="A326" s="19" t="s">
        <v>36</v>
      </c>
      <c r="B326" s="95" t="str">
        <f ca="1">INDIRECT(_xlfn.TEXTJOIN("",TRUE,A327,"!",ADDRESS(5+A328*A324,2)))</f>
        <v>PASS</v>
      </c>
      <c r="C326" s="95"/>
      <c r="D326" s="121" t="s">
        <v>37</v>
      </c>
      <c r="E326" s="121"/>
      <c r="F326" s="122" t="str">
        <f ca="1">INDIRECT(_xlfn.TEXTJOIN("",TRUE,A327,"!",ADDRESS(5+A328*A324,5)))</f>
        <v/>
      </c>
      <c r="G326" s="122"/>
      <c r="H326" s="122"/>
      <c r="I326" s="122"/>
      <c r="J326" s="122"/>
    </row>
    <row r="327" spans="1:10" ht="26.25" customHeight="1" x14ac:dyDescent="0.2">
      <c r="A327" s="22" t="str">
        <f>A304</f>
        <v>TC_I</v>
      </c>
    </row>
    <row r="328" spans="1:10" ht="26.25" customHeight="1" x14ac:dyDescent="0.2">
      <c r="A328" s="22">
        <f>A305+1</f>
        <v>14</v>
      </c>
    </row>
    <row r="329" spans="1:10" ht="26.25" customHeight="1" x14ac:dyDescent="0.2">
      <c r="A329" s="112" t="s">
        <v>24</v>
      </c>
      <c r="B329" s="112"/>
      <c r="C329" s="112" t="str">
        <f ca="1">INDIRECT(_xlfn.TEXTJOIN("",TRUE,A350,"!",ADDRESS(9+(A351-1)*A347,2)))</f>
        <v>RISHABH KAINTURA</v>
      </c>
      <c r="D329" s="112"/>
      <c r="E329" s="112"/>
      <c r="F329" s="112" t="s">
        <v>50</v>
      </c>
      <c r="G329" s="112"/>
      <c r="H329" s="112"/>
      <c r="I329" s="113">
        <f ca="1">INDIRECT(_xlfn.TEXTJOIN("",TRUE,A350,"!",ADDRESS(9+(A351-1)*A347,9)))</f>
        <v>250090600015</v>
      </c>
      <c r="J329" s="113"/>
    </row>
    <row r="330" spans="1:10" ht="26.25" customHeight="1" x14ac:dyDescent="0.2">
      <c r="A330" s="112" t="s">
        <v>25</v>
      </c>
      <c r="B330" s="112"/>
      <c r="C330" s="112" t="str">
        <f ca="1">INDIRECT(_xlfn.TEXTJOIN("",TRUE,A350,"!",ADDRESS(9+(A351-1)*A347,5)))</f>
        <v>SURENDER KAINTURA</v>
      </c>
      <c r="D330" s="112"/>
      <c r="E330" s="112"/>
      <c r="F330" s="114" t="s">
        <v>51</v>
      </c>
      <c r="G330" s="114"/>
      <c r="H330" s="114"/>
      <c r="I330" s="113" t="str">
        <f ca="1">INDIRECT(_xlfn.TEXTJOIN("",TRUE,A350,"!",ADDRESS(9+(A351-1)*A347,13)))</f>
        <v>PUTU/2506100115</v>
      </c>
      <c r="J330" s="113"/>
    </row>
    <row r="331" spans="1:10" ht="26.25" customHeight="1" x14ac:dyDescent="0.2">
      <c r="A331" s="95" t="s">
        <v>28</v>
      </c>
      <c r="B331" s="95"/>
      <c r="C331" s="95" t="s">
        <v>29</v>
      </c>
      <c r="D331" s="95"/>
      <c r="E331" s="95"/>
      <c r="F331" s="95"/>
      <c r="G331" s="95"/>
      <c r="H331" s="15" t="s">
        <v>30</v>
      </c>
      <c r="I331" s="15" t="s">
        <v>9</v>
      </c>
      <c r="J331" s="15" t="s">
        <v>34</v>
      </c>
    </row>
    <row r="332" spans="1:10" ht="26.25" customHeight="1" x14ac:dyDescent="0.2">
      <c r="A332" s="96" t="str">
        <f ca="1">INDIRECT(_xlfn.TEXTJOIN("",TRUE,A350,"!",ADDRESS(13+(A351-1)*A347,1)))</f>
        <v>CAT 004</v>
      </c>
      <c r="B332" s="97"/>
      <c r="C332" s="106" t="str">
        <f ca="1">INDIRECT(_xlfn.TEXTJOIN("",TRUE,A350,"!",ADDRESS(13+(A351-1)*A347,2)))</f>
        <v>Discrete Structure</v>
      </c>
      <c r="D332" s="107"/>
      <c r="E332" s="107"/>
      <c r="F332" s="107"/>
      <c r="G332" s="108"/>
      <c r="H332" s="20">
        <f ca="1">INDIRECT(_xlfn.TEXTJOIN("",TRUE,A350,"!",ADDRESS(13+(A351-1)*A347,6)))</f>
        <v>4</v>
      </c>
      <c r="I332" s="20" t="str">
        <f ca="1">INDIRECT(_xlfn.TEXTJOIN("",TRUE,A350,"!",ADDRESS(13+(A351-1)*A347,13)))</f>
        <v>E</v>
      </c>
      <c r="J332" s="20">
        <f ca="1">INDIRECT(_xlfn.TEXTJOIN("",TRUE,A350,"!",ADDRESS(13+(A351-1)*A347,14)))</f>
        <v>5</v>
      </c>
    </row>
    <row r="333" spans="1:10" ht="26.25" customHeight="1" x14ac:dyDescent="0.2">
      <c r="A333" s="96" t="str">
        <f ca="1">INDIRECT(_xlfn.TEXTJOIN("",TRUE,A350,"!",ADDRESS(14+(A351-1)*A347,1)))</f>
        <v>CAT 005</v>
      </c>
      <c r="B333" s="97"/>
      <c r="C333" s="106" t="str">
        <f ca="1">INDIRECT(_xlfn.TEXTJOIN("",TRUE,A350,"!",ADDRESS(14+(A351-1)*A347,2)))</f>
        <v>Database Management System</v>
      </c>
      <c r="D333" s="107"/>
      <c r="E333" s="107"/>
      <c r="F333" s="107"/>
      <c r="G333" s="108"/>
      <c r="H333" s="20">
        <f ca="1">INDIRECT(_xlfn.TEXTJOIN("",TRUE,A350,"!",ADDRESS(14+(A351-1)*A347,6)))</f>
        <v>4</v>
      </c>
      <c r="I333" s="20" t="str">
        <f ca="1">INDIRECT(_xlfn.TEXTJOIN("",TRUE,A350,"!",ADDRESS(14+(A351-1)*A347,13)))</f>
        <v>E</v>
      </c>
      <c r="J333" s="20">
        <f ca="1">INDIRECT(_xlfn.TEXTJOIN("",TRUE,A350,"!",ADDRESS(14+(A351-1)*A347,14)))</f>
        <v>5</v>
      </c>
    </row>
    <row r="334" spans="1:10" ht="26.25" customHeight="1" x14ac:dyDescent="0.2">
      <c r="A334" s="96" t="str">
        <f ca="1">INDIRECT(_xlfn.TEXTJOIN("",TRUE,A350,"!",ADDRESS(15+(A351-1)*A347,1)))</f>
        <v>CAT 006</v>
      </c>
      <c r="B334" s="97"/>
      <c r="C334" s="106" t="str">
        <f ca="1">INDIRECT(_xlfn.TEXTJOIN("",TRUE,A350,"!",ADDRESS(15+(A351-1)*A347,2)))</f>
        <v>Operating System</v>
      </c>
      <c r="D334" s="107"/>
      <c r="E334" s="107"/>
      <c r="F334" s="107"/>
      <c r="G334" s="108"/>
      <c r="H334" s="20">
        <f ca="1">INDIRECT(_xlfn.TEXTJOIN("",TRUE,A350,"!",ADDRESS(15+(A351-1)*A347,6)))</f>
        <v>4</v>
      </c>
      <c r="I334" s="20" t="str">
        <f ca="1">INDIRECT(_xlfn.TEXTJOIN("",TRUE,A350,"!",ADDRESS(15+(A351-1)*A347,13)))</f>
        <v>D</v>
      </c>
      <c r="J334" s="20">
        <f ca="1">INDIRECT(_xlfn.TEXTJOIN("",TRUE,A350,"!",ADDRESS(15+(A351-1)*A347,14)))</f>
        <v>6</v>
      </c>
    </row>
    <row r="335" spans="1:10" ht="26.25" customHeight="1" x14ac:dyDescent="0.2">
      <c r="A335" s="96" t="str">
        <f ca="1">INDIRECT(_xlfn.TEXTJOIN("",TRUE,A350,"!",ADDRESS(16+(A351-1)*A347,1)))</f>
        <v>CAT 007</v>
      </c>
      <c r="B335" s="97"/>
      <c r="C335" s="106" t="str">
        <f ca="1">INDIRECT(_xlfn.TEXTJOIN("",TRUE,A350,"!",ADDRESS(16+(A351-1)*A347,2)))</f>
        <v>Computer Organization</v>
      </c>
      <c r="D335" s="107"/>
      <c r="E335" s="107"/>
      <c r="F335" s="107"/>
      <c r="G335" s="108"/>
      <c r="H335" s="20">
        <f ca="1">INDIRECT(_xlfn.TEXTJOIN("",TRUE,A350,"!",ADDRESS(16+(A351-1)*A347,6)))</f>
        <v>4</v>
      </c>
      <c r="I335" s="20" t="str">
        <f ca="1">INDIRECT(_xlfn.TEXTJOIN("",TRUE,A350,"!",ADDRESS(16+(A351-1)*A347,13)))</f>
        <v>P</v>
      </c>
      <c r="J335" s="20">
        <f ca="1">INDIRECT(_xlfn.TEXTJOIN("",TRUE,A350,"!",ADDRESS(16+(A351-1)*A347,14)))</f>
        <v>4.5</v>
      </c>
    </row>
    <row r="336" spans="1:10" ht="26.25" customHeight="1" x14ac:dyDescent="0.2">
      <c r="A336" s="96" t="str">
        <f ca="1">INDIRECT(_xlfn.TEXTJOIN("",TRUE,A350,"!",ADDRESS(17+(A351-1)*A347,1)))</f>
        <v>AHT 303</v>
      </c>
      <c r="B336" s="97"/>
      <c r="C336" s="106" t="str">
        <f ca="1">INDIRECT(_xlfn.TEXTJOIN("",TRUE,A350,"!",ADDRESS(17+(A351-1)*A347,2)))</f>
        <v>Technical Communication Skills</v>
      </c>
      <c r="D336" s="107"/>
      <c r="E336" s="107"/>
      <c r="F336" s="107"/>
      <c r="G336" s="108"/>
      <c r="H336" s="20">
        <f ca="1">INDIRECT(_xlfn.TEXTJOIN("",TRUE,A350,"!",ADDRESS(17+(A351-1)*A347,6)))</f>
        <v>4</v>
      </c>
      <c r="I336" s="20" t="str">
        <f ca="1">INDIRECT(_xlfn.TEXTJOIN("",TRUE,A350,"!",ADDRESS(17+(A351-1)*A347,13)))</f>
        <v>D</v>
      </c>
      <c r="J336" s="20">
        <f ca="1">INDIRECT(_xlfn.TEXTJOIN("",TRUE,A350,"!",ADDRESS(17+(A351-1)*A347,14)))</f>
        <v>6</v>
      </c>
    </row>
    <row r="337" spans="1:10" ht="26.25" customHeight="1" x14ac:dyDescent="0.2">
      <c r="A337" s="96" t="str">
        <f ca="1">INDIRECT(_xlfn.TEXTJOIN("",TRUE,A350,"!",ADDRESS(18+(A351-1)*A347,1)))</f>
        <v>CAT 008</v>
      </c>
      <c r="B337" s="97"/>
      <c r="C337" s="106" t="str">
        <f ca="1">INDIRECT(_xlfn.TEXTJOIN("",TRUE,A350,"!",ADDRESS(18+(A351-1)*A347,2)))</f>
        <v>Python Programming ($)</v>
      </c>
      <c r="D337" s="107"/>
      <c r="E337" s="107"/>
      <c r="F337" s="107"/>
      <c r="G337" s="108"/>
      <c r="H337" s="20">
        <f ca="1">INDIRECT(_xlfn.TEXTJOIN("",TRUE,A350,"!",ADDRESS(18+(A351-1)*A347,6)))</f>
        <v>0</v>
      </c>
      <c r="I337" s="20" t="str">
        <f ca="1">INDIRECT(_xlfn.TEXTJOIN("",TRUE,A350,"!",ADDRESS(18+(A351-1)*A347,13)))</f>
        <v>E+</v>
      </c>
      <c r="J337" s="20">
        <f ca="1">INDIRECT(_xlfn.TEXTJOIN("",TRUE,A350,"!",ADDRESS(18+(A351-1)*A347,14)))</f>
        <v>5.5</v>
      </c>
    </row>
    <row r="338" spans="1:10" ht="26.25" customHeight="1" x14ac:dyDescent="0.2">
      <c r="A338" s="96" t="str">
        <f ca="1">INDIRECT(_xlfn.TEXTJOIN("",TRUE,A350,"!",ADDRESS(19+(A351-1)*A347,1)))</f>
        <v>CAT 001</v>
      </c>
      <c r="B338" s="97"/>
      <c r="C338" s="106" t="str">
        <f ca="1">INDIRECT(_xlfn.TEXTJOIN("",TRUE,A350,"!",ADDRESS(19+(A351-1)*A347,2)))</f>
        <v>Introduction of Information Technology ($)</v>
      </c>
      <c r="D338" s="107"/>
      <c r="E338" s="107"/>
      <c r="F338" s="107"/>
      <c r="G338" s="108"/>
      <c r="H338" s="20">
        <f ca="1">INDIRECT(_xlfn.TEXTJOIN("",TRUE,A350,"!",ADDRESS(19+(A351-1)*A347,6)))</f>
        <v>0</v>
      </c>
      <c r="I338" s="20" t="str">
        <f ca="1">INDIRECT(_xlfn.TEXTJOIN("",TRUE,A350,"!",ADDRESS(19+(A351-1)*A347,13)))</f>
        <v>-</v>
      </c>
      <c r="J338" s="20" t="str">
        <f ca="1">INDIRECT(_xlfn.TEXTJOIN("",TRUE,A350,"!",ADDRESS(19+(A351-1)*A347,14)))</f>
        <v>-</v>
      </c>
    </row>
    <row r="339" spans="1:10" ht="26.25" customHeight="1" x14ac:dyDescent="0.2">
      <c r="A339" s="96" t="str">
        <f ca="1">INDIRECT(_xlfn.TEXTJOIN("",TRUE,A350,"!",ADDRESS(20+(A351-1)*A347,1)))</f>
        <v>CAT 002</v>
      </c>
      <c r="B339" s="97"/>
      <c r="C339" s="106" t="str">
        <f ca="1">INDIRECT(_xlfn.TEXTJOIN("",TRUE,A350,"!",ADDRESS(20+(A351-1)*A347,2)))</f>
        <v>Programming Fundamentals with "C" ($)</v>
      </c>
      <c r="D339" s="107"/>
      <c r="E339" s="107"/>
      <c r="F339" s="107"/>
      <c r="G339" s="108"/>
      <c r="H339" s="20">
        <f ca="1">INDIRECT(_xlfn.TEXTJOIN("",TRUE,A350,"!",ADDRESS(20+(A351-1)*A347,6)))</f>
        <v>0</v>
      </c>
      <c r="I339" s="20" t="str">
        <f ca="1">INDIRECT(_xlfn.TEXTJOIN("",TRUE,A350,"!",ADDRESS(20+(A351-1)*A347,13)))</f>
        <v>-</v>
      </c>
      <c r="J339" s="20" t="str">
        <f ca="1">INDIRECT(_xlfn.TEXTJOIN("",TRUE,A350,"!",ADDRESS(20+(A351-1)*A347,14)))</f>
        <v>-</v>
      </c>
    </row>
    <row r="340" spans="1:10" ht="26.25" customHeight="1" x14ac:dyDescent="0.2">
      <c r="A340" s="96" t="str">
        <f ca="1">INDIRECT(_xlfn.TEXTJOIN("",TRUE,A350,"!",ADDRESS(21+(A351-1)*A347,1)))</f>
        <v>CAT 003</v>
      </c>
      <c r="B340" s="97"/>
      <c r="C340" s="106" t="str">
        <f ca="1">INDIRECT(_xlfn.TEXTJOIN("",TRUE,A350,"!",ADDRESS(21+(A351-1)*A347,2)))</f>
        <v>Fundamental of Web Technology ($)</v>
      </c>
      <c r="D340" s="107"/>
      <c r="E340" s="107"/>
      <c r="F340" s="107"/>
      <c r="G340" s="108"/>
      <c r="H340" s="20">
        <f ca="1">INDIRECT(_xlfn.TEXTJOIN("",TRUE,A350,"!",ADDRESS(21+(A351-1)*A347,6)))</f>
        <v>0</v>
      </c>
      <c r="I340" s="20" t="str">
        <f ca="1">INDIRECT(_xlfn.TEXTJOIN("",TRUE,A350,"!",ADDRESS(21+(A351-1)*A347,13)))</f>
        <v>-</v>
      </c>
      <c r="J340" s="20" t="str">
        <f ca="1">INDIRECT(_xlfn.TEXTJOIN("",TRUE,A350,"!",ADDRESS(21+(A351-1)*A347,14)))</f>
        <v>-</v>
      </c>
    </row>
    <row r="341" spans="1:10" ht="26.25" customHeight="1" x14ac:dyDescent="0.2">
      <c r="A341" s="96" t="str">
        <f ca="1">INDIRECT(_xlfn.TEXTJOIN("",TRUE,A350,"!",ADDRESS(22+(A351-1)*A347,1)))</f>
        <v>CAP 001</v>
      </c>
      <c r="B341" s="97"/>
      <c r="C341" s="106" t="str">
        <f ca="1">INDIRECT(_xlfn.TEXTJOIN("",TRUE,A350,"!",ADDRESS(22+(A351-1)*A347,2)))</f>
        <v>Database Management System Lab</v>
      </c>
      <c r="D341" s="107"/>
      <c r="E341" s="107"/>
      <c r="F341" s="107"/>
      <c r="G341" s="108"/>
      <c r="H341" s="20">
        <f ca="1">INDIRECT(_xlfn.TEXTJOIN("",TRUE,A350,"!",ADDRESS(22+(A351-1)*A347,6)))</f>
        <v>1</v>
      </c>
      <c r="I341" s="20" t="str">
        <f ca="1">INDIRECT(_xlfn.TEXTJOIN("",TRUE,A350,"!",ADDRESS(22+(A351-1)*A347,13)))</f>
        <v>C+</v>
      </c>
      <c r="J341" s="20">
        <f ca="1">INDIRECT(_xlfn.TEXTJOIN("",TRUE,A350,"!",ADDRESS(22+(A351-1)*A347,14)))</f>
        <v>7.5</v>
      </c>
    </row>
    <row r="342" spans="1:10" ht="26.25" customHeight="1" x14ac:dyDescent="0.2">
      <c r="A342" s="110" t="str">
        <f ca="1">INDIRECT(_xlfn.TEXTJOIN("",TRUE,A350,"!",ADDRESS(23+(A351-1)*A347,1)))</f>
        <v>CAP 002</v>
      </c>
      <c r="B342" s="111"/>
      <c r="C342" s="115" t="str">
        <f ca="1">INDIRECT(_xlfn.TEXTJOIN("",TRUE,A350,"!",ADDRESS(23+(A351-1)*A347,2)))</f>
        <v>Operating System Lab</v>
      </c>
      <c r="D342" s="116"/>
      <c r="E342" s="116"/>
      <c r="F342" s="116"/>
      <c r="G342" s="117"/>
      <c r="H342" s="20">
        <f ca="1">INDIRECT(_xlfn.TEXTJOIN("",TRUE,A350,"!",ADDRESS(23+(A351-1)*A347,6)))</f>
        <v>1</v>
      </c>
      <c r="I342" s="20" t="str">
        <f ca="1">INDIRECT(_xlfn.TEXTJOIN("",TRUE,A350,"!",ADDRESS(23+(A351-1)*A347,13)))</f>
        <v>B+</v>
      </c>
      <c r="J342" s="20">
        <f ca="1">INDIRECT(_xlfn.TEXTJOIN("",TRUE,A350,"!",ADDRESS(23+(A351-1)*A347,14)))</f>
        <v>8.5</v>
      </c>
    </row>
    <row r="343" spans="1:10" ht="26.25" customHeight="1" x14ac:dyDescent="0.2">
      <c r="A343" s="110" t="str">
        <f ca="1">INDIRECT(_xlfn.TEXTJOIN("",TRUE,A350,"!",ADDRESS(24+(A351-1)*A347,1)))</f>
        <v>CAP 003</v>
      </c>
      <c r="B343" s="111"/>
      <c r="C343" s="115" t="str">
        <f ca="1">INDIRECT(_xlfn.TEXTJOIN("",TRUE,A350,"!",ADDRESS(24+(A351-1)*A347,2)))</f>
        <v>Computer Organization Lab</v>
      </c>
      <c r="D343" s="116"/>
      <c r="E343" s="116"/>
      <c r="F343" s="116"/>
      <c r="G343" s="117"/>
      <c r="H343" s="20">
        <f ca="1">INDIRECT(_xlfn.TEXTJOIN("",TRUE,A350,"!",ADDRESS(24+(A351-1)*A347,6)))</f>
        <v>1</v>
      </c>
      <c r="I343" s="20" t="str">
        <f ca="1">INDIRECT(_xlfn.TEXTJOIN("",TRUE,A350,"!",ADDRESS(24+(A351-1)*A347,13)))</f>
        <v>B</v>
      </c>
      <c r="J343" s="20">
        <f ca="1">INDIRECT(_xlfn.TEXTJOIN("",TRUE,A350,"!",ADDRESS(24+(A351-1)*A347,14)))</f>
        <v>8</v>
      </c>
    </row>
    <row r="344" spans="1:10" ht="26.25" customHeight="1" x14ac:dyDescent="0.2">
      <c r="A344" s="110" t="str">
        <f ca="1">INDIRECT(_xlfn.TEXTJOIN("",TRUE,A350,"!",ADDRESS(25+(A351-1)*A347,1)))</f>
        <v>AHP 303</v>
      </c>
      <c r="B344" s="111"/>
      <c r="C344" s="115" t="str">
        <f ca="1">INDIRECT(_xlfn.TEXTJOIN("",TRUE,A350,"!",ADDRESS(25+(A351-1)*A347,2)))</f>
        <v>Technical Communication Skills</v>
      </c>
      <c r="D344" s="116"/>
      <c r="E344" s="116"/>
      <c r="F344" s="116"/>
      <c r="G344" s="117"/>
      <c r="H344" s="20">
        <f ca="1">INDIRECT(_xlfn.TEXTJOIN("",TRUE,A350,"!",ADDRESS(25+(A351-1)*A347,6)))</f>
        <v>1</v>
      </c>
      <c r="I344" s="20" t="str">
        <f ca="1">INDIRECT(_xlfn.TEXTJOIN("",TRUE,A350,"!",ADDRESS(25+(A351-1)*A347,13)))</f>
        <v>B+</v>
      </c>
      <c r="J344" s="20">
        <f ca="1">INDIRECT(_xlfn.TEXTJOIN("",TRUE,A350,"!",ADDRESS(25+(A351-1)*A347,14)))</f>
        <v>8.5</v>
      </c>
    </row>
    <row r="345" spans="1:10" ht="26.25" customHeight="1" x14ac:dyDescent="0.2">
      <c r="A345" s="100" t="s">
        <v>52</v>
      </c>
      <c r="B345" s="101"/>
      <c r="C345" s="101"/>
      <c r="D345" s="101"/>
      <c r="E345" s="101"/>
      <c r="F345" s="101"/>
      <c r="G345" s="102"/>
      <c r="H345" s="98">
        <f ca="1">SUM(H332:H345)</f>
        <v>24</v>
      </c>
      <c r="I345" s="98" t="s">
        <v>44</v>
      </c>
      <c r="J345" s="98">
        <f ca="1">SUMPRODUCT(J332:J344,H332:H344)</f>
        <v>138.5</v>
      </c>
    </row>
    <row r="346" spans="1:10" ht="26.25" customHeight="1" x14ac:dyDescent="0.2">
      <c r="A346" s="103"/>
      <c r="B346" s="104"/>
      <c r="C346" s="104"/>
      <c r="D346" s="104"/>
      <c r="E346" s="104"/>
      <c r="F346" s="104"/>
      <c r="G346" s="105"/>
      <c r="H346" s="99"/>
      <c r="I346" s="99"/>
      <c r="J346" s="99"/>
    </row>
    <row r="347" spans="1:10" ht="26.25" customHeight="1" x14ac:dyDescent="0.2">
      <c r="A347" s="22">
        <f>ROWS(A332:B345)+9</f>
        <v>23</v>
      </c>
      <c r="B347" s="17"/>
      <c r="C347" s="17"/>
      <c r="D347" s="17"/>
      <c r="E347" s="17"/>
      <c r="F347" s="17"/>
      <c r="G347" s="17"/>
      <c r="H347" s="17"/>
      <c r="I347" s="17"/>
      <c r="J347" s="17"/>
    </row>
    <row r="348" spans="1:10" ht="26.25" customHeight="1" x14ac:dyDescent="0.2">
      <c r="A348" s="120" t="s">
        <v>40</v>
      </c>
      <c r="B348" s="120"/>
      <c r="C348" s="21">
        <f ca="1">INDIRECT(_xlfn.TEXTJOIN("",TRUE,A350,"!",ADDRESS(5+A351*A347,12)))</f>
        <v>24</v>
      </c>
      <c r="D348" s="120" t="s">
        <v>38</v>
      </c>
      <c r="E348" s="120"/>
      <c r="F348" s="18">
        <f ca="1">INDIRECT(_xlfn.TEXTJOIN("",TRUE,A350,"!",ADDRESS(5+A351*A347,8)))</f>
        <v>5.770833333333333</v>
      </c>
      <c r="G348" s="120" t="s">
        <v>39</v>
      </c>
      <c r="H348" s="120"/>
      <c r="I348" s="109">
        <f ca="1">INDIRECT(_xlfn.TEXTJOIN("",TRUE,A350,"!",ADDRESS(5+A351*A347,10)))</f>
        <v>5.770833333333333</v>
      </c>
      <c r="J348" s="109"/>
    </row>
    <row r="349" spans="1:10" ht="26.25" customHeight="1" x14ac:dyDescent="0.2">
      <c r="A349" s="19" t="s">
        <v>36</v>
      </c>
      <c r="B349" s="95" t="str">
        <f ca="1">INDIRECT(_xlfn.TEXTJOIN("",TRUE,A350,"!",ADDRESS(5+A351*A347,2)))</f>
        <v>PASS</v>
      </c>
      <c r="C349" s="95"/>
      <c r="D349" s="121" t="s">
        <v>37</v>
      </c>
      <c r="E349" s="121"/>
      <c r="F349" s="122" t="str">
        <f ca="1">INDIRECT(_xlfn.TEXTJOIN("",TRUE,A350,"!",ADDRESS(5+A351*A347,5)))</f>
        <v xml:space="preserve"> G+3 in CAT 007</v>
      </c>
      <c r="G349" s="122"/>
      <c r="H349" s="122"/>
      <c r="I349" s="122"/>
      <c r="J349" s="122"/>
    </row>
    <row r="350" spans="1:10" ht="26.25" customHeight="1" x14ac:dyDescent="0.2">
      <c r="A350" s="22" t="str">
        <f>A327</f>
        <v>TC_I</v>
      </c>
    </row>
    <row r="351" spans="1:10" ht="26.25" customHeight="1" x14ac:dyDescent="0.2">
      <c r="A351" s="22">
        <f>A328+1</f>
        <v>15</v>
      </c>
    </row>
    <row r="352" spans="1:10" ht="26.25" customHeight="1" x14ac:dyDescent="0.2">
      <c r="A352" s="112" t="s">
        <v>24</v>
      </c>
      <c r="B352" s="112"/>
      <c r="C352" s="112" t="str">
        <f ca="1">INDIRECT(_xlfn.TEXTJOIN("",TRUE,A373,"!",ADDRESS(9+(A374-1)*A370,2)))</f>
        <v>ROHIT SINGH</v>
      </c>
      <c r="D352" s="112"/>
      <c r="E352" s="112"/>
      <c r="F352" s="112" t="s">
        <v>50</v>
      </c>
      <c r="G352" s="112"/>
      <c r="H352" s="112"/>
      <c r="I352" s="113">
        <f ca="1">INDIRECT(_xlfn.TEXTJOIN("",TRUE,A373,"!",ADDRESS(9+(A374-1)*A370,9)))</f>
        <v>250090600016</v>
      </c>
      <c r="J352" s="113"/>
    </row>
    <row r="353" spans="1:10" ht="26.25" customHeight="1" x14ac:dyDescent="0.2">
      <c r="A353" s="112" t="s">
        <v>25</v>
      </c>
      <c r="B353" s="112"/>
      <c r="C353" s="112" t="str">
        <f ca="1">INDIRECT(_xlfn.TEXTJOIN("",TRUE,A373,"!",ADDRESS(9+(A374-1)*A370,5)))</f>
        <v>MAHESH CHANDRA SINGH</v>
      </c>
      <c r="D353" s="112"/>
      <c r="E353" s="112"/>
      <c r="F353" s="114" t="s">
        <v>51</v>
      </c>
      <c r="G353" s="114"/>
      <c r="H353" s="114"/>
      <c r="I353" s="113" t="str">
        <f ca="1">INDIRECT(_xlfn.TEXTJOIN("",TRUE,A373,"!",ADDRESS(9+(A374-1)*A370,13)))</f>
        <v>PUTU/2506100124</v>
      </c>
      <c r="J353" s="113"/>
    </row>
    <row r="354" spans="1:10" ht="26.25" customHeight="1" x14ac:dyDescent="0.2">
      <c r="A354" s="95" t="s">
        <v>28</v>
      </c>
      <c r="B354" s="95"/>
      <c r="C354" s="95" t="s">
        <v>29</v>
      </c>
      <c r="D354" s="95"/>
      <c r="E354" s="95"/>
      <c r="F354" s="95"/>
      <c r="G354" s="95"/>
      <c r="H354" s="15" t="s">
        <v>30</v>
      </c>
      <c r="I354" s="15" t="s">
        <v>9</v>
      </c>
      <c r="J354" s="15" t="s">
        <v>34</v>
      </c>
    </row>
    <row r="355" spans="1:10" ht="26.25" customHeight="1" x14ac:dyDescent="0.2">
      <c r="A355" s="96" t="str">
        <f ca="1">INDIRECT(_xlfn.TEXTJOIN("",TRUE,A373,"!",ADDRESS(13+(A374-1)*A370,1)))</f>
        <v>CAT 004</v>
      </c>
      <c r="B355" s="97"/>
      <c r="C355" s="106" t="str">
        <f ca="1">INDIRECT(_xlfn.TEXTJOIN("",TRUE,A373,"!",ADDRESS(13+(A374-1)*A370,2)))</f>
        <v>Discrete Structure</v>
      </c>
      <c r="D355" s="107"/>
      <c r="E355" s="107"/>
      <c r="F355" s="107"/>
      <c r="G355" s="108"/>
      <c r="H355" s="20">
        <f ca="1">INDIRECT(_xlfn.TEXTJOIN("",TRUE,A373,"!",ADDRESS(13+(A374-1)*A370,6)))</f>
        <v>4</v>
      </c>
      <c r="I355" s="20" t="str">
        <f ca="1">INDIRECT(_xlfn.TEXTJOIN("",TRUE,A373,"!",ADDRESS(13+(A374-1)*A370,13)))</f>
        <v>B+</v>
      </c>
      <c r="J355" s="20">
        <f ca="1">INDIRECT(_xlfn.TEXTJOIN("",TRUE,A373,"!",ADDRESS(13+(A374-1)*A370,14)))</f>
        <v>8.5</v>
      </c>
    </row>
    <row r="356" spans="1:10" ht="26.25" customHeight="1" x14ac:dyDescent="0.2">
      <c r="A356" s="96" t="str">
        <f ca="1">INDIRECT(_xlfn.TEXTJOIN("",TRUE,A373,"!",ADDRESS(14+(A374-1)*A370,1)))</f>
        <v>CAT 005</v>
      </c>
      <c r="B356" s="97"/>
      <c r="C356" s="106" t="str">
        <f ca="1">INDIRECT(_xlfn.TEXTJOIN("",TRUE,A373,"!",ADDRESS(14+(A374-1)*A370,2)))</f>
        <v>Database Management System</v>
      </c>
      <c r="D356" s="107"/>
      <c r="E356" s="107"/>
      <c r="F356" s="107"/>
      <c r="G356" s="108"/>
      <c r="H356" s="20">
        <f ca="1">INDIRECT(_xlfn.TEXTJOIN("",TRUE,A373,"!",ADDRESS(14+(A374-1)*A370,6)))</f>
        <v>4</v>
      </c>
      <c r="I356" s="20" t="str">
        <f ca="1">INDIRECT(_xlfn.TEXTJOIN("",TRUE,A373,"!",ADDRESS(14+(A374-1)*A370,13)))</f>
        <v>D+</v>
      </c>
      <c r="J356" s="20">
        <f ca="1">INDIRECT(_xlfn.TEXTJOIN("",TRUE,A373,"!",ADDRESS(14+(A374-1)*A370,14)))</f>
        <v>6.5</v>
      </c>
    </row>
    <row r="357" spans="1:10" ht="26.25" customHeight="1" x14ac:dyDescent="0.2">
      <c r="A357" s="96" t="str">
        <f ca="1">INDIRECT(_xlfn.TEXTJOIN("",TRUE,A373,"!",ADDRESS(15+(A374-1)*A370,1)))</f>
        <v>CAT 006</v>
      </c>
      <c r="B357" s="97"/>
      <c r="C357" s="106" t="str">
        <f ca="1">INDIRECT(_xlfn.TEXTJOIN("",TRUE,A373,"!",ADDRESS(15+(A374-1)*A370,2)))</f>
        <v>Operating System</v>
      </c>
      <c r="D357" s="107"/>
      <c r="E357" s="107"/>
      <c r="F357" s="107"/>
      <c r="G357" s="108"/>
      <c r="H357" s="20">
        <f ca="1">INDIRECT(_xlfn.TEXTJOIN("",TRUE,A373,"!",ADDRESS(15+(A374-1)*A370,6)))</f>
        <v>4</v>
      </c>
      <c r="I357" s="20" t="str">
        <f ca="1">INDIRECT(_xlfn.TEXTJOIN("",TRUE,A373,"!",ADDRESS(15+(A374-1)*A370,13)))</f>
        <v>B+</v>
      </c>
      <c r="J357" s="20">
        <f ca="1">INDIRECT(_xlfn.TEXTJOIN("",TRUE,A373,"!",ADDRESS(15+(A374-1)*A370,14)))</f>
        <v>8.5</v>
      </c>
    </row>
    <row r="358" spans="1:10" ht="26.25" customHeight="1" x14ac:dyDescent="0.2">
      <c r="A358" s="96" t="str">
        <f ca="1">INDIRECT(_xlfn.TEXTJOIN("",TRUE,A373,"!",ADDRESS(16+(A374-1)*A370,1)))</f>
        <v>CAT 007</v>
      </c>
      <c r="B358" s="97"/>
      <c r="C358" s="106" t="str">
        <f ca="1">INDIRECT(_xlfn.TEXTJOIN("",TRUE,A373,"!",ADDRESS(16+(A374-1)*A370,2)))</f>
        <v>Computer Organization</v>
      </c>
      <c r="D358" s="107"/>
      <c r="E358" s="107"/>
      <c r="F358" s="107"/>
      <c r="G358" s="108"/>
      <c r="H358" s="20">
        <f ca="1">INDIRECT(_xlfn.TEXTJOIN("",TRUE,A373,"!",ADDRESS(16+(A374-1)*A370,6)))</f>
        <v>4</v>
      </c>
      <c r="I358" s="20" t="str">
        <f ca="1">INDIRECT(_xlfn.TEXTJOIN("",TRUE,A373,"!",ADDRESS(16+(A374-1)*A370,13)))</f>
        <v>B+</v>
      </c>
      <c r="J358" s="20">
        <f ca="1">INDIRECT(_xlfn.TEXTJOIN("",TRUE,A373,"!",ADDRESS(16+(A374-1)*A370,14)))</f>
        <v>8.5</v>
      </c>
    </row>
    <row r="359" spans="1:10" ht="26.25" customHeight="1" x14ac:dyDescent="0.2">
      <c r="A359" s="96" t="str">
        <f ca="1">INDIRECT(_xlfn.TEXTJOIN("",TRUE,A373,"!",ADDRESS(17+(A374-1)*A370,1)))</f>
        <v>AHT 303</v>
      </c>
      <c r="B359" s="97"/>
      <c r="C359" s="106" t="str">
        <f ca="1">INDIRECT(_xlfn.TEXTJOIN("",TRUE,A373,"!",ADDRESS(17+(A374-1)*A370,2)))</f>
        <v>Technical Communication Skills</v>
      </c>
      <c r="D359" s="107"/>
      <c r="E359" s="107"/>
      <c r="F359" s="107"/>
      <c r="G359" s="108"/>
      <c r="H359" s="20">
        <f ca="1">INDIRECT(_xlfn.TEXTJOIN("",TRUE,A373,"!",ADDRESS(17+(A374-1)*A370,6)))</f>
        <v>4</v>
      </c>
      <c r="I359" s="20" t="str">
        <f ca="1">INDIRECT(_xlfn.TEXTJOIN("",TRUE,A373,"!",ADDRESS(17+(A374-1)*A370,13)))</f>
        <v>A</v>
      </c>
      <c r="J359" s="20">
        <f ca="1">INDIRECT(_xlfn.TEXTJOIN("",TRUE,A373,"!",ADDRESS(17+(A374-1)*A370,14)))</f>
        <v>9</v>
      </c>
    </row>
    <row r="360" spans="1:10" ht="26.25" customHeight="1" x14ac:dyDescent="0.2">
      <c r="A360" s="96" t="str">
        <f ca="1">INDIRECT(_xlfn.TEXTJOIN("",TRUE,A373,"!",ADDRESS(18+(A374-1)*A370,1)))</f>
        <v>CAT 008</v>
      </c>
      <c r="B360" s="97"/>
      <c r="C360" s="106" t="str">
        <f ca="1">INDIRECT(_xlfn.TEXTJOIN("",TRUE,A373,"!",ADDRESS(18+(A374-1)*A370,2)))</f>
        <v>Python Programming ($)</v>
      </c>
      <c r="D360" s="107"/>
      <c r="E360" s="107"/>
      <c r="F360" s="107"/>
      <c r="G360" s="108"/>
      <c r="H360" s="20">
        <f ca="1">INDIRECT(_xlfn.TEXTJOIN("",TRUE,A373,"!",ADDRESS(18+(A374-1)*A370,6)))</f>
        <v>0</v>
      </c>
      <c r="I360" s="20" t="str">
        <f ca="1">INDIRECT(_xlfn.TEXTJOIN("",TRUE,A373,"!",ADDRESS(18+(A374-1)*A370,13)))</f>
        <v>D+</v>
      </c>
      <c r="J360" s="20">
        <f ca="1">INDIRECT(_xlfn.TEXTJOIN("",TRUE,A373,"!",ADDRESS(18+(A374-1)*A370,14)))</f>
        <v>6.5</v>
      </c>
    </row>
    <row r="361" spans="1:10" ht="26.25" customHeight="1" x14ac:dyDescent="0.2">
      <c r="A361" s="96" t="str">
        <f ca="1">INDIRECT(_xlfn.TEXTJOIN("",TRUE,A373,"!",ADDRESS(19+(A374-1)*A370,1)))</f>
        <v>CAT 001</v>
      </c>
      <c r="B361" s="97"/>
      <c r="C361" s="106" t="str">
        <f ca="1">INDIRECT(_xlfn.TEXTJOIN("",TRUE,A373,"!",ADDRESS(19+(A374-1)*A370,2)))</f>
        <v>Introduction of Information Technology ($)</v>
      </c>
      <c r="D361" s="107"/>
      <c r="E361" s="107"/>
      <c r="F361" s="107"/>
      <c r="G361" s="108"/>
      <c r="H361" s="20">
        <f ca="1">INDIRECT(_xlfn.TEXTJOIN("",TRUE,A373,"!",ADDRESS(19+(A374-1)*A370,6)))</f>
        <v>0</v>
      </c>
      <c r="I361" s="20" t="str">
        <f ca="1">INDIRECT(_xlfn.TEXTJOIN("",TRUE,A373,"!",ADDRESS(19+(A374-1)*A370,13)))</f>
        <v>-</v>
      </c>
      <c r="J361" s="20" t="str">
        <f ca="1">INDIRECT(_xlfn.TEXTJOIN("",TRUE,A373,"!",ADDRESS(19+(A374-1)*A370,14)))</f>
        <v>-</v>
      </c>
    </row>
    <row r="362" spans="1:10" ht="26.25" customHeight="1" x14ac:dyDescent="0.2">
      <c r="A362" s="96" t="str">
        <f ca="1">INDIRECT(_xlfn.TEXTJOIN("",TRUE,A373,"!",ADDRESS(20+(A374-1)*A370,1)))</f>
        <v>CAT 002</v>
      </c>
      <c r="B362" s="97"/>
      <c r="C362" s="106" t="str">
        <f ca="1">INDIRECT(_xlfn.TEXTJOIN("",TRUE,A373,"!",ADDRESS(20+(A374-1)*A370,2)))</f>
        <v>Programming Fundamentals with "C" ($)</v>
      </c>
      <c r="D362" s="107"/>
      <c r="E362" s="107"/>
      <c r="F362" s="107"/>
      <c r="G362" s="108"/>
      <c r="H362" s="20">
        <f ca="1">INDIRECT(_xlfn.TEXTJOIN("",TRUE,A373,"!",ADDRESS(20+(A374-1)*A370,6)))</f>
        <v>0</v>
      </c>
      <c r="I362" s="20" t="str">
        <f ca="1">INDIRECT(_xlfn.TEXTJOIN("",TRUE,A373,"!",ADDRESS(20+(A374-1)*A370,13)))</f>
        <v>-</v>
      </c>
      <c r="J362" s="20" t="str">
        <f ca="1">INDIRECT(_xlfn.TEXTJOIN("",TRUE,A373,"!",ADDRESS(20+(A374-1)*A370,14)))</f>
        <v>-</v>
      </c>
    </row>
    <row r="363" spans="1:10" ht="26.25" customHeight="1" x14ac:dyDescent="0.2">
      <c r="A363" s="96" t="str">
        <f ca="1">INDIRECT(_xlfn.TEXTJOIN("",TRUE,A373,"!",ADDRESS(21+(A374-1)*A370,1)))</f>
        <v>CAT 003</v>
      </c>
      <c r="B363" s="97"/>
      <c r="C363" s="106" t="str">
        <f ca="1">INDIRECT(_xlfn.TEXTJOIN("",TRUE,A373,"!",ADDRESS(21+(A374-1)*A370,2)))</f>
        <v>Fundamental of Web Technology ($)</v>
      </c>
      <c r="D363" s="107"/>
      <c r="E363" s="107"/>
      <c r="F363" s="107"/>
      <c r="G363" s="108"/>
      <c r="H363" s="20">
        <f ca="1">INDIRECT(_xlfn.TEXTJOIN("",TRUE,A373,"!",ADDRESS(21+(A374-1)*A370,6)))</f>
        <v>0</v>
      </c>
      <c r="I363" s="20" t="str">
        <f ca="1">INDIRECT(_xlfn.TEXTJOIN("",TRUE,A373,"!",ADDRESS(21+(A374-1)*A370,13)))</f>
        <v>-</v>
      </c>
      <c r="J363" s="20" t="str">
        <f ca="1">INDIRECT(_xlfn.TEXTJOIN("",TRUE,A373,"!",ADDRESS(21+(A374-1)*A370,14)))</f>
        <v>-</v>
      </c>
    </row>
    <row r="364" spans="1:10" ht="26.25" customHeight="1" x14ac:dyDescent="0.2">
      <c r="A364" s="96" t="str">
        <f ca="1">INDIRECT(_xlfn.TEXTJOIN("",TRUE,A373,"!",ADDRESS(22+(A374-1)*A370,1)))</f>
        <v>CAP 001</v>
      </c>
      <c r="B364" s="97"/>
      <c r="C364" s="106" t="str">
        <f ca="1">INDIRECT(_xlfn.TEXTJOIN("",TRUE,A373,"!",ADDRESS(22+(A374-1)*A370,2)))</f>
        <v>Database Management System Lab</v>
      </c>
      <c r="D364" s="107"/>
      <c r="E364" s="107"/>
      <c r="F364" s="107"/>
      <c r="G364" s="108"/>
      <c r="H364" s="20">
        <f ca="1">INDIRECT(_xlfn.TEXTJOIN("",TRUE,A373,"!",ADDRESS(22+(A374-1)*A370,6)))</f>
        <v>1</v>
      </c>
      <c r="I364" s="20" t="str">
        <f ca="1">INDIRECT(_xlfn.TEXTJOIN("",TRUE,A373,"!",ADDRESS(22+(A374-1)*A370,13)))</f>
        <v>B+</v>
      </c>
      <c r="J364" s="20">
        <f ca="1">INDIRECT(_xlfn.TEXTJOIN("",TRUE,A373,"!",ADDRESS(22+(A374-1)*A370,14)))</f>
        <v>8.5</v>
      </c>
    </row>
    <row r="365" spans="1:10" ht="26.25" customHeight="1" x14ac:dyDescent="0.2">
      <c r="A365" s="110" t="str">
        <f ca="1">INDIRECT(_xlfn.TEXTJOIN("",TRUE,A373,"!",ADDRESS(23+(A374-1)*A370,1)))</f>
        <v>CAP 002</v>
      </c>
      <c r="B365" s="111"/>
      <c r="C365" s="115" t="str">
        <f ca="1">INDIRECT(_xlfn.TEXTJOIN("",TRUE,A373,"!",ADDRESS(23+(A374-1)*A370,2)))</f>
        <v>Operating System Lab</v>
      </c>
      <c r="D365" s="116"/>
      <c r="E365" s="116"/>
      <c r="F365" s="116"/>
      <c r="G365" s="117"/>
      <c r="H365" s="20">
        <f ca="1">INDIRECT(_xlfn.TEXTJOIN("",TRUE,A373,"!",ADDRESS(23+(A374-1)*A370,6)))</f>
        <v>1</v>
      </c>
      <c r="I365" s="20" t="str">
        <f ca="1">INDIRECT(_xlfn.TEXTJOIN("",TRUE,A373,"!",ADDRESS(23+(A374-1)*A370,13)))</f>
        <v>A+</v>
      </c>
      <c r="J365" s="20">
        <f ca="1">INDIRECT(_xlfn.TEXTJOIN("",TRUE,A373,"!",ADDRESS(23+(A374-1)*A370,14)))</f>
        <v>9.5</v>
      </c>
    </row>
    <row r="366" spans="1:10" ht="26.25" customHeight="1" x14ac:dyDescent="0.2">
      <c r="A366" s="110" t="str">
        <f ca="1">INDIRECT(_xlfn.TEXTJOIN("",TRUE,A373,"!",ADDRESS(24+(A374-1)*A370,1)))</f>
        <v>CAP 003</v>
      </c>
      <c r="B366" s="111"/>
      <c r="C366" s="115" t="str">
        <f ca="1">INDIRECT(_xlfn.TEXTJOIN("",TRUE,A373,"!",ADDRESS(24+(A374-1)*A370,2)))</f>
        <v>Computer Organization Lab</v>
      </c>
      <c r="D366" s="116"/>
      <c r="E366" s="116"/>
      <c r="F366" s="116"/>
      <c r="G366" s="117"/>
      <c r="H366" s="20">
        <f ca="1">INDIRECT(_xlfn.TEXTJOIN("",TRUE,A373,"!",ADDRESS(24+(A374-1)*A370,6)))</f>
        <v>1</v>
      </c>
      <c r="I366" s="20" t="str">
        <f ca="1">INDIRECT(_xlfn.TEXTJOIN("",TRUE,A373,"!",ADDRESS(24+(A374-1)*A370,13)))</f>
        <v>A+</v>
      </c>
      <c r="J366" s="20">
        <f ca="1">INDIRECT(_xlfn.TEXTJOIN("",TRUE,A373,"!",ADDRESS(24+(A374-1)*A370,14)))</f>
        <v>9.5</v>
      </c>
    </row>
    <row r="367" spans="1:10" ht="26.25" customHeight="1" x14ac:dyDescent="0.2">
      <c r="A367" s="110" t="str">
        <f ca="1">INDIRECT(_xlfn.TEXTJOIN("",TRUE,A373,"!",ADDRESS(25+(A374-1)*A370,1)))</f>
        <v>AHP 303</v>
      </c>
      <c r="B367" s="111"/>
      <c r="C367" s="115" t="str">
        <f ca="1">INDIRECT(_xlfn.TEXTJOIN("",TRUE,A373,"!",ADDRESS(25+(A374-1)*A370,2)))</f>
        <v>Technical Communication Skills</v>
      </c>
      <c r="D367" s="116"/>
      <c r="E367" s="116"/>
      <c r="F367" s="116"/>
      <c r="G367" s="117"/>
      <c r="H367" s="20">
        <f ca="1">INDIRECT(_xlfn.TEXTJOIN("",TRUE,A373,"!",ADDRESS(25+(A374-1)*A370,6)))</f>
        <v>1</v>
      </c>
      <c r="I367" s="20" t="str">
        <f ca="1">INDIRECT(_xlfn.TEXTJOIN("",TRUE,A373,"!",ADDRESS(25+(A374-1)*A370,13)))</f>
        <v>O</v>
      </c>
      <c r="J367" s="20">
        <f ca="1">INDIRECT(_xlfn.TEXTJOIN("",TRUE,A373,"!",ADDRESS(25+(A374-1)*A370,14)))</f>
        <v>10</v>
      </c>
    </row>
    <row r="368" spans="1:10" ht="26.25" customHeight="1" x14ac:dyDescent="0.2">
      <c r="A368" s="100" t="s">
        <v>52</v>
      </c>
      <c r="B368" s="101"/>
      <c r="C368" s="101"/>
      <c r="D368" s="101"/>
      <c r="E368" s="101"/>
      <c r="F368" s="101"/>
      <c r="G368" s="102"/>
      <c r="H368" s="98">
        <f ca="1">SUM(H355:H368)</f>
        <v>24</v>
      </c>
      <c r="I368" s="98" t="s">
        <v>44</v>
      </c>
      <c r="J368" s="98">
        <f ca="1">SUMPRODUCT(J355:J367,H355:H367)</f>
        <v>201.5</v>
      </c>
    </row>
    <row r="369" spans="1:10" ht="26.25" customHeight="1" x14ac:dyDescent="0.2">
      <c r="A369" s="103"/>
      <c r="B369" s="104"/>
      <c r="C369" s="104"/>
      <c r="D369" s="104"/>
      <c r="E369" s="104"/>
      <c r="F369" s="104"/>
      <c r="G369" s="105"/>
      <c r="H369" s="99"/>
      <c r="I369" s="99"/>
      <c r="J369" s="99"/>
    </row>
    <row r="370" spans="1:10" ht="26.25" customHeight="1" x14ac:dyDescent="0.2">
      <c r="A370" s="22">
        <f>ROWS(A355:B368)+9</f>
        <v>23</v>
      </c>
      <c r="B370" s="17"/>
      <c r="C370" s="17"/>
      <c r="D370" s="17"/>
      <c r="E370" s="17"/>
      <c r="F370" s="17"/>
      <c r="G370" s="17"/>
      <c r="H370" s="17"/>
      <c r="I370" s="17"/>
      <c r="J370" s="17"/>
    </row>
    <row r="371" spans="1:10" ht="26.25" customHeight="1" x14ac:dyDescent="0.2">
      <c r="A371" s="120" t="s">
        <v>40</v>
      </c>
      <c r="B371" s="120"/>
      <c r="C371" s="21">
        <f ca="1">INDIRECT(_xlfn.TEXTJOIN("",TRUE,A373,"!",ADDRESS(5+A374*A370,12)))</f>
        <v>24</v>
      </c>
      <c r="D371" s="120" t="s">
        <v>38</v>
      </c>
      <c r="E371" s="120"/>
      <c r="F371" s="18">
        <f ca="1">INDIRECT(_xlfn.TEXTJOIN("",TRUE,A373,"!",ADDRESS(5+A374*A370,8)))</f>
        <v>8.3958333333333339</v>
      </c>
      <c r="G371" s="120" t="s">
        <v>39</v>
      </c>
      <c r="H371" s="120"/>
      <c r="I371" s="109">
        <f ca="1">INDIRECT(_xlfn.TEXTJOIN("",TRUE,A373,"!",ADDRESS(5+A374*A370,10)))</f>
        <v>8.3958333333333339</v>
      </c>
      <c r="J371" s="109"/>
    </row>
    <row r="372" spans="1:10" ht="26.25" customHeight="1" x14ac:dyDescent="0.2">
      <c r="A372" s="19" t="s">
        <v>36</v>
      </c>
      <c r="B372" s="95" t="str">
        <f ca="1">INDIRECT(_xlfn.TEXTJOIN("",TRUE,A373,"!",ADDRESS(5+A374*A370,2)))</f>
        <v>PASS</v>
      </c>
      <c r="C372" s="95"/>
      <c r="D372" s="121" t="s">
        <v>37</v>
      </c>
      <c r="E372" s="121"/>
      <c r="F372" s="122" t="str">
        <f ca="1">INDIRECT(_xlfn.TEXTJOIN("",TRUE,A373,"!",ADDRESS(5+A374*A370,5)))</f>
        <v/>
      </c>
      <c r="G372" s="122"/>
      <c r="H372" s="122"/>
      <c r="I372" s="122"/>
      <c r="J372" s="122"/>
    </row>
    <row r="373" spans="1:10" ht="26.25" customHeight="1" x14ac:dyDescent="0.2">
      <c r="A373" s="22" t="str">
        <f>A350</f>
        <v>TC_I</v>
      </c>
    </row>
    <row r="374" spans="1:10" ht="26.25" customHeight="1" x14ac:dyDescent="0.2">
      <c r="A374" s="22">
        <f>A351+1</f>
        <v>16</v>
      </c>
    </row>
    <row r="375" spans="1:10" ht="26.25" customHeight="1" x14ac:dyDescent="0.2">
      <c r="A375" s="112" t="s">
        <v>24</v>
      </c>
      <c r="B375" s="112"/>
      <c r="C375" s="112" t="str">
        <f ca="1">INDIRECT(_xlfn.TEXTJOIN("",TRUE,A396,"!",ADDRESS(9+(A397-1)*A393,2)))</f>
        <v>SAURAV DHAPOLA</v>
      </c>
      <c r="D375" s="112"/>
      <c r="E375" s="112"/>
      <c r="F375" s="112" t="s">
        <v>50</v>
      </c>
      <c r="G375" s="112"/>
      <c r="H375" s="112"/>
      <c r="I375" s="113">
        <f ca="1">INDIRECT(_xlfn.TEXTJOIN("",TRUE,A396,"!",ADDRESS(9+(A397-1)*A393,9)))</f>
        <v>250090600017</v>
      </c>
      <c r="J375" s="113"/>
    </row>
    <row r="376" spans="1:10" ht="26.25" customHeight="1" x14ac:dyDescent="0.2">
      <c r="A376" s="112" t="s">
        <v>25</v>
      </c>
      <c r="B376" s="112"/>
      <c r="C376" s="112" t="str">
        <f ca="1">INDIRECT(_xlfn.TEXTJOIN("",TRUE,A396,"!",ADDRESS(9+(A397-1)*A393,5)))</f>
        <v>NARENDRA SINGH</v>
      </c>
      <c r="D376" s="112"/>
      <c r="E376" s="112"/>
      <c r="F376" s="114" t="s">
        <v>51</v>
      </c>
      <c r="G376" s="114"/>
      <c r="H376" s="114"/>
      <c r="I376" s="113" t="str">
        <f ca="1">INDIRECT(_xlfn.TEXTJOIN("",TRUE,A396,"!",ADDRESS(9+(A397-1)*A393,13)))</f>
        <v>UTU/2506100148</v>
      </c>
      <c r="J376" s="113"/>
    </row>
    <row r="377" spans="1:10" ht="26.25" customHeight="1" x14ac:dyDescent="0.2">
      <c r="A377" s="95" t="s">
        <v>28</v>
      </c>
      <c r="B377" s="95"/>
      <c r="C377" s="95" t="s">
        <v>29</v>
      </c>
      <c r="D377" s="95"/>
      <c r="E377" s="95"/>
      <c r="F377" s="95"/>
      <c r="G377" s="95"/>
      <c r="H377" s="15" t="s">
        <v>30</v>
      </c>
      <c r="I377" s="15" t="s">
        <v>9</v>
      </c>
      <c r="J377" s="15" t="s">
        <v>34</v>
      </c>
    </row>
    <row r="378" spans="1:10" ht="26.25" customHeight="1" x14ac:dyDescent="0.2">
      <c r="A378" s="96" t="str">
        <f ca="1">INDIRECT(_xlfn.TEXTJOIN("",TRUE,A396,"!",ADDRESS(13+(A397-1)*A393,1)))</f>
        <v>CAT 004</v>
      </c>
      <c r="B378" s="97"/>
      <c r="C378" s="106" t="str">
        <f ca="1">INDIRECT(_xlfn.TEXTJOIN("",TRUE,A396,"!",ADDRESS(13+(A397-1)*A393,2)))</f>
        <v>Discrete Structure</v>
      </c>
      <c r="D378" s="107"/>
      <c r="E378" s="107"/>
      <c r="F378" s="107"/>
      <c r="G378" s="108"/>
      <c r="H378" s="20">
        <f ca="1">INDIRECT(_xlfn.TEXTJOIN("",TRUE,A396,"!",ADDRESS(13+(A397-1)*A393,6)))</f>
        <v>4</v>
      </c>
      <c r="I378" s="20" t="str">
        <f ca="1">INDIRECT(_xlfn.TEXTJOIN("",TRUE,A396,"!",ADDRESS(13+(A397-1)*A393,13)))</f>
        <v>D+</v>
      </c>
      <c r="J378" s="20">
        <f ca="1">INDIRECT(_xlfn.TEXTJOIN("",TRUE,A396,"!",ADDRESS(13+(A397-1)*A393,14)))</f>
        <v>6.5</v>
      </c>
    </row>
    <row r="379" spans="1:10" ht="26.25" customHeight="1" x14ac:dyDescent="0.2">
      <c r="A379" s="96" t="str">
        <f ca="1">INDIRECT(_xlfn.TEXTJOIN("",TRUE,A396,"!",ADDRESS(14+(A397-1)*A393,1)))</f>
        <v>CAT 005</v>
      </c>
      <c r="B379" s="97"/>
      <c r="C379" s="106" t="str">
        <f ca="1">INDIRECT(_xlfn.TEXTJOIN("",TRUE,A396,"!",ADDRESS(14+(A397-1)*A393,2)))</f>
        <v>Database Management System</v>
      </c>
      <c r="D379" s="107"/>
      <c r="E379" s="107"/>
      <c r="F379" s="107"/>
      <c r="G379" s="108"/>
      <c r="H379" s="20">
        <f ca="1">INDIRECT(_xlfn.TEXTJOIN("",TRUE,A396,"!",ADDRESS(14+(A397-1)*A393,6)))</f>
        <v>4</v>
      </c>
      <c r="I379" s="20" t="str">
        <f ca="1">INDIRECT(_xlfn.TEXTJOIN("",TRUE,A396,"!",ADDRESS(14+(A397-1)*A393,13)))</f>
        <v>D</v>
      </c>
      <c r="J379" s="20">
        <f ca="1">INDIRECT(_xlfn.TEXTJOIN("",TRUE,A396,"!",ADDRESS(14+(A397-1)*A393,14)))</f>
        <v>6</v>
      </c>
    </row>
    <row r="380" spans="1:10" ht="26.25" customHeight="1" x14ac:dyDescent="0.2">
      <c r="A380" s="96" t="str">
        <f ca="1">INDIRECT(_xlfn.TEXTJOIN("",TRUE,A396,"!",ADDRESS(15+(A397-1)*A393,1)))</f>
        <v>CAT 006</v>
      </c>
      <c r="B380" s="97"/>
      <c r="C380" s="106" t="str">
        <f ca="1">INDIRECT(_xlfn.TEXTJOIN("",TRUE,A396,"!",ADDRESS(15+(A397-1)*A393,2)))</f>
        <v>Operating System</v>
      </c>
      <c r="D380" s="107"/>
      <c r="E380" s="107"/>
      <c r="F380" s="107"/>
      <c r="G380" s="108"/>
      <c r="H380" s="20">
        <f ca="1">INDIRECT(_xlfn.TEXTJOIN("",TRUE,A396,"!",ADDRESS(15+(A397-1)*A393,6)))</f>
        <v>4</v>
      </c>
      <c r="I380" s="20" t="str">
        <f ca="1">INDIRECT(_xlfn.TEXTJOIN("",TRUE,A396,"!",ADDRESS(15+(A397-1)*A393,13)))</f>
        <v>B+</v>
      </c>
      <c r="J380" s="20">
        <f ca="1">INDIRECT(_xlfn.TEXTJOIN("",TRUE,A396,"!",ADDRESS(15+(A397-1)*A393,14)))</f>
        <v>8.5</v>
      </c>
    </row>
    <row r="381" spans="1:10" ht="26.25" customHeight="1" x14ac:dyDescent="0.2">
      <c r="A381" s="96" t="str">
        <f ca="1">INDIRECT(_xlfn.TEXTJOIN("",TRUE,A396,"!",ADDRESS(16+(A397-1)*A393,1)))</f>
        <v>CAT 007</v>
      </c>
      <c r="B381" s="97"/>
      <c r="C381" s="106" t="str">
        <f ca="1">INDIRECT(_xlfn.TEXTJOIN("",TRUE,A396,"!",ADDRESS(16+(A397-1)*A393,2)))</f>
        <v>Computer Organization</v>
      </c>
      <c r="D381" s="107"/>
      <c r="E381" s="107"/>
      <c r="F381" s="107"/>
      <c r="G381" s="108"/>
      <c r="H381" s="20">
        <f ca="1">INDIRECT(_xlfn.TEXTJOIN("",TRUE,A396,"!",ADDRESS(16+(A397-1)*A393,6)))</f>
        <v>4</v>
      </c>
      <c r="I381" s="20" t="str">
        <f ca="1">INDIRECT(_xlfn.TEXTJOIN("",TRUE,A396,"!",ADDRESS(16+(A397-1)*A393,13)))</f>
        <v>E</v>
      </c>
      <c r="J381" s="20">
        <f ca="1">INDIRECT(_xlfn.TEXTJOIN("",TRUE,A396,"!",ADDRESS(16+(A397-1)*A393,14)))</f>
        <v>5</v>
      </c>
    </row>
    <row r="382" spans="1:10" ht="26.25" customHeight="1" x14ac:dyDescent="0.2">
      <c r="A382" s="96" t="str">
        <f ca="1">INDIRECT(_xlfn.TEXTJOIN("",TRUE,A396,"!",ADDRESS(17+(A397-1)*A393,1)))</f>
        <v>AHT 303</v>
      </c>
      <c r="B382" s="97"/>
      <c r="C382" s="106" t="str">
        <f ca="1">INDIRECT(_xlfn.TEXTJOIN("",TRUE,A396,"!",ADDRESS(17+(A397-1)*A393,2)))</f>
        <v>Technical Communication Skills</v>
      </c>
      <c r="D382" s="107"/>
      <c r="E382" s="107"/>
      <c r="F382" s="107"/>
      <c r="G382" s="108"/>
      <c r="H382" s="20">
        <f ca="1">INDIRECT(_xlfn.TEXTJOIN("",TRUE,A396,"!",ADDRESS(17+(A397-1)*A393,6)))</f>
        <v>4</v>
      </c>
      <c r="I382" s="20" t="str">
        <f ca="1">INDIRECT(_xlfn.TEXTJOIN("",TRUE,A396,"!",ADDRESS(17+(A397-1)*A393,13)))</f>
        <v>C+</v>
      </c>
      <c r="J382" s="20">
        <f ca="1">INDIRECT(_xlfn.TEXTJOIN("",TRUE,A396,"!",ADDRESS(17+(A397-1)*A393,14)))</f>
        <v>7.5</v>
      </c>
    </row>
    <row r="383" spans="1:10" ht="26.25" customHeight="1" x14ac:dyDescent="0.2">
      <c r="A383" s="96" t="str">
        <f ca="1">INDIRECT(_xlfn.TEXTJOIN("",TRUE,A396,"!",ADDRESS(18+(A397-1)*A393,1)))</f>
        <v>CAT 008</v>
      </c>
      <c r="B383" s="97"/>
      <c r="C383" s="106" t="str">
        <f ca="1">INDIRECT(_xlfn.TEXTJOIN("",TRUE,A396,"!",ADDRESS(18+(A397-1)*A393,2)))</f>
        <v>Python Programming ($)</v>
      </c>
      <c r="D383" s="107"/>
      <c r="E383" s="107"/>
      <c r="F383" s="107"/>
      <c r="G383" s="108"/>
      <c r="H383" s="20">
        <f ca="1">INDIRECT(_xlfn.TEXTJOIN("",TRUE,A396,"!",ADDRESS(18+(A397-1)*A393,6)))</f>
        <v>0</v>
      </c>
      <c r="I383" s="20" t="str">
        <f ca="1">INDIRECT(_xlfn.TEXTJOIN("",TRUE,A396,"!",ADDRESS(18+(A397-1)*A393,13)))</f>
        <v>D</v>
      </c>
      <c r="J383" s="20">
        <f ca="1">INDIRECT(_xlfn.TEXTJOIN("",TRUE,A396,"!",ADDRESS(18+(A397-1)*A393,14)))</f>
        <v>6</v>
      </c>
    </row>
    <row r="384" spans="1:10" ht="26.25" customHeight="1" x14ac:dyDescent="0.2">
      <c r="A384" s="96" t="str">
        <f ca="1">INDIRECT(_xlfn.TEXTJOIN("",TRUE,A396,"!",ADDRESS(19+(A397-1)*A393,1)))</f>
        <v>CAT 001</v>
      </c>
      <c r="B384" s="97"/>
      <c r="C384" s="106" t="str">
        <f ca="1">INDIRECT(_xlfn.TEXTJOIN("",TRUE,A396,"!",ADDRESS(19+(A397-1)*A393,2)))</f>
        <v>Introduction of Information Technology ($)</v>
      </c>
      <c r="D384" s="107"/>
      <c r="E384" s="107"/>
      <c r="F384" s="107"/>
      <c r="G384" s="108"/>
      <c r="H384" s="20">
        <f ca="1">INDIRECT(_xlfn.TEXTJOIN("",TRUE,A396,"!",ADDRESS(19+(A397-1)*A393,6)))</f>
        <v>0</v>
      </c>
      <c r="I384" s="20" t="str">
        <f ca="1">INDIRECT(_xlfn.TEXTJOIN("",TRUE,A396,"!",ADDRESS(19+(A397-1)*A393,13)))</f>
        <v>-</v>
      </c>
      <c r="J384" s="20" t="str">
        <f ca="1">INDIRECT(_xlfn.TEXTJOIN("",TRUE,A396,"!",ADDRESS(19+(A397-1)*A393,14)))</f>
        <v>-</v>
      </c>
    </row>
    <row r="385" spans="1:10" ht="26.25" customHeight="1" x14ac:dyDescent="0.2">
      <c r="A385" s="96" t="str">
        <f ca="1">INDIRECT(_xlfn.TEXTJOIN("",TRUE,A396,"!",ADDRESS(20+(A397-1)*A393,1)))</f>
        <v>CAT 002</v>
      </c>
      <c r="B385" s="97"/>
      <c r="C385" s="106" t="str">
        <f ca="1">INDIRECT(_xlfn.TEXTJOIN("",TRUE,A396,"!",ADDRESS(20+(A397-1)*A393,2)))</f>
        <v>Programming Fundamentals with "C" ($)</v>
      </c>
      <c r="D385" s="107"/>
      <c r="E385" s="107"/>
      <c r="F385" s="107"/>
      <c r="G385" s="108"/>
      <c r="H385" s="20">
        <f ca="1">INDIRECT(_xlfn.TEXTJOIN("",TRUE,A396,"!",ADDRESS(20+(A397-1)*A393,6)))</f>
        <v>0</v>
      </c>
      <c r="I385" s="20" t="str">
        <f ca="1">INDIRECT(_xlfn.TEXTJOIN("",TRUE,A396,"!",ADDRESS(20+(A397-1)*A393,13)))</f>
        <v>-</v>
      </c>
      <c r="J385" s="20" t="str">
        <f ca="1">INDIRECT(_xlfn.TEXTJOIN("",TRUE,A396,"!",ADDRESS(20+(A397-1)*A393,14)))</f>
        <v>-</v>
      </c>
    </row>
    <row r="386" spans="1:10" ht="26.25" customHeight="1" x14ac:dyDescent="0.2">
      <c r="A386" s="96" t="str">
        <f ca="1">INDIRECT(_xlfn.TEXTJOIN("",TRUE,A396,"!",ADDRESS(21+(A397-1)*A393,1)))</f>
        <v>CAT 003</v>
      </c>
      <c r="B386" s="97"/>
      <c r="C386" s="106" t="str">
        <f ca="1">INDIRECT(_xlfn.TEXTJOIN("",TRUE,A396,"!",ADDRESS(21+(A397-1)*A393,2)))</f>
        <v>Fundamental of Web Technology ($)</v>
      </c>
      <c r="D386" s="107"/>
      <c r="E386" s="107"/>
      <c r="F386" s="107"/>
      <c r="G386" s="108"/>
      <c r="H386" s="20">
        <f ca="1">INDIRECT(_xlfn.TEXTJOIN("",TRUE,A396,"!",ADDRESS(21+(A397-1)*A393,6)))</f>
        <v>0</v>
      </c>
      <c r="I386" s="20" t="str">
        <f ca="1">INDIRECT(_xlfn.TEXTJOIN("",TRUE,A396,"!",ADDRESS(21+(A397-1)*A393,13)))</f>
        <v>-</v>
      </c>
      <c r="J386" s="20" t="str">
        <f ca="1">INDIRECT(_xlfn.TEXTJOIN("",TRUE,A396,"!",ADDRESS(21+(A397-1)*A393,14)))</f>
        <v>-</v>
      </c>
    </row>
    <row r="387" spans="1:10" ht="26.25" customHeight="1" x14ac:dyDescent="0.2">
      <c r="A387" s="96" t="str">
        <f ca="1">INDIRECT(_xlfn.TEXTJOIN("",TRUE,A396,"!",ADDRESS(22+(A397-1)*A393,1)))</f>
        <v>CAP 001</v>
      </c>
      <c r="B387" s="97"/>
      <c r="C387" s="106" t="str">
        <f ca="1">INDIRECT(_xlfn.TEXTJOIN("",TRUE,A396,"!",ADDRESS(22+(A397-1)*A393,2)))</f>
        <v>Database Management System Lab</v>
      </c>
      <c r="D387" s="107"/>
      <c r="E387" s="107"/>
      <c r="F387" s="107"/>
      <c r="G387" s="108"/>
      <c r="H387" s="20">
        <f ca="1">INDIRECT(_xlfn.TEXTJOIN("",TRUE,A396,"!",ADDRESS(22+(A397-1)*A393,6)))</f>
        <v>1</v>
      </c>
      <c r="I387" s="20" t="str">
        <f ca="1">INDIRECT(_xlfn.TEXTJOIN("",TRUE,A396,"!",ADDRESS(22+(A397-1)*A393,13)))</f>
        <v>A</v>
      </c>
      <c r="J387" s="20">
        <f ca="1">INDIRECT(_xlfn.TEXTJOIN("",TRUE,A396,"!",ADDRESS(22+(A397-1)*A393,14)))</f>
        <v>9</v>
      </c>
    </row>
    <row r="388" spans="1:10" ht="26.25" customHeight="1" x14ac:dyDescent="0.2">
      <c r="A388" s="110" t="str">
        <f ca="1">INDIRECT(_xlfn.TEXTJOIN("",TRUE,A396,"!",ADDRESS(23+(A397-1)*A393,1)))</f>
        <v>CAP 002</v>
      </c>
      <c r="B388" s="111"/>
      <c r="C388" s="115" t="str">
        <f ca="1">INDIRECT(_xlfn.TEXTJOIN("",TRUE,A396,"!",ADDRESS(23+(A397-1)*A393,2)))</f>
        <v>Operating System Lab</v>
      </c>
      <c r="D388" s="116"/>
      <c r="E388" s="116"/>
      <c r="F388" s="116"/>
      <c r="G388" s="117"/>
      <c r="H388" s="20">
        <f ca="1">INDIRECT(_xlfn.TEXTJOIN("",TRUE,A396,"!",ADDRESS(23+(A397-1)*A393,6)))</f>
        <v>1</v>
      </c>
      <c r="I388" s="20" t="str">
        <f ca="1">INDIRECT(_xlfn.TEXTJOIN("",TRUE,A396,"!",ADDRESS(23+(A397-1)*A393,13)))</f>
        <v>A+</v>
      </c>
      <c r="J388" s="20">
        <f ca="1">INDIRECT(_xlfn.TEXTJOIN("",TRUE,A396,"!",ADDRESS(23+(A397-1)*A393,14)))</f>
        <v>9.5</v>
      </c>
    </row>
    <row r="389" spans="1:10" ht="26.25" customHeight="1" x14ac:dyDescent="0.2">
      <c r="A389" s="110" t="str">
        <f ca="1">INDIRECT(_xlfn.TEXTJOIN("",TRUE,A396,"!",ADDRESS(24+(A397-1)*A393,1)))</f>
        <v>CAP 003</v>
      </c>
      <c r="B389" s="111"/>
      <c r="C389" s="115" t="str">
        <f ca="1">INDIRECT(_xlfn.TEXTJOIN("",TRUE,A396,"!",ADDRESS(24+(A397-1)*A393,2)))</f>
        <v>Computer Organization Lab</v>
      </c>
      <c r="D389" s="116"/>
      <c r="E389" s="116"/>
      <c r="F389" s="116"/>
      <c r="G389" s="117"/>
      <c r="H389" s="20">
        <f ca="1">INDIRECT(_xlfn.TEXTJOIN("",TRUE,A396,"!",ADDRESS(24+(A397-1)*A393,6)))</f>
        <v>1</v>
      </c>
      <c r="I389" s="20" t="str">
        <f ca="1">INDIRECT(_xlfn.TEXTJOIN("",TRUE,A396,"!",ADDRESS(24+(A397-1)*A393,13)))</f>
        <v>A</v>
      </c>
      <c r="J389" s="20">
        <f ca="1">INDIRECT(_xlfn.TEXTJOIN("",TRUE,A396,"!",ADDRESS(24+(A397-1)*A393,14)))</f>
        <v>9</v>
      </c>
    </row>
    <row r="390" spans="1:10" ht="26.25" customHeight="1" x14ac:dyDescent="0.2">
      <c r="A390" s="110" t="str">
        <f ca="1">INDIRECT(_xlfn.TEXTJOIN("",TRUE,A396,"!",ADDRESS(25+(A397-1)*A393,1)))</f>
        <v>AHP 303</v>
      </c>
      <c r="B390" s="111"/>
      <c r="C390" s="115" t="str">
        <f ca="1">INDIRECT(_xlfn.TEXTJOIN("",TRUE,A396,"!",ADDRESS(25+(A397-1)*A393,2)))</f>
        <v>Technical Communication Skills</v>
      </c>
      <c r="D390" s="116"/>
      <c r="E390" s="116"/>
      <c r="F390" s="116"/>
      <c r="G390" s="117"/>
      <c r="H390" s="20">
        <f ca="1">INDIRECT(_xlfn.TEXTJOIN("",TRUE,A396,"!",ADDRESS(25+(A397-1)*A393,6)))</f>
        <v>1</v>
      </c>
      <c r="I390" s="20" t="str">
        <f ca="1">INDIRECT(_xlfn.TEXTJOIN("",TRUE,A396,"!",ADDRESS(25+(A397-1)*A393,13)))</f>
        <v>B+</v>
      </c>
      <c r="J390" s="20">
        <f ca="1">INDIRECT(_xlfn.TEXTJOIN("",TRUE,A396,"!",ADDRESS(25+(A397-1)*A393,14)))</f>
        <v>8.5</v>
      </c>
    </row>
    <row r="391" spans="1:10" ht="26.25" customHeight="1" x14ac:dyDescent="0.2">
      <c r="A391" s="100" t="s">
        <v>52</v>
      </c>
      <c r="B391" s="101"/>
      <c r="C391" s="101"/>
      <c r="D391" s="101"/>
      <c r="E391" s="101"/>
      <c r="F391" s="101"/>
      <c r="G391" s="102"/>
      <c r="H391" s="98">
        <f ca="1">SUM(H378:H391)</f>
        <v>24</v>
      </c>
      <c r="I391" s="98" t="s">
        <v>44</v>
      </c>
      <c r="J391" s="98">
        <f ca="1">SUMPRODUCT(J378:J390,H378:H390)</f>
        <v>170</v>
      </c>
    </row>
    <row r="392" spans="1:10" ht="26.25" customHeight="1" x14ac:dyDescent="0.2">
      <c r="A392" s="103"/>
      <c r="B392" s="104"/>
      <c r="C392" s="104"/>
      <c r="D392" s="104"/>
      <c r="E392" s="104"/>
      <c r="F392" s="104"/>
      <c r="G392" s="105"/>
      <c r="H392" s="99"/>
      <c r="I392" s="99"/>
      <c r="J392" s="99"/>
    </row>
    <row r="393" spans="1:10" ht="26.25" customHeight="1" x14ac:dyDescent="0.2">
      <c r="A393" s="22">
        <f>ROWS(A378:B391)+9</f>
        <v>23</v>
      </c>
      <c r="B393" s="17"/>
      <c r="C393" s="17"/>
      <c r="D393" s="17"/>
      <c r="E393" s="17"/>
      <c r="F393" s="17"/>
      <c r="G393" s="17"/>
      <c r="H393" s="17"/>
      <c r="I393" s="17"/>
      <c r="J393" s="17"/>
    </row>
    <row r="394" spans="1:10" ht="26.25" customHeight="1" x14ac:dyDescent="0.2">
      <c r="A394" s="120" t="s">
        <v>40</v>
      </c>
      <c r="B394" s="120"/>
      <c r="C394" s="21">
        <f ca="1">INDIRECT(_xlfn.TEXTJOIN("",TRUE,A396,"!",ADDRESS(5+A397*A393,12)))</f>
        <v>24</v>
      </c>
      <c r="D394" s="120" t="s">
        <v>38</v>
      </c>
      <c r="E394" s="120"/>
      <c r="F394" s="18">
        <f ca="1">INDIRECT(_xlfn.TEXTJOIN("",TRUE,A396,"!",ADDRESS(5+A397*A393,8)))</f>
        <v>7.083333333333333</v>
      </c>
      <c r="G394" s="120" t="s">
        <v>39</v>
      </c>
      <c r="H394" s="120"/>
      <c r="I394" s="109">
        <f ca="1">INDIRECT(_xlfn.TEXTJOIN("",TRUE,A396,"!",ADDRESS(5+A397*A393,10)))</f>
        <v>7.083333333333333</v>
      </c>
      <c r="J394" s="109"/>
    </row>
    <row r="395" spans="1:10" ht="26.25" customHeight="1" x14ac:dyDescent="0.2">
      <c r="A395" s="19" t="s">
        <v>36</v>
      </c>
      <c r="B395" s="95" t="str">
        <f ca="1">INDIRECT(_xlfn.TEXTJOIN("",TRUE,A396,"!",ADDRESS(5+A397*A393,2)))</f>
        <v>PASS</v>
      </c>
      <c r="C395" s="95"/>
      <c r="D395" s="121" t="s">
        <v>37</v>
      </c>
      <c r="E395" s="121"/>
      <c r="F395" s="122" t="str">
        <f ca="1">INDIRECT(_xlfn.TEXTJOIN("",TRUE,A396,"!",ADDRESS(5+A397*A393,5)))</f>
        <v/>
      </c>
      <c r="G395" s="122"/>
      <c r="H395" s="122"/>
      <c r="I395" s="122"/>
      <c r="J395" s="122"/>
    </row>
    <row r="396" spans="1:10" ht="26.25" customHeight="1" x14ac:dyDescent="0.2">
      <c r="A396" s="22" t="str">
        <f>A373</f>
        <v>TC_I</v>
      </c>
    </row>
    <row r="397" spans="1:10" ht="26.25" customHeight="1" x14ac:dyDescent="0.2">
      <c r="A397" s="22">
        <f>A374+1</f>
        <v>17</v>
      </c>
    </row>
    <row r="398" spans="1:10" ht="26.25" customHeight="1" x14ac:dyDescent="0.2">
      <c r="A398" s="112" t="s">
        <v>24</v>
      </c>
      <c r="B398" s="112"/>
      <c r="C398" s="112" t="str">
        <f ca="1">INDIRECT(_xlfn.TEXTJOIN("",TRUE,A419,"!",ADDRESS(9+(A420-1)*A416,2)))</f>
        <v>SHIVANK RAWAT</v>
      </c>
      <c r="D398" s="112"/>
      <c r="E398" s="112"/>
      <c r="F398" s="112" t="s">
        <v>50</v>
      </c>
      <c r="G398" s="112"/>
      <c r="H398" s="112"/>
      <c r="I398" s="113">
        <f ca="1">INDIRECT(_xlfn.TEXTJOIN("",TRUE,A419,"!",ADDRESS(9+(A420-1)*A416,9)))</f>
        <v>250090600018</v>
      </c>
      <c r="J398" s="113"/>
    </row>
    <row r="399" spans="1:10" ht="26.25" customHeight="1" x14ac:dyDescent="0.2">
      <c r="A399" s="112" t="s">
        <v>25</v>
      </c>
      <c r="B399" s="112"/>
      <c r="C399" s="112" t="str">
        <f ca="1">INDIRECT(_xlfn.TEXTJOIN("",TRUE,A419,"!",ADDRESS(9+(A420-1)*A416,5)))</f>
        <v>DEVENDRA SINGH RAWAT</v>
      </c>
      <c r="D399" s="112"/>
      <c r="E399" s="112"/>
      <c r="F399" s="114" t="s">
        <v>51</v>
      </c>
      <c r="G399" s="114"/>
      <c r="H399" s="114"/>
      <c r="I399" s="113" t="str">
        <f ca="1">INDIRECT(_xlfn.TEXTJOIN("",TRUE,A419,"!",ADDRESS(9+(A420-1)*A416,13)))</f>
        <v>UTU/2506100123</v>
      </c>
      <c r="J399" s="113"/>
    </row>
    <row r="400" spans="1:10" ht="26.25" customHeight="1" x14ac:dyDescent="0.2">
      <c r="A400" s="95" t="s">
        <v>28</v>
      </c>
      <c r="B400" s="95"/>
      <c r="C400" s="95" t="s">
        <v>29</v>
      </c>
      <c r="D400" s="95"/>
      <c r="E400" s="95"/>
      <c r="F400" s="95"/>
      <c r="G400" s="95"/>
      <c r="H400" s="15" t="s">
        <v>30</v>
      </c>
      <c r="I400" s="15" t="s">
        <v>9</v>
      </c>
      <c r="J400" s="15" t="s">
        <v>34</v>
      </c>
    </row>
    <row r="401" spans="1:10" ht="26.25" customHeight="1" x14ac:dyDescent="0.2">
      <c r="A401" s="96" t="str">
        <f ca="1">INDIRECT(_xlfn.TEXTJOIN("",TRUE,A419,"!",ADDRESS(13+(A420-1)*A416,1)))</f>
        <v>CAT 004</v>
      </c>
      <c r="B401" s="97"/>
      <c r="C401" s="106" t="str">
        <f ca="1">INDIRECT(_xlfn.TEXTJOIN("",TRUE,A419,"!",ADDRESS(13+(A420-1)*A416,2)))</f>
        <v>Discrete Structure</v>
      </c>
      <c r="D401" s="107"/>
      <c r="E401" s="107"/>
      <c r="F401" s="107"/>
      <c r="G401" s="108"/>
      <c r="H401" s="20">
        <f ca="1">INDIRECT(_xlfn.TEXTJOIN("",TRUE,A419,"!",ADDRESS(13+(A420-1)*A416,6)))</f>
        <v>4</v>
      </c>
      <c r="I401" s="20" t="str">
        <f ca="1">INDIRECT(_xlfn.TEXTJOIN("",TRUE,A419,"!",ADDRESS(13+(A420-1)*A416,13)))</f>
        <v>C+</v>
      </c>
      <c r="J401" s="20">
        <f ca="1">INDIRECT(_xlfn.TEXTJOIN("",TRUE,A419,"!",ADDRESS(13+(A420-1)*A416,14)))</f>
        <v>7.5</v>
      </c>
    </row>
    <row r="402" spans="1:10" ht="26.25" customHeight="1" x14ac:dyDescent="0.2">
      <c r="A402" s="96" t="str">
        <f ca="1">INDIRECT(_xlfn.TEXTJOIN("",TRUE,A419,"!",ADDRESS(14+(A420-1)*A416,1)))</f>
        <v>CAT 005</v>
      </c>
      <c r="B402" s="97"/>
      <c r="C402" s="106" t="str">
        <f ca="1">INDIRECT(_xlfn.TEXTJOIN("",TRUE,A419,"!",ADDRESS(14+(A420-1)*A416,2)))</f>
        <v>Database Management System</v>
      </c>
      <c r="D402" s="107"/>
      <c r="E402" s="107"/>
      <c r="F402" s="107"/>
      <c r="G402" s="108"/>
      <c r="H402" s="20">
        <f ca="1">INDIRECT(_xlfn.TEXTJOIN("",TRUE,A419,"!",ADDRESS(14+(A420-1)*A416,6)))</f>
        <v>4</v>
      </c>
      <c r="I402" s="20" t="str">
        <f ca="1">INDIRECT(_xlfn.TEXTJOIN("",TRUE,A419,"!",ADDRESS(14+(A420-1)*A416,13)))</f>
        <v>D+</v>
      </c>
      <c r="J402" s="20">
        <f ca="1">INDIRECT(_xlfn.TEXTJOIN("",TRUE,A419,"!",ADDRESS(14+(A420-1)*A416,14)))</f>
        <v>6.5</v>
      </c>
    </row>
    <row r="403" spans="1:10" ht="26.25" customHeight="1" x14ac:dyDescent="0.2">
      <c r="A403" s="96" t="str">
        <f ca="1">INDIRECT(_xlfn.TEXTJOIN("",TRUE,A419,"!",ADDRESS(15+(A420-1)*A416,1)))</f>
        <v>CAT 006</v>
      </c>
      <c r="B403" s="97"/>
      <c r="C403" s="106" t="str">
        <f ca="1">INDIRECT(_xlfn.TEXTJOIN("",TRUE,A419,"!",ADDRESS(15+(A420-1)*A416,2)))</f>
        <v>Operating System</v>
      </c>
      <c r="D403" s="107"/>
      <c r="E403" s="107"/>
      <c r="F403" s="107"/>
      <c r="G403" s="108"/>
      <c r="H403" s="20">
        <f ca="1">INDIRECT(_xlfn.TEXTJOIN("",TRUE,A419,"!",ADDRESS(15+(A420-1)*A416,6)))</f>
        <v>4</v>
      </c>
      <c r="I403" s="20" t="str">
        <f ca="1">INDIRECT(_xlfn.TEXTJOIN("",TRUE,A419,"!",ADDRESS(15+(A420-1)*A416,13)))</f>
        <v>C+</v>
      </c>
      <c r="J403" s="20">
        <f ca="1">INDIRECT(_xlfn.TEXTJOIN("",TRUE,A419,"!",ADDRESS(15+(A420-1)*A416,14)))</f>
        <v>7.5</v>
      </c>
    </row>
    <row r="404" spans="1:10" ht="26.25" customHeight="1" x14ac:dyDescent="0.2">
      <c r="A404" s="96" t="str">
        <f ca="1">INDIRECT(_xlfn.TEXTJOIN("",TRUE,A419,"!",ADDRESS(16+(A420-1)*A416,1)))</f>
        <v>CAT 007</v>
      </c>
      <c r="B404" s="97"/>
      <c r="C404" s="106" t="str">
        <f ca="1">INDIRECT(_xlfn.TEXTJOIN("",TRUE,A419,"!",ADDRESS(16+(A420-1)*A416,2)))</f>
        <v>Computer Organization</v>
      </c>
      <c r="D404" s="107"/>
      <c r="E404" s="107"/>
      <c r="F404" s="107"/>
      <c r="G404" s="108"/>
      <c r="H404" s="20">
        <f ca="1">INDIRECT(_xlfn.TEXTJOIN("",TRUE,A419,"!",ADDRESS(16+(A420-1)*A416,6)))</f>
        <v>4</v>
      </c>
      <c r="I404" s="20" t="str">
        <f ca="1">INDIRECT(_xlfn.TEXTJOIN("",TRUE,A419,"!",ADDRESS(16+(A420-1)*A416,13)))</f>
        <v>C</v>
      </c>
      <c r="J404" s="20">
        <f ca="1">INDIRECT(_xlfn.TEXTJOIN("",TRUE,A419,"!",ADDRESS(16+(A420-1)*A416,14)))</f>
        <v>7</v>
      </c>
    </row>
    <row r="405" spans="1:10" ht="26.25" customHeight="1" x14ac:dyDescent="0.2">
      <c r="A405" s="96" t="str">
        <f ca="1">INDIRECT(_xlfn.TEXTJOIN("",TRUE,A419,"!",ADDRESS(17+(A420-1)*A416,1)))</f>
        <v>AHT 303</v>
      </c>
      <c r="B405" s="97"/>
      <c r="C405" s="106" t="str">
        <f ca="1">INDIRECT(_xlfn.TEXTJOIN("",TRUE,A419,"!",ADDRESS(17+(A420-1)*A416,2)))</f>
        <v>Technical Communication Skills</v>
      </c>
      <c r="D405" s="107"/>
      <c r="E405" s="107"/>
      <c r="F405" s="107"/>
      <c r="G405" s="108"/>
      <c r="H405" s="20">
        <f ca="1">INDIRECT(_xlfn.TEXTJOIN("",TRUE,A419,"!",ADDRESS(17+(A420-1)*A416,6)))</f>
        <v>4</v>
      </c>
      <c r="I405" s="20" t="str">
        <f ca="1">INDIRECT(_xlfn.TEXTJOIN("",TRUE,A419,"!",ADDRESS(17+(A420-1)*A416,13)))</f>
        <v>D+</v>
      </c>
      <c r="J405" s="20">
        <f ca="1">INDIRECT(_xlfn.TEXTJOIN("",TRUE,A419,"!",ADDRESS(17+(A420-1)*A416,14)))</f>
        <v>6.5</v>
      </c>
    </row>
    <row r="406" spans="1:10" ht="26.25" customHeight="1" x14ac:dyDescent="0.2">
      <c r="A406" s="96" t="str">
        <f ca="1">INDIRECT(_xlfn.TEXTJOIN("",TRUE,A419,"!",ADDRESS(18+(A420-1)*A416,1)))</f>
        <v>CAT 008</v>
      </c>
      <c r="B406" s="97"/>
      <c r="C406" s="106" t="str">
        <f ca="1">INDIRECT(_xlfn.TEXTJOIN("",TRUE,A419,"!",ADDRESS(18+(A420-1)*A416,2)))</f>
        <v>Python Programming ($)</v>
      </c>
      <c r="D406" s="107"/>
      <c r="E406" s="107"/>
      <c r="F406" s="107"/>
      <c r="G406" s="108"/>
      <c r="H406" s="20">
        <f ca="1">INDIRECT(_xlfn.TEXTJOIN("",TRUE,A419,"!",ADDRESS(18+(A420-1)*A416,6)))</f>
        <v>0</v>
      </c>
      <c r="I406" s="20" t="str">
        <f ca="1">INDIRECT(_xlfn.TEXTJOIN("",TRUE,A419,"!",ADDRESS(18+(A420-1)*A416,13)))</f>
        <v>C</v>
      </c>
      <c r="J406" s="20">
        <f ca="1">INDIRECT(_xlfn.TEXTJOIN("",TRUE,A419,"!",ADDRESS(18+(A420-1)*A416,14)))</f>
        <v>7</v>
      </c>
    </row>
    <row r="407" spans="1:10" ht="26.25" customHeight="1" x14ac:dyDescent="0.2">
      <c r="A407" s="96" t="str">
        <f ca="1">INDIRECT(_xlfn.TEXTJOIN("",TRUE,A419,"!",ADDRESS(19+(A420-1)*A416,1)))</f>
        <v>CAT 001</v>
      </c>
      <c r="B407" s="97"/>
      <c r="C407" s="106" t="str">
        <f ca="1">INDIRECT(_xlfn.TEXTJOIN("",TRUE,A419,"!",ADDRESS(19+(A420-1)*A416,2)))</f>
        <v>Introduction of Information Technology ($)</v>
      </c>
      <c r="D407" s="107"/>
      <c r="E407" s="107"/>
      <c r="F407" s="107"/>
      <c r="G407" s="108"/>
      <c r="H407" s="20">
        <f ca="1">INDIRECT(_xlfn.TEXTJOIN("",TRUE,A419,"!",ADDRESS(19+(A420-1)*A416,6)))</f>
        <v>0</v>
      </c>
      <c r="I407" s="20" t="str">
        <f ca="1">INDIRECT(_xlfn.TEXTJOIN("",TRUE,A419,"!",ADDRESS(19+(A420-1)*A416,13)))</f>
        <v>-</v>
      </c>
      <c r="J407" s="20" t="str">
        <f ca="1">INDIRECT(_xlfn.TEXTJOIN("",TRUE,A419,"!",ADDRESS(19+(A420-1)*A416,14)))</f>
        <v>-</v>
      </c>
    </row>
    <row r="408" spans="1:10" ht="26.25" customHeight="1" x14ac:dyDescent="0.2">
      <c r="A408" s="96" t="str">
        <f ca="1">INDIRECT(_xlfn.TEXTJOIN("",TRUE,A419,"!",ADDRESS(20+(A420-1)*A416,1)))</f>
        <v>CAT 002</v>
      </c>
      <c r="B408" s="97"/>
      <c r="C408" s="106" t="str">
        <f ca="1">INDIRECT(_xlfn.TEXTJOIN("",TRUE,A419,"!",ADDRESS(20+(A420-1)*A416,2)))</f>
        <v>Programming Fundamentals with "C" ($)</v>
      </c>
      <c r="D408" s="107"/>
      <c r="E408" s="107"/>
      <c r="F408" s="107"/>
      <c r="G408" s="108"/>
      <c r="H408" s="20">
        <f ca="1">INDIRECT(_xlfn.TEXTJOIN("",TRUE,A419,"!",ADDRESS(20+(A420-1)*A416,6)))</f>
        <v>0</v>
      </c>
      <c r="I408" s="20" t="str">
        <f ca="1">INDIRECT(_xlfn.TEXTJOIN("",TRUE,A419,"!",ADDRESS(20+(A420-1)*A416,13)))</f>
        <v>-</v>
      </c>
      <c r="J408" s="20" t="str">
        <f ca="1">INDIRECT(_xlfn.TEXTJOIN("",TRUE,A419,"!",ADDRESS(20+(A420-1)*A416,14)))</f>
        <v>-</v>
      </c>
    </row>
    <row r="409" spans="1:10" ht="26.25" customHeight="1" x14ac:dyDescent="0.2">
      <c r="A409" s="96" t="str">
        <f ca="1">INDIRECT(_xlfn.TEXTJOIN("",TRUE,A419,"!",ADDRESS(21+(A420-1)*A416,1)))</f>
        <v>CAT 003</v>
      </c>
      <c r="B409" s="97"/>
      <c r="C409" s="106" t="str">
        <f ca="1">INDIRECT(_xlfn.TEXTJOIN("",TRUE,A419,"!",ADDRESS(21+(A420-1)*A416,2)))</f>
        <v>Fundamental of Web Technology ($)</v>
      </c>
      <c r="D409" s="107"/>
      <c r="E409" s="107"/>
      <c r="F409" s="107"/>
      <c r="G409" s="108"/>
      <c r="H409" s="20">
        <f ca="1">INDIRECT(_xlfn.TEXTJOIN("",TRUE,A419,"!",ADDRESS(21+(A420-1)*A416,6)))</f>
        <v>0</v>
      </c>
      <c r="I409" s="20" t="str">
        <f ca="1">INDIRECT(_xlfn.TEXTJOIN("",TRUE,A419,"!",ADDRESS(21+(A420-1)*A416,13)))</f>
        <v>-</v>
      </c>
      <c r="J409" s="20" t="str">
        <f ca="1">INDIRECT(_xlfn.TEXTJOIN("",TRUE,A419,"!",ADDRESS(21+(A420-1)*A416,14)))</f>
        <v>-</v>
      </c>
    </row>
    <row r="410" spans="1:10" ht="26.25" customHeight="1" x14ac:dyDescent="0.2">
      <c r="A410" s="96" t="str">
        <f ca="1">INDIRECT(_xlfn.TEXTJOIN("",TRUE,A419,"!",ADDRESS(22+(A420-1)*A416,1)))</f>
        <v>CAP 001</v>
      </c>
      <c r="B410" s="97"/>
      <c r="C410" s="106" t="str">
        <f ca="1">INDIRECT(_xlfn.TEXTJOIN("",TRUE,A419,"!",ADDRESS(22+(A420-1)*A416,2)))</f>
        <v>Database Management System Lab</v>
      </c>
      <c r="D410" s="107"/>
      <c r="E410" s="107"/>
      <c r="F410" s="107"/>
      <c r="G410" s="108"/>
      <c r="H410" s="20">
        <f ca="1">INDIRECT(_xlfn.TEXTJOIN("",TRUE,A419,"!",ADDRESS(22+(A420-1)*A416,6)))</f>
        <v>1</v>
      </c>
      <c r="I410" s="20" t="str">
        <f ca="1">INDIRECT(_xlfn.TEXTJOIN("",TRUE,A419,"!",ADDRESS(22+(A420-1)*A416,13)))</f>
        <v>B+</v>
      </c>
      <c r="J410" s="20">
        <f ca="1">INDIRECT(_xlfn.TEXTJOIN("",TRUE,A419,"!",ADDRESS(22+(A420-1)*A416,14)))</f>
        <v>8.5</v>
      </c>
    </row>
    <row r="411" spans="1:10" ht="26.25" customHeight="1" x14ac:dyDescent="0.2">
      <c r="A411" s="110" t="str">
        <f ca="1">INDIRECT(_xlfn.TEXTJOIN("",TRUE,A419,"!",ADDRESS(23+(A420-1)*A416,1)))</f>
        <v>CAP 002</v>
      </c>
      <c r="B411" s="111"/>
      <c r="C411" s="115" t="str">
        <f ca="1">INDIRECT(_xlfn.TEXTJOIN("",TRUE,A419,"!",ADDRESS(23+(A420-1)*A416,2)))</f>
        <v>Operating System Lab</v>
      </c>
      <c r="D411" s="116"/>
      <c r="E411" s="116"/>
      <c r="F411" s="116"/>
      <c r="G411" s="117"/>
      <c r="H411" s="20">
        <f ca="1">INDIRECT(_xlfn.TEXTJOIN("",TRUE,A419,"!",ADDRESS(23+(A420-1)*A416,6)))</f>
        <v>1</v>
      </c>
      <c r="I411" s="20" t="str">
        <f ca="1">INDIRECT(_xlfn.TEXTJOIN("",TRUE,A419,"!",ADDRESS(23+(A420-1)*A416,13)))</f>
        <v>A+</v>
      </c>
      <c r="J411" s="20">
        <f ca="1">INDIRECT(_xlfn.TEXTJOIN("",TRUE,A419,"!",ADDRESS(23+(A420-1)*A416,14)))</f>
        <v>9.5</v>
      </c>
    </row>
    <row r="412" spans="1:10" ht="26.25" customHeight="1" x14ac:dyDescent="0.2">
      <c r="A412" s="110" t="str">
        <f ca="1">INDIRECT(_xlfn.TEXTJOIN("",TRUE,A419,"!",ADDRESS(24+(A420-1)*A416,1)))</f>
        <v>CAP 003</v>
      </c>
      <c r="B412" s="111"/>
      <c r="C412" s="115" t="str">
        <f ca="1">INDIRECT(_xlfn.TEXTJOIN("",TRUE,A419,"!",ADDRESS(24+(A420-1)*A416,2)))</f>
        <v>Computer Organization Lab</v>
      </c>
      <c r="D412" s="116"/>
      <c r="E412" s="116"/>
      <c r="F412" s="116"/>
      <c r="G412" s="117"/>
      <c r="H412" s="20">
        <f ca="1">INDIRECT(_xlfn.TEXTJOIN("",TRUE,A419,"!",ADDRESS(24+(A420-1)*A416,6)))</f>
        <v>1</v>
      </c>
      <c r="I412" s="20" t="str">
        <f ca="1">INDIRECT(_xlfn.TEXTJOIN("",TRUE,A419,"!",ADDRESS(24+(A420-1)*A416,13)))</f>
        <v>A+</v>
      </c>
      <c r="J412" s="20">
        <f ca="1">INDIRECT(_xlfn.TEXTJOIN("",TRUE,A419,"!",ADDRESS(24+(A420-1)*A416,14)))</f>
        <v>9.5</v>
      </c>
    </row>
    <row r="413" spans="1:10" ht="26.25" customHeight="1" x14ac:dyDescent="0.2">
      <c r="A413" s="110" t="str">
        <f ca="1">INDIRECT(_xlfn.TEXTJOIN("",TRUE,A419,"!",ADDRESS(25+(A420-1)*A416,1)))</f>
        <v>AHP 303</v>
      </c>
      <c r="B413" s="111"/>
      <c r="C413" s="115" t="str">
        <f ca="1">INDIRECT(_xlfn.TEXTJOIN("",TRUE,A419,"!",ADDRESS(25+(A420-1)*A416,2)))</f>
        <v>Technical Communication Skills</v>
      </c>
      <c r="D413" s="116"/>
      <c r="E413" s="116"/>
      <c r="F413" s="116"/>
      <c r="G413" s="117"/>
      <c r="H413" s="20">
        <f ca="1">INDIRECT(_xlfn.TEXTJOIN("",TRUE,A419,"!",ADDRESS(25+(A420-1)*A416,6)))</f>
        <v>1</v>
      </c>
      <c r="I413" s="20" t="str">
        <f ca="1">INDIRECT(_xlfn.TEXTJOIN("",TRUE,A419,"!",ADDRESS(25+(A420-1)*A416,13)))</f>
        <v>B+</v>
      </c>
      <c r="J413" s="20">
        <f ca="1">INDIRECT(_xlfn.TEXTJOIN("",TRUE,A419,"!",ADDRESS(25+(A420-1)*A416,14)))</f>
        <v>8.5</v>
      </c>
    </row>
    <row r="414" spans="1:10" ht="26.25" customHeight="1" x14ac:dyDescent="0.2">
      <c r="A414" s="100" t="s">
        <v>52</v>
      </c>
      <c r="B414" s="101"/>
      <c r="C414" s="101"/>
      <c r="D414" s="101"/>
      <c r="E414" s="101"/>
      <c r="F414" s="101"/>
      <c r="G414" s="102"/>
      <c r="H414" s="98">
        <f ca="1">SUM(H401:H414)</f>
        <v>24</v>
      </c>
      <c r="I414" s="98" t="s">
        <v>44</v>
      </c>
      <c r="J414" s="98">
        <f ca="1">SUMPRODUCT(J401:J413,H401:H413)</f>
        <v>176</v>
      </c>
    </row>
    <row r="415" spans="1:10" ht="26.25" customHeight="1" x14ac:dyDescent="0.2">
      <c r="A415" s="103"/>
      <c r="B415" s="104"/>
      <c r="C415" s="104"/>
      <c r="D415" s="104"/>
      <c r="E415" s="104"/>
      <c r="F415" s="104"/>
      <c r="G415" s="105"/>
      <c r="H415" s="99"/>
      <c r="I415" s="99"/>
      <c r="J415" s="99"/>
    </row>
    <row r="416" spans="1:10" ht="26.25" customHeight="1" x14ac:dyDescent="0.2">
      <c r="A416" s="22">
        <f>ROWS(A401:B414)+9</f>
        <v>23</v>
      </c>
      <c r="B416" s="17"/>
      <c r="C416" s="17"/>
      <c r="D416" s="17"/>
      <c r="E416" s="17"/>
      <c r="F416" s="17"/>
      <c r="G416" s="17"/>
      <c r="H416" s="17"/>
      <c r="I416" s="17"/>
      <c r="J416" s="17"/>
    </row>
    <row r="417" spans="1:10" ht="26.25" customHeight="1" x14ac:dyDescent="0.2">
      <c r="A417" s="120" t="s">
        <v>40</v>
      </c>
      <c r="B417" s="120"/>
      <c r="C417" s="21">
        <f ca="1">INDIRECT(_xlfn.TEXTJOIN("",TRUE,A419,"!",ADDRESS(5+A420*A416,12)))</f>
        <v>24</v>
      </c>
      <c r="D417" s="120" t="s">
        <v>38</v>
      </c>
      <c r="E417" s="120"/>
      <c r="F417" s="18">
        <f ca="1">INDIRECT(_xlfn.TEXTJOIN("",TRUE,A419,"!",ADDRESS(5+A420*A416,8)))</f>
        <v>7.333333333333333</v>
      </c>
      <c r="G417" s="120" t="s">
        <v>39</v>
      </c>
      <c r="H417" s="120"/>
      <c r="I417" s="109">
        <f ca="1">INDIRECT(_xlfn.TEXTJOIN("",TRUE,A419,"!",ADDRESS(5+A420*A416,10)))</f>
        <v>7.333333333333333</v>
      </c>
      <c r="J417" s="109"/>
    </row>
    <row r="418" spans="1:10" ht="26.25" customHeight="1" x14ac:dyDescent="0.2">
      <c r="A418" s="19" t="s">
        <v>36</v>
      </c>
      <c r="B418" s="95" t="str">
        <f ca="1">INDIRECT(_xlfn.TEXTJOIN("",TRUE,A419,"!",ADDRESS(5+A420*A416,2)))</f>
        <v>PASS</v>
      </c>
      <c r="C418" s="95"/>
      <c r="D418" s="121" t="s">
        <v>37</v>
      </c>
      <c r="E418" s="121"/>
      <c r="F418" s="122" t="str">
        <f ca="1">INDIRECT(_xlfn.TEXTJOIN("",TRUE,A419,"!",ADDRESS(5+A420*A416,5)))</f>
        <v/>
      </c>
      <c r="G418" s="122"/>
      <c r="H418" s="122"/>
      <c r="I418" s="122"/>
      <c r="J418" s="122"/>
    </row>
    <row r="419" spans="1:10" ht="26.25" customHeight="1" x14ac:dyDescent="0.2">
      <c r="A419" s="22" t="str">
        <f>A396</f>
        <v>TC_I</v>
      </c>
    </row>
    <row r="420" spans="1:10" ht="26.25" customHeight="1" x14ac:dyDescent="0.2">
      <c r="A420" s="22">
        <f>A397+1</f>
        <v>18</v>
      </c>
    </row>
    <row r="421" spans="1:10" ht="26.25" customHeight="1" x14ac:dyDescent="0.2">
      <c r="A421" s="112" t="s">
        <v>24</v>
      </c>
      <c r="B421" s="112"/>
      <c r="C421" s="112" t="str">
        <f ca="1">INDIRECT(_xlfn.TEXTJOIN("",TRUE,A442,"!",ADDRESS(9+(A443-1)*A439,2)))</f>
        <v>SIMRAN KANDARI</v>
      </c>
      <c r="D421" s="112"/>
      <c r="E421" s="112"/>
      <c r="F421" s="112" t="s">
        <v>50</v>
      </c>
      <c r="G421" s="112"/>
      <c r="H421" s="112"/>
      <c r="I421" s="113">
        <f ca="1">INDIRECT(_xlfn.TEXTJOIN("",TRUE,A442,"!",ADDRESS(9+(A443-1)*A439,9)))</f>
        <v>250090600019</v>
      </c>
      <c r="J421" s="113"/>
    </row>
    <row r="422" spans="1:10" ht="26.25" customHeight="1" x14ac:dyDescent="0.2">
      <c r="A422" s="112" t="s">
        <v>25</v>
      </c>
      <c r="B422" s="112"/>
      <c r="C422" s="112" t="str">
        <f ca="1">INDIRECT(_xlfn.TEXTJOIN("",TRUE,A442,"!",ADDRESS(9+(A443-1)*A439,5)))</f>
        <v>MANMOHAN SINGH</v>
      </c>
      <c r="D422" s="112"/>
      <c r="E422" s="112"/>
      <c r="F422" s="114" t="s">
        <v>51</v>
      </c>
      <c r="G422" s="114"/>
      <c r="H422" s="114"/>
      <c r="I422" s="113" t="str">
        <f ca="1">INDIRECT(_xlfn.TEXTJOIN("",TRUE,A442,"!",ADDRESS(9+(A443-1)*A439,13)))</f>
        <v>UTU/2506100146</v>
      </c>
      <c r="J422" s="113"/>
    </row>
    <row r="423" spans="1:10" ht="26.25" customHeight="1" x14ac:dyDescent="0.2">
      <c r="A423" s="95" t="s">
        <v>28</v>
      </c>
      <c r="B423" s="95"/>
      <c r="C423" s="95" t="s">
        <v>29</v>
      </c>
      <c r="D423" s="95"/>
      <c r="E423" s="95"/>
      <c r="F423" s="95"/>
      <c r="G423" s="95"/>
      <c r="H423" s="15" t="s">
        <v>30</v>
      </c>
      <c r="I423" s="15" t="s">
        <v>9</v>
      </c>
      <c r="J423" s="15" t="s">
        <v>34</v>
      </c>
    </row>
    <row r="424" spans="1:10" ht="26.25" customHeight="1" x14ac:dyDescent="0.2">
      <c r="A424" s="96" t="str">
        <f ca="1">INDIRECT(_xlfn.TEXTJOIN("",TRUE,A442,"!",ADDRESS(13+(A443-1)*A439,1)))</f>
        <v>CAT 004</v>
      </c>
      <c r="B424" s="97"/>
      <c r="C424" s="106" t="str">
        <f ca="1">INDIRECT(_xlfn.TEXTJOIN("",TRUE,A442,"!",ADDRESS(13+(A443-1)*A439,2)))</f>
        <v>Discrete Structure</v>
      </c>
      <c r="D424" s="107"/>
      <c r="E424" s="107"/>
      <c r="F424" s="107"/>
      <c r="G424" s="108"/>
      <c r="H424" s="20">
        <f ca="1">INDIRECT(_xlfn.TEXTJOIN("",TRUE,A442,"!",ADDRESS(13+(A443-1)*A439,6)))</f>
        <v>4</v>
      </c>
      <c r="I424" s="20" t="str">
        <f ca="1">INDIRECT(_xlfn.TEXTJOIN("",TRUE,A442,"!",ADDRESS(13+(A443-1)*A439,13)))</f>
        <v>C+</v>
      </c>
      <c r="J424" s="20">
        <f ca="1">INDIRECT(_xlfn.TEXTJOIN("",TRUE,A442,"!",ADDRESS(13+(A443-1)*A439,14)))</f>
        <v>7.5</v>
      </c>
    </row>
    <row r="425" spans="1:10" ht="26.25" customHeight="1" x14ac:dyDescent="0.2">
      <c r="A425" s="96" t="str">
        <f ca="1">INDIRECT(_xlfn.TEXTJOIN("",TRUE,A442,"!",ADDRESS(14+(A443-1)*A439,1)))</f>
        <v>CAT 005</v>
      </c>
      <c r="B425" s="97"/>
      <c r="C425" s="106" t="str">
        <f ca="1">INDIRECT(_xlfn.TEXTJOIN("",TRUE,A442,"!",ADDRESS(14+(A443-1)*A439,2)))</f>
        <v>Database Management System</v>
      </c>
      <c r="D425" s="107"/>
      <c r="E425" s="107"/>
      <c r="F425" s="107"/>
      <c r="G425" s="108"/>
      <c r="H425" s="20">
        <f ca="1">INDIRECT(_xlfn.TEXTJOIN("",TRUE,A442,"!",ADDRESS(14+(A443-1)*A439,6)))</f>
        <v>4</v>
      </c>
      <c r="I425" s="20" t="str">
        <f ca="1">INDIRECT(_xlfn.TEXTJOIN("",TRUE,A442,"!",ADDRESS(14+(A443-1)*A439,13)))</f>
        <v>C+</v>
      </c>
      <c r="J425" s="20">
        <f ca="1">INDIRECT(_xlfn.TEXTJOIN("",TRUE,A442,"!",ADDRESS(14+(A443-1)*A439,14)))</f>
        <v>7.5</v>
      </c>
    </row>
    <row r="426" spans="1:10" ht="26.25" customHeight="1" x14ac:dyDescent="0.2">
      <c r="A426" s="96" t="str">
        <f ca="1">INDIRECT(_xlfn.TEXTJOIN("",TRUE,A442,"!",ADDRESS(15+(A443-1)*A439,1)))</f>
        <v>CAT 006</v>
      </c>
      <c r="B426" s="97"/>
      <c r="C426" s="106" t="str">
        <f ca="1">INDIRECT(_xlfn.TEXTJOIN("",TRUE,A442,"!",ADDRESS(15+(A443-1)*A439,2)))</f>
        <v>Operating System</v>
      </c>
      <c r="D426" s="107"/>
      <c r="E426" s="107"/>
      <c r="F426" s="107"/>
      <c r="G426" s="108"/>
      <c r="H426" s="20">
        <f ca="1">INDIRECT(_xlfn.TEXTJOIN("",TRUE,A442,"!",ADDRESS(15+(A443-1)*A439,6)))</f>
        <v>4</v>
      </c>
      <c r="I426" s="20" t="str">
        <f ca="1">INDIRECT(_xlfn.TEXTJOIN("",TRUE,A442,"!",ADDRESS(15+(A443-1)*A439,13)))</f>
        <v>C+</v>
      </c>
      <c r="J426" s="20">
        <f ca="1">INDIRECT(_xlfn.TEXTJOIN("",TRUE,A442,"!",ADDRESS(15+(A443-1)*A439,14)))</f>
        <v>7.5</v>
      </c>
    </row>
    <row r="427" spans="1:10" ht="26.25" customHeight="1" x14ac:dyDescent="0.2">
      <c r="A427" s="96" t="str">
        <f ca="1">INDIRECT(_xlfn.TEXTJOIN("",TRUE,A442,"!",ADDRESS(16+(A443-1)*A439,1)))</f>
        <v>CAT 007</v>
      </c>
      <c r="B427" s="97"/>
      <c r="C427" s="106" t="str">
        <f ca="1">INDIRECT(_xlfn.TEXTJOIN("",TRUE,A442,"!",ADDRESS(16+(A443-1)*A439,2)))</f>
        <v>Computer Organization</v>
      </c>
      <c r="D427" s="107"/>
      <c r="E427" s="107"/>
      <c r="F427" s="107"/>
      <c r="G427" s="108"/>
      <c r="H427" s="20">
        <f ca="1">INDIRECT(_xlfn.TEXTJOIN("",TRUE,A442,"!",ADDRESS(16+(A443-1)*A439,6)))</f>
        <v>4</v>
      </c>
      <c r="I427" s="20" t="str">
        <f ca="1">INDIRECT(_xlfn.TEXTJOIN("",TRUE,A442,"!",ADDRESS(16+(A443-1)*A439,13)))</f>
        <v>E+</v>
      </c>
      <c r="J427" s="20">
        <f ca="1">INDIRECT(_xlfn.TEXTJOIN("",TRUE,A442,"!",ADDRESS(16+(A443-1)*A439,14)))</f>
        <v>5.5</v>
      </c>
    </row>
    <row r="428" spans="1:10" ht="26.25" customHeight="1" x14ac:dyDescent="0.2">
      <c r="A428" s="96" t="str">
        <f ca="1">INDIRECT(_xlfn.TEXTJOIN("",TRUE,A442,"!",ADDRESS(17+(A443-1)*A439,1)))</f>
        <v>AHT 303</v>
      </c>
      <c r="B428" s="97"/>
      <c r="C428" s="106" t="str">
        <f ca="1">INDIRECT(_xlfn.TEXTJOIN("",TRUE,A442,"!",ADDRESS(17+(A443-1)*A439,2)))</f>
        <v>Technical Communication Skills</v>
      </c>
      <c r="D428" s="107"/>
      <c r="E428" s="107"/>
      <c r="F428" s="107"/>
      <c r="G428" s="108"/>
      <c r="H428" s="20">
        <f ca="1">INDIRECT(_xlfn.TEXTJOIN("",TRUE,A442,"!",ADDRESS(17+(A443-1)*A439,6)))</f>
        <v>4</v>
      </c>
      <c r="I428" s="20" t="str">
        <f ca="1">INDIRECT(_xlfn.TEXTJOIN("",TRUE,A442,"!",ADDRESS(17+(A443-1)*A439,13)))</f>
        <v>A</v>
      </c>
      <c r="J428" s="20">
        <f ca="1">INDIRECT(_xlfn.TEXTJOIN("",TRUE,A442,"!",ADDRESS(17+(A443-1)*A439,14)))</f>
        <v>9</v>
      </c>
    </row>
    <row r="429" spans="1:10" ht="26.25" customHeight="1" x14ac:dyDescent="0.2">
      <c r="A429" s="96" t="str">
        <f ca="1">INDIRECT(_xlfn.TEXTJOIN("",TRUE,A442,"!",ADDRESS(18+(A443-1)*A439,1)))</f>
        <v>CAT 008</v>
      </c>
      <c r="B429" s="97"/>
      <c r="C429" s="106" t="str">
        <f ca="1">INDIRECT(_xlfn.TEXTJOIN("",TRUE,A442,"!",ADDRESS(18+(A443-1)*A439,2)))</f>
        <v>Python Programming ($)</v>
      </c>
      <c r="D429" s="107"/>
      <c r="E429" s="107"/>
      <c r="F429" s="107"/>
      <c r="G429" s="108"/>
      <c r="H429" s="20">
        <f ca="1">INDIRECT(_xlfn.TEXTJOIN("",TRUE,A442,"!",ADDRESS(18+(A443-1)*A439,6)))</f>
        <v>0</v>
      </c>
      <c r="I429" s="20" t="str">
        <f ca="1">INDIRECT(_xlfn.TEXTJOIN("",TRUE,A442,"!",ADDRESS(18+(A443-1)*A439,13)))</f>
        <v>C</v>
      </c>
      <c r="J429" s="20">
        <f ca="1">INDIRECT(_xlfn.TEXTJOIN("",TRUE,A442,"!",ADDRESS(18+(A443-1)*A439,14)))</f>
        <v>7</v>
      </c>
    </row>
    <row r="430" spans="1:10" ht="26.25" customHeight="1" x14ac:dyDescent="0.2">
      <c r="A430" s="96" t="str">
        <f ca="1">INDIRECT(_xlfn.TEXTJOIN("",TRUE,A442,"!",ADDRESS(19+(A443-1)*A439,1)))</f>
        <v>CAT 001</v>
      </c>
      <c r="B430" s="97"/>
      <c r="C430" s="106" t="str">
        <f ca="1">INDIRECT(_xlfn.TEXTJOIN("",TRUE,A442,"!",ADDRESS(19+(A443-1)*A439,2)))</f>
        <v>Introduction of Information Technology ($)</v>
      </c>
      <c r="D430" s="107"/>
      <c r="E430" s="107"/>
      <c r="F430" s="107"/>
      <c r="G430" s="108"/>
      <c r="H430" s="20">
        <f ca="1">INDIRECT(_xlfn.TEXTJOIN("",TRUE,A442,"!",ADDRESS(19+(A443-1)*A439,6)))</f>
        <v>0</v>
      </c>
      <c r="I430" s="20" t="str">
        <f ca="1">INDIRECT(_xlfn.TEXTJOIN("",TRUE,A442,"!",ADDRESS(19+(A443-1)*A439,13)))</f>
        <v>-</v>
      </c>
      <c r="J430" s="20" t="str">
        <f ca="1">INDIRECT(_xlfn.TEXTJOIN("",TRUE,A442,"!",ADDRESS(19+(A443-1)*A439,14)))</f>
        <v>-</v>
      </c>
    </row>
    <row r="431" spans="1:10" ht="26.25" customHeight="1" x14ac:dyDescent="0.2">
      <c r="A431" s="96" t="str">
        <f ca="1">INDIRECT(_xlfn.TEXTJOIN("",TRUE,A442,"!",ADDRESS(20+(A443-1)*A439,1)))</f>
        <v>CAT 002</v>
      </c>
      <c r="B431" s="97"/>
      <c r="C431" s="106" t="str">
        <f ca="1">INDIRECT(_xlfn.TEXTJOIN("",TRUE,A442,"!",ADDRESS(20+(A443-1)*A439,2)))</f>
        <v>Programming Fundamentals with "C" ($)</v>
      </c>
      <c r="D431" s="107"/>
      <c r="E431" s="107"/>
      <c r="F431" s="107"/>
      <c r="G431" s="108"/>
      <c r="H431" s="20">
        <f ca="1">INDIRECT(_xlfn.TEXTJOIN("",TRUE,A442,"!",ADDRESS(20+(A443-1)*A439,6)))</f>
        <v>0</v>
      </c>
      <c r="I431" s="20" t="str">
        <f ca="1">INDIRECT(_xlfn.TEXTJOIN("",TRUE,A442,"!",ADDRESS(20+(A443-1)*A439,13)))</f>
        <v>-</v>
      </c>
      <c r="J431" s="20" t="str">
        <f ca="1">INDIRECT(_xlfn.TEXTJOIN("",TRUE,A442,"!",ADDRESS(20+(A443-1)*A439,14)))</f>
        <v>-</v>
      </c>
    </row>
    <row r="432" spans="1:10" ht="26.25" customHeight="1" x14ac:dyDescent="0.2">
      <c r="A432" s="96" t="str">
        <f ca="1">INDIRECT(_xlfn.TEXTJOIN("",TRUE,A442,"!",ADDRESS(21+(A443-1)*A439,1)))</f>
        <v>CAT 003</v>
      </c>
      <c r="B432" s="97"/>
      <c r="C432" s="106" t="str">
        <f ca="1">INDIRECT(_xlfn.TEXTJOIN("",TRUE,A442,"!",ADDRESS(21+(A443-1)*A439,2)))</f>
        <v>Fundamental of Web Technology ($)</v>
      </c>
      <c r="D432" s="107"/>
      <c r="E432" s="107"/>
      <c r="F432" s="107"/>
      <c r="G432" s="108"/>
      <c r="H432" s="20">
        <f ca="1">INDIRECT(_xlfn.TEXTJOIN("",TRUE,A442,"!",ADDRESS(21+(A443-1)*A439,6)))</f>
        <v>0</v>
      </c>
      <c r="I432" s="20" t="str">
        <f ca="1">INDIRECT(_xlfn.TEXTJOIN("",TRUE,A442,"!",ADDRESS(21+(A443-1)*A439,13)))</f>
        <v>-</v>
      </c>
      <c r="J432" s="20" t="str">
        <f ca="1">INDIRECT(_xlfn.TEXTJOIN("",TRUE,A442,"!",ADDRESS(21+(A443-1)*A439,14)))</f>
        <v>-</v>
      </c>
    </row>
    <row r="433" spans="1:10" ht="26.25" customHeight="1" x14ac:dyDescent="0.2">
      <c r="A433" s="96" t="str">
        <f ca="1">INDIRECT(_xlfn.TEXTJOIN("",TRUE,A442,"!",ADDRESS(22+(A443-1)*A439,1)))</f>
        <v>CAP 001</v>
      </c>
      <c r="B433" s="97"/>
      <c r="C433" s="106" t="str">
        <f ca="1">INDIRECT(_xlfn.TEXTJOIN("",TRUE,A442,"!",ADDRESS(22+(A443-1)*A439,2)))</f>
        <v>Database Management System Lab</v>
      </c>
      <c r="D433" s="107"/>
      <c r="E433" s="107"/>
      <c r="F433" s="107"/>
      <c r="G433" s="108"/>
      <c r="H433" s="20">
        <f ca="1">INDIRECT(_xlfn.TEXTJOIN("",TRUE,A442,"!",ADDRESS(22+(A443-1)*A439,6)))</f>
        <v>1</v>
      </c>
      <c r="I433" s="20" t="str">
        <f ca="1">INDIRECT(_xlfn.TEXTJOIN("",TRUE,A442,"!",ADDRESS(22+(A443-1)*A439,13)))</f>
        <v>A</v>
      </c>
      <c r="J433" s="20">
        <f ca="1">INDIRECT(_xlfn.TEXTJOIN("",TRUE,A442,"!",ADDRESS(22+(A443-1)*A439,14)))</f>
        <v>9</v>
      </c>
    </row>
    <row r="434" spans="1:10" ht="26.25" customHeight="1" x14ac:dyDescent="0.2">
      <c r="A434" s="110" t="str">
        <f ca="1">INDIRECT(_xlfn.TEXTJOIN("",TRUE,A442,"!",ADDRESS(23+(A443-1)*A439,1)))</f>
        <v>CAP 002</v>
      </c>
      <c r="B434" s="111"/>
      <c r="C434" s="115" t="str">
        <f ca="1">INDIRECT(_xlfn.TEXTJOIN("",TRUE,A442,"!",ADDRESS(23+(A443-1)*A439,2)))</f>
        <v>Operating System Lab</v>
      </c>
      <c r="D434" s="116"/>
      <c r="E434" s="116"/>
      <c r="F434" s="116"/>
      <c r="G434" s="117"/>
      <c r="H434" s="20">
        <f ca="1">INDIRECT(_xlfn.TEXTJOIN("",TRUE,A442,"!",ADDRESS(23+(A443-1)*A439,6)))</f>
        <v>1</v>
      </c>
      <c r="I434" s="20" t="str">
        <f ca="1">INDIRECT(_xlfn.TEXTJOIN("",TRUE,A442,"!",ADDRESS(23+(A443-1)*A439,13)))</f>
        <v>B+</v>
      </c>
      <c r="J434" s="20">
        <f ca="1">INDIRECT(_xlfn.TEXTJOIN("",TRUE,A442,"!",ADDRESS(23+(A443-1)*A439,14)))</f>
        <v>8.5</v>
      </c>
    </row>
    <row r="435" spans="1:10" ht="26.25" customHeight="1" x14ac:dyDescent="0.2">
      <c r="A435" s="110" t="str">
        <f ca="1">INDIRECT(_xlfn.TEXTJOIN("",TRUE,A442,"!",ADDRESS(24+(A443-1)*A439,1)))</f>
        <v>CAP 003</v>
      </c>
      <c r="B435" s="111"/>
      <c r="C435" s="115" t="str">
        <f ca="1">INDIRECT(_xlfn.TEXTJOIN("",TRUE,A442,"!",ADDRESS(24+(A443-1)*A439,2)))</f>
        <v>Computer Organization Lab</v>
      </c>
      <c r="D435" s="116"/>
      <c r="E435" s="116"/>
      <c r="F435" s="116"/>
      <c r="G435" s="117"/>
      <c r="H435" s="20">
        <f ca="1">INDIRECT(_xlfn.TEXTJOIN("",TRUE,A442,"!",ADDRESS(24+(A443-1)*A439,6)))</f>
        <v>1</v>
      </c>
      <c r="I435" s="20" t="str">
        <f ca="1">INDIRECT(_xlfn.TEXTJOIN("",TRUE,A442,"!",ADDRESS(24+(A443-1)*A439,13)))</f>
        <v>A+</v>
      </c>
      <c r="J435" s="20">
        <f ca="1">INDIRECT(_xlfn.TEXTJOIN("",TRUE,A442,"!",ADDRESS(24+(A443-1)*A439,14)))</f>
        <v>9.5</v>
      </c>
    </row>
    <row r="436" spans="1:10" ht="26.25" customHeight="1" x14ac:dyDescent="0.2">
      <c r="A436" s="110" t="str">
        <f ca="1">INDIRECT(_xlfn.TEXTJOIN("",TRUE,A442,"!",ADDRESS(25+(A443-1)*A439,1)))</f>
        <v>AHP 303</v>
      </c>
      <c r="B436" s="111"/>
      <c r="C436" s="115" t="str">
        <f ca="1">INDIRECT(_xlfn.TEXTJOIN("",TRUE,A442,"!",ADDRESS(25+(A443-1)*A439,2)))</f>
        <v>Technical Communication Skills</v>
      </c>
      <c r="D436" s="116"/>
      <c r="E436" s="116"/>
      <c r="F436" s="116"/>
      <c r="G436" s="117"/>
      <c r="H436" s="20">
        <f ca="1">INDIRECT(_xlfn.TEXTJOIN("",TRUE,A442,"!",ADDRESS(25+(A443-1)*A439,6)))</f>
        <v>1</v>
      </c>
      <c r="I436" s="20" t="str">
        <f ca="1">INDIRECT(_xlfn.TEXTJOIN("",TRUE,A442,"!",ADDRESS(25+(A443-1)*A439,13)))</f>
        <v>A</v>
      </c>
      <c r="J436" s="20">
        <f ca="1">INDIRECT(_xlfn.TEXTJOIN("",TRUE,A442,"!",ADDRESS(25+(A443-1)*A439,14)))</f>
        <v>9</v>
      </c>
    </row>
    <row r="437" spans="1:10" ht="26.25" customHeight="1" x14ac:dyDescent="0.2">
      <c r="A437" s="100" t="s">
        <v>52</v>
      </c>
      <c r="B437" s="101"/>
      <c r="C437" s="101"/>
      <c r="D437" s="101"/>
      <c r="E437" s="101"/>
      <c r="F437" s="101"/>
      <c r="G437" s="102"/>
      <c r="H437" s="98">
        <f ca="1">SUM(H424:H437)</f>
        <v>24</v>
      </c>
      <c r="I437" s="98" t="s">
        <v>44</v>
      </c>
      <c r="J437" s="98">
        <f ca="1">SUMPRODUCT(J424:J436,H424:H436)</f>
        <v>184</v>
      </c>
    </row>
    <row r="438" spans="1:10" ht="26.25" customHeight="1" x14ac:dyDescent="0.2">
      <c r="A438" s="103"/>
      <c r="B438" s="104"/>
      <c r="C438" s="104"/>
      <c r="D438" s="104"/>
      <c r="E438" s="104"/>
      <c r="F438" s="104"/>
      <c r="G438" s="105"/>
      <c r="H438" s="99"/>
      <c r="I438" s="99"/>
      <c r="J438" s="99"/>
    </row>
    <row r="439" spans="1:10" ht="26.25" customHeight="1" x14ac:dyDescent="0.2">
      <c r="A439" s="22">
        <f>ROWS(A424:B437)+9</f>
        <v>23</v>
      </c>
      <c r="B439" s="17"/>
      <c r="C439" s="17"/>
      <c r="D439" s="17"/>
      <c r="E439" s="17"/>
      <c r="F439" s="17"/>
      <c r="G439" s="17"/>
      <c r="H439" s="17"/>
      <c r="I439" s="17"/>
      <c r="J439" s="17"/>
    </row>
    <row r="440" spans="1:10" ht="26.25" customHeight="1" x14ac:dyDescent="0.2">
      <c r="A440" s="120" t="s">
        <v>40</v>
      </c>
      <c r="B440" s="120"/>
      <c r="C440" s="21">
        <f ca="1">INDIRECT(_xlfn.TEXTJOIN("",TRUE,A442,"!",ADDRESS(5+A443*A439,12)))</f>
        <v>24</v>
      </c>
      <c r="D440" s="120" t="s">
        <v>38</v>
      </c>
      <c r="E440" s="120"/>
      <c r="F440" s="18">
        <f ca="1">INDIRECT(_xlfn.TEXTJOIN("",TRUE,A442,"!",ADDRESS(5+A443*A439,8)))</f>
        <v>7.666666666666667</v>
      </c>
      <c r="G440" s="120" t="s">
        <v>39</v>
      </c>
      <c r="H440" s="120"/>
      <c r="I440" s="109">
        <f ca="1">INDIRECT(_xlfn.TEXTJOIN("",TRUE,A442,"!",ADDRESS(5+A443*A439,10)))</f>
        <v>7.666666666666667</v>
      </c>
      <c r="J440" s="109"/>
    </row>
    <row r="441" spans="1:10" ht="26.25" customHeight="1" x14ac:dyDescent="0.2">
      <c r="A441" s="19" t="s">
        <v>36</v>
      </c>
      <c r="B441" s="95" t="str">
        <f ca="1">INDIRECT(_xlfn.TEXTJOIN("",TRUE,A442,"!",ADDRESS(5+A443*A439,2)))</f>
        <v>PASS</v>
      </c>
      <c r="C441" s="95"/>
      <c r="D441" s="121" t="s">
        <v>37</v>
      </c>
      <c r="E441" s="121"/>
      <c r="F441" s="122" t="str">
        <f ca="1">INDIRECT(_xlfn.TEXTJOIN("",TRUE,A442,"!",ADDRESS(5+A443*A439,5)))</f>
        <v/>
      </c>
      <c r="G441" s="122"/>
      <c r="H441" s="122"/>
      <c r="I441" s="122"/>
      <c r="J441" s="122"/>
    </row>
    <row r="442" spans="1:10" ht="26.25" customHeight="1" x14ac:dyDescent="0.2">
      <c r="A442" s="22" t="str">
        <f>A419</f>
        <v>TC_I</v>
      </c>
    </row>
    <row r="443" spans="1:10" ht="26.25" customHeight="1" x14ac:dyDescent="0.2">
      <c r="A443" s="22">
        <f>A420+1</f>
        <v>19</v>
      </c>
    </row>
    <row r="444" spans="1:10" ht="26.25" customHeight="1" x14ac:dyDescent="0.2">
      <c r="A444" s="112" t="s">
        <v>24</v>
      </c>
      <c r="B444" s="112"/>
      <c r="C444" s="112" t="str">
        <f ca="1">INDIRECT(_xlfn.TEXTJOIN("",TRUE,A465,"!",ADDRESS(9+(A466-1)*A462,2)))</f>
        <v>VIVEK</v>
      </c>
      <c r="D444" s="112"/>
      <c r="E444" s="112"/>
      <c r="F444" s="112" t="s">
        <v>50</v>
      </c>
      <c r="G444" s="112"/>
      <c r="H444" s="112"/>
      <c r="I444" s="113">
        <f ca="1">INDIRECT(_xlfn.TEXTJOIN("",TRUE,A465,"!",ADDRESS(9+(A466-1)*A462,9)))</f>
        <v>250090600020</v>
      </c>
      <c r="J444" s="113"/>
    </row>
    <row r="445" spans="1:10" ht="26.25" customHeight="1" x14ac:dyDescent="0.2">
      <c r="A445" s="112" t="s">
        <v>25</v>
      </c>
      <c r="B445" s="112"/>
      <c r="C445" s="112" t="str">
        <f ca="1">INDIRECT(_xlfn.TEXTJOIN("",TRUE,A465,"!",ADDRESS(9+(A466-1)*A462,5)))</f>
        <v>SATYAPAL</v>
      </c>
      <c r="D445" s="112"/>
      <c r="E445" s="112"/>
      <c r="F445" s="114" t="s">
        <v>51</v>
      </c>
      <c r="G445" s="114"/>
      <c r="H445" s="114"/>
      <c r="I445" s="113" t="str">
        <f ca="1">INDIRECT(_xlfn.TEXTJOIN("",TRUE,A465,"!",ADDRESS(9+(A466-1)*A462,13)))</f>
        <v>UTU/2506100157</v>
      </c>
      <c r="J445" s="113"/>
    </row>
    <row r="446" spans="1:10" ht="26.25" customHeight="1" x14ac:dyDescent="0.2">
      <c r="A446" s="95" t="s">
        <v>28</v>
      </c>
      <c r="B446" s="95"/>
      <c r="C446" s="95" t="s">
        <v>29</v>
      </c>
      <c r="D446" s="95"/>
      <c r="E446" s="95"/>
      <c r="F446" s="95"/>
      <c r="G446" s="95"/>
      <c r="H446" s="15" t="s">
        <v>30</v>
      </c>
      <c r="I446" s="15" t="s">
        <v>9</v>
      </c>
      <c r="J446" s="15" t="s">
        <v>34</v>
      </c>
    </row>
    <row r="447" spans="1:10" ht="26.25" customHeight="1" x14ac:dyDescent="0.2">
      <c r="A447" s="96" t="str">
        <f ca="1">INDIRECT(_xlfn.TEXTJOIN("",TRUE,A465,"!",ADDRESS(13+(A466-1)*A462,1)))</f>
        <v>CAT 004</v>
      </c>
      <c r="B447" s="97"/>
      <c r="C447" s="106" t="str">
        <f ca="1">INDIRECT(_xlfn.TEXTJOIN("",TRUE,A465,"!",ADDRESS(13+(A466-1)*A462,2)))</f>
        <v>Discrete Structure</v>
      </c>
      <c r="D447" s="107"/>
      <c r="E447" s="107"/>
      <c r="F447" s="107"/>
      <c r="G447" s="108"/>
      <c r="H447" s="20">
        <f ca="1">INDIRECT(_xlfn.TEXTJOIN("",TRUE,A465,"!",ADDRESS(13+(A466-1)*A462,6)))</f>
        <v>4</v>
      </c>
      <c r="I447" s="20" t="str">
        <f ca="1">INDIRECT(_xlfn.TEXTJOIN("",TRUE,A465,"!",ADDRESS(13+(A466-1)*A462,13)))</f>
        <v>E</v>
      </c>
      <c r="J447" s="20">
        <f ca="1">INDIRECT(_xlfn.TEXTJOIN("",TRUE,A465,"!",ADDRESS(13+(A466-1)*A462,14)))</f>
        <v>5</v>
      </c>
    </row>
    <row r="448" spans="1:10" ht="26.25" customHeight="1" x14ac:dyDescent="0.2">
      <c r="A448" s="96" t="str">
        <f ca="1">INDIRECT(_xlfn.TEXTJOIN("",TRUE,A465,"!",ADDRESS(14+(A466-1)*A462,1)))</f>
        <v>CAT 005</v>
      </c>
      <c r="B448" s="97"/>
      <c r="C448" s="106" t="str">
        <f ca="1">INDIRECT(_xlfn.TEXTJOIN("",TRUE,A465,"!",ADDRESS(14+(A466-1)*A462,2)))</f>
        <v>Database Management System</v>
      </c>
      <c r="D448" s="107"/>
      <c r="E448" s="107"/>
      <c r="F448" s="107"/>
      <c r="G448" s="108"/>
      <c r="H448" s="20">
        <f ca="1">INDIRECT(_xlfn.TEXTJOIN("",TRUE,A465,"!",ADDRESS(14+(A466-1)*A462,6)))</f>
        <v>4</v>
      </c>
      <c r="I448" s="20" t="str">
        <f ca="1">INDIRECT(_xlfn.TEXTJOIN("",TRUE,A465,"!",ADDRESS(14+(A466-1)*A462,13)))</f>
        <v>P</v>
      </c>
      <c r="J448" s="20">
        <f ca="1">INDIRECT(_xlfn.TEXTJOIN("",TRUE,A465,"!",ADDRESS(14+(A466-1)*A462,14)))</f>
        <v>4.5</v>
      </c>
    </row>
    <row r="449" spans="1:10" ht="26.25" customHeight="1" x14ac:dyDescent="0.2">
      <c r="A449" s="96" t="str">
        <f ca="1">INDIRECT(_xlfn.TEXTJOIN("",TRUE,A465,"!",ADDRESS(15+(A466-1)*A462,1)))</f>
        <v>CAT 006</v>
      </c>
      <c r="B449" s="97"/>
      <c r="C449" s="106" t="str">
        <f ca="1">INDIRECT(_xlfn.TEXTJOIN("",TRUE,A465,"!",ADDRESS(15+(A466-1)*A462,2)))</f>
        <v>Operating System</v>
      </c>
      <c r="D449" s="107"/>
      <c r="E449" s="107"/>
      <c r="F449" s="107"/>
      <c r="G449" s="108"/>
      <c r="H449" s="20">
        <f ca="1">INDIRECT(_xlfn.TEXTJOIN("",TRUE,A465,"!",ADDRESS(15+(A466-1)*A462,6)))</f>
        <v>4</v>
      </c>
      <c r="I449" s="20" t="str">
        <f ca="1">INDIRECT(_xlfn.TEXTJOIN("",TRUE,A465,"!",ADDRESS(15+(A466-1)*A462,13)))</f>
        <v>D</v>
      </c>
      <c r="J449" s="20">
        <f ca="1">INDIRECT(_xlfn.TEXTJOIN("",TRUE,A465,"!",ADDRESS(15+(A466-1)*A462,14)))</f>
        <v>6</v>
      </c>
    </row>
    <row r="450" spans="1:10" ht="26.25" customHeight="1" x14ac:dyDescent="0.2">
      <c r="A450" s="96" t="str">
        <f ca="1">INDIRECT(_xlfn.TEXTJOIN("",TRUE,A465,"!",ADDRESS(16+(A466-1)*A462,1)))</f>
        <v>CAT 007</v>
      </c>
      <c r="B450" s="97"/>
      <c r="C450" s="106" t="str">
        <f ca="1">INDIRECT(_xlfn.TEXTJOIN("",TRUE,A465,"!",ADDRESS(16+(A466-1)*A462,2)))</f>
        <v>Computer Organization</v>
      </c>
      <c r="D450" s="107"/>
      <c r="E450" s="107"/>
      <c r="F450" s="107"/>
      <c r="G450" s="108"/>
      <c r="H450" s="20">
        <f ca="1">INDIRECT(_xlfn.TEXTJOIN("",TRUE,A465,"!",ADDRESS(16+(A466-1)*A462,6)))</f>
        <v>4</v>
      </c>
      <c r="I450" s="20" t="str">
        <f ca="1">INDIRECT(_xlfn.TEXTJOIN("",TRUE,A465,"!",ADDRESS(16+(A466-1)*A462,13)))</f>
        <v>P</v>
      </c>
      <c r="J450" s="20">
        <f ca="1">INDIRECT(_xlfn.TEXTJOIN("",TRUE,A465,"!",ADDRESS(16+(A466-1)*A462,14)))</f>
        <v>4.5</v>
      </c>
    </row>
    <row r="451" spans="1:10" ht="26.25" customHeight="1" x14ac:dyDescent="0.2">
      <c r="A451" s="96" t="str">
        <f ca="1">INDIRECT(_xlfn.TEXTJOIN("",TRUE,A465,"!",ADDRESS(17+(A466-1)*A462,1)))</f>
        <v>AHT 303</v>
      </c>
      <c r="B451" s="97"/>
      <c r="C451" s="106" t="str">
        <f ca="1">INDIRECT(_xlfn.TEXTJOIN("",TRUE,A465,"!",ADDRESS(17+(A466-1)*A462,2)))</f>
        <v>Technical Communication Skills</v>
      </c>
      <c r="D451" s="107"/>
      <c r="E451" s="107"/>
      <c r="F451" s="107"/>
      <c r="G451" s="108"/>
      <c r="H451" s="20">
        <f ca="1">INDIRECT(_xlfn.TEXTJOIN("",TRUE,A465,"!",ADDRESS(17+(A466-1)*A462,6)))</f>
        <v>4</v>
      </c>
      <c r="I451" s="20" t="str">
        <f ca="1">INDIRECT(_xlfn.TEXTJOIN("",TRUE,A465,"!",ADDRESS(17+(A466-1)*A462,13)))</f>
        <v>C</v>
      </c>
      <c r="J451" s="20">
        <f ca="1">INDIRECT(_xlfn.TEXTJOIN("",TRUE,A465,"!",ADDRESS(17+(A466-1)*A462,14)))</f>
        <v>7</v>
      </c>
    </row>
    <row r="452" spans="1:10" ht="26.25" customHeight="1" x14ac:dyDescent="0.2">
      <c r="A452" s="96" t="str">
        <f ca="1">INDIRECT(_xlfn.TEXTJOIN("",TRUE,A465,"!",ADDRESS(18+(A466-1)*A462,1)))</f>
        <v>CAT 008</v>
      </c>
      <c r="B452" s="97"/>
      <c r="C452" s="106" t="str">
        <f ca="1">INDIRECT(_xlfn.TEXTJOIN("",TRUE,A465,"!",ADDRESS(18+(A466-1)*A462,2)))</f>
        <v>Python Programming ($)</v>
      </c>
      <c r="D452" s="107"/>
      <c r="E452" s="107"/>
      <c r="F452" s="107"/>
      <c r="G452" s="108"/>
      <c r="H452" s="20">
        <f ca="1">INDIRECT(_xlfn.TEXTJOIN("",TRUE,A465,"!",ADDRESS(18+(A466-1)*A462,6)))</f>
        <v>0</v>
      </c>
      <c r="I452" s="20" t="str">
        <f ca="1">INDIRECT(_xlfn.TEXTJOIN("",TRUE,A465,"!",ADDRESS(18+(A466-1)*A462,13)))</f>
        <v>C</v>
      </c>
      <c r="J452" s="20">
        <f ca="1">INDIRECT(_xlfn.TEXTJOIN("",TRUE,A465,"!",ADDRESS(18+(A466-1)*A462,14)))</f>
        <v>7</v>
      </c>
    </row>
    <row r="453" spans="1:10" ht="26.25" customHeight="1" x14ac:dyDescent="0.2">
      <c r="A453" s="96" t="str">
        <f ca="1">INDIRECT(_xlfn.TEXTJOIN("",TRUE,A465,"!",ADDRESS(19+(A466-1)*A462,1)))</f>
        <v>CAT 001</v>
      </c>
      <c r="B453" s="97"/>
      <c r="C453" s="106" t="str">
        <f ca="1">INDIRECT(_xlfn.TEXTJOIN("",TRUE,A465,"!",ADDRESS(19+(A466-1)*A462,2)))</f>
        <v>Introduction of Information Technology ($)</v>
      </c>
      <c r="D453" s="107"/>
      <c r="E453" s="107"/>
      <c r="F453" s="107"/>
      <c r="G453" s="108"/>
      <c r="H453" s="20">
        <f ca="1">INDIRECT(_xlfn.TEXTJOIN("",TRUE,A465,"!",ADDRESS(19+(A466-1)*A462,6)))</f>
        <v>0</v>
      </c>
      <c r="I453" s="20" t="str">
        <f ca="1">INDIRECT(_xlfn.TEXTJOIN("",TRUE,A465,"!",ADDRESS(19+(A466-1)*A462,13)))</f>
        <v>-</v>
      </c>
      <c r="J453" s="20" t="str">
        <f ca="1">INDIRECT(_xlfn.TEXTJOIN("",TRUE,A465,"!",ADDRESS(19+(A466-1)*A462,14)))</f>
        <v>-</v>
      </c>
    </row>
    <row r="454" spans="1:10" ht="26.25" customHeight="1" x14ac:dyDescent="0.2">
      <c r="A454" s="96" t="str">
        <f ca="1">INDIRECT(_xlfn.TEXTJOIN("",TRUE,A465,"!",ADDRESS(20+(A466-1)*A462,1)))</f>
        <v>CAT 002</v>
      </c>
      <c r="B454" s="97"/>
      <c r="C454" s="106" t="str">
        <f ca="1">INDIRECT(_xlfn.TEXTJOIN("",TRUE,A465,"!",ADDRESS(20+(A466-1)*A462,2)))</f>
        <v>Programming Fundamentals with "C" ($)</v>
      </c>
      <c r="D454" s="107"/>
      <c r="E454" s="107"/>
      <c r="F454" s="107"/>
      <c r="G454" s="108"/>
      <c r="H454" s="20">
        <f ca="1">INDIRECT(_xlfn.TEXTJOIN("",TRUE,A465,"!",ADDRESS(20+(A466-1)*A462,6)))</f>
        <v>0</v>
      </c>
      <c r="I454" s="20" t="str">
        <f ca="1">INDIRECT(_xlfn.TEXTJOIN("",TRUE,A465,"!",ADDRESS(20+(A466-1)*A462,13)))</f>
        <v>-</v>
      </c>
      <c r="J454" s="20" t="str">
        <f ca="1">INDIRECT(_xlfn.TEXTJOIN("",TRUE,A465,"!",ADDRESS(20+(A466-1)*A462,14)))</f>
        <v>-</v>
      </c>
    </row>
    <row r="455" spans="1:10" ht="26.25" customHeight="1" x14ac:dyDescent="0.2">
      <c r="A455" s="96" t="str">
        <f ca="1">INDIRECT(_xlfn.TEXTJOIN("",TRUE,A465,"!",ADDRESS(21+(A466-1)*A462,1)))</f>
        <v>CAT 003</v>
      </c>
      <c r="B455" s="97"/>
      <c r="C455" s="106" t="str">
        <f ca="1">INDIRECT(_xlfn.TEXTJOIN("",TRUE,A465,"!",ADDRESS(21+(A466-1)*A462,2)))</f>
        <v>Fundamental of Web Technology ($)</v>
      </c>
      <c r="D455" s="107"/>
      <c r="E455" s="107"/>
      <c r="F455" s="107"/>
      <c r="G455" s="108"/>
      <c r="H455" s="20">
        <f ca="1">INDIRECT(_xlfn.TEXTJOIN("",TRUE,A465,"!",ADDRESS(21+(A466-1)*A462,6)))</f>
        <v>0</v>
      </c>
      <c r="I455" s="20" t="str">
        <f ca="1">INDIRECT(_xlfn.TEXTJOIN("",TRUE,A465,"!",ADDRESS(21+(A466-1)*A462,13)))</f>
        <v>-</v>
      </c>
      <c r="J455" s="20" t="str">
        <f ca="1">INDIRECT(_xlfn.TEXTJOIN("",TRUE,A465,"!",ADDRESS(21+(A466-1)*A462,14)))</f>
        <v>-</v>
      </c>
    </row>
    <row r="456" spans="1:10" ht="26.25" customHeight="1" x14ac:dyDescent="0.2">
      <c r="A456" s="96" t="str">
        <f ca="1">INDIRECT(_xlfn.TEXTJOIN("",TRUE,A465,"!",ADDRESS(22+(A466-1)*A462,1)))</f>
        <v>CAP 001</v>
      </c>
      <c r="B456" s="97"/>
      <c r="C456" s="106" t="str">
        <f ca="1">INDIRECT(_xlfn.TEXTJOIN("",TRUE,A465,"!",ADDRESS(22+(A466-1)*A462,2)))</f>
        <v>Database Management System Lab</v>
      </c>
      <c r="D456" s="107"/>
      <c r="E456" s="107"/>
      <c r="F456" s="107"/>
      <c r="G456" s="108"/>
      <c r="H456" s="20">
        <f ca="1">INDIRECT(_xlfn.TEXTJOIN("",TRUE,A465,"!",ADDRESS(22+(A466-1)*A462,6)))</f>
        <v>1</v>
      </c>
      <c r="I456" s="20" t="str">
        <f ca="1">INDIRECT(_xlfn.TEXTJOIN("",TRUE,A465,"!",ADDRESS(22+(A466-1)*A462,13)))</f>
        <v>C+</v>
      </c>
      <c r="J456" s="20">
        <f ca="1">INDIRECT(_xlfn.TEXTJOIN("",TRUE,A465,"!",ADDRESS(22+(A466-1)*A462,14)))</f>
        <v>7.5</v>
      </c>
    </row>
    <row r="457" spans="1:10" ht="26.25" customHeight="1" x14ac:dyDescent="0.2">
      <c r="A457" s="110" t="str">
        <f ca="1">INDIRECT(_xlfn.TEXTJOIN("",TRUE,A465,"!",ADDRESS(23+(A466-1)*A462,1)))</f>
        <v>CAP 002</v>
      </c>
      <c r="B457" s="111"/>
      <c r="C457" s="115" t="str">
        <f ca="1">INDIRECT(_xlfn.TEXTJOIN("",TRUE,A465,"!",ADDRESS(23+(A466-1)*A462,2)))</f>
        <v>Operating System Lab</v>
      </c>
      <c r="D457" s="116"/>
      <c r="E457" s="116"/>
      <c r="F457" s="116"/>
      <c r="G457" s="117"/>
      <c r="H457" s="20">
        <f ca="1">INDIRECT(_xlfn.TEXTJOIN("",TRUE,A465,"!",ADDRESS(23+(A466-1)*A462,6)))</f>
        <v>1</v>
      </c>
      <c r="I457" s="20" t="str">
        <f ca="1">INDIRECT(_xlfn.TEXTJOIN("",TRUE,A465,"!",ADDRESS(23+(A466-1)*A462,13)))</f>
        <v>B+</v>
      </c>
      <c r="J457" s="20">
        <f ca="1">INDIRECT(_xlfn.TEXTJOIN("",TRUE,A465,"!",ADDRESS(23+(A466-1)*A462,14)))</f>
        <v>8.5</v>
      </c>
    </row>
    <row r="458" spans="1:10" ht="26.25" customHeight="1" x14ac:dyDescent="0.2">
      <c r="A458" s="110" t="str">
        <f ca="1">INDIRECT(_xlfn.TEXTJOIN("",TRUE,A465,"!",ADDRESS(24+(A466-1)*A462,1)))</f>
        <v>CAP 003</v>
      </c>
      <c r="B458" s="111"/>
      <c r="C458" s="115" t="str">
        <f ca="1">INDIRECT(_xlfn.TEXTJOIN("",TRUE,A465,"!",ADDRESS(24+(A466-1)*A462,2)))</f>
        <v>Computer Organization Lab</v>
      </c>
      <c r="D458" s="116"/>
      <c r="E458" s="116"/>
      <c r="F458" s="116"/>
      <c r="G458" s="117"/>
      <c r="H458" s="20">
        <f ca="1">INDIRECT(_xlfn.TEXTJOIN("",TRUE,A465,"!",ADDRESS(24+(A466-1)*A462,6)))</f>
        <v>1</v>
      </c>
      <c r="I458" s="20" t="str">
        <f ca="1">INDIRECT(_xlfn.TEXTJOIN("",TRUE,A465,"!",ADDRESS(24+(A466-1)*A462,13)))</f>
        <v>A+</v>
      </c>
      <c r="J458" s="20">
        <f ca="1">INDIRECT(_xlfn.TEXTJOIN("",TRUE,A465,"!",ADDRESS(24+(A466-1)*A462,14)))</f>
        <v>9.5</v>
      </c>
    </row>
    <row r="459" spans="1:10" ht="26.25" customHeight="1" x14ac:dyDescent="0.2">
      <c r="A459" s="110" t="str">
        <f ca="1">INDIRECT(_xlfn.TEXTJOIN("",TRUE,A465,"!",ADDRESS(25+(A466-1)*A462,1)))</f>
        <v>AHP 303</v>
      </c>
      <c r="B459" s="111"/>
      <c r="C459" s="115" t="str">
        <f ca="1">INDIRECT(_xlfn.TEXTJOIN("",TRUE,A465,"!",ADDRESS(25+(A466-1)*A462,2)))</f>
        <v>Technical Communication Skills</v>
      </c>
      <c r="D459" s="116"/>
      <c r="E459" s="116"/>
      <c r="F459" s="116"/>
      <c r="G459" s="117"/>
      <c r="H459" s="20">
        <f ca="1">INDIRECT(_xlfn.TEXTJOIN("",TRUE,A465,"!",ADDRESS(25+(A466-1)*A462,6)))</f>
        <v>1</v>
      </c>
      <c r="I459" s="20" t="str">
        <f ca="1">INDIRECT(_xlfn.TEXTJOIN("",TRUE,A465,"!",ADDRESS(25+(A466-1)*A462,13)))</f>
        <v>B+</v>
      </c>
      <c r="J459" s="20">
        <f ca="1">INDIRECT(_xlfn.TEXTJOIN("",TRUE,A465,"!",ADDRESS(25+(A466-1)*A462,14)))</f>
        <v>8.5</v>
      </c>
    </row>
    <row r="460" spans="1:10" ht="26.25" customHeight="1" x14ac:dyDescent="0.2">
      <c r="A460" s="100" t="s">
        <v>52</v>
      </c>
      <c r="B460" s="101"/>
      <c r="C460" s="101"/>
      <c r="D460" s="101"/>
      <c r="E460" s="101"/>
      <c r="F460" s="101"/>
      <c r="G460" s="102"/>
      <c r="H460" s="98">
        <f ca="1">SUM(H447:H460)</f>
        <v>24</v>
      </c>
      <c r="I460" s="98" t="s">
        <v>44</v>
      </c>
      <c r="J460" s="98">
        <f ca="1">SUMPRODUCT(J447:J459,H447:H459)</f>
        <v>142</v>
      </c>
    </row>
    <row r="461" spans="1:10" ht="26.25" customHeight="1" x14ac:dyDescent="0.2">
      <c r="A461" s="103"/>
      <c r="B461" s="104"/>
      <c r="C461" s="104"/>
      <c r="D461" s="104"/>
      <c r="E461" s="104"/>
      <c r="F461" s="104"/>
      <c r="G461" s="105"/>
      <c r="H461" s="99"/>
      <c r="I461" s="99"/>
      <c r="J461" s="99"/>
    </row>
    <row r="462" spans="1:10" ht="26.25" customHeight="1" x14ac:dyDescent="0.2">
      <c r="A462" s="22">
        <f>ROWS(A447:B460)+9</f>
        <v>23</v>
      </c>
      <c r="B462" s="17"/>
      <c r="C462" s="17"/>
      <c r="D462" s="17"/>
      <c r="E462" s="17"/>
      <c r="F462" s="17"/>
      <c r="G462" s="17"/>
      <c r="H462" s="17"/>
      <c r="I462" s="17"/>
      <c r="J462" s="17"/>
    </row>
    <row r="463" spans="1:10" ht="26.25" customHeight="1" x14ac:dyDescent="0.2">
      <c r="A463" s="120" t="s">
        <v>40</v>
      </c>
      <c r="B463" s="120"/>
      <c r="C463" s="21">
        <f ca="1">INDIRECT(_xlfn.TEXTJOIN("",TRUE,A465,"!",ADDRESS(5+A466*A462,12)))</f>
        <v>24</v>
      </c>
      <c r="D463" s="120" t="s">
        <v>38</v>
      </c>
      <c r="E463" s="120"/>
      <c r="F463" s="18">
        <f ca="1">INDIRECT(_xlfn.TEXTJOIN("",TRUE,A465,"!",ADDRESS(5+A466*A462,8)))</f>
        <v>5.916666666666667</v>
      </c>
      <c r="G463" s="120" t="s">
        <v>39</v>
      </c>
      <c r="H463" s="120"/>
      <c r="I463" s="109">
        <f ca="1">INDIRECT(_xlfn.TEXTJOIN("",TRUE,A465,"!",ADDRESS(5+A466*A462,10)))</f>
        <v>5.916666666666667</v>
      </c>
      <c r="J463" s="109"/>
    </row>
    <row r="464" spans="1:10" ht="26.25" customHeight="1" x14ac:dyDescent="0.2">
      <c r="A464" s="19" t="s">
        <v>36</v>
      </c>
      <c r="B464" s="95" t="str">
        <f ca="1">INDIRECT(_xlfn.TEXTJOIN("",TRUE,A465,"!",ADDRESS(5+A466*A462,2)))</f>
        <v>PASS</v>
      </c>
      <c r="C464" s="95"/>
      <c r="D464" s="121" t="s">
        <v>37</v>
      </c>
      <c r="E464" s="121"/>
      <c r="F464" s="122" t="str">
        <f ca="1">INDIRECT(_xlfn.TEXTJOIN("",TRUE,A465,"!",ADDRESS(5+A466*A462,5)))</f>
        <v/>
      </c>
      <c r="G464" s="122"/>
      <c r="H464" s="122"/>
      <c r="I464" s="122"/>
      <c r="J464" s="122"/>
    </row>
    <row r="465" spans="1:10" ht="26.25" customHeight="1" x14ac:dyDescent="0.2">
      <c r="A465" s="22" t="str">
        <f>A442</f>
        <v>TC_I</v>
      </c>
    </row>
    <row r="466" spans="1:10" ht="26.25" customHeight="1" x14ac:dyDescent="0.2">
      <c r="A466" s="22">
        <f>A443+1</f>
        <v>20</v>
      </c>
    </row>
    <row r="467" spans="1:10" ht="26.25" customHeight="1" x14ac:dyDescent="0.2">
      <c r="A467" s="112" t="s">
        <v>24</v>
      </c>
      <c r="B467" s="112"/>
      <c r="C467" s="112" t="str">
        <f ca="1">INDIRECT(_xlfn.TEXTJOIN("",TRUE,A488,"!",ADDRESS(9+(A489-1)*A485,2)))</f>
        <v/>
      </c>
      <c r="D467" s="112"/>
      <c r="E467" s="112"/>
      <c r="F467" s="112" t="s">
        <v>50</v>
      </c>
      <c r="G467" s="112"/>
      <c r="H467" s="112"/>
      <c r="I467" s="113" t="str">
        <f ca="1">INDIRECT(_xlfn.TEXTJOIN("",TRUE,A488,"!",ADDRESS(9+(A489-1)*A485,9)))</f>
        <v/>
      </c>
      <c r="J467" s="113"/>
    </row>
    <row r="468" spans="1:10" ht="26.25" customHeight="1" x14ac:dyDescent="0.2">
      <c r="A468" s="112" t="s">
        <v>25</v>
      </c>
      <c r="B468" s="112"/>
      <c r="C468" s="112" t="str">
        <f ca="1">INDIRECT(_xlfn.TEXTJOIN("",TRUE,A488,"!",ADDRESS(9+(A489-1)*A485,5)))</f>
        <v/>
      </c>
      <c r="D468" s="112"/>
      <c r="E468" s="112"/>
      <c r="F468" s="114" t="s">
        <v>51</v>
      </c>
      <c r="G468" s="114"/>
      <c r="H468" s="114"/>
      <c r="I468" s="113" t="str">
        <f ca="1">INDIRECT(_xlfn.TEXTJOIN("",TRUE,A488,"!",ADDRESS(9+(A489-1)*A485,13)))</f>
        <v/>
      </c>
      <c r="J468" s="113"/>
    </row>
    <row r="469" spans="1:10" ht="26.25" customHeight="1" x14ac:dyDescent="0.2">
      <c r="A469" s="95" t="s">
        <v>28</v>
      </c>
      <c r="B469" s="95"/>
      <c r="C469" s="95" t="s">
        <v>29</v>
      </c>
      <c r="D469" s="95"/>
      <c r="E469" s="95"/>
      <c r="F469" s="95"/>
      <c r="G469" s="95"/>
      <c r="H469" s="15" t="s">
        <v>30</v>
      </c>
      <c r="I469" s="15" t="s">
        <v>9</v>
      </c>
      <c r="J469" s="15" t="s">
        <v>34</v>
      </c>
    </row>
    <row r="470" spans="1:10" ht="26.25" customHeight="1" x14ac:dyDescent="0.2">
      <c r="A470" s="96" t="str">
        <f ca="1">INDIRECT(_xlfn.TEXTJOIN("",TRUE,A488,"!",ADDRESS(13+(A489-1)*A485,1)))</f>
        <v/>
      </c>
      <c r="B470" s="97"/>
      <c r="C470" s="106" t="str">
        <f ca="1">INDIRECT(_xlfn.TEXTJOIN("",TRUE,A488,"!",ADDRESS(13+(A489-1)*A485,2)))</f>
        <v/>
      </c>
      <c r="D470" s="107"/>
      <c r="E470" s="107"/>
      <c r="F470" s="107"/>
      <c r="G470" s="108"/>
      <c r="H470" s="20" t="str">
        <f ca="1">INDIRECT(_xlfn.TEXTJOIN("",TRUE,A488,"!",ADDRESS(13+(A489-1)*A485,6)))</f>
        <v/>
      </c>
      <c r="I470" s="20" t="str">
        <f ca="1">INDIRECT(_xlfn.TEXTJOIN("",TRUE,A488,"!",ADDRESS(13+(A489-1)*A485,13)))</f>
        <v/>
      </c>
      <c r="J470" s="20" t="e">
        <f ca="1">INDIRECT(_xlfn.TEXTJOIN("",TRUE,A488,"!",ADDRESS(13+(A489-1)*A485,14)))</f>
        <v>#N/A</v>
      </c>
    </row>
    <row r="471" spans="1:10" ht="26.25" customHeight="1" x14ac:dyDescent="0.2">
      <c r="A471" s="96" t="str">
        <f ca="1">INDIRECT(_xlfn.TEXTJOIN("",TRUE,A488,"!",ADDRESS(14+(A489-1)*A485,1)))</f>
        <v/>
      </c>
      <c r="B471" s="97"/>
      <c r="C471" s="106" t="str">
        <f ca="1">INDIRECT(_xlfn.TEXTJOIN("",TRUE,A488,"!",ADDRESS(14+(A489-1)*A485,2)))</f>
        <v/>
      </c>
      <c r="D471" s="107"/>
      <c r="E471" s="107"/>
      <c r="F471" s="107"/>
      <c r="G471" s="108"/>
      <c r="H471" s="20" t="str">
        <f ca="1">INDIRECT(_xlfn.TEXTJOIN("",TRUE,A488,"!",ADDRESS(14+(A489-1)*A485,6)))</f>
        <v/>
      </c>
      <c r="I471" s="20" t="str">
        <f ca="1">INDIRECT(_xlfn.TEXTJOIN("",TRUE,A488,"!",ADDRESS(14+(A489-1)*A485,13)))</f>
        <v/>
      </c>
      <c r="J471" s="20" t="e">
        <f ca="1">INDIRECT(_xlfn.TEXTJOIN("",TRUE,A488,"!",ADDRESS(14+(A489-1)*A485,14)))</f>
        <v>#N/A</v>
      </c>
    </row>
    <row r="472" spans="1:10" ht="26.25" customHeight="1" x14ac:dyDescent="0.2">
      <c r="A472" s="96" t="str">
        <f ca="1">INDIRECT(_xlfn.TEXTJOIN("",TRUE,A488,"!",ADDRESS(15+(A489-1)*A485,1)))</f>
        <v/>
      </c>
      <c r="B472" s="97"/>
      <c r="C472" s="106" t="str">
        <f ca="1">INDIRECT(_xlfn.TEXTJOIN("",TRUE,A488,"!",ADDRESS(15+(A489-1)*A485,2)))</f>
        <v/>
      </c>
      <c r="D472" s="107"/>
      <c r="E472" s="107"/>
      <c r="F472" s="107"/>
      <c r="G472" s="108"/>
      <c r="H472" s="20" t="str">
        <f ca="1">INDIRECT(_xlfn.TEXTJOIN("",TRUE,A488,"!",ADDRESS(15+(A489-1)*A485,6)))</f>
        <v/>
      </c>
      <c r="I472" s="20" t="str">
        <f ca="1">INDIRECT(_xlfn.TEXTJOIN("",TRUE,A488,"!",ADDRESS(15+(A489-1)*A485,13)))</f>
        <v/>
      </c>
      <c r="J472" s="20" t="e">
        <f ca="1">INDIRECT(_xlfn.TEXTJOIN("",TRUE,A488,"!",ADDRESS(15+(A489-1)*A485,14)))</f>
        <v>#N/A</v>
      </c>
    </row>
    <row r="473" spans="1:10" ht="26.25" customHeight="1" x14ac:dyDescent="0.2">
      <c r="A473" s="96" t="str">
        <f ca="1">INDIRECT(_xlfn.TEXTJOIN("",TRUE,A488,"!",ADDRESS(16+(A489-1)*A485,1)))</f>
        <v/>
      </c>
      <c r="B473" s="97"/>
      <c r="C473" s="106" t="str">
        <f ca="1">INDIRECT(_xlfn.TEXTJOIN("",TRUE,A488,"!",ADDRESS(16+(A489-1)*A485,2)))</f>
        <v/>
      </c>
      <c r="D473" s="107"/>
      <c r="E473" s="107"/>
      <c r="F473" s="107"/>
      <c r="G473" s="108"/>
      <c r="H473" s="20" t="str">
        <f ca="1">INDIRECT(_xlfn.TEXTJOIN("",TRUE,A488,"!",ADDRESS(16+(A489-1)*A485,6)))</f>
        <v/>
      </c>
      <c r="I473" s="20" t="str">
        <f ca="1">INDIRECT(_xlfn.TEXTJOIN("",TRUE,A488,"!",ADDRESS(16+(A489-1)*A485,13)))</f>
        <v/>
      </c>
      <c r="J473" s="20" t="e">
        <f ca="1">INDIRECT(_xlfn.TEXTJOIN("",TRUE,A488,"!",ADDRESS(16+(A489-1)*A485,14)))</f>
        <v>#N/A</v>
      </c>
    </row>
    <row r="474" spans="1:10" ht="26.25" customHeight="1" x14ac:dyDescent="0.2">
      <c r="A474" s="96" t="str">
        <f ca="1">INDIRECT(_xlfn.TEXTJOIN("",TRUE,A488,"!",ADDRESS(17+(A489-1)*A485,1)))</f>
        <v/>
      </c>
      <c r="B474" s="97"/>
      <c r="C474" s="106" t="str">
        <f ca="1">INDIRECT(_xlfn.TEXTJOIN("",TRUE,A488,"!",ADDRESS(17+(A489-1)*A485,2)))</f>
        <v/>
      </c>
      <c r="D474" s="107"/>
      <c r="E474" s="107"/>
      <c r="F474" s="107"/>
      <c r="G474" s="108"/>
      <c r="H474" s="20" t="str">
        <f ca="1">INDIRECT(_xlfn.TEXTJOIN("",TRUE,A488,"!",ADDRESS(17+(A489-1)*A485,6)))</f>
        <v/>
      </c>
      <c r="I474" s="20" t="str">
        <f ca="1">INDIRECT(_xlfn.TEXTJOIN("",TRUE,A488,"!",ADDRESS(17+(A489-1)*A485,13)))</f>
        <v/>
      </c>
      <c r="J474" s="20" t="e">
        <f ca="1">INDIRECT(_xlfn.TEXTJOIN("",TRUE,A488,"!",ADDRESS(17+(A489-1)*A485,14)))</f>
        <v>#N/A</v>
      </c>
    </row>
    <row r="475" spans="1:10" ht="26.25" customHeight="1" x14ac:dyDescent="0.2">
      <c r="A475" s="96" t="str">
        <f ca="1">INDIRECT(_xlfn.TEXTJOIN("",TRUE,A488,"!",ADDRESS(18+(A489-1)*A485,1)))</f>
        <v/>
      </c>
      <c r="B475" s="97"/>
      <c r="C475" s="106" t="str">
        <f ca="1">INDIRECT(_xlfn.TEXTJOIN("",TRUE,A488,"!",ADDRESS(18+(A489-1)*A485,2)))</f>
        <v/>
      </c>
      <c r="D475" s="107"/>
      <c r="E475" s="107"/>
      <c r="F475" s="107"/>
      <c r="G475" s="108"/>
      <c r="H475" s="20" t="str">
        <f ca="1">INDIRECT(_xlfn.TEXTJOIN("",TRUE,A488,"!",ADDRESS(18+(A489-1)*A485,6)))</f>
        <v/>
      </c>
      <c r="I475" s="20" t="str">
        <f ca="1">INDIRECT(_xlfn.TEXTJOIN("",TRUE,A488,"!",ADDRESS(18+(A489-1)*A485,13)))</f>
        <v/>
      </c>
      <c r="J475" s="20" t="e">
        <f ca="1">INDIRECT(_xlfn.TEXTJOIN("",TRUE,A488,"!",ADDRESS(18+(A489-1)*A485,14)))</f>
        <v>#N/A</v>
      </c>
    </row>
    <row r="476" spans="1:10" ht="26.25" customHeight="1" x14ac:dyDescent="0.2">
      <c r="A476" s="96" t="str">
        <f ca="1">INDIRECT(_xlfn.TEXTJOIN("",TRUE,A488,"!",ADDRESS(19+(A489-1)*A485,1)))</f>
        <v/>
      </c>
      <c r="B476" s="97"/>
      <c r="C476" s="106" t="str">
        <f ca="1">INDIRECT(_xlfn.TEXTJOIN("",TRUE,A488,"!",ADDRESS(19+(A489-1)*A485,2)))</f>
        <v/>
      </c>
      <c r="D476" s="107"/>
      <c r="E476" s="107"/>
      <c r="F476" s="107"/>
      <c r="G476" s="108"/>
      <c r="H476" s="20" t="str">
        <f ca="1">INDIRECT(_xlfn.TEXTJOIN("",TRUE,A488,"!",ADDRESS(19+(A489-1)*A485,6)))</f>
        <v/>
      </c>
      <c r="I476" s="20" t="str">
        <f ca="1">INDIRECT(_xlfn.TEXTJOIN("",TRUE,A488,"!",ADDRESS(19+(A489-1)*A485,13)))</f>
        <v/>
      </c>
      <c r="J476" s="20" t="e">
        <f ca="1">INDIRECT(_xlfn.TEXTJOIN("",TRUE,A488,"!",ADDRESS(19+(A489-1)*A485,14)))</f>
        <v>#N/A</v>
      </c>
    </row>
    <row r="477" spans="1:10" ht="26.25" customHeight="1" x14ac:dyDescent="0.2">
      <c r="A477" s="96" t="str">
        <f ca="1">INDIRECT(_xlfn.TEXTJOIN("",TRUE,A488,"!",ADDRESS(20+(A489-1)*A485,1)))</f>
        <v/>
      </c>
      <c r="B477" s="97"/>
      <c r="C477" s="106" t="str">
        <f ca="1">INDIRECT(_xlfn.TEXTJOIN("",TRUE,A488,"!",ADDRESS(20+(A489-1)*A485,2)))</f>
        <v/>
      </c>
      <c r="D477" s="107"/>
      <c r="E477" s="107"/>
      <c r="F477" s="107"/>
      <c r="G477" s="108"/>
      <c r="H477" s="20" t="str">
        <f ca="1">INDIRECT(_xlfn.TEXTJOIN("",TRUE,A488,"!",ADDRESS(20+(A489-1)*A485,6)))</f>
        <v/>
      </c>
      <c r="I477" s="20" t="str">
        <f ca="1">INDIRECT(_xlfn.TEXTJOIN("",TRUE,A488,"!",ADDRESS(20+(A489-1)*A485,13)))</f>
        <v/>
      </c>
      <c r="J477" s="20" t="e">
        <f ca="1">INDIRECT(_xlfn.TEXTJOIN("",TRUE,A488,"!",ADDRESS(20+(A489-1)*A485,14)))</f>
        <v>#N/A</v>
      </c>
    </row>
    <row r="478" spans="1:10" ht="26.25" customHeight="1" x14ac:dyDescent="0.2">
      <c r="A478" s="96" t="str">
        <f ca="1">INDIRECT(_xlfn.TEXTJOIN("",TRUE,A488,"!",ADDRESS(21+(A489-1)*A485,1)))</f>
        <v/>
      </c>
      <c r="B478" s="97"/>
      <c r="C478" s="106" t="str">
        <f ca="1">INDIRECT(_xlfn.TEXTJOIN("",TRUE,A488,"!",ADDRESS(21+(A489-1)*A485,2)))</f>
        <v/>
      </c>
      <c r="D478" s="107"/>
      <c r="E478" s="107"/>
      <c r="F478" s="107"/>
      <c r="G478" s="108"/>
      <c r="H478" s="20" t="str">
        <f ca="1">INDIRECT(_xlfn.TEXTJOIN("",TRUE,A488,"!",ADDRESS(21+(A489-1)*A485,6)))</f>
        <v/>
      </c>
      <c r="I478" s="20" t="str">
        <f ca="1">INDIRECT(_xlfn.TEXTJOIN("",TRUE,A488,"!",ADDRESS(21+(A489-1)*A485,13)))</f>
        <v/>
      </c>
      <c r="J478" s="20" t="e">
        <f ca="1">INDIRECT(_xlfn.TEXTJOIN("",TRUE,A488,"!",ADDRESS(21+(A489-1)*A485,14)))</f>
        <v>#N/A</v>
      </c>
    </row>
    <row r="479" spans="1:10" ht="26.25" customHeight="1" x14ac:dyDescent="0.2">
      <c r="A479" s="96" t="str">
        <f ca="1">INDIRECT(_xlfn.TEXTJOIN("",TRUE,A488,"!",ADDRESS(22+(A489-1)*A485,1)))</f>
        <v/>
      </c>
      <c r="B479" s="97"/>
      <c r="C479" s="106" t="str">
        <f ca="1">INDIRECT(_xlfn.TEXTJOIN("",TRUE,A488,"!",ADDRESS(22+(A489-1)*A485,2)))</f>
        <v/>
      </c>
      <c r="D479" s="107"/>
      <c r="E479" s="107"/>
      <c r="F479" s="107"/>
      <c r="G479" s="108"/>
      <c r="H479" s="20" t="str">
        <f ca="1">INDIRECT(_xlfn.TEXTJOIN("",TRUE,A488,"!",ADDRESS(22+(A489-1)*A485,6)))</f>
        <v/>
      </c>
      <c r="I479" s="20" t="str">
        <f ca="1">INDIRECT(_xlfn.TEXTJOIN("",TRUE,A488,"!",ADDRESS(22+(A489-1)*A485,13)))</f>
        <v/>
      </c>
      <c r="J479" s="20" t="e">
        <f ca="1">INDIRECT(_xlfn.TEXTJOIN("",TRUE,A488,"!",ADDRESS(22+(A489-1)*A485,14)))</f>
        <v>#N/A</v>
      </c>
    </row>
    <row r="480" spans="1:10" ht="26.25" customHeight="1" x14ac:dyDescent="0.2">
      <c r="A480" s="110" t="str">
        <f ca="1">INDIRECT(_xlfn.TEXTJOIN("",TRUE,A488,"!",ADDRESS(23+(A489-1)*A485,1)))</f>
        <v/>
      </c>
      <c r="B480" s="111"/>
      <c r="C480" s="115" t="str">
        <f ca="1">INDIRECT(_xlfn.TEXTJOIN("",TRUE,A488,"!",ADDRESS(23+(A489-1)*A485,2)))</f>
        <v/>
      </c>
      <c r="D480" s="116"/>
      <c r="E480" s="116"/>
      <c r="F480" s="116"/>
      <c r="G480" s="117"/>
      <c r="H480" s="20" t="str">
        <f ca="1">INDIRECT(_xlfn.TEXTJOIN("",TRUE,A488,"!",ADDRESS(23+(A489-1)*A485,6)))</f>
        <v/>
      </c>
      <c r="I480" s="20" t="str">
        <f ca="1">INDIRECT(_xlfn.TEXTJOIN("",TRUE,A488,"!",ADDRESS(23+(A489-1)*A485,13)))</f>
        <v/>
      </c>
      <c r="J480" s="20" t="e">
        <f ca="1">INDIRECT(_xlfn.TEXTJOIN("",TRUE,A488,"!",ADDRESS(23+(A489-1)*A485,14)))</f>
        <v>#N/A</v>
      </c>
    </row>
    <row r="481" spans="1:10" ht="26.25" customHeight="1" x14ac:dyDescent="0.2">
      <c r="A481" s="110" t="str">
        <f ca="1">INDIRECT(_xlfn.TEXTJOIN("",TRUE,A488,"!",ADDRESS(24+(A489-1)*A485,1)))</f>
        <v/>
      </c>
      <c r="B481" s="111"/>
      <c r="C481" s="115" t="str">
        <f ca="1">INDIRECT(_xlfn.TEXTJOIN("",TRUE,A488,"!",ADDRESS(24+(A489-1)*A485,2)))</f>
        <v/>
      </c>
      <c r="D481" s="116"/>
      <c r="E481" s="116"/>
      <c r="F481" s="116"/>
      <c r="G481" s="117"/>
      <c r="H481" s="20" t="str">
        <f ca="1">INDIRECT(_xlfn.TEXTJOIN("",TRUE,A488,"!",ADDRESS(24+(A489-1)*A485,6)))</f>
        <v/>
      </c>
      <c r="I481" s="20" t="str">
        <f ca="1">INDIRECT(_xlfn.TEXTJOIN("",TRUE,A488,"!",ADDRESS(24+(A489-1)*A485,13)))</f>
        <v/>
      </c>
      <c r="J481" s="20" t="e">
        <f ca="1">INDIRECT(_xlfn.TEXTJOIN("",TRUE,A488,"!",ADDRESS(24+(A489-1)*A485,14)))</f>
        <v>#N/A</v>
      </c>
    </row>
    <row r="482" spans="1:10" ht="26.25" customHeight="1" x14ac:dyDescent="0.2">
      <c r="A482" s="110" t="str">
        <f ca="1">INDIRECT(_xlfn.TEXTJOIN("",TRUE,A488,"!",ADDRESS(25+(A489-1)*A485,1)))</f>
        <v/>
      </c>
      <c r="B482" s="111"/>
      <c r="C482" s="115" t="str">
        <f ca="1">INDIRECT(_xlfn.TEXTJOIN("",TRUE,A488,"!",ADDRESS(25+(A489-1)*A485,2)))</f>
        <v/>
      </c>
      <c r="D482" s="116"/>
      <c r="E482" s="116"/>
      <c r="F482" s="116"/>
      <c r="G482" s="117"/>
      <c r="H482" s="20" t="str">
        <f ca="1">INDIRECT(_xlfn.TEXTJOIN("",TRUE,A488,"!",ADDRESS(25+(A489-1)*A485,6)))</f>
        <v/>
      </c>
      <c r="I482" s="20" t="str">
        <f ca="1">INDIRECT(_xlfn.TEXTJOIN("",TRUE,A488,"!",ADDRESS(25+(A489-1)*A485,13)))</f>
        <v/>
      </c>
      <c r="J482" s="20" t="e">
        <f ca="1">INDIRECT(_xlfn.TEXTJOIN("",TRUE,A488,"!",ADDRESS(25+(A489-1)*A485,14)))</f>
        <v>#N/A</v>
      </c>
    </row>
    <row r="483" spans="1:10" ht="26.25" customHeight="1" x14ac:dyDescent="0.2">
      <c r="A483" s="100" t="s">
        <v>52</v>
      </c>
      <c r="B483" s="101"/>
      <c r="C483" s="101"/>
      <c r="D483" s="101"/>
      <c r="E483" s="101"/>
      <c r="F483" s="101"/>
      <c r="G483" s="102"/>
      <c r="H483" s="98">
        <f ca="1">SUM(H470:H483)</f>
        <v>24</v>
      </c>
      <c r="I483" s="98" t="s">
        <v>44</v>
      </c>
      <c r="J483" s="98" t="e">
        <f ca="1">SUMPRODUCT(J470:J482,H470:H482)</f>
        <v>#N/A</v>
      </c>
    </row>
    <row r="484" spans="1:10" ht="26.25" customHeight="1" x14ac:dyDescent="0.2">
      <c r="A484" s="103"/>
      <c r="B484" s="104"/>
      <c r="C484" s="104"/>
      <c r="D484" s="104"/>
      <c r="E484" s="104"/>
      <c r="F484" s="104"/>
      <c r="G484" s="105"/>
      <c r="H484" s="99"/>
      <c r="I484" s="99"/>
      <c r="J484" s="99"/>
    </row>
    <row r="485" spans="1:10" ht="26.25" customHeight="1" x14ac:dyDescent="0.2">
      <c r="A485" s="22">
        <f>ROWS(A470:B483)+9</f>
        <v>23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6.25" customHeight="1" x14ac:dyDescent="0.2">
      <c r="A486" s="120" t="s">
        <v>40</v>
      </c>
      <c r="B486" s="120"/>
      <c r="C486" s="21" t="str">
        <f ca="1">INDIRECT(_xlfn.TEXTJOIN("",TRUE,A488,"!",ADDRESS(5+A489*A485,12)))</f>
        <v/>
      </c>
      <c r="D486" s="120" t="s">
        <v>38</v>
      </c>
      <c r="E486" s="120"/>
      <c r="F486" s="18" t="str">
        <f ca="1">INDIRECT(_xlfn.TEXTJOIN("",TRUE,A488,"!",ADDRESS(5+A489*A485,8)))</f>
        <v/>
      </c>
      <c r="G486" s="120" t="s">
        <v>39</v>
      </c>
      <c r="H486" s="120"/>
      <c r="I486" s="109" t="str">
        <f ca="1">INDIRECT(_xlfn.TEXTJOIN("",TRUE,A488,"!",ADDRESS(5+A489*A485,10)))</f>
        <v/>
      </c>
      <c r="J486" s="109"/>
    </row>
    <row r="487" spans="1:10" ht="26.25" customHeight="1" x14ac:dyDescent="0.2">
      <c r="A487" s="19" t="s">
        <v>36</v>
      </c>
      <c r="B487" s="95" t="str">
        <f ca="1">INDIRECT(_xlfn.TEXTJOIN("",TRUE,A488,"!",ADDRESS(5+A489*A485,2)))</f>
        <v/>
      </c>
      <c r="C487" s="95"/>
      <c r="D487" s="121" t="s">
        <v>37</v>
      </c>
      <c r="E487" s="121"/>
      <c r="F487" s="122" t="str">
        <f ca="1">INDIRECT(_xlfn.TEXTJOIN("",TRUE,A488,"!",ADDRESS(5+A489*A485,5)))</f>
        <v/>
      </c>
      <c r="G487" s="122"/>
      <c r="H487" s="122"/>
      <c r="I487" s="122"/>
      <c r="J487" s="122"/>
    </row>
    <row r="488" spans="1:10" ht="26.25" customHeight="1" x14ac:dyDescent="0.2">
      <c r="A488" s="22" t="str">
        <f>A465</f>
        <v>TC_I</v>
      </c>
    </row>
    <row r="489" spans="1:10" ht="26.25" customHeight="1" x14ac:dyDescent="0.2">
      <c r="A489" s="22">
        <f>A466+1</f>
        <v>21</v>
      </c>
    </row>
    <row r="490" spans="1:10" ht="26.25" customHeight="1" x14ac:dyDescent="0.2">
      <c r="A490" s="112" t="s">
        <v>24</v>
      </c>
      <c r="B490" s="112"/>
      <c r="C490" s="112" t="str">
        <f ca="1">INDIRECT(_xlfn.TEXTJOIN("",TRUE,A511,"!",ADDRESS(9+(A512-1)*A508,2)))</f>
        <v/>
      </c>
      <c r="D490" s="112"/>
      <c r="E490" s="112"/>
      <c r="F490" s="112" t="s">
        <v>50</v>
      </c>
      <c r="G490" s="112"/>
      <c r="H490" s="112"/>
      <c r="I490" s="113" t="str">
        <f ca="1">INDIRECT(_xlfn.TEXTJOIN("",TRUE,A511,"!",ADDRESS(9+(A512-1)*A508,9)))</f>
        <v/>
      </c>
      <c r="J490" s="113"/>
    </row>
    <row r="491" spans="1:10" ht="26.25" customHeight="1" x14ac:dyDescent="0.2">
      <c r="A491" s="112" t="s">
        <v>25</v>
      </c>
      <c r="B491" s="112"/>
      <c r="C491" s="112" t="str">
        <f ca="1">INDIRECT(_xlfn.TEXTJOIN("",TRUE,A511,"!",ADDRESS(9+(A512-1)*A508,5)))</f>
        <v/>
      </c>
      <c r="D491" s="112"/>
      <c r="E491" s="112"/>
      <c r="F491" s="114" t="s">
        <v>51</v>
      </c>
      <c r="G491" s="114"/>
      <c r="H491" s="114"/>
      <c r="I491" s="113" t="str">
        <f ca="1">INDIRECT(_xlfn.TEXTJOIN("",TRUE,A511,"!",ADDRESS(9+(A512-1)*A508,13)))</f>
        <v/>
      </c>
      <c r="J491" s="113"/>
    </row>
    <row r="492" spans="1:10" ht="26.25" customHeight="1" x14ac:dyDescent="0.2">
      <c r="A492" s="95" t="s">
        <v>28</v>
      </c>
      <c r="B492" s="95"/>
      <c r="C492" s="95" t="s">
        <v>29</v>
      </c>
      <c r="D492" s="95"/>
      <c r="E492" s="95"/>
      <c r="F492" s="95"/>
      <c r="G492" s="95"/>
      <c r="H492" s="15" t="s">
        <v>30</v>
      </c>
      <c r="I492" s="15" t="s">
        <v>9</v>
      </c>
      <c r="J492" s="15" t="s">
        <v>34</v>
      </c>
    </row>
    <row r="493" spans="1:10" ht="26.25" customHeight="1" x14ac:dyDescent="0.2">
      <c r="A493" s="96" t="str">
        <f ca="1">INDIRECT(_xlfn.TEXTJOIN("",TRUE,A511,"!",ADDRESS(13+(A512-1)*A508,1)))</f>
        <v/>
      </c>
      <c r="B493" s="97"/>
      <c r="C493" s="106" t="str">
        <f ca="1">INDIRECT(_xlfn.TEXTJOIN("",TRUE,A511,"!",ADDRESS(13+(A512-1)*A508,2)))</f>
        <v/>
      </c>
      <c r="D493" s="107"/>
      <c r="E493" s="107"/>
      <c r="F493" s="107"/>
      <c r="G493" s="108"/>
      <c r="H493" s="20" t="str">
        <f ca="1">INDIRECT(_xlfn.TEXTJOIN("",TRUE,A511,"!",ADDRESS(13+(A512-1)*A508,6)))</f>
        <v/>
      </c>
      <c r="I493" s="20" t="str">
        <f ca="1">INDIRECT(_xlfn.TEXTJOIN("",TRUE,A511,"!",ADDRESS(13+(A512-1)*A508,13)))</f>
        <v/>
      </c>
      <c r="J493" s="20" t="e">
        <f ca="1">INDIRECT(_xlfn.TEXTJOIN("",TRUE,A511,"!",ADDRESS(13+(A512-1)*A508,14)))</f>
        <v>#N/A</v>
      </c>
    </row>
    <row r="494" spans="1:10" ht="26.25" customHeight="1" x14ac:dyDescent="0.2">
      <c r="A494" s="96" t="str">
        <f ca="1">INDIRECT(_xlfn.TEXTJOIN("",TRUE,A511,"!",ADDRESS(14+(A512-1)*A508,1)))</f>
        <v/>
      </c>
      <c r="B494" s="97"/>
      <c r="C494" s="106" t="str">
        <f ca="1">INDIRECT(_xlfn.TEXTJOIN("",TRUE,A511,"!",ADDRESS(14+(A512-1)*A508,2)))</f>
        <v/>
      </c>
      <c r="D494" s="107"/>
      <c r="E494" s="107"/>
      <c r="F494" s="107"/>
      <c r="G494" s="108"/>
      <c r="H494" s="20" t="str">
        <f ca="1">INDIRECT(_xlfn.TEXTJOIN("",TRUE,A511,"!",ADDRESS(14+(A512-1)*A508,6)))</f>
        <v/>
      </c>
      <c r="I494" s="20" t="str">
        <f ca="1">INDIRECT(_xlfn.TEXTJOIN("",TRUE,A511,"!",ADDRESS(14+(A512-1)*A508,13)))</f>
        <v/>
      </c>
      <c r="J494" s="20" t="e">
        <f ca="1">INDIRECT(_xlfn.TEXTJOIN("",TRUE,A511,"!",ADDRESS(14+(A512-1)*A508,14)))</f>
        <v>#N/A</v>
      </c>
    </row>
    <row r="495" spans="1:10" ht="26.25" customHeight="1" x14ac:dyDescent="0.2">
      <c r="A495" s="96" t="str">
        <f ca="1">INDIRECT(_xlfn.TEXTJOIN("",TRUE,A511,"!",ADDRESS(15+(A512-1)*A508,1)))</f>
        <v/>
      </c>
      <c r="B495" s="97"/>
      <c r="C495" s="106" t="str">
        <f ca="1">INDIRECT(_xlfn.TEXTJOIN("",TRUE,A511,"!",ADDRESS(15+(A512-1)*A508,2)))</f>
        <v/>
      </c>
      <c r="D495" s="107"/>
      <c r="E495" s="107"/>
      <c r="F495" s="107"/>
      <c r="G495" s="108"/>
      <c r="H495" s="20" t="str">
        <f ca="1">INDIRECT(_xlfn.TEXTJOIN("",TRUE,A511,"!",ADDRESS(15+(A512-1)*A508,6)))</f>
        <v/>
      </c>
      <c r="I495" s="20" t="str">
        <f ca="1">INDIRECT(_xlfn.TEXTJOIN("",TRUE,A511,"!",ADDRESS(15+(A512-1)*A508,13)))</f>
        <v/>
      </c>
      <c r="J495" s="20" t="e">
        <f ca="1">INDIRECT(_xlfn.TEXTJOIN("",TRUE,A511,"!",ADDRESS(15+(A512-1)*A508,14)))</f>
        <v>#N/A</v>
      </c>
    </row>
    <row r="496" spans="1:10" ht="26.25" customHeight="1" x14ac:dyDescent="0.2">
      <c r="A496" s="96" t="str">
        <f ca="1">INDIRECT(_xlfn.TEXTJOIN("",TRUE,A511,"!",ADDRESS(16+(A512-1)*A508,1)))</f>
        <v/>
      </c>
      <c r="B496" s="97"/>
      <c r="C496" s="106" t="str">
        <f ca="1">INDIRECT(_xlfn.TEXTJOIN("",TRUE,A511,"!",ADDRESS(16+(A512-1)*A508,2)))</f>
        <v/>
      </c>
      <c r="D496" s="107"/>
      <c r="E496" s="107"/>
      <c r="F496" s="107"/>
      <c r="G496" s="108"/>
      <c r="H496" s="20" t="str">
        <f ca="1">INDIRECT(_xlfn.TEXTJOIN("",TRUE,A511,"!",ADDRESS(16+(A512-1)*A508,6)))</f>
        <v/>
      </c>
      <c r="I496" s="20" t="str">
        <f ca="1">INDIRECT(_xlfn.TEXTJOIN("",TRUE,A511,"!",ADDRESS(16+(A512-1)*A508,13)))</f>
        <v/>
      </c>
      <c r="J496" s="20" t="e">
        <f ca="1">INDIRECT(_xlfn.TEXTJOIN("",TRUE,A511,"!",ADDRESS(16+(A512-1)*A508,14)))</f>
        <v>#N/A</v>
      </c>
    </row>
    <row r="497" spans="1:10" ht="26.25" customHeight="1" x14ac:dyDescent="0.2">
      <c r="A497" s="96" t="str">
        <f ca="1">INDIRECT(_xlfn.TEXTJOIN("",TRUE,A511,"!",ADDRESS(17+(A512-1)*A508,1)))</f>
        <v/>
      </c>
      <c r="B497" s="97"/>
      <c r="C497" s="106" t="str">
        <f ca="1">INDIRECT(_xlfn.TEXTJOIN("",TRUE,A511,"!",ADDRESS(17+(A512-1)*A508,2)))</f>
        <v/>
      </c>
      <c r="D497" s="107"/>
      <c r="E497" s="107"/>
      <c r="F497" s="107"/>
      <c r="G497" s="108"/>
      <c r="H497" s="20" t="str">
        <f ca="1">INDIRECT(_xlfn.TEXTJOIN("",TRUE,A511,"!",ADDRESS(17+(A512-1)*A508,6)))</f>
        <v/>
      </c>
      <c r="I497" s="20" t="str">
        <f ca="1">INDIRECT(_xlfn.TEXTJOIN("",TRUE,A511,"!",ADDRESS(17+(A512-1)*A508,13)))</f>
        <v/>
      </c>
      <c r="J497" s="20" t="e">
        <f ca="1">INDIRECT(_xlfn.TEXTJOIN("",TRUE,A511,"!",ADDRESS(17+(A512-1)*A508,14)))</f>
        <v>#N/A</v>
      </c>
    </row>
    <row r="498" spans="1:10" ht="26.25" customHeight="1" x14ac:dyDescent="0.2">
      <c r="A498" s="96" t="str">
        <f ca="1">INDIRECT(_xlfn.TEXTJOIN("",TRUE,A511,"!",ADDRESS(18+(A512-1)*A508,1)))</f>
        <v/>
      </c>
      <c r="B498" s="97"/>
      <c r="C498" s="106" t="str">
        <f ca="1">INDIRECT(_xlfn.TEXTJOIN("",TRUE,A511,"!",ADDRESS(18+(A512-1)*A508,2)))</f>
        <v/>
      </c>
      <c r="D498" s="107"/>
      <c r="E498" s="107"/>
      <c r="F498" s="107"/>
      <c r="G498" s="108"/>
      <c r="H498" s="20" t="str">
        <f ca="1">INDIRECT(_xlfn.TEXTJOIN("",TRUE,A511,"!",ADDRESS(18+(A512-1)*A508,6)))</f>
        <v/>
      </c>
      <c r="I498" s="20" t="str">
        <f ca="1">INDIRECT(_xlfn.TEXTJOIN("",TRUE,A511,"!",ADDRESS(18+(A512-1)*A508,13)))</f>
        <v/>
      </c>
      <c r="J498" s="20" t="e">
        <f ca="1">INDIRECT(_xlfn.TEXTJOIN("",TRUE,A511,"!",ADDRESS(18+(A512-1)*A508,14)))</f>
        <v>#N/A</v>
      </c>
    </row>
    <row r="499" spans="1:10" ht="26.25" customHeight="1" x14ac:dyDescent="0.2">
      <c r="A499" s="96" t="str">
        <f ca="1">INDIRECT(_xlfn.TEXTJOIN("",TRUE,A511,"!",ADDRESS(19+(A512-1)*A508,1)))</f>
        <v/>
      </c>
      <c r="B499" s="97"/>
      <c r="C499" s="106" t="str">
        <f ca="1">INDIRECT(_xlfn.TEXTJOIN("",TRUE,A511,"!",ADDRESS(19+(A512-1)*A508,2)))</f>
        <v/>
      </c>
      <c r="D499" s="107"/>
      <c r="E499" s="107"/>
      <c r="F499" s="107"/>
      <c r="G499" s="108"/>
      <c r="H499" s="20" t="str">
        <f ca="1">INDIRECT(_xlfn.TEXTJOIN("",TRUE,A511,"!",ADDRESS(19+(A512-1)*A508,6)))</f>
        <v/>
      </c>
      <c r="I499" s="20" t="str">
        <f ca="1">INDIRECT(_xlfn.TEXTJOIN("",TRUE,A511,"!",ADDRESS(19+(A512-1)*A508,13)))</f>
        <v/>
      </c>
      <c r="J499" s="20" t="e">
        <f ca="1">INDIRECT(_xlfn.TEXTJOIN("",TRUE,A511,"!",ADDRESS(19+(A512-1)*A508,14)))</f>
        <v>#N/A</v>
      </c>
    </row>
    <row r="500" spans="1:10" ht="26.25" customHeight="1" x14ac:dyDescent="0.2">
      <c r="A500" s="96" t="str">
        <f ca="1">INDIRECT(_xlfn.TEXTJOIN("",TRUE,A511,"!",ADDRESS(20+(A512-1)*A508,1)))</f>
        <v/>
      </c>
      <c r="B500" s="97"/>
      <c r="C500" s="106" t="str">
        <f ca="1">INDIRECT(_xlfn.TEXTJOIN("",TRUE,A511,"!",ADDRESS(20+(A512-1)*A508,2)))</f>
        <v/>
      </c>
      <c r="D500" s="107"/>
      <c r="E500" s="107"/>
      <c r="F500" s="107"/>
      <c r="G500" s="108"/>
      <c r="H500" s="20" t="str">
        <f ca="1">INDIRECT(_xlfn.TEXTJOIN("",TRUE,A511,"!",ADDRESS(20+(A512-1)*A508,6)))</f>
        <v/>
      </c>
      <c r="I500" s="20" t="str">
        <f ca="1">INDIRECT(_xlfn.TEXTJOIN("",TRUE,A511,"!",ADDRESS(20+(A512-1)*A508,13)))</f>
        <v/>
      </c>
      <c r="J500" s="20" t="e">
        <f ca="1">INDIRECT(_xlfn.TEXTJOIN("",TRUE,A511,"!",ADDRESS(20+(A512-1)*A508,14)))</f>
        <v>#N/A</v>
      </c>
    </row>
    <row r="501" spans="1:10" ht="26.25" customHeight="1" x14ac:dyDescent="0.2">
      <c r="A501" s="96" t="str">
        <f ca="1">INDIRECT(_xlfn.TEXTJOIN("",TRUE,A511,"!",ADDRESS(21+(A512-1)*A508,1)))</f>
        <v/>
      </c>
      <c r="B501" s="97"/>
      <c r="C501" s="106" t="str">
        <f ca="1">INDIRECT(_xlfn.TEXTJOIN("",TRUE,A511,"!",ADDRESS(21+(A512-1)*A508,2)))</f>
        <v/>
      </c>
      <c r="D501" s="107"/>
      <c r="E501" s="107"/>
      <c r="F501" s="107"/>
      <c r="G501" s="108"/>
      <c r="H501" s="20" t="str">
        <f ca="1">INDIRECT(_xlfn.TEXTJOIN("",TRUE,A511,"!",ADDRESS(21+(A512-1)*A508,6)))</f>
        <v/>
      </c>
      <c r="I501" s="20" t="str">
        <f ca="1">INDIRECT(_xlfn.TEXTJOIN("",TRUE,A511,"!",ADDRESS(21+(A512-1)*A508,13)))</f>
        <v/>
      </c>
      <c r="J501" s="20" t="e">
        <f ca="1">INDIRECT(_xlfn.TEXTJOIN("",TRUE,A511,"!",ADDRESS(21+(A512-1)*A508,14)))</f>
        <v>#N/A</v>
      </c>
    </row>
    <row r="502" spans="1:10" ht="26.25" customHeight="1" x14ac:dyDescent="0.2">
      <c r="A502" s="96" t="str">
        <f ca="1">INDIRECT(_xlfn.TEXTJOIN("",TRUE,A511,"!",ADDRESS(22+(A512-1)*A508,1)))</f>
        <v/>
      </c>
      <c r="B502" s="97"/>
      <c r="C502" s="106" t="str">
        <f ca="1">INDIRECT(_xlfn.TEXTJOIN("",TRUE,A511,"!",ADDRESS(22+(A512-1)*A508,2)))</f>
        <v/>
      </c>
      <c r="D502" s="107"/>
      <c r="E502" s="107"/>
      <c r="F502" s="107"/>
      <c r="G502" s="108"/>
      <c r="H502" s="20" t="str">
        <f ca="1">INDIRECT(_xlfn.TEXTJOIN("",TRUE,A511,"!",ADDRESS(22+(A512-1)*A508,6)))</f>
        <v/>
      </c>
      <c r="I502" s="20" t="str">
        <f ca="1">INDIRECT(_xlfn.TEXTJOIN("",TRUE,A511,"!",ADDRESS(22+(A512-1)*A508,13)))</f>
        <v/>
      </c>
      <c r="J502" s="20" t="e">
        <f ca="1">INDIRECT(_xlfn.TEXTJOIN("",TRUE,A511,"!",ADDRESS(22+(A512-1)*A508,14)))</f>
        <v>#N/A</v>
      </c>
    </row>
    <row r="503" spans="1:10" ht="26.25" customHeight="1" x14ac:dyDescent="0.2">
      <c r="A503" s="110" t="str">
        <f ca="1">INDIRECT(_xlfn.TEXTJOIN("",TRUE,A511,"!",ADDRESS(23+(A512-1)*A508,1)))</f>
        <v/>
      </c>
      <c r="B503" s="111"/>
      <c r="C503" s="115" t="str">
        <f ca="1">INDIRECT(_xlfn.TEXTJOIN("",TRUE,A511,"!",ADDRESS(23+(A512-1)*A508,2)))</f>
        <v/>
      </c>
      <c r="D503" s="116"/>
      <c r="E503" s="116"/>
      <c r="F503" s="116"/>
      <c r="G503" s="117"/>
      <c r="H503" s="20" t="str">
        <f ca="1">INDIRECT(_xlfn.TEXTJOIN("",TRUE,A511,"!",ADDRESS(23+(A512-1)*A508,6)))</f>
        <v/>
      </c>
      <c r="I503" s="20" t="str">
        <f ca="1">INDIRECT(_xlfn.TEXTJOIN("",TRUE,A511,"!",ADDRESS(23+(A512-1)*A508,13)))</f>
        <v/>
      </c>
      <c r="J503" s="20" t="e">
        <f ca="1">INDIRECT(_xlfn.TEXTJOIN("",TRUE,A511,"!",ADDRESS(23+(A512-1)*A508,14)))</f>
        <v>#N/A</v>
      </c>
    </row>
    <row r="504" spans="1:10" ht="26.25" customHeight="1" x14ac:dyDescent="0.2">
      <c r="A504" s="110" t="str">
        <f ca="1">INDIRECT(_xlfn.TEXTJOIN("",TRUE,A511,"!",ADDRESS(24+(A512-1)*A508,1)))</f>
        <v/>
      </c>
      <c r="B504" s="111"/>
      <c r="C504" s="115" t="str">
        <f ca="1">INDIRECT(_xlfn.TEXTJOIN("",TRUE,A511,"!",ADDRESS(24+(A512-1)*A508,2)))</f>
        <v/>
      </c>
      <c r="D504" s="116"/>
      <c r="E504" s="116"/>
      <c r="F504" s="116"/>
      <c r="G504" s="117"/>
      <c r="H504" s="20" t="str">
        <f ca="1">INDIRECT(_xlfn.TEXTJOIN("",TRUE,A511,"!",ADDRESS(24+(A512-1)*A508,6)))</f>
        <v/>
      </c>
      <c r="I504" s="20" t="str">
        <f ca="1">INDIRECT(_xlfn.TEXTJOIN("",TRUE,A511,"!",ADDRESS(24+(A512-1)*A508,13)))</f>
        <v/>
      </c>
      <c r="J504" s="20" t="e">
        <f ca="1">INDIRECT(_xlfn.TEXTJOIN("",TRUE,A511,"!",ADDRESS(24+(A512-1)*A508,14)))</f>
        <v>#N/A</v>
      </c>
    </row>
    <row r="505" spans="1:10" ht="26.25" customHeight="1" x14ac:dyDescent="0.2">
      <c r="A505" s="110" t="str">
        <f ca="1">INDIRECT(_xlfn.TEXTJOIN("",TRUE,A511,"!",ADDRESS(25+(A512-1)*A508,1)))</f>
        <v/>
      </c>
      <c r="B505" s="111"/>
      <c r="C505" s="115" t="str">
        <f ca="1">INDIRECT(_xlfn.TEXTJOIN("",TRUE,A511,"!",ADDRESS(25+(A512-1)*A508,2)))</f>
        <v/>
      </c>
      <c r="D505" s="116"/>
      <c r="E505" s="116"/>
      <c r="F505" s="116"/>
      <c r="G505" s="117"/>
      <c r="H505" s="20" t="str">
        <f ca="1">INDIRECT(_xlfn.TEXTJOIN("",TRUE,A511,"!",ADDRESS(25+(A512-1)*A508,6)))</f>
        <v/>
      </c>
      <c r="I505" s="20" t="str">
        <f ca="1">INDIRECT(_xlfn.TEXTJOIN("",TRUE,A511,"!",ADDRESS(25+(A512-1)*A508,13)))</f>
        <v/>
      </c>
      <c r="J505" s="20" t="e">
        <f ca="1">INDIRECT(_xlfn.TEXTJOIN("",TRUE,A511,"!",ADDRESS(25+(A512-1)*A508,14)))</f>
        <v>#N/A</v>
      </c>
    </row>
    <row r="506" spans="1:10" ht="26.25" customHeight="1" x14ac:dyDescent="0.2">
      <c r="A506" s="100" t="s">
        <v>52</v>
      </c>
      <c r="B506" s="101"/>
      <c r="C506" s="101"/>
      <c r="D506" s="101"/>
      <c r="E506" s="101"/>
      <c r="F506" s="101"/>
      <c r="G506" s="102"/>
      <c r="H506" s="98">
        <f ca="1">SUM(H493:H506)</f>
        <v>24</v>
      </c>
      <c r="I506" s="98" t="s">
        <v>44</v>
      </c>
      <c r="J506" s="98" t="e">
        <f ca="1">SUMPRODUCT(J493:J505,H493:H505)</f>
        <v>#N/A</v>
      </c>
    </row>
    <row r="507" spans="1:10" ht="26.25" customHeight="1" x14ac:dyDescent="0.2">
      <c r="A507" s="103"/>
      <c r="B507" s="104"/>
      <c r="C507" s="104"/>
      <c r="D507" s="104"/>
      <c r="E507" s="104"/>
      <c r="F507" s="104"/>
      <c r="G507" s="105"/>
      <c r="H507" s="99"/>
      <c r="I507" s="99"/>
      <c r="J507" s="99"/>
    </row>
    <row r="508" spans="1:10" ht="26.25" customHeight="1" x14ac:dyDescent="0.2">
      <c r="A508" s="22">
        <f>ROWS(A493:B506)+9</f>
        <v>23</v>
      </c>
      <c r="B508" s="17"/>
      <c r="C508" s="17"/>
      <c r="D508" s="17"/>
      <c r="E508" s="17"/>
      <c r="F508" s="17"/>
      <c r="G508" s="17"/>
      <c r="H508" s="17"/>
      <c r="I508" s="17"/>
      <c r="J508" s="17"/>
    </row>
    <row r="509" spans="1:10" ht="26.25" customHeight="1" x14ac:dyDescent="0.2">
      <c r="A509" s="120" t="s">
        <v>40</v>
      </c>
      <c r="B509" s="120"/>
      <c r="C509" s="21" t="str">
        <f ca="1">INDIRECT(_xlfn.TEXTJOIN("",TRUE,A511,"!",ADDRESS(5+A512*A508,12)))</f>
        <v/>
      </c>
      <c r="D509" s="120" t="s">
        <v>38</v>
      </c>
      <c r="E509" s="120"/>
      <c r="F509" s="18" t="str">
        <f ca="1">INDIRECT(_xlfn.TEXTJOIN("",TRUE,A511,"!",ADDRESS(5+A512*A508,8)))</f>
        <v/>
      </c>
      <c r="G509" s="120" t="s">
        <v>39</v>
      </c>
      <c r="H509" s="120"/>
      <c r="I509" s="109" t="str">
        <f ca="1">INDIRECT(_xlfn.TEXTJOIN("",TRUE,A511,"!",ADDRESS(5+A512*A508,10)))</f>
        <v/>
      </c>
      <c r="J509" s="109"/>
    </row>
    <row r="510" spans="1:10" ht="26.25" customHeight="1" x14ac:dyDescent="0.2">
      <c r="A510" s="19" t="s">
        <v>36</v>
      </c>
      <c r="B510" s="95" t="str">
        <f ca="1">INDIRECT(_xlfn.TEXTJOIN("",TRUE,A511,"!",ADDRESS(5+A512*A508,2)))</f>
        <v/>
      </c>
      <c r="C510" s="95"/>
      <c r="D510" s="121" t="s">
        <v>37</v>
      </c>
      <c r="E510" s="121"/>
      <c r="F510" s="122" t="str">
        <f ca="1">INDIRECT(_xlfn.TEXTJOIN("",TRUE,A511,"!",ADDRESS(5+A512*A508,5)))</f>
        <v/>
      </c>
      <c r="G510" s="122"/>
      <c r="H510" s="122"/>
      <c r="I510" s="122"/>
      <c r="J510" s="122"/>
    </row>
    <row r="511" spans="1:10" ht="26.25" customHeight="1" x14ac:dyDescent="0.2">
      <c r="A511" s="22" t="str">
        <f>A488</f>
        <v>TC_I</v>
      </c>
    </row>
    <row r="512" spans="1:10" ht="26.25" customHeight="1" x14ac:dyDescent="0.2">
      <c r="A512" s="22">
        <f>A489+1</f>
        <v>22</v>
      </c>
    </row>
    <row r="513" spans="1:10" ht="26.25" customHeight="1" x14ac:dyDescent="0.2">
      <c r="A513" s="112" t="s">
        <v>24</v>
      </c>
      <c r="B513" s="112"/>
      <c r="C513" s="112" t="str">
        <f ca="1">INDIRECT(_xlfn.TEXTJOIN("",TRUE,A534,"!",ADDRESS(9+(A535-1)*A531,2)))</f>
        <v/>
      </c>
      <c r="D513" s="112"/>
      <c r="E513" s="112"/>
      <c r="F513" s="112" t="s">
        <v>50</v>
      </c>
      <c r="G513" s="112"/>
      <c r="H513" s="112"/>
      <c r="I513" s="113" t="str">
        <f ca="1">INDIRECT(_xlfn.TEXTJOIN("",TRUE,A534,"!",ADDRESS(9+(A535-1)*A531,9)))</f>
        <v/>
      </c>
      <c r="J513" s="113"/>
    </row>
    <row r="514" spans="1:10" ht="26.25" customHeight="1" x14ac:dyDescent="0.2">
      <c r="A514" s="112" t="s">
        <v>25</v>
      </c>
      <c r="B514" s="112"/>
      <c r="C514" s="112" t="str">
        <f ca="1">INDIRECT(_xlfn.TEXTJOIN("",TRUE,A534,"!",ADDRESS(9+(A535-1)*A531,5)))</f>
        <v/>
      </c>
      <c r="D514" s="112"/>
      <c r="E514" s="112"/>
      <c r="F514" s="114" t="s">
        <v>51</v>
      </c>
      <c r="G514" s="114"/>
      <c r="H514" s="114"/>
      <c r="I514" s="113" t="str">
        <f ca="1">INDIRECT(_xlfn.TEXTJOIN("",TRUE,A534,"!",ADDRESS(9+(A535-1)*A531,13)))</f>
        <v/>
      </c>
      <c r="J514" s="113"/>
    </row>
    <row r="515" spans="1:10" ht="26.25" customHeight="1" x14ac:dyDescent="0.2">
      <c r="A515" s="95" t="s">
        <v>28</v>
      </c>
      <c r="B515" s="95"/>
      <c r="C515" s="95" t="s">
        <v>29</v>
      </c>
      <c r="D515" s="95"/>
      <c r="E515" s="95"/>
      <c r="F515" s="95"/>
      <c r="G515" s="95"/>
      <c r="H515" s="15" t="s">
        <v>30</v>
      </c>
      <c r="I515" s="15" t="s">
        <v>9</v>
      </c>
      <c r="J515" s="15" t="s">
        <v>34</v>
      </c>
    </row>
    <row r="516" spans="1:10" ht="26.25" customHeight="1" x14ac:dyDescent="0.2">
      <c r="A516" s="96" t="str">
        <f ca="1">INDIRECT(_xlfn.TEXTJOIN("",TRUE,A534,"!",ADDRESS(13+(A535-1)*A531,1)))</f>
        <v/>
      </c>
      <c r="B516" s="97"/>
      <c r="C516" s="106" t="str">
        <f ca="1">INDIRECT(_xlfn.TEXTJOIN("",TRUE,A534,"!",ADDRESS(13+(A535-1)*A531,2)))</f>
        <v/>
      </c>
      <c r="D516" s="107"/>
      <c r="E516" s="107"/>
      <c r="F516" s="107"/>
      <c r="G516" s="108"/>
      <c r="H516" s="20" t="str">
        <f ca="1">INDIRECT(_xlfn.TEXTJOIN("",TRUE,A534,"!",ADDRESS(13+(A535-1)*A531,6)))</f>
        <v/>
      </c>
      <c r="I516" s="20" t="str">
        <f ca="1">INDIRECT(_xlfn.TEXTJOIN("",TRUE,A534,"!",ADDRESS(13+(A535-1)*A531,13)))</f>
        <v/>
      </c>
      <c r="J516" s="20" t="e">
        <f ca="1">INDIRECT(_xlfn.TEXTJOIN("",TRUE,A534,"!",ADDRESS(13+(A535-1)*A531,14)))</f>
        <v>#N/A</v>
      </c>
    </row>
    <row r="517" spans="1:10" ht="26.25" customHeight="1" x14ac:dyDescent="0.2">
      <c r="A517" s="96" t="str">
        <f ca="1">INDIRECT(_xlfn.TEXTJOIN("",TRUE,A534,"!",ADDRESS(14+(A535-1)*A531,1)))</f>
        <v/>
      </c>
      <c r="B517" s="97"/>
      <c r="C517" s="106" t="str">
        <f ca="1">INDIRECT(_xlfn.TEXTJOIN("",TRUE,A534,"!",ADDRESS(14+(A535-1)*A531,2)))</f>
        <v/>
      </c>
      <c r="D517" s="107"/>
      <c r="E517" s="107"/>
      <c r="F517" s="107"/>
      <c r="G517" s="108"/>
      <c r="H517" s="20" t="str">
        <f ca="1">INDIRECT(_xlfn.TEXTJOIN("",TRUE,A534,"!",ADDRESS(14+(A535-1)*A531,6)))</f>
        <v/>
      </c>
      <c r="I517" s="20" t="str">
        <f ca="1">INDIRECT(_xlfn.TEXTJOIN("",TRUE,A534,"!",ADDRESS(14+(A535-1)*A531,13)))</f>
        <v/>
      </c>
      <c r="J517" s="20" t="e">
        <f ca="1">INDIRECT(_xlfn.TEXTJOIN("",TRUE,A534,"!",ADDRESS(14+(A535-1)*A531,14)))</f>
        <v>#N/A</v>
      </c>
    </row>
    <row r="518" spans="1:10" ht="26.25" customHeight="1" x14ac:dyDescent="0.2">
      <c r="A518" s="96" t="str">
        <f ca="1">INDIRECT(_xlfn.TEXTJOIN("",TRUE,A534,"!",ADDRESS(15+(A535-1)*A531,1)))</f>
        <v/>
      </c>
      <c r="B518" s="97"/>
      <c r="C518" s="106" t="str">
        <f ca="1">INDIRECT(_xlfn.TEXTJOIN("",TRUE,A534,"!",ADDRESS(15+(A535-1)*A531,2)))</f>
        <v/>
      </c>
      <c r="D518" s="107"/>
      <c r="E518" s="107"/>
      <c r="F518" s="107"/>
      <c r="G518" s="108"/>
      <c r="H518" s="20" t="str">
        <f ca="1">INDIRECT(_xlfn.TEXTJOIN("",TRUE,A534,"!",ADDRESS(15+(A535-1)*A531,6)))</f>
        <v/>
      </c>
      <c r="I518" s="20" t="str">
        <f ca="1">INDIRECT(_xlfn.TEXTJOIN("",TRUE,A534,"!",ADDRESS(15+(A535-1)*A531,13)))</f>
        <v/>
      </c>
      <c r="J518" s="20" t="e">
        <f ca="1">INDIRECT(_xlfn.TEXTJOIN("",TRUE,A534,"!",ADDRESS(15+(A535-1)*A531,14)))</f>
        <v>#N/A</v>
      </c>
    </row>
    <row r="519" spans="1:10" ht="26.25" customHeight="1" x14ac:dyDescent="0.2">
      <c r="A519" s="96" t="str">
        <f ca="1">INDIRECT(_xlfn.TEXTJOIN("",TRUE,A534,"!",ADDRESS(16+(A535-1)*A531,1)))</f>
        <v/>
      </c>
      <c r="B519" s="97"/>
      <c r="C519" s="106" t="str">
        <f ca="1">INDIRECT(_xlfn.TEXTJOIN("",TRUE,A534,"!",ADDRESS(16+(A535-1)*A531,2)))</f>
        <v/>
      </c>
      <c r="D519" s="107"/>
      <c r="E519" s="107"/>
      <c r="F519" s="107"/>
      <c r="G519" s="108"/>
      <c r="H519" s="20" t="str">
        <f ca="1">INDIRECT(_xlfn.TEXTJOIN("",TRUE,A534,"!",ADDRESS(16+(A535-1)*A531,6)))</f>
        <v/>
      </c>
      <c r="I519" s="20" t="str">
        <f ca="1">INDIRECT(_xlfn.TEXTJOIN("",TRUE,A534,"!",ADDRESS(16+(A535-1)*A531,13)))</f>
        <v/>
      </c>
      <c r="J519" s="20" t="e">
        <f ca="1">INDIRECT(_xlfn.TEXTJOIN("",TRUE,A534,"!",ADDRESS(16+(A535-1)*A531,14)))</f>
        <v>#N/A</v>
      </c>
    </row>
    <row r="520" spans="1:10" ht="26.25" customHeight="1" x14ac:dyDescent="0.2">
      <c r="A520" s="96" t="str">
        <f ca="1">INDIRECT(_xlfn.TEXTJOIN("",TRUE,A534,"!",ADDRESS(17+(A535-1)*A531,1)))</f>
        <v/>
      </c>
      <c r="B520" s="97"/>
      <c r="C520" s="106" t="str">
        <f ca="1">INDIRECT(_xlfn.TEXTJOIN("",TRUE,A534,"!",ADDRESS(17+(A535-1)*A531,2)))</f>
        <v/>
      </c>
      <c r="D520" s="107"/>
      <c r="E520" s="107"/>
      <c r="F520" s="107"/>
      <c r="G520" s="108"/>
      <c r="H520" s="20" t="str">
        <f ca="1">INDIRECT(_xlfn.TEXTJOIN("",TRUE,A534,"!",ADDRESS(17+(A535-1)*A531,6)))</f>
        <v/>
      </c>
      <c r="I520" s="20" t="str">
        <f ca="1">INDIRECT(_xlfn.TEXTJOIN("",TRUE,A534,"!",ADDRESS(17+(A535-1)*A531,13)))</f>
        <v/>
      </c>
      <c r="J520" s="20" t="e">
        <f ca="1">INDIRECT(_xlfn.TEXTJOIN("",TRUE,A534,"!",ADDRESS(17+(A535-1)*A531,14)))</f>
        <v>#N/A</v>
      </c>
    </row>
    <row r="521" spans="1:10" ht="26.25" customHeight="1" x14ac:dyDescent="0.2">
      <c r="A521" s="96" t="str">
        <f ca="1">INDIRECT(_xlfn.TEXTJOIN("",TRUE,A534,"!",ADDRESS(18+(A535-1)*A531,1)))</f>
        <v/>
      </c>
      <c r="B521" s="97"/>
      <c r="C521" s="106" t="str">
        <f ca="1">INDIRECT(_xlfn.TEXTJOIN("",TRUE,A534,"!",ADDRESS(18+(A535-1)*A531,2)))</f>
        <v/>
      </c>
      <c r="D521" s="107"/>
      <c r="E521" s="107"/>
      <c r="F521" s="107"/>
      <c r="G521" s="108"/>
      <c r="H521" s="20" t="str">
        <f ca="1">INDIRECT(_xlfn.TEXTJOIN("",TRUE,A534,"!",ADDRESS(18+(A535-1)*A531,6)))</f>
        <v/>
      </c>
      <c r="I521" s="20" t="str">
        <f ca="1">INDIRECT(_xlfn.TEXTJOIN("",TRUE,A534,"!",ADDRESS(18+(A535-1)*A531,13)))</f>
        <v/>
      </c>
      <c r="J521" s="20" t="e">
        <f ca="1">INDIRECT(_xlfn.TEXTJOIN("",TRUE,A534,"!",ADDRESS(18+(A535-1)*A531,14)))</f>
        <v>#N/A</v>
      </c>
    </row>
    <row r="522" spans="1:10" ht="26.25" customHeight="1" x14ac:dyDescent="0.2">
      <c r="A522" s="96" t="str">
        <f ca="1">INDIRECT(_xlfn.TEXTJOIN("",TRUE,A534,"!",ADDRESS(19+(A535-1)*A531,1)))</f>
        <v/>
      </c>
      <c r="B522" s="97"/>
      <c r="C522" s="106" t="str">
        <f ca="1">INDIRECT(_xlfn.TEXTJOIN("",TRUE,A534,"!",ADDRESS(19+(A535-1)*A531,2)))</f>
        <v/>
      </c>
      <c r="D522" s="107"/>
      <c r="E522" s="107"/>
      <c r="F522" s="107"/>
      <c r="G522" s="108"/>
      <c r="H522" s="20" t="str">
        <f ca="1">INDIRECT(_xlfn.TEXTJOIN("",TRUE,A534,"!",ADDRESS(19+(A535-1)*A531,6)))</f>
        <v/>
      </c>
      <c r="I522" s="20" t="str">
        <f ca="1">INDIRECT(_xlfn.TEXTJOIN("",TRUE,A534,"!",ADDRESS(19+(A535-1)*A531,13)))</f>
        <v/>
      </c>
      <c r="J522" s="20" t="e">
        <f ca="1">INDIRECT(_xlfn.TEXTJOIN("",TRUE,A534,"!",ADDRESS(19+(A535-1)*A531,14)))</f>
        <v>#N/A</v>
      </c>
    </row>
    <row r="523" spans="1:10" ht="26.25" customHeight="1" x14ac:dyDescent="0.2">
      <c r="A523" s="96" t="str">
        <f ca="1">INDIRECT(_xlfn.TEXTJOIN("",TRUE,A534,"!",ADDRESS(20+(A535-1)*A531,1)))</f>
        <v/>
      </c>
      <c r="B523" s="97"/>
      <c r="C523" s="106" t="str">
        <f ca="1">INDIRECT(_xlfn.TEXTJOIN("",TRUE,A534,"!",ADDRESS(20+(A535-1)*A531,2)))</f>
        <v/>
      </c>
      <c r="D523" s="107"/>
      <c r="E523" s="107"/>
      <c r="F523" s="107"/>
      <c r="G523" s="108"/>
      <c r="H523" s="20" t="str">
        <f ca="1">INDIRECT(_xlfn.TEXTJOIN("",TRUE,A534,"!",ADDRESS(20+(A535-1)*A531,6)))</f>
        <v/>
      </c>
      <c r="I523" s="20" t="str">
        <f ca="1">INDIRECT(_xlfn.TEXTJOIN("",TRUE,A534,"!",ADDRESS(20+(A535-1)*A531,13)))</f>
        <v/>
      </c>
      <c r="J523" s="20" t="e">
        <f ca="1">INDIRECT(_xlfn.TEXTJOIN("",TRUE,A534,"!",ADDRESS(20+(A535-1)*A531,14)))</f>
        <v>#N/A</v>
      </c>
    </row>
    <row r="524" spans="1:10" ht="26.25" customHeight="1" x14ac:dyDescent="0.2">
      <c r="A524" s="96" t="str">
        <f ca="1">INDIRECT(_xlfn.TEXTJOIN("",TRUE,A534,"!",ADDRESS(21+(A535-1)*A531,1)))</f>
        <v/>
      </c>
      <c r="B524" s="97"/>
      <c r="C524" s="106" t="str">
        <f ca="1">INDIRECT(_xlfn.TEXTJOIN("",TRUE,A534,"!",ADDRESS(21+(A535-1)*A531,2)))</f>
        <v/>
      </c>
      <c r="D524" s="107"/>
      <c r="E524" s="107"/>
      <c r="F524" s="107"/>
      <c r="G524" s="108"/>
      <c r="H524" s="20" t="str">
        <f ca="1">INDIRECT(_xlfn.TEXTJOIN("",TRUE,A534,"!",ADDRESS(21+(A535-1)*A531,6)))</f>
        <v/>
      </c>
      <c r="I524" s="20" t="str">
        <f ca="1">INDIRECT(_xlfn.TEXTJOIN("",TRUE,A534,"!",ADDRESS(21+(A535-1)*A531,13)))</f>
        <v/>
      </c>
      <c r="J524" s="20" t="e">
        <f ca="1">INDIRECT(_xlfn.TEXTJOIN("",TRUE,A534,"!",ADDRESS(21+(A535-1)*A531,14)))</f>
        <v>#N/A</v>
      </c>
    </row>
    <row r="525" spans="1:10" ht="26.25" customHeight="1" x14ac:dyDescent="0.2">
      <c r="A525" s="96" t="str">
        <f ca="1">INDIRECT(_xlfn.TEXTJOIN("",TRUE,A534,"!",ADDRESS(22+(A535-1)*A531,1)))</f>
        <v/>
      </c>
      <c r="B525" s="97"/>
      <c r="C525" s="106" t="str">
        <f ca="1">INDIRECT(_xlfn.TEXTJOIN("",TRUE,A534,"!",ADDRESS(22+(A535-1)*A531,2)))</f>
        <v/>
      </c>
      <c r="D525" s="107"/>
      <c r="E525" s="107"/>
      <c r="F525" s="107"/>
      <c r="G525" s="108"/>
      <c r="H525" s="20" t="str">
        <f ca="1">INDIRECT(_xlfn.TEXTJOIN("",TRUE,A534,"!",ADDRESS(22+(A535-1)*A531,6)))</f>
        <v/>
      </c>
      <c r="I525" s="20" t="str">
        <f ca="1">INDIRECT(_xlfn.TEXTJOIN("",TRUE,A534,"!",ADDRESS(22+(A535-1)*A531,13)))</f>
        <v/>
      </c>
      <c r="J525" s="20" t="e">
        <f ca="1">INDIRECT(_xlfn.TEXTJOIN("",TRUE,A534,"!",ADDRESS(22+(A535-1)*A531,14)))</f>
        <v>#N/A</v>
      </c>
    </row>
    <row r="526" spans="1:10" ht="26.25" customHeight="1" x14ac:dyDescent="0.2">
      <c r="A526" s="110" t="str">
        <f ca="1">INDIRECT(_xlfn.TEXTJOIN("",TRUE,A534,"!",ADDRESS(23+(A535-1)*A531,1)))</f>
        <v/>
      </c>
      <c r="B526" s="111"/>
      <c r="C526" s="115" t="str">
        <f ca="1">INDIRECT(_xlfn.TEXTJOIN("",TRUE,A534,"!",ADDRESS(23+(A535-1)*A531,2)))</f>
        <v/>
      </c>
      <c r="D526" s="116"/>
      <c r="E526" s="116"/>
      <c r="F526" s="116"/>
      <c r="G526" s="117"/>
      <c r="H526" s="20" t="str">
        <f ca="1">INDIRECT(_xlfn.TEXTJOIN("",TRUE,A534,"!",ADDRESS(23+(A535-1)*A531,6)))</f>
        <v/>
      </c>
      <c r="I526" s="20" t="str">
        <f ca="1">INDIRECT(_xlfn.TEXTJOIN("",TRUE,A534,"!",ADDRESS(23+(A535-1)*A531,13)))</f>
        <v/>
      </c>
      <c r="J526" s="20" t="e">
        <f ca="1">INDIRECT(_xlfn.TEXTJOIN("",TRUE,A534,"!",ADDRESS(23+(A535-1)*A531,14)))</f>
        <v>#N/A</v>
      </c>
    </row>
    <row r="527" spans="1:10" ht="26.25" customHeight="1" x14ac:dyDescent="0.2">
      <c r="A527" s="110" t="str">
        <f ca="1">INDIRECT(_xlfn.TEXTJOIN("",TRUE,A534,"!",ADDRESS(24+(A535-1)*A531,1)))</f>
        <v/>
      </c>
      <c r="B527" s="111"/>
      <c r="C527" s="115" t="str">
        <f ca="1">INDIRECT(_xlfn.TEXTJOIN("",TRUE,A534,"!",ADDRESS(24+(A535-1)*A531,2)))</f>
        <v/>
      </c>
      <c r="D527" s="116"/>
      <c r="E527" s="116"/>
      <c r="F527" s="116"/>
      <c r="G527" s="117"/>
      <c r="H527" s="20" t="str">
        <f ca="1">INDIRECT(_xlfn.TEXTJOIN("",TRUE,A534,"!",ADDRESS(24+(A535-1)*A531,6)))</f>
        <v/>
      </c>
      <c r="I527" s="20" t="str">
        <f ca="1">INDIRECT(_xlfn.TEXTJOIN("",TRUE,A534,"!",ADDRESS(24+(A535-1)*A531,13)))</f>
        <v/>
      </c>
      <c r="J527" s="20" t="e">
        <f ca="1">INDIRECT(_xlfn.TEXTJOIN("",TRUE,A534,"!",ADDRESS(24+(A535-1)*A531,14)))</f>
        <v>#N/A</v>
      </c>
    </row>
    <row r="528" spans="1:10" ht="26.25" customHeight="1" x14ac:dyDescent="0.2">
      <c r="A528" s="110" t="str">
        <f ca="1">INDIRECT(_xlfn.TEXTJOIN("",TRUE,A534,"!",ADDRESS(25+(A535-1)*A531,1)))</f>
        <v/>
      </c>
      <c r="B528" s="111"/>
      <c r="C528" s="115" t="str">
        <f ca="1">INDIRECT(_xlfn.TEXTJOIN("",TRUE,A534,"!",ADDRESS(25+(A535-1)*A531,2)))</f>
        <v/>
      </c>
      <c r="D528" s="116"/>
      <c r="E528" s="116"/>
      <c r="F528" s="116"/>
      <c r="G528" s="117"/>
      <c r="H528" s="20" t="str">
        <f ca="1">INDIRECT(_xlfn.TEXTJOIN("",TRUE,A534,"!",ADDRESS(25+(A535-1)*A531,6)))</f>
        <v/>
      </c>
      <c r="I528" s="20" t="str">
        <f ca="1">INDIRECT(_xlfn.TEXTJOIN("",TRUE,A534,"!",ADDRESS(25+(A535-1)*A531,13)))</f>
        <v/>
      </c>
      <c r="J528" s="20" t="e">
        <f ca="1">INDIRECT(_xlfn.TEXTJOIN("",TRUE,A534,"!",ADDRESS(25+(A535-1)*A531,14)))</f>
        <v>#N/A</v>
      </c>
    </row>
    <row r="529" spans="1:10" ht="26.25" customHeight="1" x14ac:dyDescent="0.2">
      <c r="A529" s="100" t="s">
        <v>52</v>
      </c>
      <c r="B529" s="101"/>
      <c r="C529" s="101"/>
      <c r="D529" s="101"/>
      <c r="E529" s="101"/>
      <c r="F529" s="101"/>
      <c r="G529" s="102"/>
      <c r="H529" s="98">
        <f ca="1">SUM(H516:H529)</f>
        <v>24</v>
      </c>
      <c r="I529" s="98" t="s">
        <v>44</v>
      </c>
      <c r="J529" s="98" t="e">
        <f ca="1">SUMPRODUCT(J516:J528,H516:H528)</f>
        <v>#N/A</v>
      </c>
    </row>
    <row r="530" spans="1:10" ht="26.25" customHeight="1" x14ac:dyDescent="0.2">
      <c r="A530" s="103"/>
      <c r="B530" s="104"/>
      <c r="C530" s="104"/>
      <c r="D530" s="104"/>
      <c r="E530" s="104"/>
      <c r="F530" s="104"/>
      <c r="G530" s="105"/>
      <c r="H530" s="99"/>
      <c r="I530" s="99"/>
      <c r="J530" s="99"/>
    </row>
    <row r="531" spans="1:10" ht="26.25" customHeight="1" x14ac:dyDescent="0.2">
      <c r="A531" s="22">
        <f>ROWS(A516:B529)+9</f>
        <v>23</v>
      </c>
      <c r="B531" s="17"/>
      <c r="C531" s="17"/>
      <c r="D531" s="17"/>
      <c r="E531" s="17"/>
      <c r="F531" s="17"/>
      <c r="G531" s="17"/>
      <c r="H531" s="17"/>
      <c r="I531" s="17"/>
      <c r="J531" s="17"/>
    </row>
    <row r="532" spans="1:10" ht="26.25" customHeight="1" x14ac:dyDescent="0.2">
      <c r="A532" s="120" t="s">
        <v>40</v>
      </c>
      <c r="B532" s="120"/>
      <c r="C532" s="21" t="str">
        <f ca="1">INDIRECT(_xlfn.TEXTJOIN("",TRUE,A534,"!",ADDRESS(5+A535*A531,12)))</f>
        <v/>
      </c>
      <c r="D532" s="120" t="s">
        <v>38</v>
      </c>
      <c r="E532" s="120"/>
      <c r="F532" s="18" t="str">
        <f ca="1">INDIRECT(_xlfn.TEXTJOIN("",TRUE,A534,"!",ADDRESS(5+A535*A531,8)))</f>
        <v/>
      </c>
      <c r="G532" s="120" t="s">
        <v>39</v>
      </c>
      <c r="H532" s="120"/>
      <c r="I532" s="109" t="str">
        <f ca="1">INDIRECT(_xlfn.TEXTJOIN("",TRUE,A534,"!",ADDRESS(5+A535*A531,10)))</f>
        <v/>
      </c>
      <c r="J532" s="109"/>
    </row>
    <row r="533" spans="1:10" ht="26.25" customHeight="1" x14ac:dyDescent="0.2">
      <c r="A533" s="19" t="s">
        <v>36</v>
      </c>
      <c r="B533" s="95" t="str">
        <f ca="1">INDIRECT(_xlfn.TEXTJOIN("",TRUE,A534,"!",ADDRESS(5+A535*A531,2)))</f>
        <v/>
      </c>
      <c r="C533" s="95"/>
      <c r="D533" s="121" t="s">
        <v>37</v>
      </c>
      <c r="E533" s="121"/>
      <c r="F533" s="122" t="str">
        <f ca="1">INDIRECT(_xlfn.TEXTJOIN("",TRUE,A534,"!",ADDRESS(5+A535*A531,5)))</f>
        <v/>
      </c>
      <c r="G533" s="122"/>
      <c r="H533" s="122"/>
      <c r="I533" s="122"/>
      <c r="J533" s="122"/>
    </row>
    <row r="534" spans="1:10" ht="26.25" customHeight="1" x14ac:dyDescent="0.2">
      <c r="A534" s="22" t="str">
        <f>A511</f>
        <v>TC_I</v>
      </c>
    </row>
    <row r="535" spans="1:10" ht="26.25" customHeight="1" x14ac:dyDescent="0.2">
      <c r="A535" s="22">
        <f>A512+1</f>
        <v>23</v>
      </c>
    </row>
    <row r="536" spans="1:10" ht="26.25" customHeight="1" x14ac:dyDescent="0.2">
      <c r="A536" s="112" t="s">
        <v>24</v>
      </c>
      <c r="B536" s="112"/>
      <c r="C536" s="112" t="str">
        <f ca="1">INDIRECT(_xlfn.TEXTJOIN("",TRUE,A557,"!",ADDRESS(9+(A558-1)*A554,2)))</f>
        <v/>
      </c>
      <c r="D536" s="112"/>
      <c r="E536" s="112"/>
      <c r="F536" s="112" t="s">
        <v>50</v>
      </c>
      <c r="G536" s="112"/>
      <c r="H536" s="112"/>
      <c r="I536" s="113" t="str">
        <f ca="1">INDIRECT(_xlfn.TEXTJOIN("",TRUE,A557,"!",ADDRESS(9+(A558-1)*A554,9)))</f>
        <v/>
      </c>
      <c r="J536" s="113"/>
    </row>
    <row r="537" spans="1:10" ht="26.25" customHeight="1" x14ac:dyDescent="0.2">
      <c r="A537" s="112" t="s">
        <v>25</v>
      </c>
      <c r="B537" s="112"/>
      <c r="C537" s="112" t="str">
        <f ca="1">INDIRECT(_xlfn.TEXTJOIN("",TRUE,A557,"!",ADDRESS(9+(A558-1)*A554,5)))</f>
        <v/>
      </c>
      <c r="D537" s="112"/>
      <c r="E537" s="112"/>
      <c r="F537" s="114" t="s">
        <v>51</v>
      </c>
      <c r="G537" s="114"/>
      <c r="H537" s="114"/>
      <c r="I537" s="113" t="str">
        <f ca="1">INDIRECT(_xlfn.TEXTJOIN("",TRUE,A557,"!",ADDRESS(9+(A558-1)*A554,13)))</f>
        <v/>
      </c>
      <c r="J537" s="113"/>
    </row>
    <row r="538" spans="1:10" ht="26.25" customHeight="1" x14ac:dyDescent="0.2">
      <c r="A538" s="95" t="s">
        <v>28</v>
      </c>
      <c r="B538" s="95"/>
      <c r="C538" s="95" t="s">
        <v>29</v>
      </c>
      <c r="D538" s="95"/>
      <c r="E538" s="95"/>
      <c r="F538" s="95"/>
      <c r="G538" s="95"/>
      <c r="H538" s="15" t="s">
        <v>30</v>
      </c>
      <c r="I538" s="15" t="s">
        <v>9</v>
      </c>
      <c r="J538" s="15" t="s">
        <v>34</v>
      </c>
    </row>
    <row r="539" spans="1:10" ht="26.25" customHeight="1" x14ac:dyDescent="0.2">
      <c r="A539" s="96" t="str">
        <f ca="1">INDIRECT(_xlfn.TEXTJOIN("",TRUE,A557,"!",ADDRESS(13+(A558-1)*A554,1)))</f>
        <v/>
      </c>
      <c r="B539" s="97"/>
      <c r="C539" s="106" t="str">
        <f ca="1">INDIRECT(_xlfn.TEXTJOIN("",TRUE,A557,"!",ADDRESS(13+(A558-1)*A554,2)))</f>
        <v/>
      </c>
      <c r="D539" s="107"/>
      <c r="E539" s="107"/>
      <c r="F539" s="107"/>
      <c r="G539" s="108"/>
      <c r="H539" s="20" t="str">
        <f ca="1">INDIRECT(_xlfn.TEXTJOIN("",TRUE,A557,"!",ADDRESS(13+(A558-1)*A554,6)))</f>
        <v/>
      </c>
      <c r="I539" s="20" t="str">
        <f ca="1">INDIRECT(_xlfn.TEXTJOIN("",TRUE,A557,"!",ADDRESS(13+(A558-1)*A554,13)))</f>
        <v/>
      </c>
      <c r="J539" s="20" t="e">
        <f ca="1">INDIRECT(_xlfn.TEXTJOIN("",TRUE,A557,"!",ADDRESS(13+(A558-1)*A554,14)))</f>
        <v>#N/A</v>
      </c>
    </row>
    <row r="540" spans="1:10" ht="26.25" customHeight="1" x14ac:dyDescent="0.2">
      <c r="A540" s="96" t="str">
        <f ca="1">INDIRECT(_xlfn.TEXTJOIN("",TRUE,A557,"!",ADDRESS(14+(A558-1)*A554,1)))</f>
        <v/>
      </c>
      <c r="B540" s="97"/>
      <c r="C540" s="106" t="str">
        <f ca="1">INDIRECT(_xlfn.TEXTJOIN("",TRUE,A557,"!",ADDRESS(14+(A558-1)*A554,2)))</f>
        <v/>
      </c>
      <c r="D540" s="107"/>
      <c r="E540" s="107"/>
      <c r="F540" s="107"/>
      <c r="G540" s="108"/>
      <c r="H540" s="20" t="str">
        <f ca="1">INDIRECT(_xlfn.TEXTJOIN("",TRUE,A557,"!",ADDRESS(14+(A558-1)*A554,6)))</f>
        <v/>
      </c>
      <c r="I540" s="20" t="str">
        <f ca="1">INDIRECT(_xlfn.TEXTJOIN("",TRUE,A557,"!",ADDRESS(14+(A558-1)*A554,13)))</f>
        <v/>
      </c>
      <c r="J540" s="20" t="e">
        <f ca="1">INDIRECT(_xlfn.TEXTJOIN("",TRUE,A557,"!",ADDRESS(14+(A558-1)*A554,14)))</f>
        <v>#N/A</v>
      </c>
    </row>
    <row r="541" spans="1:10" ht="26.25" customHeight="1" x14ac:dyDescent="0.2">
      <c r="A541" s="96" t="str">
        <f ca="1">INDIRECT(_xlfn.TEXTJOIN("",TRUE,A557,"!",ADDRESS(15+(A558-1)*A554,1)))</f>
        <v/>
      </c>
      <c r="B541" s="97"/>
      <c r="C541" s="106" t="str">
        <f ca="1">INDIRECT(_xlfn.TEXTJOIN("",TRUE,A557,"!",ADDRESS(15+(A558-1)*A554,2)))</f>
        <v/>
      </c>
      <c r="D541" s="107"/>
      <c r="E541" s="107"/>
      <c r="F541" s="107"/>
      <c r="G541" s="108"/>
      <c r="H541" s="20" t="str">
        <f ca="1">INDIRECT(_xlfn.TEXTJOIN("",TRUE,A557,"!",ADDRESS(15+(A558-1)*A554,6)))</f>
        <v/>
      </c>
      <c r="I541" s="20" t="str">
        <f ca="1">INDIRECT(_xlfn.TEXTJOIN("",TRUE,A557,"!",ADDRESS(15+(A558-1)*A554,13)))</f>
        <v/>
      </c>
      <c r="J541" s="20" t="e">
        <f ca="1">INDIRECT(_xlfn.TEXTJOIN("",TRUE,A557,"!",ADDRESS(15+(A558-1)*A554,14)))</f>
        <v>#N/A</v>
      </c>
    </row>
    <row r="542" spans="1:10" ht="26.25" customHeight="1" x14ac:dyDescent="0.2">
      <c r="A542" s="96" t="str">
        <f ca="1">INDIRECT(_xlfn.TEXTJOIN("",TRUE,A557,"!",ADDRESS(16+(A558-1)*A554,1)))</f>
        <v/>
      </c>
      <c r="B542" s="97"/>
      <c r="C542" s="106" t="str">
        <f ca="1">INDIRECT(_xlfn.TEXTJOIN("",TRUE,A557,"!",ADDRESS(16+(A558-1)*A554,2)))</f>
        <v/>
      </c>
      <c r="D542" s="107"/>
      <c r="E542" s="107"/>
      <c r="F542" s="107"/>
      <c r="G542" s="108"/>
      <c r="H542" s="20" t="str">
        <f ca="1">INDIRECT(_xlfn.TEXTJOIN("",TRUE,A557,"!",ADDRESS(16+(A558-1)*A554,6)))</f>
        <v/>
      </c>
      <c r="I542" s="20" t="str">
        <f ca="1">INDIRECT(_xlfn.TEXTJOIN("",TRUE,A557,"!",ADDRESS(16+(A558-1)*A554,13)))</f>
        <v/>
      </c>
      <c r="J542" s="20" t="e">
        <f ca="1">INDIRECT(_xlfn.TEXTJOIN("",TRUE,A557,"!",ADDRESS(16+(A558-1)*A554,14)))</f>
        <v>#N/A</v>
      </c>
    </row>
    <row r="543" spans="1:10" ht="26.25" customHeight="1" x14ac:dyDescent="0.2">
      <c r="A543" s="96" t="str">
        <f ca="1">INDIRECT(_xlfn.TEXTJOIN("",TRUE,A557,"!",ADDRESS(17+(A558-1)*A554,1)))</f>
        <v/>
      </c>
      <c r="B543" s="97"/>
      <c r="C543" s="106" t="str">
        <f ca="1">INDIRECT(_xlfn.TEXTJOIN("",TRUE,A557,"!",ADDRESS(17+(A558-1)*A554,2)))</f>
        <v/>
      </c>
      <c r="D543" s="107"/>
      <c r="E543" s="107"/>
      <c r="F543" s="107"/>
      <c r="G543" s="108"/>
      <c r="H543" s="20" t="str">
        <f ca="1">INDIRECT(_xlfn.TEXTJOIN("",TRUE,A557,"!",ADDRESS(17+(A558-1)*A554,6)))</f>
        <v/>
      </c>
      <c r="I543" s="20" t="str">
        <f ca="1">INDIRECT(_xlfn.TEXTJOIN("",TRUE,A557,"!",ADDRESS(17+(A558-1)*A554,13)))</f>
        <v/>
      </c>
      <c r="J543" s="20" t="e">
        <f ca="1">INDIRECT(_xlfn.TEXTJOIN("",TRUE,A557,"!",ADDRESS(17+(A558-1)*A554,14)))</f>
        <v>#N/A</v>
      </c>
    </row>
    <row r="544" spans="1:10" ht="26.25" customHeight="1" x14ac:dyDescent="0.2">
      <c r="A544" s="96" t="str">
        <f ca="1">INDIRECT(_xlfn.TEXTJOIN("",TRUE,A557,"!",ADDRESS(18+(A558-1)*A554,1)))</f>
        <v/>
      </c>
      <c r="B544" s="97"/>
      <c r="C544" s="106" t="str">
        <f ca="1">INDIRECT(_xlfn.TEXTJOIN("",TRUE,A557,"!",ADDRESS(18+(A558-1)*A554,2)))</f>
        <v/>
      </c>
      <c r="D544" s="107"/>
      <c r="E544" s="107"/>
      <c r="F544" s="107"/>
      <c r="G544" s="108"/>
      <c r="H544" s="20" t="str">
        <f ca="1">INDIRECT(_xlfn.TEXTJOIN("",TRUE,A557,"!",ADDRESS(18+(A558-1)*A554,6)))</f>
        <v/>
      </c>
      <c r="I544" s="20" t="str">
        <f ca="1">INDIRECT(_xlfn.TEXTJOIN("",TRUE,A557,"!",ADDRESS(18+(A558-1)*A554,13)))</f>
        <v/>
      </c>
      <c r="J544" s="20" t="e">
        <f ca="1">INDIRECT(_xlfn.TEXTJOIN("",TRUE,A557,"!",ADDRESS(18+(A558-1)*A554,14)))</f>
        <v>#N/A</v>
      </c>
    </row>
    <row r="545" spans="1:10" ht="26.25" customHeight="1" x14ac:dyDescent="0.2">
      <c r="A545" s="96" t="str">
        <f ca="1">INDIRECT(_xlfn.TEXTJOIN("",TRUE,A557,"!",ADDRESS(19+(A558-1)*A554,1)))</f>
        <v/>
      </c>
      <c r="B545" s="97"/>
      <c r="C545" s="106" t="str">
        <f ca="1">INDIRECT(_xlfn.TEXTJOIN("",TRUE,A557,"!",ADDRESS(19+(A558-1)*A554,2)))</f>
        <v/>
      </c>
      <c r="D545" s="107"/>
      <c r="E545" s="107"/>
      <c r="F545" s="107"/>
      <c r="G545" s="108"/>
      <c r="H545" s="20" t="str">
        <f ca="1">INDIRECT(_xlfn.TEXTJOIN("",TRUE,A557,"!",ADDRESS(19+(A558-1)*A554,6)))</f>
        <v/>
      </c>
      <c r="I545" s="20" t="str">
        <f ca="1">INDIRECT(_xlfn.TEXTJOIN("",TRUE,A557,"!",ADDRESS(19+(A558-1)*A554,13)))</f>
        <v/>
      </c>
      <c r="J545" s="20" t="e">
        <f ca="1">INDIRECT(_xlfn.TEXTJOIN("",TRUE,A557,"!",ADDRESS(19+(A558-1)*A554,14)))</f>
        <v>#N/A</v>
      </c>
    </row>
    <row r="546" spans="1:10" ht="26.25" customHeight="1" x14ac:dyDescent="0.2">
      <c r="A546" s="96" t="str">
        <f ca="1">INDIRECT(_xlfn.TEXTJOIN("",TRUE,A557,"!",ADDRESS(20+(A558-1)*A554,1)))</f>
        <v/>
      </c>
      <c r="B546" s="97"/>
      <c r="C546" s="106" t="str">
        <f ca="1">INDIRECT(_xlfn.TEXTJOIN("",TRUE,A557,"!",ADDRESS(20+(A558-1)*A554,2)))</f>
        <v/>
      </c>
      <c r="D546" s="107"/>
      <c r="E546" s="107"/>
      <c r="F546" s="107"/>
      <c r="G546" s="108"/>
      <c r="H546" s="20" t="str">
        <f ca="1">INDIRECT(_xlfn.TEXTJOIN("",TRUE,A557,"!",ADDRESS(20+(A558-1)*A554,6)))</f>
        <v/>
      </c>
      <c r="I546" s="20" t="str">
        <f ca="1">INDIRECT(_xlfn.TEXTJOIN("",TRUE,A557,"!",ADDRESS(20+(A558-1)*A554,13)))</f>
        <v/>
      </c>
      <c r="J546" s="20" t="e">
        <f ca="1">INDIRECT(_xlfn.TEXTJOIN("",TRUE,A557,"!",ADDRESS(20+(A558-1)*A554,14)))</f>
        <v>#N/A</v>
      </c>
    </row>
    <row r="547" spans="1:10" ht="26.25" customHeight="1" x14ac:dyDescent="0.2">
      <c r="A547" s="96" t="str">
        <f ca="1">INDIRECT(_xlfn.TEXTJOIN("",TRUE,A557,"!",ADDRESS(21+(A558-1)*A554,1)))</f>
        <v/>
      </c>
      <c r="B547" s="97"/>
      <c r="C547" s="106" t="str">
        <f ca="1">INDIRECT(_xlfn.TEXTJOIN("",TRUE,A557,"!",ADDRESS(21+(A558-1)*A554,2)))</f>
        <v/>
      </c>
      <c r="D547" s="107"/>
      <c r="E547" s="107"/>
      <c r="F547" s="107"/>
      <c r="G547" s="108"/>
      <c r="H547" s="20" t="str">
        <f ca="1">INDIRECT(_xlfn.TEXTJOIN("",TRUE,A557,"!",ADDRESS(21+(A558-1)*A554,6)))</f>
        <v/>
      </c>
      <c r="I547" s="20" t="str">
        <f ca="1">INDIRECT(_xlfn.TEXTJOIN("",TRUE,A557,"!",ADDRESS(21+(A558-1)*A554,13)))</f>
        <v/>
      </c>
      <c r="J547" s="20" t="e">
        <f ca="1">INDIRECT(_xlfn.TEXTJOIN("",TRUE,A557,"!",ADDRESS(21+(A558-1)*A554,14)))</f>
        <v>#N/A</v>
      </c>
    </row>
    <row r="548" spans="1:10" ht="26.25" customHeight="1" x14ac:dyDescent="0.2">
      <c r="A548" s="96" t="str">
        <f ca="1">INDIRECT(_xlfn.TEXTJOIN("",TRUE,A557,"!",ADDRESS(22+(A558-1)*A554,1)))</f>
        <v/>
      </c>
      <c r="B548" s="97"/>
      <c r="C548" s="106" t="str">
        <f ca="1">INDIRECT(_xlfn.TEXTJOIN("",TRUE,A557,"!",ADDRESS(22+(A558-1)*A554,2)))</f>
        <v/>
      </c>
      <c r="D548" s="107"/>
      <c r="E548" s="107"/>
      <c r="F548" s="107"/>
      <c r="G548" s="108"/>
      <c r="H548" s="20" t="str">
        <f ca="1">INDIRECT(_xlfn.TEXTJOIN("",TRUE,A557,"!",ADDRESS(22+(A558-1)*A554,6)))</f>
        <v/>
      </c>
      <c r="I548" s="20" t="str">
        <f ca="1">INDIRECT(_xlfn.TEXTJOIN("",TRUE,A557,"!",ADDRESS(22+(A558-1)*A554,13)))</f>
        <v/>
      </c>
      <c r="J548" s="20" t="e">
        <f ca="1">INDIRECT(_xlfn.TEXTJOIN("",TRUE,A557,"!",ADDRESS(22+(A558-1)*A554,14)))</f>
        <v>#N/A</v>
      </c>
    </row>
    <row r="549" spans="1:10" ht="26.25" customHeight="1" x14ac:dyDescent="0.2">
      <c r="A549" s="110" t="str">
        <f ca="1">INDIRECT(_xlfn.TEXTJOIN("",TRUE,A557,"!",ADDRESS(23+(A558-1)*A554,1)))</f>
        <v/>
      </c>
      <c r="B549" s="111"/>
      <c r="C549" s="115" t="str">
        <f ca="1">INDIRECT(_xlfn.TEXTJOIN("",TRUE,A557,"!",ADDRESS(23+(A558-1)*A554,2)))</f>
        <v/>
      </c>
      <c r="D549" s="116"/>
      <c r="E549" s="116"/>
      <c r="F549" s="116"/>
      <c r="G549" s="117"/>
      <c r="H549" s="20" t="str">
        <f ca="1">INDIRECT(_xlfn.TEXTJOIN("",TRUE,A557,"!",ADDRESS(23+(A558-1)*A554,6)))</f>
        <v/>
      </c>
      <c r="I549" s="20" t="str">
        <f ca="1">INDIRECT(_xlfn.TEXTJOIN("",TRUE,A557,"!",ADDRESS(23+(A558-1)*A554,13)))</f>
        <v/>
      </c>
      <c r="J549" s="20" t="e">
        <f ca="1">INDIRECT(_xlfn.TEXTJOIN("",TRUE,A557,"!",ADDRESS(23+(A558-1)*A554,14)))</f>
        <v>#N/A</v>
      </c>
    </row>
    <row r="550" spans="1:10" ht="26.25" customHeight="1" x14ac:dyDescent="0.2">
      <c r="A550" s="110" t="str">
        <f ca="1">INDIRECT(_xlfn.TEXTJOIN("",TRUE,A557,"!",ADDRESS(24+(A558-1)*A554,1)))</f>
        <v/>
      </c>
      <c r="B550" s="111"/>
      <c r="C550" s="115" t="str">
        <f ca="1">INDIRECT(_xlfn.TEXTJOIN("",TRUE,A557,"!",ADDRESS(24+(A558-1)*A554,2)))</f>
        <v/>
      </c>
      <c r="D550" s="116"/>
      <c r="E550" s="116"/>
      <c r="F550" s="116"/>
      <c r="G550" s="117"/>
      <c r="H550" s="20" t="str">
        <f ca="1">INDIRECT(_xlfn.TEXTJOIN("",TRUE,A557,"!",ADDRESS(24+(A558-1)*A554,6)))</f>
        <v/>
      </c>
      <c r="I550" s="20" t="str">
        <f ca="1">INDIRECT(_xlfn.TEXTJOIN("",TRUE,A557,"!",ADDRESS(24+(A558-1)*A554,13)))</f>
        <v/>
      </c>
      <c r="J550" s="20" t="e">
        <f ca="1">INDIRECT(_xlfn.TEXTJOIN("",TRUE,A557,"!",ADDRESS(24+(A558-1)*A554,14)))</f>
        <v>#N/A</v>
      </c>
    </row>
    <row r="551" spans="1:10" ht="26.25" customHeight="1" x14ac:dyDescent="0.2">
      <c r="A551" s="110" t="str">
        <f ca="1">INDIRECT(_xlfn.TEXTJOIN("",TRUE,A557,"!",ADDRESS(25+(A558-1)*A554,1)))</f>
        <v/>
      </c>
      <c r="B551" s="111"/>
      <c r="C551" s="115" t="str">
        <f ca="1">INDIRECT(_xlfn.TEXTJOIN("",TRUE,A557,"!",ADDRESS(25+(A558-1)*A554,2)))</f>
        <v/>
      </c>
      <c r="D551" s="116"/>
      <c r="E551" s="116"/>
      <c r="F551" s="116"/>
      <c r="G551" s="117"/>
      <c r="H551" s="20" t="str">
        <f ca="1">INDIRECT(_xlfn.TEXTJOIN("",TRUE,A557,"!",ADDRESS(25+(A558-1)*A554,6)))</f>
        <v/>
      </c>
      <c r="I551" s="20" t="str">
        <f ca="1">INDIRECT(_xlfn.TEXTJOIN("",TRUE,A557,"!",ADDRESS(25+(A558-1)*A554,13)))</f>
        <v/>
      </c>
      <c r="J551" s="20" t="e">
        <f ca="1">INDIRECT(_xlfn.TEXTJOIN("",TRUE,A557,"!",ADDRESS(25+(A558-1)*A554,14)))</f>
        <v>#N/A</v>
      </c>
    </row>
    <row r="552" spans="1:10" ht="26.25" customHeight="1" x14ac:dyDescent="0.2">
      <c r="A552" s="100" t="s">
        <v>52</v>
      </c>
      <c r="B552" s="101"/>
      <c r="C552" s="101"/>
      <c r="D552" s="101"/>
      <c r="E552" s="101"/>
      <c r="F552" s="101"/>
      <c r="G552" s="102"/>
      <c r="H552" s="98">
        <f ca="1">SUM(H539:H552)</f>
        <v>24</v>
      </c>
      <c r="I552" s="98" t="s">
        <v>44</v>
      </c>
      <c r="J552" s="98" t="e">
        <f ca="1">SUMPRODUCT(J539:J551,H539:H551)</f>
        <v>#N/A</v>
      </c>
    </row>
    <row r="553" spans="1:10" ht="26.25" customHeight="1" x14ac:dyDescent="0.2">
      <c r="A553" s="103"/>
      <c r="B553" s="104"/>
      <c r="C553" s="104"/>
      <c r="D553" s="104"/>
      <c r="E553" s="104"/>
      <c r="F553" s="104"/>
      <c r="G553" s="105"/>
      <c r="H553" s="99"/>
      <c r="I553" s="99"/>
      <c r="J553" s="99"/>
    </row>
    <row r="554" spans="1:10" ht="26.25" customHeight="1" x14ac:dyDescent="0.2">
      <c r="A554" s="22">
        <f>ROWS(A539:B552)+9</f>
        <v>23</v>
      </c>
      <c r="B554" s="17"/>
      <c r="C554" s="17"/>
      <c r="D554" s="17"/>
      <c r="E554" s="17"/>
      <c r="F554" s="17"/>
      <c r="G554" s="17"/>
      <c r="H554" s="17"/>
      <c r="I554" s="17"/>
      <c r="J554" s="17"/>
    </row>
    <row r="555" spans="1:10" ht="26.25" customHeight="1" x14ac:dyDescent="0.2">
      <c r="A555" s="120" t="s">
        <v>40</v>
      </c>
      <c r="B555" s="120"/>
      <c r="C555" s="21" t="str">
        <f ca="1">INDIRECT(_xlfn.TEXTJOIN("",TRUE,A557,"!",ADDRESS(5+A558*A554,12)))</f>
        <v/>
      </c>
      <c r="D555" s="120" t="s">
        <v>38</v>
      </c>
      <c r="E555" s="120"/>
      <c r="F555" s="18" t="str">
        <f ca="1">INDIRECT(_xlfn.TEXTJOIN("",TRUE,A557,"!",ADDRESS(5+A558*A554,8)))</f>
        <v/>
      </c>
      <c r="G555" s="120" t="s">
        <v>39</v>
      </c>
      <c r="H555" s="120"/>
      <c r="I555" s="109" t="str">
        <f ca="1">INDIRECT(_xlfn.TEXTJOIN("",TRUE,A557,"!",ADDRESS(5+A558*A554,10)))</f>
        <v/>
      </c>
      <c r="J555" s="109"/>
    </row>
    <row r="556" spans="1:10" ht="26.25" customHeight="1" x14ac:dyDescent="0.2">
      <c r="A556" s="19" t="s">
        <v>36</v>
      </c>
      <c r="B556" s="95" t="str">
        <f ca="1">INDIRECT(_xlfn.TEXTJOIN("",TRUE,A557,"!",ADDRESS(5+A558*A554,2)))</f>
        <v/>
      </c>
      <c r="C556" s="95"/>
      <c r="D556" s="121" t="s">
        <v>37</v>
      </c>
      <c r="E556" s="121"/>
      <c r="F556" s="122" t="str">
        <f ca="1">INDIRECT(_xlfn.TEXTJOIN("",TRUE,A557,"!",ADDRESS(5+A558*A554,5)))</f>
        <v/>
      </c>
      <c r="G556" s="122"/>
      <c r="H556" s="122"/>
      <c r="I556" s="122"/>
      <c r="J556" s="122"/>
    </row>
    <row r="557" spans="1:10" ht="26.25" customHeight="1" x14ac:dyDescent="0.2">
      <c r="A557" s="22" t="str">
        <f>A534</f>
        <v>TC_I</v>
      </c>
    </row>
    <row r="558" spans="1:10" ht="26.25" customHeight="1" x14ac:dyDescent="0.2">
      <c r="A558" s="22">
        <f>A535+1</f>
        <v>24</v>
      </c>
    </row>
    <row r="559" spans="1:10" ht="26.25" customHeight="1" x14ac:dyDescent="0.2">
      <c r="A559" s="112" t="s">
        <v>24</v>
      </c>
      <c r="B559" s="112"/>
      <c r="C559" s="112" t="str">
        <f ca="1">INDIRECT(_xlfn.TEXTJOIN("",TRUE,A580,"!",ADDRESS(9+(A581-1)*A577,2)))</f>
        <v/>
      </c>
      <c r="D559" s="112"/>
      <c r="E559" s="112"/>
      <c r="F559" s="112" t="s">
        <v>50</v>
      </c>
      <c r="G559" s="112"/>
      <c r="H559" s="112"/>
      <c r="I559" s="113" t="str">
        <f ca="1">INDIRECT(_xlfn.TEXTJOIN("",TRUE,A580,"!",ADDRESS(9+(A581-1)*A577,9)))</f>
        <v/>
      </c>
      <c r="J559" s="113"/>
    </row>
    <row r="560" spans="1:10" ht="26.25" customHeight="1" x14ac:dyDescent="0.2">
      <c r="A560" s="112" t="s">
        <v>25</v>
      </c>
      <c r="B560" s="112"/>
      <c r="C560" s="112" t="str">
        <f ca="1">INDIRECT(_xlfn.TEXTJOIN("",TRUE,A580,"!",ADDRESS(9+(A581-1)*A577,5)))</f>
        <v/>
      </c>
      <c r="D560" s="112"/>
      <c r="E560" s="112"/>
      <c r="F560" s="114" t="s">
        <v>51</v>
      </c>
      <c r="G560" s="114"/>
      <c r="H560" s="114"/>
      <c r="I560" s="113" t="str">
        <f ca="1">INDIRECT(_xlfn.TEXTJOIN("",TRUE,A580,"!",ADDRESS(9+(A581-1)*A577,13)))</f>
        <v/>
      </c>
      <c r="J560" s="113"/>
    </row>
    <row r="561" spans="1:10" ht="26.25" customHeight="1" x14ac:dyDescent="0.2">
      <c r="A561" s="95" t="s">
        <v>28</v>
      </c>
      <c r="B561" s="95"/>
      <c r="C561" s="95" t="s">
        <v>29</v>
      </c>
      <c r="D561" s="95"/>
      <c r="E561" s="95"/>
      <c r="F561" s="95"/>
      <c r="G561" s="95"/>
      <c r="H561" s="15" t="s">
        <v>30</v>
      </c>
      <c r="I561" s="15" t="s">
        <v>9</v>
      </c>
      <c r="J561" s="15" t="s">
        <v>34</v>
      </c>
    </row>
    <row r="562" spans="1:10" ht="26.25" customHeight="1" x14ac:dyDescent="0.2">
      <c r="A562" s="96" t="str">
        <f ca="1">INDIRECT(_xlfn.TEXTJOIN("",TRUE,A580,"!",ADDRESS(13+(A581-1)*A577,1)))</f>
        <v/>
      </c>
      <c r="B562" s="97"/>
      <c r="C562" s="106" t="str">
        <f ca="1">INDIRECT(_xlfn.TEXTJOIN("",TRUE,A580,"!",ADDRESS(13+(A581-1)*A577,2)))</f>
        <v/>
      </c>
      <c r="D562" s="107"/>
      <c r="E562" s="107"/>
      <c r="F562" s="107"/>
      <c r="G562" s="108"/>
      <c r="H562" s="20" t="str">
        <f ca="1">INDIRECT(_xlfn.TEXTJOIN("",TRUE,A580,"!",ADDRESS(13+(A581-1)*A577,6)))</f>
        <v/>
      </c>
      <c r="I562" s="20" t="str">
        <f ca="1">INDIRECT(_xlfn.TEXTJOIN("",TRUE,A580,"!",ADDRESS(13+(A581-1)*A577,13)))</f>
        <v/>
      </c>
      <c r="J562" s="20" t="e">
        <f ca="1">INDIRECT(_xlfn.TEXTJOIN("",TRUE,A580,"!",ADDRESS(13+(A581-1)*A577,14)))</f>
        <v>#N/A</v>
      </c>
    </row>
    <row r="563" spans="1:10" ht="26.25" customHeight="1" x14ac:dyDescent="0.2">
      <c r="A563" s="96" t="str">
        <f ca="1">INDIRECT(_xlfn.TEXTJOIN("",TRUE,A580,"!",ADDRESS(14+(A581-1)*A577,1)))</f>
        <v/>
      </c>
      <c r="B563" s="97"/>
      <c r="C563" s="106" t="str">
        <f ca="1">INDIRECT(_xlfn.TEXTJOIN("",TRUE,A580,"!",ADDRESS(14+(A581-1)*A577,2)))</f>
        <v/>
      </c>
      <c r="D563" s="107"/>
      <c r="E563" s="107"/>
      <c r="F563" s="107"/>
      <c r="G563" s="108"/>
      <c r="H563" s="20" t="str">
        <f ca="1">INDIRECT(_xlfn.TEXTJOIN("",TRUE,A580,"!",ADDRESS(14+(A581-1)*A577,6)))</f>
        <v/>
      </c>
      <c r="I563" s="20" t="str">
        <f ca="1">INDIRECT(_xlfn.TEXTJOIN("",TRUE,A580,"!",ADDRESS(14+(A581-1)*A577,13)))</f>
        <v/>
      </c>
      <c r="J563" s="20" t="e">
        <f ca="1">INDIRECT(_xlfn.TEXTJOIN("",TRUE,A580,"!",ADDRESS(14+(A581-1)*A577,14)))</f>
        <v>#N/A</v>
      </c>
    </row>
    <row r="564" spans="1:10" ht="26.25" customHeight="1" x14ac:dyDescent="0.2">
      <c r="A564" s="96" t="str">
        <f ca="1">INDIRECT(_xlfn.TEXTJOIN("",TRUE,A580,"!",ADDRESS(15+(A581-1)*A577,1)))</f>
        <v/>
      </c>
      <c r="B564" s="97"/>
      <c r="C564" s="106" t="str">
        <f ca="1">INDIRECT(_xlfn.TEXTJOIN("",TRUE,A580,"!",ADDRESS(15+(A581-1)*A577,2)))</f>
        <v/>
      </c>
      <c r="D564" s="107"/>
      <c r="E564" s="107"/>
      <c r="F564" s="107"/>
      <c r="G564" s="108"/>
      <c r="H564" s="20" t="str">
        <f ca="1">INDIRECT(_xlfn.TEXTJOIN("",TRUE,A580,"!",ADDRESS(15+(A581-1)*A577,6)))</f>
        <v/>
      </c>
      <c r="I564" s="20" t="str">
        <f ca="1">INDIRECT(_xlfn.TEXTJOIN("",TRUE,A580,"!",ADDRESS(15+(A581-1)*A577,13)))</f>
        <v/>
      </c>
      <c r="J564" s="20" t="e">
        <f ca="1">INDIRECT(_xlfn.TEXTJOIN("",TRUE,A580,"!",ADDRESS(15+(A581-1)*A577,14)))</f>
        <v>#N/A</v>
      </c>
    </row>
    <row r="565" spans="1:10" ht="26.25" customHeight="1" x14ac:dyDescent="0.2">
      <c r="A565" s="96" t="str">
        <f ca="1">INDIRECT(_xlfn.TEXTJOIN("",TRUE,A580,"!",ADDRESS(16+(A581-1)*A577,1)))</f>
        <v/>
      </c>
      <c r="B565" s="97"/>
      <c r="C565" s="106" t="str">
        <f ca="1">INDIRECT(_xlfn.TEXTJOIN("",TRUE,A580,"!",ADDRESS(16+(A581-1)*A577,2)))</f>
        <v/>
      </c>
      <c r="D565" s="107"/>
      <c r="E565" s="107"/>
      <c r="F565" s="107"/>
      <c r="G565" s="108"/>
      <c r="H565" s="20" t="str">
        <f ca="1">INDIRECT(_xlfn.TEXTJOIN("",TRUE,A580,"!",ADDRESS(16+(A581-1)*A577,6)))</f>
        <v/>
      </c>
      <c r="I565" s="20" t="str">
        <f ca="1">INDIRECT(_xlfn.TEXTJOIN("",TRUE,A580,"!",ADDRESS(16+(A581-1)*A577,13)))</f>
        <v/>
      </c>
      <c r="J565" s="20" t="e">
        <f ca="1">INDIRECT(_xlfn.TEXTJOIN("",TRUE,A580,"!",ADDRESS(16+(A581-1)*A577,14)))</f>
        <v>#N/A</v>
      </c>
    </row>
    <row r="566" spans="1:10" ht="26.25" customHeight="1" x14ac:dyDescent="0.2">
      <c r="A566" s="96" t="str">
        <f ca="1">INDIRECT(_xlfn.TEXTJOIN("",TRUE,A580,"!",ADDRESS(17+(A581-1)*A577,1)))</f>
        <v/>
      </c>
      <c r="B566" s="97"/>
      <c r="C566" s="106" t="str">
        <f ca="1">INDIRECT(_xlfn.TEXTJOIN("",TRUE,A580,"!",ADDRESS(17+(A581-1)*A577,2)))</f>
        <v/>
      </c>
      <c r="D566" s="107"/>
      <c r="E566" s="107"/>
      <c r="F566" s="107"/>
      <c r="G566" s="108"/>
      <c r="H566" s="20" t="str">
        <f ca="1">INDIRECT(_xlfn.TEXTJOIN("",TRUE,A580,"!",ADDRESS(17+(A581-1)*A577,6)))</f>
        <v/>
      </c>
      <c r="I566" s="20" t="str">
        <f ca="1">INDIRECT(_xlfn.TEXTJOIN("",TRUE,A580,"!",ADDRESS(17+(A581-1)*A577,13)))</f>
        <v/>
      </c>
      <c r="J566" s="20" t="e">
        <f ca="1">INDIRECT(_xlfn.TEXTJOIN("",TRUE,A580,"!",ADDRESS(17+(A581-1)*A577,14)))</f>
        <v>#N/A</v>
      </c>
    </row>
    <row r="567" spans="1:10" ht="26.25" customHeight="1" x14ac:dyDescent="0.2">
      <c r="A567" s="96" t="str">
        <f ca="1">INDIRECT(_xlfn.TEXTJOIN("",TRUE,A580,"!",ADDRESS(18+(A581-1)*A577,1)))</f>
        <v/>
      </c>
      <c r="B567" s="97"/>
      <c r="C567" s="106" t="str">
        <f ca="1">INDIRECT(_xlfn.TEXTJOIN("",TRUE,A580,"!",ADDRESS(18+(A581-1)*A577,2)))</f>
        <v/>
      </c>
      <c r="D567" s="107"/>
      <c r="E567" s="107"/>
      <c r="F567" s="107"/>
      <c r="G567" s="108"/>
      <c r="H567" s="20" t="str">
        <f ca="1">INDIRECT(_xlfn.TEXTJOIN("",TRUE,A580,"!",ADDRESS(18+(A581-1)*A577,6)))</f>
        <v/>
      </c>
      <c r="I567" s="20" t="str">
        <f ca="1">INDIRECT(_xlfn.TEXTJOIN("",TRUE,A580,"!",ADDRESS(18+(A581-1)*A577,13)))</f>
        <v/>
      </c>
      <c r="J567" s="20" t="e">
        <f ca="1">INDIRECT(_xlfn.TEXTJOIN("",TRUE,A580,"!",ADDRESS(18+(A581-1)*A577,14)))</f>
        <v>#N/A</v>
      </c>
    </row>
    <row r="568" spans="1:10" ht="26.25" customHeight="1" x14ac:dyDescent="0.2">
      <c r="A568" s="96" t="str">
        <f ca="1">INDIRECT(_xlfn.TEXTJOIN("",TRUE,A580,"!",ADDRESS(19+(A581-1)*A577,1)))</f>
        <v/>
      </c>
      <c r="B568" s="97"/>
      <c r="C568" s="106" t="str">
        <f ca="1">INDIRECT(_xlfn.TEXTJOIN("",TRUE,A580,"!",ADDRESS(19+(A581-1)*A577,2)))</f>
        <v/>
      </c>
      <c r="D568" s="107"/>
      <c r="E568" s="107"/>
      <c r="F568" s="107"/>
      <c r="G568" s="108"/>
      <c r="H568" s="20" t="str">
        <f ca="1">INDIRECT(_xlfn.TEXTJOIN("",TRUE,A580,"!",ADDRESS(19+(A581-1)*A577,6)))</f>
        <v/>
      </c>
      <c r="I568" s="20" t="str">
        <f ca="1">INDIRECT(_xlfn.TEXTJOIN("",TRUE,A580,"!",ADDRESS(19+(A581-1)*A577,13)))</f>
        <v/>
      </c>
      <c r="J568" s="20" t="e">
        <f ca="1">INDIRECT(_xlfn.TEXTJOIN("",TRUE,A580,"!",ADDRESS(19+(A581-1)*A577,14)))</f>
        <v>#N/A</v>
      </c>
    </row>
    <row r="569" spans="1:10" ht="26.25" customHeight="1" x14ac:dyDescent="0.2">
      <c r="A569" s="96" t="str">
        <f ca="1">INDIRECT(_xlfn.TEXTJOIN("",TRUE,A580,"!",ADDRESS(20+(A581-1)*A577,1)))</f>
        <v/>
      </c>
      <c r="B569" s="97"/>
      <c r="C569" s="106" t="str">
        <f ca="1">INDIRECT(_xlfn.TEXTJOIN("",TRUE,A580,"!",ADDRESS(20+(A581-1)*A577,2)))</f>
        <v/>
      </c>
      <c r="D569" s="107"/>
      <c r="E569" s="107"/>
      <c r="F569" s="107"/>
      <c r="G569" s="108"/>
      <c r="H569" s="20" t="str">
        <f ca="1">INDIRECT(_xlfn.TEXTJOIN("",TRUE,A580,"!",ADDRESS(20+(A581-1)*A577,6)))</f>
        <v/>
      </c>
      <c r="I569" s="20" t="str">
        <f ca="1">INDIRECT(_xlfn.TEXTJOIN("",TRUE,A580,"!",ADDRESS(20+(A581-1)*A577,13)))</f>
        <v/>
      </c>
      <c r="J569" s="20" t="e">
        <f ca="1">INDIRECT(_xlfn.TEXTJOIN("",TRUE,A580,"!",ADDRESS(20+(A581-1)*A577,14)))</f>
        <v>#N/A</v>
      </c>
    </row>
    <row r="570" spans="1:10" ht="26.25" customHeight="1" x14ac:dyDescent="0.2">
      <c r="A570" s="96" t="str">
        <f ca="1">INDIRECT(_xlfn.TEXTJOIN("",TRUE,A580,"!",ADDRESS(21+(A581-1)*A577,1)))</f>
        <v/>
      </c>
      <c r="B570" s="97"/>
      <c r="C570" s="106" t="str">
        <f ca="1">INDIRECT(_xlfn.TEXTJOIN("",TRUE,A580,"!",ADDRESS(21+(A581-1)*A577,2)))</f>
        <v/>
      </c>
      <c r="D570" s="107"/>
      <c r="E570" s="107"/>
      <c r="F570" s="107"/>
      <c r="G570" s="108"/>
      <c r="H570" s="20" t="str">
        <f ca="1">INDIRECT(_xlfn.TEXTJOIN("",TRUE,A580,"!",ADDRESS(21+(A581-1)*A577,6)))</f>
        <v/>
      </c>
      <c r="I570" s="20" t="str">
        <f ca="1">INDIRECT(_xlfn.TEXTJOIN("",TRUE,A580,"!",ADDRESS(21+(A581-1)*A577,13)))</f>
        <v/>
      </c>
      <c r="J570" s="20" t="e">
        <f ca="1">INDIRECT(_xlfn.TEXTJOIN("",TRUE,A580,"!",ADDRESS(21+(A581-1)*A577,14)))</f>
        <v>#N/A</v>
      </c>
    </row>
    <row r="571" spans="1:10" ht="26.25" customHeight="1" x14ac:dyDescent="0.2">
      <c r="A571" s="96" t="str">
        <f ca="1">INDIRECT(_xlfn.TEXTJOIN("",TRUE,A580,"!",ADDRESS(22+(A581-1)*A577,1)))</f>
        <v/>
      </c>
      <c r="B571" s="97"/>
      <c r="C571" s="106" t="str">
        <f ca="1">INDIRECT(_xlfn.TEXTJOIN("",TRUE,A580,"!",ADDRESS(22+(A581-1)*A577,2)))</f>
        <v/>
      </c>
      <c r="D571" s="107"/>
      <c r="E571" s="107"/>
      <c r="F571" s="107"/>
      <c r="G571" s="108"/>
      <c r="H571" s="20" t="str">
        <f ca="1">INDIRECT(_xlfn.TEXTJOIN("",TRUE,A580,"!",ADDRESS(22+(A581-1)*A577,6)))</f>
        <v/>
      </c>
      <c r="I571" s="20" t="str">
        <f ca="1">INDIRECT(_xlfn.TEXTJOIN("",TRUE,A580,"!",ADDRESS(22+(A581-1)*A577,13)))</f>
        <v/>
      </c>
      <c r="J571" s="20" t="e">
        <f ca="1">INDIRECT(_xlfn.TEXTJOIN("",TRUE,A580,"!",ADDRESS(22+(A581-1)*A577,14)))</f>
        <v>#N/A</v>
      </c>
    </row>
    <row r="572" spans="1:10" ht="26.25" customHeight="1" x14ac:dyDescent="0.2">
      <c r="A572" s="110" t="str">
        <f ca="1">INDIRECT(_xlfn.TEXTJOIN("",TRUE,A580,"!",ADDRESS(23+(A581-1)*A577,1)))</f>
        <v/>
      </c>
      <c r="B572" s="111"/>
      <c r="C572" s="115" t="str">
        <f ca="1">INDIRECT(_xlfn.TEXTJOIN("",TRUE,A580,"!",ADDRESS(23+(A581-1)*A577,2)))</f>
        <v/>
      </c>
      <c r="D572" s="116"/>
      <c r="E572" s="116"/>
      <c r="F572" s="116"/>
      <c r="G572" s="117"/>
      <c r="H572" s="20" t="str">
        <f ca="1">INDIRECT(_xlfn.TEXTJOIN("",TRUE,A580,"!",ADDRESS(23+(A581-1)*A577,6)))</f>
        <v/>
      </c>
      <c r="I572" s="20" t="str">
        <f ca="1">INDIRECT(_xlfn.TEXTJOIN("",TRUE,A580,"!",ADDRESS(23+(A581-1)*A577,13)))</f>
        <v/>
      </c>
      <c r="J572" s="20" t="e">
        <f ca="1">INDIRECT(_xlfn.TEXTJOIN("",TRUE,A580,"!",ADDRESS(23+(A581-1)*A577,14)))</f>
        <v>#N/A</v>
      </c>
    </row>
    <row r="573" spans="1:10" ht="26.25" customHeight="1" x14ac:dyDescent="0.2">
      <c r="A573" s="110" t="str">
        <f ca="1">INDIRECT(_xlfn.TEXTJOIN("",TRUE,A580,"!",ADDRESS(24+(A581-1)*A577,1)))</f>
        <v/>
      </c>
      <c r="B573" s="111"/>
      <c r="C573" s="115" t="str">
        <f ca="1">INDIRECT(_xlfn.TEXTJOIN("",TRUE,A580,"!",ADDRESS(24+(A581-1)*A577,2)))</f>
        <v/>
      </c>
      <c r="D573" s="116"/>
      <c r="E573" s="116"/>
      <c r="F573" s="116"/>
      <c r="G573" s="117"/>
      <c r="H573" s="20" t="str">
        <f ca="1">INDIRECT(_xlfn.TEXTJOIN("",TRUE,A580,"!",ADDRESS(24+(A581-1)*A577,6)))</f>
        <v/>
      </c>
      <c r="I573" s="20" t="str">
        <f ca="1">INDIRECT(_xlfn.TEXTJOIN("",TRUE,A580,"!",ADDRESS(24+(A581-1)*A577,13)))</f>
        <v/>
      </c>
      <c r="J573" s="20" t="e">
        <f ca="1">INDIRECT(_xlfn.TEXTJOIN("",TRUE,A580,"!",ADDRESS(24+(A581-1)*A577,14)))</f>
        <v>#N/A</v>
      </c>
    </row>
    <row r="574" spans="1:10" ht="26.25" customHeight="1" x14ac:dyDescent="0.2">
      <c r="A574" s="110" t="str">
        <f ca="1">INDIRECT(_xlfn.TEXTJOIN("",TRUE,A580,"!",ADDRESS(25+(A581-1)*A577,1)))</f>
        <v/>
      </c>
      <c r="B574" s="111"/>
      <c r="C574" s="115" t="str">
        <f ca="1">INDIRECT(_xlfn.TEXTJOIN("",TRUE,A580,"!",ADDRESS(25+(A581-1)*A577,2)))</f>
        <v/>
      </c>
      <c r="D574" s="116"/>
      <c r="E574" s="116"/>
      <c r="F574" s="116"/>
      <c r="G574" s="117"/>
      <c r="H574" s="20" t="str">
        <f ca="1">INDIRECT(_xlfn.TEXTJOIN("",TRUE,A580,"!",ADDRESS(25+(A581-1)*A577,6)))</f>
        <v/>
      </c>
      <c r="I574" s="20" t="str">
        <f ca="1">INDIRECT(_xlfn.TEXTJOIN("",TRUE,A580,"!",ADDRESS(25+(A581-1)*A577,13)))</f>
        <v/>
      </c>
      <c r="J574" s="20" t="e">
        <f ca="1">INDIRECT(_xlfn.TEXTJOIN("",TRUE,A580,"!",ADDRESS(25+(A581-1)*A577,14)))</f>
        <v>#N/A</v>
      </c>
    </row>
    <row r="575" spans="1:10" ht="26.25" customHeight="1" x14ac:dyDescent="0.2">
      <c r="A575" s="100" t="s">
        <v>52</v>
      </c>
      <c r="B575" s="101"/>
      <c r="C575" s="101"/>
      <c r="D575" s="101"/>
      <c r="E575" s="101"/>
      <c r="F575" s="101"/>
      <c r="G575" s="102"/>
      <c r="H575" s="98">
        <f ca="1">SUM(H562:H575)</f>
        <v>24</v>
      </c>
      <c r="I575" s="98" t="s">
        <v>44</v>
      </c>
      <c r="J575" s="98" t="e">
        <f ca="1">SUMPRODUCT(J562:J574,H562:H574)</f>
        <v>#N/A</v>
      </c>
    </row>
    <row r="576" spans="1:10" ht="26.25" customHeight="1" x14ac:dyDescent="0.2">
      <c r="A576" s="103"/>
      <c r="B576" s="104"/>
      <c r="C576" s="104"/>
      <c r="D576" s="104"/>
      <c r="E576" s="104"/>
      <c r="F576" s="104"/>
      <c r="G576" s="105"/>
      <c r="H576" s="99"/>
      <c r="I576" s="99"/>
      <c r="J576" s="99"/>
    </row>
    <row r="577" spans="1:10" ht="26.25" customHeight="1" x14ac:dyDescent="0.2">
      <c r="A577" s="22">
        <f>ROWS(A562:B575)+9</f>
        <v>23</v>
      </c>
      <c r="B577" s="17"/>
      <c r="C577" s="17"/>
      <c r="D577" s="17"/>
      <c r="E577" s="17"/>
      <c r="F577" s="17"/>
      <c r="G577" s="17"/>
      <c r="H577" s="17"/>
      <c r="I577" s="17"/>
      <c r="J577" s="17"/>
    </row>
    <row r="578" spans="1:10" ht="26.25" customHeight="1" x14ac:dyDescent="0.2">
      <c r="A578" s="120" t="s">
        <v>40</v>
      </c>
      <c r="B578" s="120"/>
      <c r="C578" s="21" t="str">
        <f ca="1">INDIRECT(_xlfn.TEXTJOIN("",TRUE,A580,"!",ADDRESS(5+A581*A577,12)))</f>
        <v/>
      </c>
      <c r="D578" s="120" t="s">
        <v>38</v>
      </c>
      <c r="E578" s="120"/>
      <c r="F578" s="18" t="str">
        <f ca="1">INDIRECT(_xlfn.TEXTJOIN("",TRUE,A580,"!",ADDRESS(5+A581*A577,8)))</f>
        <v/>
      </c>
      <c r="G578" s="120" t="s">
        <v>39</v>
      </c>
      <c r="H578" s="120"/>
      <c r="I578" s="109" t="str">
        <f ca="1">INDIRECT(_xlfn.TEXTJOIN("",TRUE,A580,"!",ADDRESS(5+A581*A577,10)))</f>
        <v/>
      </c>
      <c r="J578" s="109"/>
    </row>
    <row r="579" spans="1:10" ht="26.25" customHeight="1" x14ac:dyDescent="0.2">
      <c r="A579" s="19" t="s">
        <v>36</v>
      </c>
      <c r="B579" s="95" t="str">
        <f ca="1">INDIRECT(_xlfn.TEXTJOIN("",TRUE,A580,"!",ADDRESS(5+A581*A577,2)))</f>
        <v/>
      </c>
      <c r="C579" s="95"/>
      <c r="D579" s="121" t="s">
        <v>37</v>
      </c>
      <c r="E579" s="121"/>
      <c r="F579" s="122" t="str">
        <f ca="1">INDIRECT(_xlfn.TEXTJOIN("",TRUE,A580,"!",ADDRESS(5+A581*A577,5)))</f>
        <v/>
      </c>
      <c r="G579" s="122"/>
      <c r="H579" s="122"/>
      <c r="I579" s="122"/>
      <c r="J579" s="122"/>
    </row>
    <row r="580" spans="1:10" ht="26.25" customHeight="1" x14ac:dyDescent="0.2">
      <c r="A580" s="22" t="str">
        <f>A557</f>
        <v>TC_I</v>
      </c>
    </row>
    <row r="581" spans="1:10" ht="26.25" customHeight="1" x14ac:dyDescent="0.2">
      <c r="A581" s="22">
        <f>A558+1</f>
        <v>25</v>
      </c>
    </row>
    <row r="582" spans="1:10" ht="26.25" customHeight="1" x14ac:dyDescent="0.2">
      <c r="A582" s="112" t="s">
        <v>24</v>
      </c>
      <c r="B582" s="112"/>
      <c r="C582" s="112" t="str">
        <f ca="1">INDIRECT(_xlfn.TEXTJOIN("",TRUE,A603,"!",ADDRESS(9+(A604-1)*A600,2)))</f>
        <v/>
      </c>
      <c r="D582" s="112"/>
      <c r="E582" s="112"/>
      <c r="F582" s="112" t="s">
        <v>50</v>
      </c>
      <c r="G582" s="112"/>
      <c r="H582" s="112"/>
      <c r="I582" s="113" t="str">
        <f ca="1">INDIRECT(_xlfn.TEXTJOIN("",TRUE,A603,"!",ADDRESS(9+(A604-1)*A600,9)))</f>
        <v/>
      </c>
      <c r="J582" s="113"/>
    </row>
    <row r="583" spans="1:10" ht="26.25" customHeight="1" x14ac:dyDescent="0.2">
      <c r="A583" s="112" t="s">
        <v>25</v>
      </c>
      <c r="B583" s="112"/>
      <c r="C583" s="112" t="str">
        <f ca="1">INDIRECT(_xlfn.TEXTJOIN("",TRUE,A603,"!",ADDRESS(9+(A604-1)*A600,5)))</f>
        <v/>
      </c>
      <c r="D583" s="112"/>
      <c r="E583" s="112"/>
      <c r="F583" s="114" t="s">
        <v>51</v>
      </c>
      <c r="G583" s="114"/>
      <c r="H583" s="114"/>
      <c r="I583" s="113" t="str">
        <f ca="1">INDIRECT(_xlfn.TEXTJOIN("",TRUE,A603,"!",ADDRESS(9+(A604-1)*A600,13)))</f>
        <v/>
      </c>
      <c r="J583" s="113"/>
    </row>
    <row r="584" spans="1:10" ht="26.25" customHeight="1" x14ac:dyDescent="0.2">
      <c r="A584" s="95" t="s">
        <v>28</v>
      </c>
      <c r="B584" s="95"/>
      <c r="C584" s="95" t="s">
        <v>29</v>
      </c>
      <c r="D584" s="95"/>
      <c r="E584" s="95"/>
      <c r="F584" s="95"/>
      <c r="G584" s="95"/>
      <c r="H584" s="15" t="s">
        <v>30</v>
      </c>
      <c r="I584" s="15" t="s">
        <v>9</v>
      </c>
      <c r="J584" s="15" t="s">
        <v>34</v>
      </c>
    </row>
    <row r="585" spans="1:10" ht="26.25" customHeight="1" x14ac:dyDescent="0.2">
      <c r="A585" s="96" t="str">
        <f ca="1">INDIRECT(_xlfn.TEXTJOIN("",TRUE,A603,"!",ADDRESS(13+(A604-1)*A600,1)))</f>
        <v/>
      </c>
      <c r="B585" s="97"/>
      <c r="C585" s="106" t="str">
        <f ca="1">INDIRECT(_xlfn.TEXTJOIN("",TRUE,A603,"!",ADDRESS(13+(A604-1)*A600,2)))</f>
        <v/>
      </c>
      <c r="D585" s="107"/>
      <c r="E585" s="107"/>
      <c r="F585" s="107"/>
      <c r="G585" s="108"/>
      <c r="H585" s="20" t="str">
        <f ca="1">INDIRECT(_xlfn.TEXTJOIN("",TRUE,A603,"!",ADDRESS(13+(A604-1)*A600,6)))</f>
        <v/>
      </c>
      <c r="I585" s="20" t="str">
        <f ca="1">INDIRECT(_xlfn.TEXTJOIN("",TRUE,A603,"!",ADDRESS(13+(A604-1)*A600,13)))</f>
        <v/>
      </c>
      <c r="J585" s="20" t="e">
        <f ca="1">INDIRECT(_xlfn.TEXTJOIN("",TRUE,A603,"!",ADDRESS(13+(A604-1)*A600,14)))</f>
        <v>#N/A</v>
      </c>
    </row>
    <row r="586" spans="1:10" ht="26.25" customHeight="1" x14ac:dyDescent="0.2">
      <c r="A586" s="96" t="str">
        <f ca="1">INDIRECT(_xlfn.TEXTJOIN("",TRUE,A603,"!",ADDRESS(14+(A604-1)*A600,1)))</f>
        <v/>
      </c>
      <c r="B586" s="97"/>
      <c r="C586" s="106" t="str">
        <f ca="1">INDIRECT(_xlfn.TEXTJOIN("",TRUE,A603,"!",ADDRESS(14+(A604-1)*A600,2)))</f>
        <v/>
      </c>
      <c r="D586" s="107"/>
      <c r="E586" s="107"/>
      <c r="F586" s="107"/>
      <c r="G586" s="108"/>
      <c r="H586" s="20" t="str">
        <f ca="1">INDIRECT(_xlfn.TEXTJOIN("",TRUE,A603,"!",ADDRESS(14+(A604-1)*A600,6)))</f>
        <v/>
      </c>
      <c r="I586" s="20" t="str">
        <f ca="1">INDIRECT(_xlfn.TEXTJOIN("",TRUE,A603,"!",ADDRESS(14+(A604-1)*A600,13)))</f>
        <v/>
      </c>
      <c r="J586" s="20" t="e">
        <f ca="1">INDIRECT(_xlfn.TEXTJOIN("",TRUE,A603,"!",ADDRESS(14+(A604-1)*A600,14)))</f>
        <v>#N/A</v>
      </c>
    </row>
    <row r="587" spans="1:10" ht="26.25" customHeight="1" x14ac:dyDescent="0.2">
      <c r="A587" s="96" t="str">
        <f ca="1">INDIRECT(_xlfn.TEXTJOIN("",TRUE,A603,"!",ADDRESS(15+(A604-1)*A600,1)))</f>
        <v/>
      </c>
      <c r="B587" s="97"/>
      <c r="C587" s="106" t="str">
        <f ca="1">INDIRECT(_xlfn.TEXTJOIN("",TRUE,A603,"!",ADDRESS(15+(A604-1)*A600,2)))</f>
        <v/>
      </c>
      <c r="D587" s="107"/>
      <c r="E587" s="107"/>
      <c r="F587" s="107"/>
      <c r="G587" s="108"/>
      <c r="H587" s="20" t="str">
        <f ca="1">INDIRECT(_xlfn.TEXTJOIN("",TRUE,A603,"!",ADDRESS(15+(A604-1)*A600,6)))</f>
        <v/>
      </c>
      <c r="I587" s="20" t="str">
        <f ca="1">INDIRECT(_xlfn.TEXTJOIN("",TRUE,A603,"!",ADDRESS(15+(A604-1)*A600,13)))</f>
        <v/>
      </c>
      <c r="J587" s="20" t="e">
        <f ca="1">INDIRECT(_xlfn.TEXTJOIN("",TRUE,A603,"!",ADDRESS(15+(A604-1)*A600,14)))</f>
        <v>#N/A</v>
      </c>
    </row>
    <row r="588" spans="1:10" ht="26.25" customHeight="1" x14ac:dyDescent="0.2">
      <c r="A588" s="96" t="str">
        <f ca="1">INDIRECT(_xlfn.TEXTJOIN("",TRUE,A603,"!",ADDRESS(16+(A604-1)*A600,1)))</f>
        <v/>
      </c>
      <c r="B588" s="97"/>
      <c r="C588" s="106" t="str">
        <f ca="1">INDIRECT(_xlfn.TEXTJOIN("",TRUE,A603,"!",ADDRESS(16+(A604-1)*A600,2)))</f>
        <v/>
      </c>
      <c r="D588" s="107"/>
      <c r="E588" s="107"/>
      <c r="F588" s="107"/>
      <c r="G588" s="108"/>
      <c r="H588" s="20" t="str">
        <f ca="1">INDIRECT(_xlfn.TEXTJOIN("",TRUE,A603,"!",ADDRESS(16+(A604-1)*A600,6)))</f>
        <v/>
      </c>
      <c r="I588" s="20" t="str">
        <f ca="1">INDIRECT(_xlfn.TEXTJOIN("",TRUE,A603,"!",ADDRESS(16+(A604-1)*A600,13)))</f>
        <v/>
      </c>
      <c r="J588" s="20" t="e">
        <f ca="1">INDIRECT(_xlfn.TEXTJOIN("",TRUE,A603,"!",ADDRESS(16+(A604-1)*A600,14)))</f>
        <v>#N/A</v>
      </c>
    </row>
    <row r="589" spans="1:10" ht="26.25" customHeight="1" x14ac:dyDescent="0.2">
      <c r="A589" s="96" t="str">
        <f ca="1">INDIRECT(_xlfn.TEXTJOIN("",TRUE,A603,"!",ADDRESS(17+(A604-1)*A600,1)))</f>
        <v/>
      </c>
      <c r="B589" s="97"/>
      <c r="C589" s="106" t="str">
        <f ca="1">INDIRECT(_xlfn.TEXTJOIN("",TRUE,A603,"!",ADDRESS(17+(A604-1)*A600,2)))</f>
        <v/>
      </c>
      <c r="D589" s="107"/>
      <c r="E589" s="107"/>
      <c r="F589" s="107"/>
      <c r="G589" s="108"/>
      <c r="H589" s="20" t="str">
        <f ca="1">INDIRECT(_xlfn.TEXTJOIN("",TRUE,A603,"!",ADDRESS(17+(A604-1)*A600,6)))</f>
        <v/>
      </c>
      <c r="I589" s="20" t="str">
        <f ca="1">INDIRECT(_xlfn.TEXTJOIN("",TRUE,A603,"!",ADDRESS(17+(A604-1)*A600,13)))</f>
        <v/>
      </c>
      <c r="J589" s="20" t="e">
        <f ca="1">INDIRECT(_xlfn.TEXTJOIN("",TRUE,A603,"!",ADDRESS(17+(A604-1)*A600,14)))</f>
        <v>#N/A</v>
      </c>
    </row>
    <row r="590" spans="1:10" ht="26.25" customHeight="1" x14ac:dyDescent="0.2">
      <c r="A590" s="96" t="str">
        <f ca="1">INDIRECT(_xlfn.TEXTJOIN("",TRUE,A603,"!",ADDRESS(18+(A604-1)*A600,1)))</f>
        <v/>
      </c>
      <c r="B590" s="97"/>
      <c r="C590" s="106" t="str">
        <f ca="1">INDIRECT(_xlfn.TEXTJOIN("",TRUE,A603,"!",ADDRESS(18+(A604-1)*A600,2)))</f>
        <v/>
      </c>
      <c r="D590" s="107"/>
      <c r="E590" s="107"/>
      <c r="F590" s="107"/>
      <c r="G590" s="108"/>
      <c r="H590" s="20" t="str">
        <f ca="1">INDIRECT(_xlfn.TEXTJOIN("",TRUE,A603,"!",ADDRESS(18+(A604-1)*A600,6)))</f>
        <v/>
      </c>
      <c r="I590" s="20" t="str">
        <f ca="1">INDIRECT(_xlfn.TEXTJOIN("",TRUE,A603,"!",ADDRESS(18+(A604-1)*A600,13)))</f>
        <v/>
      </c>
      <c r="J590" s="20" t="e">
        <f ca="1">INDIRECT(_xlfn.TEXTJOIN("",TRUE,A603,"!",ADDRESS(18+(A604-1)*A600,14)))</f>
        <v>#N/A</v>
      </c>
    </row>
    <row r="591" spans="1:10" ht="26.25" customHeight="1" x14ac:dyDescent="0.2">
      <c r="A591" s="96" t="str">
        <f ca="1">INDIRECT(_xlfn.TEXTJOIN("",TRUE,A603,"!",ADDRESS(19+(A604-1)*A600,1)))</f>
        <v/>
      </c>
      <c r="B591" s="97"/>
      <c r="C591" s="106" t="str">
        <f ca="1">INDIRECT(_xlfn.TEXTJOIN("",TRUE,A603,"!",ADDRESS(19+(A604-1)*A600,2)))</f>
        <v/>
      </c>
      <c r="D591" s="107"/>
      <c r="E591" s="107"/>
      <c r="F591" s="107"/>
      <c r="G591" s="108"/>
      <c r="H591" s="20" t="str">
        <f ca="1">INDIRECT(_xlfn.TEXTJOIN("",TRUE,A603,"!",ADDRESS(19+(A604-1)*A600,6)))</f>
        <v/>
      </c>
      <c r="I591" s="20" t="str">
        <f ca="1">INDIRECT(_xlfn.TEXTJOIN("",TRUE,A603,"!",ADDRESS(19+(A604-1)*A600,13)))</f>
        <v/>
      </c>
      <c r="J591" s="20" t="e">
        <f ca="1">INDIRECT(_xlfn.TEXTJOIN("",TRUE,A603,"!",ADDRESS(19+(A604-1)*A600,14)))</f>
        <v>#N/A</v>
      </c>
    </row>
    <row r="592" spans="1:10" ht="26.25" customHeight="1" x14ac:dyDescent="0.2">
      <c r="A592" s="96" t="str">
        <f ca="1">INDIRECT(_xlfn.TEXTJOIN("",TRUE,A603,"!",ADDRESS(20+(A604-1)*A600,1)))</f>
        <v/>
      </c>
      <c r="B592" s="97"/>
      <c r="C592" s="106" t="str">
        <f ca="1">INDIRECT(_xlfn.TEXTJOIN("",TRUE,A603,"!",ADDRESS(20+(A604-1)*A600,2)))</f>
        <v/>
      </c>
      <c r="D592" s="107"/>
      <c r="E592" s="107"/>
      <c r="F592" s="107"/>
      <c r="G592" s="108"/>
      <c r="H592" s="20" t="str">
        <f ca="1">INDIRECT(_xlfn.TEXTJOIN("",TRUE,A603,"!",ADDRESS(20+(A604-1)*A600,6)))</f>
        <v/>
      </c>
      <c r="I592" s="20" t="str">
        <f ca="1">INDIRECT(_xlfn.TEXTJOIN("",TRUE,A603,"!",ADDRESS(20+(A604-1)*A600,13)))</f>
        <v/>
      </c>
      <c r="J592" s="20" t="e">
        <f ca="1">INDIRECT(_xlfn.TEXTJOIN("",TRUE,A603,"!",ADDRESS(20+(A604-1)*A600,14)))</f>
        <v>#N/A</v>
      </c>
    </row>
    <row r="593" spans="1:10" ht="26.25" customHeight="1" x14ac:dyDescent="0.2">
      <c r="A593" s="96" t="str">
        <f ca="1">INDIRECT(_xlfn.TEXTJOIN("",TRUE,A603,"!",ADDRESS(21+(A604-1)*A600,1)))</f>
        <v/>
      </c>
      <c r="B593" s="97"/>
      <c r="C593" s="106" t="str">
        <f ca="1">INDIRECT(_xlfn.TEXTJOIN("",TRUE,A603,"!",ADDRESS(21+(A604-1)*A600,2)))</f>
        <v/>
      </c>
      <c r="D593" s="107"/>
      <c r="E593" s="107"/>
      <c r="F593" s="107"/>
      <c r="G593" s="108"/>
      <c r="H593" s="20" t="str">
        <f ca="1">INDIRECT(_xlfn.TEXTJOIN("",TRUE,A603,"!",ADDRESS(21+(A604-1)*A600,6)))</f>
        <v/>
      </c>
      <c r="I593" s="20" t="str">
        <f ca="1">INDIRECT(_xlfn.TEXTJOIN("",TRUE,A603,"!",ADDRESS(21+(A604-1)*A600,13)))</f>
        <v/>
      </c>
      <c r="J593" s="20" t="e">
        <f ca="1">INDIRECT(_xlfn.TEXTJOIN("",TRUE,A603,"!",ADDRESS(21+(A604-1)*A600,14)))</f>
        <v>#N/A</v>
      </c>
    </row>
    <row r="594" spans="1:10" ht="26.25" customHeight="1" x14ac:dyDescent="0.2">
      <c r="A594" s="96" t="str">
        <f ca="1">INDIRECT(_xlfn.TEXTJOIN("",TRUE,A603,"!",ADDRESS(22+(A604-1)*A600,1)))</f>
        <v/>
      </c>
      <c r="B594" s="97"/>
      <c r="C594" s="106" t="str">
        <f ca="1">INDIRECT(_xlfn.TEXTJOIN("",TRUE,A603,"!",ADDRESS(22+(A604-1)*A600,2)))</f>
        <v/>
      </c>
      <c r="D594" s="107"/>
      <c r="E594" s="107"/>
      <c r="F594" s="107"/>
      <c r="G594" s="108"/>
      <c r="H594" s="20" t="str">
        <f ca="1">INDIRECT(_xlfn.TEXTJOIN("",TRUE,A603,"!",ADDRESS(22+(A604-1)*A600,6)))</f>
        <v/>
      </c>
      <c r="I594" s="20" t="str">
        <f ca="1">INDIRECT(_xlfn.TEXTJOIN("",TRUE,A603,"!",ADDRESS(22+(A604-1)*A600,13)))</f>
        <v/>
      </c>
      <c r="J594" s="20" t="e">
        <f ca="1">INDIRECT(_xlfn.TEXTJOIN("",TRUE,A603,"!",ADDRESS(22+(A604-1)*A600,14)))</f>
        <v>#N/A</v>
      </c>
    </row>
    <row r="595" spans="1:10" ht="26.25" customHeight="1" x14ac:dyDescent="0.2">
      <c r="A595" s="110" t="str">
        <f ca="1">INDIRECT(_xlfn.TEXTJOIN("",TRUE,A603,"!",ADDRESS(23+(A604-1)*A600,1)))</f>
        <v/>
      </c>
      <c r="B595" s="111"/>
      <c r="C595" s="115" t="str">
        <f ca="1">INDIRECT(_xlfn.TEXTJOIN("",TRUE,A603,"!",ADDRESS(23+(A604-1)*A600,2)))</f>
        <v/>
      </c>
      <c r="D595" s="116"/>
      <c r="E595" s="116"/>
      <c r="F595" s="116"/>
      <c r="G595" s="117"/>
      <c r="H595" s="20" t="str">
        <f ca="1">INDIRECT(_xlfn.TEXTJOIN("",TRUE,A603,"!",ADDRESS(23+(A604-1)*A600,6)))</f>
        <v/>
      </c>
      <c r="I595" s="20" t="str">
        <f ca="1">INDIRECT(_xlfn.TEXTJOIN("",TRUE,A603,"!",ADDRESS(23+(A604-1)*A600,13)))</f>
        <v/>
      </c>
      <c r="J595" s="20" t="e">
        <f ca="1">INDIRECT(_xlfn.TEXTJOIN("",TRUE,A603,"!",ADDRESS(23+(A604-1)*A600,14)))</f>
        <v>#N/A</v>
      </c>
    </row>
    <row r="596" spans="1:10" ht="26.25" customHeight="1" x14ac:dyDescent="0.2">
      <c r="A596" s="110" t="str">
        <f ca="1">INDIRECT(_xlfn.TEXTJOIN("",TRUE,A603,"!",ADDRESS(24+(A604-1)*A600,1)))</f>
        <v/>
      </c>
      <c r="B596" s="111"/>
      <c r="C596" s="115" t="str">
        <f ca="1">INDIRECT(_xlfn.TEXTJOIN("",TRUE,A603,"!",ADDRESS(24+(A604-1)*A600,2)))</f>
        <v/>
      </c>
      <c r="D596" s="116"/>
      <c r="E596" s="116"/>
      <c r="F596" s="116"/>
      <c r="G596" s="117"/>
      <c r="H596" s="20" t="str">
        <f ca="1">INDIRECT(_xlfn.TEXTJOIN("",TRUE,A603,"!",ADDRESS(24+(A604-1)*A600,6)))</f>
        <v/>
      </c>
      <c r="I596" s="20" t="str">
        <f ca="1">INDIRECT(_xlfn.TEXTJOIN("",TRUE,A603,"!",ADDRESS(24+(A604-1)*A600,13)))</f>
        <v/>
      </c>
      <c r="J596" s="20" t="e">
        <f ca="1">INDIRECT(_xlfn.TEXTJOIN("",TRUE,A603,"!",ADDRESS(24+(A604-1)*A600,14)))</f>
        <v>#N/A</v>
      </c>
    </row>
    <row r="597" spans="1:10" ht="26.25" customHeight="1" x14ac:dyDescent="0.2">
      <c r="A597" s="110" t="str">
        <f ca="1">INDIRECT(_xlfn.TEXTJOIN("",TRUE,A603,"!",ADDRESS(25+(A604-1)*A600,1)))</f>
        <v/>
      </c>
      <c r="B597" s="111"/>
      <c r="C597" s="115" t="str">
        <f ca="1">INDIRECT(_xlfn.TEXTJOIN("",TRUE,A603,"!",ADDRESS(25+(A604-1)*A600,2)))</f>
        <v/>
      </c>
      <c r="D597" s="116"/>
      <c r="E597" s="116"/>
      <c r="F597" s="116"/>
      <c r="G597" s="117"/>
      <c r="H597" s="20" t="str">
        <f ca="1">INDIRECT(_xlfn.TEXTJOIN("",TRUE,A603,"!",ADDRESS(25+(A604-1)*A600,6)))</f>
        <v/>
      </c>
      <c r="I597" s="20" t="str">
        <f ca="1">INDIRECT(_xlfn.TEXTJOIN("",TRUE,A603,"!",ADDRESS(25+(A604-1)*A600,13)))</f>
        <v/>
      </c>
      <c r="J597" s="20" t="e">
        <f ca="1">INDIRECT(_xlfn.TEXTJOIN("",TRUE,A603,"!",ADDRESS(25+(A604-1)*A600,14)))</f>
        <v>#N/A</v>
      </c>
    </row>
    <row r="598" spans="1:10" ht="26.25" customHeight="1" x14ac:dyDescent="0.2">
      <c r="A598" s="100" t="s">
        <v>52</v>
      </c>
      <c r="B598" s="101"/>
      <c r="C598" s="101"/>
      <c r="D598" s="101"/>
      <c r="E598" s="101"/>
      <c r="F598" s="101"/>
      <c r="G598" s="102"/>
      <c r="H598" s="98">
        <f ca="1">SUM(H585:H598)</f>
        <v>24</v>
      </c>
      <c r="I598" s="98" t="s">
        <v>44</v>
      </c>
      <c r="J598" s="98" t="e">
        <f ca="1">SUMPRODUCT(J585:J597,H585:H597)</f>
        <v>#N/A</v>
      </c>
    </row>
    <row r="599" spans="1:10" ht="26.25" customHeight="1" x14ac:dyDescent="0.2">
      <c r="A599" s="103"/>
      <c r="B599" s="104"/>
      <c r="C599" s="104"/>
      <c r="D599" s="104"/>
      <c r="E599" s="104"/>
      <c r="F599" s="104"/>
      <c r="G599" s="105"/>
      <c r="H599" s="99"/>
      <c r="I599" s="99"/>
      <c r="J599" s="99"/>
    </row>
    <row r="600" spans="1:10" ht="26.25" customHeight="1" x14ac:dyDescent="0.2">
      <c r="A600" s="22">
        <f>ROWS(A585:B598)+9</f>
        <v>23</v>
      </c>
      <c r="B600" s="17"/>
      <c r="C600" s="17"/>
      <c r="D600" s="17"/>
      <c r="E600" s="17"/>
      <c r="F600" s="17"/>
      <c r="G600" s="17"/>
      <c r="H600" s="17"/>
      <c r="I600" s="17"/>
      <c r="J600" s="17"/>
    </row>
    <row r="601" spans="1:10" ht="26.25" customHeight="1" x14ac:dyDescent="0.2">
      <c r="A601" s="120" t="s">
        <v>40</v>
      </c>
      <c r="B601" s="120"/>
      <c r="C601" s="21" t="str">
        <f ca="1">INDIRECT(_xlfn.TEXTJOIN("",TRUE,A603,"!",ADDRESS(5+A604*A600,12)))</f>
        <v/>
      </c>
      <c r="D601" s="120" t="s">
        <v>38</v>
      </c>
      <c r="E601" s="120"/>
      <c r="F601" s="18" t="str">
        <f ca="1">INDIRECT(_xlfn.TEXTJOIN("",TRUE,A603,"!",ADDRESS(5+A604*A600,8)))</f>
        <v/>
      </c>
      <c r="G601" s="120" t="s">
        <v>39</v>
      </c>
      <c r="H601" s="120"/>
      <c r="I601" s="109" t="str">
        <f ca="1">INDIRECT(_xlfn.TEXTJOIN("",TRUE,A603,"!",ADDRESS(5+A604*A600,10)))</f>
        <v/>
      </c>
      <c r="J601" s="109"/>
    </row>
    <row r="602" spans="1:10" ht="26.25" customHeight="1" x14ac:dyDescent="0.2">
      <c r="A602" s="19" t="s">
        <v>36</v>
      </c>
      <c r="B602" s="95" t="str">
        <f ca="1">INDIRECT(_xlfn.TEXTJOIN("",TRUE,A603,"!",ADDRESS(5+A604*A600,2)))</f>
        <v/>
      </c>
      <c r="C602" s="95"/>
      <c r="D602" s="121" t="s">
        <v>37</v>
      </c>
      <c r="E602" s="121"/>
      <c r="F602" s="122" t="str">
        <f ca="1">INDIRECT(_xlfn.TEXTJOIN("",TRUE,A603,"!",ADDRESS(5+A604*A600,5)))</f>
        <v/>
      </c>
      <c r="G602" s="122"/>
      <c r="H602" s="122"/>
      <c r="I602" s="122"/>
      <c r="J602" s="122"/>
    </row>
    <row r="603" spans="1:10" ht="26.25" customHeight="1" x14ac:dyDescent="0.2">
      <c r="A603" s="22" t="str">
        <f>A580</f>
        <v>TC_I</v>
      </c>
    </row>
    <row r="604" spans="1:10" ht="26.25" customHeight="1" x14ac:dyDescent="0.2">
      <c r="A604" s="22">
        <f>A581+1</f>
        <v>26</v>
      </c>
    </row>
    <row r="605" spans="1:10" ht="26.25" customHeight="1" x14ac:dyDescent="0.2">
      <c r="A605" s="112" t="s">
        <v>24</v>
      </c>
      <c r="B605" s="112"/>
      <c r="C605" s="112" t="str">
        <f ca="1">INDIRECT(_xlfn.TEXTJOIN("",TRUE,A626,"!",ADDRESS(9+(A627-1)*A623,2)))</f>
        <v/>
      </c>
      <c r="D605" s="112"/>
      <c r="E605" s="112"/>
      <c r="F605" s="112" t="s">
        <v>50</v>
      </c>
      <c r="G605" s="112"/>
      <c r="H605" s="112"/>
      <c r="I605" s="113" t="str">
        <f ca="1">INDIRECT(_xlfn.TEXTJOIN("",TRUE,A626,"!",ADDRESS(9+(A627-1)*A623,9)))</f>
        <v/>
      </c>
      <c r="J605" s="113"/>
    </row>
    <row r="606" spans="1:10" ht="26.25" customHeight="1" x14ac:dyDescent="0.2">
      <c r="A606" s="112" t="s">
        <v>25</v>
      </c>
      <c r="B606" s="112"/>
      <c r="C606" s="112" t="str">
        <f ca="1">INDIRECT(_xlfn.TEXTJOIN("",TRUE,A626,"!",ADDRESS(9+(A627-1)*A623,5)))</f>
        <v/>
      </c>
      <c r="D606" s="112"/>
      <c r="E606" s="112"/>
      <c r="F606" s="114" t="s">
        <v>51</v>
      </c>
      <c r="G606" s="114"/>
      <c r="H606" s="114"/>
      <c r="I606" s="113" t="str">
        <f ca="1">INDIRECT(_xlfn.TEXTJOIN("",TRUE,A626,"!",ADDRESS(9+(A627-1)*A623,13)))</f>
        <v/>
      </c>
      <c r="J606" s="113"/>
    </row>
    <row r="607" spans="1:10" ht="26.25" customHeight="1" x14ac:dyDescent="0.2">
      <c r="A607" s="95" t="s">
        <v>28</v>
      </c>
      <c r="B607" s="95"/>
      <c r="C607" s="95" t="s">
        <v>29</v>
      </c>
      <c r="D607" s="95"/>
      <c r="E607" s="95"/>
      <c r="F607" s="95"/>
      <c r="G607" s="95"/>
      <c r="H607" s="15" t="s">
        <v>30</v>
      </c>
      <c r="I607" s="15" t="s">
        <v>9</v>
      </c>
      <c r="J607" s="15" t="s">
        <v>34</v>
      </c>
    </row>
    <row r="608" spans="1:10" ht="26.25" customHeight="1" x14ac:dyDescent="0.2">
      <c r="A608" s="96" t="str">
        <f ca="1">INDIRECT(_xlfn.TEXTJOIN("",TRUE,A626,"!",ADDRESS(13+(A627-1)*A623,1)))</f>
        <v/>
      </c>
      <c r="B608" s="97"/>
      <c r="C608" s="106" t="str">
        <f ca="1">INDIRECT(_xlfn.TEXTJOIN("",TRUE,A626,"!",ADDRESS(13+(A627-1)*A623,2)))</f>
        <v/>
      </c>
      <c r="D608" s="107"/>
      <c r="E608" s="107"/>
      <c r="F608" s="107"/>
      <c r="G608" s="108"/>
      <c r="H608" s="20" t="str">
        <f ca="1">INDIRECT(_xlfn.TEXTJOIN("",TRUE,A626,"!",ADDRESS(13+(A627-1)*A623,6)))</f>
        <v/>
      </c>
      <c r="I608" s="20" t="str">
        <f ca="1">INDIRECT(_xlfn.TEXTJOIN("",TRUE,A626,"!",ADDRESS(13+(A627-1)*A623,13)))</f>
        <v/>
      </c>
      <c r="J608" s="20" t="e">
        <f ca="1">INDIRECT(_xlfn.TEXTJOIN("",TRUE,A626,"!",ADDRESS(13+(A627-1)*A623,14)))</f>
        <v>#N/A</v>
      </c>
    </row>
    <row r="609" spans="1:10" ht="26.25" customHeight="1" x14ac:dyDescent="0.2">
      <c r="A609" s="96" t="str">
        <f ca="1">INDIRECT(_xlfn.TEXTJOIN("",TRUE,A626,"!",ADDRESS(14+(A627-1)*A623,1)))</f>
        <v/>
      </c>
      <c r="B609" s="97"/>
      <c r="C609" s="106" t="str">
        <f ca="1">INDIRECT(_xlfn.TEXTJOIN("",TRUE,A626,"!",ADDRESS(14+(A627-1)*A623,2)))</f>
        <v/>
      </c>
      <c r="D609" s="107"/>
      <c r="E609" s="107"/>
      <c r="F609" s="107"/>
      <c r="G609" s="108"/>
      <c r="H609" s="20" t="str">
        <f ca="1">INDIRECT(_xlfn.TEXTJOIN("",TRUE,A626,"!",ADDRESS(14+(A627-1)*A623,6)))</f>
        <v/>
      </c>
      <c r="I609" s="20" t="str">
        <f ca="1">INDIRECT(_xlfn.TEXTJOIN("",TRUE,A626,"!",ADDRESS(14+(A627-1)*A623,13)))</f>
        <v/>
      </c>
      <c r="J609" s="20" t="e">
        <f ca="1">INDIRECT(_xlfn.TEXTJOIN("",TRUE,A626,"!",ADDRESS(14+(A627-1)*A623,14)))</f>
        <v>#N/A</v>
      </c>
    </row>
    <row r="610" spans="1:10" ht="26.25" customHeight="1" x14ac:dyDescent="0.2">
      <c r="A610" s="96" t="str">
        <f ca="1">INDIRECT(_xlfn.TEXTJOIN("",TRUE,A626,"!",ADDRESS(15+(A627-1)*A623,1)))</f>
        <v/>
      </c>
      <c r="B610" s="97"/>
      <c r="C610" s="106" t="str">
        <f ca="1">INDIRECT(_xlfn.TEXTJOIN("",TRUE,A626,"!",ADDRESS(15+(A627-1)*A623,2)))</f>
        <v/>
      </c>
      <c r="D610" s="107"/>
      <c r="E610" s="107"/>
      <c r="F610" s="107"/>
      <c r="G610" s="108"/>
      <c r="H610" s="20" t="str">
        <f ca="1">INDIRECT(_xlfn.TEXTJOIN("",TRUE,A626,"!",ADDRESS(15+(A627-1)*A623,6)))</f>
        <v/>
      </c>
      <c r="I610" s="20" t="str">
        <f ca="1">INDIRECT(_xlfn.TEXTJOIN("",TRUE,A626,"!",ADDRESS(15+(A627-1)*A623,13)))</f>
        <v/>
      </c>
      <c r="J610" s="20" t="e">
        <f ca="1">INDIRECT(_xlfn.TEXTJOIN("",TRUE,A626,"!",ADDRESS(15+(A627-1)*A623,14)))</f>
        <v>#N/A</v>
      </c>
    </row>
    <row r="611" spans="1:10" ht="26.25" customHeight="1" x14ac:dyDescent="0.2">
      <c r="A611" s="96" t="str">
        <f ca="1">INDIRECT(_xlfn.TEXTJOIN("",TRUE,A626,"!",ADDRESS(16+(A627-1)*A623,1)))</f>
        <v/>
      </c>
      <c r="B611" s="97"/>
      <c r="C611" s="106" t="str">
        <f ca="1">INDIRECT(_xlfn.TEXTJOIN("",TRUE,A626,"!",ADDRESS(16+(A627-1)*A623,2)))</f>
        <v/>
      </c>
      <c r="D611" s="107"/>
      <c r="E611" s="107"/>
      <c r="F611" s="107"/>
      <c r="G611" s="108"/>
      <c r="H611" s="20" t="str">
        <f ca="1">INDIRECT(_xlfn.TEXTJOIN("",TRUE,A626,"!",ADDRESS(16+(A627-1)*A623,6)))</f>
        <v/>
      </c>
      <c r="I611" s="20" t="str">
        <f ca="1">INDIRECT(_xlfn.TEXTJOIN("",TRUE,A626,"!",ADDRESS(16+(A627-1)*A623,13)))</f>
        <v/>
      </c>
      <c r="J611" s="20" t="e">
        <f ca="1">INDIRECT(_xlfn.TEXTJOIN("",TRUE,A626,"!",ADDRESS(16+(A627-1)*A623,14)))</f>
        <v>#N/A</v>
      </c>
    </row>
    <row r="612" spans="1:10" ht="26.25" customHeight="1" x14ac:dyDescent="0.2">
      <c r="A612" s="96" t="str">
        <f ca="1">INDIRECT(_xlfn.TEXTJOIN("",TRUE,A626,"!",ADDRESS(17+(A627-1)*A623,1)))</f>
        <v/>
      </c>
      <c r="B612" s="97"/>
      <c r="C612" s="106" t="str">
        <f ca="1">INDIRECT(_xlfn.TEXTJOIN("",TRUE,A626,"!",ADDRESS(17+(A627-1)*A623,2)))</f>
        <v/>
      </c>
      <c r="D612" s="107"/>
      <c r="E612" s="107"/>
      <c r="F612" s="107"/>
      <c r="G612" s="108"/>
      <c r="H612" s="20" t="str">
        <f ca="1">INDIRECT(_xlfn.TEXTJOIN("",TRUE,A626,"!",ADDRESS(17+(A627-1)*A623,6)))</f>
        <v/>
      </c>
      <c r="I612" s="20" t="str">
        <f ca="1">INDIRECT(_xlfn.TEXTJOIN("",TRUE,A626,"!",ADDRESS(17+(A627-1)*A623,13)))</f>
        <v/>
      </c>
      <c r="J612" s="20" t="e">
        <f ca="1">INDIRECT(_xlfn.TEXTJOIN("",TRUE,A626,"!",ADDRESS(17+(A627-1)*A623,14)))</f>
        <v>#N/A</v>
      </c>
    </row>
    <row r="613" spans="1:10" ht="26.25" customHeight="1" x14ac:dyDescent="0.2">
      <c r="A613" s="96" t="str">
        <f ca="1">INDIRECT(_xlfn.TEXTJOIN("",TRUE,A626,"!",ADDRESS(18+(A627-1)*A623,1)))</f>
        <v/>
      </c>
      <c r="B613" s="97"/>
      <c r="C613" s="106" t="str">
        <f ca="1">INDIRECT(_xlfn.TEXTJOIN("",TRUE,A626,"!",ADDRESS(18+(A627-1)*A623,2)))</f>
        <v/>
      </c>
      <c r="D613" s="107"/>
      <c r="E613" s="107"/>
      <c r="F613" s="107"/>
      <c r="G613" s="108"/>
      <c r="H613" s="20" t="str">
        <f ca="1">INDIRECT(_xlfn.TEXTJOIN("",TRUE,A626,"!",ADDRESS(18+(A627-1)*A623,6)))</f>
        <v/>
      </c>
      <c r="I613" s="20" t="str">
        <f ca="1">INDIRECT(_xlfn.TEXTJOIN("",TRUE,A626,"!",ADDRESS(18+(A627-1)*A623,13)))</f>
        <v/>
      </c>
      <c r="J613" s="20" t="e">
        <f ca="1">INDIRECT(_xlfn.TEXTJOIN("",TRUE,A626,"!",ADDRESS(18+(A627-1)*A623,14)))</f>
        <v>#N/A</v>
      </c>
    </row>
    <row r="614" spans="1:10" ht="26.25" customHeight="1" x14ac:dyDescent="0.2">
      <c r="A614" s="96" t="str">
        <f ca="1">INDIRECT(_xlfn.TEXTJOIN("",TRUE,A626,"!",ADDRESS(19+(A627-1)*A623,1)))</f>
        <v/>
      </c>
      <c r="B614" s="97"/>
      <c r="C614" s="106" t="str">
        <f ca="1">INDIRECT(_xlfn.TEXTJOIN("",TRUE,A626,"!",ADDRESS(19+(A627-1)*A623,2)))</f>
        <v/>
      </c>
      <c r="D614" s="107"/>
      <c r="E614" s="107"/>
      <c r="F614" s="107"/>
      <c r="G614" s="108"/>
      <c r="H614" s="20" t="str">
        <f ca="1">INDIRECT(_xlfn.TEXTJOIN("",TRUE,A626,"!",ADDRESS(19+(A627-1)*A623,6)))</f>
        <v/>
      </c>
      <c r="I614" s="20" t="str">
        <f ca="1">INDIRECT(_xlfn.TEXTJOIN("",TRUE,A626,"!",ADDRESS(19+(A627-1)*A623,13)))</f>
        <v/>
      </c>
      <c r="J614" s="20" t="e">
        <f ca="1">INDIRECT(_xlfn.TEXTJOIN("",TRUE,A626,"!",ADDRESS(19+(A627-1)*A623,14)))</f>
        <v>#N/A</v>
      </c>
    </row>
    <row r="615" spans="1:10" ht="26.25" customHeight="1" x14ac:dyDescent="0.2">
      <c r="A615" s="96" t="str">
        <f ca="1">INDIRECT(_xlfn.TEXTJOIN("",TRUE,A626,"!",ADDRESS(20+(A627-1)*A623,1)))</f>
        <v/>
      </c>
      <c r="B615" s="97"/>
      <c r="C615" s="106" t="str">
        <f ca="1">INDIRECT(_xlfn.TEXTJOIN("",TRUE,A626,"!",ADDRESS(20+(A627-1)*A623,2)))</f>
        <v/>
      </c>
      <c r="D615" s="107"/>
      <c r="E615" s="107"/>
      <c r="F615" s="107"/>
      <c r="G615" s="108"/>
      <c r="H615" s="20" t="str">
        <f ca="1">INDIRECT(_xlfn.TEXTJOIN("",TRUE,A626,"!",ADDRESS(20+(A627-1)*A623,6)))</f>
        <v/>
      </c>
      <c r="I615" s="20" t="str">
        <f ca="1">INDIRECT(_xlfn.TEXTJOIN("",TRUE,A626,"!",ADDRESS(20+(A627-1)*A623,13)))</f>
        <v/>
      </c>
      <c r="J615" s="20" t="e">
        <f ca="1">INDIRECT(_xlfn.TEXTJOIN("",TRUE,A626,"!",ADDRESS(20+(A627-1)*A623,14)))</f>
        <v>#N/A</v>
      </c>
    </row>
    <row r="616" spans="1:10" ht="26.25" customHeight="1" x14ac:dyDescent="0.2">
      <c r="A616" s="96" t="str">
        <f ca="1">INDIRECT(_xlfn.TEXTJOIN("",TRUE,A626,"!",ADDRESS(21+(A627-1)*A623,1)))</f>
        <v/>
      </c>
      <c r="B616" s="97"/>
      <c r="C616" s="106" t="str">
        <f ca="1">INDIRECT(_xlfn.TEXTJOIN("",TRUE,A626,"!",ADDRESS(21+(A627-1)*A623,2)))</f>
        <v/>
      </c>
      <c r="D616" s="107"/>
      <c r="E616" s="107"/>
      <c r="F616" s="107"/>
      <c r="G616" s="108"/>
      <c r="H616" s="20" t="str">
        <f ca="1">INDIRECT(_xlfn.TEXTJOIN("",TRUE,A626,"!",ADDRESS(21+(A627-1)*A623,6)))</f>
        <v/>
      </c>
      <c r="I616" s="20" t="str">
        <f ca="1">INDIRECT(_xlfn.TEXTJOIN("",TRUE,A626,"!",ADDRESS(21+(A627-1)*A623,13)))</f>
        <v/>
      </c>
      <c r="J616" s="20" t="e">
        <f ca="1">INDIRECT(_xlfn.TEXTJOIN("",TRUE,A626,"!",ADDRESS(21+(A627-1)*A623,14)))</f>
        <v>#N/A</v>
      </c>
    </row>
    <row r="617" spans="1:10" ht="26.25" customHeight="1" x14ac:dyDescent="0.2">
      <c r="A617" s="96" t="str">
        <f ca="1">INDIRECT(_xlfn.TEXTJOIN("",TRUE,A626,"!",ADDRESS(22+(A627-1)*A623,1)))</f>
        <v/>
      </c>
      <c r="B617" s="97"/>
      <c r="C617" s="106" t="str">
        <f ca="1">INDIRECT(_xlfn.TEXTJOIN("",TRUE,A626,"!",ADDRESS(22+(A627-1)*A623,2)))</f>
        <v/>
      </c>
      <c r="D617" s="107"/>
      <c r="E617" s="107"/>
      <c r="F617" s="107"/>
      <c r="G617" s="108"/>
      <c r="H617" s="20" t="str">
        <f ca="1">INDIRECT(_xlfn.TEXTJOIN("",TRUE,A626,"!",ADDRESS(22+(A627-1)*A623,6)))</f>
        <v/>
      </c>
      <c r="I617" s="20" t="str">
        <f ca="1">INDIRECT(_xlfn.TEXTJOIN("",TRUE,A626,"!",ADDRESS(22+(A627-1)*A623,13)))</f>
        <v/>
      </c>
      <c r="J617" s="20" t="e">
        <f ca="1">INDIRECT(_xlfn.TEXTJOIN("",TRUE,A626,"!",ADDRESS(22+(A627-1)*A623,14)))</f>
        <v>#N/A</v>
      </c>
    </row>
    <row r="618" spans="1:10" ht="26.25" customHeight="1" x14ac:dyDescent="0.2">
      <c r="A618" s="110" t="str">
        <f ca="1">INDIRECT(_xlfn.TEXTJOIN("",TRUE,A626,"!",ADDRESS(23+(A627-1)*A623,1)))</f>
        <v/>
      </c>
      <c r="B618" s="111"/>
      <c r="C618" s="115" t="str">
        <f ca="1">INDIRECT(_xlfn.TEXTJOIN("",TRUE,A626,"!",ADDRESS(23+(A627-1)*A623,2)))</f>
        <v/>
      </c>
      <c r="D618" s="116"/>
      <c r="E618" s="116"/>
      <c r="F618" s="116"/>
      <c r="G618" s="117"/>
      <c r="H618" s="20" t="str">
        <f ca="1">INDIRECT(_xlfn.TEXTJOIN("",TRUE,A626,"!",ADDRESS(23+(A627-1)*A623,6)))</f>
        <v/>
      </c>
      <c r="I618" s="20" t="str">
        <f ca="1">INDIRECT(_xlfn.TEXTJOIN("",TRUE,A626,"!",ADDRESS(23+(A627-1)*A623,13)))</f>
        <v/>
      </c>
      <c r="J618" s="20" t="e">
        <f ca="1">INDIRECT(_xlfn.TEXTJOIN("",TRUE,A626,"!",ADDRESS(23+(A627-1)*A623,14)))</f>
        <v>#N/A</v>
      </c>
    </row>
    <row r="619" spans="1:10" ht="26.25" customHeight="1" x14ac:dyDescent="0.2">
      <c r="A619" s="110" t="str">
        <f ca="1">INDIRECT(_xlfn.TEXTJOIN("",TRUE,A626,"!",ADDRESS(24+(A627-1)*A623,1)))</f>
        <v/>
      </c>
      <c r="B619" s="111"/>
      <c r="C619" s="115" t="str">
        <f ca="1">INDIRECT(_xlfn.TEXTJOIN("",TRUE,A626,"!",ADDRESS(24+(A627-1)*A623,2)))</f>
        <v/>
      </c>
      <c r="D619" s="116"/>
      <c r="E619" s="116"/>
      <c r="F619" s="116"/>
      <c r="G619" s="117"/>
      <c r="H619" s="20" t="str">
        <f ca="1">INDIRECT(_xlfn.TEXTJOIN("",TRUE,A626,"!",ADDRESS(24+(A627-1)*A623,6)))</f>
        <v/>
      </c>
      <c r="I619" s="20" t="str">
        <f ca="1">INDIRECT(_xlfn.TEXTJOIN("",TRUE,A626,"!",ADDRESS(24+(A627-1)*A623,13)))</f>
        <v/>
      </c>
      <c r="J619" s="20" t="e">
        <f ca="1">INDIRECT(_xlfn.TEXTJOIN("",TRUE,A626,"!",ADDRESS(24+(A627-1)*A623,14)))</f>
        <v>#N/A</v>
      </c>
    </row>
    <row r="620" spans="1:10" ht="26.25" customHeight="1" x14ac:dyDescent="0.2">
      <c r="A620" s="110" t="str">
        <f ca="1">INDIRECT(_xlfn.TEXTJOIN("",TRUE,A626,"!",ADDRESS(25+(A627-1)*A623,1)))</f>
        <v/>
      </c>
      <c r="B620" s="111"/>
      <c r="C620" s="115" t="str">
        <f ca="1">INDIRECT(_xlfn.TEXTJOIN("",TRUE,A626,"!",ADDRESS(25+(A627-1)*A623,2)))</f>
        <v/>
      </c>
      <c r="D620" s="116"/>
      <c r="E620" s="116"/>
      <c r="F620" s="116"/>
      <c r="G620" s="117"/>
      <c r="H620" s="20" t="str">
        <f ca="1">INDIRECT(_xlfn.TEXTJOIN("",TRUE,A626,"!",ADDRESS(25+(A627-1)*A623,6)))</f>
        <v/>
      </c>
      <c r="I620" s="20" t="str">
        <f ca="1">INDIRECT(_xlfn.TEXTJOIN("",TRUE,A626,"!",ADDRESS(25+(A627-1)*A623,13)))</f>
        <v/>
      </c>
      <c r="J620" s="20" t="e">
        <f ca="1">INDIRECT(_xlfn.TEXTJOIN("",TRUE,A626,"!",ADDRESS(25+(A627-1)*A623,14)))</f>
        <v>#N/A</v>
      </c>
    </row>
    <row r="621" spans="1:10" ht="26.25" customHeight="1" x14ac:dyDescent="0.2">
      <c r="A621" s="100" t="s">
        <v>52</v>
      </c>
      <c r="B621" s="101"/>
      <c r="C621" s="101"/>
      <c r="D621" s="101"/>
      <c r="E621" s="101"/>
      <c r="F621" s="101"/>
      <c r="G621" s="102"/>
      <c r="H621" s="98">
        <f ca="1">SUM(H608:H621)</f>
        <v>24</v>
      </c>
      <c r="I621" s="98" t="s">
        <v>44</v>
      </c>
      <c r="J621" s="98" t="e">
        <f ca="1">SUMPRODUCT(J608:J620,H608:H620)</f>
        <v>#N/A</v>
      </c>
    </row>
    <row r="622" spans="1:10" ht="26.25" customHeight="1" x14ac:dyDescent="0.2">
      <c r="A622" s="103"/>
      <c r="B622" s="104"/>
      <c r="C622" s="104"/>
      <c r="D622" s="104"/>
      <c r="E622" s="104"/>
      <c r="F622" s="104"/>
      <c r="G622" s="105"/>
      <c r="H622" s="99"/>
      <c r="I622" s="99"/>
      <c r="J622" s="99"/>
    </row>
    <row r="623" spans="1:10" ht="26.25" customHeight="1" x14ac:dyDescent="0.2">
      <c r="A623" s="22">
        <f>ROWS(A608:B621)+9</f>
        <v>23</v>
      </c>
      <c r="B623" s="17"/>
      <c r="C623" s="17"/>
      <c r="D623" s="17"/>
      <c r="E623" s="17"/>
      <c r="F623" s="17"/>
      <c r="G623" s="17"/>
      <c r="H623" s="17"/>
      <c r="I623" s="17"/>
      <c r="J623" s="17"/>
    </row>
    <row r="624" spans="1:10" ht="26.25" customHeight="1" x14ac:dyDescent="0.2">
      <c r="A624" s="120" t="s">
        <v>40</v>
      </c>
      <c r="B624" s="120"/>
      <c r="C624" s="21" t="str">
        <f ca="1">INDIRECT(_xlfn.TEXTJOIN("",TRUE,A626,"!",ADDRESS(5+A627*A623,12)))</f>
        <v/>
      </c>
      <c r="D624" s="120" t="s">
        <v>38</v>
      </c>
      <c r="E624" s="120"/>
      <c r="F624" s="18" t="str">
        <f ca="1">INDIRECT(_xlfn.TEXTJOIN("",TRUE,A626,"!",ADDRESS(5+A627*A623,8)))</f>
        <v/>
      </c>
      <c r="G624" s="120" t="s">
        <v>39</v>
      </c>
      <c r="H624" s="120"/>
      <c r="I624" s="109" t="str">
        <f ca="1">INDIRECT(_xlfn.TEXTJOIN("",TRUE,A626,"!",ADDRESS(5+A627*A623,10)))</f>
        <v/>
      </c>
      <c r="J624" s="109"/>
    </row>
    <row r="625" spans="1:10" ht="26.25" customHeight="1" x14ac:dyDescent="0.2">
      <c r="A625" s="19" t="s">
        <v>36</v>
      </c>
      <c r="B625" s="95" t="str">
        <f ca="1">INDIRECT(_xlfn.TEXTJOIN("",TRUE,A626,"!",ADDRESS(5+A627*A623,2)))</f>
        <v/>
      </c>
      <c r="C625" s="95"/>
      <c r="D625" s="121" t="s">
        <v>37</v>
      </c>
      <c r="E625" s="121"/>
      <c r="F625" s="122" t="str">
        <f ca="1">INDIRECT(_xlfn.TEXTJOIN("",TRUE,A626,"!",ADDRESS(5+A627*A623,5)))</f>
        <v/>
      </c>
      <c r="G625" s="122"/>
      <c r="H625" s="122"/>
      <c r="I625" s="122"/>
      <c r="J625" s="122"/>
    </row>
    <row r="626" spans="1:10" ht="26.25" customHeight="1" x14ac:dyDescent="0.2">
      <c r="A626" s="22" t="str">
        <f>A603</f>
        <v>TC_I</v>
      </c>
    </row>
    <row r="627" spans="1:10" ht="26.25" customHeight="1" x14ac:dyDescent="0.2">
      <c r="A627" s="22">
        <f>A604+1</f>
        <v>27</v>
      </c>
    </row>
    <row r="628" spans="1:10" ht="26.25" customHeight="1" x14ac:dyDescent="0.2">
      <c r="A628" s="112" t="s">
        <v>24</v>
      </c>
      <c r="B628" s="112"/>
      <c r="C628" s="112" t="str">
        <f ca="1">INDIRECT(_xlfn.TEXTJOIN("",TRUE,A649,"!",ADDRESS(9+(A650-1)*A646,2)))</f>
        <v/>
      </c>
      <c r="D628" s="112"/>
      <c r="E628" s="112"/>
      <c r="F628" s="112" t="s">
        <v>50</v>
      </c>
      <c r="G628" s="112"/>
      <c r="H628" s="112"/>
      <c r="I628" s="113" t="str">
        <f ca="1">INDIRECT(_xlfn.TEXTJOIN("",TRUE,A649,"!",ADDRESS(9+(A650-1)*A646,9)))</f>
        <v/>
      </c>
      <c r="J628" s="113"/>
    </row>
    <row r="629" spans="1:10" ht="26.25" customHeight="1" x14ac:dyDescent="0.2">
      <c r="A629" s="112" t="s">
        <v>25</v>
      </c>
      <c r="B629" s="112"/>
      <c r="C629" s="112" t="str">
        <f ca="1">INDIRECT(_xlfn.TEXTJOIN("",TRUE,A649,"!",ADDRESS(9+(A650-1)*A646,5)))</f>
        <v/>
      </c>
      <c r="D629" s="112"/>
      <c r="E629" s="112"/>
      <c r="F629" s="114" t="s">
        <v>51</v>
      </c>
      <c r="G629" s="114"/>
      <c r="H629" s="114"/>
      <c r="I629" s="113" t="str">
        <f ca="1">INDIRECT(_xlfn.TEXTJOIN("",TRUE,A649,"!",ADDRESS(9+(A650-1)*A646,13)))</f>
        <v/>
      </c>
      <c r="J629" s="113"/>
    </row>
    <row r="630" spans="1:10" ht="26.25" customHeight="1" x14ac:dyDescent="0.2">
      <c r="A630" s="95" t="s">
        <v>28</v>
      </c>
      <c r="B630" s="95"/>
      <c r="C630" s="95" t="s">
        <v>29</v>
      </c>
      <c r="D630" s="95"/>
      <c r="E630" s="95"/>
      <c r="F630" s="95"/>
      <c r="G630" s="95"/>
      <c r="H630" s="15" t="s">
        <v>30</v>
      </c>
      <c r="I630" s="15" t="s">
        <v>9</v>
      </c>
      <c r="J630" s="15" t="s">
        <v>34</v>
      </c>
    </row>
    <row r="631" spans="1:10" ht="26.25" customHeight="1" x14ac:dyDescent="0.2">
      <c r="A631" s="96" t="str">
        <f ca="1">INDIRECT(_xlfn.TEXTJOIN("",TRUE,A649,"!",ADDRESS(13+(A650-1)*A646,1)))</f>
        <v/>
      </c>
      <c r="B631" s="97"/>
      <c r="C631" s="106" t="str">
        <f ca="1">INDIRECT(_xlfn.TEXTJOIN("",TRUE,A649,"!",ADDRESS(13+(A650-1)*A646,2)))</f>
        <v/>
      </c>
      <c r="D631" s="107"/>
      <c r="E631" s="107"/>
      <c r="F631" s="107"/>
      <c r="G631" s="108"/>
      <c r="H631" s="20" t="str">
        <f ca="1">INDIRECT(_xlfn.TEXTJOIN("",TRUE,A649,"!",ADDRESS(13+(A650-1)*A646,6)))</f>
        <v/>
      </c>
      <c r="I631" s="20" t="str">
        <f ca="1">INDIRECT(_xlfn.TEXTJOIN("",TRUE,A649,"!",ADDRESS(13+(A650-1)*A646,13)))</f>
        <v/>
      </c>
      <c r="J631" s="20" t="e">
        <f ca="1">INDIRECT(_xlfn.TEXTJOIN("",TRUE,A649,"!",ADDRESS(13+(A650-1)*A646,14)))</f>
        <v>#N/A</v>
      </c>
    </row>
    <row r="632" spans="1:10" ht="26.25" customHeight="1" x14ac:dyDescent="0.2">
      <c r="A632" s="96" t="str">
        <f ca="1">INDIRECT(_xlfn.TEXTJOIN("",TRUE,A649,"!",ADDRESS(14+(A650-1)*A646,1)))</f>
        <v/>
      </c>
      <c r="B632" s="97"/>
      <c r="C632" s="106" t="str">
        <f ca="1">INDIRECT(_xlfn.TEXTJOIN("",TRUE,A649,"!",ADDRESS(14+(A650-1)*A646,2)))</f>
        <v/>
      </c>
      <c r="D632" s="107"/>
      <c r="E632" s="107"/>
      <c r="F632" s="107"/>
      <c r="G632" s="108"/>
      <c r="H632" s="20" t="str">
        <f ca="1">INDIRECT(_xlfn.TEXTJOIN("",TRUE,A649,"!",ADDRESS(14+(A650-1)*A646,6)))</f>
        <v/>
      </c>
      <c r="I632" s="20" t="str">
        <f ca="1">INDIRECT(_xlfn.TEXTJOIN("",TRUE,A649,"!",ADDRESS(14+(A650-1)*A646,13)))</f>
        <v/>
      </c>
      <c r="J632" s="20" t="e">
        <f ca="1">INDIRECT(_xlfn.TEXTJOIN("",TRUE,A649,"!",ADDRESS(14+(A650-1)*A646,14)))</f>
        <v>#N/A</v>
      </c>
    </row>
    <row r="633" spans="1:10" ht="26.25" customHeight="1" x14ac:dyDescent="0.2">
      <c r="A633" s="96" t="str">
        <f ca="1">INDIRECT(_xlfn.TEXTJOIN("",TRUE,A649,"!",ADDRESS(15+(A650-1)*A646,1)))</f>
        <v/>
      </c>
      <c r="B633" s="97"/>
      <c r="C633" s="106" t="str">
        <f ca="1">INDIRECT(_xlfn.TEXTJOIN("",TRUE,A649,"!",ADDRESS(15+(A650-1)*A646,2)))</f>
        <v/>
      </c>
      <c r="D633" s="107"/>
      <c r="E633" s="107"/>
      <c r="F633" s="107"/>
      <c r="G633" s="108"/>
      <c r="H633" s="20" t="str">
        <f ca="1">INDIRECT(_xlfn.TEXTJOIN("",TRUE,A649,"!",ADDRESS(15+(A650-1)*A646,6)))</f>
        <v/>
      </c>
      <c r="I633" s="20" t="str">
        <f ca="1">INDIRECT(_xlfn.TEXTJOIN("",TRUE,A649,"!",ADDRESS(15+(A650-1)*A646,13)))</f>
        <v/>
      </c>
      <c r="J633" s="20" t="e">
        <f ca="1">INDIRECT(_xlfn.TEXTJOIN("",TRUE,A649,"!",ADDRESS(15+(A650-1)*A646,14)))</f>
        <v>#N/A</v>
      </c>
    </row>
    <row r="634" spans="1:10" ht="26.25" customHeight="1" x14ac:dyDescent="0.2">
      <c r="A634" s="96" t="str">
        <f ca="1">INDIRECT(_xlfn.TEXTJOIN("",TRUE,A649,"!",ADDRESS(16+(A650-1)*A646,1)))</f>
        <v/>
      </c>
      <c r="B634" s="97"/>
      <c r="C634" s="106" t="str">
        <f ca="1">INDIRECT(_xlfn.TEXTJOIN("",TRUE,A649,"!",ADDRESS(16+(A650-1)*A646,2)))</f>
        <v/>
      </c>
      <c r="D634" s="107"/>
      <c r="E634" s="107"/>
      <c r="F634" s="107"/>
      <c r="G634" s="108"/>
      <c r="H634" s="20" t="str">
        <f ca="1">INDIRECT(_xlfn.TEXTJOIN("",TRUE,A649,"!",ADDRESS(16+(A650-1)*A646,6)))</f>
        <v/>
      </c>
      <c r="I634" s="20" t="str">
        <f ca="1">INDIRECT(_xlfn.TEXTJOIN("",TRUE,A649,"!",ADDRESS(16+(A650-1)*A646,13)))</f>
        <v/>
      </c>
      <c r="J634" s="20" t="e">
        <f ca="1">INDIRECT(_xlfn.TEXTJOIN("",TRUE,A649,"!",ADDRESS(16+(A650-1)*A646,14)))</f>
        <v>#N/A</v>
      </c>
    </row>
    <row r="635" spans="1:10" ht="26.25" customHeight="1" x14ac:dyDescent="0.2">
      <c r="A635" s="96" t="str">
        <f ca="1">INDIRECT(_xlfn.TEXTJOIN("",TRUE,A649,"!",ADDRESS(17+(A650-1)*A646,1)))</f>
        <v/>
      </c>
      <c r="B635" s="97"/>
      <c r="C635" s="106" t="str">
        <f ca="1">INDIRECT(_xlfn.TEXTJOIN("",TRUE,A649,"!",ADDRESS(17+(A650-1)*A646,2)))</f>
        <v/>
      </c>
      <c r="D635" s="107"/>
      <c r="E635" s="107"/>
      <c r="F635" s="107"/>
      <c r="G635" s="108"/>
      <c r="H635" s="20" t="str">
        <f ca="1">INDIRECT(_xlfn.TEXTJOIN("",TRUE,A649,"!",ADDRESS(17+(A650-1)*A646,6)))</f>
        <v/>
      </c>
      <c r="I635" s="20" t="str">
        <f ca="1">INDIRECT(_xlfn.TEXTJOIN("",TRUE,A649,"!",ADDRESS(17+(A650-1)*A646,13)))</f>
        <v/>
      </c>
      <c r="J635" s="20" t="e">
        <f ca="1">INDIRECT(_xlfn.TEXTJOIN("",TRUE,A649,"!",ADDRESS(17+(A650-1)*A646,14)))</f>
        <v>#N/A</v>
      </c>
    </row>
    <row r="636" spans="1:10" ht="26.25" customHeight="1" x14ac:dyDescent="0.2">
      <c r="A636" s="96" t="str">
        <f ca="1">INDIRECT(_xlfn.TEXTJOIN("",TRUE,A649,"!",ADDRESS(18+(A650-1)*A646,1)))</f>
        <v/>
      </c>
      <c r="B636" s="97"/>
      <c r="C636" s="106" t="str">
        <f ca="1">INDIRECT(_xlfn.TEXTJOIN("",TRUE,A649,"!",ADDRESS(18+(A650-1)*A646,2)))</f>
        <v/>
      </c>
      <c r="D636" s="107"/>
      <c r="E636" s="107"/>
      <c r="F636" s="107"/>
      <c r="G636" s="108"/>
      <c r="H636" s="20" t="str">
        <f ca="1">INDIRECT(_xlfn.TEXTJOIN("",TRUE,A649,"!",ADDRESS(18+(A650-1)*A646,6)))</f>
        <v/>
      </c>
      <c r="I636" s="20" t="str">
        <f ca="1">INDIRECT(_xlfn.TEXTJOIN("",TRUE,A649,"!",ADDRESS(18+(A650-1)*A646,13)))</f>
        <v/>
      </c>
      <c r="J636" s="20" t="e">
        <f ca="1">INDIRECT(_xlfn.TEXTJOIN("",TRUE,A649,"!",ADDRESS(18+(A650-1)*A646,14)))</f>
        <v>#N/A</v>
      </c>
    </row>
    <row r="637" spans="1:10" ht="26.25" customHeight="1" x14ac:dyDescent="0.2">
      <c r="A637" s="96" t="str">
        <f ca="1">INDIRECT(_xlfn.TEXTJOIN("",TRUE,A649,"!",ADDRESS(19+(A650-1)*A646,1)))</f>
        <v/>
      </c>
      <c r="B637" s="97"/>
      <c r="C637" s="106" t="str">
        <f ca="1">INDIRECT(_xlfn.TEXTJOIN("",TRUE,A649,"!",ADDRESS(19+(A650-1)*A646,2)))</f>
        <v/>
      </c>
      <c r="D637" s="107"/>
      <c r="E637" s="107"/>
      <c r="F637" s="107"/>
      <c r="G637" s="108"/>
      <c r="H637" s="20" t="str">
        <f ca="1">INDIRECT(_xlfn.TEXTJOIN("",TRUE,A649,"!",ADDRESS(19+(A650-1)*A646,6)))</f>
        <v/>
      </c>
      <c r="I637" s="20" t="str">
        <f ca="1">INDIRECT(_xlfn.TEXTJOIN("",TRUE,A649,"!",ADDRESS(19+(A650-1)*A646,13)))</f>
        <v/>
      </c>
      <c r="J637" s="20" t="e">
        <f ca="1">INDIRECT(_xlfn.TEXTJOIN("",TRUE,A649,"!",ADDRESS(19+(A650-1)*A646,14)))</f>
        <v>#N/A</v>
      </c>
    </row>
    <row r="638" spans="1:10" ht="26.25" customHeight="1" x14ac:dyDescent="0.2">
      <c r="A638" s="96" t="str">
        <f ca="1">INDIRECT(_xlfn.TEXTJOIN("",TRUE,A649,"!",ADDRESS(20+(A650-1)*A646,1)))</f>
        <v/>
      </c>
      <c r="B638" s="97"/>
      <c r="C638" s="106" t="str">
        <f ca="1">INDIRECT(_xlfn.TEXTJOIN("",TRUE,A649,"!",ADDRESS(20+(A650-1)*A646,2)))</f>
        <v/>
      </c>
      <c r="D638" s="107"/>
      <c r="E638" s="107"/>
      <c r="F638" s="107"/>
      <c r="G638" s="108"/>
      <c r="H638" s="20" t="str">
        <f ca="1">INDIRECT(_xlfn.TEXTJOIN("",TRUE,A649,"!",ADDRESS(20+(A650-1)*A646,6)))</f>
        <v/>
      </c>
      <c r="I638" s="20" t="str">
        <f ca="1">INDIRECT(_xlfn.TEXTJOIN("",TRUE,A649,"!",ADDRESS(20+(A650-1)*A646,13)))</f>
        <v/>
      </c>
      <c r="J638" s="20" t="e">
        <f ca="1">INDIRECT(_xlfn.TEXTJOIN("",TRUE,A649,"!",ADDRESS(20+(A650-1)*A646,14)))</f>
        <v>#N/A</v>
      </c>
    </row>
    <row r="639" spans="1:10" ht="26.25" customHeight="1" x14ac:dyDescent="0.2">
      <c r="A639" s="96" t="str">
        <f ca="1">INDIRECT(_xlfn.TEXTJOIN("",TRUE,A649,"!",ADDRESS(21+(A650-1)*A646,1)))</f>
        <v/>
      </c>
      <c r="B639" s="97"/>
      <c r="C639" s="106" t="str">
        <f ca="1">INDIRECT(_xlfn.TEXTJOIN("",TRUE,A649,"!",ADDRESS(21+(A650-1)*A646,2)))</f>
        <v/>
      </c>
      <c r="D639" s="107"/>
      <c r="E639" s="107"/>
      <c r="F639" s="107"/>
      <c r="G639" s="108"/>
      <c r="H639" s="20" t="str">
        <f ca="1">INDIRECT(_xlfn.TEXTJOIN("",TRUE,A649,"!",ADDRESS(21+(A650-1)*A646,6)))</f>
        <v/>
      </c>
      <c r="I639" s="20" t="str">
        <f ca="1">INDIRECT(_xlfn.TEXTJOIN("",TRUE,A649,"!",ADDRESS(21+(A650-1)*A646,13)))</f>
        <v/>
      </c>
      <c r="J639" s="20" t="e">
        <f ca="1">INDIRECT(_xlfn.TEXTJOIN("",TRUE,A649,"!",ADDRESS(21+(A650-1)*A646,14)))</f>
        <v>#N/A</v>
      </c>
    </row>
    <row r="640" spans="1:10" ht="26.25" customHeight="1" x14ac:dyDescent="0.2">
      <c r="A640" s="96" t="str">
        <f ca="1">INDIRECT(_xlfn.TEXTJOIN("",TRUE,A649,"!",ADDRESS(22+(A650-1)*A646,1)))</f>
        <v/>
      </c>
      <c r="B640" s="97"/>
      <c r="C640" s="106" t="str">
        <f ca="1">INDIRECT(_xlfn.TEXTJOIN("",TRUE,A649,"!",ADDRESS(22+(A650-1)*A646,2)))</f>
        <v/>
      </c>
      <c r="D640" s="107"/>
      <c r="E640" s="107"/>
      <c r="F640" s="107"/>
      <c r="G640" s="108"/>
      <c r="H640" s="20" t="str">
        <f ca="1">INDIRECT(_xlfn.TEXTJOIN("",TRUE,A649,"!",ADDRESS(22+(A650-1)*A646,6)))</f>
        <v/>
      </c>
      <c r="I640" s="20" t="str">
        <f ca="1">INDIRECT(_xlfn.TEXTJOIN("",TRUE,A649,"!",ADDRESS(22+(A650-1)*A646,13)))</f>
        <v/>
      </c>
      <c r="J640" s="20" t="e">
        <f ca="1">INDIRECT(_xlfn.TEXTJOIN("",TRUE,A649,"!",ADDRESS(22+(A650-1)*A646,14)))</f>
        <v>#N/A</v>
      </c>
    </row>
    <row r="641" spans="1:10" ht="26.25" customHeight="1" x14ac:dyDescent="0.2">
      <c r="A641" s="110" t="str">
        <f ca="1">INDIRECT(_xlfn.TEXTJOIN("",TRUE,A649,"!",ADDRESS(23+(A650-1)*A646,1)))</f>
        <v/>
      </c>
      <c r="B641" s="111"/>
      <c r="C641" s="115" t="str">
        <f ca="1">INDIRECT(_xlfn.TEXTJOIN("",TRUE,A649,"!",ADDRESS(23+(A650-1)*A646,2)))</f>
        <v/>
      </c>
      <c r="D641" s="116"/>
      <c r="E641" s="116"/>
      <c r="F641" s="116"/>
      <c r="G641" s="117"/>
      <c r="H641" s="20" t="str">
        <f ca="1">INDIRECT(_xlfn.TEXTJOIN("",TRUE,A649,"!",ADDRESS(23+(A650-1)*A646,6)))</f>
        <v/>
      </c>
      <c r="I641" s="20" t="str">
        <f ca="1">INDIRECT(_xlfn.TEXTJOIN("",TRUE,A649,"!",ADDRESS(23+(A650-1)*A646,13)))</f>
        <v/>
      </c>
      <c r="J641" s="20" t="e">
        <f ca="1">INDIRECT(_xlfn.TEXTJOIN("",TRUE,A649,"!",ADDRESS(23+(A650-1)*A646,14)))</f>
        <v>#N/A</v>
      </c>
    </row>
    <row r="642" spans="1:10" ht="26.25" customHeight="1" x14ac:dyDescent="0.2">
      <c r="A642" s="110" t="str">
        <f ca="1">INDIRECT(_xlfn.TEXTJOIN("",TRUE,A649,"!",ADDRESS(24+(A650-1)*A646,1)))</f>
        <v/>
      </c>
      <c r="B642" s="111"/>
      <c r="C642" s="115" t="str">
        <f ca="1">INDIRECT(_xlfn.TEXTJOIN("",TRUE,A649,"!",ADDRESS(24+(A650-1)*A646,2)))</f>
        <v/>
      </c>
      <c r="D642" s="116"/>
      <c r="E642" s="116"/>
      <c r="F642" s="116"/>
      <c r="G642" s="117"/>
      <c r="H642" s="20" t="str">
        <f ca="1">INDIRECT(_xlfn.TEXTJOIN("",TRUE,A649,"!",ADDRESS(24+(A650-1)*A646,6)))</f>
        <v/>
      </c>
      <c r="I642" s="20" t="str">
        <f ca="1">INDIRECT(_xlfn.TEXTJOIN("",TRUE,A649,"!",ADDRESS(24+(A650-1)*A646,13)))</f>
        <v/>
      </c>
      <c r="J642" s="20" t="e">
        <f ca="1">INDIRECT(_xlfn.TEXTJOIN("",TRUE,A649,"!",ADDRESS(24+(A650-1)*A646,14)))</f>
        <v>#N/A</v>
      </c>
    </row>
    <row r="643" spans="1:10" ht="26.25" customHeight="1" x14ac:dyDescent="0.2">
      <c r="A643" s="110" t="str">
        <f ca="1">INDIRECT(_xlfn.TEXTJOIN("",TRUE,A649,"!",ADDRESS(25+(A650-1)*A646,1)))</f>
        <v/>
      </c>
      <c r="B643" s="111"/>
      <c r="C643" s="115" t="str">
        <f ca="1">INDIRECT(_xlfn.TEXTJOIN("",TRUE,A649,"!",ADDRESS(25+(A650-1)*A646,2)))</f>
        <v/>
      </c>
      <c r="D643" s="116"/>
      <c r="E643" s="116"/>
      <c r="F643" s="116"/>
      <c r="G643" s="117"/>
      <c r="H643" s="20" t="str">
        <f ca="1">INDIRECT(_xlfn.TEXTJOIN("",TRUE,A649,"!",ADDRESS(25+(A650-1)*A646,6)))</f>
        <v/>
      </c>
      <c r="I643" s="20" t="str">
        <f ca="1">INDIRECT(_xlfn.TEXTJOIN("",TRUE,A649,"!",ADDRESS(25+(A650-1)*A646,13)))</f>
        <v/>
      </c>
      <c r="J643" s="20" t="e">
        <f ca="1">INDIRECT(_xlfn.TEXTJOIN("",TRUE,A649,"!",ADDRESS(25+(A650-1)*A646,14)))</f>
        <v>#N/A</v>
      </c>
    </row>
    <row r="644" spans="1:10" ht="26.25" customHeight="1" x14ac:dyDescent="0.2">
      <c r="A644" s="100" t="s">
        <v>52</v>
      </c>
      <c r="B644" s="101"/>
      <c r="C644" s="101"/>
      <c r="D644" s="101"/>
      <c r="E644" s="101"/>
      <c r="F644" s="101"/>
      <c r="G644" s="102"/>
      <c r="H644" s="98">
        <f ca="1">SUM(H631:H644)</f>
        <v>24</v>
      </c>
      <c r="I644" s="98" t="s">
        <v>44</v>
      </c>
      <c r="J644" s="98" t="e">
        <f ca="1">SUMPRODUCT(J631:J643,H631:H643)</f>
        <v>#N/A</v>
      </c>
    </row>
    <row r="645" spans="1:10" ht="26.25" customHeight="1" x14ac:dyDescent="0.2">
      <c r="A645" s="103"/>
      <c r="B645" s="104"/>
      <c r="C645" s="104"/>
      <c r="D645" s="104"/>
      <c r="E645" s="104"/>
      <c r="F645" s="104"/>
      <c r="G645" s="105"/>
      <c r="H645" s="99"/>
      <c r="I645" s="99"/>
      <c r="J645" s="99"/>
    </row>
    <row r="646" spans="1:10" ht="26.25" customHeight="1" x14ac:dyDescent="0.2">
      <c r="A646" s="22">
        <f>ROWS(A631:B644)+9</f>
        <v>23</v>
      </c>
      <c r="B646" s="17"/>
      <c r="C646" s="17"/>
      <c r="D646" s="17"/>
      <c r="E646" s="17"/>
      <c r="F646" s="17"/>
      <c r="G646" s="17"/>
      <c r="H646" s="17"/>
      <c r="I646" s="17"/>
      <c r="J646" s="17"/>
    </row>
    <row r="647" spans="1:10" ht="26.25" customHeight="1" x14ac:dyDescent="0.2">
      <c r="A647" s="120" t="s">
        <v>40</v>
      </c>
      <c r="B647" s="120"/>
      <c r="C647" s="21" t="str">
        <f ca="1">INDIRECT(_xlfn.TEXTJOIN("",TRUE,A649,"!",ADDRESS(5+A650*A646,12)))</f>
        <v/>
      </c>
      <c r="D647" s="120" t="s">
        <v>38</v>
      </c>
      <c r="E647" s="120"/>
      <c r="F647" s="18" t="str">
        <f ca="1">INDIRECT(_xlfn.TEXTJOIN("",TRUE,A649,"!",ADDRESS(5+A650*A646,8)))</f>
        <v/>
      </c>
      <c r="G647" s="120" t="s">
        <v>39</v>
      </c>
      <c r="H647" s="120"/>
      <c r="I647" s="109" t="str">
        <f ca="1">INDIRECT(_xlfn.TEXTJOIN("",TRUE,A649,"!",ADDRESS(5+A650*A646,10)))</f>
        <v/>
      </c>
      <c r="J647" s="109"/>
    </row>
    <row r="648" spans="1:10" ht="26.25" customHeight="1" x14ac:dyDescent="0.2">
      <c r="A648" s="19" t="s">
        <v>36</v>
      </c>
      <c r="B648" s="95" t="str">
        <f ca="1">INDIRECT(_xlfn.TEXTJOIN("",TRUE,A649,"!",ADDRESS(5+A650*A646,2)))</f>
        <v/>
      </c>
      <c r="C648" s="95"/>
      <c r="D648" s="121" t="s">
        <v>37</v>
      </c>
      <c r="E648" s="121"/>
      <c r="F648" s="122" t="str">
        <f ca="1">INDIRECT(_xlfn.TEXTJOIN("",TRUE,A649,"!",ADDRESS(5+A650*A646,5)))</f>
        <v/>
      </c>
      <c r="G648" s="122"/>
      <c r="H648" s="122"/>
      <c r="I648" s="122"/>
      <c r="J648" s="122"/>
    </row>
    <row r="649" spans="1:10" ht="26.25" customHeight="1" x14ac:dyDescent="0.2">
      <c r="A649" s="22" t="str">
        <f>A626</f>
        <v>TC_I</v>
      </c>
    </row>
    <row r="650" spans="1:10" ht="26.25" customHeight="1" x14ac:dyDescent="0.2">
      <c r="A650" s="22">
        <f>A627+1</f>
        <v>28</v>
      </c>
    </row>
    <row r="651" spans="1:10" ht="26.25" customHeight="1" x14ac:dyDescent="0.2">
      <c r="A651" s="112" t="s">
        <v>24</v>
      </c>
      <c r="B651" s="112"/>
      <c r="C651" s="112" t="str">
        <f ca="1">INDIRECT(_xlfn.TEXTJOIN("",TRUE,A672,"!",ADDRESS(9+(A673-1)*A669,2)))</f>
        <v/>
      </c>
      <c r="D651" s="112"/>
      <c r="E651" s="112"/>
      <c r="F651" s="112" t="s">
        <v>50</v>
      </c>
      <c r="G651" s="112"/>
      <c r="H651" s="112"/>
      <c r="I651" s="113" t="str">
        <f ca="1">INDIRECT(_xlfn.TEXTJOIN("",TRUE,A672,"!",ADDRESS(9+(A673-1)*A669,9)))</f>
        <v/>
      </c>
      <c r="J651" s="113"/>
    </row>
    <row r="652" spans="1:10" ht="26.25" customHeight="1" x14ac:dyDescent="0.2">
      <c r="A652" s="112" t="s">
        <v>25</v>
      </c>
      <c r="B652" s="112"/>
      <c r="C652" s="112" t="str">
        <f ca="1">INDIRECT(_xlfn.TEXTJOIN("",TRUE,A672,"!",ADDRESS(9+(A673-1)*A669,5)))</f>
        <v/>
      </c>
      <c r="D652" s="112"/>
      <c r="E652" s="112"/>
      <c r="F652" s="114" t="s">
        <v>51</v>
      </c>
      <c r="G652" s="114"/>
      <c r="H652" s="114"/>
      <c r="I652" s="113" t="str">
        <f ca="1">INDIRECT(_xlfn.TEXTJOIN("",TRUE,A672,"!",ADDRESS(9+(A673-1)*A669,13)))</f>
        <v/>
      </c>
      <c r="J652" s="113"/>
    </row>
    <row r="653" spans="1:10" ht="26.25" customHeight="1" x14ac:dyDescent="0.2">
      <c r="A653" s="95" t="s">
        <v>28</v>
      </c>
      <c r="B653" s="95"/>
      <c r="C653" s="95" t="s">
        <v>29</v>
      </c>
      <c r="D653" s="95"/>
      <c r="E653" s="95"/>
      <c r="F653" s="95"/>
      <c r="G653" s="95"/>
      <c r="H653" s="15" t="s">
        <v>30</v>
      </c>
      <c r="I653" s="15" t="s">
        <v>9</v>
      </c>
      <c r="J653" s="15" t="s">
        <v>34</v>
      </c>
    </row>
    <row r="654" spans="1:10" ht="26.25" customHeight="1" x14ac:dyDescent="0.2">
      <c r="A654" s="96" t="str">
        <f ca="1">INDIRECT(_xlfn.TEXTJOIN("",TRUE,A672,"!",ADDRESS(13+(A673-1)*A669,1)))</f>
        <v/>
      </c>
      <c r="B654" s="97"/>
      <c r="C654" s="106" t="str">
        <f ca="1">INDIRECT(_xlfn.TEXTJOIN("",TRUE,A672,"!",ADDRESS(13+(A673-1)*A669,2)))</f>
        <v/>
      </c>
      <c r="D654" s="107"/>
      <c r="E654" s="107"/>
      <c r="F654" s="107"/>
      <c r="G654" s="108"/>
      <c r="H654" s="20" t="str">
        <f ca="1">INDIRECT(_xlfn.TEXTJOIN("",TRUE,A672,"!",ADDRESS(13+(A673-1)*A669,6)))</f>
        <v/>
      </c>
      <c r="I654" s="20" t="str">
        <f ca="1">INDIRECT(_xlfn.TEXTJOIN("",TRUE,A672,"!",ADDRESS(13+(A673-1)*A669,13)))</f>
        <v/>
      </c>
      <c r="J654" s="20" t="e">
        <f ca="1">INDIRECT(_xlfn.TEXTJOIN("",TRUE,A672,"!",ADDRESS(13+(A673-1)*A669,14)))</f>
        <v>#N/A</v>
      </c>
    </row>
    <row r="655" spans="1:10" ht="26.25" customHeight="1" x14ac:dyDescent="0.2">
      <c r="A655" s="96" t="str">
        <f ca="1">INDIRECT(_xlfn.TEXTJOIN("",TRUE,A672,"!",ADDRESS(14+(A673-1)*A669,1)))</f>
        <v/>
      </c>
      <c r="B655" s="97"/>
      <c r="C655" s="106" t="str">
        <f ca="1">INDIRECT(_xlfn.TEXTJOIN("",TRUE,A672,"!",ADDRESS(14+(A673-1)*A669,2)))</f>
        <v/>
      </c>
      <c r="D655" s="107"/>
      <c r="E655" s="107"/>
      <c r="F655" s="107"/>
      <c r="G655" s="108"/>
      <c r="H655" s="20" t="str">
        <f ca="1">INDIRECT(_xlfn.TEXTJOIN("",TRUE,A672,"!",ADDRESS(14+(A673-1)*A669,6)))</f>
        <v/>
      </c>
      <c r="I655" s="20" t="str">
        <f ca="1">INDIRECT(_xlfn.TEXTJOIN("",TRUE,A672,"!",ADDRESS(14+(A673-1)*A669,13)))</f>
        <v/>
      </c>
      <c r="J655" s="20" t="e">
        <f ca="1">INDIRECT(_xlfn.TEXTJOIN("",TRUE,A672,"!",ADDRESS(14+(A673-1)*A669,14)))</f>
        <v>#N/A</v>
      </c>
    </row>
    <row r="656" spans="1:10" ht="26.25" customHeight="1" x14ac:dyDescent="0.2">
      <c r="A656" s="96" t="str">
        <f ca="1">INDIRECT(_xlfn.TEXTJOIN("",TRUE,A672,"!",ADDRESS(15+(A673-1)*A669,1)))</f>
        <v/>
      </c>
      <c r="B656" s="97"/>
      <c r="C656" s="106" t="str">
        <f ca="1">INDIRECT(_xlfn.TEXTJOIN("",TRUE,A672,"!",ADDRESS(15+(A673-1)*A669,2)))</f>
        <v/>
      </c>
      <c r="D656" s="107"/>
      <c r="E656" s="107"/>
      <c r="F656" s="107"/>
      <c r="G656" s="108"/>
      <c r="H656" s="20" t="str">
        <f ca="1">INDIRECT(_xlfn.TEXTJOIN("",TRUE,A672,"!",ADDRESS(15+(A673-1)*A669,6)))</f>
        <v/>
      </c>
      <c r="I656" s="20" t="str">
        <f ca="1">INDIRECT(_xlfn.TEXTJOIN("",TRUE,A672,"!",ADDRESS(15+(A673-1)*A669,13)))</f>
        <v/>
      </c>
      <c r="J656" s="20" t="e">
        <f ca="1">INDIRECT(_xlfn.TEXTJOIN("",TRUE,A672,"!",ADDRESS(15+(A673-1)*A669,14)))</f>
        <v>#N/A</v>
      </c>
    </row>
    <row r="657" spans="1:10" ht="26.25" customHeight="1" x14ac:dyDescent="0.2">
      <c r="A657" s="96" t="str">
        <f ca="1">INDIRECT(_xlfn.TEXTJOIN("",TRUE,A672,"!",ADDRESS(16+(A673-1)*A669,1)))</f>
        <v/>
      </c>
      <c r="B657" s="97"/>
      <c r="C657" s="106" t="str">
        <f ca="1">INDIRECT(_xlfn.TEXTJOIN("",TRUE,A672,"!",ADDRESS(16+(A673-1)*A669,2)))</f>
        <v/>
      </c>
      <c r="D657" s="107"/>
      <c r="E657" s="107"/>
      <c r="F657" s="107"/>
      <c r="G657" s="108"/>
      <c r="H657" s="20" t="str">
        <f ca="1">INDIRECT(_xlfn.TEXTJOIN("",TRUE,A672,"!",ADDRESS(16+(A673-1)*A669,6)))</f>
        <v/>
      </c>
      <c r="I657" s="20" t="str">
        <f ca="1">INDIRECT(_xlfn.TEXTJOIN("",TRUE,A672,"!",ADDRESS(16+(A673-1)*A669,13)))</f>
        <v/>
      </c>
      <c r="J657" s="20" t="e">
        <f ca="1">INDIRECT(_xlfn.TEXTJOIN("",TRUE,A672,"!",ADDRESS(16+(A673-1)*A669,14)))</f>
        <v>#N/A</v>
      </c>
    </row>
    <row r="658" spans="1:10" ht="26.25" customHeight="1" x14ac:dyDescent="0.2">
      <c r="A658" s="96" t="str">
        <f ca="1">INDIRECT(_xlfn.TEXTJOIN("",TRUE,A672,"!",ADDRESS(17+(A673-1)*A669,1)))</f>
        <v/>
      </c>
      <c r="B658" s="97"/>
      <c r="C658" s="106" t="str">
        <f ca="1">INDIRECT(_xlfn.TEXTJOIN("",TRUE,A672,"!",ADDRESS(17+(A673-1)*A669,2)))</f>
        <v/>
      </c>
      <c r="D658" s="107"/>
      <c r="E658" s="107"/>
      <c r="F658" s="107"/>
      <c r="G658" s="108"/>
      <c r="H658" s="20" t="str">
        <f ca="1">INDIRECT(_xlfn.TEXTJOIN("",TRUE,A672,"!",ADDRESS(17+(A673-1)*A669,6)))</f>
        <v/>
      </c>
      <c r="I658" s="20" t="str">
        <f ca="1">INDIRECT(_xlfn.TEXTJOIN("",TRUE,A672,"!",ADDRESS(17+(A673-1)*A669,13)))</f>
        <v/>
      </c>
      <c r="J658" s="20" t="e">
        <f ca="1">INDIRECT(_xlfn.TEXTJOIN("",TRUE,A672,"!",ADDRESS(17+(A673-1)*A669,14)))</f>
        <v>#N/A</v>
      </c>
    </row>
    <row r="659" spans="1:10" ht="26.25" customHeight="1" x14ac:dyDescent="0.2">
      <c r="A659" s="96" t="str">
        <f ca="1">INDIRECT(_xlfn.TEXTJOIN("",TRUE,A672,"!",ADDRESS(18+(A673-1)*A669,1)))</f>
        <v/>
      </c>
      <c r="B659" s="97"/>
      <c r="C659" s="106" t="str">
        <f ca="1">INDIRECT(_xlfn.TEXTJOIN("",TRUE,A672,"!",ADDRESS(18+(A673-1)*A669,2)))</f>
        <v/>
      </c>
      <c r="D659" s="107"/>
      <c r="E659" s="107"/>
      <c r="F659" s="107"/>
      <c r="G659" s="108"/>
      <c r="H659" s="20" t="str">
        <f ca="1">INDIRECT(_xlfn.TEXTJOIN("",TRUE,A672,"!",ADDRESS(18+(A673-1)*A669,6)))</f>
        <v/>
      </c>
      <c r="I659" s="20" t="str">
        <f ca="1">INDIRECT(_xlfn.TEXTJOIN("",TRUE,A672,"!",ADDRESS(18+(A673-1)*A669,13)))</f>
        <v/>
      </c>
      <c r="J659" s="20" t="e">
        <f ca="1">INDIRECT(_xlfn.TEXTJOIN("",TRUE,A672,"!",ADDRESS(18+(A673-1)*A669,14)))</f>
        <v>#N/A</v>
      </c>
    </row>
    <row r="660" spans="1:10" ht="26.25" customHeight="1" x14ac:dyDescent="0.2">
      <c r="A660" s="96" t="str">
        <f ca="1">INDIRECT(_xlfn.TEXTJOIN("",TRUE,A672,"!",ADDRESS(19+(A673-1)*A669,1)))</f>
        <v/>
      </c>
      <c r="B660" s="97"/>
      <c r="C660" s="106" t="str">
        <f ca="1">INDIRECT(_xlfn.TEXTJOIN("",TRUE,A672,"!",ADDRESS(19+(A673-1)*A669,2)))</f>
        <v/>
      </c>
      <c r="D660" s="107"/>
      <c r="E660" s="107"/>
      <c r="F660" s="107"/>
      <c r="G660" s="108"/>
      <c r="H660" s="20" t="str">
        <f ca="1">INDIRECT(_xlfn.TEXTJOIN("",TRUE,A672,"!",ADDRESS(19+(A673-1)*A669,6)))</f>
        <v/>
      </c>
      <c r="I660" s="20" t="str">
        <f ca="1">INDIRECT(_xlfn.TEXTJOIN("",TRUE,A672,"!",ADDRESS(19+(A673-1)*A669,13)))</f>
        <v/>
      </c>
      <c r="J660" s="20" t="e">
        <f ca="1">INDIRECT(_xlfn.TEXTJOIN("",TRUE,A672,"!",ADDRESS(19+(A673-1)*A669,14)))</f>
        <v>#N/A</v>
      </c>
    </row>
    <row r="661" spans="1:10" ht="26.25" customHeight="1" x14ac:dyDescent="0.2">
      <c r="A661" s="96" t="str">
        <f ca="1">INDIRECT(_xlfn.TEXTJOIN("",TRUE,A672,"!",ADDRESS(20+(A673-1)*A669,1)))</f>
        <v/>
      </c>
      <c r="B661" s="97"/>
      <c r="C661" s="106" t="str">
        <f ca="1">INDIRECT(_xlfn.TEXTJOIN("",TRUE,A672,"!",ADDRESS(20+(A673-1)*A669,2)))</f>
        <v/>
      </c>
      <c r="D661" s="107"/>
      <c r="E661" s="107"/>
      <c r="F661" s="107"/>
      <c r="G661" s="108"/>
      <c r="H661" s="20" t="str">
        <f ca="1">INDIRECT(_xlfn.TEXTJOIN("",TRUE,A672,"!",ADDRESS(20+(A673-1)*A669,6)))</f>
        <v/>
      </c>
      <c r="I661" s="20" t="str">
        <f ca="1">INDIRECT(_xlfn.TEXTJOIN("",TRUE,A672,"!",ADDRESS(20+(A673-1)*A669,13)))</f>
        <v/>
      </c>
      <c r="J661" s="20" t="e">
        <f ca="1">INDIRECT(_xlfn.TEXTJOIN("",TRUE,A672,"!",ADDRESS(20+(A673-1)*A669,14)))</f>
        <v>#N/A</v>
      </c>
    </row>
    <row r="662" spans="1:10" ht="26.25" customHeight="1" x14ac:dyDescent="0.2">
      <c r="A662" s="96" t="str">
        <f ca="1">INDIRECT(_xlfn.TEXTJOIN("",TRUE,A672,"!",ADDRESS(21+(A673-1)*A669,1)))</f>
        <v/>
      </c>
      <c r="B662" s="97"/>
      <c r="C662" s="106" t="str">
        <f ca="1">INDIRECT(_xlfn.TEXTJOIN("",TRUE,A672,"!",ADDRESS(21+(A673-1)*A669,2)))</f>
        <v/>
      </c>
      <c r="D662" s="107"/>
      <c r="E662" s="107"/>
      <c r="F662" s="107"/>
      <c r="G662" s="108"/>
      <c r="H662" s="20" t="str">
        <f ca="1">INDIRECT(_xlfn.TEXTJOIN("",TRUE,A672,"!",ADDRESS(21+(A673-1)*A669,6)))</f>
        <v/>
      </c>
      <c r="I662" s="20" t="str">
        <f ca="1">INDIRECT(_xlfn.TEXTJOIN("",TRUE,A672,"!",ADDRESS(21+(A673-1)*A669,13)))</f>
        <v/>
      </c>
      <c r="J662" s="20" t="e">
        <f ca="1">INDIRECT(_xlfn.TEXTJOIN("",TRUE,A672,"!",ADDRESS(21+(A673-1)*A669,14)))</f>
        <v>#N/A</v>
      </c>
    </row>
    <row r="663" spans="1:10" ht="26.25" customHeight="1" x14ac:dyDescent="0.2">
      <c r="A663" s="96" t="str">
        <f ca="1">INDIRECT(_xlfn.TEXTJOIN("",TRUE,A672,"!",ADDRESS(22+(A673-1)*A669,1)))</f>
        <v/>
      </c>
      <c r="B663" s="97"/>
      <c r="C663" s="106" t="str">
        <f ca="1">INDIRECT(_xlfn.TEXTJOIN("",TRUE,A672,"!",ADDRESS(22+(A673-1)*A669,2)))</f>
        <v/>
      </c>
      <c r="D663" s="107"/>
      <c r="E663" s="107"/>
      <c r="F663" s="107"/>
      <c r="G663" s="108"/>
      <c r="H663" s="20" t="str">
        <f ca="1">INDIRECT(_xlfn.TEXTJOIN("",TRUE,A672,"!",ADDRESS(22+(A673-1)*A669,6)))</f>
        <v/>
      </c>
      <c r="I663" s="20" t="str">
        <f ca="1">INDIRECT(_xlfn.TEXTJOIN("",TRUE,A672,"!",ADDRESS(22+(A673-1)*A669,13)))</f>
        <v/>
      </c>
      <c r="J663" s="20" t="e">
        <f ca="1">INDIRECT(_xlfn.TEXTJOIN("",TRUE,A672,"!",ADDRESS(22+(A673-1)*A669,14)))</f>
        <v>#N/A</v>
      </c>
    </row>
    <row r="664" spans="1:10" ht="26.25" customHeight="1" x14ac:dyDescent="0.2">
      <c r="A664" s="110" t="str">
        <f ca="1">INDIRECT(_xlfn.TEXTJOIN("",TRUE,A672,"!",ADDRESS(23+(A673-1)*A669,1)))</f>
        <v/>
      </c>
      <c r="B664" s="111"/>
      <c r="C664" s="115" t="str">
        <f ca="1">INDIRECT(_xlfn.TEXTJOIN("",TRUE,A672,"!",ADDRESS(23+(A673-1)*A669,2)))</f>
        <v/>
      </c>
      <c r="D664" s="116"/>
      <c r="E664" s="116"/>
      <c r="F664" s="116"/>
      <c r="G664" s="117"/>
      <c r="H664" s="20" t="str">
        <f ca="1">INDIRECT(_xlfn.TEXTJOIN("",TRUE,A672,"!",ADDRESS(23+(A673-1)*A669,6)))</f>
        <v/>
      </c>
      <c r="I664" s="20" t="str">
        <f ca="1">INDIRECT(_xlfn.TEXTJOIN("",TRUE,A672,"!",ADDRESS(23+(A673-1)*A669,13)))</f>
        <v/>
      </c>
      <c r="J664" s="20" t="e">
        <f ca="1">INDIRECT(_xlfn.TEXTJOIN("",TRUE,A672,"!",ADDRESS(23+(A673-1)*A669,14)))</f>
        <v>#N/A</v>
      </c>
    </row>
    <row r="665" spans="1:10" ht="26.25" customHeight="1" x14ac:dyDescent="0.2">
      <c r="A665" s="110" t="str">
        <f ca="1">INDIRECT(_xlfn.TEXTJOIN("",TRUE,A672,"!",ADDRESS(24+(A673-1)*A669,1)))</f>
        <v/>
      </c>
      <c r="B665" s="111"/>
      <c r="C665" s="115" t="str">
        <f ca="1">INDIRECT(_xlfn.TEXTJOIN("",TRUE,A672,"!",ADDRESS(24+(A673-1)*A669,2)))</f>
        <v/>
      </c>
      <c r="D665" s="116"/>
      <c r="E665" s="116"/>
      <c r="F665" s="116"/>
      <c r="G665" s="117"/>
      <c r="H665" s="20" t="str">
        <f ca="1">INDIRECT(_xlfn.TEXTJOIN("",TRUE,A672,"!",ADDRESS(24+(A673-1)*A669,6)))</f>
        <v/>
      </c>
      <c r="I665" s="20" t="str">
        <f ca="1">INDIRECT(_xlfn.TEXTJOIN("",TRUE,A672,"!",ADDRESS(24+(A673-1)*A669,13)))</f>
        <v/>
      </c>
      <c r="J665" s="20" t="e">
        <f ca="1">INDIRECT(_xlfn.TEXTJOIN("",TRUE,A672,"!",ADDRESS(24+(A673-1)*A669,14)))</f>
        <v>#N/A</v>
      </c>
    </row>
    <row r="666" spans="1:10" ht="26.25" customHeight="1" x14ac:dyDescent="0.2">
      <c r="A666" s="110" t="str">
        <f ca="1">INDIRECT(_xlfn.TEXTJOIN("",TRUE,A672,"!",ADDRESS(25+(A673-1)*A669,1)))</f>
        <v/>
      </c>
      <c r="B666" s="111"/>
      <c r="C666" s="115" t="str">
        <f ca="1">INDIRECT(_xlfn.TEXTJOIN("",TRUE,A672,"!",ADDRESS(25+(A673-1)*A669,2)))</f>
        <v/>
      </c>
      <c r="D666" s="116"/>
      <c r="E666" s="116"/>
      <c r="F666" s="116"/>
      <c r="G666" s="117"/>
      <c r="H666" s="20" t="str">
        <f ca="1">INDIRECT(_xlfn.TEXTJOIN("",TRUE,A672,"!",ADDRESS(25+(A673-1)*A669,6)))</f>
        <v/>
      </c>
      <c r="I666" s="20" t="str">
        <f ca="1">INDIRECT(_xlfn.TEXTJOIN("",TRUE,A672,"!",ADDRESS(25+(A673-1)*A669,13)))</f>
        <v/>
      </c>
      <c r="J666" s="20" t="e">
        <f ca="1">INDIRECT(_xlfn.TEXTJOIN("",TRUE,A672,"!",ADDRESS(25+(A673-1)*A669,14)))</f>
        <v>#N/A</v>
      </c>
    </row>
    <row r="667" spans="1:10" ht="26.25" customHeight="1" x14ac:dyDescent="0.2">
      <c r="A667" s="100" t="s">
        <v>52</v>
      </c>
      <c r="B667" s="101"/>
      <c r="C667" s="101"/>
      <c r="D667" s="101"/>
      <c r="E667" s="101"/>
      <c r="F667" s="101"/>
      <c r="G667" s="102"/>
      <c r="H667" s="98">
        <f ca="1">SUM(H654:H667)</f>
        <v>24</v>
      </c>
      <c r="I667" s="98" t="s">
        <v>44</v>
      </c>
      <c r="J667" s="98" t="e">
        <f ca="1">SUMPRODUCT(J654:J666,H654:H666)</f>
        <v>#N/A</v>
      </c>
    </row>
    <row r="668" spans="1:10" ht="26.25" customHeight="1" x14ac:dyDescent="0.2">
      <c r="A668" s="103"/>
      <c r="B668" s="104"/>
      <c r="C668" s="104"/>
      <c r="D668" s="104"/>
      <c r="E668" s="104"/>
      <c r="F668" s="104"/>
      <c r="G668" s="105"/>
      <c r="H668" s="99"/>
      <c r="I668" s="99"/>
      <c r="J668" s="99"/>
    </row>
    <row r="669" spans="1:10" ht="26.25" customHeight="1" x14ac:dyDescent="0.2">
      <c r="A669" s="22">
        <f>ROWS(A654:B667)+9</f>
        <v>23</v>
      </c>
      <c r="B669" s="17"/>
      <c r="C669" s="17"/>
      <c r="D669" s="17"/>
      <c r="E669" s="17"/>
      <c r="F669" s="17"/>
      <c r="G669" s="17"/>
      <c r="H669" s="17"/>
      <c r="I669" s="17"/>
      <c r="J669" s="17"/>
    </row>
    <row r="670" spans="1:10" ht="26.25" customHeight="1" x14ac:dyDescent="0.2">
      <c r="A670" s="120" t="s">
        <v>40</v>
      </c>
      <c r="B670" s="120"/>
      <c r="C670" s="21" t="str">
        <f ca="1">INDIRECT(_xlfn.TEXTJOIN("",TRUE,A672,"!",ADDRESS(5+A673*A669,12)))</f>
        <v/>
      </c>
      <c r="D670" s="120" t="s">
        <v>38</v>
      </c>
      <c r="E670" s="120"/>
      <c r="F670" s="18" t="str">
        <f ca="1">INDIRECT(_xlfn.TEXTJOIN("",TRUE,A672,"!",ADDRESS(5+A673*A669,8)))</f>
        <v/>
      </c>
      <c r="G670" s="120" t="s">
        <v>39</v>
      </c>
      <c r="H670" s="120"/>
      <c r="I670" s="109" t="str">
        <f ca="1">INDIRECT(_xlfn.TEXTJOIN("",TRUE,A672,"!",ADDRESS(5+A673*A669,10)))</f>
        <v/>
      </c>
      <c r="J670" s="109"/>
    </row>
    <row r="671" spans="1:10" ht="26.25" customHeight="1" x14ac:dyDescent="0.2">
      <c r="A671" s="19" t="s">
        <v>36</v>
      </c>
      <c r="B671" s="95" t="str">
        <f ca="1">INDIRECT(_xlfn.TEXTJOIN("",TRUE,A672,"!",ADDRESS(5+A673*A669,2)))</f>
        <v/>
      </c>
      <c r="C671" s="95"/>
      <c r="D671" s="121" t="s">
        <v>37</v>
      </c>
      <c r="E671" s="121"/>
      <c r="F671" s="122" t="str">
        <f ca="1">INDIRECT(_xlfn.TEXTJOIN("",TRUE,A672,"!",ADDRESS(5+A673*A669,5)))</f>
        <v/>
      </c>
      <c r="G671" s="122"/>
      <c r="H671" s="122"/>
      <c r="I671" s="122"/>
      <c r="J671" s="122"/>
    </row>
    <row r="672" spans="1:10" ht="26.25" customHeight="1" x14ac:dyDescent="0.2">
      <c r="A672" s="22" t="str">
        <f>A649</f>
        <v>TC_I</v>
      </c>
    </row>
    <row r="673" spans="1:10" ht="26.25" customHeight="1" x14ac:dyDescent="0.2">
      <c r="A673" s="22">
        <f>A650+1</f>
        <v>29</v>
      </c>
    </row>
    <row r="674" spans="1:10" ht="26.25" customHeight="1" x14ac:dyDescent="0.2">
      <c r="A674" s="112" t="s">
        <v>24</v>
      </c>
      <c r="B674" s="112"/>
      <c r="C674" s="112" t="str">
        <f ca="1">INDIRECT(_xlfn.TEXTJOIN("",TRUE,A695,"!",ADDRESS(9+(A696-1)*A692,2)))</f>
        <v/>
      </c>
      <c r="D674" s="112"/>
      <c r="E674" s="112"/>
      <c r="F674" s="112" t="s">
        <v>50</v>
      </c>
      <c r="G674" s="112"/>
      <c r="H674" s="112"/>
      <c r="I674" s="113" t="str">
        <f ca="1">INDIRECT(_xlfn.TEXTJOIN("",TRUE,A695,"!",ADDRESS(9+(A696-1)*A692,9)))</f>
        <v/>
      </c>
      <c r="J674" s="113"/>
    </row>
    <row r="675" spans="1:10" ht="26.25" customHeight="1" x14ac:dyDescent="0.2">
      <c r="A675" s="112" t="s">
        <v>25</v>
      </c>
      <c r="B675" s="112"/>
      <c r="C675" s="112" t="str">
        <f ca="1">INDIRECT(_xlfn.TEXTJOIN("",TRUE,A695,"!",ADDRESS(9+(A696-1)*A692,5)))</f>
        <v/>
      </c>
      <c r="D675" s="112"/>
      <c r="E675" s="112"/>
      <c r="F675" s="114" t="s">
        <v>51</v>
      </c>
      <c r="G675" s="114"/>
      <c r="H675" s="114"/>
      <c r="I675" s="113" t="str">
        <f ca="1">INDIRECT(_xlfn.TEXTJOIN("",TRUE,A695,"!",ADDRESS(9+(A696-1)*A692,13)))</f>
        <v/>
      </c>
      <c r="J675" s="113"/>
    </row>
    <row r="676" spans="1:10" ht="26.25" customHeight="1" x14ac:dyDescent="0.2">
      <c r="A676" s="95" t="s">
        <v>28</v>
      </c>
      <c r="B676" s="95"/>
      <c r="C676" s="95" t="s">
        <v>29</v>
      </c>
      <c r="D676" s="95"/>
      <c r="E676" s="95"/>
      <c r="F676" s="95"/>
      <c r="G676" s="95"/>
      <c r="H676" s="15" t="s">
        <v>30</v>
      </c>
      <c r="I676" s="15" t="s">
        <v>9</v>
      </c>
      <c r="J676" s="15" t="s">
        <v>34</v>
      </c>
    </row>
    <row r="677" spans="1:10" ht="26.25" customHeight="1" x14ac:dyDescent="0.2">
      <c r="A677" s="96" t="str">
        <f ca="1">INDIRECT(_xlfn.TEXTJOIN("",TRUE,A695,"!",ADDRESS(13+(A696-1)*A692,1)))</f>
        <v/>
      </c>
      <c r="B677" s="97"/>
      <c r="C677" s="106" t="str">
        <f ca="1">INDIRECT(_xlfn.TEXTJOIN("",TRUE,A695,"!",ADDRESS(13+(A696-1)*A692,2)))</f>
        <v/>
      </c>
      <c r="D677" s="107"/>
      <c r="E677" s="107"/>
      <c r="F677" s="107"/>
      <c r="G677" s="108"/>
      <c r="H677" s="20" t="str">
        <f ca="1">INDIRECT(_xlfn.TEXTJOIN("",TRUE,A695,"!",ADDRESS(13+(A696-1)*A692,6)))</f>
        <v/>
      </c>
      <c r="I677" s="20" t="str">
        <f ca="1">INDIRECT(_xlfn.TEXTJOIN("",TRUE,A695,"!",ADDRESS(13+(A696-1)*A692,13)))</f>
        <v/>
      </c>
      <c r="J677" s="20" t="e">
        <f ca="1">INDIRECT(_xlfn.TEXTJOIN("",TRUE,A695,"!",ADDRESS(13+(A696-1)*A692,14)))</f>
        <v>#N/A</v>
      </c>
    </row>
    <row r="678" spans="1:10" ht="26.25" customHeight="1" x14ac:dyDescent="0.2">
      <c r="A678" s="96" t="str">
        <f ca="1">INDIRECT(_xlfn.TEXTJOIN("",TRUE,A695,"!",ADDRESS(14+(A696-1)*A692,1)))</f>
        <v/>
      </c>
      <c r="B678" s="97"/>
      <c r="C678" s="106" t="str">
        <f ca="1">INDIRECT(_xlfn.TEXTJOIN("",TRUE,A695,"!",ADDRESS(14+(A696-1)*A692,2)))</f>
        <v/>
      </c>
      <c r="D678" s="107"/>
      <c r="E678" s="107"/>
      <c r="F678" s="107"/>
      <c r="G678" s="108"/>
      <c r="H678" s="20" t="str">
        <f ca="1">INDIRECT(_xlfn.TEXTJOIN("",TRUE,A695,"!",ADDRESS(14+(A696-1)*A692,6)))</f>
        <v/>
      </c>
      <c r="I678" s="20" t="str">
        <f ca="1">INDIRECT(_xlfn.TEXTJOIN("",TRUE,A695,"!",ADDRESS(14+(A696-1)*A692,13)))</f>
        <v/>
      </c>
      <c r="J678" s="20" t="e">
        <f ca="1">INDIRECT(_xlfn.TEXTJOIN("",TRUE,A695,"!",ADDRESS(14+(A696-1)*A692,14)))</f>
        <v>#N/A</v>
      </c>
    </row>
    <row r="679" spans="1:10" ht="26.25" customHeight="1" x14ac:dyDescent="0.2">
      <c r="A679" s="96" t="str">
        <f ca="1">INDIRECT(_xlfn.TEXTJOIN("",TRUE,A695,"!",ADDRESS(15+(A696-1)*A692,1)))</f>
        <v/>
      </c>
      <c r="B679" s="97"/>
      <c r="C679" s="106" t="str">
        <f ca="1">INDIRECT(_xlfn.TEXTJOIN("",TRUE,A695,"!",ADDRESS(15+(A696-1)*A692,2)))</f>
        <v/>
      </c>
      <c r="D679" s="107"/>
      <c r="E679" s="107"/>
      <c r="F679" s="107"/>
      <c r="G679" s="108"/>
      <c r="H679" s="20" t="str">
        <f ca="1">INDIRECT(_xlfn.TEXTJOIN("",TRUE,A695,"!",ADDRESS(15+(A696-1)*A692,6)))</f>
        <v/>
      </c>
      <c r="I679" s="20" t="str">
        <f ca="1">INDIRECT(_xlfn.TEXTJOIN("",TRUE,A695,"!",ADDRESS(15+(A696-1)*A692,13)))</f>
        <v/>
      </c>
      <c r="J679" s="20" t="e">
        <f ca="1">INDIRECT(_xlfn.TEXTJOIN("",TRUE,A695,"!",ADDRESS(15+(A696-1)*A692,14)))</f>
        <v>#N/A</v>
      </c>
    </row>
    <row r="680" spans="1:10" ht="26.25" customHeight="1" x14ac:dyDescent="0.2">
      <c r="A680" s="96" t="str">
        <f ca="1">INDIRECT(_xlfn.TEXTJOIN("",TRUE,A695,"!",ADDRESS(16+(A696-1)*A692,1)))</f>
        <v/>
      </c>
      <c r="B680" s="97"/>
      <c r="C680" s="106" t="str">
        <f ca="1">INDIRECT(_xlfn.TEXTJOIN("",TRUE,A695,"!",ADDRESS(16+(A696-1)*A692,2)))</f>
        <v/>
      </c>
      <c r="D680" s="107"/>
      <c r="E680" s="107"/>
      <c r="F680" s="107"/>
      <c r="G680" s="108"/>
      <c r="H680" s="20" t="str">
        <f ca="1">INDIRECT(_xlfn.TEXTJOIN("",TRUE,A695,"!",ADDRESS(16+(A696-1)*A692,6)))</f>
        <v/>
      </c>
      <c r="I680" s="20" t="str">
        <f ca="1">INDIRECT(_xlfn.TEXTJOIN("",TRUE,A695,"!",ADDRESS(16+(A696-1)*A692,13)))</f>
        <v/>
      </c>
      <c r="J680" s="20" t="e">
        <f ca="1">INDIRECT(_xlfn.TEXTJOIN("",TRUE,A695,"!",ADDRESS(16+(A696-1)*A692,14)))</f>
        <v>#N/A</v>
      </c>
    </row>
    <row r="681" spans="1:10" ht="26.25" customHeight="1" x14ac:dyDescent="0.2">
      <c r="A681" s="96" t="str">
        <f ca="1">INDIRECT(_xlfn.TEXTJOIN("",TRUE,A695,"!",ADDRESS(17+(A696-1)*A692,1)))</f>
        <v/>
      </c>
      <c r="B681" s="97"/>
      <c r="C681" s="106" t="str">
        <f ca="1">INDIRECT(_xlfn.TEXTJOIN("",TRUE,A695,"!",ADDRESS(17+(A696-1)*A692,2)))</f>
        <v/>
      </c>
      <c r="D681" s="107"/>
      <c r="E681" s="107"/>
      <c r="F681" s="107"/>
      <c r="G681" s="108"/>
      <c r="H681" s="20" t="str">
        <f ca="1">INDIRECT(_xlfn.TEXTJOIN("",TRUE,A695,"!",ADDRESS(17+(A696-1)*A692,6)))</f>
        <v/>
      </c>
      <c r="I681" s="20" t="str">
        <f ca="1">INDIRECT(_xlfn.TEXTJOIN("",TRUE,A695,"!",ADDRESS(17+(A696-1)*A692,13)))</f>
        <v/>
      </c>
      <c r="J681" s="20" t="e">
        <f ca="1">INDIRECT(_xlfn.TEXTJOIN("",TRUE,A695,"!",ADDRESS(17+(A696-1)*A692,14)))</f>
        <v>#N/A</v>
      </c>
    </row>
    <row r="682" spans="1:10" ht="26.25" customHeight="1" x14ac:dyDescent="0.2">
      <c r="A682" s="96" t="str">
        <f ca="1">INDIRECT(_xlfn.TEXTJOIN("",TRUE,A695,"!",ADDRESS(18+(A696-1)*A692,1)))</f>
        <v/>
      </c>
      <c r="B682" s="97"/>
      <c r="C682" s="106" t="str">
        <f ca="1">INDIRECT(_xlfn.TEXTJOIN("",TRUE,A695,"!",ADDRESS(18+(A696-1)*A692,2)))</f>
        <v/>
      </c>
      <c r="D682" s="107"/>
      <c r="E682" s="107"/>
      <c r="F682" s="107"/>
      <c r="G682" s="108"/>
      <c r="H682" s="20" t="str">
        <f ca="1">INDIRECT(_xlfn.TEXTJOIN("",TRUE,A695,"!",ADDRESS(18+(A696-1)*A692,6)))</f>
        <v/>
      </c>
      <c r="I682" s="20" t="str">
        <f ca="1">INDIRECT(_xlfn.TEXTJOIN("",TRUE,A695,"!",ADDRESS(18+(A696-1)*A692,13)))</f>
        <v/>
      </c>
      <c r="J682" s="20" t="e">
        <f ca="1">INDIRECT(_xlfn.TEXTJOIN("",TRUE,A695,"!",ADDRESS(18+(A696-1)*A692,14)))</f>
        <v>#N/A</v>
      </c>
    </row>
    <row r="683" spans="1:10" ht="26.25" customHeight="1" x14ac:dyDescent="0.2">
      <c r="A683" s="96" t="str">
        <f ca="1">INDIRECT(_xlfn.TEXTJOIN("",TRUE,A695,"!",ADDRESS(19+(A696-1)*A692,1)))</f>
        <v/>
      </c>
      <c r="B683" s="97"/>
      <c r="C683" s="106" t="str">
        <f ca="1">INDIRECT(_xlfn.TEXTJOIN("",TRUE,A695,"!",ADDRESS(19+(A696-1)*A692,2)))</f>
        <v/>
      </c>
      <c r="D683" s="107"/>
      <c r="E683" s="107"/>
      <c r="F683" s="107"/>
      <c r="G683" s="108"/>
      <c r="H683" s="20" t="str">
        <f ca="1">INDIRECT(_xlfn.TEXTJOIN("",TRUE,A695,"!",ADDRESS(19+(A696-1)*A692,6)))</f>
        <v/>
      </c>
      <c r="I683" s="20" t="str">
        <f ca="1">INDIRECT(_xlfn.TEXTJOIN("",TRUE,A695,"!",ADDRESS(19+(A696-1)*A692,13)))</f>
        <v/>
      </c>
      <c r="J683" s="20" t="e">
        <f ca="1">INDIRECT(_xlfn.TEXTJOIN("",TRUE,A695,"!",ADDRESS(19+(A696-1)*A692,14)))</f>
        <v>#N/A</v>
      </c>
    </row>
    <row r="684" spans="1:10" ht="26.25" customHeight="1" x14ac:dyDescent="0.2">
      <c r="A684" s="96" t="str">
        <f ca="1">INDIRECT(_xlfn.TEXTJOIN("",TRUE,A695,"!",ADDRESS(20+(A696-1)*A692,1)))</f>
        <v/>
      </c>
      <c r="B684" s="97"/>
      <c r="C684" s="106" t="str">
        <f ca="1">INDIRECT(_xlfn.TEXTJOIN("",TRUE,A695,"!",ADDRESS(20+(A696-1)*A692,2)))</f>
        <v/>
      </c>
      <c r="D684" s="107"/>
      <c r="E684" s="107"/>
      <c r="F684" s="107"/>
      <c r="G684" s="108"/>
      <c r="H684" s="20" t="str">
        <f ca="1">INDIRECT(_xlfn.TEXTJOIN("",TRUE,A695,"!",ADDRESS(20+(A696-1)*A692,6)))</f>
        <v/>
      </c>
      <c r="I684" s="20" t="str">
        <f ca="1">INDIRECT(_xlfn.TEXTJOIN("",TRUE,A695,"!",ADDRESS(20+(A696-1)*A692,13)))</f>
        <v/>
      </c>
      <c r="J684" s="20" t="e">
        <f ca="1">INDIRECT(_xlfn.TEXTJOIN("",TRUE,A695,"!",ADDRESS(20+(A696-1)*A692,14)))</f>
        <v>#N/A</v>
      </c>
    </row>
    <row r="685" spans="1:10" ht="26.25" customHeight="1" x14ac:dyDescent="0.2">
      <c r="A685" s="96" t="str">
        <f ca="1">INDIRECT(_xlfn.TEXTJOIN("",TRUE,A695,"!",ADDRESS(21+(A696-1)*A692,1)))</f>
        <v/>
      </c>
      <c r="B685" s="97"/>
      <c r="C685" s="106" t="str">
        <f ca="1">INDIRECT(_xlfn.TEXTJOIN("",TRUE,A695,"!",ADDRESS(21+(A696-1)*A692,2)))</f>
        <v/>
      </c>
      <c r="D685" s="107"/>
      <c r="E685" s="107"/>
      <c r="F685" s="107"/>
      <c r="G685" s="108"/>
      <c r="H685" s="20" t="str">
        <f ca="1">INDIRECT(_xlfn.TEXTJOIN("",TRUE,A695,"!",ADDRESS(21+(A696-1)*A692,6)))</f>
        <v/>
      </c>
      <c r="I685" s="20" t="str">
        <f ca="1">INDIRECT(_xlfn.TEXTJOIN("",TRUE,A695,"!",ADDRESS(21+(A696-1)*A692,13)))</f>
        <v/>
      </c>
      <c r="J685" s="20" t="e">
        <f ca="1">INDIRECT(_xlfn.TEXTJOIN("",TRUE,A695,"!",ADDRESS(21+(A696-1)*A692,14)))</f>
        <v>#N/A</v>
      </c>
    </row>
    <row r="686" spans="1:10" ht="26.25" customHeight="1" x14ac:dyDescent="0.2">
      <c r="A686" s="96" t="str">
        <f ca="1">INDIRECT(_xlfn.TEXTJOIN("",TRUE,A695,"!",ADDRESS(22+(A696-1)*A692,1)))</f>
        <v/>
      </c>
      <c r="B686" s="97"/>
      <c r="C686" s="106" t="str">
        <f ca="1">INDIRECT(_xlfn.TEXTJOIN("",TRUE,A695,"!",ADDRESS(22+(A696-1)*A692,2)))</f>
        <v/>
      </c>
      <c r="D686" s="107"/>
      <c r="E686" s="107"/>
      <c r="F686" s="107"/>
      <c r="G686" s="108"/>
      <c r="H686" s="20" t="str">
        <f ca="1">INDIRECT(_xlfn.TEXTJOIN("",TRUE,A695,"!",ADDRESS(22+(A696-1)*A692,6)))</f>
        <v/>
      </c>
      <c r="I686" s="20" t="str">
        <f ca="1">INDIRECT(_xlfn.TEXTJOIN("",TRUE,A695,"!",ADDRESS(22+(A696-1)*A692,13)))</f>
        <v/>
      </c>
      <c r="J686" s="20" t="e">
        <f ca="1">INDIRECT(_xlfn.TEXTJOIN("",TRUE,A695,"!",ADDRESS(22+(A696-1)*A692,14)))</f>
        <v>#N/A</v>
      </c>
    </row>
    <row r="687" spans="1:10" ht="26.25" customHeight="1" x14ac:dyDescent="0.2">
      <c r="A687" s="110" t="str">
        <f ca="1">INDIRECT(_xlfn.TEXTJOIN("",TRUE,A695,"!",ADDRESS(23+(A696-1)*A692,1)))</f>
        <v/>
      </c>
      <c r="B687" s="111"/>
      <c r="C687" s="115" t="str">
        <f ca="1">INDIRECT(_xlfn.TEXTJOIN("",TRUE,A695,"!",ADDRESS(23+(A696-1)*A692,2)))</f>
        <v/>
      </c>
      <c r="D687" s="116"/>
      <c r="E687" s="116"/>
      <c r="F687" s="116"/>
      <c r="G687" s="117"/>
      <c r="H687" s="20" t="str">
        <f ca="1">INDIRECT(_xlfn.TEXTJOIN("",TRUE,A695,"!",ADDRESS(23+(A696-1)*A692,6)))</f>
        <v/>
      </c>
      <c r="I687" s="20" t="str">
        <f ca="1">INDIRECT(_xlfn.TEXTJOIN("",TRUE,A695,"!",ADDRESS(23+(A696-1)*A692,13)))</f>
        <v/>
      </c>
      <c r="J687" s="20" t="e">
        <f ca="1">INDIRECT(_xlfn.TEXTJOIN("",TRUE,A695,"!",ADDRESS(23+(A696-1)*A692,14)))</f>
        <v>#N/A</v>
      </c>
    </row>
    <row r="688" spans="1:10" ht="26.25" customHeight="1" x14ac:dyDescent="0.2">
      <c r="A688" s="110" t="str">
        <f ca="1">INDIRECT(_xlfn.TEXTJOIN("",TRUE,A695,"!",ADDRESS(24+(A696-1)*A692,1)))</f>
        <v/>
      </c>
      <c r="B688" s="111"/>
      <c r="C688" s="115" t="str">
        <f ca="1">INDIRECT(_xlfn.TEXTJOIN("",TRUE,A695,"!",ADDRESS(24+(A696-1)*A692,2)))</f>
        <v/>
      </c>
      <c r="D688" s="116"/>
      <c r="E688" s="116"/>
      <c r="F688" s="116"/>
      <c r="G688" s="117"/>
      <c r="H688" s="20" t="str">
        <f ca="1">INDIRECT(_xlfn.TEXTJOIN("",TRUE,A695,"!",ADDRESS(24+(A696-1)*A692,6)))</f>
        <v/>
      </c>
      <c r="I688" s="20" t="str">
        <f ca="1">INDIRECT(_xlfn.TEXTJOIN("",TRUE,A695,"!",ADDRESS(24+(A696-1)*A692,13)))</f>
        <v/>
      </c>
      <c r="J688" s="20" t="e">
        <f ca="1">INDIRECT(_xlfn.TEXTJOIN("",TRUE,A695,"!",ADDRESS(24+(A696-1)*A692,14)))</f>
        <v>#N/A</v>
      </c>
    </row>
    <row r="689" spans="1:10" ht="26.25" customHeight="1" x14ac:dyDescent="0.2">
      <c r="A689" s="110" t="str">
        <f ca="1">INDIRECT(_xlfn.TEXTJOIN("",TRUE,A695,"!",ADDRESS(25+(A696-1)*A692,1)))</f>
        <v/>
      </c>
      <c r="B689" s="111"/>
      <c r="C689" s="115" t="str">
        <f ca="1">INDIRECT(_xlfn.TEXTJOIN("",TRUE,A695,"!",ADDRESS(25+(A696-1)*A692,2)))</f>
        <v/>
      </c>
      <c r="D689" s="116"/>
      <c r="E689" s="116"/>
      <c r="F689" s="116"/>
      <c r="G689" s="117"/>
      <c r="H689" s="20" t="str">
        <f ca="1">INDIRECT(_xlfn.TEXTJOIN("",TRUE,A695,"!",ADDRESS(25+(A696-1)*A692,6)))</f>
        <v/>
      </c>
      <c r="I689" s="20" t="str">
        <f ca="1">INDIRECT(_xlfn.TEXTJOIN("",TRUE,A695,"!",ADDRESS(25+(A696-1)*A692,13)))</f>
        <v/>
      </c>
      <c r="J689" s="20" t="e">
        <f ca="1">INDIRECT(_xlfn.TEXTJOIN("",TRUE,A695,"!",ADDRESS(25+(A696-1)*A692,14)))</f>
        <v>#N/A</v>
      </c>
    </row>
    <row r="690" spans="1:10" ht="26.25" customHeight="1" x14ac:dyDescent="0.2">
      <c r="A690" s="100" t="s">
        <v>52</v>
      </c>
      <c r="B690" s="101"/>
      <c r="C690" s="101"/>
      <c r="D690" s="101"/>
      <c r="E690" s="101"/>
      <c r="F690" s="101"/>
      <c r="G690" s="102"/>
      <c r="H690" s="98">
        <f ca="1">SUM(H677:H690)</f>
        <v>24</v>
      </c>
      <c r="I690" s="98" t="s">
        <v>44</v>
      </c>
      <c r="J690" s="98" t="e">
        <f ca="1">SUMPRODUCT(J677:J689,H677:H689)</f>
        <v>#N/A</v>
      </c>
    </row>
    <row r="691" spans="1:10" ht="26.25" customHeight="1" x14ac:dyDescent="0.2">
      <c r="A691" s="103"/>
      <c r="B691" s="104"/>
      <c r="C691" s="104"/>
      <c r="D691" s="104"/>
      <c r="E691" s="104"/>
      <c r="F691" s="104"/>
      <c r="G691" s="105"/>
      <c r="H691" s="99"/>
      <c r="I691" s="99"/>
      <c r="J691" s="99"/>
    </row>
    <row r="692" spans="1:10" ht="26.25" customHeight="1" x14ac:dyDescent="0.2">
      <c r="A692" s="22">
        <f>ROWS(A677:B690)+9</f>
        <v>23</v>
      </c>
      <c r="B692" s="17"/>
      <c r="C692" s="17"/>
      <c r="D692" s="17"/>
      <c r="E692" s="17"/>
      <c r="F692" s="17"/>
      <c r="G692" s="17"/>
      <c r="H692" s="17"/>
      <c r="I692" s="17"/>
      <c r="J692" s="17"/>
    </row>
    <row r="693" spans="1:10" ht="26.25" customHeight="1" x14ac:dyDescent="0.2">
      <c r="A693" s="120" t="s">
        <v>40</v>
      </c>
      <c r="B693" s="120"/>
      <c r="C693" s="21" t="str">
        <f ca="1">INDIRECT(_xlfn.TEXTJOIN("",TRUE,A695,"!",ADDRESS(5+A696*A692,12)))</f>
        <v/>
      </c>
      <c r="D693" s="120" t="s">
        <v>38</v>
      </c>
      <c r="E693" s="120"/>
      <c r="F693" s="18" t="str">
        <f ca="1">INDIRECT(_xlfn.TEXTJOIN("",TRUE,A695,"!",ADDRESS(5+A696*A692,8)))</f>
        <v/>
      </c>
      <c r="G693" s="120" t="s">
        <v>39</v>
      </c>
      <c r="H693" s="120"/>
      <c r="I693" s="109" t="str">
        <f ca="1">INDIRECT(_xlfn.TEXTJOIN("",TRUE,A695,"!",ADDRESS(5+A696*A692,10)))</f>
        <v/>
      </c>
      <c r="J693" s="109"/>
    </row>
    <row r="694" spans="1:10" ht="26.25" customHeight="1" x14ac:dyDescent="0.2">
      <c r="A694" s="19" t="s">
        <v>36</v>
      </c>
      <c r="B694" s="95" t="str">
        <f ca="1">INDIRECT(_xlfn.TEXTJOIN("",TRUE,A695,"!",ADDRESS(5+A696*A692,2)))</f>
        <v/>
      </c>
      <c r="C694" s="95"/>
      <c r="D694" s="121" t="s">
        <v>37</v>
      </c>
      <c r="E694" s="121"/>
      <c r="F694" s="122" t="str">
        <f ca="1">INDIRECT(_xlfn.TEXTJOIN("",TRUE,A695,"!",ADDRESS(5+A696*A692,5)))</f>
        <v/>
      </c>
      <c r="G694" s="122"/>
      <c r="H694" s="122"/>
      <c r="I694" s="122"/>
      <c r="J694" s="122"/>
    </row>
    <row r="695" spans="1:10" ht="26.25" customHeight="1" x14ac:dyDescent="0.2">
      <c r="A695" s="22" t="str">
        <f>A672</f>
        <v>TC_I</v>
      </c>
    </row>
    <row r="696" spans="1:10" ht="26.25" customHeight="1" x14ac:dyDescent="0.2">
      <c r="A696" s="22">
        <f>A673+1</f>
        <v>30</v>
      </c>
    </row>
    <row r="697" spans="1:10" ht="26.25" customHeight="1" x14ac:dyDescent="0.2">
      <c r="A697" s="112" t="s">
        <v>24</v>
      </c>
      <c r="B697" s="112"/>
      <c r="C697" s="112" t="str">
        <f ca="1">INDIRECT(_xlfn.TEXTJOIN("",TRUE,A718,"!",ADDRESS(9+(A719-1)*A715,2)))</f>
        <v/>
      </c>
      <c r="D697" s="112"/>
      <c r="E697" s="112"/>
      <c r="F697" s="112" t="s">
        <v>50</v>
      </c>
      <c r="G697" s="112"/>
      <c r="H697" s="112"/>
      <c r="I697" s="113" t="str">
        <f ca="1">INDIRECT(_xlfn.TEXTJOIN("",TRUE,A718,"!",ADDRESS(9+(A719-1)*A715,9)))</f>
        <v/>
      </c>
      <c r="J697" s="113"/>
    </row>
    <row r="698" spans="1:10" ht="26.25" customHeight="1" x14ac:dyDescent="0.2">
      <c r="A698" s="112" t="s">
        <v>25</v>
      </c>
      <c r="B698" s="112"/>
      <c r="C698" s="112" t="str">
        <f ca="1">INDIRECT(_xlfn.TEXTJOIN("",TRUE,A718,"!",ADDRESS(9+(A719-1)*A715,5)))</f>
        <v/>
      </c>
      <c r="D698" s="112"/>
      <c r="E698" s="112"/>
      <c r="F698" s="114" t="s">
        <v>51</v>
      </c>
      <c r="G698" s="114"/>
      <c r="H698" s="114"/>
      <c r="I698" s="113" t="str">
        <f ca="1">INDIRECT(_xlfn.TEXTJOIN("",TRUE,A718,"!",ADDRESS(9+(A719-1)*A715,13)))</f>
        <v/>
      </c>
      <c r="J698" s="113"/>
    </row>
    <row r="699" spans="1:10" ht="26.25" customHeight="1" x14ac:dyDescent="0.2">
      <c r="A699" s="95" t="s">
        <v>28</v>
      </c>
      <c r="B699" s="95"/>
      <c r="C699" s="95" t="s">
        <v>29</v>
      </c>
      <c r="D699" s="95"/>
      <c r="E699" s="95"/>
      <c r="F699" s="95"/>
      <c r="G699" s="95"/>
      <c r="H699" s="15" t="s">
        <v>30</v>
      </c>
      <c r="I699" s="15" t="s">
        <v>9</v>
      </c>
      <c r="J699" s="15" t="s">
        <v>34</v>
      </c>
    </row>
    <row r="700" spans="1:10" ht="26.25" customHeight="1" x14ac:dyDescent="0.2">
      <c r="A700" s="96" t="str">
        <f ca="1">INDIRECT(_xlfn.TEXTJOIN("",TRUE,A718,"!",ADDRESS(13+(A719-1)*A715,1)))</f>
        <v/>
      </c>
      <c r="B700" s="97"/>
      <c r="C700" s="106" t="str">
        <f ca="1">INDIRECT(_xlfn.TEXTJOIN("",TRUE,A718,"!",ADDRESS(13+(A719-1)*A715,2)))</f>
        <v/>
      </c>
      <c r="D700" s="107"/>
      <c r="E700" s="107"/>
      <c r="F700" s="107"/>
      <c r="G700" s="108"/>
      <c r="H700" s="20" t="str">
        <f ca="1">INDIRECT(_xlfn.TEXTJOIN("",TRUE,A718,"!",ADDRESS(13+(A719-1)*A715,6)))</f>
        <v/>
      </c>
      <c r="I700" s="20" t="str">
        <f ca="1">INDIRECT(_xlfn.TEXTJOIN("",TRUE,A718,"!",ADDRESS(13+(A719-1)*A715,13)))</f>
        <v/>
      </c>
      <c r="J700" s="20" t="e">
        <f ca="1">INDIRECT(_xlfn.TEXTJOIN("",TRUE,A718,"!",ADDRESS(13+(A719-1)*A715,14)))</f>
        <v>#N/A</v>
      </c>
    </row>
    <row r="701" spans="1:10" ht="26.25" customHeight="1" x14ac:dyDescent="0.2">
      <c r="A701" s="96" t="str">
        <f ca="1">INDIRECT(_xlfn.TEXTJOIN("",TRUE,A718,"!",ADDRESS(14+(A719-1)*A715,1)))</f>
        <v/>
      </c>
      <c r="B701" s="97"/>
      <c r="C701" s="106" t="str">
        <f ca="1">INDIRECT(_xlfn.TEXTJOIN("",TRUE,A718,"!",ADDRESS(14+(A719-1)*A715,2)))</f>
        <v/>
      </c>
      <c r="D701" s="107"/>
      <c r="E701" s="107"/>
      <c r="F701" s="107"/>
      <c r="G701" s="108"/>
      <c r="H701" s="20" t="str">
        <f ca="1">INDIRECT(_xlfn.TEXTJOIN("",TRUE,A718,"!",ADDRESS(14+(A719-1)*A715,6)))</f>
        <v/>
      </c>
      <c r="I701" s="20" t="str">
        <f ca="1">INDIRECT(_xlfn.TEXTJOIN("",TRUE,A718,"!",ADDRESS(14+(A719-1)*A715,13)))</f>
        <v/>
      </c>
      <c r="J701" s="20" t="e">
        <f ca="1">INDIRECT(_xlfn.TEXTJOIN("",TRUE,A718,"!",ADDRESS(14+(A719-1)*A715,14)))</f>
        <v>#N/A</v>
      </c>
    </row>
    <row r="702" spans="1:10" ht="26.25" customHeight="1" x14ac:dyDescent="0.2">
      <c r="A702" s="96" t="str">
        <f ca="1">INDIRECT(_xlfn.TEXTJOIN("",TRUE,A718,"!",ADDRESS(15+(A719-1)*A715,1)))</f>
        <v/>
      </c>
      <c r="B702" s="97"/>
      <c r="C702" s="106" t="str">
        <f ca="1">INDIRECT(_xlfn.TEXTJOIN("",TRUE,A718,"!",ADDRESS(15+(A719-1)*A715,2)))</f>
        <v/>
      </c>
      <c r="D702" s="107"/>
      <c r="E702" s="107"/>
      <c r="F702" s="107"/>
      <c r="G702" s="108"/>
      <c r="H702" s="20" t="str">
        <f ca="1">INDIRECT(_xlfn.TEXTJOIN("",TRUE,A718,"!",ADDRESS(15+(A719-1)*A715,6)))</f>
        <v/>
      </c>
      <c r="I702" s="20" t="str">
        <f ca="1">INDIRECT(_xlfn.TEXTJOIN("",TRUE,A718,"!",ADDRESS(15+(A719-1)*A715,13)))</f>
        <v/>
      </c>
      <c r="J702" s="20" t="e">
        <f ca="1">INDIRECT(_xlfn.TEXTJOIN("",TRUE,A718,"!",ADDRESS(15+(A719-1)*A715,14)))</f>
        <v>#N/A</v>
      </c>
    </row>
    <row r="703" spans="1:10" ht="26.25" customHeight="1" x14ac:dyDescent="0.2">
      <c r="A703" s="96" t="str">
        <f ca="1">INDIRECT(_xlfn.TEXTJOIN("",TRUE,A718,"!",ADDRESS(16+(A719-1)*A715,1)))</f>
        <v/>
      </c>
      <c r="B703" s="97"/>
      <c r="C703" s="106" t="str">
        <f ca="1">INDIRECT(_xlfn.TEXTJOIN("",TRUE,A718,"!",ADDRESS(16+(A719-1)*A715,2)))</f>
        <v/>
      </c>
      <c r="D703" s="107"/>
      <c r="E703" s="107"/>
      <c r="F703" s="107"/>
      <c r="G703" s="108"/>
      <c r="H703" s="20" t="str">
        <f ca="1">INDIRECT(_xlfn.TEXTJOIN("",TRUE,A718,"!",ADDRESS(16+(A719-1)*A715,6)))</f>
        <v/>
      </c>
      <c r="I703" s="20" t="str">
        <f ca="1">INDIRECT(_xlfn.TEXTJOIN("",TRUE,A718,"!",ADDRESS(16+(A719-1)*A715,13)))</f>
        <v/>
      </c>
      <c r="J703" s="20" t="e">
        <f ca="1">INDIRECT(_xlfn.TEXTJOIN("",TRUE,A718,"!",ADDRESS(16+(A719-1)*A715,14)))</f>
        <v>#N/A</v>
      </c>
    </row>
    <row r="704" spans="1:10" ht="26.25" customHeight="1" x14ac:dyDescent="0.2">
      <c r="A704" s="96" t="str">
        <f ca="1">INDIRECT(_xlfn.TEXTJOIN("",TRUE,A718,"!",ADDRESS(17+(A719-1)*A715,1)))</f>
        <v/>
      </c>
      <c r="B704" s="97"/>
      <c r="C704" s="106" t="str">
        <f ca="1">INDIRECT(_xlfn.TEXTJOIN("",TRUE,A718,"!",ADDRESS(17+(A719-1)*A715,2)))</f>
        <v/>
      </c>
      <c r="D704" s="107"/>
      <c r="E704" s="107"/>
      <c r="F704" s="107"/>
      <c r="G704" s="108"/>
      <c r="H704" s="20" t="str">
        <f ca="1">INDIRECT(_xlfn.TEXTJOIN("",TRUE,A718,"!",ADDRESS(17+(A719-1)*A715,6)))</f>
        <v/>
      </c>
      <c r="I704" s="20" t="str">
        <f ca="1">INDIRECT(_xlfn.TEXTJOIN("",TRUE,A718,"!",ADDRESS(17+(A719-1)*A715,13)))</f>
        <v/>
      </c>
      <c r="J704" s="20" t="e">
        <f ca="1">INDIRECT(_xlfn.TEXTJOIN("",TRUE,A718,"!",ADDRESS(17+(A719-1)*A715,14)))</f>
        <v>#N/A</v>
      </c>
    </row>
    <row r="705" spans="1:10" ht="26.25" customHeight="1" x14ac:dyDescent="0.2">
      <c r="A705" s="96" t="str">
        <f ca="1">INDIRECT(_xlfn.TEXTJOIN("",TRUE,A718,"!",ADDRESS(18+(A719-1)*A715,1)))</f>
        <v/>
      </c>
      <c r="B705" s="97"/>
      <c r="C705" s="106" t="str">
        <f ca="1">INDIRECT(_xlfn.TEXTJOIN("",TRUE,A718,"!",ADDRESS(18+(A719-1)*A715,2)))</f>
        <v/>
      </c>
      <c r="D705" s="107"/>
      <c r="E705" s="107"/>
      <c r="F705" s="107"/>
      <c r="G705" s="108"/>
      <c r="H705" s="20" t="str">
        <f ca="1">INDIRECT(_xlfn.TEXTJOIN("",TRUE,A718,"!",ADDRESS(18+(A719-1)*A715,6)))</f>
        <v/>
      </c>
      <c r="I705" s="20" t="str">
        <f ca="1">INDIRECT(_xlfn.TEXTJOIN("",TRUE,A718,"!",ADDRESS(18+(A719-1)*A715,13)))</f>
        <v/>
      </c>
      <c r="J705" s="20" t="e">
        <f ca="1">INDIRECT(_xlfn.TEXTJOIN("",TRUE,A718,"!",ADDRESS(18+(A719-1)*A715,14)))</f>
        <v>#N/A</v>
      </c>
    </row>
    <row r="706" spans="1:10" ht="26.25" customHeight="1" x14ac:dyDescent="0.2">
      <c r="A706" s="96" t="str">
        <f ca="1">INDIRECT(_xlfn.TEXTJOIN("",TRUE,A718,"!",ADDRESS(19+(A719-1)*A715,1)))</f>
        <v/>
      </c>
      <c r="B706" s="97"/>
      <c r="C706" s="106" t="str">
        <f ca="1">INDIRECT(_xlfn.TEXTJOIN("",TRUE,A718,"!",ADDRESS(19+(A719-1)*A715,2)))</f>
        <v/>
      </c>
      <c r="D706" s="107"/>
      <c r="E706" s="107"/>
      <c r="F706" s="107"/>
      <c r="G706" s="108"/>
      <c r="H706" s="20" t="str">
        <f ca="1">INDIRECT(_xlfn.TEXTJOIN("",TRUE,A718,"!",ADDRESS(19+(A719-1)*A715,6)))</f>
        <v/>
      </c>
      <c r="I706" s="20" t="str">
        <f ca="1">INDIRECT(_xlfn.TEXTJOIN("",TRUE,A718,"!",ADDRESS(19+(A719-1)*A715,13)))</f>
        <v/>
      </c>
      <c r="J706" s="20" t="e">
        <f ca="1">INDIRECT(_xlfn.TEXTJOIN("",TRUE,A718,"!",ADDRESS(19+(A719-1)*A715,14)))</f>
        <v>#N/A</v>
      </c>
    </row>
    <row r="707" spans="1:10" ht="26.25" customHeight="1" x14ac:dyDescent="0.2">
      <c r="A707" s="96" t="str">
        <f ca="1">INDIRECT(_xlfn.TEXTJOIN("",TRUE,A718,"!",ADDRESS(20+(A719-1)*A715,1)))</f>
        <v/>
      </c>
      <c r="B707" s="97"/>
      <c r="C707" s="106" t="str">
        <f ca="1">INDIRECT(_xlfn.TEXTJOIN("",TRUE,A718,"!",ADDRESS(20+(A719-1)*A715,2)))</f>
        <v/>
      </c>
      <c r="D707" s="107"/>
      <c r="E707" s="107"/>
      <c r="F707" s="107"/>
      <c r="G707" s="108"/>
      <c r="H707" s="20" t="str">
        <f ca="1">INDIRECT(_xlfn.TEXTJOIN("",TRUE,A718,"!",ADDRESS(20+(A719-1)*A715,6)))</f>
        <v/>
      </c>
      <c r="I707" s="20" t="str">
        <f ca="1">INDIRECT(_xlfn.TEXTJOIN("",TRUE,A718,"!",ADDRESS(20+(A719-1)*A715,13)))</f>
        <v/>
      </c>
      <c r="J707" s="20" t="e">
        <f ca="1">INDIRECT(_xlfn.TEXTJOIN("",TRUE,A718,"!",ADDRESS(20+(A719-1)*A715,14)))</f>
        <v>#N/A</v>
      </c>
    </row>
    <row r="708" spans="1:10" ht="26.25" customHeight="1" x14ac:dyDescent="0.2">
      <c r="A708" s="96" t="str">
        <f ca="1">INDIRECT(_xlfn.TEXTJOIN("",TRUE,A718,"!",ADDRESS(21+(A719-1)*A715,1)))</f>
        <v/>
      </c>
      <c r="B708" s="97"/>
      <c r="C708" s="106" t="str">
        <f ca="1">INDIRECT(_xlfn.TEXTJOIN("",TRUE,A718,"!",ADDRESS(21+(A719-1)*A715,2)))</f>
        <v/>
      </c>
      <c r="D708" s="107"/>
      <c r="E708" s="107"/>
      <c r="F708" s="107"/>
      <c r="G708" s="108"/>
      <c r="H708" s="20" t="str">
        <f ca="1">INDIRECT(_xlfn.TEXTJOIN("",TRUE,A718,"!",ADDRESS(21+(A719-1)*A715,6)))</f>
        <v/>
      </c>
      <c r="I708" s="20" t="str">
        <f ca="1">INDIRECT(_xlfn.TEXTJOIN("",TRUE,A718,"!",ADDRESS(21+(A719-1)*A715,13)))</f>
        <v/>
      </c>
      <c r="J708" s="20" t="e">
        <f ca="1">INDIRECT(_xlfn.TEXTJOIN("",TRUE,A718,"!",ADDRESS(21+(A719-1)*A715,14)))</f>
        <v>#N/A</v>
      </c>
    </row>
    <row r="709" spans="1:10" ht="26.25" customHeight="1" x14ac:dyDescent="0.2">
      <c r="A709" s="96" t="str">
        <f ca="1">INDIRECT(_xlfn.TEXTJOIN("",TRUE,A718,"!",ADDRESS(22+(A719-1)*A715,1)))</f>
        <v/>
      </c>
      <c r="B709" s="97"/>
      <c r="C709" s="106" t="str">
        <f ca="1">INDIRECT(_xlfn.TEXTJOIN("",TRUE,A718,"!",ADDRESS(22+(A719-1)*A715,2)))</f>
        <v/>
      </c>
      <c r="D709" s="107"/>
      <c r="E709" s="107"/>
      <c r="F709" s="107"/>
      <c r="G709" s="108"/>
      <c r="H709" s="20" t="str">
        <f ca="1">INDIRECT(_xlfn.TEXTJOIN("",TRUE,A718,"!",ADDRESS(22+(A719-1)*A715,6)))</f>
        <v/>
      </c>
      <c r="I709" s="20" t="str">
        <f ca="1">INDIRECT(_xlfn.TEXTJOIN("",TRUE,A718,"!",ADDRESS(22+(A719-1)*A715,13)))</f>
        <v/>
      </c>
      <c r="J709" s="20" t="e">
        <f ca="1">INDIRECT(_xlfn.TEXTJOIN("",TRUE,A718,"!",ADDRESS(22+(A719-1)*A715,14)))</f>
        <v>#N/A</v>
      </c>
    </row>
    <row r="710" spans="1:10" ht="26.25" customHeight="1" x14ac:dyDescent="0.2">
      <c r="A710" s="110" t="str">
        <f ca="1">INDIRECT(_xlfn.TEXTJOIN("",TRUE,A718,"!",ADDRESS(23+(A719-1)*A715,1)))</f>
        <v/>
      </c>
      <c r="B710" s="111"/>
      <c r="C710" s="115" t="str">
        <f ca="1">INDIRECT(_xlfn.TEXTJOIN("",TRUE,A718,"!",ADDRESS(23+(A719-1)*A715,2)))</f>
        <v/>
      </c>
      <c r="D710" s="116"/>
      <c r="E710" s="116"/>
      <c r="F710" s="116"/>
      <c r="G710" s="117"/>
      <c r="H710" s="20" t="str">
        <f ca="1">INDIRECT(_xlfn.TEXTJOIN("",TRUE,A718,"!",ADDRESS(23+(A719-1)*A715,6)))</f>
        <v/>
      </c>
      <c r="I710" s="20" t="str">
        <f ca="1">INDIRECT(_xlfn.TEXTJOIN("",TRUE,A718,"!",ADDRESS(23+(A719-1)*A715,13)))</f>
        <v/>
      </c>
      <c r="J710" s="20" t="e">
        <f ca="1">INDIRECT(_xlfn.TEXTJOIN("",TRUE,A718,"!",ADDRESS(23+(A719-1)*A715,14)))</f>
        <v>#N/A</v>
      </c>
    </row>
    <row r="711" spans="1:10" ht="26.25" customHeight="1" x14ac:dyDescent="0.2">
      <c r="A711" s="110" t="str">
        <f ca="1">INDIRECT(_xlfn.TEXTJOIN("",TRUE,A718,"!",ADDRESS(24+(A719-1)*A715,1)))</f>
        <v/>
      </c>
      <c r="B711" s="111"/>
      <c r="C711" s="115" t="str">
        <f ca="1">INDIRECT(_xlfn.TEXTJOIN("",TRUE,A718,"!",ADDRESS(24+(A719-1)*A715,2)))</f>
        <v/>
      </c>
      <c r="D711" s="116"/>
      <c r="E711" s="116"/>
      <c r="F711" s="116"/>
      <c r="G711" s="117"/>
      <c r="H711" s="20" t="str">
        <f ca="1">INDIRECT(_xlfn.TEXTJOIN("",TRUE,A718,"!",ADDRESS(24+(A719-1)*A715,6)))</f>
        <v/>
      </c>
      <c r="I711" s="20" t="str">
        <f ca="1">INDIRECT(_xlfn.TEXTJOIN("",TRUE,A718,"!",ADDRESS(24+(A719-1)*A715,13)))</f>
        <v/>
      </c>
      <c r="J711" s="20" t="e">
        <f ca="1">INDIRECT(_xlfn.TEXTJOIN("",TRUE,A718,"!",ADDRESS(24+(A719-1)*A715,14)))</f>
        <v>#N/A</v>
      </c>
    </row>
    <row r="712" spans="1:10" ht="26.25" customHeight="1" x14ac:dyDescent="0.2">
      <c r="A712" s="110" t="str">
        <f ca="1">INDIRECT(_xlfn.TEXTJOIN("",TRUE,A718,"!",ADDRESS(25+(A719-1)*A715,1)))</f>
        <v/>
      </c>
      <c r="B712" s="111"/>
      <c r="C712" s="115" t="str">
        <f ca="1">INDIRECT(_xlfn.TEXTJOIN("",TRUE,A718,"!",ADDRESS(25+(A719-1)*A715,2)))</f>
        <v/>
      </c>
      <c r="D712" s="116"/>
      <c r="E712" s="116"/>
      <c r="F712" s="116"/>
      <c r="G712" s="117"/>
      <c r="H712" s="20" t="str">
        <f ca="1">INDIRECT(_xlfn.TEXTJOIN("",TRUE,A718,"!",ADDRESS(25+(A719-1)*A715,6)))</f>
        <v/>
      </c>
      <c r="I712" s="20" t="str">
        <f ca="1">INDIRECT(_xlfn.TEXTJOIN("",TRUE,A718,"!",ADDRESS(25+(A719-1)*A715,13)))</f>
        <v/>
      </c>
      <c r="J712" s="20" t="e">
        <f ca="1">INDIRECT(_xlfn.TEXTJOIN("",TRUE,A718,"!",ADDRESS(25+(A719-1)*A715,14)))</f>
        <v>#N/A</v>
      </c>
    </row>
    <row r="713" spans="1:10" ht="26.25" customHeight="1" x14ac:dyDescent="0.2">
      <c r="A713" s="100" t="s">
        <v>52</v>
      </c>
      <c r="B713" s="101"/>
      <c r="C713" s="101"/>
      <c r="D713" s="101"/>
      <c r="E713" s="101"/>
      <c r="F713" s="101"/>
      <c r="G713" s="102"/>
      <c r="H713" s="98">
        <f ca="1">SUM(H700:H713)</f>
        <v>24</v>
      </c>
      <c r="I713" s="98" t="s">
        <v>44</v>
      </c>
      <c r="J713" s="98" t="e">
        <f ca="1">SUMPRODUCT(J700:J712,H700:H712)</f>
        <v>#N/A</v>
      </c>
    </row>
    <row r="714" spans="1:10" ht="26.25" customHeight="1" x14ac:dyDescent="0.2">
      <c r="A714" s="103"/>
      <c r="B714" s="104"/>
      <c r="C714" s="104"/>
      <c r="D714" s="104"/>
      <c r="E714" s="104"/>
      <c r="F714" s="104"/>
      <c r="G714" s="105"/>
      <c r="H714" s="99"/>
      <c r="I714" s="99"/>
      <c r="J714" s="99"/>
    </row>
    <row r="715" spans="1:10" ht="26.25" customHeight="1" x14ac:dyDescent="0.2">
      <c r="A715" s="22">
        <f>ROWS(A700:B713)+9</f>
        <v>23</v>
      </c>
      <c r="B715" s="17"/>
      <c r="C715" s="17"/>
      <c r="D715" s="17"/>
      <c r="E715" s="17"/>
      <c r="F715" s="17"/>
      <c r="G715" s="17"/>
      <c r="H715" s="17"/>
      <c r="I715" s="17"/>
      <c r="J715" s="17"/>
    </row>
    <row r="716" spans="1:10" ht="26.25" customHeight="1" x14ac:dyDescent="0.2">
      <c r="A716" s="120" t="s">
        <v>40</v>
      </c>
      <c r="B716" s="120"/>
      <c r="C716" s="21" t="str">
        <f ca="1">INDIRECT(_xlfn.TEXTJOIN("",TRUE,A718,"!",ADDRESS(5+A719*A715,12)))</f>
        <v/>
      </c>
      <c r="D716" s="120" t="s">
        <v>38</v>
      </c>
      <c r="E716" s="120"/>
      <c r="F716" s="18" t="str">
        <f ca="1">INDIRECT(_xlfn.TEXTJOIN("",TRUE,A718,"!",ADDRESS(5+A719*A715,8)))</f>
        <v/>
      </c>
      <c r="G716" s="120" t="s">
        <v>39</v>
      </c>
      <c r="H716" s="120"/>
      <c r="I716" s="109" t="str">
        <f ca="1">INDIRECT(_xlfn.TEXTJOIN("",TRUE,A718,"!",ADDRESS(5+A719*A715,10)))</f>
        <v/>
      </c>
      <c r="J716" s="109"/>
    </row>
    <row r="717" spans="1:10" ht="26.25" customHeight="1" x14ac:dyDescent="0.2">
      <c r="A717" s="19" t="s">
        <v>36</v>
      </c>
      <c r="B717" s="95" t="str">
        <f ca="1">INDIRECT(_xlfn.TEXTJOIN("",TRUE,A718,"!",ADDRESS(5+A719*A715,2)))</f>
        <v/>
      </c>
      <c r="C717" s="95"/>
      <c r="D717" s="121" t="s">
        <v>37</v>
      </c>
      <c r="E717" s="121"/>
      <c r="F717" s="122" t="str">
        <f ca="1">INDIRECT(_xlfn.TEXTJOIN("",TRUE,A718,"!",ADDRESS(5+A719*A715,5)))</f>
        <v/>
      </c>
      <c r="G717" s="122"/>
      <c r="H717" s="122"/>
      <c r="I717" s="122"/>
      <c r="J717" s="122"/>
    </row>
    <row r="718" spans="1:10" ht="26.25" customHeight="1" x14ac:dyDescent="0.2">
      <c r="A718" s="22" t="str">
        <f>A695</f>
        <v>TC_I</v>
      </c>
    </row>
    <row r="719" spans="1:10" ht="26.25" customHeight="1" x14ac:dyDescent="0.2">
      <c r="A719" s="22">
        <f>A696+1</f>
        <v>31</v>
      </c>
    </row>
    <row r="720" spans="1:10" ht="26.25" customHeight="1" x14ac:dyDescent="0.2">
      <c r="A720" s="112" t="s">
        <v>24</v>
      </c>
      <c r="B720" s="112"/>
      <c r="C720" s="112" t="str">
        <f ca="1">INDIRECT(_xlfn.TEXTJOIN("",TRUE,A741,"!",ADDRESS(9+(A742-1)*A738,2)))</f>
        <v/>
      </c>
      <c r="D720" s="112"/>
      <c r="E720" s="112"/>
      <c r="F720" s="112" t="s">
        <v>50</v>
      </c>
      <c r="G720" s="112"/>
      <c r="H720" s="112"/>
      <c r="I720" s="113" t="str">
        <f ca="1">INDIRECT(_xlfn.TEXTJOIN("",TRUE,A741,"!",ADDRESS(9+(A742-1)*A738,9)))</f>
        <v/>
      </c>
      <c r="J720" s="113"/>
    </row>
    <row r="721" spans="1:10" ht="26.25" customHeight="1" x14ac:dyDescent="0.2">
      <c r="A721" s="112" t="s">
        <v>25</v>
      </c>
      <c r="B721" s="112"/>
      <c r="C721" s="112" t="str">
        <f ca="1">INDIRECT(_xlfn.TEXTJOIN("",TRUE,A741,"!",ADDRESS(9+(A742-1)*A738,5)))</f>
        <v/>
      </c>
      <c r="D721" s="112"/>
      <c r="E721" s="112"/>
      <c r="F721" s="114" t="s">
        <v>51</v>
      </c>
      <c r="G721" s="114"/>
      <c r="H721" s="114"/>
      <c r="I721" s="113" t="str">
        <f ca="1">INDIRECT(_xlfn.TEXTJOIN("",TRUE,A741,"!",ADDRESS(9+(A742-1)*A738,13)))</f>
        <v/>
      </c>
      <c r="J721" s="113"/>
    </row>
    <row r="722" spans="1:10" ht="26.25" customHeight="1" x14ac:dyDescent="0.2">
      <c r="A722" s="95" t="s">
        <v>28</v>
      </c>
      <c r="B722" s="95"/>
      <c r="C722" s="95" t="s">
        <v>29</v>
      </c>
      <c r="D722" s="95"/>
      <c r="E722" s="95"/>
      <c r="F722" s="95"/>
      <c r="G722" s="95"/>
      <c r="H722" s="15" t="s">
        <v>30</v>
      </c>
      <c r="I722" s="15" t="s">
        <v>9</v>
      </c>
      <c r="J722" s="15" t="s">
        <v>34</v>
      </c>
    </row>
    <row r="723" spans="1:10" ht="26.25" customHeight="1" x14ac:dyDescent="0.2">
      <c r="A723" s="96" t="str">
        <f ca="1">INDIRECT(_xlfn.TEXTJOIN("",TRUE,A741,"!",ADDRESS(13+(A742-1)*A738,1)))</f>
        <v/>
      </c>
      <c r="B723" s="97"/>
      <c r="C723" s="106" t="str">
        <f ca="1">INDIRECT(_xlfn.TEXTJOIN("",TRUE,A741,"!",ADDRESS(13+(A742-1)*A738,2)))</f>
        <v/>
      </c>
      <c r="D723" s="107"/>
      <c r="E723" s="107"/>
      <c r="F723" s="107"/>
      <c r="G723" s="108"/>
      <c r="H723" s="20" t="str">
        <f ca="1">INDIRECT(_xlfn.TEXTJOIN("",TRUE,A741,"!",ADDRESS(13+(A742-1)*A738,6)))</f>
        <v/>
      </c>
      <c r="I723" s="20" t="str">
        <f ca="1">INDIRECT(_xlfn.TEXTJOIN("",TRUE,A741,"!",ADDRESS(13+(A742-1)*A738,13)))</f>
        <v/>
      </c>
      <c r="J723" s="20" t="e">
        <f ca="1">INDIRECT(_xlfn.TEXTJOIN("",TRUE,A741,"!",ADDRESS(13+(A742-1)*A738,14)))</f>
        <v>#N/A</v>
      </c>
    </row>
    <row r="724" spans="1:10" ht="26.25" customHeight="1" x14ac:dyDescent="0.2">
      <c r="A724" s="96" t="str">
        <f ca="1">INDIRECT(_xlfn.TEXTJOIN("",TRUE,A741,"!",ADDRESS(14+(A742-1)*A738,1)))</f>
        <v/>
      </c>
      <c r="B724" s="97"/>
      <c r="C724" s="106" t="str">
        <f ca="1">INDIRECT(_xlfn.TEXTJOIN("",TRUE,A741,"!",ADDRESS(14+(A742-1)*A738,2)))</f>
        <v/>
      </c>
      <c r="D724" s="107"/>
      <c r="E724" s="107"/>
      <c r="F724" s="107"/>
      <c r="G724" s="108"/>
      <c r="H724" s="20" t="str">
        <f ca="1">INDIRECT(_xlfn.TEXTJOIN("",TRUE,A741,"!",ADDRESS(14+(A742-1)*A738,6)))</f>
        <v/>
      </c>
      <c r="I724" s="20" t="str">
        <f ca="1">INDIRECT(_xlfn.TEXTJOIN("",TRUE,A741,"!",ADDRESS(14+(A742-1)*A738,13)))</f>
        <v/>
      </c>
      <c r="J724" s="20" t="e">
        <f ca="1">INDIRECT(_xlfn.TEXTJOIN("",TRUE,A741,"!",ADDRESS(14+(A742-1)*A738,14)))</f>
        <v>#N/A</v>
      </c>
    </row>
    <row r="725" spans="1:10" ht="26.25" customHeight="1" x14ac:dyDescent="0.2">
      <c r="A725" s="96" t="str">
        <f ca="1">INDIRECT(_xlfn.TEXTJOIN("",TRUE,A741,"!",ADDRESS(15+(A742-1)*A738,1)))</f>
        <v/>
      </c>
      <c r="B725" s="97"/>
      <c r="C725" s="106" t="str">
        <f ca="1">INDIRECT(_xlfn.TEXTJOIN("",TRUE,A741,"!",ADDRESS(15+(A742-1)*A738,2)))</f>
        <v/>
      </c>
      <c r="D725" s="107"/>
      <c r="E725" s="107"/>
      <c r="F725" s="107"/>
      <c r="G725" s="108"/>
      <c r="H725" s="20" t="str">
        <f ca="1">INDIRECT(_xlfn.TEXTJOIN("",TRUE,A741,"!",ADDRESS(15+(A742-1)*A738,6)))</f>
        <v/>
      </c>
      <c r="I725" s="20" t="str">
        <f ca="1">INDIRECT(_xlfn.TEXTJOIN("",TRUE,A741,"!",ADDRESS(15+(A742-1)*A738,13)))</f>
        <v/>
      </c>
      <c r="J725" s="20" t="e">
        <f ca="1">INDIRECT(_xlfn.TEXTJOIN("",TRUE,A741,"!",ADDRESS(15+(A742-1)*A738,14)))</f>
        <v>#N/A</v>
      </c>
    </row>
    <row r="726" spans="1:10" ht="26.25" customHeight="1" x14ac:dyDescent="0.2">
      <c r="A726" s="96" t="str">
        <f ca="1">INDIRECT(_xlfn.TEXTJOIN("",TRUE,A741,"!",ADDRESS(16+(A742-1)*A738,1)))</f>
        <v/>
      </c>
      <c r="B726" s="97"/>
      <c r="C726" s="106" t="str">
        <f ca="1">INDIRECT(_xlfn.TEXTJOIN("",TRUE,A741,"!",ADDRESS(16+(A742-1)*A738,2)))</f>
        <v/>
      </c>
      <c r="D726" s="107"/>
      <c r="E726" s="107"/>
      <c r="F726" s="107"/>
      <c r="G726" s="108"/>
      <c r="H726" s="20" t="str">
        <f ca="1">INDIRECT(_xlfn.TEXTJOIN("",TRUE,A741,"!",ADDRESS(16+(A742-1)*A738,6)))</f>
        <v/>
      </c>
      <c r="I726" s="20" t="str">
        <f ca="1">INDIRECT(_xlfn.TEXTJOIN("",TRUE,A741,"!",ADDRESS(16+(A742-1)*A738,13)))</f>
        <v/>
      </c>
      <c r="J726" s="20" t="e">
        <f ca="1">INDIRECT(_xlfn.TEXTJOIN("",TRUE,A741,"!",ADDRESS(16+(A742-1)*A738,14)))</f>
        <v>#N/A</v>
      </c>
    </row>
    <row r="727" spans="1:10" ht="26.25" customHeight="1" x14ac:dyDescent="0.2">
      <c r="A727" s="96" t="str">
        <f ca="1">INDIRECT(_xlfn.TEXTJOIN("",TRUE,A741,"!",ADDRESS(17+(A742-1)*A738,1)))</f>
        <v/>
      </c>
      <c r="B727" s="97"/>
      <c r="C727" s="106" t="str">
        <f ca="1">INDIRECT(_xlfn.TEXTJOIN("",TRUE,A741,"!",ADDRESS(17+(A742-1)*A738,2)))</f>
        <v/>
      </c>
      <c r="D727" s="107"/>
      <c r="E727" s="107"/>
      <c r="F727" s="107"/>
      <c r="G727" s="108"/>
      <c r="H727" s="20" t="str">
        <f ca="1">INDIRECT(_xlfn.TEXTJOIN("",TRUE,A741,"!",ADDRESS(17+(A742-1)*A738,6)))</f>
        <v/>
      </c>
      <c r="I727" s="20" t="str">
        <f ca="1">INDIRECT(_xlfn.TEXTJOIN("",TRUE,A741,"!",ADDRESS(17+(A742-1)*A738,13)))</f>
        <v/>
      </c>
      <c r="J727" s="20" t="e">
        <f ca="1">INDIRECT(_xlfn.TEXTJOIN("",TRUE,A741,"!",ADDRESS(17+(A742-1)*A738,14)))</f>
        <v>#N/A</v>
      </c>
    </row>
    <row r="728" spans="1:10" ht="26.25" customHeight="1" x14ac:dyDescent="0.2">
      <c r="A728" s="96" t="str">
        <f ca="1">INDIRECT(_xlfn.TEXTJOIN("",TRUE,A741,"!",ADDRESS(18+(A742-1)*A738,1)))</f>
        <v/>
      </c>
      <c r="B728" s="97"/>
      <c r="C728" s="106" t="str">
        <f ca="1">INDIRECT(_xlfn.TEXTJOIN("",TRUE,A741,"!",ADDRESS(18+(A742-1)*A738,2)))</f>
        <v/>
      </c>
      <c r="D728" s="107"/>
      <c r="E728" s="107"/>
      <c r="F728" s="107"/>
      <c r="G728" s="108"/>
      <c r="H728" s="20" t="str">
        <f ca="1">INDIRECT(_xlfn.TEXTJOIN("",TRUE,A741,"!",ADDRESS(18+(A742-1)*A738,6)))</f>
        <v/>
      </c>
      <c r="I728" s="20" t="str">
        <f ca="1">INDIRECT(_xlfn.TEXTJOIN("",TRUE,A741,"!",ADDRESS(18+(A742-1)*A738,13)))</f>
        <v/>
      </c>
      <c r="J728" s="20" t="e">
        <f ca="1">INDIRECT(_xlfn.TEXTJOIN("",TRUE,A741,"!",ADDRESS(18+(A742-1)*A738,14)))</f>
        <v>#N/A</v>
      </c>
    </row>
    <row r="729" spans="1:10" ht="26.25" customHeight="1" x14ac:dyDescent="0.2">
      <c r="A729" s="96" t="str">
        <f ca="1">INDIRECT(_xlfn.TEXTJOIN("",TRUE,A741,"!",ADDRESS(19+(A742-1)*A738,1)))</f>
        <v/>
      </c>
      <c r="B729" s="97"/>
      <c r="C729" s="106" t="str">
        <f ca="1">INDIRECT(_xlfn.TEXTJOIN("",TRUE,A741,"!",ADDRESS(19+(A742-1)*A738,2)))</f>
        <v/>
      </c>
      <c r="D729" s="107"/>
      <c r="E729" s="107"/>
      <c r="F729" s="107"/>
      <c r="G729" s="108"/>
      <c r="H729" s="20" t="str">
        <f ca="1">INDIRECT(_xlfn.TEXTJOIN("",TRUE,A741,"!",ADDRESS(19+(A742-1)*A738,6)))</f>
        <v/>
      </c>
      <c r="I729" s="20" t="str">
        <f ca="1">INDIRECT(_xlfn.TEXTJOIN("",TRUE,A741,"!",ADDRESS(19+(A742-1)*A738,13)))</f>
        <v/>
      </c>
      <c r="J729" s="20" t="e">
        <f ca="1">INDIRECT(_xlfn.TEXTJOIN("",TRUE,A741,"!",ADDRESS(19+(A742-1)*A738,14)))</f>
        <v>#N/A</v>
      </c>
    </row>
    <row r="730" spans="1:10" ht="26.25" customHeight="1" x14ac:dyDescent="0.2">
      <c r="A730" s="96" t="str">
        <f ca="1">INDIRECT(_xlfn.TEXTJOIN("",TRUE,A741,"!",ADDRESS(20+(A742-1)*A738,1)))</f>
        <v/>
      </c>
      <c r="B730" s="97"/>
      <c r="C730" s="106" t="str">
        <f ca="1">INDIRECT(_xlfn.TEXTJOIN("",TRUE,A741,"!",ADDRESS(20+(A742-1)*A738,2)))</f>
        <v/>
      </c>
      <c r="D730" s="107"/>
      <c r="E730" s="107"/>
      <c r="F730" s="107"/>
      <c r="G730" s="108"/>
      <c r="H730" s="20" t="str">
        <f ca="1">INDIRECT(_xlfn.TEXTJOIN("",TRUE,A741,"!",ADDRESS(20+(A742-1)*A738,6)))</f>
        <v/>
      </c>
      <c r="I730" s="20" t="str">
        <f ca="1">INDIRECT(_xlfn.TEXTJOIN("",TRUE,A741,"!",ADDRESS(20+(A742-1)*A738,13)))</f>
        <v/>
      </c>
      <c r="J730" s="20" t="e">
        <f ca="1">INDIRECT(_xlfn.TEXTJOIN("",TRUE,A741,"!",ADDRESS(20+(A742-1)*A738,14)))</f>
        <v>#N/A</v>
      </c>
    </row>
    <row r="731" spans="1:10" ht="26.25" customHeight="1" x14ac:dyDescent="0.2">
      <c r="A731" s="96" t="str">
        <f ca="1">INDIRECT(_xlfn.TEXTJOIN("",TRUE,A741,"!",ADDRESS(21+(A742-1)*A738,1)))</f>
        <v/>
      </c>
      <c r="B731" s="97"/>
      <c r="C731" s="106" t="str">
        <f ca="1">INDIRECT(_xlfn.TEXTJOIN("",TRUE,A741,"!",ADDRESS(21+(A742-1)*A738,2)))</f>
        <v/>
      </c>
      <c r="D731" s="107"/>
      <c r="E731" s="107"/>
      <c r="F731" s="107"/>
      <c r="G731" s="108"/>
      <c r="H731" s="20" t="str">
        <f ca="1">INDIRECT(_xlfn.TEXTJOIN("",TRUE,A741,"!",ADDRESS(21+(A742-1)*A738,6)))</f>
        <v/>
      </c>
      <c r="I731" s="20" t="str">
        <f ca="1">INDIRECT(_xlfn.TEXTJOIN("",TRUE,A741,"!",ADDRESS(21+(A742-1)*A738,13)))</f>
        <v/>
      </c>
      <c r="J731" s="20" t="e">
        <f ca="1">INDIRECT(_xlfn.TEXTJOIN("",TRUE,A741,"!",ADDRESS(21+(A742-1)*A738,14)))</f>
        <v>#N/A</v>
      </c>
    </row>
    <row r="732" spans="1:10" ht="26.25" customHeight="1" x14ac:dyDescent="0.2">
      <c r="A732" s="96" t="str">
        <f ca="1">INDIRECT(_xlfn.TEXTJOIN("",TRUE,A741,"!",ADDRESS(22+(A742-1)*A738,1)))</f>
        <v/>
      </c>
      <c r="B732" s="97"/>
      <c r="C732" s="106" t="str">
        <f ca="1">INDIRECT(_xlfn.TEXTJOIN("",TRUE,A741,"!",ADDRESS(22+(A742-1)*A738,2)))</f>
        <v/>
      </c>
      <c r="D732" s="107"/>
      <c r="E732" s="107"/>
      <c r="F732" s="107"/>
      <c r="G732" s="108"/>
      <c r="H732" s="20" t="str">
        <f ca="1">INDIRECT(_xlfn.TEXTJOIN("",TRUE,A741,"!",ADDRESS(22+(A742-1)*A738,6)))</f>
        <v/>
      </c>
      <c r="I732" s="20" t="str">
        <f ca="1">INDIRECT(_xlfn.TEXTJOIN("",TRUE,A741,"!",ADDRESS(22+(A742-1)*A738,13)))</f>
        <v/>
      </c>
      <c r="J732" s="20" t="e">
        <f ca="1">INDIRECT(_xlfn.TEXTJOIN("",TRUE,A741,"!",ADDRESS(22+(A742-1)*A738,14)))</f>
        <v>#N/A</v>
      </c>
    </row>
    <row r="733" spans="1:10" ht="26.25" customHeight="1" x14ac:dyDescent="0.2">
      <c r="A733" s="110" t="str">
        <f ca="1">INDIRECT(_xlfn.TEXTJOIN("",TRUE,A741,"!",ADDRESS(23+(A742-1)*A738,1)))</f>
        <v/>
      </c>
      <c r="B733" s="111"/>
      <c r="C733" s="115" t="str">
        <f ca="1">INDIRECT(_xlfn.TEXTJOIN("",TRUE,A741,"!",ADDRESS(23+(A742-1)*A738,2)))</f>
        <v/>
      </c>
      <c r="D733" s="116"/>
      <c r="E733" s="116"/>
      <c r="F733" s="116"/>
      <c r="G733" s="117"/>
      <c r="H733" s="20" t="str">
        <f ca="1">INDIRECT(_xlfn.TEXTJOIN("",TRUE,A741,"!",ADDRESS(23+(A742-1)*A738,6)))</f>
        <v/>
      </c>
      <c r="I733" s="20" t="str">
        <f ca="1">INDIRECT(_xlfn.TEXTJOIN("",TRUE,A741,"!",ADDRESS(23+(A742-1)*A738,13)))</f>
        <v/>
      </c>
      <c r="J733" s="20" t="e">
        <f ca="1">INDIRECT(_xlfn.TEXTJOIN("",TRUE,A741,"!",ADDRESS(23+(A742-1)*A738,14)))</f>
        <v>#N/A</v>
      </c>
    </row>
    <row r="734" spans="1:10" ht="26.25" customHeight="1" x14ac:dyDescent="0.2">
      <c r="A734" s="110" t="str">
        <f ca="1">INDIRECT(_xlfn.TEXTJOIN("",TRUE,A741,"!",ADDRESS(24+(A742-1)*A738,1)))</f>
        <v/>
      </c>
      <c r="B734" s="111"/>
      <c r="C734" s="115" t="str">
        <f ca="1">INDIRECT(_xlfn.TEXTJOIN("",TRUE,A741,"!",ADDRESS(24+(A742-1)*A738,2)))</f>
        <v/>
      </c>
      <c r="D734" s="116"/>
      <c r="E734" s="116"/>
      <c r="F734" s="116"/>
      <c r="G734" s="117"/>
      <c r="H734" s="20" t="str">
        <f ca="1">INDIRECT(_xlfn.TEXTJOIN("",TRUE,A741,"!",ADDRESS(24+(A742-1)*A738,6)))</f>
        <v/>
      </c>
      <c r="I734" s="20" t="str">
        <f ca="1">INDIRECT(_xlfn.TEXTJOIN("",TRUE,A741,"!",ADDRESS(24+(A742-1)*A738,13)))</f>
        <v/>
      </c>
      <c r="J734" s="20" t="e">
        <f ca="1">INDIRECT(_xlfn.TEXTJOIN("",TRUE,A741,"!",ADDRESS(24+(A742-1)*A738,14)))</f>
        <v>#N/A</v>
      </c>
    </row>
    <row r="735" spans="1:10" ht="26.25" customHeight="1" x14ac:dyDescent="0.2">
      <c r="A735" s="110" t="str">
        <f ca="1">INDIRECT(_xlfn.TEXTJOIN("",TRUE,A741,"!",ADDRESS(25+(A742-1)*A738,1)))</f>
        <v/>
      </c>
      <c r="B735" s="111"/>
      <c r="C735" s="115" t="str">
        <f ca="1">INDIRECT(_xlfn.TEXTJOIN("",TRUE,A741,"!",ADDRESS(25+(A742-1)*A738,2)))</f>
        <v/>
      </c>
      <c r="D735" s="116"/>
      <c r="E735" s="116"/>
      <c r="F735" s="116"/>
      <c r="G735" s="117"/>
      <c r="H735" s="20" t="str">
        <f ca="1">INDIRECT(_xlfn.TEXTJOIN("",TRUE,A741,"!",ADDRESS(25+(A742-1)*A738,6)))</f>
        <v/>
      </c>
      <c r="I735" s="20" t="str">
        <f ca="1">INDIRECT(_xlfn.TEXTJOIN("",TRUE,A741,"!",ADDRESS(25+(A742-1)*A738,13)))</f>
        <v/>
      </c>
      <c r="J735" s="20" t="e">
        <f ca="1">INDIRECT(_xlfn.TEXTJOIN("",TRUE,A741,"!",ADDRESS(25+(A742-1)*A738,14)))</f>
        <v>#N/A</v>
      </c>
    </row>
    <row r="736" spans="1:10" ht="26.25" customHeight="1" x14ac:dyDescent="0.2">
      <c r="A736" s="100" t="s">
        <v>52</v>
      </c>
      <c r="B736" s="101"/>
      <c r="C736" s="101"/>
      <c r="D736" s="101"/>
      <c r="E736" s="101"/>
      <c r="F736" s="101"/>
      <c r="G736" s="102"/>
      <c r="H736" s="98">
        <f ca="1">SUM(H723:H736)</f>
        <v>24</v>
      </c>
      <c r="I736" s="98" t="s">
        <v>44</v>
      </c>
      <c r="J736" s="98" t="e">
        <f ca="1">SUMPRODUCT(J723:J735,H723:H735)</f>
        <v>#N/A</v>
      </c>
    </row>
    <row r="737" spans="1:10" ht="26.25" customHeight="1" x14ac:dyDescent="0.2">
      <c r="A737" s="103"/>
      <c r="B737" s="104"/>
      <c r="C737" s="104"/>
      <c r="D737" s="104"/>
      <c r="E737" s="104"/>
      <c r="F737" s="104"/>
      <c r="G737" s="105"/>
      <c r="H737" s="99"/>
      <c r="I737" s="99"/>
      <c r="J737" s="99"/>
    </row>
    <row r="738" spans="1:10" ht="26.25" customHeight="1" x14ac:dyDescent="0.2">
      <c r="A738" s="22">
        <f>ROWS(A723:B736)+9</f>
        <v>23</v>
      </c>
      <c r="B738" s="17"/>
      <c r="C738" s="17"/>
      <c r="D738" s="17"/>
      <c r="E738" s="17"/>
      <c r="F738" s="17"/>
      <c r="G738" s="17"/>
      <c r="H738" s="17"/>
      <c r="I738" s="17"/>
      <c r="J738" s="17"/>
    </row>
    <row r="739" spans="1:10" ht="26.25" customHeight="1" x14ac:dyDescent="0.2">
      <c r="A739" s="120" t="s">
        <v>40</v>
      </c>
      <c r="B739" s="120"/>
      <c r="C739" s="21" t="str">
        <f ca="1">INDIRECT(_xlfn.TEXTJOIN("",TRUE,A741,"!",ADDRESS(5+A742*A738,12)))</f>
        <v/>
      </c>
      <c r="D739" s="120" t="s">
        <v>38</v>
      </c>
      <c r="E739" s="120"/>
      <c r="F739" s="18" t="str">
        <f ca="1">INDIRECT(_xlfn.TEXTJOIN("",TRUE,A741,"!",ADDRESS(5+A742*A738,8)))</f>
        <v/>
      </c>
      <c r="G739" s="120" t="s">
        <v>39</v>
      </c>
      <c r="H739" s="120"/>
      <c r="I739" s="109" t="str">
        <f ca="1">INDIRECT(_xlfn.TEXTJOIN("",TRUE,A741,"!",ADDRESS(5+A742*A738,10)))</f>
        <v/>
      </c>
      <c r="J739" s="109"/>
    </row>
    <row r="740" spans="1:10" ht="26.25" customHeight="1" x14ac:dyDescent="0.2">
      <c r="A740" s="19" t="s">
        <v>36</v>
      </c>
      <c r="B740" s="95" t="str">
        <f ca="1">INDIRECT(_xlfn.TEXTJOIN("",TRUE,A741,"!",ADDRESS(5+A742*A738,2)))</f>
        <v/>
      </c>
      <c r="C740" s="95"/>
      <c r="D740" s="121" t="s">
        <v>37</v>
      </c>
      <c r="E740" s="121"/>
      <c r="F740" s="122" t="str">
        <f ca="1">INDIRECT(_xlfn.TEXTJOIN("",TRUE,A741,"!",ADDRESS(5+A742*A738,5)))</f>
        <v/>
      </c>
      <c r="G740" s="122"/>
      <c r="H740" s="122"/>
      <c r="I740" s="122"/>
      <c r="J740" s="122"/>
    </row>
    <row r="741" spans="1:10" ht="26.25" customHeight="1" x14ac:dyDescent="0.2">
      <c r="A741" s="22" t="str">
        <f>A718</f>
        <v>TC_I</v>
      </c>
    </row>
    <row r="742" spans="1:10" ht="26.25" customHeight="1" x14ac:dyDescent="0.2">
      <c r="A742" s="22">
        <f>A719+1</f>
        <v>32</v>
      </c>
    </row>
    <row r="743" spans="1:10" ht="26.25" customHeight="1" x14ac:dyDescent="0.2">
      <c r="A743" s="112" t="s">
        <v>24</v>
      </c>
      <c r="B743" s="112"/>
      <c r="C743" s="112" t="str">
        <f ca="1">INDIRECT(_xlfn.TEXTJOIN("",TRUE,A764,"!",ADDRESS(9+(A765-1)*A761,2)))</f>
        <v/>
      </c>
      <c r="D743" s="112"/>
      <c r="E743" s="112"/>
      <c r="F743" s="112" t="s">
        <v>50</v>
      </c>
      <c r="G743" s="112"/>
      <c r="H743" s="112"/>
      <c r="I743" s="113" t="str">
        <f ca="1">INDIRECT(_xlfn.TEXTJOIN("",TRUE,A764,"!",ADDRESS(9+(A765-1)*A761,9)))</f>
        <v/>
      </c>
      <c r="J743" s="113"/>
    </row>
    <row r="744" spans="1:10" ht="26.25" customHeight="1" x14ac:dyDescent="0.2">
      <c r="A744" s="112" t="s">
        <v>25</v>
      </c>
      <c r="B744" s="112"/>
      <c r="C744" s="112" t="str">
        <f ca="1">INDIRECT(_xlfn.TEXTJOIN("",TRUE,A764,"!",ADDRESS(9+(A765-1)*A761,5)))</f>
        <v/>
      </c>
      <c r="D744" s="112"/>
      <c r="E744" s="112"/>
      <c r="F744" s="114" t="s">
        <v>51</v>
      </c>
      <c r="G744" s="114"/>
      <c r="H744" s="114"/>
      <c r="I744" s="113" t="str">
        <f ca="1">INDIRECT(_xlfn.TEXTJOIN("",TRUE,A764,"!",ADDRESS(9+(A765-1)*A761,13)))</f>
        <v/>
      </c>
      <c r="J744" s="113"/>
    </row>
    <row r="745" spans="1:10" ht="26.25" customHeight="1" x14ac:dyDescent="0.2">
      <c r="A745" s="95" t="s">
        <v>28</v>
      </c>
      <c r="B745" s="95"/>
      <c r="C745" s="95" t="s">
        <v>29</v>
      </c>
      <c r="D745" s="95"/>
      <c r="E745" s="95"/>
      <c r="F745" s="95"/>
      <c r="G745" s="95"/>
      <c r="H745" s="15" t="s">
        <v>30</v>
      </c>
      <c r="I745" s="15" t="s">
        <v>9</v>
      </c>
      <c r="J745" s="15" t="s">
        <v>34</v>
      </c>
    </row>
    <row r="746" spans="1:10" ht="26.25" customHeight="1" x14ac:dyDescent="0.2">
      <c r="A746" s="96" t="str">
        <f ca="1">INDIRECT(_xlfn.TEXTJOIN("",TRUE,A764,"!",ADDRESS(13+(A765-1)*A761,1)))</f>
        <v/>
      </c>
      <c r="B746" s="97"/>
      <c r="C746" s="106" t="str">
        <f ca="1">INDIRECT(_xlfn.TEXTJOIN("",TRUE,A764,"!",ADDRESS(13+(A765-1)*A761,2)))</f>
        <v/>
      </c>
      <c r="D746" s="107"/>
      <c r="E746" s="107"/>
      <c r="F746" s="107"/>
      <c r="G746" s="108"/>
      <c r="H746" s="20" t="str">
        <f ca="1">INDIRECT(_xlfn.TEXTJOIN("",TRUE,A764,"!",ADDRESS(13+(A765-1)*A761,6)))</f>
        <v/>
      </c>
      <c r="I746" s="20" t="str">
        <f ca="1">INDIRECT(_xlfn.TEXTJOIN("",TRUE,A764,"!",ADDRESS(13+(A765-1)*A761,13)))</f>
        <v/>
      </c>
      <c r="J746" s="20" t="e">
        <f ca="1">INDIRECT(_xlfn.TEXTJOIN("",TRUE,A764,"!",ADDRESS(13+(A765-1)*A761,14)))</f>
        <v>#N/A</v>
      </c>
    </row>
    <row r="747" spans="1:10" ht="26.25" customHeight="1" x14ac:dyDescent="0.2">
      <c r="A747" s="96" t="str">
        <f ca="1">INDIRECT(_xlfn.TEXTJOIN("",TRUE,A764,"!",ADDRESS(14+(A765-1)*A761,1)))</f>
        <v/>
      </c>
      <c r="B747" s="97"/>
      <c r="C747" s="106" t="str">
        <f ca="1">INDIRECT(_xlfn.TEXTJOIN("",TRUE,A764,"!",ADDRESS(14+(A765-1)*A761,2)))</f>
        <v/>
      </c>
      <c r="D747" s="107"/>
      <c r="E747" s="107"/>
      <c r="F747" s="107"/>
      <c r="G747" s="108"/>
      <c r="H747" s="20" t="str">
        <f ca="1">INDIRECT(_xlfn.TEXTJOIN("",TRUE,A764,"!",ADDRESS(14+(A765-1)*A761,6)))</f>
        <v/>
      </c>
      <c r="I747" s="20" t="str">
        <f ca="1">INDIRECT(_xlfn.TEXTJOIN("",TRUE,A764,"!",ADDRESS(14+(A765-1)*A761,13)))</f>
        <v/>
      </c>
      <c r="J747" s="20" t="e">
        <f ca="1">INDIRECT(_xlfn.TEXTJOIN("",TRUE,A764,"!",ADDRESS(14+(A765-1)*A761,14)))</f>
        <v>#N/A</v>
      </c>
    </row>
    <row r="748" spans="1:10" ht="26.25" customHeight="1" x14ac:dyDescent="0.2">
      <c r="A748" s="96" t="str">
        <f ca="1">INDIRECT(_xlfn.TEXTJOIN("",TRUE,A764,"!",ADDRESS(15+(A765-1)*A761,1)))</f>
        <v/>
      </c>
      <c r="B748" s="97"/>
      <c r="C748" s="106" t="str">
        <f ca="1">INDIRECT(_xlfn.TEXTJOIN("",TRUE,A764,"!",ADDRESS(15+(A765-1)*A761,2)))</f>
        <v/>
      </c>
      <c r="D748" s="107"/>
      <c r="E748" s="107"/>
      <c r="F748" s="107"/>
      <c r="G748" s="108"/>
      <c r="H748" s="20" t="str">
        <f ca="1">INDIRECT(_xlfn.TEXTJOIN("",TRUE,A764,"!",ADDRESS(15+(A765-1)*A761,6)))</f>
        <v/>
      </c>
      <c r="I748" s="20" t="str">
        <f ca="1">INDIRECT(_xlfn.TEXTJOIN("",TRUE,A764,"!",ADDRESS(15+(A765-1)*A761,13)))</f>
        <v/>
      </c>
      <c r="J748" s="20" t="e">
        <f ca="1">INDIRECT(_xlfn.TEXTJOIN("",TRUE,A764,"!",ADDRESS(15+(A765-1)*A761,14)))</f>
        <v>#N/A</v>
      </c>
    </row>
    <row r="749" spans="1:10" ht="26.25" customHeight="1" x14ac:dyDescent="0.2">
      <c r="A749" s="96" t="str">
        <f ca="1">INDIRECT(_xlfn.TEXTJOIN("",TRUE,A764,"!",ADDRESS(16+(A765-1)*A761,1)))</f>
        <v/>
      </c>
      <c r="B749" s="97"/>
      <c r="C749" s="106" t="str">
        <f ca="1">INDIRECT(_xlfn.TEXTJOIN("",TRUE,A764,"!",ADDRESS(16+(A765-1)*A761,2)))</f>
        <v/>
      </c>
      <c r="D749" s="107"/>
      <c r="E749" s="107"/>
      <c r="F749" s="107"/>
      <c r="G749" s="108"/>
      <c r="H749" s="20" t="str">
        <f ca="1">INDIRECT(_xlfn.TEXTJOIN("",TRUE,A764,"!",ADDRESS(16+(A765-1)*A761,6)))</f>
        <v/>
      </c>
      <c r="I749" s="20" t="str">
        <f ca="1">INDIRECT(_xlfn.TEXTJOIN("",TRUE,A764,"!",ADDRESS(16+(A765-1)*A761,13)))</f>
        <v/>
      </c>
      <c r="J749" s="20" t="e">
        <f ca="1">INDIRECT(_xlfn.TEXTJOIN("",TRUE,A764,"!",ADDRESS(16+(A765-1)*A761,14)))</f>
        <v>#N/A</v>
      </c>
    </row>
    <row r="750" spans="1:10" ht="26.25" customHeight="1" x14ac:dyDescent="0.2">
      <c r="A750" s="96" t="str">
        <f ca="1">INDIRECT(_xlfn.TEXTJOIN("",TRUE,A764,"!",ADDRESS(17+(A765-1)*A761,1)))</f>
        <v/>
      </c>
      <c r="B750" s="97"/>
      <c r="C750" s="106" t="str">
        <f ca="1">INDIRECT(_xlfn.TEXTJOIN("",TRUE,A764,"!",ADDRESS(17+(A765-1)*A761,2)))</f>
        <v/>
      </c>
      <c r="D750" s="107"/>
      <c r="E750" s="107"/>
      <c r="F750" s="107"/>
      <c r="G750" s="108"/>
      <c r="H750" s="20" t="str">
        <f ca="1">INDIRECT(_xlfn.TEXTJOIN("",TRUE,A764,"!",ADDRESS(17+(A765-1)*A761,6)))</f>
        <v/>
      </c>
      <c r="I750" s="20" t="str">
        <f ca="1">INDIRECT(_xlfn.TEXTJOIN("",TRUE,A764,"!",ADDRESS(17+(A765-1)*A761,13)))</f>
        <v/>
      </c>
      <c r="J750" s="20" t="e">
        <f ca="1">INDIRECT(_xlfn.TEXTJOIN("",TRUE,A764,"!",ADDRESS(17+(A765-1)*A761,14)))</f>
        <v>#N/A</v>
      </c>
    </row>
    <row r="751" spans="1:10" ht="26.25" customHeight="1" x14ac:dyDescent="0.2">
      <c r="A751" s="96" t="str">
        <f ca="1">INDIRECT(_xlfn.TEXTJOIN("",TRUE,A764,"!",ADDRESS(18+(A765-1)*A761,1)))</f>
        <v/>
      </c>
      <c r="B751" s="97"/>
      <c r="C751" s="106" t="str">
        <f ca="1">INDIRECT(_xlfn.TEXTJOIN("",TRUE,A764,"!",ADDRESS(18+(A765-1)*A761,2)))</f>
        <v/>
      </c>
      <c r="D751" s="107"/>
      <c r="E751" s="107"/>
      <c r="F751" s="107"/>
      <c r="G751" s="108"/>
      <c r="H751" s="20" t="str">
        <f ca="1">INDIRECT(_xlfn.TEXTJOIN("",TRUE,A764,"!",ADDRESS(18+(A765-1)*A761,6)))</f>
        <v/>
      </c>
      <c r="I751" s="20" t="str">
        <f ca="1">INDIRECT(_xlfn.TEXTJOIN("",TRUE,A764,"!",ADDRESS(18+(A765-1)*A761,13)))</f>
        <v/>
      </c>
      <c r="J751" s="20" t="e">
        <f ca="1">INDIRECT(_xlfn.TEXTJOIN("",TRUE,A764,"!",ADDRESS(18+(A765-1)*A761,14)))</f>
        <v>#N/A</v>
      </c>
    </row>
    <row r="752" spans="1:10" ht="26.25" customHeight="1" x14ac:dyDescent="0.2">
      <c r="A752" s="96" t="str">
        <f ca="1">INDIRECT(_xlfn.TEXTJOIN("",TRUE,A764,"!",ADDRESS(19+(A765-1)*A761,1)))</f>
        <v/>
      </c>
      <c r="B752" s="97"/>
      <c r="C752" s="106" t="str">
        <f ca="1">INDIRECT(_xlfn.TEXTJOIN("",TRUE,A764,"!",ADDRESS(19+(A765-1)*A761,2)))</f>
        <v/>
      </c>
      <c r="D752" s="107"/>
      <c r="E752" s="107"/>
      <c r="F752" s="107"/>
      <c r="G752" s="108"/>
      <c r="H752" s="20" t="str">
        <f ca="1">INDIRECT(_xlfn.TEXTJOIN("",TRUE,A764,"!",ADDRESS(19+(A765-1)*A761,6)))</f>
        <v/>
      </c>
      <c r="I752" s="20" t="str">
        <f ca="1">INDIRECT(_xlfn.TEXTJOIN("",TRUE,A764,"!",ADDRESS(19+(A765-1)*A761,13)))</f>
        <v/>
      </c>
      <c r="J752" s="20" t="e">
        <f ca="1">INDIRECT(_xlfn.TEXTJOIN("",TRUE,A764,"!",ADDRESS(19+(A765-1)*A761,14)))</f>
        <v>#N/A</v>
      </c>
    </row>
    <row r="753" spans="1:10" ht="26.25" customHeight="1" x14ac:dyDescent="0.2">
      <c r="A753" s="96" t="str">
        <f ca="1">INDIRECT(_xlfn.TEXTJOIN("",TRUE,A764,"!",ADDRESS(20+(A765-1)*A761,1)))</f>
        <v/>
      </c>
      <c r="B753" s="97"/>
      <c r="C753" s="106" t="str">
        <f ca="1">INDIRECT(_xlfn.TEXTJOIN("",TRUE,A764,"!",ADDRESS(20+(A765-1)*A761,2)))</f>
        <v/>
      </c>
      <c r="D753" s="107"/>
      <c r="E753" s="107"/>
      <c r="F753" s="107"/>
      <c r="G753" s="108"/>
      <c r="H753" s="20" t="str">
        <f ca="1">INDIRECT(_xlfn.TEXTJOIN("",TRUE,A764,"!",ADDRESS(20+(A765-1)*A761,6)))</f>
        <v/>
      </c>
      <c r="I753" s="20" t="str">
        <f ca="1">INDIRECT(_xlfn.TEXTJOIN("",TRUE,A764,"!",ADDRESS(20+(A765-1)*A761,13)))</f>
        <v/>
      </c>
      <c r="J753" s="20" t="e">
        <f ca="1">INDIRECT(_xlfn.TEXTJOIN("",TRUE,A764,"!",ADDRESS(20+(A765-1)*A761,14)))</f>
        <v>#N/A</v>
      </c>
    </row>
    <row r="754" spans="1:10" ht="26.25" customHeight="1" x14ac:dyDescent="0.2">
      <c r="A754" s="96" t="str">
        <f ca="1">INDIRECT(_xlfn.TEXTJOIN("",TRUE,A764,"!",ADDRESS(21+(A765-1)*A761,1)))</f>
        <v/>
      </c>
      <c r="B754" s="97"/>
      <c r="C754" s="106" t="str">
        <f ca="1">INDIRECT(_xlfn.TEXTJOIN("",TRUE,A764,"!",ADDRESS(21+(A765-1)*A761,2)))</f>
        <v/>
      </c>
      <c r="D754" s="107"/>
      <c r="E754" s="107"/>
      <c r="F754" s="107"/>
      <c r="G754" s="108"/>
      <c r="H754" s="20" t="str">
        <f ca="1">INDIRECT(_xlfn.TEXTJOIN("",TRUE,A764,"!",ADDRESS(21+(A765-1)*A761,6)))</f>
        <v/>
      </c>
      <c r="I754" s="20" t="str">
        <f ca="1">INDIRECT(_xlfn.TEXTJOIN("",TRUE,A764,"!",ADDRESS(21+(A765-1)*A761,13)))</f>
        <v/>
      </c>
      <c r="J754" s="20" t="e">
        <f ca="1">INDIRECT(_xlfn.TEXTJOIN("",TRUE,A764,"!",ADDRESS(21+(A765-1)*A761,14)))</f>
        <v>#N/A</v>
      </c>
    </row>
    <row r="755" spans="1:10" ht="26.25" customHeight="1" x14ac:dyDescent="0.2">
      <c r="A755" s="96" t="str">
        <f ca="1">INDIRECT(_xlfn.TEXTJOIN("",TRUE,A764,"!",ADDRESS(22+(A765-1)*A761,1)))</f>
        <v/>
      </c>
      <c r="B755" s="97"/>
      <c r="C755" s="106" t="str">
        <f ca="1">INDIRECT(_xlfn.TEXTJOIN("",TRUE,A764,"!",ADDRESS(22+(A765-1)*A761,2)))</f>
        <v/>
      </c>
      <c r="D755" s="107"/>
      <c r="E755" s="107"/>
      <c r="F755" s="107"/>
      <c r="G755" s="108"/>
      <c r="H755" s="20" t="str">
        <f ca="1">INDIRECT(_xlfn.TEXTJOIN("",TRUE,A764,"!",ADDRESS(22+(A765-1)*A761,6)))</f>
        <v/>
      </c>
      <c r="I755" s="20" t="str">
        <f ca="1">INDIRECT(_xlfn.TEXTJOIN("",TRUE,A764,"!",ADDRESS(22+(A765-1)*A761,13)))</f>
        <v/>
      </c>
      <c r="J755" s="20" t="e">
        <f ca="1">INDIRECT(_xlfn.TEXTJOIN("",TRUE,A764,"!",ADDRESS(22+(A765-1)*A761,14)))</f>
        <v>#N/A</v>
      </c>
    </row>
    <row r="756" spans="1:10" ht="26.25" customHeight="1" x14ac:dyDescent="0.2">
      <c r="A756" s="110" t="str">
        <f ca="1">INDIRECT(_xlfn.TEXTJOIN("",TRUE,A764,"!",ADDRESS(23+(A765-1)*A761,1)))</f>
        <v/>
      </c>
      <c r="B756" s="111"/>
      <c r="C756" s="115" t="str">
        <f ca="1">INDIRECT(_xlfn.TEXTJOIN("",TRUE,A764,"!",ADDRESS(23+(A765-1)*A761,2)))</f>
        <v/>
      </c>
      <c r="D756" s="116"/>
      <c r="E756" s="116"/>
      <c r="F756" s="116"/>
      <c r="G756" s="117"/>
      <c r="H756" s="20" t="str">
        <f ca="1">INDIRECT(_xlfn.TEXTJOIN("",TRUE,A764,"!",ADDRESS(23+(A765-1)*A761,6)))</f>
        <v/>
      </c>
      <c r="I756" s="20" t="str">
        <f ca="1">INDIRECT(_xlfn.TEXTJOIN("",TRUE,A764,"!",ADDRESS(23+(A765-1)*A761,13)))</f>
        <v/>
      </c>
      <c r="J756" s="20" t="e">
        <f ca="1">INDIRECT(_xlfn.TEXTJOIN("",TRUE,A764,"!",ADDRESS(23+(A765-1)*A761,14)))</f>
        <v>#N/A</v>
      </c>
    </row>
    <row r="757" spans="1:10" ht="26.25" customHeight="1" x14ac:dyDescent="0.2">
      <c r="A757" s="110" t="str">
        <f ca="1">INDIRECT(_xlfn.TEXTJOIN("",TRUE,A764,"!",ADDRESS(24+(A765-1)*A761,1)))</f>
        <v/>
      </c>
      <c r="B757" s="111"/>
      <c r="C757" s="115" t="str">
        <f ca="1">INDIRECT(_xlfn.TEXTJOIN("",TRUE,A764,"!",ADDRESS(24+(A765-1)*A761,2)))</f>
        <v/>
      </c>
      <c r="D757" s="116"/>
      <c r="E757" s="116"/>
      <c r="F757" s="116"/>
      <c r="G757" s="117"/>
      <c r="H757" s="20" t="str">
        <f ca="1">INDIRECT(_xlfn.TEXTJOIN("",TRUE,A764,"!",ADDRESS(24+(A765-1)*A761,6)))</f>
        <v/>
      </c>
      <c r="I757" s="20" t="str">
        <f ca="1">INDIRECT(_xlfn.TEXTJOIN("",TRUE,A764,"!",ADDRESS(24+(A765-1)*A761,13)))</f>
        <v/>
      </c>
      <c r="J757" s="20" t="e">
        <f ca="1">INDIRECT(_xlfn.TEXTJOIN("",TRUE,A764,"!",ADDRESS(24+(A765-1)*A761,14)))</f>
        <v>#N/A</v>
      </c>
    </row>
    <row r="758" spans="1:10" ht="26.25" customHeight="1" x14ac:dyDescent="0.2">
      <c r="A758" s="110" t="str">
        <f ca="1">INDIRECT(_xlfn.TEXTJOIN("",TRUE,A764,"!",ADDRESS(25+(A765-1)*A761,1)))</f>
        <v/>
      </c>
      <c r="B758" s="111"/>
      <c r="C758" s="115" t="str">
        <f ca="1">INDIRECT(_xlfn.TEXTJOIN("",TRUE,A764,"!",ADDRESS(25+(A765-1)*A761,2)))</f>
        <v/>
      </c>
      <c r="D758" s="116"/>
      <c r="E758" s="116"/>
      <c r="F758" s="116"/>
      <c r="G758" s="117"/>
      <c r="H758" s="20" t="str">
        <f ca="1">INDIRECT(_xlfn.TEXTJOIN("",TRUE,A764,"!",ADDRESS(25+(A765-1)*A761,6)))</f>
        <v/>
      </c>
      <c r="I758" s="20" t="str">
        <f ca="1">INDIRECT(_xlfn.TEXTJOIN("",TRUE,A764,"!",ADDRESS(25+(A765-1)*A761,13)))</f>
        <v/>
      </c>
      <c r="J758" s="20" t="e">
        <f ca="1">INDIRECT(_xlfn.TEXTJOIN("",TRUE,A764,"!",ADDRESS(25+(A765-1)*A761,14)))</f>
        <v>#N/A</v>
      </c>
    </row>
    <row r="759" spans="1:10" ht="26.25" customHeight="1" x14ac:dyDescent="0.2">
      <c r="A759" s="100" t="s">
        <v>52</v>
      </c>
      <c r="B759" s="101"/>
      <c r="C759" s="101"/>
      <c r="D759" s="101"/>
      <c r="E759" s="101"/>
      <c r="F759" s="101"/>
      <c r="G759" s="102"/>
      <c r="H759" s="98">
        <f ca="1">SUM(H746:H759)</f>
        <v>24</v>
      </c>
      <c r="I759" s="98" t="s">
        <v>44</v>
      </c>
      <c r="J759" s="98" t="e">
        <f ca="1">SUMPRODUCT(J746:J758,H746:H758)</f>
        <v>#N/A</v>
      </c>
    </row>
    <row r="760" spans="1:10" ht="26.25" customHeight="1" x14ac:dyDescent="0.2">
      <c r="A760" s="103"/>
      <c r="B760" s="104"/>
      <c r="C760" s="104"/>
      <c r="D760" s="104"/>
      <c r="E760" s="104"/>
      <c r="F760" s="104"/>
      <c r="G760" s="105"/>
      <c r="H760" s="99"/>
      <c r="I760" s="99"/>
      <c r="J760" s="99"/>
    </row>
    <row r="761" spans="1:10" ht="26.25" customHeight="1" x14ac:dyDescent="0.2">
      <c r="A761" s="22">
        <f>ROWS(A746:B759)+9</f>
        <v>23</v>
      </c>
      <c r="B761" s="17"/>
      <c r="C761" s="17"/>
      <c r="D761" s="17"/>
      <c r="E761" s="17"/>
      <c r="F761" s="17"/>
      <c r="G761" s="17"/>
      <c r="H761" s="17"/>
      <c r="I761" s="17"/>
      <c r="J761" s="17"/>
    </row>
    <row r="762" spans="1:10" ht="26.25" customHeight="1" x14ac:dyDescent="0.2">
      <c r="A762" s="120" t="s">
        <v>40</v>
      </c>
      <c r="B762" s="120"/>
      <c r="C762" s="21" t="str">
        <f ca="1">INDIRECT(_xlfn.TEXTJOIN("",TRUE,A764,"!",ADDRESS(5+A765*A761,12)))</f>
        <v/>
      </c>
      <c r="D762" s="120" t="s">
        <v>38</v>
      </c>
      <c r="E762" s="120"/>
      <c r="F762" s="18" t="str">
        <f ca="1">INDIRECT(_xlfn.TEXTJOIN("",TRUE,A764,"!",ADDRESS(5+A765*A761,8)))</f>
        <v/>
      </c>
      <c r="G762" s="120" t="s">
        <v>39</v>
      </c>
      <c r="H762" s="120"/>
      <c r="I762" s="109" t="str">
        <f ca="1">INDIRECT(_xlfn.TEXTJOIN("",TRUE,A764,"!",ADDRESS(5+A765*A761,10)))</f>
        <v/>
      </c>
      <c r="J762" s="109"/>
    </row>
    <row r="763" spans="1:10" ht="26.25" customHeight="1" x14ac:dyDescent="0.2">
      <c r="A763" s="19" t="s">
        <v>36</v>
      </c>
      <c r="B763" s="95" t="str">
        <f ca="1">INDIRECT(_xlfn.TEXTJOIN("",TRUE,A764,"!",ADDRESS(5+A765*A761,2)))</f>
        <v/>
      </c>
      <c r="C763" s="95"/>
      <c r="D763" s="121" t="s">
        <v>37</v>
      </c>
      <c r="E763" s="121"/>
      <c r="F763" s="122" t="str">
        <f ca="1">INDIRECT(_xlfn.TEXTJOIN("",TRUE,A764,"!",ADDRESS(5+A765*A761,5)))</f>
        <v/>
      </c>
      <c r="G763" s="122"/>
      <c r="H763" s="122"/>
      <c r="I763" s="122"/>
      <c r="J763" s="122"/>
    </row>
    <row r="764" spans="1:10" ht="26.25" customHeight="1" x14ac:dyDescent="0.2">
      <c r="A764" s="22" t="str">
        <f>A741</f>
        <v>TC_I</v>
      </c>
    </row>
    <row r="765" spans="1:10" ht="26.25" customHeight="1" x14ac:dyDescent="0.2">
      <c r="A765" s="22">
        <f>A742+1</f>
        <v>33</v>
      </c>
    </row>
    <row r="766" spans="1:10" ht="26.25" customHeight="1" x14ac:dyDescent="0.2">
      <c r="A766" s="112" t="s">
        <v>24</v>
      </c>
      <c r="B766" s="112"/>
      <c r="C766" s="112" t="str">
        <f ca="1">INDIRECT(_xlfn.TEXTJOIN("",TRUE,A787,"!",ADDRESS(9+(A788-1)*A784,2)))</f>
        <v/>
      </c>
      <c r="D766" s="112"/>
      <c r="E766" s="112"/>
      <c r="F766" s="112" t="s">
        <v>50</v>
      </c>
      <c r="G766" s="112"/>
      <c r="H766" s="112"/>
      <c r="I766" s="113" t="str">
        <f ca="1">INDIRECT(_xlfn.TEXTJOIN("",TRUE,A787,"!",ADDRESS(9+(A788-1)*A784,9)))</f>
        <v/>
      </c>
      <c r="J766" s="113"/>
    </row>
    <row r="767" spans="1:10" ht="26.25" customHeight="1" x14ac:dyDescent="0.2">
      <c r="A767" s="112" t="s">
        <v>25</v>
      </c>
      <c r="B767" s="112"/>
      <c r="C767" s="112" t="str">
        <f ca="1">INDIRECT(_xlfn.TEXTJOIN("",TRUE,A787,"!",ADDRESS(9+(A788-1)*A784,5)))</f>
        <v/>
      </c>
      <c r="D767" s="112"/>
      <c r="E767" s="112"/>
      <c r="F767" s="114" t="s">
        <v>51</v>
      </c>
      <c r="G767" s="114"/>
      <c r="H767" s="114"/>
      <c r="I767" s="113" t="str">
        <f ca="1">INDIRECT(_xlfn.TEXTJOIN("",TRUE,A787,"!",ADDRESS(9+(A788-1)*A784,13)))</f>
        <v/>
      </c>
      <c r="J767" s="113"/>
    </row>
    <row r="768" spans="1:10" ht="26.25" customHeight="1" x14ac:dyDescent="0.2">
      <c r="A768" s="95" t="s">
        <v>28</v>
      </c>
      <c r="B768" s="95"/>
      <c r="C768" s="95" t="s">
        <v>29</v>
      </c>
      <c r="D768" s="95"/>
      <c r="E768" s="95"/>
      <c r="F768" s="95"/>
      <c r="G768" s="95"/>
      <c r="H768" s="15" t="s">
        <v>30</v>
      </c>
      <c r="I768" s="15" t="s">
        <v>9</v>
      </c>
      <c r="J768" s="15" t="s">
        <v>34</v>
      </c>
    </row>
    <row r="769" spans="1:10" ht="26.25" customHeight="1" x14ac:dyDescent="0.2">
      <c r="A769" s="96" t="str">
        <f ca="1">INDIRECT(_xlfn.TEXTJOIN("",TRUE,A787,"!",ADDRESS(13+(A788-1)*A784,1)))</f>
        <v/>
      </c>
      <c r="B769" s="97"/>
      <c r="C769" s="106" t="str">
        <f ca="1">INDIRECT(_xlfn.TEXTJOIN("",TRUE,A787,"!",ADDRESS(13+(A788-1)*A784,2)))</f>
        <v/>
      </c>
      <c r="D769" s="107"/>
      <c r="E769" s="107"/>
      <c r="F769" s="107"/>
      <c r="G769" s="108"/>
      <c r="H769" s="20" t="str">
        <f ca="1">INDIRECT(_xlfn.TEXTJOIN("",TRUE,A787,"!",ADDRESS(13+(A788-1)*A784,6)))</f>
        <v/>
      </c>
      <c r="I769" s="20" t="str">
        <f ca="1">INDIRECT(_xlfn.TEXTJOIN("",TRUE,A787,"!",ADDRESS(13+(A788-1)*A784,13)))</f>
        <v/>
      </c>
      <c r="J769" s="20" t="e">
        <f ca="1">INDIRECT(_xlfn.TEXTJOIN("",TRUE,A787,"!",ADDRESS(13+(A788-1)*A784,14)))</f>
        <v>#N/A</v>
      </c>
    </row>
    <row r="770" spans="1:10" ht="26.25" customHeight="1" x14ac:dyDescent="0.2">
      <c r="A770" s="96" t="str">
        <f ca="1">INDIRECT(_xlfn.TEXTJOIN("",TRUE,A787,"!",ADDRESS(14+(A788-1)*A784,1)))</f>
        <v/>
      </c>
      <c r="B770" s="97"/>
      <c r="C770" s="106" t="str">
        <f ca="1">INDIRECT(_xlfn.TEXTJOIN("",TRUE,A787,"!",ADDRESS(14+(A788-1)*A784,2)))</f>
        <v/>
      </c>
      <c r="D770" s="107"/>
      <c r="E770" s="107"/>
      <c r="F770" s="107"/>
      <c r="G770" s="108"/>
      <c r="H770" s="20" t="str">
        <f ca="1">INDIRECT(_xlfn.TEXTJOIN("",TRUE,A787,"!",ADDRESS(14+(A788-1)*A784,6)))</f>
        <v/>
      </c>
      <c r="I770" s="20" t="str">
        <f ca="1">INDIRECT(_xlfn.TEXTJOIN("",TRUE,A787,"!",ADDRESS(14+(A788-1)*A784,13)))</f>
        <v/>
      </c>
      <c r="J770" s="20" t="e">
        <f ca="1">INDIRECT(_xlfn.TEXTJOIN("",TRUE,A787,"!",ADDRESS(14+(A788-1)*A784,14)))</f>
        <v>#N/A</v>
      </c>
    </row>
    <row r="771" spans="1:10" ht="26.25" customHeight="1" x14ac:dyDescent="0.2">
      <c r="A771" s="96" t="str">
        <f ca="1">INDIRECT(_xlfn.TEXTJOIN("",TRUE,A787,"!",ADDRESS(15+(A788-1)*A784,1)))</f>
        <v/>
      </c>
      <c r="B771" s="97"/>
      <c r="C771" s="106" t="str">
        <f ca="1">INDIRECT(_xlfn.TEXTJOIN("",TRUE,A787,"!",ADDRESS(15+(A788-1)*A784,2)))</f>
        <v/>
      </c>
      <c r="D771" s="107"/>
      <c r="E771" s="107"/>
      <c r="F771" s="107"/>
      <c r="G771" s="108"/>
      <c r="H771" s="20" t="str">
        <f ca="1">INDIRECT(_xlfn.TEXTJOIN("",TRUE,A787,"!",ADDRESS(15+(A788-1)*A784,6)))</f>
        <v/>
      </c>
      <c r="I771" s="20" t="str">
        <f ca="1">INDIRECT(_xlfn.TEXTJOIN("",TRUE,A787,"!",ADDRESS(15+(A788-1)*A784,13)))</f>
        <v/>
      </c>
      <c r="J771" s="20" t="e">
        <f ca="1">INDIRECT(_xlfn.TEXTJOIN("",TRUE,A787,"!",ADDRESS(15+(A788-1)*A784,14)))</f>
        <v>#N/A</v>
      </c>
    </row>
    <row r="772" spans="1:10" ht="26.25" customHeight="1" x14ac:dyDescent="0.2">
      <c r="A772" s="96" t="str">
        <f ca="1">INDIRECT(_xlfn.TEXTJOIN("",TRUE,A787,"!",ADDRESS(16+(A788-1)*A784,1)))</f>
        <v/>
      </c>
      <c r="B772" s="97"/>
      <c r="C772" s="106" t="str">
        <f ca="1">INDIRECT(_xlfn.TEXTJOIN("",TRUE,A787,"!",ADDRESS(16+(A788-1)*A784,2)))</f>
        <v/>
      </c>
      <c r="D772" s="107"/>
      <c r="E772" s="107"/>
      <c r="F772" s="107"/>
      <c r="G772" s="108"/>
      <c r="H772" s="20" t="str">
        <f ca="1">INDIRECT(_xlfn.TEXTJOIN("",TRUE,A787,"!",ADDRESS(16+(A788-1)*A784,6)))</f>
        <v/>
      </c>
      <c r="I772" s="20" t="str">
        <f ca="1">INDIRECT(_xlfn.TEXTJOIN("",TRUE,A787,"!",ADDRESS(16+(A788-1)*A784,13)))</f>
        <v/>
      </c>
      <c r="J772" s="20" t="e">
        <f ca="1">INDIRECT(_xlfn.TEXTJOIN("",TRUE,A787,"!",ADDRESS(16+(A788-1)*A784,14)))</f>
        <v>#N/A</v>
      </c>
    </row>
    <row r="773" spans="1:10" ht="26.25" customHeight="1" x14ac:dyDescent="0.2">
      <c r="A773" s="96" t="str">
        <f ca="1">INDIRECT(_xlfn.TEXTJOIN("",TRUE,A787,"!",ADDRESS(17+(A788-1)*A784,1)))</f>
        <v/>
      </c>
      <c r="B773" s="97"/>
      <c r="C773" s="106" t="str">
        <f ca="1">INDIRECT(_xlfn.TEXTJOIN("",TRUE,A787,"!",ADDRESS(17+(A788-1)*A784,2)))</f>
        <v/>
      </c>
      <c r="D773" s="107"/>
      <c r="E773" s="107"/>
      <c r="F773" s="107"/>
      <c r="G773" s="108"/>
      <c r="H773" s="20" t="str">
        <f ca="1">INDIRECT(_xlfn.TEXTJOIN("",TRUE,A787,"!",ADDRESS(17+(A788-1)*A784,6)))</f>
        <v/>
      </c>
      <c r="I773" s="20" t="str">
        <f ca="1">INDIRECT(_xlfn.TEXTJOIN("",TRUE,A787,"!",ADDRESS(17+(A788-1)*A784,13)))</f>
        <v/>
      </c>
      <c r="J773" s="20" t="e">
        <f ca="1">INDIRECT(_xlfn.TEXTJOIN("",TRUE,A787,"!",ADDRESS(17+(A788-1)*A784,14)))</f>
        <v>#N/A</v>
      </c>
    </row>
    <row r="774" spans="1:10" ht="26.25" customHeight="1" x14ac:dyDescent="0.2">
      <c r="A774" s="96" t="str">
        <f ca="1">INDIRECT(_xlfn.TEXTJOIN("",TRUE,A787,"!",ADDRESS(18+(A788-1)*A784,1)))</f>
        <v/>
      </c>
      <c r="B774" s="97"/>
      <c r="C774" s="106" t="str">
        <f ca="1">INDIRECT(_xlfn.TEXTJOIN("",TRUE,A787,"!",ADDRESS(18+(A788-1)*A784,2)))</f>
        <v/>
      </c>
      <c r="D774" s="107"/>
      <c r="E774" s="107"/>
      <c r="F774" s="107"/>
      <c r="G774" s="108"/>
      <c r="H774" s="20" t="str">
        <f ca="1">INDIRECT(_xlfn.TEXTJOIN("",TRUE,A787,"!",ADDRESS(18+(A788-1)*A784,6)))</f>
        <v/>
      </c>
      <c r="I774" s="20" t="str">
        <f ca="1">INDIRECT(_xlfn.TEXTJOIN("",TRUE,A787,"!",ADDRESS(18+(A788-1)*A784,13)))</f>
        <v/>
      </c>
      <c r="J774" s="20" t="e">
        <f ca="1">INDIRECT(_xlfn.TEXTJOIN("",TRUE,A787,"!",ADDRESS(18+(A788-1)*A784,14)))</f>
        <v>#N/A</v>
      </c>
    </row>
    <row r="775" spans="1:10" ht="26.25" customHeight="1" x14ac:dyDescent="0.2">
      <c r="A775" s="96" t="str">
        <f ca="1">INDIRECT(_xlfn.TEXTJOIN("",TRUE,A787,"!",ADDRESS(19+(A788-1)*A784,1)))</f>
        <v/>
      </c>
      <c r="B775" s="97"/>
      <c r="C775" s="106" t="str">
        <f ca="1">INDIRECT(_xlfn.TEXTJOIN("",TRUE,A787,"!",ADDRESS(19+(A788-1)*A784,2)))</f>
        <v/>
      </c>
      <c r="D775" s="107"/>
      <c r="E775" s="107"/>
      <c r="F775" s="107"/>
      <c r="G775" s="108"/>
      <c r="H775" s="20" t="str">
        <f ca="1">INDIRECT(_xlfn.TEXTJOIN("",TRUE,A787,"!",ADDRESS(19+(A788-1)*A784,6)))</f>
        <v/>
      </c>
      <c r="I775" s="20" t="str">
        <f ca="1">INDIRECT(_xlfn.TEXTJOIN("",TRUE,A787,"!",ADDRESS(19+(A788-1)*A784,13)))</f>
        <v/>
      </c>
      <c r="J775" s="20" t="e">
        <f ca="1">INDIRECT(_xlfn.TEXTJOIN("",TRUE,A787,"!",ADDRESS(19+(A788-1)*A784,14)))</f>
        <v>#N/A</v>
      </c>
    </row>
    <row r="776" spans="1:10" ht="26.25" customHeight="1" x14ac:dyDescent="0.2">
      <c r="A776" s="96" t="str">
        <f ca="1">INDIRECT(_xlfn.TEXTJOIN("",TRUE,A787,"!",ADDRESS(20+(A788-1)*A784,1)))</f>
        <v/>
      </c>
      <c r="B776" s="97"/>
      <c r="C776" s="106" t="str">
        <f ca="1">INDIRECT(_xlfn.TEXTJOIN("",TRUE,A787,"!",ADDRESS(20+(A788-1)*A784,2)))</f>
        <v/>
      </c>
      <c r="D776" s="107"/>
      <c r="E776" s="107"/>
      <c r="F776" s="107"/>
      <c r="G776" s="108"/>
      <c r="H776" s="20" t="str">
        <f ca="1">INDIRECT(_xlfn.TEXTJOIN("",TRUE,A787,"!",ADDRESS(20+(A788-1)*A784,6)))</f>
        <v/>
      </c>
      <c r="I776" s="20" t="str">
        <f ca="1">INDIRECT(_xlfn.TEXTJOIN("",TRUE,A787,"!",ADDRESS(20+(A788-1)*A784,13)))</f>
        <v/>
      </c>
      <c r="J776" s="20" t="e">
        <f ca="1">INDIRECT(_xlfn.TEXTJOIN("",TRUE,A787,"!",ADDRESS(20+(A788-1)*A784,14)))</f>
        <v>#N/A</v>
      </c>
    </row>
    <row r="777" spans="1:10" ht="26.25" customHeight="1" x14ac:dyDescent="0.2">
      <c r="A777" s="96" t="str">
        <f ca="1">INDIRECT(_xlfn.TEXTJOIN("",TRUE,A787,"!",ADDRESS(21+(A788-1)*A784,1)))</f>
        <v/>
      </c>
      <c r="B777" s="97"/>
      <c r="C777" s="106" t="str">
        <f ca="1">INDIRECT(_xlfn.TEXTJOIN("",TRUE,A787,"!",ADDRESS(21+(A788-1)*A784,2)))</f>
        <v/>
      </c>
      <c r="D777" s="107"/>
      <c r="E777" s="107"/>
      <c r="F777" s="107"/>
      <c r="G777" s="108"/>
      <c r="H777" s="20" t="str">
        <f ca="1">INDIRECT(_xlfn.TEXTJOIN("",TRUE,A787,"!",ADDRESS(21+(A788-1)*A784,6)))</f>
        <v/>
      </c>
      <c r="I777" s="20" t="str">
        <f ca="1">INDIRECT(_xlfn.TEXTJOIN("",TRUE,A787,"!",ADDRESS(21+(A788-1)*A784,13)))</f>
        <v/>
      </c>
      <c r="J777" s="20" t="e">
        <f ca="1">INDIRECT(_xlfn.TEXTJOIN("",TRUE,A787,"!",ADDRESS(21+(A788-1)*A784,14)))</f>
        <v>#N/A</v>
      </c>
    </row>
    <row r="778" spans="1:10" ht="26.25" customHeight="1" x14ac:dyDescent="0.2">
      <c r="A778" s="96" t="str">
        <f ca="1">INDIRECT(_xlfn.TEXTJOIN("",TRUE,A787,"!",ADDRESS(22+(A788-1)*A784,1)))</f>
        <v/>
      </c>
      <c r="B778" s="97"/>
      <c r="C778" s="106" t="str">
        <f ca="1">INDIRECT(_xlfn.TEXTJOIN("",TRUE,A787,"!",ADDRESS(22+(A788-1)*A784,2)))</f>
        <v/>
      </c>
      <c r="D778" s="107"/>
      <c r="E778" s="107"/>
      <c r="F778" s="107"/>
      <c r="G778" s="108"/>
      <c r="H778" s="20" t="str">
        <f ca="1">INDIRECT(_xlfn.TEXTJOIN("",TRUE,A787,"!",ADDRESS(22+(A788-1)*A784,6)))</f>
        <v/>
      </c>
      <c r="I778" s="20" t="str">
        <f ca="1">INDIRECT(_xlfn.TEXTJOIN("",TRUE,A787,"!",ADDRESS(22+(A788-1)*A784,13)))</f>
        <v/>
      </c>
      <c r="J778" s="20" t="e">
        <f ca="1">INDIRECT(_xlfn.TEXTJOIN("",TRUE,A787,"!",ADDRESS(22+(A788-1)*A784,14)))</f>
        <v>#N/A</v>
      </c>
    </row>
    <row r="779" spans="1:10" ht="26.25" customHeight="1" x14ac:dyDescent="0.2">
      <c r="A779" s="110" t="str">
        <f ca="1">INDIRECT(_xlfn.TEXTJOIN("",TRUE,A787,"!",ADDRESS(23+(A788-1)*A784,1)))</f>
        <v/>
      </c>
      <c r="B779" s="111"/>
      <c r="C779" s="115" t="str">
        <f ca="1">INDIRECT(_xlfn.TEXTJOIN("",TRUE,A787,"!",ADDRESS(23+(A788-1)*A784,2)))</f>
        <v/>
      </c>
      <c r="D779" s="116"/>
      <c r="E779" s="116"/>
      <c r="F779" s="116"/>
      <c r="G779" s="117"/>
      <c r="H779" s="20" t="str">
        <f ca="1">INDIRECT(_xlfn.TEXTJOIN("",TRUE,A787,"!",ADDRESS(23+(A788-1)*A784,6)))</f>
        <v/>
      </c>
      <c r="I779" s="20" t="str">
        <f ca="1">INDIRECT(_xlfn.TEXTJOIN("",TRUE,A787,"!",ADDRESS(23+(A788-1)*A784,13)))</f>
        <v/>
      </c>
      <c r="J779" s="20" t="e">
        <f ca="1">INDIRECT(_xlfn.TEXTJOIN("",TRUE,A787,"!",ADDRESS(23+(A788-1)*A784,14)))</f>
        <v>#N/A</v>
      </c>
    </row>
    <row r="780" spans="1:10" ht="26.25" customHeight="1" x14ac:dyDescent="0.2">
      <c r="A780" s="110" t="str">
        <f ca="1">INDIRECT(_xlfn.TEXTJOIN("",TRUE,A787,"!",ADDRESS(24+(A788-1)*A784,1)))</f>
        <v/>
      </c>
      <c r="B780" s="111"/>
      <c r="C780" s="115" t="str">
        <f ca="1">INDIRECT(_xlfn.TEXTJOIN("",TRUE,A787,"!",ADDRESS(24+(A788-1)*A784,2)))</f>
        <v/>
      </c>
      <c r="D780" s="116"/>
      <c r="E780" s="116"/>
      <c r="F780" s="116"/>
      <c r="G780" s="117"/>
      <c r="H780" s="20" t="str">
        <f ca="1">INDIRECT(_xlfn.TEXTJOIN("",TRUE,A787,"!",ADDRESS(24+(A788-1)*A784,6)))</f>
        <v/>
      </c>
      <c r="I780" s="20" t="str">
        <f ca="1">INDIRECT(_xlfn.TEXTJOIN("",TRUE,A787,"!",ADDRESS(24+(A788-1)*A784,13)))</f>
        <v/>
      </c>
      <c r="J780" s="20" t="e">
        <f ca="1">INDIRECT(_xlfn.TEXTJOIN("",TRUE,A787,"!",ADDRESS(24+(A788-1)*A784,14)))</f>
        <v>#N/A</v>
      </c>
    </row>
    <row r="781" spans="1:10" ht="26.25" customHeight="1" x14ac:dyDescent="0.2">
      <c r="A781" s="110" t="str">
        <f ca="1">INDIRECT(_xlfn.TEXTJOIN("",TRUE,A787,"!",ADDRESS(25+(A788-1)*A784,1)))</f>
        <v/>
      </c>
      <c r="B781" s="111"/>
      <c r="C781" s="115" t="str">
        <f ca="1">INDIRECT(_xlfn.TEXTJOIN("",TRUE,A787,"!",ADDRESS(25+(A788-1)*A784,2)))</f>
        <v/>
      </c>
      <c r="D781" s="116"/>
      <c r="E781" s="116"/>
      <c r="F781" s="116"/>
      <c r="G781" s="117"/>
      <c r="H781" s="20" t="str">
        <f ca="1">INDIRECT(_xlfn.TEXTJOIN("",TRUE,A787,"!",ADDRESS(25+(A788-1)*A784,6)))</f>
        <v/>
      </c>
      <c r="I781" s="20" t="str">
        <f ca="1">INDIRECT(_xlfn.TEXTJOIN("",TRUE,A787,"!",ADDRESS(25+(A788-1)*A784,13)))</f>
        <v/>
      </c>
      <c r="J781" s="20" t="e">
        <f ca="1">INDIRECT(_xlfn.TEXTJOIN("",TRUE,A787,"!",ADDRESS(25+(A788-1)*A784,14)))</f>
        <v>#N/A</v>
      </c>
    </row>
    <row r="782" spans="1:10" ht="26.25" customHeight="1" x14ac:dyDescent="0.2">
      <c r="A782" s="100" t="s">
        <v>52</v>
      </c>
      <c r="B782" s="101"/>
      <c r="C782" s="101"/>
      <c r="D782" s="101"/>
      <c r="E782" s="101"/>
      <c r="F782" s="101"/>
      <c r="G782" s="102"/>
      <c r="H782" s="98">
        <f ca="1">SUM(H769:H782)</f>
        <v>24</v>
      </c>
      <c r="I782" s="98" t="s">
        <v>44</v>
      </c>
      <c r="J782" s="98" t="e">
        <f ca="1">SUMPRODUCT(J769:J781,H769:H781)</f>
        <v>#N/A</v>
      </c>
    </row>
    <row r="783" spans="1:10" ht="26.25" customHeight="1" x14ac:dyDescent="0.2">
      <c r="A783" s="103"/>
      <c r="B783" s="104"/>
      <c r="C783" s="104"/>
      <c r="D783" s="104"/>
      <c r="E783" s="104"/>
      <c r="F783" s="104"/>
      <c r="G783" s="105"/>
      <c r="H783" s="99"/>
      <c r="I783" s="99"/>
      <c r="J783" s="99"/>
    </row>
    <row r="784" spans="1:10" ht="26.25" customHeight="1" x14ac:dyDescent="0.2">
      <c r="A784" s="22">
        <f>ROWS(A769:B782)+9</f>
        <v>23</v>
      </c>
      <c r="B784" s="17"/>
      <c r="C784" s="17"/>
      <c r="D784" s="17"/>
      <c r="E784" s="17"/>
      <c r="F784" s="17"/>
      <c r="G784" s="17"/>
      <c r="H784" s="17"/>
      <c r="I784" s="17"/>
      <c r="J784" s="17"/>
    </row>
    <row r="785" spans="1:10" ht="26.25" customHeight="1" x14ac:dyDescent="0.2">
      <c r="A785" s="120" t="s">
        <v>40</v>
      </c>
      <c r="B785" s="120"/>
      <c r="C785" s="21" t="str">
        <f ca="1">INDIRECT(_xlfn.TEXTJOIN("",TRUE,A787,"!",ADDRESS(5+A788*A784,12)))</f>
        <v/>
      </c>
      <c r="D785" s="120" t="s">
        <v>38</v>
      </c>
      <c r="E785" s="120"/>
      <c r="F785" s="18" t="str">
        <f ca="1">INDIRECT(_xlfn.TEXTJOIN("",TRUE,A787,"!",ADDRESS(5+A788*A784,8)))</f>
        <v/>
      </c>
      <c r="G785" s="120" t="s">
        <v>39</v>
      </c>
      <c r="H785" s="120"/>
      <c r="I785" s="109" t="str">
        <f ca="1">INDIRECT(_xlfn.TEXTJOIN("",TRUE,A787,"!",ADDRESS(5+A788*A784,10)))</f>
        <v/>
      </c>
      <c r="J785" s="109"/>
    </row>
    <row r="786" spans="1:10" ht="26.25" customHeight="1" x14ac:dyDescent="0.2">
      <c r="A786" s="19" t="s">
        <v>36</v>
      </c>
      <c r="B786" s="95" t="str">
        <f ca="1">INDIRECT(_xlfn.TEXTJOIN("",TRUE,A787,"!",ADDRESS(5+A788*A784,2)))</f>
        <v/>
      </c>
      <c r="C786" s="95"/>
      <c r="D786" s="121" t="s">
        <v>37</v>
      </c>
      <c r="E786" s="121"/>
      <c r="F786" s="122" t="str">
        <f ca="1">INDIRECT(_xlfn.TEXTJOIN("",TRUE,A787,"!",ADDRESS(5+A788*A784,5)))</f>
        <v/>
      </c>
      <c r="G786" s="122"/>
      <c r="H786" s="122"/>
      <c r="I786" s="122"/>
      <c r="J786" s="122"/>
    </row>
    <row r="787" spans="1:10" ht="26.25" customHeight="1" x14ac:dyDescent="0.2">
      <c r="A787" s="22" t="str">
        <f>A764</f>
        <v>TC_I</v>
      </c>
    </row>
    <row r="788" spans="1:10" ht="26.25" customHeight="1" x14ac:dyDescent="0.2">
      <c r="A788" s="22">
        <f>A765+1</f>
        <v>34</v>
      </c>
    </row>
    <row r="789" spans="1:10" ht="26.25" customHeight="1" x14ac:dyDescent="0.2">
      <c r="A789" s="112" t="s">
        <v>24</v>
      </c>
      <c r="B789" s="112"/>
      <c r="C789" s="112" t="str">
        <f ca="1">INDIRECT(_xlfn.TEXTJOIN("",TRUE,A810,"!",ADDRESS(9+(A811-1)*A807,2)))</f>
        <v/>
      </c>
      <c r="D789" s="112"/>
      <c r="E789" s="112"/>
      <c r="F789" s="112" t="s">
        <v>50</v>
      </c>
      <c r="G789" s="112"/>
      <c r="H789" s="112"/>
      <c r="I789" s="113" t="str">
        <f ca="1">INDIRECT(_xlfn.TEXTJOIN("",TRUE,A810,"!",ADDRESS(9+(A811-1)*A807,9)))</f>
        <v/>
      </c>
      <c r="J789" s="113"/>
    </row>
    <row r="790" spans="1:10" ht="26.25" customHeight="1" x14ac:dyDescent="0.2">
      <c r="A790" s="112" t="s">
        <v>25</v>
      </c>
      <c r="B790" s="112"/>
      <c r="C790" s="112" t="str">
        <f ca="1">INDIRECT(_xlfn.TEXTJOIN("",TRUE,A810,"!",ADDRESS(9+(A811-1)*A807,5)))</f>
        <v/>
      </c>
      <c r="D790" s="112"/>
      <c r="E790" s="112"/>
      <c r="F790" s="114" t="s">
        <v>51</v>
      </c>
      <c r="G790" s="114"/>
      <c r="H790" s="114"/>
      <c r="I790" s="113" t="str">
        <f ca="1">INDIRECT(_xlfn.TEXTJOIN("",TRUE,A810,"!",ADDRESS(9+(A811-1)*A807,13)))</f>
        <v/>
      </c>
      <c r="J790" s="113"/>
    </row>
    <row r="791" spans="1:10" ht="26.25" customHeight="1" x14ac:dyDescent="0.2">
      <c r="A791" s="95" t="s">
        <v>28</v>
      </c>
      <c r="B791" s="95"/>
      <c r="C791" s="95" t="s">
        <v>29</v>
      </c>
      <c r="D791" s="95"/>
      <c r="E791" s="95"/>
      <c r="F791" s="95"/>
      <c r="G791" s="95"/>
      <c r="H791" s="15" t="s">
        <v>30</v>
      </c>
      <c r="I791" s="15" t="s">
        <v>9</v>
      </c>
      <c r="J791" s="15" t="s">
        <v>34</v>
      </c>
    </row>
    <row r="792" spans="1:10" ht="26.25" customHeight="1" x14ac:dyDescent="0.2">
      <c r="A792" s="96" t="str">
        <f ca="1">INDIRECT(_xlfn.TEXTJOIN("",TRUE,A810,"!",ADDRESS(13+(A811-1)*A807,1)))</f>
        <v/>
      </c>
      <c r="B792" s="97"/>
      <c r="C792" s="106" t="str">
        <f ca="1">INDIRECT(_xlfn.TEXTJOIN("",TRUE,A810,"!",ADDRESS(13+(A811-1)*A807,2)))</f>
        <v/>
      </c>
      <c r="D792" s="107"/>
      <c r="E792" s="107"/>
      <c r="F792" s="107"/>
      <c r="G792" s="108"/>
      <c r="H792" s="20" t="str">
        <f ca="1">INDIRECT(_xlfn.TEXTJOIN("",TRUE,A810,"!",ADDRESS(13+(A811-1)*A807,6)))</f>
        <v/>
      </c>
      <c r="I792" s="20" t="str">
        <f ca="1">INDIRECT(_xlfn.TEXTJOIN("",TRUE,A810,"!",ADDRESS(13+(A811-1)*A807,13)))</f>
        <v/>
      </c>
      <c r="J792" s="20" t="e">
        <f ca="1">INDIRECT(_xlfn.TEXTJOIN("",TRUE,A810,"!",ADDRESS(13+(A811-1)*A807,14)))</f>
        <v>#N/A</v>
      </c>
    </row>
    <row r="793" spans="1:10" ht="26.25" customHeight="1" x14ac:dyDescent="0.2">
      <c r="A793" s="96" t="str">
        <f ca="1">INDIRECT(_xlfn.TEXTJOIN("",TRUE,A810,"!",ADDRESS(14+(A811-1)*A807,1)))</f>
        <v/>
      </c>
      <c r="B793" s="97"/>
      <c r="C793" s="106" t="str">
        <f ca="1">INDIRECT(_xlfn.TEXTJOIN("",TRUE,A810,"!",ADDRESS(14+(A811-1)*A807,2)))</f>
        <v/>
      </c>
      <c r="D793" s="107"/>
      <c r="E793" s="107"/>
      <c r="F793" s="107"/>
      <c r="G793" s="108"/>
      <c r="H793" s="20" t="str">
        <f ca="1">INDIRECT(_xlfn.TEXTJOIN("",TRUE,A810,"!",ADDRESS(14+(A811-1)*A807,6)))</f>
        <v/>
      </c>
      <c r="I793" s="20" t="str">
        <f ca="1">INDIRECT(_xlfn.TEXTJOIN("",TRUE,A810,"!",ADDRESS(14+(A811-1)*A807,13)))</f>
        <v/>
      </c>
      <c r="J793" s="20" t="e">
        <f ca="1">INDIRECT(_xlfn.TEXTJOIN("",TRUE,A810,"!",ADDRESS(14+(A811-1)*A807,14)))</f>
        <v>#N/A</v>
      </c>
    </row>
    <row r="794" spans="1:10" ht="26.25" customHeight="1" x14ac:dyDescent="0.2">
      <c r="A794" s="96" t="str">
        <f ca="1">INDIRECT(_xlfn.TEXTJOIN("",TRUE,A810,"!",ADDRESS(15+(A811-1)*A807,1)))</f>
        <v/>
      </c>
      <c r="B794" s="97"/>
      <c r="C794" s="106" t="str">
        <f ca="1">INDIRECT(_xlfn.TEXTJOIN("",TRUE,A810,"!",ADDRESS(15+(A811-1)*A807,2)))</f>
        <v/>
      </c>
      <c r="D794" s="107"/>
      <c r="E794" s="107"/>
      <c r="F794" s="107"/>
      <c r="G794" s="108"/>
      <c r="H794" s="20" t="str">
        <f ca="1">INDIRECT(_xlfn.TEXTJOIN("",TRUE,A810,"!",ADDRESS(15+(A811-1)*A807,6)))</f>
        <v/>
      </c>
      <c r="I794" s="20" t="str">
        <f ca="1">INDIRECT(_xlfn.TEXTJOIN("",TRUE,A810,"!",ADDRESS(15+(A811-1)*A807,13)))</f>
        <v/>
      </c>
      <c r="J794" s="20" t="e">
        <f ca="1">INDIRECT(_xlfn.TEXTJOIN("",TRUE,A810,"!",ADDRESS(15+(A811-1)*A807,14)))</f>
        <v>#N/A</v>
      </c>
    </row>
    <row r="795" spans="1:10" ht="26.25" customHeight="1" x14ac:dyDescent="0.2">
      <c r="A795" s="96" t="str">
        <f ca="1">INDIRECT(_xlfn.TEXTJOIN("",TRUE,A810,"!",ADDRESS(16+(A811-1)*A807,1)))</f>
        <v/>
      </c>
      <c r="B795" s="97"/>
      <c r="C795" s="106" t="str">
        <f ca="1">INDIRECT(_xlfn.TEXTJOIN("",TRUE,A810,"!",ADDRESS(16+(A811-1)*A807,2)))</f>
        <v/>
      </c>
      <c r="D795" s="107"/>
      <c r="E795" s="107"/>
      <c r="F795" s="107"/>
      <c r="G795" s="108"/>
      <c r="H795" s="20" t="str">
        <f ca="1">INDIRECT(_xlfn.TEXTJOIN("",TRUE,A810,"!",ADDRESS(16+(A811-1)*A807,6)))</f>
        <v/>
      </c>
      <c r="I795" s="20" t="str">
        <f ca="1">INDIRECT(_xlfn.TEXTJOIN("",TRUE,A810,"!",ADDRESS(16+(A811-1)*A807,13)))</f>
        <v/>
      </c>
      <c r="J795" s="20" t="e">
        <f ca="1">INDIRECT(_xlfn.TEXTJOIN("",TRUE,A810,"!",ADDRESS(16+(A811-1)*A807,14)))</f>
        <v>#N/A</v>
      </c>
    </row>
    <row r="796" spans="1:10" ht="26.25" customHeight="1" x14ac:dyDescent="0.2">
      <c r="A796" s="96" t="str">
        <f ca="1">INDIRECT(_xlfn.TEXTJOIN("",TRUE,A810,"!",ADDRESS(17+(A811-1)*A807,1)))</f>
        <v/>
      </c>
      <c r="B796" s="97"/>
      <c r="C796" s="106" t="str">
        <f ca="1">INDIRECT(_xlfn.TEXTJOIN("",TRUE,A810,"!",ADDRESS(17+(A811-1)*A807,2)))</f>
        <v/>
      </c>
      <c r="D796" s="107"/>
      <c r="E796" s="107"/>
      <c r="F796" s="107"/>
      <c r="G796" s="108"/>
      <c r="H796" s="20" t="str">
        <f ca="1">INDIRECT(_xlfn.TEXTJOIN("",TRUE,A810,"!",ADDRESS(17+(A811-1)*A807,6)))</f>
        <v/>
      </c>
      <c r="I796" s="20" t="str">
        <f ca="1">INDIRECT(_xlfn.TEXTJOIN("",TRUE,A810,"!",ADDRESS(17+(A811-1)*A807,13)))</f>
        <v/>
      </c>
      <c r="J796" s="20" t="e">
        <f ca="1">INDIRECT(_xlfn.TEXTJOIN("",TRUE,A810,"!",ADDRESS(17+(A811-1)*A807,14)))</f>
        <v>#N/A</v>
      </c>
    </row>
    <row r="797" spans="1:10" ht="26.25" customHeight="1" x14ac:dyDescent="0.2">
      <c r="A797" s="96" t="str">
        <f ca="1">INDIRECT(_xlfn.TEXTJOIN("",TRUE,A810,"!",ADDRESS(18+(A811-1)*A807,1)))</f>
        <v/>
      </c>
      <c r="B797" s="97"/>
      <c r="C797" s="106" t="str">
        <f ca="1">INDIRECT(_xlfn.TEXTJOIN("",TRUE,A810,"!",ADDRESS(18+(A811-1)*A807,2)))</f>
        <v/>
      </c>
      <c r="D797" s="107"/>
      <c r="E797" s="107"/>
      <c r="F797" s="107"/>
      <c r="G797" s="108"/>
      <c r="H797" s="20" t="str">
        <f ca="1">INDIRECT(_xlfn.TEXTJOIN("",TRUE,A810,"!",ADDRESS(18+(A811-1)*A807,6)))</f>
        <v/>
      </c>
      <c r="I797" s="20" t="str">
        <f ca="1">INDIRECT(_xlfn.TEXTJOIN("",TRUE,A810,"!",ADDRESS(18+(A811-1)*A807,13)))</f>
        <v/>
      </c>
      <c r="J797" s="20" t="e">
        <f ca="1">INDIRECT(_xlfn.TEXTJOIN("",TRUE,A810,"!",ADDRESS(18+(A811-1)*A807,14)))</f>
        <v>#N/A</v>
      </c>
    </row>
    <row r="798" spans="1:10" ht="26.25" customHeight="1" x14ac:dyDescent="0.2">
      <c r="A798" s="96" t="str">
        <f ca="1">INDIRECT(_xlfn.TEXTJOIN("",TRUE,A810,"!",ADDRESS(19+(A811-1)*A807,1)))</f>
        <v/>
      </c>
      <c r="B798" s="97"/>
      <c r="C798" s="106" t="str">
        <f ca="1">INDIRECT(_xlfn.TEXTJOIN("",TRUE,A810,"!",ADDRESS(19+(A811-1)*A807,2)))</f>
        <v/>
      </c>
      <c r="D798" s="107"/>
      <c r="E798" s="107"/>
      <c r="F798" s="107"/>
      <c r="G798" s="108"/>
      <c r="H798" s="20" t="str">
        <f ca="1">INDIRECT(_xlfn.TEXTJOIN("",TRUE,A810,"!",ADDRESS(19+(A811-1)*A807,6)))</f>
        <v/>
      </c>
      <c r="I798" s="20" t="str">
        <f ca="1">INDIRECT(_xlfn.TEXTJOIN("",TRUE,A810,"!",ADDRESS(19+(A811-1)*A807,13)))</f>
        <v/>
      </c>
      <c r="J798" s="20" t="e">
        <f ca="1">INDIRECT(_xlfn.TEXTJOIN("",TRUE,A810,"!",ADDRESS(19+(A811-1)*A807,14)))</f>
        <v>#N/A</v>
      </c>
    </row>
    <row r="799" spans="1:10" ht="26.25" customHeight="1" x14ac:dyDescent="0.2">
      <c r="A799" s="96" t="str">
        <f ca="1">INDIRECT(_xlfn.TEXTJOIN("",TRUE,A810,"!",ADDRESS(20+(A811-1)*A807,1)))</f>
        <v/>
      </c>
      <c r="B799" s="97"/>
      <c r="C799" s="106" t="str">
        <f ca="1">INDIRECT(_xlfn.TEXTJOIN("",TRUE,A810,"!",ADDRESS(20+(A811-1)*A807,2)))</f>
        <v/>
      </c>
      <c r="D799" s="107"/>
      <c r="E799" s="107"/>
      <c r="F799" s="107"/>
      <c r="G799" s="108"/>
      <c r="H799" s="20" t="str">
        <f ca="1">INDIRECT(_xlfn.TEXTJOIN("",TRUE,A810,"!",ADDRESS(20+(A811-1)*A807,6)))</f>
        <v/>
      </c>
      <c r="I799" s="20" t="str">
        <f ca="1">INDIRECT(_xlfn.TEXTJOIN("",TRUE,A810,"!",ADDRESS(20+(A811-1)*A807,13)))</f>
        <v/>
      </c>
      <c r="J799" s="20" t="e">
        <f ca="1">INDIRECT(_xlfn.TEXTJOIN("",TRUE,A810,"!",ADDRESS(20+(A811-1)*A807,14)))</f>
        <v>#N/A</v>
      </c>
    </row>
    <row r="800" spans="1:10" ht="26.25" customHeight="1" x14ac:dyDescent="0.2">
      <c r="A800" s="96" t="str">
        <f ca="1">INDIRECT(_xlfn.TEXTJOIN("",TRUE,A810,"!",ADDRESS(21+(A811-1)*A807,1)))</f>
        <v/>
      </c>
      <c r="B800" s="97"/>
      <c r="C800" s="106" t="str">
        <f ca="1">INDIRECT(_xlfn.TEXTJOIN("",TRUE,A810,"!",ADDRESS(21+(A811-1)*A807,2)))</f>
        <v/>
      </c>
      <c r="D800" s="107"/>
      <c r="E800" s="107"/>
      <c r="F800" s="107"/>
      <c r="G800" s="108"/>
      <c r="H800" s="20" t="str">
        <f ca="1">INDIRECT(_xlfn.TEXTJOIN("",TRUE,A810,"!",ADDRESS(21+(A811-1)*A807,6)))</f>
        <v/>
      </c>
      <c r="I800" s="20" t="str">
        <f ca="1">INDIRECT(_xlfn.TEXTJOIN("",TRUE,A810,"!",ADDRESS(21+(A811-1)*A807,13)))</f>
        <v/>
      </c>
      <c r="J800" s="20" t="e">
        <f ca="1">INDIRECT(_xlfn.TEXTJOIN("",TRUE,A810,"!",ADDRESS(21+(A811-1)*A807,14)))</f>
        <v>#N/A</v>
      </c>
    </row>
    <row r="801" spans="1:10" ht="26.25" customHeight="1" x14ac:dyDescent="0.2">
      <c r="A801" s="96" t="str">
        <f ca="1">INDIRECT(_xlfn.TEXTJOIN("",TRUE,A810,"!",ADDRESS(22+(A811-1)*A807,1)))</f>
        <v/>
      </c>
      <c r="B801" s="97"/>
      <c r="C801" s="106" t="str">
        <f ca="1">INDIRECT(_xlfn.TEXTJOIN("",TRUE,A810,"!",ADDRESS(22+(A811-1)*A807,2)))</f>
        <v/>
      </c>
      <c r="D801" s="107"/>
      <c r="E801" s="107"/>
      <c r="F801" s="107"/>
      <c r="G801" s="108"/>
      <c r="H801" s="20" t="str">
        <f ca="1">INDIRECT(_xlfn.TEXTJOIN("",TRUE,A810,"!",ADDRESS(22+(A811-1)*A807,6)))</f>
        <v/>
      </c>
      <c r="I801" s="20" t="str">
        <f ca="1">INDIRECT(_xlfn.TEXTJOIN("",TRUE,A810,"!",ADDRESS(22+(A811-1)*A807,13)))</f>
        <v/>
      </c>
      <c r="J801" s="20" t="e">
        <f ca="1">INDIRECT(_xlfn.TEXTJOIN("",TRUE,A810,"!",ADDRESS(22+(A811-1)*A807,14)))</f>
        <v>#N/A</v>
      </c>
    </row>
    <row r="802" spans="1:10" ht="26.25" customHeight="1" x14ac:dyDescent="0.2">
      <c r="A802" s="110" t="str">
        <f ca="1">INDIRECT(_xlfn.TEXTJOIN("",TRUE,A810,"!",ADDRESS(23+(A811-1)*A807,1)))</f>
        <v/>
      </c>
      <c r="B802" s="111"/>
      <c r="C802" s="115" t="str">
        <f ca="1">INDIRECT(_xlfn.TEXTJOIN("",TRUE,A810,"!",ADDRESS(23+(A811-1)*A807,2)))</f>
        <v/>
      </c>
      <c r="D802" s="116"/>
      <c r="E802" s="116"/>
      <c r="F802" s="116"/>
      <c r="G802" s="117"/>
      <c r="H802" s="20" t="str">
        <f ca="1">INDIRECT(_xlfn.TEXTJOIN("",TRUE,A810,"!",ADDRESS(23+(A811-1)*A807,6)))</f>
        <v/>
      </c>
      <c r="I802" s="20" t="str">
        <f ca="1">INDIRECT(_xlfn.TEXTJOIN("",TRUE,A810,"!",ADDRESS(23+(A811-1)*A807,13)))</f>
        <v/>
      </c>
      <c r="J802" s="20" t="e">
        <f ca="1">INDIRECT(_xlfn.TEXTJOIN("",TRUE,A810,"!",ADDRESS(23+(A811-1)*A807,14)))</f>
        <v>#N/A</v>
      </c>
    </row>
    <row r="803" spans="1:10" ht="26.25" customHeight="1" x14ac:dyDescent="0.2">
      <c r="A803" s="110" t="str">
        <f ca="1">INDIRECT(_xlfn.TEXTJOIN("",TRUE,A810,"!",ADDRESS(24+(A811-1)*A807,1)))</f>
        <v/>
      </c>
      <c r="B803" s="111"/>
      <c r="C803" s="115" t="str">
        <f ca="1">INDIRECT(_xlfn.TEXTJOIN("",TRUE,A810,"!",ADDRESS(24+(A811-1)*A807,2)))</f>
        <v/>
      </c>
      <c r="D803" s="116"/>
      <c r="E803" s="116"/>
      <c r="F803" s="116"/>
      <c r="G803" s="117"/>
      <c r="H803" s="20" t="str">
        <f ca="1">INDIRECT(_xlfn.TEXTJOIN("",TRUE,A810,"!",ADDRESS(24+(A811-1)*A807,6)))</f>
        <v/>
      </c>
      <c r="I803" s="20" t="str">
        <f ca="1">INDIRECT(_xlfn.TEXTJOIN("",TRUE,A810,"!",ADDRESS(24+(A811-1)*A807,13)))</f>
        <v/>
      </c>
      <c r="J803" s="20" t="e">
        <f ca="1">INDIRECT(_xlfn.TEXTJOIN("",TRUE,A810,"!",ADDRESS(24+(A811-1)*A807,14)))</f>
        <v>#N/A</v>
      </c>
    </row>
    <row r="804" spans="1:10" ht="26.25" customHeight="1" x14ac:dyDescent="0.2">
      <c r="A804" s="110" t="str">
        <f ca="1">INDIRECT(_xlfn.TEXTJOIN("",TRUE,A810,"!",ADDRESS(25+(A811-1)*A807,1)))</f>
        <v/>
      </c>
      <c r="B804" s="111"/>
      <c r="C804" s="115" t="str">
        <f ca="1">INDIRECT(_xlfn.TEXTJOIN("",TRUE,A810,"!",ADDRESS(25+(A811-1)*A807,2)))</f>
        <v/>
      </c>
      <c r="D804" s="116"/>
      <c r="E804" s="116"/>
      <c r="F804" s="116"/>
      <c r="G804" s="117"/>
      <c r="H804" s="20" t="str">
        <f ca="1">INDIRECT(_xlfn.TEXTJOIN("",TRUE,A810,"!",ADDRESS(25+(A811-1)*A807,6)))</f>
        <v/>
      </c>
      <c r="I804" s="20" t="str">
        <f ca="1">INDIRECT(_xlfn.TEXTJOIN("",TRUE,A810,"!",ADDRESS(25+(A811-1)*A807,13)))</f>
        <v/>
      </c>
      <c r="J804" s="20" t="e">
        <f ca="1">INDIRECT(_xlfn.TEXTJOIN("",TRUE,A810,"!",ADDRESS(25+(A811-1)*A807,14)))</f>
        <v>#N/A</v>
      </c>
    </row>
    <row r="805" spans="1:10" ht="26.25" customHeight="1" x14ac:dyDescent="0.2">
      <c r="A805" s="100" t="s">
        <v>52</v>
      </c>
      <c r="B805" s="101"/>
      <c r="C805" s="101"/>
      <c r="D805" s="101"/>
      <c r="E805" s="101"/>
      <c r="F805" s="101"/>
      <c r="G805" s="102"/>
      <c r="H805" s="98">
        <f ca="1">SUM(H792:H805)</f>
        <v>24</v>
      </c>
      <c r="I805" s="98" t="s">
        <v>44</v>
      </c>
      <c r="J805" s="98" t="e">
        <f ca="1">SUMPRODUCT(J792:J804,H792:H804)</f>
        <v>#N/A</v>
      </c>
    </row>
    <row r="806" spans="1:10" ht="26.25" customHeight="1" x14ac:dyDescent="0.2">
      <c r="A806" s="103"/>
      <c r="B806" s="104"/>
      <c r="C806" s="104"/>
      <c r="D806" s="104"/>
      <c r="E806" s="104"/>
      <c r="F806" s="104"/>
      <c r="G806" s="105"/>
      <c r="H806" s="99"/>
      <c r="I806" s="99"/>
      <c r="J806" s="99"/>
    </row>
    <row r="807" spans="1:10" ht="26.25" customHeight="1" x14ac:dyDescent="0.2">
      <c r="A807" s="22">
        <f>ROWS(A792:B805)+9</f>
        <v>23</v>
      </c>
      <c r="B807" s="17"/>
      <c r="C807" s="17"/>
      <c r="D807" s="17"/>
      <c r="E807" s="17"/>
      <c r="F807" s="17"/>
      <c r="G807" s="17"/>
      <c r="H807" s="17"/>
      <c r="I807" s="17"/>
      <c r="J807" s="17"/>
    </row>
    <row r="808" spans="1:10" ht="26.25" customHeight="1" x14ac:dyDescent="0.2">
      <c r="A808" s="120" t="s">
        <v>40</v>
      </c>
      <c r="B808" s="120"/>
      <c r="C808" s="21" t="str">
        <f ca="1">INDIRECT(_xlfn.TEXTJOIN("",TRUE,A810,"!",ADDRESS(5+A811*A807,12)))</f>
        <v/>
      </c>
      <c r="D808" s="120" t="s">
        <v>38</v>
      </c>
      <c r="E808" s="120"/>
      <c r="F808" s="18" t="str">
        <f ca="1">INDIRECT(_xlfn.TEXTJOIN("",TRUE,A810,"!",ADDRESS(5+A811*A807,8)))</f>
        <v/>
      </c>
      <c r="G808" s="120" t="s">
        <v>39</v>
      </c>
      <c r="H808" s="120"/>
      <c r="I808" s="109" t="str">
        <f ca="1">INDIRECT(_xlfn.TEXTJOIN("",TRUE,A810,"!",ADDRESS(5+A811*A807,10)))</f>
        <v/>
      </c>
      <c r="J808" s="109"/>
    </row>
    <row r="809" spans="1:10" ht="26.25" customHeight="1" x14ac:dyDescent="0.2">
      <c r="A809" s="19" t="s">
        <v>36</v>
      </c>
      <c r="B809" s="95" t="str">
        <f ca="1">INDIRECT(_xlfn.TEXTJOIN("",TRUE,A810,"!",ADDRESS(5+A811*A807,2)))</f>
        <v/>
      </c>
      <c r="C809" s="95"/>
      <c r="D809" s="121" t="s">
        <v>37</v>
      </c>
      <c r="E809" s="121"/>
      <c r="F809" s="122" t="str">
        <f ca="1">INDIRECT(_xlfn.TEXTJOIN("",TRUE,A810,"!",ADDRESS(5+A811*A807,5)))</f>
        <v/>
      </c>
      <c r="G809" s="122"/>
      <c r="H809" s="122"/>
      <c r="I809" s="122"/>
      <c r="J809" s="122"/>
    </row>
    <row r="810" spans="1:10" ht="26.25" customHeight="1" x14ac:dyDescent="0.2">
      <c r="A810" s="22" t="str">
        <f>A787</f>
        <v>TC_I</v>
      </c>
    </row>
    <row r="811" spans="1:10" ht="26.25" customHeight="1" x14ac:dyDescent="0.2">
      <c r="A811" s="22">
        <f>A788+1</f>
        <v>35</v>
      </c>
    </row>
    <row r="812" spans="1:10" ht="26.25" customHeight="1" x14ac:dyDescent="0.2">
      <c r="A812" s="112" t="s">
        <v>24</v>
      </c>
      <c r="B812" s="112"/>
      <c r="C812" s="112" t="str">
        <f ca="1">INDIRECT(_xlfn.TEXTJOIN("",TRUE,A833,"!",ADDRESS(9+(A834-1)*A830,2)))</f>
        <v/>
      </c>
      <c r="D812" s="112"/>
      <c r="E812" s="112"/>
      <c r="F812" s="112" t="s">
        <v>50</v>
      </c>
      <c r="G812" s="112"/>
      <c r="H812" s="112"/>
      <c r="I812" s="113" t="str">
        <f ca="1">INDIRECT(_xlfn.TEXTJOIN("",TRUE,A833,"!",ADDRESS(9+(A834-1)*A830,9)))</f>
        <v/>
      </c>
      <c r="J812" s="113"/>
    </row>
    <row r="813" spans="1:10" ht="26.25" customHeight="1" x14ac:dyDescent="0.2">
      <c r="A813" s="112" t="s">
        <v>25</v>
      </c>
      <c r="B813" s="112"/>
      <c r="C813" s="112" t="str">
        <f ca="1">INDIRECT(_xlfn.TEXTJOIN("",TRUE,A833,"!",ADDRESS(9+(A834-1)*A830,5)))</f>
        <v/>
      </c>
      <c r="D813" s="112"/>
      <c r="E813" s="112"/>
      <c r="F813" s="114" t="s">
        <v>51</v>
      </c>
      <c r="G813" s="114"/>
      <c r="H813" s="114"/>
      <c r="I813" s="113" t="str">
        <f ca="1">INDIRECT(_xlfn.TEXTJOIN("",TRUE,A833,"!",ADDRESS(9+(A834-1)*A830,13)))</f>
        <v/>
      </c>
      <c r="J813" s="113"/>
    </row>
    <row r="814" spans="1:10" ht="26.25" customHeight="1" x14ac:dyDescent="0.2">
      <c r="A814" s="95" t="s">
        <v>28</v>
      </c>
      <c r="B814" s="95"/>
      <c r="C814" s="95" t="s">
        <v>29</v>
      </c>
      <c r="D814" s="95"/>
      <c r="E814" s="95"/>
      <c r="F814" s="95"/>
      <c r="G814" s="95"/>
      <c r="H814" s="15" t="s">
        <v>30</v>
      </c>
      <c r="I814" s="15" t="s">
        <v>9</v>
      </c>
      <c r="J814" s="15" t="s">
        <v>34</v>
      </c>
    </row>
    <row r="815" spans="1:10" ht="26.25" customHeight="1" x14ac:dyDescent="0.2">
      <c r="A815" s="96" t="str">
        <f ca="1">INDIRECT(_xlfn.TEXTJOIN("",TRUE,A833,"!",ADDRESS(13+(A834-1)*A830,1)))</f>
        <v/>
      </c>
      <c r="B815" s="97"/>
      <c r="C815" s="106" t="str">
        <f ca="1">INDIRECT(_xlfn.TEXTJOIN("",TRUE,A833,"!",ADDRESS(13+(A834-1)*A830,2)))</f>
        <v/>
      </c>
      <c r="D815" s="107"/>
      <c r="E815" s="107"/>
      <c r="F815" s="107"/>
      <c r="G815" s="108"/>
      <c r="H815" s="20" t="str">
        <f ca="1">INDIRECT(_xlfn.TEXTJOIN("",TRUE,A833,"!",ADDRESS(13+(A834-1)*A830,6)))</f>
        <v/>
      </c>
      <c r="I815" s="20" t="str">
        <f ca="1">INDIRECT(_xlfn.TEXTJOIN("",TRUE,A833,"!",ADDRESS(13+(A834-1)*A830,13)))</f>
        <v/>
      </c>
      <c r="J815" s="20" t="e">
        <f ca="1">INDIRECT(_xlfn.TEXTJOIN("",TRUE,A833,"!",ADDRESS(13+(A834-1)*A830,14)))</f>
        <v>#N/A</v>
      </c>
    </row>
    <row r="816" spans="1:10" ht="26.25" customHeight="1" x14ac:dyDescent="0.2">
      <c r="A816" s="96" t="str">
        <f ca="1">INDIRECT(_xlfn.TEXTJOIN("",TRUE,A833,"!",ADDRESS(14+(A834-1)*A830,1)))</f>
        <v/>
      </c>
      <c r="B816" s="97"/>
      <c r="C816" s="106" t="str">
        <f ca="1">INDIRECT(_xlfn.TEXTJOIN("",TRUE,A833,"!",ADDRESS(14+(A834-1)*A830,2)))</f>
        <v/>
      </c>
      <c r="D816" s="107"/>
      <c r="E816" s="107"/>
      <c r="F816" s="107"/>
      <c r="G816" s="108"/>
      <c r="H816" s="20" t="str">
        <f ca="1">INDIRECT(_xlfn.TEXTJOIN("",TRUE,A833,"!",ADDRESS(14+(A834-1)*A830,6)))</f>
        <v/>
      </c>
      <c r="I816" s="20" t="str">
        <f ca="1">INDIRECT(_xlfn.TEXTJOIN("",TRUE,A833,"!",ADDRESS(14+(A834-1)*A830,13)))</f>
        <v/>
      </c>
      <c r="J816" s="20" t="e">
        <f ca="1">INDIRECT(_xlfn.TEXTJOIN("",TRUE,A833,"!",ADDRESS(14+(A834-1)*A830,14)))</f>
        <v>#N/A</v>
      </c>
    </row>
    <row r="817" spans="1:10" ht="26.25" customHeight="1" x14ac:dyDescent="0.2">
      <c r="A817" s="96" t="str">
        <f ca="1">INDIRECT(_xlfn.TEXTJOIN("",TRUE,A833,"!",ADDRESS(15+(A834-1)*A830,1)))</f>
        <v/>
      </c>
      <c r="B817" s="97"/>
      <c r="C817" s="106" t="str">
        <f ca="1">INDIRECT(_xlfn.TEXTJOIN("",TRUE,A833,"!",ADDRESS(15+(A834-1)*A830,2)))</f>
        <v/>
      </c>
      <c r="D817" s="107"/>
      <c r="E817" s="107"/>
      <c r="F817" s="107"/>
      <c r="G817" s="108"/>
      <c r="H817" s="20" t="str">
        <f ca="1">INDIRECT(_xlfn.TEXTJOIN("",TRUE,A833,"!",ADDRESS(15+(A834-1)*A830,6)))</f>
        <v/>
      </c>
      <c r="I817" s="20" t="str">
        <f ca="1">INDIRECT(_xlfn.TEXTJOIN("",TRUE,A833,"!",ADDRESS(15+(A834-1)*A830,13)))</f>
        <v/>
      </c>
      <c r="J817" s="20" t="e">
        <f ca="1">INDIRECT(_xlfn.TEXTJOIN("",TRUE,A833,"!",ADDRESS(15+(A834-1)*A830,14)))</f>
        <v>#N/A</v>
      </c>
    </row>
    <row r="818" spans="1:10" ht="26.25" customHeight="1" x14ac:dyDescent="0.2">
      <c r="A818" s="96" t="str">
        <f ca="1">INDIRECT(_xlfn.TEXTJOIN("",TRUE,A833,"!",ADDRESS(16+(A834-1)*A830,1)))</f>
        <v/>
      </c>
      <c r="B818" s="97"/>
      <c r="C818" s="106" t="str">
        <f ca="1">INDIRECT(_xlfn.TEXTJOIN("",TRUE,A833,"!",ADDRESS(16+(A834-1)*A830,2)))</f>
        <v/>
      </c>
      <c r="D818" s="107"/>
      <c r="E818" s="107"/>
      <c r="F818" s="107"/>
      <c r="G818" s="108"/>
      <c r="H818" s="20" t="str">
        <f ca="1">INDIRECT(_xlfn.TEXTJOIN("",TRUE,A833,"!",ADDRESS(16+(A834-1)*A830,6)))</f>
        <v/>
      </c>
      <c r="I818" s="20" t="str">
        <f ca="1">INDIRECT(_xlfn.TEXTJOIN("",TRUE,A833,"!",ADDRESS(16+(A834-1)*A830,13)))</f>
        <v/>
      </c>
      <c r="J818" s="20" t="e">
        <f ca="1">INDIRECT(_xlfn.TEXTJOIN("",TRUE,A833,"!",ADDRESS(16+(A834-1)*A830,14)))</f>
        <v>#N/A</v>
      </c>
    </row>
    <row r="819" spans="1:10" ht="26.25" customHeight="1" x14ac:dyDescent="0.2">
      <c r="A819" s="96" t="str">
        <f ca="1">INDIRECT(_xlfn.TEXTJOIN("",TRUE,A833,"!",ADDRESS(17+(A834-1)*A830,1)))</f>
        <v/>
      </c>
      <c r="B819" s="97"/>
      <c r="C819" s="106" t="str">
        <f ca="1">INDIRECT(_xlfn.TEXTJOIN("",TRUE,A833,"!",ADDRESS(17+(A834-1)*A830,2)))</f>
        <v/>
      </c>
      <c r="D819" s="107"/>
      <c r="E819" s="107"/>
      <c r="F819" s="107"/>
      <c r="G819" s="108"/>
      <c r="H819" s="20" t="str">
        <f ca="1">INDIRECT(_xlfn.TEXTJOIN("",TRUE,A833,"!",ADDRESS(17+(A834-1)*A830,6)))</f>
        <v/>
      </c>
      <c r="I819" s="20" t="str">
        <f ca="1">INDIRECT(_xlfn.TEXTJOIN("",TRUE,A833,"!",ADDRESS(17+(A834-1)*A830,13)))</f>
        <v/>
      </c>
      <c r="J819" s="20" t="e">
        <f ca="1">INDIRECT(_xlfn.TEXTJOIN("",TRUE,A833,"!",ADDRESS(17+(A834-1)*A830,14)))</f>
        <v>#N/A</v>
      </c>
    </row>
    <row r="820" spans="1:10" ht="26.25" customHeight="1" x14ac:dyDescent="0.2">
      <c r="A820" s="96" t="str">
        <f ca="1">INDIRECT(_xlfn.TEXTJOIN("",TRUE,A833,"!",ADDRESS(18+(A834-1)*A830,1)))</f>
        <v/>
      </c>
      <c r="B820" s="97"/>
      <c r="C820" s="106" t="str">
        <f ca="1">INDIRECT(_xlfn.TEXTJOIN("",TRUE,A833,"!",ADDRESS(18+(A834-1)*A830,2)))</f>
        <v/>
      </c>
      <c r="D820" s="107"/>
      <c r="E820" s="107"/>
      <c r="F820" s="107"/>
      <c r="G820" s="108"/>
      <c r="H820" s="20" t="str">
        <f ca="1">INDIRECT(_xlfn.TEXTJOIN("",TRUE,A833,"!",ADDRESS(18+(A834-1)*A830,6)))</f>
        <v/>
      </c>
      <c r="I820" s="20" t="str">
        <f ca="1">INDIRECT(_xlfn.TEXTJOIN("",TRUE,A833,"!",ADDRESS(18+(A834-1)*A830,13)))</f>
        <v/>
      </c>
      <c r="J820" s="20" t="e">
        <f ca="1">INDIRECT(_xlfn.TEXTJOIN("",TRUE,A833,"!",ADDRESS(18+(A834-1)*A830,14)))</f>
        <v>#N/A</v>
      </c>
    </row>
    <row r="821" spans="1:10" ht="26.25" customHeight="1" x14ac:dyDescent="0.2">
      <c r="A821" s="96" t="str">
        <f ca="1">INDIRECT(_xlfn.TEXTJOIN("",TRUE,A833,"!",ADDRESS(19+(A834-1)*A830,1)))</f>
        <v/>
      </c>
      <c r="B821" s="97"/>
      <c r="C821" s="106" t="str">
        <f ca="1">INDIRECT(_xlfn.TEXTJOIN("",TRUE,A833,"!",ADDRESS(19+(A834-1)*A830,2)))</f>
        <v/>
      </c>
      <c r="D821" s="107"/>
      <c r="E821" s="107"/>
      <c r="F821" s="107"/>
      <c r="G821" s="108"/>
      <c r="H821" s="20" t="str">
        <f ca="1">INDIRECT(_xlfn.TEXTJOIN("",TRUE,A833,"!",ADDRESS(19+(A834-1)*A830,6)))</f>
        <v/>
      </c>
      <c r="I821" s="20" t="str">
        <f ca="1">INDIRECT(_xlfn.TEXTJOIN("",TRUE,A833,"!",ADDRESS(19+(A834-1)*A830,13)))</f>
        <v/>
      </c>
      <c r="J821" s="20" t="e">
        <f ca="1">INDIRECT(_xlfn.TEXTJOIN("",TRUE,A833,"!",ADDRESS(19+(A834-1)*A830,14)))</f>
        <v>#N/A</v>
      </c>
    </row>
    <row r="822" spans="1:10" ht="26.25" customHeight="1" x14ac:dyDescent="0.2">
      <c r="A822" s="96" t="str">
        <f ca="1">INDIRECT(_xlfn.TEXTJOIN("",TRUE,A833,"!",ADDRESS(20+(A834-1)*A830,1)))</f>
        <v/>
      </c>
      <c r="B822" s="97"/>
      <c r="C822" s="106" t="str">
        <f ca="1">INDIRECT(_xlfn.TEXTJOIN("",TRUE,A833,"!",ADDRESS(20+(A834-1)*A830,2)))</f>
        <v/>
      </c>
      <c r="D822" s="107"/>
      <c r="E822" s="107"/>
      <c r="F822" s="107"/>
      <c r="G822" s="108"/>
      <c r="H822" s="20" t="str">
        <f ca="1">INDIRECT(_xlfn.TEXTJOIN("",TRUE,A833,"!",ADDRESS(20+(A834-1)*A830,6)))</f>
        <v/>
      </c>
      <c r="I822" s="20" t="str">
        <f ca="1">INDIRECT(_xlfn.TEXTJOIN("",TRUE,A833,"!",ADDRESS(20+(A834-1)*A830,13)))</f>
        <v/>
      </c>
      <c r="J822" s="20" t="e">
        <f ca="1">INDIRECT(_xlfn.TEXTJOIN("",TRUE,A833,"!",ADDRESS(20+(A834-1)*A830,14)))</f>
        <v>#N/A</v>
      </c>
    </row>
    <row r="823" spans="1:10" ht="26.25" customHeight="1" x14ac:dyDescent="0.2">
      <c r="A823" s="96" t="str">
        <f ca="1">INDIRECT(_xlfn.TEXTJOIN("",TRUE,A833,"!",ADDRESS(21+(A834-1)*A830,1)))</f>
        <v/>
      </c>
      <c r="B823" s="97"/>
      <c r="C823" s="106" t="str">
        <f ca="1">INDIRECT(_xlfn.TEXTJOIN("",TRUE,A833,"!",ADDRESS(21+(A834-1)*A830,2)))</f>
        <v/>
      </c>
      <c r="D823" s="107"/>
      <c r="E823" s="107"/>
      <c r="F823" s="107"/>
      <c r="G823" s="108"/>
      <c r="H823" s="20" t="str">
        <f ca="1">INDIRECT(_xlfn.TEXTJOIN("",TRUE,A833,"!",ADDRESS(21+(A834-1)*A830,6)))</f>
        <v/>
      </c>
      <c r="I823" s="20" t="str">
        <f ca="1">INDIRECT(_xlfn.TEXTJOIN("",TRUE,A833,"!",ADDRESS(21+(A834-1)*A830,13)))</f>
        <v/>
      </c>
      <c r="J823" s="20" t="e">
        <f ca="1">INDIRECT(_xlfn.TEXTJOIN("",TRUE,A833,"!",ADDRESS(21+(A834-1)*A830,14)))</f>
        <v>#N/A</v>
      </c>
    </row>
    <row r="824" spans="1:10" ht="26.25" customHeight="1" x14ac:dyDescent="0.2">
      <c r="A824" s="96" t="str">
        <f ca="1">INDIRECT(_xlfn.TEXTJOIN("",TRUE,A833,"!",ADDRESS(22+(A834-1)*A830,1)))</f>
        <v/>
      </c>
      <c r="B824" s="97"/>
      <c r="C824" s="106" t="str">
        <f ca="1">INDIRECT(_xlfn.TEXTJOIN("",TRUE,A833,"!",ADDRESS(22+(A834-1)*A830,2)))</f>
        <v/>
      </c>
      <c r="D824" s="107"/>
      <c r="E824" s="107"/>
      <c r="F824" s="107"/>
      <c r="G824" s="108"/>
      <c r="H824" s="20" t="str">
        <f ca="1">INDIRECT(_xlfn.TEXTJOIN("",TRUE,A833,"!",ADDRESS(22+(A834-1)*A830,6)))</f>
        <v/>
      </c>
      <c r="I824" s="20" t="str">
        <f ca="1">INDIRECT(_xlfn.TEXTJOIN("",TRUE,A833,"!",ADDRESS(22+(A834-1)*A830,13)))</f>
        <v/>
      </c>
      <c r="J824" s="20" t="e">
        <f ca="1">INDIRECT(_xlfn.TEXTJOIN("",TRUE,A833,"!",ADDRESS(22+(A834-1)*A830,14)))</f>
        <v>#N/A</v>
      </c>
    </row>
    <row r="825" spans="1:10" ht="26.25" customHeight="1" x14ac:dyDescent="0.2">
      <c r="A825" s="110" t="str">
        <f ca="1">INDIRECT(_xlfn.TEXTJOIN("",TRUE,A833,"!",ADDRESS(23+(A834-1)*A830,1)))</f>
        <v/>
      </c>
      <c r="B825" s="111"/>
      <c r="C825" s="115" t="str">
        <f ca="1">INDIRECT(_xlfn.TEXTJOIN("",TRUE,A833,"!",ADDRESS(23+(A834-1)*A830,2)))</f>
        <v/>
      </c>
      <c r="D825" s="116"/>
      <c r="E825" s="116"/>
      <c r="F825" s="116"/>
      <c r="G825" s="117"/>
      <c r="H825" s="20" t="str">
        <f ca="1">INDIRECT(_xlfn.TEXTJOIN("",TRUE,A833,"!",ADDRESS(23+(A834-1)*A830,6)))</f>
        <v/>
      </c>
      <c r="I825" s="20" t="str">
        <f ca="1">INDIRECT(_xlfn.TEXTJOIN("",TRUE,A833,"!",ADDRESS(23+(A834-1)*A830,13)))</f>
        <v/>
      </c>
      <c r="J825" s="20" t="e">
        <f ca="1">INDIRECT(_xlfn.TEXTJOIN("",TRUE,A833,"!",ADDRESS(23+(A834-1)*A830,14)))</f>
        <v>#N/A</v>
      </c>
    </row>
    <row r="826" spans="1:10" ht="26.25" customHeight="1" x14ac:dyDescent="0.2">
      <c r="A826" s="110" t="str">
        <f ca="1">INDIRECT(_xlfn.TEXTJOIN("",TRUE,A833,"!",ADDRESS(24+(A834-1)*A830,1)))</f>
        <v/>
      </c>
      <c r="B826" s="111"/>
      <c r="C826" s="115" t="str">
        <f ca="1">INDIRECT(_xlfn.TEXTJOIN("",TRUE,A833,"!",ADDRESS(24+(A834-1)*A830,2)))</f>
        <v/>
      </c>
      <c r="D826" s="116"/>
      <c r="E826" s="116"/>
      <c r="F826" s="116"/>
      <c r="G826" s="117"/>
      <c r="H826" s="20" t="str">
        <f ca="1">INDIRECT(_xlfn.TEXTJOIN("",TRUE,A833,"!",ADDRESS(24+(A834-1)*A830,6)))</f>
        <v/>
      </c>
      <c r="I826" s="20" t="str">
        <f ca="1">INDIRECT(_xlfn.TEXTJOIN("",TRUE,A833,"!",ADDRESS(24+(A834-1)*A830,13)))</f>
        <v/>
      </c>
      <c r="J826" s="20" t="e">
        <f ca="1">INDIRECT(_xlfn.TEXTJOIN("",TRUE,A833,"!",ADDRESS(24+(A834-1)*A830,14)))</f>
        <v>#N/A</v>
      </c>
    </row>
    <row r="827" spans="1:10" ht="26.25" customHeight="1" x14ac:dyDescent="0.2">
      <c r="A827" s="110" t="str">
        <f ca="1">INDIRECT(_xlfn.TEXTJOIN("",TRUE,A833,"!",ADDRESS(25+(A834-1)*A830,1)))</f>
        <v/>
      </c>
      <c r="B827" s="111"/>
      <c r="C827" s="115" t="str">
        <f ca="1">INDIRECT(_xlfn.TEXTJOIN("",TRUE,A833,"!",ADDRESS(25+(A834-1)*A830,2)))</f>
        <v/>
      </c>
      <c r="D827" s="116"/>
      <c r="E827" s="116"/>
      <c r="F827" s="116"/>
      <c r="G827" s="117"/>
      <c r="H827" s="20" t="str">
        <f ca="1">INDIRECT(_xlfn.TEXTJOIN("",TRUE,A833,"!",ADDRESS(25+(A834-1)*A830,6)))</f>
        <v/>
      </c>
      <c r="I827" s="20" t="str">
        <f ca="1">INDIRECT(_xlfn.TEXTJOIN("",TRUE,A833,"!",ADDRESS(25+(A834-1)*A830,13)))</f>
        <v/>
      </c>
      <c r="J827" s="20" t="e">
        <f ca="1">INDIRECT(_xlfn.TEXTJOIN("",TRUE,A833,"!",ADDRESS(25+(A834-1)*A830,14)))</f>
        <v>#N/A</v>
      </c>
    </row>
    <row r="828" spans="1:10" ht="26.25" customHeight="1" x14ac:dyDescent="0.2">
      <c r="A828" s="100" t="s">
        <v>52</v>
      </c>
      <c r="B828" s="101"/>
      <c r="C828" s="101"/>
      <c r="D828" s="101"/>
      <c r="E828" s="101"/>
      <c r="F828" s="101"/>
      <c r="G828" s="102"/>
      <c r="H828" s="98">
        <f ca="1">SUM(H815:H828)</f>
        <v>24</v>
      </c>
      <c r="I828" s="98" t="s">
        <v>44</v>
      </c>
      <c r="J828" s="98" t="e">
        <f ca="1">SUMPRODUCT(J815:J827,H815:H827)</f>
        <v>#N/A</v>
      </c>
    </row>
    <row r="829" spans="1:10" ht="26.25" customHeight="1" x14ac:dyDescent="0.2">
      <c r="A829" s="103"/>
      <c r="B829" s="104"/>
      <c r="C829" s="104"/>
      <c r="D829" s="104"/>
      <c r="E829" s="104"/>
      <c r="F829" s="104"/>
      <c r="G829" s="105"/>
      <c r="H829" s="99"/>
      <c r="I829" s="99"/>
      <c r="J829" s="99"/>
    </row>
    <row r="830" spans="1:10" ht="26.25" customHeight="1" x14ac:dyDescent="0.2">
      <c r="A830" s="22">
        <f>ROWS(A815:B828)+9</f>
        <v>23</v>
      </c>
      <c r="B830" s="17"/>
      <c r="C830" s="17"/>
      <c r="D830" s="17"/>
      <c r="E830" s="17"/>
      <c r="F830" s="17"/>
      <c r="G830" s="17"/>
      <c r="H830" s="17"/>
      <c r="I830" s="17"/>
      <c r="J830" s="17"/>
    </row>
    <row r="831" spans="1:10" ht="26.25" customHeight="1" x14ac:dyDescent="0.2">
      <c r="A831" s="120" t="s">
        <v>40</v>
      </c>
      <c r="B831" s="120"/>
      <c r="C831" s="21" t="str">
        <f ca="1">INDIRECT(_xlfn.TEXTJOIN("",TRUE,A833,"!",ADDRESS(5+A834*A830,12)))</f>
        <v/>
      </c>
      <c r="D831" s="120" t="s">
        <v>38</v>
      </c>
      <c r="E831" s="120"/>
      <c r="F831" s="18" t="str">
        <f ca="1">INDIRECT(_xlfn.TEXTJOIN("",TRUE,A833,"!",ADDRESS(5+A834*A830,8)))</f>
        <v/>
      </c>
      <c r="G831" s="120" t="s">
        <v>39</v>
      </c>
      <c r="H831" s="120"/>
      <c r="I831" s="109" t="str">
        <f ca="1">INDIRECT(_xlfn.TEXTJOIN("",TRUE,A833,"!",ADDRESS(5+A834*A830,10)))</f>
        <v/>
      </c>
      <c r="J831" s="109"/>
    </row>
    <row r="832" spans="1:10" ht="26.25" customHeight="1" x14ac:dyDescent="0.2">
      <c r="A832" s="19" t="s">
        <v>36</v>
      </c>
      <c r="B832" s="95" t="str">
        <f ca="1">INDIRECT(_xlfn.TEXTJOIN("",TRUE,A833,"!",ADDRESS(5+A834*A830,2)))</f>
        <v/>
      </c>
      <c r="C832" s="95"/>
      <c r="D832" s="121" t="s">
        <v>37</v>
      </c>
      <c r="E832" s="121"/>
      <c r="F832" s="122" t="str">
        <f ca="1">INDIRECT(_xlfn.TEXTJOIN("",TRUE,A833,"!",ADDRESS(5+A834*A830,5)))</f>
        <v/>
      </c>
      <c r="G832" s="122"/>
      <c r="H832" s="122"/>
      <c r="I832" s="122"/>
      <c r="J832" s="122"/>
    </row>
    <row r="833" spans="1:10" ht="26.25" customHeight="1" x14ac:dyDescent="0.2">
      <c r="A833" s="22" t="str">
        <f>A810</f>
        <v>TC_I</v>
      </c>
    </row>
    <row r="834" spans="1:10" ht="26.25" customHeight="1" x14ac:dyDescent="0.2">
      <c r="A834" s="22">
        <f>A811+1</f>
        <v>36</v>
      </c>
    </row>
    <row r="835" spans="1:10" ht="26.25" customHeight="1" x14ac:dyDescent="0.2">
      <c r="A835" s="112" t="s">
        <v>24</v>
      </c>
      <c r="B835" s="112"/>
      <c r="C835" s="112" t="str">
        <f ca="1">INDIRECT(_xlfn.TEXTJOIN("",TRUE,A856,"!",ADDRESS(9+(A857-1)*A853,2)))</f>
        <v/>
      </c>
      <c r="D835" s="112"/>
      <c r="E835" s="112"/>
      <c r="F835" s="112" t="s">
        <v>50</v>
      </c>
      <c r="G835" s="112"/>
      <c r="H835" s="112"/>
      <c r="I835" s="113" t="str">
        <f ca="1">INDIRECT(_xlfn.TEXTJOIN("",TRUE,A856,"!",ADDRESS(9+(A857-1)*A853,9)))</f>
        <v/>
      </c>
      <c r="J835" s="113"/>
    </row>
    <row r="836" spans="1:10" ht="26.25" customHeight="1" x14ac:dyDescent="0.2">
      <c r="A836" s="112" t="s">
        <v>25</v>
      </c>
      <c r="B836" s="112"/>
      <c r="C836" s="112" t="str">
        <f ca="1">INDIRECT(_xlfn.TEXTJOIN("",TRUE,A856,"!",ADDRESS(9+(A857-1)*A853,5)))</f>
        <v/>
      </c>
      <c r="D836" s="112"/>
      <c r="E836" s="112"/>
      <c r="F836" s="114" t="s">
        <v>51</v>
      </c>
      <c r="G836" s="114"/>
      <c r="H836" s="114"/>
      <c r="I836" s="113" t="str">
        <f ca="1">INDIRECT(_xlfn.TEXTJOIN("",TRUE,A856,"!",ADDRESS(9+(A857-1)*A853,13)))</f>
        <v/>
      </c>
      <c r="J836" s="113"/>
    </row>
    <row r="837" spans="1:10" ht="26.25" customHeight="1" x14ac:dyDescent="0.2">
      <c r="A837" s="95" t="s">
        <v>28</v>
      </c>
      <c r="B837" s="95"/>
      <c r="C837" s="95" t="s">
        <v>29</v>
      </c>
      <c r="D837" s="95"/>
      <c r="E837" s="95"/>
      <c r="F837" s="95"/>
      <c r="G837" s="95"/>
      <c r="H837" s="15" t="s">
        <v>30</v>
      </c>
      <c r="I837" s="15" t="s">
        <v>9</v>
      </c>
      <c r="J837" s="15" t="s">
        <v>34</v>
      </c>
    </row>
    <row r="838" spans="1:10" ht="26.25" customHeight="1" x14ac:dyDescent="0.2">
      <c r="A838" s="96" t="str">
        <f ca="1">INDIRECT(_xlfn.TEXTJOIN("",TRUE,A856,"!",ADDRESS(13+(A857-1)*A853,1)))</f>
        <v/>
      </c>
      <c r="B838" s="97"/>
      <c r="C838" s="106" t="str">
        <f ca="1">INDIRECT(_xlfn.TEXTJOIN("",TRUE,A856,"!",ADDRESS(13+(A857-1)*A853,2)))</f>
        <v/>
      </c>
      <c r="D838" s="107"/>
      <c r="E838" s="107"/>
      <c r="F838" s="107"/>
      <c r="G838" s="108"/>
      <c r="H838" s="20" t="str">
        <f ca="1">INDIRECT(_xlfn.TEXTJOIN("",TRUE,A856,"!",ADDRESS(13+(A857-1)*A853,6)))</f>
        <v/>
      </c>
      <c r="I838" s="20" t="str">
        <f ca="1">INDIRECT(_xlfn.TEXTJOIN("",TRUE,A856,"!",ADDRESS(13+(A857-1)*A853,13)))</f>
        <v/>
      </c>
      <c r="J838" s="20" t="e">
        <f ca="1">INDIRECT(_xlfn.TEXTJOIN("",TRUE,A856,"!",ADDRESS(13+(A857-1)*A853,14)))</f>
        <v>#N/A</v>
      </c>
    </row>
    <row r="839" spans="1:10" ht="26.25" customHeight="1" x14ac:dyDescent="0.2">
      <c r="A839" s="96" t="str">
        <f ca="1">INDIRECT(_xlfn.TEXTJOIN("",TRUE,A856,"!",ADDRESS(14+(A857-1)*A853,1)))</f>
        <v/>
      </c>
      <c r="B839" s="97"/>
      <c r="C839" s="106" t="str">
        <f ca="1">INDIRECT(_xlfn.TEXTJOIN("",TRUE,A856,"!",ADDRESS(14+(A857-1)*A853,2)))</f>
        <v/>
      </c>
      <c r="D839" s="107"/>
      <c r="E839" s="107"/>
      <c r="F839" s="107"/>
      <c r="G839" s="108"/>
      <c r="H839" s="20" t="str">
        <f ca="1">INDIRECT(_xlfn.TEXTJOIN("",TRUE,A856,"!",ADDRESS(14+(A857-1)*A853,6)))</f>
        <v/>
      </c>
      <c r="I839" s="20" t="str">
        <f ca="1">INDIRECT(_xlfn.TEXTJOIN("",TRUE,A856,"!",ADDRESS(14+(A857-1)*A853,13)))</f>
        <v/>
      </c>
      <c r="J839" s="20" t="e">
        <f ca="1">INDIRECT(_xlfn.TEXTJOIN("",TRUE,A856,"!",ADDRESS(14+(A857-1)*A853,14)))</f>
        <v>#N/A</v>
      </c>
    </row>
    <row r="840" spans="1:10" ht="26.25" customHeight="1" x14ac:dyDescent="0.2">
      <c r="A840" s="96" t="str">
        <f ca="1">INDIRECT(_xlfn.TEXTJOIN("",TRUE,A856,"!",ADDRESS(15+(A857-1)*A853,1)))</f>
        <v/>
      </c>
      <c r="B840" s="97"/>
      <c r="C840" s="106" t="str">
        <f ca="1">INDIRECT(_xlfn.TEXTJOIN("",TRUE,A856,"!",ADDRESS(15+(A857-1)*A853,2)))</f>
        <v/>
      </c>
      <c r="D840" s="107"/>
      <c r="E840" s="107"/>
      <c r="F840" s="107"/>
      <c r="G840" s="108"/>
      <c r="H840" s="20" t="str">
        <f ca="1">INDIRECT(_xlfn.TEXTJOIN("",TRUE,A856,"!",ADDRESS(15+(A857-1)*A853,6)))</f>
        <v/>
      </c>
      <c r="I840" s="20" t="str">
        <f ca="1">INDIRECT(_xlfn.TEXTJOIN("",TRUE,A856,"!",ADDRESS(15+(A857-1)*A853,13)))</f>
        <v/>
      </c>
      <c r="J840" s="20" t="e">
        <f ca="1">INDIRECT(_xlfn.TEXTJOIN("",TRUE,A856,"!",ADDRESS(15+(A857-1)*A853,14)))</f>
        <v>#N/A</v>
      </c>
    </row>
    <row r="841" spans="1:10" ht="26.25" customHeight="1" x14ac:dyDescent="0.2">
      <c r="A841" s="96" t="str">
        <f ca="1">INDIRECT(_xlfn.TEXTJOIN("",TRUE,A856,"!",ADDRESS(16+(A857-1)*A853,1)))</f>
        <v/>
      </c>
      <c r="B841" s="97"/>
      <c r="C841" s="106" t="str">
        <f ca="1">INDIRECT(_xlfn.TEXTJOIN("",TRUE,A856,"!",ADDRESS(16+(A857-1)*A853,2)))</f>
        <v/>
      </c>
      <c r="D841" s="107"/>
      <c r="E841" s="107"/>
      <c r="F841" s="107"/>
      <c r="G841" s="108"/>
      <c r="H841" s="20" t="str">
        <f ca="1">INDIRECT(_xlfn.TEXTJOIN("",TRUE,A856,"!",ADDRESS(16+(A857-1)*A853,6)))</f>
        <v/>
      </c>
      <c r="I841" s="20" t="str">
        <f ca="1">INDIRECT(_xlfn.TEXTJOIN("",TRUE,A856,"!",ADDRESS(16+(A857-1)*A853,13)))</f>
        <v/>
      </c>
      <c r="J841" s="20" t="e">
        <f ca="1">INDIRECT(_xlfn.TEXTJOIN("",TRUE,A856,"!",ADDRESS(16+(A857-1)*A853,14)))</f>
        <v>#N/A</v>
      </c>
    </row>
    <row r="842" spans="1:10" ht="26.25" customHeight="1" x14ac:dyDescent="0.2">
      <c r="A842" s="96" t="str">
        <f ca="1">INDIRECT(_xlfn.TEXTJOIN("",TRUE,A856,"!",ADDRESS(17+(A857-1)*A853,1)))</f>
        <v/>
      </c>
      <c r="B842" s="97"/>
      <c r="C842" s="106" t="str">
        <f ca="1">INDIRECT(_xlfn.TEXTJOIN("",TRUE,A856,"!",ADDRESS(17+(A857-1)*A853,2)))</f>
        <v/>
      </c>
      <c r="D842" s="107"/>
      <c r="E842" s="107"/>
      <c r="F842" s="107"/>
      <c r="G842" s="108"/>
      <c r="H842" s="20" t="str">
        <f ca="1">INDIRECT(_xlfn.TEXTJOIN("",TRUE,A856,"!",ADDRESS(17+(A857-1)*A853,6)))</f>
        <v/>
      </c>
      <c r="I842" s="20" t="str">
        <f ca="1">INDIRECT(_xlfn.TEXTJOIN("",TRUE,A856,"!",ADDRESS(17+(A857-1)*A853,13)))</f>
        <v/>
      </c>
      <c r="J842" s="20" t="e">
        <f ca="1">INDIRECT(_xlfn.TEXTJOIN("",TRUE,A856,"!",ADDRESS(17+(A857-1)*A853,14)))</f>
        <v>#N/A</v>
      </c>
    </row>
    <row r="843" spans="1:10" ht="26.25" customHeight="1" x14ac:dyDescent="0.2">
      <c r="A843" s="96" t="str">
        <f ca="1">INDIRECT(_xlfn.TEXTJOIN("",TRUE,A856,"!",ADDRESS(18+(A857-1)*A853,1)))</f>
        <v/>
      </c>
      <c r="B843" s="97"/>
      <c r="C843" s="106" t="str">
        <f ca="1">INDIRECT(_xlfn.TEXTJOIN("",TRUE,A856,"!",ADDRESS(18+(A857-1)*A853,2)))</f>
        <v/>
      </c>
      <c r="D843" s="107"/>
      <c r="E843" s="107"/>
      <c r="F843" s="107"/>
      <c r="G843" s="108"/>
      <c r="H843" s="20" t="str">
        <f ca="1">INDIRECT(_xlfn.TEXTJOIN("",TRUE,A856,"!",ADDRESS(18+(A857-1)*A853,6)))</f>
        <v/>
      </c>
      <c r="I843" s="20" t="str">
        <f ca="1">INDIRECT(_xlfn.TEXTJOIN("",TRUE,A856,"!",ADDRESS(18+(A857-1)*A853,13)))</f>
        <v/>
      </c>
      <c r="J843" s="20" t="e">
        <f ca="1">INDIRECT(_xlfn.TEXTJOIN("",TRUE,A856,"!",ADDRESS(18+(A857-1)*A853,14)))</f>
        <v>#N/A</v>
      </c>
    </row>
    <row r="844" spans="1:10" ht="26.25" customHeight="1" x14ac:dyDescent="0.2">
      <c r="A844" s="96" t="str">
        <f ca="1">INDIRECT(_xlfn.TEXTJOIN("",TRUE,A856,"!",ADDRESS(19+(A857-1)*A853,1)))</f>
        <v/>
      </c>
      <c r="B844" s="97"/>
      <c r="C844" s="106" t="str">
        <f ca="1">INDIRECT(_xlfn.TEXTJOIN("",TRUE,A856,"!",ADDRESS(19+(A857-1)*A853,2)))</f>
        <v/>
      </c>
      <c r="D844" s="107"/>
      <c r="E844" s="107"/>
      <c r="F844" s="107"/>
      <c r="G844" s="108"/>
      <c r="H844" s="20" t="str">
        <f ca="1">INDIRECT(_xlfn.TEXTJOIN("",TRUE,A856,"!",ADDRESS(19+(A857-1)*A853,6)))</f>
        <v/>
      </c>
      <c r="I844" s="20" t="str">
        <f ca="1">INDIRECT(_xlfn.TEXTJOIN("",TRUE,A856,"!",ADDRESS(19+(A857-1)*A853,13)))</f>
        <v/>
      </c>
      <c r="J844" s="20" t="e">
        <f ca="1">INDIRECT(_xlfn.TEXTJOIN("",TRUE,A856,"!",ADDRESS(19+(A857-1)*A853,14)))</f>
        <v>#N/A</v>
      </c>
    </row>
    <row r="845" spans="1:10" ht="26.25" customHeight="1" x14ac:dyDescent="0.2">
      <c r="A845" s="96" t="str">
        <f ca="1">INDIRECT(_xlfn.TEXTJOIN("",TRUE,A856,"!",ADDRESS(20+(A857-1)*A853,1)))</f>
        <v/>
      </c>
      <c r="B845" s="97"/>
      <c r="C845" s="106" t="str">
        <f ca="1">INDIRECT(_xlfn.TEXTJOIN("",TRUE,A856,"!",ADDRESS(20+(A857-1)*A853,2)))</f>
        <v/>
      </c>
      <c r="D845" s="107"/>
      <c r="E845" s="107"/>
      <c r="F845" s="107"/>
      <c r="G845" s="108"/>
      <c r="H845" s="20" t="str">
        <f ca="1">INDIRECT(_xlfn.TEXTJOIN("",TRUE,A856,"!",ADDRESS(20+(A857-1)*A853,6)))</f>
        <v/>
      </c>
      <c r="I845" s="20" t="str">
        <f ca="1">INDIRECT(_xlfn.TEXTJOIN("",TRUE,A856,"!",ADDRESS(20+(A857-1)*A853,13)))</f>
        <v/>
      </c>
      <c r="J845" s="20" t="e">
        <f ca="1">INDIRECT(_xlfn.TEXTJOIN("",TRUE,A856,"!",ADDRESS(20+(A857-1)*A853,14)))</f>
        <v>#N/A</v>
      </c>
    </row>
    <row r="846" spans="1:10" ht="26.25" customHeight="1" x14ac:dyDescent="0.2">
      <c r="A846" s="96" t="str">
        <f ca="1">INDIRECT(_xlfn.TEXTJOIN("",TRUE,A856,"!",ADDRESS(21+(A857-1)*A853,1)))</f>
        <v/>
      </c>
      <c r="B846" s="97"/>
      <c r="C846" s="106" t="str">
        <f ca="1">INDIRECT(_xlfn.TEXTJOIN("",TRUE,A856,"!",ADDRESS(21+(A857-1)*A853,2)))</f>
        <v/>
      </c>
      <c r="D846" s="107"/>
      <c r="E846" s="107"/>
      <c r="F846" s="107"/>
      <c r="G846" s="108"/>
      <c r="H846" s="20" t="str">
        <f ca="1">INDIRECT(_xlfn.TEXTJOIN("",TRUE,A856,"!",ADDRESS(21+(A857-1)*A853,6)))</f>
        <v/>
      </c>
      <c r="I846" s="20" t="str">
        <f ca="1">INDIRECT(_xlfn.TEXTJOIN("",TRUE,A856,"!",ADDRESS(21+(A857-1)*A853,13)))</f>
        <v/>
      </c>
      <c r="J846" s="20" t="e">
        <f ca="1">INDIRECT(_xlfn.TEXTJOIN("",TRUE,A856,"!",ADDRESS(21+(A857-1)*A853,14)))</f>
        <v>#N/A</v>
      </c>
    </row>
    <row r="847" spans="1:10" ht="26.25" customHeight="1" x14ac:dyDescent="0.2">
      <c r="A847" s="96" t="str">
        <f ca="1">INDIRECT(_xlfn.TEXTJOIN("",TRUE,A856,"!",ADDRESS(22+(A857-1)*A853,1)))</f>
        <v/>
      </c>
      <c r="B847" s="97"/>
      <c r="C847" s="106" t="str">
        <f ca="1">INDIRECT(_xlfn.TEXTJOIN("",TRUE,A856,"!",ADDRESS(22+(A857-1)*A853,2)))</f>
        <v/>
      </c>
      <c r="D847" s="107"/>
      <c r="E847" s="107"/>
      <c r="F847" s="107"/>
      <c r="G847" s="108"/>
      <c r="H847" s="20" t="str">
        <f ca="1">INDIRECT(_xlfn.TEXTJOIN("",TRUE,A856,"!",ADDRESS(22+(A857-1)*A853,6)))</f>
        <v/>
      </c>
      <c r="I847" s="20" t="str">
        <f ca="1">INDIRECT(_xlfn.TEXTJOIN("",TRUE,A856,"!",ADDRESS(22+(A857-1)*A853,13)))</f>
        <v/>
      </c>
      <c r="J847" s="20" t="e">
        <f ca="1">INDIRECT(_xlfn.TEXTJOIN("",TRUE,A856,"!",ADDRESS(22+(A857-1)*A853,14)))</f>
        <v>#N/A</v>
      </c>
    </row>
    <row r="848" spans="1:10" ht="26.25" customHeight="1" x14ac:dyDescent="0.2">
      <c r="A848" s="110" t="str">
        <f ca="1">INDIRECT(_xlfn.TEXTJOIN("",TRUE,A856,"!",ADDRESS(23+(A857-1)*A853,1)))</f>
        <v/>
      </c>
      <c r="B848" s="111"/>
      <c r="C848" s="115" t="str">
        <f ca="1">INDIRECT(_xlfn.TEXTJOIN("",TRUE,A856,"!",ADDRESS(23+(A857-1)*A853,2)))</f>
        <v/>
      </c>
      <c r="D848" s="116"/>
      <c r="E848" s="116"/>
      <c r="F848" s="116"/>
      <c r="G848" s="117"/>
      <c r="H848" s="20" t="str">
        <f ca="1">INDIRECT(_xlfn.TEXTJOIN("",TRUE,A856,"!",ADDRESS(23+(A857-1)*A853,6)))</f>
        <v/>
      </c>
      <c r="I848" s="20" t="str">
        <f ca="1">INDIRECT(_xlfn.TEXTJOIN("",TRUE,A856,"!",ADDRESS(23+(A857-1)*A853,13)))</f>
        <v/>
      </c>
      <c r="J848" s="20" t="e">
        <f ca="1">INDIRECT(_xlfn.TEXTJOIN("",TRUE,A856,"!",ADDRESS(23+(A857-1)*A853,14)))</f>
        <v>#N/A</v>
      </c>
    </row>
    <row r="849" spans="1:10" ht="26.25" customHeight="1" x14ac:dyDescent="0.2">
      <c r="A849" s="110" t="str">
        <f ca="1">INDIRECT(_xlfn.TEXTJOIN("",TRUE,A856,"!",ADDRESS(24+(A857-1)*A853,1)))</f>
        <v/>
      </c>
      <c r="B849" s="111"/>
      <c r="C849" s="115" t="str">
        <f ca="1">INDIRECT(_xlfn.TEXTJOIN("",TRUE,A856,"!",ADDRESS(24+(A857-1)*A853,2)))</f>
        <v/>
      </c>
      <c r="D849" s="116"/>
      <c r="E849" s="116"/>
      <c r="F849" s="116"/>
      <c r="G849" s="117"/>
      <c r="H849" s="20" t="str">
        <f ca="1">INDIRECT(_xlfn.TEXTJOIN("",TRUE,A856,"!",ADDRESS(24+(A857-1)*A853,6)))</f>
        <v/>
      </c>
      <c r="I849" s="20" t="str">
        <f ca="1">INDIRECT(_xlfn.TEXTJOIN("",TRUE,A856,"!",ADDRESS(24+(A857-1)*A853,13)))</f>
        <v/>
      </c>
      <c r="J849" s="20" t="e">
        <f ca="1">INDIRECT(_xlfn.TEXTJOIN("",TRUE,A856,"!",ADDRESS(24+(A857-1)*A853,14)))</f>
        <v>#N/A</v>
      </c>
    </row>
    <row r="850" spans="1:10" ht="26.25" customHeight="1" x14ac:dyDescent="0.2">
      <c r="A850" s="110" t="str">
        <f ca="1">INDIRECT(_xlfn.TEXTJOIN("",TRUE,A856,"!",ADDRESS(25+(A857-1)*A853,1)))</f>
        <v/>
      </c>
      <c r="B850" s="111"/>
      <c r="C850" s="115" t="str">
        <f ca="1">INDIRECT(_xlfn.TEXTJOIN("",TRUE,A856,"!",ADDRESS(25+(A857-1)*A853,2)))</f>
        <v/>
      </c>
      <c r="D850" s="116"/>
      <c r="E850" s="116"/>
      <c r="F850" s="116"/>
      <c r="G850" s="117"/>
      <c r="H850" s="20" t="str">
        <f ca="1">INDIRECT(_xlfn.TEXTJOIN("",TRUE,A856,"!",ADDRESS(25+(A857-1)*A853,6)))</f>
        <v/>
      </c>
      <c r="I850" s="20" t="str">
        <f ca="1">INDIRECT(_xlfn.TEXTJOIN("",TRUE,A856,"!",ADDRESS(25+(A857-1)*A853,13)))</f>
        <v/>
      </c>
      <c r="J850" s="20" t="e">
        <f ca="1">INDIRECT(_xlfn.TEXTJOIN("",TRUE,A856,"!",ADDRESS(25+(A857-1)*A853,14)))</f>
        <v>#N/A</v>
      </c>
    </row>
    <row r="851" spans="1:10" ht="26.25" customHeight="1" x14ac:dyDescent="0.2">
      <c r="A851" s="100" t="s">
        <v>52</v>
      </c>
      <c r="B851" s="101"/>
      <c r="C851" s="101"/>
      <c r="D851" s="101"/>
      <c r="E851" s="101"/>
      <c r="F851" s="101"/>
      <c r="G851" s="102"/>
      <c r="H851" s="98">
        <f ca="1">SUM(H838:H851)</f>
        <v>24</v>
      </c>
      <c r="I851" s="98" t="s">
        <v>44</v>
      </c>
      <c r="J851" s="98" t="e">
        <f ca="1">SUMPRODUCT(J838:J850,H838:H850)</f>
        <v>#N/A</v>
      </c>
    </row>
    <row r="852" spans="1:10" ht="26.25" customHeight="1" x14ac:dyDescent="0.2">
      <c r="A852" s="103"/>
      <c r="B852" s="104"/>
      <c r="C852" s="104"/>
      <c r="D852" s="104"/>
      <c r="E852" s="104"/>
      <c r="F852" s="104"/>
      <c r="G852" s="105"/>
      <c r="H852" s="99"/>
      <c r="I852" s="99"/>
      <c r="J852" s="99"/>
    </row>
    <row r="853" spans="1:10" ht="26.25" customHeight="1" x14ac:dyDescent="0.2">
      <c r="A853" s="22">
        <f>ROWS(A838:B851)+9</f>
        <v>23</v>
      </c>
      <c r="B853" s="17"/>
      <c r="C853" s="17"/>
      <c r="D853" s="17"/>
      <c r="E853" s="17"/>
      <c r="F853" s="17"/>
      <c r="G853" s="17"/>
      <c r="H853" s="17"/>
      <c r="I853" s="17"/>
      <c r="J853" s="17"/>
    </row>
    <row r="854" spans="1:10" ht="26.25" customHeight="1" x14ac:dyDescent="0.2">
      <c r="A854" s="120" t="s">
        <v>40</v>
      </c>
      <c r="B854" s="120"/>
      <c r="C854" s="21" t="str">
        <f ca="1">INDIRECT(_xlfn.TEXTJOIN("",TRUE,A856,"!",ADDRESS(5+A857*A853,12)))</f>
        <v/>
      </c>
      <c r="D854" s="120" t="s">
        <v>38</v>
      </c>
      <c r="E854" s="120"/>
      <c r="F854" s="18" t="str">
        <f ca="1">INDIRECT(_xlfn.TEXTJOIN("",TRUE,A856,"!",ADDRESS(5+A857*A853,8)))</f>
        <v/>
      </c>
      <c r="G854" s="120" t="s">
        <v>39</v>
      </c>
      <c r="H854" s="120"/>
      <c r="I854" s="109" t="str">
        <f ca="1">INDIRECT(_xlfn.TEXTJOIN("",TRUE,A856,"!",ADDRESS(5+A857*A853,10)))</f>
        <v/>
      </c>
      <c r="J854" s="109"/>
    </row>
    <row r="855" spans="1:10" ht="26.25" customHeight="1" x14ac:dyDescent="0.2">
      <c r="A855" s="19" t="s">
        <v>36</v>
      </c>
      <c r="B855" s="95" t="str">
        <f ca="1">INDIRECT(_xlfn.TEXTJOIN("",TRUE,A856,"!",ADDRESS(5+A857*A853,2)))</f>
        <v/>
      </c>
      <c r="C855" s="95"/>
      <c r="D855" s="121" t="s">
        <v>37</v>
      </c>
      <c r="E855" s="121"/>
      <c r="F855" s="122" t="str">
        <f ca="1">INDIRECT(_xlfn.TEXTJOIN("",TRUE,A856,"!",ADDRESS(5+A857*A853,5)))</f>
        <v/>
      </c>
      <c r="G855" s="122"/>
      <c r="H855" s="122"/>
      <c r="I855" s="122"/>
      <c r="J855" s="122"/>
    </row>
    <row r="856" spans="1:10" ht="26.25" customHeight="1" x14ac:dyDescent="0.2">
      <c r="A856" s="22" t="str">
        <f>A833</f>
        <v>TC_I</v>
      </c>
    </row>
    <row r="857" spans="1:10" ht="26.25" customHeight="1" x14ac:dyDescent="0.2">
      <c r="A857" s="22">
        <f>A834+1</f>
        <v>37</v>
      </c>
    </row>
    <row r="858" spans="1:10" ht="26.25" customHeight="1" x14ac:dyDescent="0.2">
      <c r="A858" s="112" t="s">
        <v>24</v>
      </c>
      <c r="B858" s="112"/>
      <c r="C858" s="112" t="str">
        <f ca="1">INDIRECT(_xlfn.TEXTJOIN("",TRUE,A879,"!",ADDRESS(9+(A880-1)*A876,2)))</f>
        <v/>
      </c>
      <c r="D858" s="112"/>
      <c r="E858" s="112"/>
      <c r="F858" s="112" t="s">
        <v>50</v>
      </c>
      <c r="G858" s="112"/>
      <c r="H858" s="112"/>
      <c r="I858" s="113" t="str">
        <f ca="1">INDIRECT(_xlfn.TEXTJOIN("",TRUE,A879,"!",ADDRESS(9+(A880-1)*A876,9)))</f>
        <v/>
      </c>
      <c r="J858" s="113"/>
    </row>
    <row r="859" spans="1:10" ht="26.25" customHeight="1" x14ac:dyDescent="0.2">
      <c r="A859" s="112" t="s">
        <v>25</v>
      </c>
      <c r="B859" s="112"/>
      <c r="C859" s="112" t="str">
        <f ca="1">INDIRECT(_xlfn.TEXTJOIN("",TRUE,A879,"!",ADDRESS(9+(A880-1)*A876,5)))</f>
        <v/>
      </c>
      <c r="D859" s="112"/>
      <c r="E859" s="112"/>
      <c r="F859" s="114" t="s">
        <v>51</v>
      </c>
      <c r="G859" s="114"/>
      <c r="H859" s="114"/>
      <c r="I859" s="113" t="str">
        <f ca="1">INDIRECT(_xlfn.TEXTJOIN("",TRUE,A879,"!",ADDRESS(9+(A880-1)*A876,13)))</f>
        <v/>
      </c>
      <c r="J859" s="113"/>
    </row>
    <row r="860" spans="1:10" ht="26.25" customHeight="1" x14ac:dyDescent="0.2">
      <c r="A860" s="95" t="s">
        <v>28</v>
      </c>
      <c r="B860" s="95"/>
      <c r="C860" s="95" t="s">
        <v>29</v>
      </c>
      <c r="D860" s="95"/>
      <c r="E860" s="95"/>
      <c r="F860" s="95"/>
      <c r="G860" s="95"/>
      <c r="H860" s="15" t="s">
        <v>30</v>
      </c>
      <c r="I860" s="15" t="s">
        <v>9</v>
      </c>
      <c r="J860" s="15" t="s">
        <v>34</v>
      </c>
    </row>
    <row r="861" spans="1:10" ht="26.25" customHeight="1" x14ac:dyDescent="0.2">
      <c r="A861" s="96" t="str">
        <f ca="1">INDIRECT(_xlfn.TEXTJOIN("",TRUE,A879,"!",ADDRESS(13+(A880-1)*A876,1)))</f>
        <v/>
      </c>
      <c r="B861" s="97"/>
      <c r="C861" s="106" t="str">
        <f ca="1">INDIRECT(_xlfn.TEXTJOIN("",TRUE,A879,"!",ADDRESS(13+(A880-1)*A876,2)))</f>
        <v/>
      </c>
      <c r="D861" s="107"/>
      <c r="E861" s="107"/>
      <c r="F861" s="107"/>
      <c r="G861" s="108"/>
      <c r="H861" s="20" t="str">
        <f ca="1">INDIRECT(_xlfn.TEXTJOIN("",TRUE,A879,"!",ADDRESS(13+(A880-1)*A876,6)))</f>
        <v/>
      </c>
      <c r="I861" s="20" t="str">
        <f ca="1">INDIRECT(_xlfn.TEXTJOIN("",TRUE,A879,"!",ADDRESS(13+(A880-1)*A876,13)))</f>
        <v/>
      </c>
      <c r="J861" s="20" t="e">
        <f ca="1">INDIRECT(_xlfn.TEXTJOIN("",TRUE,A879,"!",ADDRESS(13+(A880-1)*A876,14)))</f>
        <v>#N/A</v>
      </c>
    </row>
    <row r="862" spans="1:10" ht="26.25" customHeight="1" x14ac:dyDescent="0.2">
      <c r="A862" s="96" t="str">
        <f ca="1">INDIRECT(_xlfn.TEXTJOIN("",TRUE,A879,"!",ADDRESS(14+(A880-1)*A876,1)))</f>
        <v/>
      </c>
      <c r="B862" s="97"/>
      <c r="C862" s="106" t="str">
        <f ca="1">INDIRECT(_xlfn.TEXTJOIN("",TRUE,A879,"!",ADDRESS(14+(A880-1)*A876,2)))</f>
        <v/>
      </c>
      <c r="D862" s="107"/>
      <c r="E862" s="107"/>
      <c r="F862" s="107"/>
      <c r="G862" s="108"/>
      <c r="H862" s="20" t="str">
        <f ca="1">INDIRECT(_xlfn.TEXTJOIN("",TRUE,A879,"!",ADDRESS(14+(A880-1)*A876,6)))</f>
        <v/>
      </c>
      <c r="I862" s="20" t="str">
        <f ca="1">INDIRECT(_xlfn.TEXTJOIN("",TRUE,A879,"!",ADDRESS(14+(A880-1)*A876,13)))</f>
        <v/>
      </c>
      <c r="J862" s="20" t="e">
        <f ca="1">INDIRECT(_xlfn.TEXTJOIN("",TRUE,A879,"!",ADDRESS(14+(A880-1)*A876,14)))</f>
        <v>#N/A</v>
      </c>
    </row>
    <row r="863" spans="1:10" ht="26.25" customHeight="1" x14ac:dyDescent="0.2">
      <c r="A863" s="96" t="str">
        <f ca="1">INDIRECT(_xlfn.TEXTJOIN("",TRUE,A879,"!",ADDRESS(15+(A880-1)*A876,1)))</f>
        <v/>
      </c>
      <c r="B863" s="97"/>
      <c r="C863" s="106" t="str">
        <f ca="1">INDIRECT(_xlfn.TEXTJOIN("",TRUE,A879,"!",ADDRESS(15+(A880-1)*A876,2)))</f>
        <v/>
      </c>
      <c r="D863" s="107"/>
      <c r="E863" s="107"/>
      <c r="F863" s="107"/>
      <c r="G863" s="108"/>
      <c r="H863" s="20" t="str">
        <f ca="1">INDIRECT(_xlfn.TEXTJOIN("",TRUE,A879,"!",ADDRESS(15+(A880-1)*A876,6)))</f>
        <v/>
      </c>
      <c r="I863" s="20" t="str">
        <f ca="1">INDIRECT(_xlfn.TEXTJOIN("",TRUE,A879,"!",ADDRESS(15+(A880-1)*A876,13)))</f>
        <v/>
      </c>
      <c r="J863" s="20" t="e">
        <f ca="1">INDIRECT(_xlfn.TEXTJOIN("",TRUE,A879,"!",ADDRESS(15+(A880-1)*A876,14)))</f>
        <v>#N/A</v>
      </c>
    </row>
    <row r="864" spans="1:10" ht="26.25" customHeight="1" x14ac:dyDescent="0.2">
      <c r="A864" s="96" t="str">
        <f ca="1">INDIRECT(_xlfn.TEXTJOIN("",TRUE,A879,"!",ADDRESS(16+(A880-1)*A876,1)))</f>
        <v/>
      </c>
      <c r="B864" s="97"/>
      <c r="C864" s="106" t="str">
        <f ca="1">INDIRECT(_xlfn.TEXTJOIN("",TRUE,A879,"!",ADDRESS(16+(A880-1)*A876,2)))</f>
        <v/>
      </c>
      <c r="D864" s="107"/>
      <c r="E864" s="107"/>
      <c r="F864" s="107"/>
      <c r="G864" s="108"/>
      <c r="H864" s="20" t="str">
        <f ca="1">INDIRECT(_xlfn.TEXTJOIN("",TRUE,A879,"!",ADDRESS(16+(A880-1)*A876,6)))</f>
        <v/>
      </c>
      <c r="I864" s="20" t="str">
        <f ca="1">INDIRECT(_xlfn.TEXTJOIN("",TRUE,A879,"!",ADDRESS(16+(A880-1)*A876,13)))</f>
        <v/>
      </c>
      <c r="J864" s="20" t="e">
        <f ca="1">INDIRECT(_xlfn.TEXTJOIN("",TRUE,A879,"!",ADDRESS(16+(A880-1)*A876,14)))</f>
        <v>#N/A</v>
      </c>
    </row>
    <row r="865" spans="1:10" ht="26.25" customHeight="1" x14ac:dyDescent="0.2">
      <c r="A865" s="96" t="str">
        <f ca="1">INDIRECT(_xlfn.TEXTJOIN("",TRUE,A879,"!",ADDRESS(17+(A880-1)*A876,1)))</f>
        <v/>
      </c>
      <c r="B865" s="97"/>
      <c r="C865" s="106" t="str">
        <f ca="1">INDIRECT(_xlfn.TEXTJOIN("",TRUE,A879,"!",ADDRESS(17+(A880-1)*A876,2)))</f>
        <v/>
      </c>
      <c r="D865" s="107"/>
      <c r="E865" s="107"/>
      <c r="F865" s="107"/>
      <c r="G865" s="108"/>
      <c r="H865" s="20" t="str">
        <f ca="1">INDIRECT(_xlfn.TEXTJOIN("",TRUE,A879,"!",ADDRESS(17+(A880-1)*A876,6)))</f>
        <v/>
      </c>
      <c r="I865" s="20" t="str">
        <f ca="1">INDIRECT(_xlfn.TEXTJOIN("",TRUE,A879,"!",ADDRESS(17+(A880-1)*A876,13)))</f>
        <v/>
      </c>
      <c r="J865" s="20" t="e">
        <f ca="1">INDIRECT(_xlfn.TEXTJOIN("",TRUE,A879,"!",ADDRESS(17+(A880-1)*A876,14)))</f>
        <v>#N/A</v>
      </c>
    </row>
    <row r="866" spans="1:10" ht="26.25" customHeight="1" x14ac:dyDescent="0.2">
      <c r="A866" s="96" t="str">
        <f ca="1">INDIRECT(_xlfn.TEXTJOIN("",TRUE,A879,"!",ADDRESS(18+(A880-1)*A876,1)))</f>
        <v/>
      </c>
      <c r="B866" s="97"/>
      <c r="C866" s="106" t="str">
        <f ca="1">INDIRECT(_xlfn.TEXTJOIN("",TRUE,A879,"!",ADDRESS(18+(A880-1)*A876,2)))</f>
        <v/>
      </c>
      <c r="D866" s="107"/>
      <c r="E866" s="107"/>
      <c r="F866" s="107"/>
      <c r="G866" s="108"/>
      <c r="H866" s="20" t="str">
        <f ca="1">INDIRECT(_xlfn.TEXTJOIN("",TRUE,A879,"!",ADDRESS(18+(A880-1)*A876,6)))</f>
        <v/>
      </c>
      <c r="I866" s="20" t="str">
        <f ca="1">INDIRECT(_xlfn.TEXTJOIN("",TRUE,A879,"!",ADDRESS(18+(A880-1)*A876,13)))</f>
        <v/>
      </c>
      <c r="J866" s="20" t="e">
        <f ca="1">INDIRECT(_xlfn.TEXTJOIN("",TRUE,A879,"!",ADDRESS(18+(A880-1)*A876,14)))</f>
        <v>#N/A</v>
      </c>
    </row>
    <row r="867" spans="1:10" ht="26.25" customHeight="1" x14ac:dyDescent="0.2">
      <c r="A867" s="96" t="str">
        <f ca="1">INDIRECT(_xlfn.TEXTJOIN("",TRUE,A879,"!",ADDRESS(19+(A880-1)*A876,1)))</f>
        <v/>
      </c>
      <c r="B867" s="97"/>
      <c r="C867" s="106" t="str">
        <f ca="1">INDIRECT(_xlfn.TEXTJOIN("",TRUE,A879,"!",ADDRESS(19+(A880-1)*A876,2)))</f>
        <v/>
      </c>
      <c r="D867" s="107"/>
      <c r="E867" s="107"/>
      <c r="F867" s="107"/>
      <c r="G867" s="108"/>
      <c r="H867" s="20" t="str">
        <f ca="1">INDIRECT(_xlfn.TEXTJOIN("",TRUE,A879,"!",ADDRESS(19+(A880-1)*A876,6)))</f>
        <v/>
      </c>
      <c r="I867" s="20" t="str">
        <f ca="1">INDIRECT(_xlfn.TEXTJOIN("",TRUE,A879,"!",ADDRESS(19+(A880-1)*A876,13)))</f>
        <v/>
      </c>
      <c r="J867" s="20" t="e">
        <f ca="1">INDIRECT(_xlfn.TEXTJOIN("",TRUE,A879,"!",ADDRESS(19+(A880-1)*A876,14)))</f>
        <v>#N/A</v>
      </c>
    </row>
    <row r="868" spans="1:10" ht="26.25" customHeight="1" x14ac:dyDescent="0.2">
      <c r="A868" s="96" t="str">
        <f ca="1">INDIRECT(_xlfn.TEXTJOIN("",TRUE,A879,"!",ADDRESS(20+(A880-1)*A876,1)))</f>
        <v/>
      </c>
      <c r="B868" s="97"/>
      <c r="C868" s="106" t="str">
        <f ca="1">INDIRECT(_xlfn.TEXTJOIN("",TRUE,A879,"!",ADDRESS(20+(A880-1)*A876,2)))</f>
        <v/>
      </c>
      <c r="D868" s="107"/>
      <c r="E868" s="107"/>
      <c r="F868" s="107"/>
      <c r="G868" s="108"/>
      <c r="H868" s="20" t="str">
        <f ca="1">INDIRECT(_xlfn.TEXTJOIN("",TRUE,A879,"!",ADDRESS(20+(A880-1)*A876,6)))</f>
        <v/>
      </c>
      <c r="I868" s="20" t="str">
        <f ca="1">INDIRECT(_xlfn.TEXTJOIN("",TRUE,A879,"!",ADDRESS(20+(A880-1)*A876,13)))</f>
        <v/>
      </c>
      <c r="J868" s="20" t="e">
        <f ca="1">INDIRECT(_xlfn.TEXTJOIN("",TRUE,A879,"!",ADDRESS(20+(A880-1)*A876,14)))</f>
        <v>#N/A</v>
      </c>
    </row>
    <row r="869" spans="1:10" ht="26.25" customHeight="1" x14ac:dyDescent="0.2">
      <c r="A869" s="96" t="str">
        <f ca="1">INDIRECT(_xlfn.TEXTJOIN("",TRUE,A879,"!",ADDRESS(21+(A880-1)*A876,1)))</f>
        <v/>
      </c>
      <c r="B869" s="97"/>
      <c r="C869" s="106" t="str">
        <f ca="1">INDIRECT(_xlfn.TEXTJOIN("",TRUE,A879,"!",ADDRESS(21+(A880-1)*A876,2)))</f>
        <v/>
      </c>
      <c r="D869" s="107"/>
      <c r="E869" s="107"/>
      <c r="F869" s="107"/>
      <c r="G869" s="108"/>
      <c r="H869" s="20" t="str">
        <f ca="1">INDIRECT(_xlfn.TEXTJOIN("",TRUE,A879,"!",ADDRESS(21+(A880-1)*A876,6)))</f>
        <v/>
      </c>
      <c r="I869" s="20" t="str">
        <f ca="1">INDIRECT(_xlfn.TEXTJOIN("",TRUE,A879,"!",ADDRESS(21+(A880-1)*A876,13)))</f>
        <v/>
      </c>
      <c r="J869" s="20" t="e">
        <f ca="1">INDIRECT(_xlfn.TEXTJOIN("",TRUE,A879,"!",ADDRESS(21+(A880-1)*A876,14)))</f>
        <v>#N/A</v>
      </c>
    </row>
    <row r="870" spans="1:10" ht="26.25" customHeight="1" x14ac:dyDescent="0.2">
      <c r="A870" s="96" t="str">
        <f ca="1">INDIRECT(_xlfn.TEXTJOIN("",TRUE,A879,"!",ADDRESS(22+(A880-1)*A876,1)))</f>
        <v/>
      </c>
      <c r="B870" s="97"/>
      <c r="C870" s="106" t="str">
        <f ca="1">INDIRECT(_xlfn.TEXTJOIN("",TRUE,A879,"!",ADDRESS(22+(A880-1)*A876,2)))</f>
        <v/>
      </c>
      <c r="D870" s="107"/>
      <c r="E870" s="107"/>
      <c r="F870" s="107"/>
      <c r="G870" s="108"/>
      <c r="H870" s="20" t="str">
        <f ca="1">INDIRECT(_xlfn.TEXTJOIN("",TRUE,A879,"!",ADDRESS(22+(A880-1)*A876,6)))</f>
        <v/>
      </c>
      <c r="I870" s="20" t="str">
        <f ca="1">INDIRECT(_xlfn.TEXTJOIN("",TRUE,A879,"!",ADDRESS(22+(A880-1)*A876,13)))</f>
        <v/>
      </c>
      <c r="J870" s="20" t="e">
        <f ca="1">INDIRECT(_xlfn.TEXTJOIN("",TRUE,A879,"!",ADDRESS(22+(A880-1)*A876,14)))</f>
        <v>#N/A</v>
      </c>
    </row>
    <row r="871" spans="1:10" ht="26.25" customHeight="1" x14ac:dyDescent="0.2">
      <c r="A871" s="110" t="str">
        <f ca="1">INDIRECT(_xlfn.TEXTJOIN("",TRUE,A879,"!",ADDRESS(23+(A880-1)*A876,1)))</f>
        <v/>
      </c>
      <c r="B871" s="111"/>
      <c r="C871" s="115" t="str">
        <f ca="1">INDIRECT(_xlfn.TEXTJOIN("",TRUE,A879,"!",ADDRESS(23+(A880-1)*A876,2)))</f>
        <v/>
      </c>
      <c r="D871" s="116"/>
      <c r="E871" s="116"/>
      <c r="F871" s="116"/>
      <c r="G871" s="117"/>
      <c r="H871" s="20" t="str">
        <f ca="1">INDIRECT(_xlfn.TEXTJOIN("",TRUE,A879,"!",ADDRESS(23+(A880-1)*A876,6)))</f>
        <v/>
      </c>
      <c r="I871" s="20" t="str">
        <f ca="1">INDIRECT(_xlfn.TEXTJOIN("",TRUE,A879,"!",ADDRESS(23+(A880-1)*A876,13)))</f>
        <v/>
      </c>
      <c r="J871" s="20" t="e">
        <f ca="1">INDIRECT(_xlfn.TEXTJOIN("",TRUE,A879,"!",ADDRESS(23+(A880-1)*A876,14)))</f>
        <v>#N/A</v>
      </c>
    </row>
    <row r="872" spans="1:10" ht="26.25" customHeight="1" x14ac:dyDescent="0.2">
      <c r="A872" s="110" t="str">
        <f ca="1">INDIRECT(_xlfn.TEXTJOIN("",TRUE,A879,"!",ADDRESS(24+(A880-1)*A876,1)))</f>
        <v/>
      </c>
      <c r="B872" s="111"/>
      <c r="C872" s="115" t="str">
        <f ca="1">INDIRECT(_xlfn.TEXTJOIN("",TRUE,A879,"!",ADDRESS(24+(A880-1)*A876,2)))</f>
        <v/>
      </c>
      <c r="D872" s="116"/>
      <c r="E872" s="116"/>
      <c r="F872" s="116"/>
      <c r="G872" s="117"/>
      <c r="H872" s="20" t="str">
        <f ca="1">INDIRECT(_xlfn.TEXTJOIN("",TRUE,A879,"!",ADDRESS(24+(A880-1)*A876,6)))</f>
        <v/>
      </c>
      <c r="I872" s="20" t="str">
        <f ca="1">INDIRECT(_xlfn.TEXTJOIN("",TRUE,A879,"!",ADDRESS(24+(A880-1)*A876,13)))</f>
        <v/>
      </c>
      <c r="J872" s="20" t="e">
        <f ca="1">INDIRECT(_xlfn.TEXTJOIN("",TRUE,A879,"!",ADDRESS(24+(A880-1)*A876,14)))</f>
        <v>#N/A</v>
      </c>
    </row>
    <row r="873" spans="1:10" ht="26.25" customHeight="1" x14ac:dyDescent="0.2">
      <c r="A873" s="110" t="str">
        <f ca="1">INDIRECT(_xlfn.TEXTJOIN("",TRUE,A879,"!",ADDRESS(25+(A880-1)*A876,1)))</f>
        <v/>
      </c>
      <c r="B873" s="111"/>
      <c r="C873" s="115" t="str">
        <f ca="1">INDIRECT(_xlfn.TEXTJOIN("",TRUE,A879,"!",ADDRESS(25+(A880-1)*A876,2)))</f>
        <v/>
      </c>
      <c r="D873" s="116"/>
      <c r="E873" s="116"/>
      <c r="F873" s="116"/>
      <c r="G873" s="117"/>
      <c r="H873" s="20" t="str">
        <f ca="1">INDIRECT(_xlfn.TEXTJOIN("",TRUE,A879,"!",ADDRESS(25+(A880-1)*A876,6)))</f>
        <v/>
      </c>
      <c r="I873" s="20" t="str">
        <f ca="1">INDIRECT(_xlfn.TEXTJOIN("",TRUE,A879,"!",ADDRESS(25+(A880-1)*A876,13)))</f>
        <v/>
      </c>
      <c r="J873" s="20" t="e">
        <f ca="1">INDIRECT(_xlfn.TEXTJOIN("",TRUE,A879,"!",ADDRESS(25+(A880-1)*A876,14)))</f>
        <v>#N/A</v>
      </c>
    </row>
    <row r="874" spans="1:10" ht="26.25" customHeight="1" x14ac:dyDescent="0.2">
      <c r="A874" s="100" t="s">
        <v>52</v>
      </c>
      <c r="B874" s="101"/>
      <c r="C874" s="101"/>
      <c r="D874" s="101"/>
      <c r="E874" s="101"/>
      <c r="F874" s="101"/>
      <c r="G874" s="102"/>
      <c r="H874" s="98">
        <f ca="1">SUM(H861:H874)</f>
        <v>24</v>
      </c>
      <c r="I874" s="98" t="s">
        <v>44</v>
      </c>
      <c r="J874" s="98" t="e">
        <f ca="1">SUMPRODUCT(J861:J873,H861:H873)</f>
        <v>#N/A</v>
      </c>
    </row>
    <row r="875" spans="1:10" ht="26.25" customHeight="1" x14ac:dyDescent="0.2">
      <c r="A875" s="103"/>
      <c r="B875" s="104"/>
      <c r="C875" s="104"/>
      <c r="D875" s="104"/>
      <c r="E875" s="104"/>
      <c r="F875" s="104"/>
      <c r="G875" s="105"/>
      <c r="H875" s="99"/>
      <c r="I875" s="99"/>
      <c r="J875" s="99"/>
    </row>
    <row r="876" spans="1:10" ht="26.25" customHeight="1" x14ac:dyDescent="0.2">
      <c r="A876" s="22">
        <f>ROWS(A861:B874)+9</f>
        <v>23</v>
      </c>
      <c r="B876" s="17"/>
      <c r="C876" s="17"/>
      <c r="D876" s="17"/>
      <c r="E876" s="17"/>
      <c r="F876" s="17"/>
      <c r="G876" s="17"/>
      <c r="H876" s="17"/>
      <c r="I876" s="17"/>
      <c r="J876" s="17"/>
    </row>
    <row r="877" spans="1:10" ht="26.25" customHeight="1" x14ac:dyDescent="0.2">
      <c r="A877" s="120" t="s">
        <v>40</v>
      </c>
      <c r="B877" s="120"/>
      <c r="C877" s="21" t="str">
        <f ca="1">INDIRECT(_xlfn.TEXTJOIN("",TRUE,A879,"!",ADDRESS(5+A880*A876,12)))</f>
        <v/>
      </c>
      <c r="D877" s="120" t="s">
        <v>38</v>
      </c>
      <c r="E877" s="120"/>
      <c r="F877" s="18" t="str">
        <f ca="1">INDIRECT(_xlfn.TEXTJOIN("",TRUE,A879,"!",ADDRESS(5+A880*A876,8)))</f>
        <v/>
      </c>
      <c r="G877" s="120" t="s">
        <v>39</v>
      </c>
      <c r="H877" s="120"/>
      <c r="I877" s="109" t="str">
        <f ca="1">INDIRECT(_xlfn.TEXTJOIN("",TRUE,A879,"!",ADDRESS(5+A880*A876,10)))</f>
        <v/>
      </c>
      <c r="J877" s="109"/>
    </row>
    <row r="878" spans="1:10" ht="26.25" customHeight="1" x14ac:dyDescent="0.2">
      <c r="A878" s="19" t="s">
        <v>36</v>
      </c>
      <c r="B878" s="95" t="str">
        <f ca="1">INDIRECT(_xlfn.TEXTJOIN("",TRUE,A879,"!",ADDRESS(5+A880*A876,2)))</f>
        <v/>
      </c>
      <c r="C878" s="95"/>
      <c r="D878" s="121" t="s">
        <v>37</v>
      </c>
      <c r="E878" s="121"/>
      <c r="F878" s="122" t="str">
        <f ca="1">INDIRECT(_xlfn.TEXTJOIN("",TRUE,A879,"!",ADDRESS(5+A880*A876,5)))</f>
        <v/>
      </c>
      <c r="G878" s="122"/>
      <c r="H878" s="122"/>
      <c r="I878" s="122"/>
      <c r="J878" s="122"/>
    </row>
    <row r="879" spans="1:10" ht="26.25" customHeight="1" x14ac:dyDescent="0.2">
      <c r="A879" s="22" t="str">
        <f>A856</f>
        <v>TC_I</v>
      </c>
    </row>
    <row r="880" spans="1:10" ht="26.25" customHeight="1" x14ac:dyDescent="0.2">
      <c r="A880" s="22">
        <f>A857+1</f>
        <v>38</v>
      </c>
    </row>
    <row r="881" spans="1:10" ht="26.25" customHeight="1" x14ac:dyDescent="0.2">
      <c r="A881" s="112" t="s">
        <v>24</v>
      </c>
      <c r="B881" s="112"/>
      <c r="C881" s="112" t="str">
        <f ca="1">INDIRECT(_xlfn.TEXTJOIN("",TRUE,A902,"!",ADDRESS(9+(A903-1)*A899,2)))</f>
        <v/>
      </c>
      <c r="D881" s="112"/>
      <c r="E881" s="112"/>
      <c r="F881" s="112" t="s">
        <v>50</v>
      </c>
      <c r="G881" s="112"/>
      <c r="H881" s="112"/>
      <c r="I881" s="113" t="str">
        <f ca="1">INDIRECT(_xlfn.TEXTJOIN("",TRUE,A902,"!",ADDRESS(9+(A903-1)*A899,9)))</f>
        <v/>
      </c>
      <c r="J881" s="113"/>
    </row>
    <row r="882" spans="1:10" ht="26.25" customHeight="1" x14ac:dyDescent="0.2">
      <c r="A882" s="112" t="s">
        <v>25</v>
      </c>
      <c r="B882" s="112"/>
      <c r="C882" s="112" t="str">
        <f ca="1">INDIRECT(_xlfn.TEXTJOIN("",TRUE,A902,"!",ADDRESS(9+(A903-1)*A899,5)))</f>
        <v/>
      </c>
      <c r="D882" s="112"/>
      <c r="E882" s="112"/>
      <c r="F882" s="114" t="s">
        <v>51</v>
      </c>
      <c r="G882" s="114"/>
      <c r="H882" s="114"/>
      <c r="I882" s="113" t="str">
        <f ca="1">INDIRECT(_xlfn.TEXTJOIN("",TRUE,A902,"!",ADDRESS(9+(A903-1)*A899,13)))</f>
        <v/>
      </c>
      <c r="J882" s="113"/>
    </row>
    <row r="883" spans="1:10" ht="26.25" customHeight="1" x14ac:dyDescent="0.2">
      <c r="A883" s="95" t="s">
        <v>28</v>
      </c>
      <c r="B883" s="95"/>
      <c r="C883" s="95" t="s">
        <v>29</v>
      </c>
      <c r="D883" s="95"/>
      <c r="E883" s="95"/>
      <c r="F883" s="95"/>
      <c r="G883" s="95"/>
      <c r="H883" s="15" t="s">
        <v>30</v>
      </c>
      <c r="I883" s="15" t="s">
        <v>9</v>
      </c>
      <c r="J883" s="15" t="s">
        <v>34</v>
      </c>
    </row>
    <row r="884" spans="1:10" ht="26.25" customHeight="1" x14ac:dyDescent="0.2">
      <c r="A884" s="96" t="str">
        <f ca="1">INDIRECT(_xlfn.TEXTJOIN("",TRUE,A902,"!",ADDRESS(13+(A903-1)*A899,1)))</f>
        <v/>
      </c>
      <c r="B884" s="97"/>
      <c r="C884" s="106" t="str">
        <f ca="1">INDIRECT(_xlfn.TEXTJOIN("",TRUE,A902,"!",ADDRESS(13+(A903-1)*A899,2)))</f>
        <v/>
      </c>
      <c r="D884" s="107"/>
      <c r="E884" s="107"/>
      <c r="F884" s="107"/>
      <c r="G884" s="108"/>
      <c r="H884" s="20" t="str">
        <f ca="1">INDIRECT(_xlfn.TEXTJOIN("",TRUE,A902,"!",ADDRESS(13+(A903-1)*A899,6)))</f>
        <v/>
      </c>
      <c r="I884" s="20" t="str">
        <f ca="1">INDIRECT(_xlfn.TEXTJOIN("",TRUE,A902,"!",ADDRESS(13+(A903-1)*A899,13)))</f>
        <v/>
      </c>
      <c r="J884" s="20" t="e">
        <f ca="1">INDIRECT(_xlfn.TEXTJOIN("",TRUE,A902,"!",ADDRESS(13+(A903-1)*A899,14)))</f>
        <v>#N/A</v>
      </c>
    </row>
    <row r="885" spans="1:10" ht="26.25" customHeight="1" x14ac:dyDescent="0.2">
      <c r="A885" s="96" t="str">
        <f ca="1">INDIRECT(_xlfn.TEXTJOIN("",TRUE,A902,"!",ADDRESS(14+(A903-1)*A899,1)))</f>
        <v/>
      </c>
      <c r="B885" s="97"/>
      <c r="C885" s="106" t="str">
        <f ca="1">INDIRECT(_xlfn.TEXTJOIN("",TRUE,A902,"!",ADDRESS(14+(A903-1)*A899,2)))</f>
        <v/>
      </c>
      <c r="D885" s="107"/>
      <c r="E885" s="107"/>
      <c r="F885" s="107"/>
      <c r="G885" s="108"/>
      <c r="H885" s="20" t="str">
        <f ca="1">INDIRECT(_xlfn.TEXTJOIN("",TRUE,A902,"!",ADDRESS(14+(A903-1)*A899,6)))</f>
        <v/>
      </c>
      <c r="I885" s="20" t="str">
        <f ca="1">INDIRECT(_xlfn.TEXTJOIN("",TRUE,A902,"!",ADDRESS(14+(A903-1)*A899,13)))</f>
        <v/>
      </c>
      <c r="J885" s="20" t="e">
        <f ca="1">INDIRECT(_xlfn.TEXTJOIN("",TRUE,A902,"!",ADDRESS(14+(A903-1)*A899,14)))</f>
        <v>#N/A</v>
      </c>
    </row>
    <row r="886" spans="1:10" ht="26.25" customHeight="1" x14ac:dyDescent="0.2">
      <c r="A886" s="96" t="str">
        <f ca="1">INDIRECT(_xlfn.TEXTJOIN("",TRUE,A902,"!",ADDRESS(15+(A903-1)*A899,1)))</f>
        <v/>
      </c>
      <c r="B886" s="97"/>
      <c r="C886" s="106" t="str">
        <f ca="1">INDIRECT(_xlfn.TEXTJOIN("",TRUE,A902,"!",ADDRESS(15+(A903-1)*A899,2)))</f>
        <v/>
      </c>
      <c r="D886" s="107"/>
      <c r="E886" s="107"/>
      <c r="F886" s="107"/>
      <c r="G886" s="108"/>
      <c r="H886" s="20" t="str">
        <f ca="1">INDIRECT(_xlfn.TEXTJOIN("",TRUE,A902,"!",ADDRESS(15+(A903-1)*A899,6)))</f>
        <v/>
      </c>
      <c r="I886" s="20" t="str">
        <f ca="1">INDIRECT(_xlfn.TEXTJOIN("",TRUE,A902,"!",ADDRESS(15+(A903-1)*A899,13)))</f>
        <v/>
      </c>
      <c r="J886" s="20" t="e">
        <f ca="1">INDIRECT(_xlfn.TEXTJOIN("",TRUE,A902,"!",ADDRESS(15+(A903-1)*A899,14)))</f>
        <v>#N/A</v>
      </c>
    </row>
    <row r="887" spans="1:10" ht="26.25" customHeight="1" x14ac:dyDescent="0.2">
      <c r="A887" s="96" t="str">
        <f ca="1">INDIRECT(_xlfn.TEXTJOIN("",TRUE,A902,"!",ADDRESS(16+(A903-1)*A899,1)))</f>
        <v/>
      </c>
      <c r="B887" s="97"/>
      <c r="C887" s="106" t="str">
        <f ca="1">INDIRECT(_xlfn.TEXTJOIN("",TRUE,A902,"!",ADDRESS(16+(A903-1)*A899,2)))</f>
        <v/>
      </c>
      <c r="D887" s="107"/>
      <c r="E887" s="107"/>
      <c r="F887" s="107"/>
      <c r="G887" s="108"/>
      <c r="H887" s="20" t="str">
        <f ca="1">INDIRECT(_xlfn.TEXTJOIN("",TRUE,A902,"!",ADDRESS(16+(A903-1)*A899,6)))</f>
        <v/>
      </c>
      <c r="I887" s="20" t="str">
        <f ca="1">INDIRECT(_xlfn.TEXTJOIN("",TRUE,A902,"!",ADDRESS(16+(A903-1)*A899,13)))</f>
        <v/>
      </c>
      <c r="J887" s="20" t="e">
        <f ca="1">INDIRECT(_xlfn.TEXTJOIN("",TRUE,A902,"!",ADDRESS(16+(A903-1)*A899,14)))</f>
        <v>#N/A</v>
      </c>
    </row>
    <row r="888" spans="1:10" ht="26.25" customHeight="1" x14ac:dyDescent="0.2">
      <c r="A888" s="96" t="str">
        <f ca="1">INDIRECT(_xlfn.TEXTJOIN("",TRUE,A902,"!",ADDRESS(17+(A903-1)*A899,1)))</f>
        <v/>
      </c>
      <c r="B888" s="97"/>
      <c r="C888" s="106" t="str">
        <f ca="1">INDIRECT(_xlfn.TEXTJOIN("",TRUE,A902,"!",ADDRESS(17+(A903-1)*A899,2)))</f>
        <v/>
      </c>
      <c r="D888" s="107"/>
      <c r="E888" s="107"/>
      <c r="F888" s="107"/>
      <c r="G888" s="108"/>
      <c r="H888" s="20" t="str">
        <f ca="1">INDIRECT(_xlfn.TEXTJOIN("",TRUE,A902,"!",ADDRESS(17+(A903-1)*A899,6)))</f>
        <v/>
      </c>
      <c r="I888" s="20" t="str">
        <f ca="1">INDIRECT(_xlfn.TEXTJOIN("",TRUE,A902,"!",ADDRESS(17+(A903-1)*A899,13)))</f>
        <v/>
      </c>
      <c r="J888" s="20" t="e">
        <f ca="1">INDIRECT(_xlfn.TEXTJOIN("",TRUE,A902,"!",ADDRESS(17+(A903-1)*A899,14)))</f>
        <v>#N/A</v>
      </c>
    </row>
    <row r="889" spans="1:10" ht="26.25" customHeight="1" x14ac:dyDescent="0.2">
      <c r="A889" s="96" t="str">
        <f ca="1">INDIRECT(_xlfn.TEXTJOIN("",TRUE,A902,"!",ADDRESS(18+(A903-1)*A899,1)))</f>
        <v/>
      </c>
      <c r="B889" s="97"/>
      <c r="C889" s="106" t="str">
        <f ca="1">INDIRECT(_xlfn.TEXTJOIN("",TRUE,A902,"!",ADDRESS(18+(A903-1)*A899,2)))</f>
        <v/>
      </c>
      <c r="D889" s="107"/>
      <c r="E889" s="107"/>
      <c r="F889" s="107"/>
      <c r="G889" s="108"/>
      <c r="H889" s="20" t="str">
        <f ca="1">INDIRECT(_xlfn.TEXTJOIN("",TRUE,A902,"!",ADDRESS(18+(A903-1)*A899,6)))</f>
        <v/>
      </c>
      <c r="I889" s="20" t="str">
        <f ca="1">INDIRECT(_xlfn.TEXTJOIN("",TRUE,A902,"!",ADDRESS(18+(A903-1)*A899,13)))</f>
        <v/>
      </c>
      <c r="J889" s="20" t="e">
        <f ca="1">INDIRECT(_xlfn.TEXTJOIN("",TRUE,A902,"!",ADDRESS(18+(A903-1)*A899,14)))</f>
        <v>#N/A</v>
      </c>
    </row>
    <row r="890" spans="1:10" ht="26.25" customHeight="1" x14ac:dyDescent="0.2">
      <c r="A890" s="96" t="str">
        <f ca="1">INDIRECT(_xlfn.TEXTJOIN("",TRUE,A902,"!",ADDRESS(19+(A903-1)*A899,1)))</f>
        <v/>
      </c>
      <c r="B890" s="97"/>
      <c r="C890" s="106" t="str">
        <f ca="1">INDIRECT(_xlfn.TEXTJOIN("",TRUE,A902,"!",ADDRESS(19+(A903-1)*A899,2)))</f>
        <v/>
      </c>
      <c r="D890" s="107"/>
      <c r="E890" s="107"/>
      <c r="F890" s="107"/>
      <c r="G890" s="108"/>
      <c r="H890" s="20" t="str">
        <f ca="1">INDIRECT(_xlfn.TEXTJOIN("",TRUE,A902,"!",ADDRESS(19+(A903-1)*A899,6)))</f>
        <v/>
      </c>
      <c r="I890" s="20" t="str">
        <f ca="1">INDIRECT(_xlfn.TEXTJOIN("",TRUE,A902,"!",ADDRESS(19+(A903-1)*A899,13)))</f>
        <v/>
      </c>
      <c r="J890" s="20" t="e">
        <f ca="1">INDIRECT(_xlfn.TEXTJOIN("",TRUE,A902,"!",ADDRESS(19+(A903-1)*A899,14)))</f>
        <v>#N/A</v>
      </c>
    </row>
    <row r="891" spans="1:10" ht="26.25" customHeight="1" x14ac:dyDescent="0.2">
      <c r="A891" s="96" t="str">
        <f ca="1">INDIRECT(_xlfn.TEXTJOIN("",TRUE,A902,"!",ADDRESS(20+(A903-1)*A899,1)))</f>
        <v/>
      </c>
      <c r="B891" s="97"/>
      <c r="C891" s="106" t="str">
        <f ca="1">INDIRECT(_xlfn.TEXTJOIN("",TRUE,A902,"!",ADDRESS(20+(A903-1)*A899,2)))</f>
        <v/>
      </c>
      <c r="D891" s="107"/>
      <c r="E891" s="107"/>
      <c r="F891" s="107"/>
      <c r="G891" s="108"/>
      <c r="H891" s="20" t="str">
        <f ca="1">INDIRECT(_xlfn.TEXTJOIN("",TRUE,A902,"!",ADDRESS(20+(A903-1)*A899,6)))</f>
        <v/>
      </c>
      <c r="I891" s="20" t="str">
        <f ca="1">INDIRECT(_xlfn.TEXTJOIN("",TRUE,A902,"!",ADDRESS(20+(A903-1)*A899,13)))</f>
        <v/>
      </c>
      <c r="J891" s="20" t="e">
        <f ca="1">INDIRECT(_xlfn.TEXTJOIN("",TRUE,A902,"!",ADDRESS(20+(A903-1)*A899,14)))</f>
        <v>#N/A</v>
      </c>
    </row>
    <row r="892" spans="1:10" ht="26.25" customHeight="1" x14ac:dyDescent="0.2">
      <c r="A892" s="96" t="str">
        <f ca="1">INDIRECT(_xlfn.TEXTJOIN("",TRUE,A902,"!",ADDRESS(21+(A903-1)*A899,1)))</f>
        <v/>
      </c>
      <c r="B892" s="97"/>
      <c r="C892" s="106" t="str">
        <f ca="1">INDIRECT(_xlfn.TEXTJOIN("",TRUE,A902,"!",ADDRESS(21+(A903-1)*A899,2)))</f>
        <v/>
      </c>
      <c r="D892" s="107"/>
      <c r="E892" s="107"/>
      <c r="F892" s="107"/>
      <c r="G892" s="108"/>
      <c r="H892" s="20" t="str">
        <f ca="1">INDIRECT(_xlfn.TEXTJOIN("",TRUE,A902,"!",ADDRESS(21+(A903-1)*A899,6)))</f>
        <v/>
      </c>
      <c r="I892" s="20" t="str">
        <f ca="1">INDIRECT(_xlfn.TEXTJOIN("",TRUE,A902,"!",ADDRESS(21+(A903-1)*A899,13)))</f>
        <v/>
      </c>
      <c r="J892" s="20" t="e">
        <f ca="1">INDIRECT(_xlfn.TEXTJOIN("",TRUE,A902,"!",ADDRESS(21+(A903-1)*A899,14)))</f>
        <v>#N/A</v>
      </c>
    </row>
    <row r="893" spans="1:10" ht="26.25" customHeight="1" x14ac:dyDescent="0.2">
      <c r="A893" s="96" t="str">
        <f ca="1">INDIRECT(_xlfn.TEXTJOIN("",TRUE,A902,"!",ADDRESS(22+(A903-1)*A899,1)))</f>
        <v/>
      </c>
      <c r="B893" s="97"/>
      <c r="C893" s="106" t="str">
        <f ca="1">INDIRECT(_xlfn.TEXTJOIN("",TRUE,A902,"!",ADDRESS(22+(A903-1)*A899,2)))</f>
        <v/>
      </c>
      <c r="D893" s="107"/>
      <c r="E893" s="107"/>
      <c r="F893" s="107"/>
      <c r="G893" s="108"/>
      <c r="H893" s="20" t="str">
        <f ca="1">INDIRECT(_xlfn.TEXTJOIN("",TRUE,A902,"!",ADDRESS(22+(A903-1)*A899,6)))</f>
        <v/>
      </c>
      <c r="I893" s="20" t="str">
        <f ca="1">INDIRECT(_xlfn.TEXTJOIN("",TRUE,A902,"!",ADDRESS(22+(A903-1)*A899,13)))</f>
        <v/>
      </c>
      <c r="J893" s="20" t="e">
        <f ca="1">INDIRECT(_xlfn.TEXTJOIN("",TRUE,A902,"!",ADDRESS(22+(A903-1)*A899,14)))</f>
        <v>#N/A</v>
      </c>
    </row>
    <row r="894" spans="1:10" ht="26.25" customHeight="1" x14ac:dyDescent="0.2">
      <c r="A894" s="110" t="str">
        <f ca="1">INDIRECT(_xlfn.TEXTJOIN("",TRUE,A902,"!",ADDRESS(23+(A903-1)*A899,1)))</f>
        <v/>
      </c>
      <c r="B894" s="111"/>
      <c r="C894" s="115" t="str">
        <f ca="1">INDIRECT(_xlfn.TEXTJOIN("",TRUE,A902,"!",ADDRESS(23+(A903-1)*A899,2)))</f>
        <v/>
      </c>
      <c r="D894" s="116"/>
      <c r="E894" s="116"/>
      <c r="F894" s="116"/>
      <c r="G894" s="117"/>
      <c r="H894" s="20" t="str">
        <f ca="1">INDIRECT(_xlfn.TEXTJOIN("",TRUE,A902,"!",ADDRESS(23+(A903-1)*A899,6)))</f>
        <v/>
      </c>
      <c r="I894" s="20" t="str">
        <f ca="1">INDIRECT(_xlfn.TEXTJOIN("",TRUE,A902,"!",ADDRESS(23+(A903-1)*A899,13)))</f>
        <v/>
      </c>
      <c r="J894" s="20" t="e">
        <f ca="1">INDIRECT(_xlfn.TEXTJOIN("",TRUE,A902,"!",ADDRESS(23+(A903-1)*A899,14)))</f>
        <v>#N/A</v>
      </c>
    </row>
    <row r="895" spans="1:10" ht="26.25" customHeight="1" x14ac:dyDescent="0.2">
      <c r="A895" s="110" t="str">
        <f ca="1">INDIRECT(_xlfn.TEXTJOIN("",TRUE,A902,"!",ADDRESS(24+(A903-1)*A899,1)))</f>
        <v/>
      </c>
      <c r="B895" s="111"/>
      <c r="C895" s="115" t="str">
        <f ca="1">INDIRECT(_xlfn.TEXTJOIN("",TRUE,A902,"!",ADDRESS(24+(A903-1)*A899,2)))</f>
        <v/>
      </c>
      <c r="D895" s="116"/>
      <c r="E895" s="116"/>
      <c r="F895" s="116"/>
      <c r="G895" s="117"/>
      <c r="H895" s="20" t="str">
        <f ca="1">INDIRECT(_xlfn.TEXTJOIN("",TRUE,A902,"!",ADDRESS(24+(A903-1)*A899,6)))</f>
        <v/>
      </c>
      <c r="I895" s="20" t="str">
        <f ca="1">INDIRECT(_xlfn.TEXTJOIN("",TRUE,A902,"!",ADDRESS(24+(A903-1)*A899,13)))</f>
        <v/>
      </c>
      <c r="J895" s="20" t="e">
        <f ca="1">INDIRECT(_xlfn.TEXTJOIN("",TRUE,A902,"!",ADDRESS(24+(A903-1)*A899,14)))</f>
        <v>#N/A</v>
      </c>
    </row>
    <row r="896" spans="1:10" ht="26.25" customHeight="1" x14ac:dyDescent="0.2">
      <c r="A896" s="110" t="str">
        <f ca="1">INDIRECT(_xlfn.TEXTJOIN("",TRUE,A902,"!",ADDRESS(25+(A903-1)*A899,1)))</f>
        <v/>
      </c>
      <c r="B896" s="111"/>
      <c r="C896" s="115" t="str">
        <f ca="1">INDIRECT(_xlfn.TEXTJOIN("",TRUE,A902,"!",ADDRESS(25+(A903-1)*A899,2)))</f>
        <v/>
      </c>
      <c r="D896" s="116"/>
      <c r="E896" s="116"/>
      <c r="F896" s="116"/>
      <c r="G896" s="117"/>
      <c r="H896" s="20" t="str">
        <f ca="1">INDIRECT(_xlfn.TEXTJOIN("",TRUE,A902,"!",ADDRESS(25+(A903-1)*A899,6)))</f>
        <v/>
      </c>
      <c r="I896" s="20" t="str">
        <f ca="1">INDIRECT(_xlfn.TEXTJOIN("",TRUE,A902,"!",ADDRESS(25+(A903-1)*A899,13)))</f>
        <v/>
      </c>
      <c r="J896" s="20" t="e">
        <f ca="1">INDIRECT(_xlfn.TEXTJOIN("",TRUE,A902,"!",ADDRESS(25+(A903-1)*A899,14)))</f>
        <v>#N/A</v>
      </c>
    </row>
    <row r="897" spans="1:10" ht="26.25" customHeight="1" x14ac:dyDescent="0.2">
      <c r="A897" s="100" t="s">
        <v>52</v>
      </c>
      <c r="B897" s="101"/>
      <c r="C897" s="101"/>
      <c r="D897" s="101"/>
      <c r="E897" s="101"/>
      <c r="F897" s="101"/>
      <c r="G897" s="102"/>
      <c r="H897" s="98">
        <f ca="1">SUM(H884:H897)</f>
        <v>24</v>
      </c>
      <c r="I897" s="98" t="s">
        <v>44</v>
      </c>
      <c r="J897" s="98" t="e">
        <f ca="1">SUMPRODUCT(J884:J896,H884:H896)</f>
        <v>#N/A</v>
      </c>
    </row>
    <row r="898" spans="1:10" ht="26.25" customHeight="1" x14ac:dyDescent="0.2">
      <c r="A898" s="103"/>
      <c r="B898" s="104"/>
      <c r="C898" s="104"/>
      <c r="D898" s="104"/>
      <c r="E898" s="104"/>
      <c r="F898" s="104"/>
      <c r="G898" s="105"/>
      <c r="H898" s="99"/>
      <c r="I898" s="99"/>
      <c r="J898" s="99"/>
    </row>
    <row r="899" spans="1:10" ht="26.25" customHeight="1" x14ac:dyDescent="0.2">
      <c r="A899" s="22">
        <f>ROWS(A884:B897)+9</f>
        <v>23</v>
      </c>
      <c r="B899" s="17"/>
      <c r="C899" s="17"/>
      <c r="D899" s="17"/>
      <c r="E899" s="17"/>
      <c r="F899" s="17"/>
      <c r="G899" s="17"/>
      <c r="H899" s="17"/>
      <c r="I899" s="17"/>
      <c r="J899" s="17"/>
    </row>
    <row r="900" spans="1:10" ht="26.25" customHeight="1" x14ac:dyDescent="0.2">
      <c r="A900" s="120" t="s">
        <v>40</v>
      </c>
      <c r="B900" s="120"/>
      <c r="C900" s="21" t="str">
        <f ca="1">INDIRECT(_xlfn.TEXTJOIN("",TRUE,A902,"!",ADDRESS(5+A903*A899,12)))</f>
        <v/>
      </c>
      <c r="D900" s="120" t="s">
        <v>38</v>
      </c>
      <c r="E900" s="120"/>
      <c r="F900" s="18" t="str">
        <f ca="1">INDIRECT(_xlfn.TEXTJOIN("",TRUE,A902,"!",ADDRESS(5+A903*A899,8)))</f>
        <v/>
      </c>
      <c r="G900" s="120" t="s">
        <v>39</v>
      </c>
      <c r="H900" s="120"/>
      <c r="I900" s="109" t="str">
        <f ca="1">INDIRECT(_xlfn.TEXTJOIN("",TRUE,A902,"!",ADDRESS(5+A903*A899,10)))</f>
        <v/>
      </c>
      <c r="J900" s="109"/>
    </row>
    <row r="901" spans="1:10" ht="26.25" customHeight="1" x14ac:dyDescent="0.2">
      <c r="A901" s="19" t="s">
        <v>36</v>
      </c>
      <c r="B901" s="95" t="str">
        <f ca="1">INDIRECT(_xlfn.TEXTJOIN("",TRUE,A902,"!",ADDRESS(5+A903*A899,2)))</f>
        <v/>
      </c>
      <c r="C901" s="95"/>
      <c r="D901" s="121" t="s">
        <v>37</v>
      </c>
      <c r="E901" s="121"/>
      <c r="F901" s="122" t="str">
        <f ca="1">INDIRECT(_xlfn.TEXTJOIN("",TRUE,A902,"!",ADDRESS(5+A903*A899,5)))</f>
        <v/>
      </c>
      <c r="G901" s="122"/>
      <c r="H901" s="122"/>
      <c r="I901" s="122"/>
      <c r="J901" s="122"/>
    </row>
    <row r="902" spans="1:10" ht="26.25" customHeight="1" x14ac:dyDescent="0.2">
      <c r="A902" s="22" t="str">
        <f>A879</f>
        <v>TC_I</v>
      </c>
    </row>
    <row r="903" spans="1:10" ht="26.25" customHeight="1" x14ac:dyDescent="0.2">
      <c r="A903" s="22">
        <f>A880+1</f>
        <v>39</v>
      </c>
    </row>
    <row r="904" spans="1:10" ht="26.25" customHeight="1" x14ac:dyDescent="0.2">
      <c r="A904" s="112" t="s">
        <v>24</v>
      </c>
      <c r="B904" s="112"/>
      <c r="C904" s="112" t="str">
        <f ca="1">INDIRECT(_xlfn.TEXTJOIN("",TRUE,A925,"!",ADDRESS(9+(A926-1)*A922,2)))</f>
        <v/>
      </c>
      <c r="D904" s="112"/>
      <c r="E904" s="112"/>
      <c r="F904" s="112" t="s">
        <v>50</v>
      </c>
      <c r="G904" s="112"/>
      <c r="H904" s="112"/>
      <c r="I904" s="113" t="str">
        <f ca="1">INDIRECT(_xlfn.TEXTJOIN("",TRUE,A925,"!",ADDRESS(9+(A926-1)*A922,9)))</f>
        <v/>
      </c>
      <c r="J904" s="113"/>
    </row>
    <row r="905" spans="1:10" ht="26.25" customHeight="1" x14ac:dyDescent="0.2">
      <c r="A905" s="112" t="s">
        <v>25</v>
      </c>
      <c r="B905" s="112"/>
      <c r="C905" s="112" t="str">
        <f ca="1">INDIRECT(_xlfn.TEXTJOIN("",TRUE,A925,"!",ADDRESS(9+(A926-1)*A922,5)))</f>
        <v/>
      </c>
      <c r="D905" s="112"/>
      <c r="E905" s="112"/>
      <c r="F905" s="114" t="s">
        <v>51</v>
      </c>
      <c r="G905" s="114"/>
      <c r="H905" s="114"/>
      <c r="I905" s="113" t="str">
        <f ca="1">INDIRECT(_xlfn.TEXTJOIN("",TRUE,A925,"!",ADDRESS(9+(A926-1)*A922,13)))</f>
        <v/>
      </c>
      <c r="J905" s="113"/>
    </row>
    <row r="906" spans="1:10" ht="26.25" customHeight="1" x14ac:dyDescent="0.2">
      <c r="A906" s="95" t="s">
        <v>28</v>
      </c>
      <c r="B906" s="95"/>
      <c r="C906" s="95" t="s">
        <v>29</v>
      </c>
      <c r="D906" s="95"/>
      <c r="E906" s="95"/>
      <c r="F906" s="95"/>
      <c r="G906" s="95"/>
      <c r="H906" s="15" t="s">
        <v>30</v>
      </c>
      <c r="I906" s="15" t="s">
        <v>9</v>
      </c>
      <c r="J906" s="15" t="s">
        <v>34</v>
      </c>
    </row>
    <row r="907" spans="1:10" ht="26.25" customHeight="1" x14ac:dyDescent="0.2">
      <c r="A907" s="96" t="str">
        <f ca="1">INDIRECT(_xlfn.TEXTJOIN("",TRUE,A925,"!",ADDRESS(13+(A926-1)*A922,1)))</f>
        <v/>
      </c>
      <c r="B907" s="97"/>
      <c r="C907" s="106" t="str">
        <f ca="1">INDIRECT(_xlfn.TEXTJOIN("",TRUE,A925,"!",ADDRESS(13+(A926-1)*A922,2)))</f>
        <v/>
      </c>
      <c r="D907" s="107"/>
      <c r="E907" s="107"/>
      <c r="F907" s="107"/>
      <c r="G907" s="108"/>
      <c r="H907" s="20" t="str">
        <f ca="1">INDIRECT(_xlfn.TEXTJOIN("",TRUE,A925,"!",ADDRESS(13+(A926-1)*A922,6)))</f>
        <v/>
      </c>
      <c r="I907" s="20" t="str">
        <f ca="1">INDIRECT(_xlfn.TEXTJOIN("",TRUE,A925,"!",ADDRESS(13+(A926-1)*A922,13)))</f>
        <v/>
      </c>
      <c r="J907" s="20" t="e">
        <f ca="1">INDIRECT(_xlfn.TEXTJOIN("",TRUE,A925,"!",ADDRESS(13+(A926-1)*A922,14)))</f>
        <v>#N/A</v>
      </c>
    </row>
    <row r="908" spans="1:10" ht="26.25" customHeight="1" x14ac:dyDescent="0.2">
      <c r="A908" s="96" t="str">
        <f ca="1">INDIRECT(_xlfn.TEXTJOIN("",TRUE,A925,"!",ADDRESS(14+(A926-1)*A922,1)))</f>
        <v/>
      </c>
      <c r="B908" s="97"/>
      <c r="C908" s="106" t="str">
        <f ca="1">INDIRECT(_xlfn.TEXTJOIN("",TRUE,A925,"!",ADDRESS(14+(A926-1)*A922,2)))</f>
        <v/>
      </c>
      <c r="D908" s="107"/>
      <c r="E908" s="107"/>
      <c r="F908" s="107"/>
      <c r="G908" s="108"/>
      <c r="H908" s="20" t="str">
        <f ca="1">INDIRECT(_xlfn.TEXTJOIN("",TRUE,A925,"!",ADDRESS(14+(A926-1)*A922,6)))</f>
        <v/>
      </c>
      <c r="I908" s="20" t="str">
        <f ca="1">INDIRECT(_xlfn.TEXTJOIN("",TRUE,A925,"!",ADDRESS(14+(A926-1)*A922,13)))</f>
        <v/>
      </c>
      <c r="J908" s="20" t="e">
        <f ca="1">INDIRECT(_xlfn.TEXTJOIN("",TRUE,A925,"!",ADDRESS(14+(A926-1)*A922,14)))</f>
        <v>#N/A</v>
      </c>
    </row>
    <row r="909" spans="1:10" ht="26.25" customHeight="1" x14ac:dyDescent="0.2">
      <c r="A909" s="96" t="str">
        <f ca="1">INDIRECT(_xlfn.TEXTJOIN("",TRUE,A925,"!",ADDRESS(15+(A926-1)*A922,1)))</f>
        <v/>
      </c>
      <c r="B909" s="97"/>
      <c r="C909" s="106" t="str">
        <f ca="1">INDIRECT(_xlfn.TEXTJOIN("",TRUE,A925,"!",ADDRESS(15+(A926-1)*A922,2)))</f>
        <v/>
      </c>
      <c r="D909" s="107"/>
      <c r="E909" s="107"/>
      <c r="F909" s="107"/>
      <c r="G909" s="108"/>
      <c r="H909" s="20" t="str">
        <f ca="1">INDIRECT(_xlfn.TEXTJOIN("",TRUE,A925,"!",ADDRESS(15+(A926-1)*A922,6)))</f>
        <v/>
      </c>
      <c r="I909" s="20" t="str">
        <f ca="1">INDIRECT(_xlfn.TEXTJOIN("",TRUE,A925,"!",ADDRESS(15+(A926-1)*A922,13)))</f>
        <v/>
      </c>
      <c r="J909" s="20" t="e">
        <f ca="1">INDIRECT(_xlfn.TEXTJOIN("",TRUE,A925,"!",ADDRESS(15+(A926-1)*A922,14)))</f>
        <v>#N/A</v>
      </c>
    </row>
    <row r="910" spans="1:10" ht="26.25" customHeight="1" x14ac:dyDescent="0.2">
      <c r="A910" s="96" t="str">
        <f ca="1">INDIRECT(_xlfn.TEXTJOIN("",TRUE,A925,"!",ADDRESS(16+(A926-1)*A922,1)))</f>
        <v/>
      </c>
      <c r="B910" s="97"/>
      <c r="C910" s="106" t="str">
        <f ca="1">INDIRECT(_xlfn.TEXTJOIN("",TRUE,A925,"!",ADDRESS(16+(A926-1)*A922,2)))</f>
        <v/>
      </c>
      <c r="D910" s="107"/>
      <c r="E910" s="107"/>
      <c r="F910" s="107"/>
      <c r="G910" s="108"/>
      <c r="H910" s="20" t="str">
        <f ca="1">INDIRECT(_xlfn.TEXTJOIN("",TRUE,A925,"!",ADDRESS(16+(A926-1)*A922,6)))</f>
        <v/>
      </c>
      <c r="I910" s="20" t="str">
        <f ca="1">INDIRECT(_xlfn.TEXTJOIN("",TRUE,A925,"!",ADDRESS(16+(A926-1)*A922,13)))</f>
        <v/>
      </c>
      <c r="J910" s="20" t="e">
        <f ca="1">INDIRECT(_xlfn.TEXTJOIN("",TRUE,A925,"!",ADDRESS(16+(A926-1)*A922,14)))</f>
        <v>#N/A</v>
      </c>
    </row>
    <row r="911" spans="1:10" ht="26.25" customHeight="1" x14ac:dyDescent="0.2">
      <c r="A911" s="96" t="str">
        <f ca="1">INDIRECT(_xlfn.TEXTJOIN("",TRUE,A925,"!",ADDRESS(17+(A926-1)*A922,1)))</f>
        <v/>
      </c>
      <c r="B911" s="97"/>
      <c r="C911" s="106" t="str">
        <f ca="1">INDIRECT(_xlfn.TEXTJOIN("",TRUE,A925,"!",ADDRESS(17+(A926-1)*A922,2)))</f>
        <v/>
      </c>
      <c r="D911" s="107"/>
      <c r="E911" s="107"/>
      <c r="F911" s="107"/>
      <c r="G911" s="108"/>
      <c r="H911" s="20" t="str">
        <f ca="1">INDIRECT(_xlfn.TEXTJOIN("",TRUE,A925,"!",ADDRESS(17+(A926-1)*A922,6)))</f>
        <v/>
      </c>
      <c r="I911" s="20" t="str">
        <f ca="1">INDIRECT(_xlfn.TEXTJOIN("",TRUE,A925,"!",ADDRESS(17+(A926-1)*A922,13)))</f>
        <v/>
      </c>
      <c r="J911" s="20" t="e">
        <f ca="1">INDIRECT(_xlfn.TEXTJOIN("",TRUE,A925,"!",ADDRESS(17+(A926-1)*A922,14)))</f>
        <v>#N/A</v>
      </c>
    </row>
    <row r="912" spans="1:10" ht="26.25" customHeight="1" x14ac:dyDescent="0.2">
      <c r="A912" s="96" t="str">
        <f ca="1">INDIRECT(_xlfn.TEXTJOIN("",TRUE,A925,"!",ADDRESS(18+(A926-1)*A922,1)))</f>
        <v/>
      </c>
      <c r="B912" s="97"/>
      <c r="C912" s="106" t="str">
        <f ca="1">INDIRECT(_xlfn.TEXTJOIN("",TRUE,A925,"!",ADDRESS(18+(A926-1)*A922,2)))</f>
        <v/>
      </c>
      <c r="D912" s="107"/>
      <c r="E912" s="107"/>
      <c r="F912" s="107"/>
      <c r="G912" s="108"/>
      <c r="H912" s="20" t="str">
        <f ca="1">INDIRECT(_xlfn.TEXTJOIN("",TRUE,A925,"!",ADDRESS(18+(A926-1)*A922,6)))</f>
        <v/>
      </c>
      <c r="I912" s="20" t="str">
        <f ca="1">INDIRECT(_xlfn.TEXTJOIN("",TRUE,A925,"!",ADDRESS(18+(A926-1)*A922,13)))</f>
        <v/>
      </c>
      <c r="J912" s="20" t="e">
        <f ca="1">INDIRECT(_xlfn.TEXTJOIN("",TRUE,A925,"!",ADDRESS(18+(A926-1)*A922,14)))</f>
        <v>#N/A</v>
      </c>
    </row>
    <row r="913" spans="1:10" ht="26.25" customHeight="1" x14ac:dyDescent="0.2">
      <c r="A913" s="96" t="str">
        <f ca="1">INDIRECT(_xlfn.TEXTJOIN("",TRUE,A925,"!",ADDRESS(19+(A926-1)*A922,1)))</f>
        <v/>
      </c>
      <c r="B913" s="97"/>
      <c r="C913" s="106" t="str">
        <f ca="1">INDIRECT(_xlfn.TEXTJOIN("",TRUE,A925,"!",ADDRESS(19+(A926-1)*A922,2)))</f>
        <v/>
      </c>
      <c r="D913" s="107"/>
      <c r="E913" s="107"/>
      <c r="F913" s="107"/>
      <c r="G913" s="108"/>
      <c r="H913" s="20" t="str">
        <f ca="1">INDIRECT(_xlfn.TEXTJOIN("",TRUE,A925,"!",ADDRESS(19+(A926-1)*A922,6)))</f>
        <v/>
      </c>
      <c r="I913" s="20" t="str">
        <f ca="1">INDIRECT(_xlfn.TEXTJOIN("",TRUE,A925,"!",ADDRESS(19+(A926-1)*A922,13)))</f>
        <v/>
      </c>
      <c r="J913" s="20" t="e">
        <f ca="1">INDIRECT(_xlfn.TEXTJOIN("",TRUE,A925,"!",ADDRESS(19+(A926-1)*A922,14)))</f>
        <v>#N/A</v>
      </c>
    </row>
    <row r="914" spans="1:10" ht="26.25" customHeight="1" x14ac:dyDescent="0.2">
      <c r="A914" s="96" t="str">
        <f ca="1">INDIRECT(_xlfn.TEXTJOIN("",TRUE,A925,"!",ADDRESS(20+(A926-1)*A922,1)))</f>
        <v/>
      </c>
      <c r="B914" s="97"/>
      <c r="C914" s="106" t="str">
        <f ca="1">INDIRECT(_xlfn.TEXTJOIN("",TRUE,A925,"!",ADDRESS(20+(A926-1)*A922,2)))</f>
        <v/>
      </c>
      <c r="D914" s="107"/>
      <c r="E914" s="107"/>
      <c r="F914" s="107"/>
      <c r="G914" s="108"/>
      <c r="H914" s="20" t="str">
        <f ca="1">INDIRECT(_xlfn.TEXTJOIN("",TRUE,A925,"!",ADDRESS(20+(A926-1)*A922,6)))</f>
        <v/>
      </c>
      <c r="I914" s="20" t="str">
        <f ca="1">INDIRECT(_xlfn.TEXTJOIN("",TRUE,A925,"!",ADDRESS(20+(A926-1)*A922,13)))</f>
        <v/>
      </c>
      <c r="J914" s="20" t="e">
        <f ca="1">INDIRECT(_xlfn.TEXTJOIN("",TRUE,A925,"!",ADDRESS(20+(A926-1)*A922,14)))</f>
        <v>#N/A</v>
      </c>
    </row>
    <row r="915" spans="1:10" ht="26.25" customHeight="1" x14ac:dyDescent="0.2">
      <c r="A915" s="96" t="str">
        <f ca="1">INDIRECT(_xlfn.TEXTJOIN("",TRUE,A925,"!",ADDRESS(21+(A926-1)*A922,1)))</f>
        <v/>
      </c>
      <c r="B915" s="97"/>
      <c r="C915" s="106" t="str">
        <f ca="1">INDIRECT(_xlfn.TEXTJOIN("",TRUE,A925,"!",ADDRESS(21+(A926-1)*A922,2)))</f>
        <v/>
      </c>
      <c r="D915" s="107"/>
      <c r="E915" s="107"/>
      <c r="F915" s="107"/>
      <c r="G915" s="108"/>
      <c r="H915" s="20" t="str">
        <f ca="1">INDIRECT(_xlfn.TEXTJOIN("",TRUE,A925,"!",ADDRESS(21+(A926-1)*A922,6)))</f>
        <v/>
      </c>
      <c r="I915" s="20" t="str">
        <f ca="1">INDIRECT(_xlfn.TEXTJOIN("",TRUE,A925,"!",ADDRESS(21+(A926-1)*A922,13)))</f>
        <v/>
      </c>
      <c r="J915" s="20" t="e">
        <f ca="1">INDIRECT(_xlfn.TEXTJOIN("",TRUE,A925,"!",ADDRESS(21+(A926-1)*A922,14)))</f>
        <v>#N/A</v>
      </c>
    </row>
    <row r="916" spans="1:10" ht="26.25" customHeight="1" x14ac:dyDescent="0.2">
      <c r="A916" s="96" t="str">
        <f ca="1">INDIRECT(_xlfn.TEXTJOIN("",TRUE,A925,"!",ADDRESS(22+(A926-1)*A922,1)))</f>
        <v/>
      </c>
      <c r="B916" s="97"/>
      <c r="C916" s="106" t="str">
        <f ca="1">INDIRECT(_xlfn.TEXTJOIN("",TRUE,A925,"!",ADDRESS(22+(A926-1)*A922,2)))</f>
        <v/>
      </c>
      <c r="D916" s="107"/>
      <c r="E916" s="107"/>
      <c r="F916" s="107"/>
      <c r="G916" s="108"/>
      <c r="H916" s="20" t="str">
        <f ca="1">INDIRECT(_xlfn.TEXTJOIN("",TRUE,A925,"!",ADDRESS(22+(A926-1)*A922,6)))</f>
        <v/>
      </c>
      <c r="I916" s="20" t="str">
        <f ca="1">INDIRECT(_xlfn.TEXTJOIN("",TRUE,A925,"!",ADDRESS(22+(A926-1)*A922,13)))</f>
        <v/>
      </c>
      <c r="J916" s="20" t="e">
        <f ca="1">INDIRECT(_xlfn.TEXTJOIN("",TRUE,A925,"!",ADDRESS(22+(A926-1)*A922,14)))</f>
        <v>#N/A</v>
      </c>
    </row>
    <row r="917" spans="1:10" ht="26.25" customHeight="1" x14ac:dyDescent="0.2">
      <c r="A917" s="110" t="str">
        <f ca="1">INDIRECT(_xlfn.TEXTJOIN("",TRUE,A925,"!",ADDRESS(23+(A926-1)*A922,1)))</f>
        <v/>
      </c>
      <c r="B917" s="111"/>
      <c r="C917" s="115" t="str">
        <f ca="1">INDIRECT(_xlfn.TEXTJOIN("",TRUE,A925,"!",ADDRESS(23+(A926-1)*A922,2)))</f>
        <v/>
      </c>
      <c r="D917" s="116"/>
      <c r="E917" s="116"/>
      <c r="F917" s="116"/>
      <c r="G917" s="117"/>
      <c r="H917" s="20" t="str">
        <f ca="1">INDIRECT(_xlfn.TEXTJOIN("",TRUE,A925,"!",ADDRESS(23+(A926-1)*A922,6)))</f>
        <v/>
      </c>
      <c r="I917" s="20" t="str">
        <f ca="1">INDIRECT(_xlfn.TEXTJOIN("",TRUE,A925,"!",ADDRESS(23+(A926-1)*A922,13)))</f>
        <v/>
      </c>
      <c r="J917" s="20" t="e">
        <f ca="1">INDIRECT(_xlfn.TEXTJOIN("",TRUE,A925,"!",ADDRESS(23+(A926-1)*A922,14)))</f>
        <v>#N/A</v>
      </c>
    </row>
    <row r="918" spans="1:10" ht="26.25" customHeight="1" x14ac:dyDescent="0.2">
      <c r="A918" s="110" t="str">
        <f ca="1">INDIRECT(_xlfn.TEXTJOIN("",TRUE,A925,"!",ADDRESS(24+(A926-1)*A922,1)))</f>
        <v/>
      </c>
      <c r="B918" s="111"/>
      <c r="C918" s="115" t="str">
        <f ca="1">INDIRECT(_xlfn.TEXTJOIN("",TRUE,A925,"!",ADDRESS(24+(A926-1)*A922,2)))</f>
        <v/>
      </c>
      <c r="D918" s="116"/>
      <c r="E918" s="116"/>
      <c r="F918" s="116"/>
      <c r="G918" s="117"/>
      <c r="H918" s="20" t="str">
        <f ca="1">INDIRECT(_xlfn.TEXTJOIN("",TRUE,A925,"!",ADDRESS(24+(A926-1)*A922,6)))</f>
        <v/>
      </c>
      <c r="I918" s="20" t="str">
        <f ca="1">INDIRECT(_xlfn.TEXTJOIN("",TRUE,A925,"!",ADDRESS(24+(A926-1)*A922,13)))</f>
        <v/>
      </c>
      <c r="J918" s="20" t="e">
        <f ca="1">INDIRECT(_xlfn.TEXTJOIN("",TRUE,A925,"!",ADDRESS(24+(A926-1)*A922,14)))</f>
        <v>#N/A</v>
      </c>
    </row>
    <row r="919" spans="1:10" ht="26.25" customHeight="1" x14ac:dyDescent="0.2">
      <c r="A919" s="110" t="str">
        <f ca="1">INDIRECT(_xlfn.TEXTJOIN("",TRUE,A925,"!",ADDRESS(25+(A926-1)*A922,1)))</f>
        <v/>
      </c>
      <c r="B919" s="111"/>
      <c r="C919" s="115" t="str">
        <f ca="1">INDIRECT(_xlfn.TEXTJOIN("",TRUE,A925,"!",ADDRESS(25+(A926-1)*A922,2)))</f>
        <v/>
      </c>
      <c r="D919" s="116"/>
      <c r="E919" s="116"/>
      <c r="F919" s="116"/>
      <c r="G919" s="117"/>
      <c r="H919" s="20" t="str">
        <f ca="1">INDIRECT(_xlfn.TEXTJOIN("",TRUE,A925,"!",ADDRESS(25+(A926-1)*A922,6)))</f>
        <v/>
      </c>
      <c r="I919" s="20" t="str">
        <f ca="1">INDIRECT(_xlfn.TEXTJOIN("",TRUE,A925,"!",ADDRESS(25+(A926-1)*A922,13)))</f>
        <v/>
      </c>
      <c r="J919" s="20" t="e">
        <f ca="1">INDIRECT(_xlfn.TEXTJOIN("",TRUE,A925,"!",ADDRESS(25+(A926-1)*A922,14)))</f>
        <v>#N/A</v>
      </c>
    </row>
    <row r="920" spans="1:10" ht="26.25" customHeight="1" x14ac:dyDescent="0.2">
      <c r="A920" s="100" t="s">
        <v>52</v>
      </c>
      <c r="B920" s="101"/>
      <c r="C920" s="101"/>
      <c r="D920" s="101"/>
      <c r="E920" s="101"/>
      <c r="F920" s="101"/>
      <c r="G920" s="102"/>
      <c r="H920" s="98">
        <f ca="1">SUM(H907:H920)</f>
        <v>24</v>
      </c>
      <c r="I920" s="98" t="s">
        <v>44</v>
      </c>
      <c r="J920" s="98" t="e">
        <f ca="1">SUMPRODUCT(J907:J919,H907:H919)</f>
        <v>#N/A</v>
      </c>
    </row>
    <row r="921" spans="1:10" ht="26.25" customHeight="1" x14ac:dyDescent="0.2">
      <c r="A921" s="103"/>
      <c r="B921" s="104"/>
      <c r="C921" s="104"/>
      <c r="D921" s="104"/>
      <c r="E921" s="104"/>
      <c r="F921" s="104"/>
      <c r="G921" s="105"/>
      <c r="H921" s="99"/>
      <c r="I921" s="99"/>
      <c r="J921" s="99"/>
    </row>
    <row r="922" spans="1:10" ht="26.25" customHeight="1" x14ac:dyDescent="0.2">
      <c r="A922" s="22">
        <f>ROWS(A907:B920)+9</f>
        <v>23</v>
      </c>
      <c r="B922" s="17"/>
      <c r="C922" s="17"/>
      <c r="D922" s="17"/>
      <c r="E922" s="17"/>
      <c r="F922" s="17"/>
      <c r="G922" s="17"/>
      <c r="H922" s="17"/>
      <c r="I922" s="17"/>
      <c r="J922" s="17"/>
    </row>
    <row r="923" spans="1:10" ht="26.25" customHeight="1" x14ac:dyDescent="0.2">
      <c r="A923" s="120" t="s">
        <v>40</v>
      </c>
      <c r="B923" s="120"/>
      <c r="C923" s="21" t="str">
        <f ca="1">INDIRECT(_xlfn.TEXTJOIN("",TRUE,A925,"!",ADDRESS(5+A926*A922,12)))</f>
        <v/>
      </c>
      <c r="D923" s="120" t="s">
        <v>38</v>
      </c>
      <c r="E923" s="120"/>
      <c r="F923" s="18" t="str">
        <f ca="1">INDIRECT(_xlfn.TEXTJOIN("",TRUE,A925,"!",ADDRESS(5+A926*A922,8)))</f>
        <v/>
      </c>
      <c r="G923" s="120" t="s">
        <v>39</v>
      </c>
      <c r="H923" s="120"/>
      <c r="I923" s="109" t="str">
        <f ca="1">INDIRECT(_xlfn.TEXTJOIN("",TRUE,A925,"!",ADDRESS(5+A926*A922,10)))</f>
        <v/>
      </c>
      <c r="J923" s="109"/>
    </row>
    <row r="924" spans="1:10" ht="26.25" customHeight="1" x14ac:dyDescent="0.2">
      <c r="A924" s="19" t="s">
        <v>36</v>
      </c>
      <c r="B924" s="95" t="str">
        <f ca="1">INDIRECT(_xlfn.TEXTJOIN("",TRUE,A925,"!",ADDRESS(5+A926*A922,2)))</f>
        <v/>
      </c>
      <c r="C924" s="95"/>
      <c r="D924" s="121" t="s">
        <v>37</v>
      </c>
      <c r="E924" s="121"/>
      <c r="F924" s="122" t="str">
        <f ca="1">INDIRECT(_xlfn.TEXTJOIN("",TRUE,A925,"!",ADDRESS(5+A926*A922,5)))</f>
        <v/>
      </c>
      <c r="G924" s="122"/>
      <c r="H924" s="122"/>
      <c r="I924" s="122"/>
      <c r="J924" s="122"/>
    </row>
    <row r="925" spans="1:10" ht="26.25" customHeight="1" x14ac:dyDescent="0.2">
      <c r="A925" s="22" t="str">
        <f>A902</f>
        <v>TC_I</v>
      </c>
    </row>
    <row r="926" spans="1:10" ht="26.25" customHeight="1" x14ac:dyDescent="0.2">
      <c r="A926" s="22">
        <f>A903+1</f>
        <v>40</v>
      </c>
    </row>
  </sheetData>
  <mergeCells count="1885">
    <mergeCell ref="I513:J513"/>
    <mergeCell ref="A521:B521"/>
    <mergeCell ref="C521:G521"/>
    <mergeCell ref="A522:B522"/>
    <mergeCell ref="A524:B524"/>
    <mergeCell ref="C526:G526"/>
    <mergeCell ref="A515:B515"/>
    <mergeCell ref="C515:G515"/>
    <mergeCell ref="A516:B516"/>
    <mergeCell ref="C516:G516"/>
    <mergeCell ref="A519:B519"/>
    <mergeCell ref="A513:B513"/>
    <mergeCell ref="A514:B514"/>
    <mergeCell ref="A517:B517"/>
    <mergeCell ref="C517:G517"/>
    <mergeCell ref="A518:B518"/>
    <mergeCell ref="C518:G518"/>
    <mergeCell ref="C519:G519"/>
    <mergeCell ref="A520:B520"/>
    <mergeCell ref="C520:G520"/>
    <mergeCell ref="C522:G522"/>
    <mergeCell ref="C524:G524"/>
    <mergeCell ref="A523:B523"/>
    <mergeCell ref="A525:B525"/>
    <mergeCell ref="C525:G525"/>
    <mergeCell ref="A526:B526"/>
    <mergeCell ref="C523:G523"/>
    <mergeCell ref="D509:E509"/>
    <mergeCell ref="C513:E513"/>
    <mergeCell ref="F513:H513"/>
    <mergeCell ref="C430:G430"/>
    <mergeCell ref="A431:B431"/>
    <mergeCell ref="C431:G431"/>
    <mergeCell ref="A428:B428"/>
    <mergeCell ref="A459:B459"/>
    <mergeCell ref="C459:G459"/>
    <mergeCell ref="A403:B403"/>
    <mergeCell ref="A399:B399"/>
    <mergeCell ref="A409:B409"/>
    <mergeCell ref="C409:G409"/>
    <mergeCell ref="A410:B410"/>
    <mergeCell ref="C410:G410"/>
    <mergeCell ref="C454:G454"/>
    <mergeCell ref="A449:B449"/>
    <mergeCell ref="C433:G433"/>
    <mergeCell ref="A434:B434"/>
    <mergeCell ref="C434:G434"/>
    <mergeCell ref="F422:H422"/>
    <mergeCell ref="C421:E421"/>
    <mergeCell ref="F421:H421"/>
    <mergeCell ref="A417:B417"/>
    <mergeCell ref="A421:B421"/>
    <mergeCell ref="A411:B411"/>
    <mergeCell ref="C411:G411"/>
    <mergeCell ref="A481:B481"/>
    <mergeCell ref="C481:G481"/>
    <mergeCell ref="A482:B482"/>
    <mergeCell ref="C482:G482"/>
    <mergeCell ref="C477:G477"/>
    <mergeCell ref="C241:G241"/>
    <mergeCell ref="A242:B242"/>
    <mergeCell ref="C242:G242"/>
    <mergeCell ref="A245:B245"/>
    <mergeCell ref="I302:J302"/>
    <mergeCell ref="I237:J237"/>
    <mergeCell ref="C238:E238"/>
    <mergeCell ref="F238:H238"/>
    <mergeCell ref="I238:J238"/>
    <mergeCell ref="A243:B243"/>
    <mergeCell ref="C243:G243"/>
    <mergeCell ref="A244:B244"/>
    <mergeCell ref="C244:G244"/>
    <mergeCell ref="C245:G245"/>
    <mergeCell ref="A246:B246"/>
    <mergeCell ref="I253:I254"/>
    <mergeCell ref="J276:J277"/>
    <mergeCell ref="I276:I277"/>
    <mergeCell ref="A269:B269"/>
    <mergeCell ref="C269:G269"/>
    <mergeCell ref="A296:B296"/>
    <mergeCell ref="C296:G296"/>
    <mergeCell ref="A297:B297"/>
    <mergeCell ref="C297:G297"/>
    <mergeCell ref="C298:G298"/>
    <mergeCell ref="A298:B298"/>
    <mergeCell ref="A302:B302"/>
    <mergeCell ref="A295:B295"/>
    <mergeCell ref="C295:G295"/>
    <mergeCell ref="C270:G270"/>
    <mergeCell ref="C271:G271"/>
    <mergeCell ref="C272:G272"/>
    <mergeCell ref="I53:J53"/>
    <mergeCell ref="A54:B54"/>
    <mergeCell ref="I168:J168"/>
    <mergeCell ref="C169:E169"/>
    <mergeCell ref="F169:H169"/>
    <mergeCell ref="I169:J169"/>
    <mergeCell ref="A197:B197"/>
    <mergeCell ref="A201:B201"/>
    <mergeCell ref="A210:B210"/>
    <mergeCell ref="A206:B206"/>
    <mergeCell ref="A205:B205"/>
    <mergeCell ref="A195:B195"/>
    <mergeCell ref="C195:G195"/>
    <mergeCell ref="A196:B196"/>
    <mergeCell ref="C196:G196"/>
    <mergeCell ref="C197:G197"/>
    <mergeCell ref="C198:G198"/>
    <mergeCell ref="F192:H192"/>
    <mergeCell ref="A177:B177"/>
    <mergeCell ref="C177:G177"/>
    <mergeCell ref="A178:B178"/>
    <mergeCell ref="C178:G178"/>
    <mergeCell ref="C179:G179"/>
    <mergeCell ref="A180:B180"/>
    <mergeCell ref="C180:G180"/>
    <mergeCell ref="A181:B181"/>
    <mergeCell ref="C181:G181"/>
    <mergeCell ref="A182:B182"/>
    <mergeCell ref="C182:G182"/>
    <mergeCell ref="C183:G183"/>
    <mergeCell ref="I187:J187"/>
    <mergeCell ref="I192:J192"/>
    <mergeCell ref="C79:G79"/>
    <mergeCell ref="C80:G80"/>
    <mergeCell ref="C76:E76"/>
    <mergeCell ref="F76:H76"/>
    <mergeCell ref="C77:E77"/>
    <mergeCell ref="F77:H77"/>
    <mergeCell ref="A57:B57"/>
    <mergeCell ref="C57:G57"/>
    <mergeCell ref="A58:B58"/>
    <mergeCell ref="C58:G58"/>
    <mergeCell ref="A59:B59"/>
    <mergeCell ref="C59:G59"/>
    <mergeCell ref="A60:B60"/>
    <mergeCell ref="C60:G60"/>
    <mergeCell ref="A53:B53"/>
    <mergeCell ref="C53:E53"/>
    <mergeCell ref="F53:H53"/>
    <mergeCell ref="C54:E54"/>
    <mergeCell ref="F54:H54"/>
    <mergeCell ref="I26:J26"/>
    <mergeCell ref="B27:C27"/>
    <mergeCell ref="D27:E27"/>
    <mergeCell ref="A18:B18"/>
    <mergeCell ref="C18:G18"/>
    <mergeCell ref="A26:B26"/>
    <mergeCell ref="D26:E26"/>
    <mergeCell ref="G26:H26"/>
    <mergeCell ref="A16:B16"/>
    <mergeCell ref="C16:G16"/>
    <mergeCell ref="A17:B17"/>
    <mergeCell ref="C17:G17"/>
    <mergeCell ref="A19:B19"/>
    <mergeCell ref="A20:B20"/>
    <mergeCell ref="C19:G19"/>
    <mergeCell ref="C20:G20"/>
    <mergeCell ref="A22:B22"/>
    <mergeCell ref="C22:G22"/>
    <mergeCell ref="F27:J27"/>
    <mergeCell ref="A21:B21"/>
    <mergeCell ref="C21:G21"/>
    <mergeCell ref="A23:G24"/>
    <mergeCell ref="H23:H24"/>
    <mergeCell ref="I23:I24"/>
    <mergeCell ref="J23:J24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A527:B527"/>
    <mergeCell ref="C527:G527"/>
    <mergeCell ref="A528:B528"/>
    <mergeCell ref="C528:G528"/>
    <mergeCell ref="A382:B382"/>
    <mergeCell ref="A371:B371"/>
    <mergeCell ref="A377:B377"/>
    <mergeCell ref="A407:B407"/>
    <mergeCell ref="A389:B389"/>
    <mergeCell ref="C389:G389"/>
    <mergeCell ref="A450:B450"/>
    <mergeCell ref="A458:B458"/>
    <mergeCell ref="C458:G458"/>
    <mergeCell ref="C453:G453"/>
    <mergeCell ref="A454:B454"/>
    <mergeCell ref="A497:B497"/>
    <mergeCell ref="C497:G497"/>
    <mergeCell ref="A498:B498"/>
    <mergeCell ref="C498:G498"/>
    <mergeCell ref="C499:G499"/>
    <mergeCell ref="A472:B472"/>
    <mergeCell ref="C472:G472"/>
    <mergeCell ref="A473:B473"/>
    <mergeCell ref="C473:G473"/>
    <mergeCell ref="A474:B474"/>
    <mergeCell ref="C474:G474"/>
    <mergeCell ref="A477:B477"/>
    <mergeCell ref="A470:B470"/>
    <mergeCell ref="A471:B471"/>
    <mergeCell ref="A432:B432"/>
    <mergeCell ref="C432:G432"/>
    <mergeCell ref="A433:B433"/>
    <mergeCell ref="A168:B168"/>
    <mergeCell ref="A183:B183"/>
    <mergeCell ref="A179:B179"/>
    <mergeCell ref="A229:B229"/>
    <mergeCell ref="C229:G229"/>
    <mergeCell ref="A218:B218"/>
    <mergeCell ref="A220:B220"/>
    <mergeCell ref="C220:G220"/>
    <mergeCell ref="A214:B214"/>
    <mergeCell ref="A176:B176"/>
    <mergeCell ref="A169:B169"/>
    <mergeCell ref="A172:B172"/>
    <mergeCell ref="C172:G172"/>
    <mergeCell ref="A173:B173"/>
    <mergeCell ref="C173:G173"/>
    <mergeCell ref="A174:B174"/>
    <mergeCell ref="C174:G174"/>
    <mergeCell ref="A175:B175"/>
    <mergeCell ref="A191:B191"/>
    <mergeCell ref="A192:B192"/>
    <mergeCell ref="B211:C211"/>
    <mergeCell ref="D211:E211"/>
    <mergeCell ref="F211:J211"/>
    <mergeCell ref="C214:E214"/>
    <mergeCell ref="F214:H214"/>
    <mergeCell ref="I214:J214"/>
    <mergeCell ref="C215:E215"/>
    <mergeCell ref="F215:H215"/>
    <mergeCell ref="I215:J215"/>
    <mergeCell ref="A194:B194"/>
    <mergeCell ref="C194:G194"/>
    <mergeCell ref="A170:B170"/>
    <mergeCell ref="A478:B478"/>
    <mergeCell ref="C478:G478"/>
    <mergeCell ref="C479:G479"/>
    <mergeCell ref="A480:B480"/>
    <mergeCell ref="C480:G480"/>
    <mergeCell ref="A475:B475"/>
    <mergeCell ref="C475:G475"/>
    <mergeCell ref="A476:B476"/>
    <mergeCell ref="C476:G476"/>
    <mergeCell ref="A479:B479"/>
    <mergeCell ref="A217:B217"/>
    <mergeCell ref="C217:G217"/>
    <mergeCell ref="C218:G218"/>
    <mergeCell ref="C219:G219"/>
    <mergeCell ref="A219:B219"/>
    <mergeCell ref="A263:B263"/>
    <mergeCell ref="C264:G264"/>
    <mergeCell ref="C222:G222"/>
    <mergeCell ref="D234:E234"/>
    <mergeCell ref="F234:J234"/>
    <mergeCell ref="C246:G246"/>
    <mergeCell ref="A247:B247"/>
    <mergeCell ref="C247:G247"/>
    <mergeCell ref="A248:B248"/>
    <mergeCell ref="C248:G248"/>
    <mergeCell ref="C249:G249"/>
    <mergeCell ref="C250:G250"/>
    <mergeCell ref="I233:J233"/>
    <mergeCell ref="B234:C234"/>
    <mergeCell ref="A221:B221"/>
    <mergeCell ref="C221:G221"/>
    <mergeCell ref="A222:B222"/>
    <mergeCell ref="C505:G505"/>
    <mergeCell ref="A491:B491"/>
    <mergeCell ref="A495:B495"/>
    <mergeCell ref="C495:G495"/>
    <mergeCell ref="A492:B492"/>
    <mergeCell ref="A493:B493"/>
    <mergeCell ref="C493:G493"/>
    <mergeCell ref="A494:B494"/>
    <mergeCell ref="C494:G494"/>
    <mergeCell ref="A501:B501"/>
    <mergeCell ref="C501:G501"/>
    <mergeCell ref="A502:B502"/>
    <mergeCell ref="C502:G502"/>
    <mergeCell ref="A505:B505"/>
    <mergeCell ref="A500:B500"/>
    <mergeCell ref="C500:G500"/>
    <mergeCell ref="A496:B496"/>
    <mergeCell ref="C496:G496"/>
    <mergeCell ref="A499:B499"/>
    <mergeCell ref="C491:E491"/>
    <mergeCell ref="F491:H491"/>
    <mergeCell ref="C123:E123"/>
    <mergeCell ref="C90:G90"/>
    <mergeCell ref="C91:G91"/>
    <mergeCell ref="D95:E95"/>
    <mergeCell ref="G95:H95"/>
    <mergeCell ref="B96:C96"/>
    <mergeCell ref="A106:B106"/>
    <mergeCell ref="C106:G106"/>
    <mergeCell ref="A104:B104"/>
    <mergeCell ref="A105:B105"/>
    <mergeCell ref="C105:G105"/>
    <mergeCell ref="C104:G104"/>
    <mergeCell ref="A103:B103"/>
    <mergeCell ref="A100:B100"/>
    <mergeCell ref="A95:B95"/>
    <mergeCell ref="A99:B99"/>
    <mergeCell ref="A101:B101"/>
    <mergeCell ref="C101:G101"/>
    <mergeCell ref="D96:E96"/>
    <mergeCell ref="F96:J96"/>
    <mergeCell ref="A91:B91"/>
    <mergeCell ref="I95:J95"/>
    <mergeCell ref="C103:G103"/>
    <mergeCell ref="A109:B109"/>
    <mergeCell ref="C160:G160"/>
    <mergeCell ref="I118:J118"/>
    <mergeCell ref="A128:B128"/>
    <mergeCell ref="C128:G128"/>
    <mergeCell ref="A129:B129"/>
    <mergeCell ref="C129:G129"/>
    <mergeCell ref="C130:G130"/>
    <mergeCell ref="A131:B131"/>
    <mergeCell ref="C131:G131"/>
    <mergeCell ref="A132:B132"/>
    <mergeCell ref="C132:G132"/>
    <mergeCell ref="A127:B127"/>
    <mergeCell ref="C127:G127"/>
    <mergeCell ref="A135:B135"/>
    <mergeCell ref="A130:B130"/>
    <mergeCell ref="A118:B118"/>
    <mergeCell ref="D118:E118"/>
    <mergeCell ref="G118:H118"/>
    <mergeCell ref="B119:C119"/>
    <mergeCell ref="D119:E119"/>
    <mergeCell ref="F119:J119"/>
    <mergeCell ref="C122:E122"/>
    <mergeCell ref="F122:H122"/>
    <mergeCell ref="A126:B126"/>
    <mergeCell ref="C126:G126"/>
    <mergeCell ref="A124:B124"/>
    <mergeCell ref="A125:B125"/>
    <mergeCell ref="C125:G125"/>
    <mergeCell ref="C124:G124"/>
    <mergeCell ref="A122:B122"/>
    <mergeCell ref="A123:B123"/>
    <mergeCell ref="I122:J122"/>
    <mergeCell ref="D164:E164"/>
    <mergeCell ref="G164:H164"/>
    <mergeCell ref="I164:J164"/>
    <mergeCell ref="B165:C165"/>
    <mergeCell ref="C175:G175"/>
    <mergeCell ref="C176:G176"/>
    <mergeCell ref="C168:E168"/>
    <mergeCell ref="F168:H168"/>
    <mergeCell ref="J184:J185"/>
    <mergeCell ref="I184:I185"/>
    <mergeCell ref="H184:H185"/>
    <mergeCell ref="A184:G185"/>
    <mergeCell ref="A149:B149"/>
    <mergeCell ref="C149:G149"/>
    <mergeCell ref="A150:B150"/>
    <mergeCell ref="C150:G150"/>
    <mergeCell ref="C151:G151"/>
    <mergeCell ref="A152:B152"/>
    <mergeCell ref="C152:G152"/>
    <mergeCell ref="A153:B153"/>
    <mergeCell ref="C153:G153"/>
    <mergeCell ref="A154:B154"/>
    <mergeCell ref="C154:G154"/>
    <mergeCell ref="A151:B151"/>
    <mergeCell ref="A157:B157"/>
    <mergeCell ref="D165:E165"/>
    <mergeCell ref="F165:J165"/>
    <mergeCell ref="J161:J162"/>
    <mergeCell ref="I161:I162"/>
    <mergeCell ref="H161:H162"/>
    <mergeCell ref="A161:G162"/>
    <mergeCell ref="A160:B160"/>
    <mergeCell ref="A270:B270"/>
    <mergeCell ref="A187:B187"/>
    <mergeCell ref="A193:B193"/>
    <mergeCell ref="B188:C188"/>
    <mergeCell ref="D188:E188"/>
    <mergeCell ref="F188:J188"/>
    <mergeCell ref="C191:E191"/>
    <mergeCell ref="F191:H191"/>
    <mergeCell ref="I191:J191"/>
    <mergeCell ref="C192:E192"/>
    <mergeCell ref="D187:E187"/>
    <mergeCell ref="G187:H187"/>
    <mergeCell ref="A215:B215"/>
    <mergeCell ref="A216:B216"/>
    <mergeCell ref="C216:G216"/>
    <mergeCell ref="C275:G275"/>
    <mergeCell ref="A279:B279"/>
    <mergeCell ref="A271:B271"/>
    <mergeCell ref="A272:B272"/>
    <mergeCell ref="A273:B273"/>
    <mergeCell ref="C273:G273"/>
    <mergeCell ref="A274:B274"/>
    <mergeCell ref="C274:G274"/>
    <mergeCell ref="A261:B261"/>
    <mergeCell ref="C206:G206"/>
    <mergeCell ref="D210:E210"/>
    <mergeCell ref="G210:H210"/>
    <mergeCell ref="I210:J210"/>
    <mergeCell ref="C202:G202"/>
    <mergeCell ref="A203:B203"/>
    <mergeCell ref="J207:J208"/>
    <mergeCell ref="I207:I208"/>
    <mergeCell ref="A348:B348"/>
    <mergeCell ref="I325:J325"/>
    <mergeCell ref="C329:E329"/>
    <mergeCell ref="C227:G227"/>
    <mergeCell ref="C228:G228"/>
    <mergeCell ref="D233:E233"/>
    <mergeCell ref="G233:H233"/>
    <mergeCell ref="A237:B237"/>
    <mergeCell ref="A238:B238"/>
    <mergeCell ref="C239:G239"/>
    <mergeCell ref="C240:G240"/>
    <mergeCell ref="C293:G293"/>
    <mergeCell ref="D279:E279"/>
    <mergeCell ref="G279:H279"/>
    <mergeCell ref="C284:E284"/>
    <mergeCell ref="H253:H254"/>
    <mergeCell ref="A253:G254"/>
    <mergeCell ref="H276:H277"/>
    <mergeCell ref="A276:G277"/>
    <mergeCell ref="A268:B268"/>
    <mergeCell ref="C268:G268"/>
    <mergeCell ref="A233:B233"/>
    <mergeCell ref="C237:E237"/>
    <mergeCell ref="F237:H237"/>
    <mergeCell ref="A250:B250"/>
    <mergeCell ref="A251:B251"/>
    <mergeCell ref="C251:G251"/>
    <mergeCell ref="A256:B256"/>
    <mergeCell ref="A252:B252"/>
    <mergeCell ref="C252:G252"/>
    <mergeCell ref="A260:B260"/>
    <mergeCell ref="A267:B267"/>
    <mergeCell ref="C344:G344"/>
    <mergeCell ref="I279:J279"/>
    <mergeCell ref="B280:C280"/>
    <mergeCell ref="D280:E280"/>
    <mergeCell ref="F280:J280"/>
    <mergeCell ref="C283:E283"/>
    <mergeCell ref="F283:H283"/>
    <mergeCell ref="I283:J283"/>
    <mergeCell ref="I284:J284"/>
    <mergeCell ref="A287:B287"/>
    <mergeCell ref="C287:G287"/>
    <mergeCell ref="A288:B288"/>
    <mergeCell ref="C288:G288"/>
    <mergeCell ref="C289:G289"/>
    <mergeCell ref="A314:B314"/>
    <mergeCell ref="C314:G314"/>
    <mergeCell ref="C315:G315"/>
    <mergeCell ref="F284:H284"/>
    <mergeCell ref="C311:G311"/>
    <mergeCell ref="A312:B312"/>
    <mergeCell ref="C312:G312"/>
    <mergeCell ref="A313:B313"/>
    <mergeCell ref="C313:G313"/>
    <mergeCell ref="A311:B311"/>
    <mergeCell ref="A293:B293"/>
    <mergeCell ref="A294:B294"/>
    <mergeCell ref="C316:G316"/>
    <mergeCell ref="C294:G294"/>
    <mergeCell ref="D302:E302"/>
    <mergeCell ref="G302:H302"/>
    <mergeCell ref="B303:C303"/>
    <mergeCell ref="C318:G318"/>
    <mergeCell ref="A319:B319"/>
    <mergeCell ref="D325:E325"/>
    <mergeCell ref="A321:B321"/>
    <mergeCell ref="C321:G321"/>
    <mergeCell ref="I322:I323"/>
    <mergeCell ref="H322:H323"/>
    <mergeCell ref="A309:B309"/>
    <mergeCell ref="C309:G309"/>
    <mergeCell ref="A310:B310"/>
    <mergeCell ref="C310:G310"/>
    <mergeCell ref="A317:B317"/>
    <mergeCell ref="C317:G317"/>
    <mergeCell ref="A318:B318"/>
    <mergeCell ref="F329:H329"/>
    <mergeCell ref="A330:B330"/>
    <mergeCell ref="C319:G319"/>
    <mergeCell ref="A320:B320"/>
    <mergeCell ref="C320:G320"/>
    <mergeCell ref="A404:B404"/>
    <mergeCell ref="A405:B405"/>
    <mergeCell ref="C405:G405"/>
    <mergeCell ref="C343:G343"/>
    <mergeCell ref="D348:E348"/>
    <mergeCell ref="G348:H348"/>
    <mergeCell ref="I348:J348"/>
    <mergeCell ref="A337:B337"/>
    <mergeCell ref="A381:B381"/>
    <mergeCell ref="A367:B367"/>
    <mergeCell ref="C367:G367"/>
    <mergeCell ref="C353:E353"/>
    <mergeCell ref="F353:H353"/>
    <mergeCell ref="I353:J353"/>
    <mergeCell ref="A352:B352"/>
    <mergeCell ref="I352:J352"/>
    <mergeCell ref="I330:J330"/>
    <mergeCell ref="C352:E352"/>
    <mergeCell ref="B349:C349"/>
    <mergeCell ref="C356:G356"/>
    <mergeCell ref="A357:B357"/>
    <mergeCell ref="C357:G357"/>
    <mergeCell ref="A358:B358"/>
    <mergeCell ref="C358:G358"/>
    <mergeCell ref="C359:G359"/>
    <mergeCell ref="C360:G360"/>
    <mergeCell ref="D371:E371"/>
    <mergeCell ref="G371:H371"/>
    <mergeCell ref="B372:C372"/>
    <mergeCell ref="A344:B344"/>
    <mergeCell ref="D349:E349"/>
    <mergeCell ref="F349:J349"/>
    <mergeCell ref="A406:B406"/>
    <mergeCell ref="C406:G406"/>
    <mergeCell ref="I417:J417"/>
    <mergeCell ref="B418:C418"/>
    <mergeCell ref="D418:E418"/>
    <mergeCell ref="F418:J418"/>
    <mergeCell ref="C383:G383"/>
    <mergeCell ref="A384:B384"/>
    <mergeCell ref="C384:G384"/>
    <mergeCell ref="A385:B385"/>
    <mergeCell ref="C385:G385"/>
    <mergeCell ref="C386:G386"/>
    <mergeCell ref="C387:G387"/>
    <mergeCell ref="I399:J399"/>
    <mergeCell ref="A390:B390"/>
    <mergeCell ref="A394:B394"/>
    <mergeCell ref="C390:G390"/>
    <mergeCell ref="A383:B383"/>
    <mergeCell ref="A386:B386"/>
    <mergeCell ref="A413:B413"/>
    <mergeCell ref="C413:G413"/>
    <mergeCell ref="A408:B408"/>
    <mergeCell ref="A412:B412"/>
    <mergeCell ref="C412:G412"/>
    <mergeCell ref="A400:B400"/>
    <mergeCell ref="D417:E417"/>
    <mergeCell ref="G417:H417"/>
    <mergeCell ref="A387:B387"/>
    <mergeCell ref="A388:B388"/>
    <mergeCell ref="C388:G388"/>
    <mergeCell ref="C403:G403"/>
    <mergeCell ref="C404:G404"/>
    <mergeCell ref="I49:J49"/>
    <mergeCell ref="B50:C50"/>
    <mergeCell ref="D50:E50"/>
    <mergeCell ref="F50:J50"/>
    <mergeCell ref="A63:B63"/>
    <mergeCell ref="C63:G63"/>
    <mergeCell ref="A67:B67"/>
    <mergeCell ref="C67:G67"/>
    <mergeCell ref="A68:B68"/>
    <mergeCell ref="C68:G68"/>
    <mergeCell ref="C426:G426"/>
    <mergeCell ref="D440:E440"/>
    <mergeCell ref="C407:G407"/>
    <mergeCell ref="C408:G408"/>
    <mergeCell ref="D394:E394"/>
    <mergeCell ref="G394:H394"/>
    <mergeCell ref="I394:J394"/>
    <mergeCell ref="B395:C395"/>
    <mergeCell ref="D395:E395"/>
    <mergeCell ref="F395:J395"/>
    <mergeCell ref="A398:B398"/>
    <mergeCell ref="C398:E398"/>
    <mergeCell ref="F398:H398"/>
    <mergeCell ref="I398:J398"/>
    <mergeCell ref="C399:E399"/>
    <mergeCell ref="F399:H399"/>
    <mergeCell ref="A426:B426"/>
    <mergeCell ref="C400:G400"/>
    <mergeCell ref="A401:B401"/>
    <mergeCell ref="C401:G401"/>
    <mergeCell ref="A402:B402"/>
    <mergeCell ref="C402:G402"/>
    <mergeCell ref="A30:B30"/>
    <mergeCell ref="C30:E30"/>
    <mergeCell ref="F30:H30"/>
    <mergeCell ref="I30:J30"/>
    <mergeCell ref="C31:E31"/>
    <mergeCell ref="F31:H31"/>
    <mergeCell ref="I31:J31"/>
    <mergeCell ref="A39:B39"/>
    <mergeCell ref="C39:G39"/>
    <mergeCell ref="A40:B40"/>
    <mergeCell ref="C40:G40"/>
    <mergeCell ref="A44:B44"/>
    <mergeCell ref="A37:B37"/>
    <mergeCell ref="C37:G37"/>
    <mergeCell ref="A38:B38"/>
    <mergeCell ref="C38:G38"/>
    <mergeCell ref="A61:B61"/>
    <mergeCell ref="C61:G61"/>
    <mergeCell ref="A41:B41"/>
    <mergeCell ref="C41:G41"/>
    <mergeCell ref="A42:B42"/>
    <mergeCell ref="I54:J54"/>
    <mergeCell ref="A55:B55"/>
    <mergeCell ref="C55:G55"/>
    <mergeCell ref="A56:B56"/>
    <mergeCell ref="C56:G56"/>
    <mergeCell ref="A49:B49"/>
    <mergeCell ref="G49:H49"/>
    <mergeCell ref="C42:G42"/>
    <mergeCell ref="C44:G44"/>
    <mergeCell ref="A34:B34"/>
    <mergeCell ref="C34:G34"/>
    <mergeCell ref="A35:B35"/>
    <mergeCell ref="C35:G35"/>
    <mergeCell ref="A36:B36"/>
    <mergeCell ref="C36:G36"/>
    <mergeCell ref="A31:B31"/>
    <mergeCell ref="A32:B32"/>
    <mergeCell ref="C32:G32"/>
    <mergeCell ref="C65:G65"/>
    <mergeCell ref="A62:B62"/>
    <mergeCell ref="C62:G62"/>
    <mergeCell ref="A66:B66"/>
    <mergeCell ref="C66:G66"/>
    <mergeCell ref="C64:G64"/>
    <mergeCell ref="A46:G47"/>
    <mergeCell ref="A33:B33"/>
    <mergeCell ref="A43:B43"/>
    <mergeCell ref="C43:G43"/>
    <mergeCell ref="C33:G33"/>
    <mergeCell ref="A45:B45"/>
    <mergeCell ref="C45:G45"/>
    <mergeCell ref="D49:E49"/>
    <mergeCell ref="A84:B84"/>
    <mergeCell ref="C83:G83"/>
    <mergeCell ref="C84:G84"/>
    <mergeCell ref="C85:G85"/>
    <mergeCell ref="A64:B64"/>
    <mergeCell ref="A81:B81"/>
    <mergeCell ref="C81:G81"/>
    <mergeCell ref="A82:B82"/>
    <mergeCell ref="C82:G82"/>
    <mergeCell ref="A83:B83"/>
    <mergeCell ref="A88:B88"/>
    <mergeCell ref="A85:B85"/>
    <mergeCell ref="I76:J76"/>
    <mergeCell ref="I77:J77"/>
    <mergeCell ref="A86:B86"/>
    <mergeCell ref="C86:G86"/>
    <mergeCell ref="A87:B87"/>
    <mergeCell ref="C87:G87"/>
    <mergeCell ref="C88:G88"/>
    <mergeCell ref="A72:B72"/>
    <mergeCell ref="D72:E72"/>
    <mergeCell ref="G72:H72"/>
    <mergeCell ref="I72:J72"/>
    <mergeCell ref="B73:C73"/>
    <mergeCell ref="D73:E73"/>
    <mergeCell ref="F73:J73"/>
    <mergeCell ref="A77:B77"/>
    <mergeCell ref="A80:B80"/>
    <mergeCell ref="A76:B76"/>
    <mergeCell ref="A78:B78"/>
    <mergeCell ref="C78:G78"/>
    <mergeCell ref="A79:B79"/>
    <mergeCell ref="A89:B89"/>
    <mergeCell ref="C89:G89"/>
    <mergeCell ref="A90:B90"/>
    <mergeCell ref="I141:J141"/>
    <mergeCell ref="B142:C142"/>
    <mergeCell ref="D142:E142"/>
    <mergeCell ref="F142:J142"/>
    <mergeCell ref="A141:B141"/>
    <mergeCell ref="D141:E141"/>
    <mergeCell ref="G141:H141"/>
    <mergeCell ref="C99:E99"/>
    <mergeCell ref="F99:H99"/>
    <mergeCell ref="I99:J99"/>
    <mergeCell ref="C100:E100"/>
    <mergeCell ref="F100:H100"/>
    <mergeCell ref="I100:J100"/>
    <mergeCell ref="A111:B111"/>
    <mergeCell ref="C111:G111"/>
    <mergeCell ref="A112:B112"/>
    <mergeCell ref="C112:G112"/>
    <mergeCell ref="C113:G113"/>
    <mergeCell ref="A114:B114"/>
    <mergeCell ref="C114:G114"/>
    <mergeCell ref="A107:B107"/>
    <mergeCell ref="C107:G107"/>
    <mergeCell ref="A108:B108"/>
    <mergeCell ref="C108:G108"/>
    <mergeCell ref="C109:G109"/>
    <mergeCell ref="A110:B110"/>
    <mergeCell ref="C110:G110"/>
    <mergeCell ref="A102:B102"/>
    <mergeCell ref="C102:G102"/>
    <mergeCell ref="C145:E145"/>
    <mergeCell ref="F145:H145"/>
    <mergeCell ref="I145:J145"/>
    <mergeCell ref="C146:E146"/>
    <mergeCell ref="F146:H146"/>
    <mergeCell ref="I146:J146"/>
    <mergeCell ref="A155:B155"/>
    <mergeCell ref="C155:G155"/>
    <mergeCell ref="A156:B156"/>
    <mergeCell ref="C156:G156"/>
    <mergeCell ref="C157:G157"/>
    <mergeCell ref="A158:B158"/>
    <mergeCell ref="C158:G158"/>
    <mergeCell ref="A146:B146"/>
    <mergeCell ref="A147:B147"/>
    <mergeCell ref="C147:G147"/>
    <mergeCell ref="A148:B148"/>
    <mergeCell ref="C148:G148"/>
    <mergeCell ref="A145:B145"/>
    <mergeCell ref="C170:G170"/>
    <mergeCell ref="A171:B171"/>
    <mergeCell ref="C171:G171"/>
    <mergeCell ref="A164:B164"/>
    <mergeCell ref="A159:B159"/>
    <mergeCell ref="C159:G159"/>
    <mergeCell ref="C193:G193"/>
    <mergeCell ref="A299:G300"/>
    <mergeCell ref="A322:G323"/>
    <mergeCell ref="J345:J346"/>
    <mergeCell ref="A198:B198"/>
    <mergeCell ref="D256:E256"/>
    <mergeCell ref="G256:H256"/>
    <mergeCell ref="I256:J256"/>
    <mergeCell ref="B257:C257"/>
    <mergeCell ref="D257:E257"/>
    <mergeCell ref="F257:J257"/>
    <mergeCell ref="C260:E260"/>
    <mergeCell ref="F260:H260"/>
    <mergeCell ref="I260:J260"/>
    <mergeCell ref="C261:E261"/>
    <mergeCell ref="F261:H261"/>
    <mergeCell ref="I261:J261"/>
    <mergeCell ref="A265:B265"/>
    <mergeCell ref="C265:G265"/>
    <mergeCell ref="A199:B199"/>
    <mergeCell ref="C199:G199"/>
    <mergeCell ref="A200:B200"/>
    <mergeCell ref="C200:G200"/>
    <mergeCell ref="C201:G201"/>
    <mergeCell ref="A202:B202"/>
    <mergeCell ref="J322:J323"/>
    <mergeCell ref="A283:B283"/>
    <mergeCell ref="A284:B284"/>
    <mergeCell ref="A289:B289"/>
    <mergeCell ref="A285:B285"/>
    <mergeCell ref="D303:E303"/>
    <mergeCell ref="F303:J303"/>
    <mergeCell ref="C306:E306"/>
    <mergeCell ref="F306:H306"/>
    <mergeCell ref="I306:J306"/>
    <mergeCell ref="C307:E307"/>
    <mergeCell ref="F307:H307"/>
    <mergeCell ref="I307:J307"/>
    <mergeCell ref="J299:J300"/>
    <mergeCell ref="I299:I300"/>
    <mergeCell ref="H299:H300"/>
    <mergeCell ref="A306:B306"/>
    <mergeCell ref="C285:G285"/>
    <mergeCell ref="A286:B286"/>
    <mergeCell ref="C286:G286"/>
    <mergeCell ref="A307:B307"/>
    <mergeCell ref="A339:B339"/>
    <mergeCell ref="A340:B340"/>
    <mergeCell ref="A343:B343"/>
    <mergeCell ref="C333:G333"/>
    <mergeCell ref="A334:B334"/>
    <mergeCell ref="C334:G334"/>
    <mergeCell ref="A335:B335"/>
    <mergeCell ref="C335:G335"/>
    <mergeCell ref="A336:B336"/>
    <mergeCell ref="C336:G336"/>
    <mergeCell ref="C337:G337"/>
    <mergeCell ref="C338:G338"/>
    <mergeCell ref="A338:B338"/>
    <mergeCell ref="A290:B290"/>
    <mergeCell ref="C290:G290"/>
    <mergeCell ref="A291:B291"/>
    <mergeCell ref="C291:G291"/>
    <mergeCell ref="A292:B292"/>
    <mergeCell ref="C292:G292"/>
    <mergeCell ref="D326:E326"/>
    <mergeCell ref="F326:J326"/>
    <mergeCell ref="A315:B315"/>
    <mergeCell ref="A316:B316"/>
    <mergeCell ref="A308:B308"/>
    <mergeCell ref="C308:G308"/>
    <mergeCell ref="I329:J329"/>
    <mergeCell ref="C330:E330"/>
    <mergeCell ref="F330:H330"/>
    <mergeCell ref="A331:B331"/>
    <mergeCell ref="C331:G331"/>
    <mergeCell ref="A332:B332"/>
    <mergeCell ref="C332:G332"/>
    <mergeCell ref="A329:B329"/>
    <mergeCell ref="A325:B325"/>
    <mergeCell ref="A333:B333"/>
    <mergeCell ref="G325:H325"/>
    <mergeCell ref="B326:C326"/>
    <mergeCell ref="D372:E372"/>
    <mergeCell ref="F372:J372"/>
    <mergeCell ref="A355:B355"/>
    <mergeCell ref="A361:B361"/>
    <mergeCell ref="A360:B360"/>
    <mergeCell ref="C361:G361"/>
    <mergeCell ref="A362:B362"/>
    <mergeCell ref="C362:G362"/>
    <mergeCell ref="A366:B366"/>
    <mergeCell ref="I371:J371"/>
    <mergeCell ref="A365:B365"/>
    <mergeCell ref="A359:B359"/>
    <mergeCell ref="A363:B363"/>
    <mergeCell ref="C363:G363"/>
    <mergeCell ref="A364:B364"/>
    <mergeCell ref="C364:G364"/>
    <mergeCell ref="C365:G365"/>
    <mergeCell ref="C366:G366"/>
    <mergeCell ref="A356:B356"/>
    <mergeCell ref="F352:H352"/>
    <mergeCell ref="A353:B353"/>
    <mergeCell ref="C339:G339"/>
    <mergeCell ref="C340:G340"/>
    <mergeCell ref="A341:B341"/>
    <mergeCell ref="C341:G341"/>
    <mergeCell ref="A342:B342"/>
    <mergeCell ref="C342:G342"/>
    <mergeCell ref="A457:B457"/>
    <mergeCell ref="C457:G457"/>
    <mergeCell ref="I421:J421"/>
    <mergeCell ref="G440:H440"/>
    <mergeCell ref="B441:C441"/>
    <mergeCell ref="D441:E441"/>
    <mergeCell ref="F441:J441"/>
    <mergeCell ref="A444:B444"/>
    <mergeCell ref="C444:E444"/>
    <mergeCell ref="F444:H444"/>
    <mergeCell ref="I444:J444"/>
    <mergeCell ref="A427:B427"/>
    <mergeCell ref="C427:G427"/>
    <mergeCell ref="C428:G428"/>
    <mergeCell ref="C429:G429"/>
    <mergeCell ref="I440:J440"/>
    <mergeCell ref="A435:B435"/>
    <mergeCell ref="C435:G435"/>
    <mergeCell ref="A440:B440"/>
    <mergeCell ref="A436:B436"/>
    <mergeCell ref="C436:G436"/>
    <mergeCell ref="A429:B429"/>
    <mergeCell ref="A430:B430"/>
    <mergeCell ref="I422:J422"/>
    <mergeCell ref="A423:B423"/>
    <mergeCell ref="C423:G423"/>
    <mergeCell ref="A424:B424"/>
    <mergeCell ref="C424:G424"/>
    <mergeCell ref="C425:G425"/>
    <mergeCell ref="A425:B425"/>
    <mergeCell ref="A422:B422"/>
    <mergeCell ref="C422:E422"/>
    <mergeCell ref="F445:H445"/>
    <mergeCell ref="I445:J445"/>
    <mergeCell ref="A446:B446"/>
    <mergeCell ref="C446:G446"/>
    <mergeCell ref="C447:G447"/>
    <mergeCell ref="C448:G448"/>
    <mergeCell ref="A447:B447"/>
    <mergeCell ref="A448:B448"/>
    <mergeCell ref="C449:G449"/>
    <mergeCell ref="C450:G450"/>
    <mergeCell ref="A455:B455"/>
    <mergeCell ref="C455:G455"/>
    <mergeCell ref="A456:B456"/>
    <mergeCell ref="C456:G456"/>
    <mergeCell ref="A452:B452"/>
    <mergeCell ref="C452:G452"/>
    <mergeCell ref="A453:B453"/>
    <mergeCell ref="A451:B451"/>
    <mergeCell ref="C451:G451"/>
    <mergeCell ref="A445:B445"/>
    <mergeCell ref="C445:E445"/>
    <mergeCell ref="A463:B463"/>
    <mergeCell ref="D463:E463"/>
    <mergeCell ref="G463:H463"/>
    <mergeCell ref="I463:J463"/>
    <mergeCell ref="B464:C464"/>
    <mergeCell ref="D464:E464"/>
    <mergeCell ref="F464:J464"/>
    <mergeCell ref="A467:B467"/>
    <mergeCell ref="C467:E467"/>
    <mergeCell ref="F467:H467"/>
    <mergeCell ref="I467:J467"/>
    <mergeCell ref="A468:B468"/>
    <mergeCell ref="C468:E468"/>
    <mergeCell ref="F468:H468"/>
    <mergeCell ref="I468:J468"/>
    <mergeCell ref="C469:G469"/>
    <mergeCell ref="A469:B469"/>
    <mergeCell ref="J529:J530"/>
    <mergeCell ref="I529:I530"/>
    <mergeCell ref="H529:H530"/>
    <mergeCell ref="A529:G530"/>
    <mergeCell ref="C470:G470"/>
    <mergeCell ref="A486:B486"/>
    <mergeCell ref="D486:E486"/>
    <mergeCell ref="G486:H486"/>
    <mergeCell ref="I486:J486"/>
    <mergeCell ref="B487:C487"/>
    <mergeCell ref="F487:J487"/>
    <mergeCell ref="A490:B490"/>
    <mergeCell ref="C490:E490"/>
    <mergeCell ref="F490:H490"/>
    <mergeCell ref="I490:J490"/>
    <mergeCell ref="C492:G492"/>
    <mergeCell ref="C471:G471"/>
    <mergeCell ref="A509:B509"/>
    <mergeCell ref="G509:H509"/>
    <mergeCell ref="I509:J509"/>
    <mergeCell ref="B510:C510"/>
    <mergeCell ref="D510:E510"/>
    <mergeCell ref="F510:J510"/>
    <mergeCell ref="C514:E514"/>
    <mergeCell ref="F514:H514"/>
    <mergeCell ref="I514:J514"/>
    <mergeCell ref="D487:E487"/>
    <mergeCell ref="I491:J491"/>
    <mergeCell ref="A503:B503"/>
    <mergeCell ref="C503:G503"/>
    <mergeCell ref="A504:B504"/>
    <mergeCell ref="C504:G504"/>
    <mergeCell ref="A532:B532"/>
    <mergeCell ref="G532:H532"/>
    <mergeCell ref="I532:J532"/>
    <mergeCell ref="B533:C533"/>
    <mergeCell ref="D533:E533"/>
    <mergeCell ref="F533:J533"/>
    <mergeCell ref="A536:B536"/>
    <mergeCell ref="C536:E536"/>
    <mergeCell ref="F536:H536"/>
    <mergeCell ref="I536:J536"/>
    <mergeCell ref="A537:B537"/>
    <mergeCell ref="C537:E537"/>
    <mergeCell ref="F537:H537"/>
    <mergeCell ref="I537:J537"/>
    <mergeCell ref="A538:B538"/>
    <mergeCell ref="C538:G538"/>
    <mergeCell ref="D532:E532"/>
    <mergeCell ref="A539:B539"/>
    <mergeCell ref="C539:G539"/>
    <mergeCell ref="A540:B540"/>
    <mergeCell ref="C540:G540"/>
    <mergeCell ref="A541:B541"/>
    <mergeCell ref="C541:G541"/>
    <mergeCell ref="A542:B542"/>
    <mergeCell ref="C542:G542"/>
    <mergeCell ref="A543:B543"/>
    <mergeCell ref="C543:G543"/>
    <mergeCell ref="A544:B544"/>
    <mergeCell ref="C544:G544"/>
    <mergeCell ref="A545:B545"/>
    <mergeCell ref="C545:G545"/>
    <mergeCell ref="A546:B546"/>
    <mergeCell ref="C546:G546"/>
    <mergeCell ref="A547:B547"/>
    <mergeCell ref="C547:G547"/>
    <mergeCell ref="A548:B548"/>
    <mergeCell ref="C548:G548"/>
    <mergeCell ref="A549:B549"/>
    <mergeCell ref="C549:G549"/>
    <mergeCell ref="A550:B550"/>
    <mergeCell ref="C550:G550"/>
    <mergeCell ref="A551:B551"/>
    <mergeCell ref="C551:G551"/>
    <mergeCell ref="A555:B555"/>
    <mergeCell ref="D555:E555"/>
    <mergeCell ref="G555:H555"/>
    <mergeCell ref="I555:J555"/>
    <mergeCell ref="B556:C556"/>
    <mergeCell ref="D556:E556"/>
    <mergeCell ref="F556:J556"/>
    <mergeCell ref="J552:J553"/>
    <mergeCell ref="I552:I553"/>
    <mergeCell ref="H552:H553"/>
    <mergeCell ref="A552:G553"/>
    <mergeCell ref="A559:B559"/>
    <mergeCell ref="C559:E559"/>
    <mergeCell ref="F559:H559"/>
    <mergeCell ref="I559:J559"/>
    <mergeCell ref="A560:B560"/>
    <mergeCell ref="C560:E560"/>
    <mergeCell ref="F560:H560"/>
    <mergeCell ref="I560:J560"/>
    <mergeCell ref="A561:B561"/>
    <mergeCell ref="C561:G561"/>
    <mergeCell ref="A562:B562"/>
    <mergeCell ref="C562:G562"/>
    <mergeCell ref="A563:B563"/>
    <mergeCell ref="C563:G563"/>
    <mergeCell ref="A564:B564"/>
    <mergeCell ref="C564:G564"/>
    <mergeCell ref="A565:B565"/>
    <mergeCell ref="C565:G565"/>
    <mergeCell ref="A566:B566"/>
    <mergeCell ref="C566:G566"/>
    <mergeCell ref="A567:B567"/>
    <mergeCell ref="C567:G567"/>
    <mergeCell ref="A568:B568"/>
    <mergeCell ref="C568:G568"/>
    <mergeCell ref="A569:B569"/>
    <mergeCell ref="C569:G569"/>
    <mergeCell ref="A570:B570"/>
    <mergeCell ref="C570:G570"/>
    <mergeCell ref="A571:B571"/>
    <mergeCell ref="C571:G571"/>
    <mergeCell ref="A572:B572"/>
    <mergeCell ref="C572:G572"/>
    <mergeCell ref="A573:B573"/>
    <mergeCell ref="C573:G573"/>
    <mergeCell ref="A574:B574"/>
    <mergeCell ref="C574:G574"/>
    <mergeCell ref="A578:B578"/>
    <mergeCell ref="D578:E578"/>
    <mergeCell ref="G578:H578"/>
    <mergeCell ref="I578:J578"/>
    <mergeCell ref="B579:C579"/>
    <mergeCell ref="D579:E579"/>
    <mergeCell ref="F579:J579"/>
    <mergeCell ref="A582:B582"/>
    <mergeCell ref="C582:E582"/>
    <mergeCell ref="F582:H582"/>
    <mergeCell ref="I582:J582"/>
    <mergeCell ref="A583:B583"/>
    <mergeCell ref="C583:E583"/>
    <mergeCell ref="F583:H583"/>
    <mergeCell ref="I583:J583"/>
    <mergeCell ref="J575:J576"/>
    <mergeCell ref="I575:I576"/>
    <mergeCell ref="H575:H576"/>
    <mergeCell ref="A575:G576"/>
    <mergeCell ref="A584:B584"/>
    <mergeCell ref="C584:G584"/>
    <mergeCell ref="A585:B585"/>
    <mergeCell ref="C585:G585"/>
    <mergeCell ref="A586:B586"/>
    <mergeCell ref="C586:G586"/>
    <mergeCell ref="A587:B587"/>
    <mergeCell ref="C587:G587"/>
    <mergeCell ref="A588:B588"/>
    <mergeCell ref="C588:G588"/>
    <mergeCell ref="A589:B589"/>
    <mergeCell ref="C589:G589"/>
    <mergeCell ref="A590:B590"/>
    <mergeCell ref="C590:G590"/>
    <mergeCell ref="A591:B591"/>
    <mergeCell ref="C591:G591"/>
    <mergeCell ref="A592:B592"/>
    <mergeCell ref="C592:G592"/>
    <mergeCell ref="A593:B593"/>
    <mergeCell ref="C593:G593"/>
    <mergeCell ref="A594:B594"/>
    <mergeCell ref="C594:G594"/>
    <mergeCell ref="A595:B595"/>
    <mergeCell ref="C595:G595"/>
    <mergeCell ref="A596:B596"/>
    <mergeCell ref="C596:G596"/>
    <mergeCell ref="A597:B597"/>
    <mergeCell ref="C597:G597"/>
    <mergeCell ref="A601:B601"/>
    <mergeCell ref="D601:E601"/>
    <mergeCell ref="G601:H601"/>
    <mergeCell ref="I601:J601"/>
    <mergeCell ref="J598:J599"/>
    <mergeCell ref="I598:I599"/>
    <mergeCell ref="H598:H599"/>
    <mergeCell ref="A598:G599"/>
    <mergeCell ref="B602:C602"/>
    <mergeCell ref="D602:E602"/>
    <mergeCell ref="F602:J602"/>
    <mergeCell ref="A605:B605"/>
    <mergeCell ref="C605:E605"/>
    <mergeCell ref="F605:H605"/>
    <mergeCell ref="I605:J605"/>
    <mergeCell ref="A606:B606"/>
    <mergeCell ref="C606:E606"/>
    <mergeCell ref="F606:H606"/>
    <mergeCell ref="I606:J606"/>
    <mergeCell ref="A607:B607"/>
    <mergeCell ref="C607:G607"/>
    <mergeCell ref="A608:B608"/>
    <mergeCell ref="C608:G608"/>
    <mergeCell ref="A609:B609"/>
    <mergeCell ref="C609:G609"/>
    <mergeCell ref="A610:B610"/>
    <mergeCell ref="C610:G610"/>
    <mergeCell ref="A611:B611"/>
    <mergeCell ref="C611:G611"/>
    <mergeCell ref="A612:B612"/>
    <mergeCell ref="C612:G612"/>
    <mergeCell ref="A613:B613"/>
    <mergeCell ref="C613:G613"/>
    <mergeCell ref="A614:B614"/>
    <mergeCell ref="C614:G614"/>
    <mergeCell ref="A615:B615"/>
    <mergeCell ref="C615:G615"/>
    <mergeCell ref="A616:B616"/>
    <mergeCell ref="C616:G616"/>
    <mergeCell ref="A617:B617"/>
    <mergeCell ref="C617:G617"/>
    <mergeCell ref="A618:B618"/>
    <mergeCell ref="C618:G618"/>
    <mergeCell ref="A619:B619"/>
    <mergeCell ref="C619:G619"/>
    <mergeCell ref="A620:B620"/>
    <mergeCell ref="C620:G620"/>
    <mergeCell ref="A624:B624"/>
    <mergeCell ref="D624:E624"/>
    <mergeCell ref="G624:H624"/>
    <mergeCell ref="I624:J624"/>
    <mergeCell ref="B625:C625"/>
    <mergeCell ref="D625:E625"/>
    <mergeCell ref="F625:J625"/>
    <mergeCell ref="A628:B628"/>
    <mergeCell ref="C628:E628"/>
    <mergeCell ref="F628:H628"/>
    <mergeCell ref="I628:J628"/>
    <mergeCell ref="J621:J622"/>
    <mergeCell ref="I621:I622"/>
    <mergeCell ref="H621:H622"/>
    <mergeCell ref="A621:G622"/>
    <mergeCell ref="A629:B629"/>
    <mergeCell ref="C629:E629"/>
    <mergeCell ref="F629:H629"/>
    <mergeCell ref="I629:J629"/>
    <mergeCell ref="A630:B630"/>
    <mergeCell ref="C630:G630"/>
    <mergeCell ref="A631:B631"/>
    <mergeCell ref="C631:G631"/>
    <mergeCell ref="A632:B632"/>
    <mergeCell ref="C632:G632"/>
    <mergeCell ref="A633:B633"/>
    <mergeCell ref="C633:G633"/>
    <mergeCell ref="A634:B634"/>
    <mergeCell ref="C634:G634"/>
    <mergeCell ref="A635:B635"/>
    <mergeCell ref="C635:G635"/>
    <mergeCell ref="A636:B636"/>
    <mergeCell ref="C636:G636"/>
    <mergeCell ref="J644:J645"/>
    <mergeCell ref="I644:I645"/>
    <mergeCell ref="H644:H645"/>
    <mergeCell ref="A644:G645"/>
    <mergeCell ref="A637:B637"/>
    <mergeCell ref="C637:G637"/>
    <mergeCell ref="A638:B638"/>
    <mergeCell ref="C638:G638"/>
    <mergeCell ref="A639:B639"/>
    <mergeCell ref="C639:G639"/>
    <mergeCell ref="A640:B640"/>
    <mergeCell ref="C640:G640"/>
    <mergeCell ref="A641:B641"/>
    <mergeCell ref="C641:G641"/>
    <mergeCell ref="A642:B642"/>
    <mergeCell ref="C642:G642"/>
    <mergeCell ref="A643:B643"/>
    <mergeCell ref="C643:G643"/>
    <mergeCell ref="A647:B647"/>
    <mergeCell ref="D647:E647"/>
    <mergeCell ref="G647:H647"/>
    <mergeCell ref="I647:J647"/>
    <mergeCell ref="B648:C648"/>
    <mergeCell ref="D648:E648"/>
    <mergeCell ref="F648:J648"/>
    <mergeCell ref="A651:B651"/>
    <mergeCell ref="C651:E651"/>
    <mergeCell ref="F651:H651"/>
    <mergeCell ref="I651:J651"/>
    <mergeCell ref="A652:B652"/>
    <mergeCell ref="C652:E652"/>
    <mergeCell ref="F652:H652"/>
    <mergeCell ref="I652:J652"/>
    <mergeCell ref="A653:B653"/>
    <mergeCell ref="C653:G653"/>
    <mergeCell ref="A654:B654"/>
    <mergeCell ref="C654:G654"/>
    <mergeCell ref="A655:B655"/>
    <mergeCell ref="C655:G655"/>
    <mergeCell ref="A656:B656"/>
    <mergeCell ref="C656:G656"/>
    <mergeCell ref="A657:B657"/>
    <mergeCell ref="C657:G657"/>
    <mergeCell ref="A658:B658"/>
    <mergeCell ref="C658:G658"/>
    <mergeCell ref="A659:B659"/>
    <mergeCell ref="C659:G659"/>
    <mergeCell ref="A660:B660"/>
    <mergeCell ref="C660:G660"/>
    <mergeCell ref="A661:B661"/>
    <mergeCell ref="C661:G661"/>
    <mergeCell ref="A662:B662"/>
    <mergeCell ref="C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70:B670"/>
    <mergeCell ref="D670:E670"/>
    <mergeCell ref="G670:H670"/>
    <mergeCell ref="I670:J670"/>
    <mergeCell ref="B671:C671"/>
    <mergeCell ref="D671:E671"/>
    <mergeCell ref="F671:J671"/>
    <mergeCell ref="J667:J668"/>
    <mergeCell ref="I667:I668"/>
    <mergeCell ref="H667:H668"/>
    <mergeCell ref="A667:G668"/>
    <mergeCell ref="A674:B674"/>
    <mergeCell ref="C674:E674"/>
    <mergeCell ref="F674:H674"/>
    <mergeCell ref="I674:J674"/>
    <mergeCell ref="A675:B675"/>
    <mergeCell ref="C675:E675"/>
    <mergeCell ref="F675:H675"/>
    <mergeCell ref="I675:J675"/>
    <mergeCell ref="A676:B676"/>
    <mergeCell ref="C676:G676"/>
    <mergeCell ref="A677:B677"/>
    <mergeCell ref="C677:G677"/>
    <mergeCell ref="A678:B678"/>
    <mergeCell ref="C678:G678"/>
    <mergeCell ref="A679:B679"/>
    <mergeCell ref="C679:G679"/>
    <mergeCell ref="A680:B680"/>
    <mergeCell ref="C680:G680"/>
    <mergeCell ref="A681:B681"/>
    <mergeCell ref="C681:G681"/>
    <mergeCell ref="A682:B682"/>
    <mergeCell ref="C682:G682"/>
    <mergeCell ref="A683:B683"/>
    <mergeCell ref="C683:G683"/>
    <mergeCell ref="A684:B684"/>
    <mergeCell ref="C684:G684"/>
    <mergeCell ref="A685:B685"/>
    <mergeCell ref="C685:G685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693:B693"/>
    <mergeCell ref="D693:E693"/>
    <mergeCell ref="G693:H693"/>
    <mergeCell ref="I693:J693"/>
    <mergeCell ref="B694:C694"/>
    <mergeCell ref="D694:E694"/>
    <mergeCell ref="F694:J694"/>
    <mergeCell ref="A697:B697"/>
    <mergeCell ref="C697:E697"/>
    <mergeCell ref="F697:H697"/>
    <mergeCell ref="I697:J697"/>
    <mergeCell ref="A698:B698"/>
    <mergeCell ref="C698:E698"/>
    <mergeCell ref="F698:H698"/>
    <mergeCell ref="I698:J698"/>
    <mergeCell ref="J690:J691"/>
    <mergeCell ref="I690:I691"/>
    <mergeCell ref="H690:H691"/>
    <mergeCell ref="A690:G691"/>
    <mergeCell ref="A699:B699"/>
    <mergeCell ref="C699:G699"/>
    <mergeCell ref="A700:B700"/>
    <mergeCell ref="C700:G700"/>
    <mergeCell ref="A701:B701"/>
    <mergeCell ref="C701:G701"/>
    <mergeCell ref="A702:B702"/>
    <mergeCell ref="C702:G702"/>
    <mergeCell ref="A703:B703"/>
    <mergeCell ref="C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09:B709"/>
    <mergeCell ref="C709:G709"/>
    <mergeCell ref="A710:B710"/>
    <mergeCell ref="C710:G710"/>
    <mergeCell ref="A711:B711"/>
    <mergeCell ref="C711:G711"/>
    <mergeCell ref="A712:B712"/>
    <mergeCell ref="C712:G712"/>
    <mergeCell ref="A716:B716"/>
    <mergeCell ref="D716:E716"/>
    <mergeCell ref="G716:H716"/>
    <mergeCell ref="I716:J716"/>
    <mergeCell ref="J713:J714"/>
    <mergeCell ref="I713:I714"/>
    <mergeCell ref="H713:H714"/>
    <mergeCell ref="A713:G714"/>
    <mergeCell ref="B717:C717"/>
    <mergeCell ref="D717:E717"/>
    <mergeCell ref="F717:J717"/>
    <mergeCell ref="A720:B720"/>
    <mergeCell ref="C720:E720"/>
    <mergeCell ref="F720:H720"/>
    <mergeCell ref="I720:J720"/>
    <mergeCell ref="A721:B721"/>
    <mergeCell ref="C721:E721"/>
    <mergeCell ref="F721:H721"/>
    <mergeCell ref="I721:J721"/>
    <mergeCell ref="A722:B722"/>
    <mergeCell ref="C722:G722"/>
    <mergeCell ref="A723:B723"/>
    <mergeCell ref="C723:G723"/>
    <mergeCell ref="A724:B724"/>
    <mergeCell ref="C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30:B730"/>
    <mergeCell ref="C730:G730"/>
    <mergeCell ref="A731:B731"/>
    <mergeCell ref="C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A739:B739"/>
    <mergeCell ref="D739:E739"/>
    <mergeCell ref="G739:H739"/>
    <mergeCell ref="I739:J739"/>
    <mergeCell ref="B740:C740"/>
    <mergeCell ref="D740:E740"/>
    <mergeCell ref="F740:J740"/>
    <mergeCell ref="A743:B743"/>
    <mergeCell ref="C743:E743"/>
    <mergeCell ref="F743:H743"/>
    <mergeCell ref="I743:J743"/>
    <mergeCell ref="J736:J737"/>
    <mergeCell ref="I736:I737"/>
    <mergeCell ref="H736:H737"/>
    <mergeCell ref="A736:G737"/>
    <mergeCell ref="A744:B744"/>
    <mergeCell ref="C744:E744"/>
    <mergeCell ref="F744:H744"/>
    <mergeCell ref="I744:J744"/>
    <mergeCell ref="A745:B745"/>
    <mergeCell ref="C745:G745"/>
    <mergeCell ref="A746:B746"/>
    <mergeCell ref="C746:G746"/>
    <mergeCell ref="A747:B747"/>
    <mergeCell ref="C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J759:J760"/>
    <mergeCell ref="I759:I760"/>
    <mergeCell ref="H759:H760"/>
    <mergeCell ref="A759:G760"/>
    <mergeCell ref="A752:B752"/>
    <mergeCell ref="C752:G752"/>
    <mergeCell ref="A753:B753"/>
    <mergeCell ref="C753:G753"/>
    <mergeCell ref="A754:B754"/>
    <mergeCell ref="C754:G754"/>
    <mergeCell ref="A755:B755"/>
    <mergeCell ref="C755:G755"/>
    <mergeCell ref="A756:B756"/>
    <mergeCell ref="C756:G756"/>
    <mergeCell ref="A757:B757"/>
    <mergeCell ref="C757:G757"/>
    <mergeCell ref="A758:B758"/>
    <mergeCell ref="C758:G758"/>
    <mergeCell ref="A762:B762"/>
    <mergeCell ref="D762:E762"/>
    <mergeCell ref="G762:H762"/>
    <mergeCell ref="I762:J762"/>
    <mergeCell ref="B763:C763"/>
    <mergeCell ref="D763:E763"/>
    <mergeCell ref="F763:J763"/>
    <mergeCell ref="A766:B766"/>
    <mergeCell ref="C766:E766"/>
    <mergeCell ref="F766:H766"/>
    <mergeCell ref="I766:J766"/>
    <mergeCell ref="A767:B767"/>
    <mergeCell ref="C767:E767"/>
    <mergeCell ref="F767:H767"/>
    <mergeCell ref="I767:J767"/>
    <mergeCell ref="A768:B768"/>
    <mergeCell ref="C768:G768"/>
    <mergeCell ref="A769:B769"/>
    <mergeCell ref="C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74:B774"/>
    <mergeCell ref="C774:G774"/>
    <mergeCell ref="A775:B775"/>
    <mergeCell ref="C775:G775"/>
    <mergeCell ref="A776:B776"/>
    <mergeCell ref="C776:G776"/>
    <mergeCell ref="A777:B777"/>
    <mergeCell ref="C777:G777"/>
    <mergeCell ref="A778:B778"/>
    <mergeCell ref="C778:G778"/>
    <mergeCell ref="A779:B779"/>
    <mergeCell ref="C779:G779"/>
    <mergeCell ref="A780:B780"/>
    <mergeCell ref="C780:G780"/>
    <mergeCell ref="A781:B781"/>
    <mergeCell ref="C781:G781"/>
    <mergeCell ref="A785:B785"/>
    <mergeCell ref="D785:E785"/>
    <mergeCell ref="G785:H785"/>
    <mergeCell ref="I785:J785"/>
    <mergeCell ref="B786:C786"/>
    <mergeCell ref="D786:E786"/>
    <mergeCell ref="F786:J786"/>
    <mergeCell ref="J782:J783"/>
    <mergeCell ref="I782:I783"/>
    <mergeCell ref="H782:H783"/>
    <mergeCell ref="A782:G783"/>
    <mergeCell ref="A789:B789"/>
    <mergeCell ref="C789:E789"/>
    <mergeCell ref="F789:H789"/>
    <mergeCell ref="I789:J789"/>
    <mergeCell ref="A790:B790"/>
    <mergeCell ref="C790:E790"/>
    <mergeCell ref="F790:H790"/>
    <mergeCell ref="I790:J790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798:B798"/>
    <mergeCell ref="C798:G798"/>
    <mergeCell ref="A799:B799"/>
    <mergeCell ref="C799:G799"/>
    <mergeCell ref="A800:B800"/>
    <mergeCell ref="C800:G800"/>
    <mergeCell ref="A801:B801"/>
    <mergeCell ref="C801:G801"/>
    <mergeCell ref="A802:B802"/>
    <mergeCell ref="C802:G802"/>
    <mergeCell ref="A803:B803"/>
    <mergeCell ref="C803:G803"/>
    <mergeCell ref="A804:B804"/>
    <mergeCell ref="C804:G804"/>
    <mergeCell ref="A808:B808"/>
    <mergeCell ref="D808:E808"/>
    <mergeCell ref="G808:H808"/>
    <mergeCell ref="I808:J808"/>
    <mergeCell ref="B809:C809"/>
    <mergeCell ref="D809:E809"/>
    <mergeCell ref="F809:J809"/>
    <mergeCell ref="A812:B812"/>
    <mergeCell ref="C812:E812"/>
    <mergeCell ref="F812:H812"/>
    <mergeCell ref="I812:J812"/>
    <mergeCell ref="A813:B813"/>
    <mergeCell ref="C813:E813"/>
    <mergeCell ref="F813:H813"/>
    <mergeCell ref="I813:J813"/>
    <mergeCell ref="J805:J806"/>
    <mergeCell ref="I805:I806"/>
    <mergeCell ref="H805:H806"/>
    <mergeCell ref="A805:G806"/>
    <mergeCell ref="A814:B814"/>
    <mergeCell ref="C814:G814"/>
    <mergeCell ref="A815:B815"/>
    <mergeCell ref="C815:G815"/>
    <mergeCell ref="A816:B816"/>
    <mergeCell ref="C816:G816"/>
    <mergeCell ref="A817:B817"/>
    <mergeCell ref="C817:G817"/>
    <mergeCell ref="A818:B818"/>
    <mergeCell ref="C818:G818"/>
    <mergeCell ref="A819:B819"/>
    <mergeCell ref="C819:G819"/>
    <mergeCell ref="A820:B820"/>
    <mergeCell ref="C820:G820"/>
    <mergeCell ref="A821:B821"/>
    <mergeCell ref="C821:G821"/>
    <mergeCell ref="A822:B822"/>
    <mergeCell ref="C822:G822"/>
    <mergeCell ref="A823:B823"/>
    <mergeCell ref="C823:G823"/>
    <mergeCell ref="A824:B824"/>
    <mergeCell ref="C824:G824"/>
    <mergeCell ref="A825:B825"/>
    <mergeCell ref="C825:G825"/>
    <mergeCell ref="A826:B826"/>
    <mergeCell ref="C826:G826"/>
    <mergeCell ref="A827:B827"/>
    <mergeCell ref="C827:G827"/>
    <mergeCell ref="A831:B831"/>
    <mergeCell ref="D831:E831"/>
    <mergeCell ref="G831:H831"/>
    <mergeCell ref="I831:J831"/>
    <mergeCell ref="J828:J829"/>
    <mergeCell ref="I828:I829"/>
    <mergeCell ref="H828:H829"/>
    <mergeCell ref="A828:G829"/>
    <mergeCell ref="B832:C832"/>
    <mergeCell ref="D832:E832"/>
    <mergeCell ref="F832:J832"/>
    <mergeCell ref="A835:B835"/>
    <mergeCell ref="C835:E835"/>
    <mergeCell ref="F835:H835"/>
    <mergeCell ref="I835:J835"/>
    <mergeCell ref="A836:B836"/>
    <mergeCell ref="C836:E836"/>
    <mergeCell ref="F836:H836"/>
    <mergeCell ref="I836:J836"/>
    <mergeCell ref="A837:B837"/>
    <mergeCell ref="C837:G837"/>
    <mergeCell ref="A838:B838"/>
    <mergeCell ref="C838:G838"/>
    <mergeCell ref="A839:B839"/>
    <mergeCell ref="C839:G839"/>
    <mergeCell ref="A840:B840"/>
    <mergeCell ref="C840:G840"/>
    <mergeCell ref="A841:B841"/>
    <mergeCell ref="C841:G841"/>
    <mergeCell ref="A842:B842"/>
    <mergeCell ref="C842:G842"/>
    <mergeCell ref="A843:B843"/>
    <mergeCell ref="C843:G843"/>
    <mergeCell ref="A844:B844"/>
    <mergeCell ref="C844:G844"/>
    <mergeCell ref="A845:B845"/>
    <mergeCell ref="C845:G845"/>
    <mergeCell ref="A846:B846"/>
    <mergeCell ref="C846:G846"/>
    <mergeCell ref="A847:B847"/>
    <mergeCell ref="C847:G847"/>
    <mergeCell ref="A848:B848"/>
    <mergeCell ref="C848:G848"/>
    <mergeCell ref="A849:B849"/>
    <mergeCell ref="C849:G849"/>
    <mergeCell ref="A850:B850"/>
    <mergeCell ref="C850:G850"/>
    <mergeCell ref="A854:B854"/>
    <mergeCell ref="D854:E854"/>
    <mergeCell ref="G854:H854"/>
    <mergeCell ref="I854:J854"/>
    <mergeCell ref="B855:C855"/>
    <mergeCell ref="D855:E855"/>
    <mergeCell ref="F855:J855"/>
    <mergeCell ref="A858:B858"/>
    <mergeCell ref="C858:E858"/>
    <mergeCell ref="F858:H858"/>
    <mergeCell ref="I858:J858"/>
    <mergeCell ref="J851:J852"/>
    <mergeCell ref="I851:I852"/>
    <mergeCell ref="H851:H852"/>
    <mergeCell ref="A851:G852"/>
    <mergeCell ref="A859:B859"/>
    <mergeCell ref="C859:E859"/>
    <mergeCell ref="F859:H859"/>
    <mergeCell ref="I859:J859"/>
    <mergeCell ref="A860:B860"/>
    <mergeCell ref="C860:G860"/>
    <mergeCell ref="A861:B861"/>
    <mergeCell ref="C861:G861"/>
    <mergeCell ref="A862:B862"/>
    <mergeCell ref="C862:G862"/>
    <mergeCell ref="A863:B863"/>
    <mergeCell ref="C863:G863"/>
    <mergeCell ref="A864:B864"/>
    <mergeCell ref="C864:G864"/>
    <mergeCell ref="A865:B865"/>
    <mergeCell ref="C865:G865"/>
    <mergeCell ref="A866:B866"/>
    <mergeCell ref="C866:G866"/>
    <mergeCell ref="J874:J875"/>
    <mergeCell ref="I874:I875"/>
    <mergeCell ref="H874:H875"/>
    <mergeCell ref="A874:G875"/>
    <mergeCell ref="A867:B867"/>
    <mergeCell ref="C867:G867"/>
    <mergeCell ref="A868:B868"/>
    <mergeCell ref="C868:G868"/>
    <mergeCell ref="A869:B869"/>
    <mergeCell ref="C869:G869"/>
    <mergeCell ref="A870:B870"/>
    <mergeCell ref="C870:G870"/>
    <mergeCell ref="A871:B871"/>
    <mergeCell ref="C871:G871"/>
    <mergeCell ref="A872:B872"/>
    <mergeCell ref="C872:G872"/>
    <mergeCell ref="A873:B873"/>
    <mergeCell ref="C873:G873"/>
    <mergeCell ref="C887:G887"/>
    <mergeCell ref="A888:B888"/>
    <mergeCell ref="C888:G888"/>
    <mergeCell ref="A889:B889"/>
    <mergeCell ref="C889:G889"/>
    <mergeCell ref="A890:B890"/>
    <mergeCell ref="C890:G890"/>
    <mergeCell ref="A891:B891"/>
    <mergeCell ref="C891:G891"/>
    <mergeCell ref="A892:B892"/>
    <mergeCell ref="C892:G892"/>
    <mergeCell ref="A877:B877"/>
    <mergeCell ref="D877:E877"/>
    <mergeCell ref="G877:H877"/>
    <mergeCell ref="I877:J877"/>
    <mergeCell ref="B878:C878"/>
    <mergeCell ref="D878:E878"/>
    <mergeCell ref="F878:J878"/>
    <mergeCell ref="A881:B881"/>
    <mergeCell ref="C881:E881"/>
    <mergeCell ref="F881:H881"/>
    <mergeCell ref="I881:J881"/>
    <mergeCell ref="A882:B882"/>
    <mergeCell ref="C882:E882"/>
    <mergeCell ref="F882:H882"/>
    <mergeCell ref="I882:J882"/>
    <mergeCell ref="A883:B883"/>
    <mergeCell ref="C883:G883"/>
    <mergeCell ref="A908:B908"/>
    <mergeCell ref="C908:G908"/>
    <mergeCell ref="A909:B909"/>
    <mergeCell ref="C909:G909"/>
    <mergeCell ref="A910:B910"/>
    <mergeCell ref="C910:G910"/>
    <mergeCell ref="A893:B893"/>
    <mergeCell ref="C893:G893"/>
    <mergeCell ref="A894:B894"/>
    <mergeCell ref="C894:G894"/>
    <mergeCell ref="A895:B895"/>
    <mergeCell ref="C895:G895"/>
    <mergeCell ref="A896:B896"/>
    <mergeCell ref="C896:G896"/>
    <mergeCell ref="A900:B900"/>
    <mergeCell ref="D900:E900"/>
    <mergeCell ref="G900:H900"/>
    <mergeCell ref="A904:B904"/>
    <mergeCell ref="C904:E904"/>
    <mergeCell ref="F904:H904"/>
    <mergeCell ref="B901:C901"/>
    <mergeCell ref="D901:E901"/>
    <mergeCell ref="F901:J901"/>
    <mergeCell ref="J897:J898"/>
    <mergeCell ref="I897:I898"/>
    <mergeCell ref="H897:H898"/>
    <mergeCell ref="A897:G898"/>
    <mergeCell ref="I904:J904"/>
    <mergeCell ref="A905:B905"/>
    <mergeCell ref="C905:E905"/>
    <mergeCell ref="F905:H905"/>
    <mergeCell ref="I905:J905"/>
    <mergeCell ref="A923:B923"/>
    <mergeCell ref="D923:E923"/>
    <mergeCell ref="G923:H923"/>
    <mergeCell ref="I923:J923"/>
    <mergeCell ref="B924:C924"/>
    <mergeCell ref="D924:E924"/>
    <mergeCell ref="F924:J924"/>
    <mergeCell ref="A911:B911"/>
    <mergeCell ref="C911:G911"/>
    <mergeCell ref="A912:B912"/>
    <mergeCell ref="C912:G912"/>
    <mergeCell ref="A913:B913"/>
    <mergeCell ref="C913:G913"/>
    <mergeCell ref="A914:B914"/>
    <mergeCell ref="C914:G914"/>
    <mergeCell ref="A915:B915"/>
    <mergeCell ref="C915:G915"/>
    <mergeCell ref="A916:B916"/>
    <mergeCell ref="C916:G916"/>
    <mergeCell ref="A917:B917"/>
    <mergeCell ref="C917:G917"/>
    <mergeCell ref="A918:B918"/>
    <mergeCell ref="C918:G918"/>
    <mergeCell ref="A919:B919"/>
    <mergeCell ref="C919:G919"/>
    <mergeCell ref="J920:J921"/>
    <mergeCell ref="I920:I921"/>
    <mergeCell ref="H920:H921"/>
    <mergeCell ref="A920:G921"/>
    <mergeCell ref="H46:H47"/>
    <mergeCell ref="I46:I47"/>
    <mergeCell ref="J46:J47"/>
    <mergeCell ref="A69:G70"/>
    <mergeCell ref="H69:H70"/>
    <mergeCell ref="I69:I70"/>
    <mergeCell ref="J69:J70"/>
    <mergeCell ref="J92:J93"/>
    <mergeCell ref="I92:I93"/>
    <mergeCell ref="H92:H93"/>
    <mergeCell ref="A92:G93"/>
    <mergeCell ref="J115:J116"/>
    <mergeCell ref="I115:I116"/>
    <mergeCell ref="H115:H116"/>
    <mergeCell ref="A115:G116"/>
    <mergeCell ref="J138:J139"/>
    <mergeCell ref="I138:I139"/>
    <mergeCell ref="H138:H139"/>
    <mergeCell ref="A138:G139"/>
    <mergeCell ref="F123:H123"/>
    <mergeCell ref="I123:J123"/>
    <mergeCell ref="A133:B133"/>
    <mergeCell ref="C133:G133"/>
    <mergeCell ref="A134:B134"/>
    <mergeCell ref="C134:G134"/>
    <mergeCell ref="C135:G135"/>
    <mergeCell ref="A136:B136"/>
    <mergeCell ref="C136:G136"/>
    <mergeCell ref="A137:B137"/>
    <mergeCell ref="C137:G137"/>
    <mergeCell ref="A65:B65"/>
    <mergeCell ref="A113:B113"/>
    <mergeCell ref="C203:G203"/>
    <mergeCell ref="A204:B204"/>
    <mergeCell ref="C204:G204"/>
    <mergeCell ref="C205:G205"/>
    <mergeCell ref="C262:G262"/>
    <mergeCell ref="C263:G263"/>
    <mergeCell ref="A264:B264"/>
    <mergeCell ref="A241:B241"/>
    <mergeCell ref="A239:B239"/>
    <mergeCell ref="H230:H231"/>
    <mergeCell ref="A230:G231"/>
    <mergeCell ref="J253:J254"/>
    <mergeCell ref="A249:B249"/>
    <mergeCell ref="A266:B266"/>
    <mergeCell ref="C266:G266"/>
    <mergeCell ref="C267:G267"/>
    <mergeCell ref="H207:H208"/>
    <mergeCell ref="A207:G208"/>
    <mergeCell ref="J230:J231"/>
    <mergeCell ref="I230:I231"/>
    <mergeCell ref="A227:B227"/>
    <mergeCell ref="A228:B228"/>
    <mergeCell ref="C223:G223"/>
    <mergeCell ref="A224:B224"/>
    <mergeCell ref="C224:G224"/>
    <mergeCell ref="A225:B225"/>
    <mergeCell ref="C225:G225"/>
    <mergeCell ref="A226:B226"/>
    <mergeCell ref="A262:B262"/>
    <mergeCell ref="A240:B240"/>
    <mergeCell ref="C226:G226"/>
    <mergeCell ref="A223:B223"/>
    <mergeCell ref="A275:B275"/>
    <mergeCell ref="I345:I346"/>
    <mergeCell ref="H345:H346"/>
    <mergeCell ref="A345:G346"/>
    <mergeCell ref="J368:J369"/>
    <mergeCell ref="I368:I369"/>
    <mergeCell ref="H368:H369"/>
    <mergeCell ref="A368:G369"/>
    <mergeCell ref="J391:J392"/>
    <mergeCell ref="I391:I392"/>
    <mergeCell ref="H391:H392"/>
    <mergeCell ref="A391:G392"/>
    <mergeCell ref="A375:B375"/>
    <mergeCell ref="C375:E375"/>
    <mergeCell ref="F375:H375"/>
    <mergeCell ref="I375:J375"/>
    <mergeCell ref="A376:B376"/>
    <mergeCell ref="C376:E376"/>
    <mergeCell ref="F376:H376"/>
    <mergeCell ref="I376:J376"/>
    <mergeCell ref="C377:G377"/>
    <mergeCell ref="A378:B378"/>
    <mergeCell ref="C378:G378"/>
    <mergeCell ref="A379:B379"/>
    <mergeCell ref="C379:G379"/>
    <mergeCell ref="A380:B380"/>
    <mergeCell ref="C380:G380"/>
    <mergeCell ref="C381:G381"/>
    <mergeCell ref="C382:G382"/>
    <mergeCell ref="A354:B354"/>
    <mergeCell ref="C354:G354"/>
    <mergeCell ref="C355:G355"/>
    <mergeCell ref="A906:B906"/>
    <mergeCell ref="C906:G906"/>
    <mergeCell ref="A907:B907"/>
    <mergeCell ref="J414:J415"/>
    <mergeCell ref="I414:I415"/>
    <mergeCell ref="H414:H415"/>
    <mergeCell ref="A414:G415"/>
    <mergeCell ref="J437:J438"/>
    <mergeCell ref="I437:I438"/>
    <mergeCell ref="H437:H438"/>
    <mergeCell ref="A437:G438"/>
    <mergeCell ref="J460:J461"/>
    <mergeCell ref="I460:I461"/>
    <mergeCell ref="H460:H461"/>
    <mergeCell ref="A460:G461"/>
    <mergeCell ref="J483:J484"/>
    <mergeCell ref="I483:I484"/>
    <mergeCell ref="H483:H484"/>
    <mergeCell ref="A483:G484"/>
    <mergeCell ref="J506:J507"/>
    <mergeCell ref="I506:I507"/>
    <mergeCell ref="H506:H507"/>
    <mergeCell ref="A506:G507"/>
    <mergeCell ref="C907:G907"/>
    <mergeCell ref="I900:J900"/>
    <mergeCell ref="A884:B884"/>
    <mergeCell ref="C884:G884"/>
    <mergeCell ref="A885:B885"/>
    <mergeCell ref="C885:G885"/>
    <mergeCell ref="A886:B886"/>
    <mergeCell ref="C886:G886"/>
    <mergeCell ref="A887:B887"/>
  </mergeCells>
  <conditionalFormatting sqref="I1:I23 I25:I27 I48:I50 I71:I73 I94:I96 I140:I142 I163:I165 I186:I188 I209:I211 I232:I234 I255:I257 I278:I280 I301:I303 I324:I326 I347:I349 I370:I372 I393:I395 I416:I418 I439:I441 I462:I464 I485:I487 I508:I510 I531:I533 I554:I556 I577:I579 I600:I602 I623:I625 I646:I648 I669:I671 I692:I694 I715:I717 I738:I740 I761:I763 I784:I786 I807:I809 I830:I832 I853:I855 I876:I878 I899:I901 I922:I924">
    <cfRule type="containsText" dxfId="134" priority="762" operator="containsText" text="F">
      <formula>NOT(ISERROR(SEARCH("F",I1)))</formula>
    </cfRule>
    <cfRule type="containsText" dxfId="133" priority="761" operator="containsText" text="Ab">
      <formula>NOT(ISERROR(SEARCH("Ab",I1)))</formula>
    </cfRule>
    <cfRule type="containsText" dxfId="132" priority="760" operator="containsText" text="Dt">
      <formula>NOT(ISERROR(SEARCH("Dt",I1)))</formula>
    </cfRule>
  </conditionalFormatting>
  <conditionalFormatting sqref="I30:I46">
    <cfRule type="containsText" dxfId="131" priority="231" operator="containsText" text="F">
      <formula>NOT(ISERROR(SEARCH("F",I30)))</formula>
    </cfRule>
    <cfRule type="containsText" dxfId="130" priority="230" operator="containsText" text="Ab">
      <formula>NOT(ISERROR(SEARCH("Ab",I30)))</formula>
    </cfRule>
    <cfRule type="containsText" dxfId="129" priority="229" operator="containsText" text="Dt">
      <formula>NOT(ISERROR(SEARCH("Dt",I30)))</formula>
    </cfRule>
  </conditionalFormatting>
  <conditionalFormatting sqref="I53:I69">
    <cfRule type="containsText" dxfId="128" priority="225" operator="containsText" text="F">
      <formula>NOT(ISERROR(SEARCH("F",I53)))</formula>
    </cfRule>
    <cfRule type="containsText" dxfId="127" priority="224" operator="containsText" text="Ab">
      <formula>NOT(ISERROR(SEARCH("Ab",I53)))</formula>
    </cfRule>
    <cfRule type="containsText" dxfId="126" priority="223" operator="containsText" text="Dt">
      <formula>NOT(ISERROR(SEARCH("Dt",I53)))</formula>
    </cfRule>
  </conditionalFormatting>
  <conditionalFormatting sqref="I76:I92">
    <cfRule type="containsText" dxfId="125" priority="219" operator="containsText" text="F">
      <formula>NOT(ISERROR(SEARCH("F",I76)))</formula>
    </cfRule>
    <cfRule type="containsText" dxfId="124" priority="218" operator="containsText" text="Ab">
      <formula>NOT(ISERROR(SEARCH("Ab",I76)))</formula>
    </cfRule>
    <cfRule type="containsText" dxfId="123" priority="217" operator="containsText" text="Dt">
      <formula>NOT(ISERROR(SEARCH("Dt",I76)))</formula>
    </cfRule>
  </conditionalFormatting>
  <conditionalFormatting sqref="I99:I115 I117:I119">
    <cfRule type="containsText" dxfId="122" priority="212" operator="containsText" text="Ab">
      <formula>NOT(ISERROR(SEARCH("Ab",I99)))</formula>
    </cfRule>
    <cfRule type="containsText" dxfId="121" priority="213" operator="containsText" text="F">
      <formula>NOT(ISERROR(SEARCH("F",I99)))</formula>
    </cfRule>
    <cfRule type="containsText" dxfId="120" priority="211" operator="containsText" text="Dt">
      <formula>NOT(ISERROR(SEARCH("Dt",I99)))</formula>
    </cfRule>
  </conditionalFormatting>
  <conditionalFormatting sqref="I122:I138">
    <cfRule type="containsText" dxfId="119" priority="207" operator="containsText" text="F">
      <formula>NOT(ISERROR(SEARCH("F",I122)))</formula>
    </cfRule>
    <cfRule type="containsText" dxfId="118" priority="206" operator="containsText" text="Ab">
      <formula>NOT(ISERROR(SEARCH("Ab",I122)))</formula>
    </cfRule>
    <cfRule type="containsText" dxfId="117" priority="205" operator="containsText" text="Dt">
      <formula>NOT(ISERROR(SEARCH("Dt",I122)))</formula>
    </cfRule>
  </conditionalFormatting>
  <conditionalFormatting sqref="I145:I161">
    <cfRule type="containsText" dxfId="116" priority="201" operator="containsText" text="F">
      <formula>NOT(ISERROR(SEARCH("F",I145)))</formula>
    </cfRule>
    <cfRule type="containsText" dxfId="115" priority="200" operator="containsText" text="Ab">
      <formula>NOT(ISERROR(SEARCH("Ab",I145)))</formula>
    </cfRule>
    <cfRule type="containsText" dxfId="114" priority="199" operator="containsText" text="Dt">
      <formula>NOT(ISERROR(SEARCH("Dt",I145)))</formula>
    </cfRule>
  </conditionalFormatting>
  <conditionalFormatting sqref="I168:I184">
    <cfRule type="containsText" dxfId="113" priority="195" operator="containsText" text="F">
      <formula>NOT(ISERROR(SEARCH("F",I168)))</formula>
    </cfRule>
    <cfRule type="containsText" dxfId="112" priority="194" operator="containsText" text="Ab">
      <formula>NOT(ISERROR(SEARCH("Ab",I168)))</formula>
    </cfRule>
    <cfRule type="containsText" dxfId="111" priority="193" operator="containsText" text="Dt">
      <formula>NOT(ISERROR(SEARCH("Dt",I168)))</formula>
    </cfRule>
  </conditionalFormatting>
  <conditionalFormatting sqref="I191:I207">
    <cfRule type="containsText" dxfId="110" priority="189" operator="containsText" text="F">
      <formula>NOT(ISERROR(SEARCH("F",I191)))</formula>
    </cfRule>
    <cfRule type="containsText" dxfId="109" priority="188" operator="containsText" text="Ab">
      <formula>NOT(ISERROR(SEARCH("Ab",I191)))</formula>
    </cfRule>
    <cfRule type="containsText" dxfId="108" priority="187" operator="containsText" text="Dt">
      <formula>NOT(ISERROR(SEARCH("Dt",I191)))</formula>
    </cfRule>
  </conditionalFormatting>
  <conditionalFormatting sqref="I214:I230">
    <cfRule type="containsText" dxfId="107" priority="182" operator="containsText" text="Ab">
      <formula>NOT(ISERROR(SEARCH("Ab",I214)))</formula>
    </cfRule>
    <cfRule type="containsText" dxfId="106" priority="183" operator="containsText" text="F">
      <formula>NOT(ISERROR(SEARCH("F",I214)))</formula>
    </cfRule>
    <cfRule type="containsText" dxfId="105" priority="181" operator="containsText" text="Dt">
      <formula>NOT(ISERROR(SEARCH("Dt",I214)))</formula>
    </cfRule>
  </conditionalFormatting>
  <conditionalFormatting sqref="I237:I253">
    <cfRule type="containsText" dxfId="104" priority="177" operator="containsText" text="F">
      <formula>NOT(ISERROR(SEARCH("F",I237)))</formula>
    </cfRule>
    <cfRule type="containsText" dxfId="103" priority="176" operator="containsText" text="Ab">
      <formula>NOT(ISERROR(SEARCH("Ab",I237)))</formula>
    </cfRule>
    <cfRule type="containsText" dxfId="102" priority="175" operator="containsText" text="Dt">
      <formula>NOT(ISERROR(SEARCH("Dt",I237)))</formula>
    </cfRule>
  </conditionalFormatting>
  <conditionalFormatting sqref="I260:I276">
    <cfRule type="containsText" dxfId="101" priority="171" operator="containsText" text="F">
      <formula>NOT(ISERROR(SEARCH("F",I260)))</formula>
    </cfRule>
    <cfRule type="containsText" dxfId="100" priority="170" operator="containsText" text="Ab">
      <formula>NOT(ISERROR(SEARCH("Ab",I260)))</formula>
    </cfRule>
    <cfRule type="containsText" dxfId="99" priority="169" operator="containsText" text="Dt">
      <formula>NOT(ISERROR(SEARCH("Dt",I260)))</formula>
    </cfRule>
  </conditionalFormatting>
  <conditionalFormatting sqref="I283:I299">
    <cfRule type="containsText" dxfId="98" priority="165" operator="containsText" text="F">
      <formula>NOT(ISERROR(SEARCH("F",I283)))</formula>
    </cfRule>
    <cfRule type="containsText" dxfId="97" priority="164" operator="containsText" text="Ab">
      <formula>NOT(ISERROR(SEARCH("Ab",I283)))</formula>
    </cfRule>
    <cfRule type="containsText" dxfId="96" priority="163" operator="containsText" text="Dt">
      <formula>NOT(ISERROR(SEARCH("Dt",I283)))</formula>
    </cfRule>
  </conditionalFormatting>
  <conditionalFormatting sqref="I306:I322">
    <cfRule type="containsText" dxfId="95" priority="159" operator="containsText" text="F">
      <formula>NOT(ISERROR(SEARCH("F",I306)))</formula>
    </cfRule>
    <cfRule type="containsText" dxfId="94" priority="158" operator="containsText" text="Ab">
      <formula>NOT(ISERROR(SEARCH("Ab",I306)))</formula>
    </cfRule>
    <cfRule type="containsText" dxfId="93" priority="157" operator="containsText" text="Dt">
      <formula>NOT(ISERROR(SEARCH("Dt",I306)))</formula>
    </cfRule>
  </conditionalFormatting>
  <conditionalFormatting sqref="I329:I345">
    <cfRule type="containsText" dxfId="92" priority="153" operator="containsText" text="F">
      <formula>NOT(ISERROR(SEARCH("F",I329)))</formula>
    </cfRule>
    <cfRule type="containsText" dxfId="91" priority="152" operator="containsText" text="Ab">
      <formula>NOT(ISERROR(SEARCH("Ab",I329)))</formula>
    </cfRule>
    <cfRule type="containsText" dxfId="90" priority="151" operator="containsText" text="Dt">
      <formula>NOT(ISERROR(SEARCH("Dt",I329)))</formula>
    </cfRule>
  </conditionalFormatting>
  <conditionalFormatting sqref="I352:I368">
    <cfRule type="containsText" dxfId="89" priority="147" operator="containsText" text="F">
      <formula>NOT(ISERROR(SEARCH("F",I352)))</formula>
    </cfRule>
    <cfRule type="containsText" dxfId="88" priority="146" operator="containsText" text="Ab">
      <formula>NOT(ISERROR(SEARCH("Ab",I352)))</formula>
    </cfRule>
    <cfRule type="containsText" dxfId="87" priority="145" operator="containsText" text="Dt">
      <formula>NOT(ISERROR(SEARCH("Dt",I352)))</formula>
    </cfRule>
  </conditionalFormatting>
  <conditionalFormatting sqref="I375:I391">
    <cfRule type="containsText" dxfId="86" priority="141" operator="containsText" text="F">
      <formula>NOT(ISERROR(SEARCH("F",I375)))</formula>
    </cfRule>
    <cfRule type="containsText" dxfId="85" priority="140" operator="containsText" text="Ab">
      <formula>NOT(ISERROR(SEARCH("Ab",I375)))</formula>
    </cfRule>
    <cfRule type="containsText" dxfId="84" priority="139" operator="containsText" text="Dt">
      <formula>NOT(ISERROR(SEARCH("Dt",I375)))</formula>
    </cfRule>
  </conditionalFormatting>
  <conditionalFormatting sqref="I398:I414">
    <cfRule type="containsText" dxfId="83" priority="135" operator="containsText" text="F">
      <formula>NOT(ISERROR(SEARCH("F",I398)))</formula>
    </cfRule>
    <cfRule type="containsText" dxfId="82" priority="134" operator="containsText" text="Ab">
      <formula>NOT(ISERROR(SEARCH("Ab",I398)))</formula>
    </cfRule>
    <cfRule type="containsText" dxfId="81" priority="133" operator="containsText" text="Dt">
      <formula>NOT(ISERROR(SEARCH("Dt",I398)))</formula>
    </cfRule>
  </conditionalFormatting>
  <conditionalFormatting sqref="I421:I437">
    <cfRule type="containsText" dxfId="80" priority="129" operator="containsText" text="F">
      <formula>NOT(ISERROR(SEARCH("F",I421)))</formula>
    </cfRule>
    <cfRule type="containsText" dxfId="79" priority="128" operator="containsText" text="Ab">
      <formula>NOT(ISERROR(SEARCH("Ab",I421)))</formula>
    </cfRule>
    <cfRule type="containsText" dxfId="78" priority="127" operator="containsText" text="Dt">
      <formula>NOT(ISERROR(SEARCH("Dt",I421)))</formula>
    </cfRule>
  </conditionalFormatting>
  <conditionalFormatting sqref="I444:I460">
    <cfRule type="containsText" dxfId="77" priority="121" operator="containsText" text="Dt">
      <formula>NOT(ISERROR(SEARCH("Dt",I444)))</formula>
    </cfRule>
    <cfRule type="containsText" dxfId="76" priority="122" operator="containsText" text="Ab">
      <formula>NOT(ISERROR(SEARCH("Ab",I444)))</formula>
    </cfRule>
    <cfRule type="containsText" dxfId="75" priority="123" operator="containsText" text="F">
      <formula>NOT(ISERROR(SEARCH("F",I444)))</formula>
    </cfRule>
  </conditionalFormatting>
  <conditionalFormatting sqref="I467:I483">
    <cfRule type="containsText" dxfId="74" priority="116" operator="containsText" text="Ab">
      <formula>NOT(ISERROR(SEARCH("Ab",I467)))</formula>
    </cfRule>
    <cfRule type="containsText" dxfId="73" priority="117" operator="containsText" text="F">
      <formula>NOT(ISERROR(SEARCH("F",I467)))</formula>
    </cfRule>
    <cfRule type="containsText" dxfId="72" priority="115" operator="containsText" text="Dt">
      <formula>NOT(ISERROR(SEARCH("Dt",I467)))</formula>
    </cfRule>
  </conditionalFormatting>
  <conditionalFormatting sqref="I490:I506">
    <cfRule type="containsText" dxfId="71" priority="111" operator="containsText" text="F">
      <formula>NOT(ISERROR(SEARCH("F",I490)))</formula>
    </cfRule>
    <cfRule type="containsText" dxfId="70" priority="110" operator="containsText" text="Ab">
      <formula>NOT(ISERROR(SEARCH("Ab",I490)))</formula>
    </cfRule>
    <cfRule type="containsText" dxfId="69" priority="109" operator="containsText" text="Dt">
      <formula>NOT(ISERROR(SEARCH("Dt",I490)))</formula>
    </cfRule>
  </conditionalFormatting>
  <conditionalFormatting sqref="I513:I529">
    <cfRule type="containsText" dxfId="68" priority="105" operator="containsText" text="F">
      <formula>NOT(ISERROR(SEARCH("F",I513)))</formula>
    </cfRule>
    <cfRule type="containsText" dxfId="67" priority="104" operator="containsText" text="Ab">
      <formula>NOT(ISERROR(SEARCH("Ab",I513)))</formula>
    </cfRule>
    <cfRule type="containsText" dxfId="66" priority="103" operator="containsText" text="Dt">
      <formula>NOT(ISERROR(SEARCH("Dt",I513)))</formula>
    </cfRule>
  </conditionalFormatting>
  <conditionalFormatting sqref="I536:I552">
    <cfRule type="containsText" dxfId="65" priority="99" operator="containsText" text="F">
      <formula>NOT(ISERROR(SEARCH("F",I536)))</formula>
    </cfRule>
    <cfRule type="containsText" dxfId="64" priority="98" operator="containsText" text="Ab">
      <formula>NOT(ISERROR(SEARCH("Ab",I536)))</formula>
    </cfRule>
    <cfRule type="containsText" dxfId="63" priority="97" operator="containsText" text="Dt">
      <formula>NOT(ISERROR(SEARCH("Dt",I536)))</formula>
    </cfRule>
  </conditionalFormatting>
  <conditionalFormatting sqref="I559:I575">
    <cfRule type="containsText" dxfId="62" priority="93" operator="containsText" text="F">
      <formula>NOT(ISERROR(SEARCH("F",I559)))</formula>
    </cfRule>
    <cfRule type="containsText" dxfId="61" priority="92" operator="containsText" text="Ab">
      <formula>NOT(ISERROR(SEARCH("Ab",I559)))</formula>
    </cfRule>
    <cfRule type="containsText" dxfId="60" priority="91" operator="containsText" text="Dt">
      <formula>NOT(ISERROR(SEARCH("Dt",I559)))</formula>
    </cfRule>
  </conditionalFormatting>
  <conditionalFormatting sqref="I582:I598">
    <cfRule type="containsText" dxfId="59" priority="87" operator="containsText" text="F">
      <formula>NOT(ISERROR(SEARCH("F",I582)))</formula>
    </cfRule>
    <cfRule type="containsText" dxfId="58" priority="86" operator="containsText" text="Ab">
      <formula>NOT(ISERROR(SEARCH("Ab",I582)))</formula>
    </cfRule>
    <cfRule type="containsText" dxfId="57" priority="85" operator="containsText" text="Dt">
      <formula>NOT(ISERROR(SEARCH("Dt",I582)))</formula>
    </cfRule>
  </conditionalFormatting>
  <conditionalFormatting sqref="I605:I621">
    <cfRule type="containsText" dxfId="56" priority="81" operator="containsText" text="F">
      <formula>NOT(ISERROR(SEARCH("F",I605)))</formula>
    </cfRule>
    <cfRule type="containsText" dxfId="55" priority="80" operator="containsText" text="Ab">
      <formula>NOT(ISERROR(SEARCH("Ab",I605)))</formula>
    </cfRule>
    <cfRule type="containsText" dxfId="54" priority="79" operator="containsText" text="Dt">
      <formula>NOT(ISERROR(SEARCH("Dt",I605)))</formula>
    </cfRule>
  </conditionalFormatting>
  <conditionalFormatting sqref="I628:I644">
    <cfRule type="containsText" dxfId="53" priority="75" operator="containsText" text="F">
      <formula>NOT(ISERROR(SEARCH("F",I628)))</formula>
    </cfRule>
    <cfRule type="containsText" dxfId="52" priority="74" operator="containsText" text="Ab">
      <formula>NOT(ISERROR(SEARCH("Ab",I628)))</formula>
    </cfRule>
    <cfRule type="containsText" dxfId="51" priority="73" operator="containsText" text="Dt">
      <formula>NOT(ISERROR(SEARCH("Dt",I628)))</formula>
    </cfRule>
  </conditionalFormatting>
  <conditionalFormatting sqref="I651:I667">
    <cfRule type="containsText" dxfId="50" priority="69" operator="containsText" text="F">
      <formula>NOT(ISERROR(SEARCH("F",I651)))</formula>
    </cfRule>
    <cfRule type="containsText" dxfId="49" priority="68" operator="containsText" text="Ab">
      <formula>NOT(ISERROR(SEARCH("Ab",I651)))</formula>
    </cfRule>
    <cfRule type="containsText" dxfId="48" priority="67" operator="containsText" text="Dt">
      <formula>NOT(ISERROR(SEARCH("Dt",I651)))</formula>
    </cfRule>
  </conditionalFormatting>
  <conditionalFormatting sqref="I674:I690">
    <cfRule type="containsText" dxfId="47" priority="61" operator="containsText" text="Dt">
      <formula>NOT(ISERROR(SEARCH("Dt",I674)))</formula>
    </cfRule>
    <cfRule type="containsText" dxfId="46" priority="62" operator="containsText" text="Ab">
      <formula>NOT(ISERROR(SEARCH("Ab",I674)))</formula>
    </cfRule>
    <cfRule type="containsText" dxfId="45" priority="63" operator="containsText" text="F">
      <formula>NOT(ISERROR(SEARCH("F",I674)))</formula>
    </cfRule>
  </conditionalFormatting>
  <conditionalFormatting sqref="I697:I713">
    <cfRule type="containsText" dxfId="44" priority="57" operator="containsText" text="F">
      <formula>NOT(ISERROR(SEARCH("F",I697)))</formula>
    </cfRule>
    <cfRule type="containsText" dxfId="43" priority="56" operator="containsText" text="Ab">
      <formula>NOT(ISERROR(SEARCH("Ab",I697)))</formula>
    </cfRule>
    <cfRule type="containsText" dxfId="42" priority="55" operator="containsText" text="Dt">
      <formula>NOT(ISERROR(SEARCH("Dt",I697)))</formula>
    </cfRule>
  </conditionalFormatting>
  <conditionalFormatting sqref="I720:I736">
    <cfRule type="containsText" dxfId="41" priority="51" operator="containsText" text="F">
      <formula>NOT(ISERROR(SEARCH("F",I720)))</formula>
    </cfRule>
    <cfRule type="containsText" dxfId="40" priority="50" operator="containsText" text="Ab">
      <formula>NOT(ISERROR(SEARCH("Ab",I720)))</formula>
    </cfRule>
    <cfRule type="containsText" dxfId="39" priority="49" operator="containsText" text="Dt">
      <formula>NOT(ISERROR(SEARCH("Dt",I720)))</formula>
    </cfRule>
  </conditionalFormatting>
  <conditionalFormatting sqref="I743:I759">
    <cfRule type="containsText" dxfId="38" priority="45" operator="containsText" text="F">
      <formula>NOT(ISERROR(SEARCH("F",I743)))</formula>
    </cfRule>
    <cfRule type="containsText" dxfId="37" priority="44" operator="containsText" text="Ab">
      <formula>NOT(ISERROR(SEARCH("Ab",I743)))</formula>
    </cfRule>
    <cfRule type="containsText" dxfId="36" priority="43" operator="containsText" text="Dt">
      <formula>NOT(ISERROR(SEARCH("Dt",I743)))</formula>
    </cfRule>
  </conditionalFormatting>
  <conditionalFormatting sqref="I766:I782">
    <cfRule type="containsText" dxfId="35" priority="39" operator="containsText" text="F">
      <formula>NOT(ISERROR(SEARCH("F",I766)))</formula>
    </cfRule>
    <cfRule type="containsText" dxfId="34" priority="38" operator="containsText" text="Ab">
      <formula>NOT(ISERROR(SEARCH("Ab",I766)))</formula>
    </cfRule>
    <cfRule type="containsText" dxfId="33" priority="37" operator="containsText" text="Dt">
      <formula>NOT(ISERROR(SEARCH("Dt",I766)))</formula>
    </cfRule>
  </conditionalFormatting>
  <conditionalFormatting sqref="I789:I805">
    <cfRule type="containsText" dxfId="32" priority="31" operator="containsText" text="Dt">
      <formula>NOT(ISERROR(SEARCH("Dt",I789)))</formula>
    </cfRule>
    <cfRule type="containsText" dxfId="31" priority="32" operator="containsText" text="Ab">
      <formula>NOT(ISERROR(SEARCH("Ab",I789)))</formula>
    </cfRule>
    <cfRule type="containsText" dxfId="30" priority="33" operator="containsText" text="F">
      <formula>NOT(ISERROR(SEARCH("F",I789)))</formula>
    </cfRule>
  </conditionalFormatting>
  <conditionalFormatting sqref="I812:I828">
    <cfRule type="containsText" dxfId="29" priority="27" operator="containsText" text="F">
      <formula>NOT(ISERROR(SEARCH("F",I812)))</formula>
    </cfRule>
    <cfRule type="containsText" dxfId="28" priority="26" operator="containsText" text="Ab">
      <formula>NOT(ISERROR(SEARCH("Ab",I812)))</formula>
    </cfRule>
    <cfRule type="containsText" dxfId="27" priority="25" operator="containsText" text="Dt">
      <formula>NOT(ISERROR(SEARCH("Dt",I812)))</formula>
    </cfRule>
  </conditionalFormatting>
  <conditionalFormatting sqref="I835:I851">
    <cfRule type="containsText" dxfId="26" priority="21" operator="containsText" text="F">
      <formula>NOT(ISERROR(SEARCH("F",I835)))</formula>
    </cfRule>
    <cfRule type="containsText" dxfId="25" priority="20" operator="containsText" text="Ab">
      <formula>NOT(ISERROR(SEARCH("Ab",I835)))</formula>
    </cfRule>
    <cfRule type="containsText" dxfId="24" priority="19" operator="containsText" text="Dt">
      <formula>NOT(ISERROR(SEARCH("Dt",I835)))</formula>
    </cfRule>
  </conditionalFormatting>
  <conditionalFormatting sqref="I858:I874">
    <cfRule type="containsText" dxfId="23" priority="15" operator="containsText" text="F">
      <formula>NOT(ISERROR(SEARCH("F",I858)))</formula>
    </cfRule>
    <cfRule type="containsText" dxfId="22" priority="14" operator="containsText" text="Ab">
      <formula>NOT(ISERROR(SEARCH("Ab",I858)))</formula>
    </cfRule>
    <cfRule type="containsText" dxfId="21" priority="13" operator="containsText" text="Dt">
      <formula>NOT(ISERROR(SEARCH("Dt",I858)))</formula>
    </cfRule>
  </conditionalFormatting>
  <conditionalFormatting sqref="I881:I897">
    <cfRule type="containsText" dxfId="20" priority="9" operator="containsText" text="F">
      <formula>NOT(ISERROR(SEARCH("F",I881)))</formula>
    </cfRule>
    <cfRule type="containsText" dxfId="19" priority="8" operator="containsText" text="Ab">
      <formula>NOT(ISERROR(SEARCH("Ab",I881)))</formula>
    </cfRule>
    <cfRule type="containsText" dxfId="18" priority="7" operator="containsText" text="Dt">
      <formula>NOT(ISERROR(SEARCH("Dt",I881)))</formula>
    </cfRule>
  </conditionalFormatting>
  <conditionalFormatting sqref="I904:I920">
    <cfRule type="containsText" dxfId="17" priority="3" operator="containsText" text="F">
      <formula>NOT(ISERROR(SEARCH("F",I904)))</formula>
    </cfRule>
    <cfRule type="containsText" dxfId="16" priority="2" operator="containsText" text="Ab">
      <formula>NOT(ISERROR(SEARCH("Ab",I904)))</formula>
    </cfRule>
    <cfRule type="containsText" dxfId="15" priority="1" operator="containsText" text="Dt">
      <formula>NOT(ISERROR(SEARCH("Dt",I904)))</formula>
    </cfRule>
  </conditionalFormatting>
  <printOptions horizontalCentered="1"/>
  <pageMargins left="0.31496062992126" right="0.31496062992126" top="0.85433070899999997" bottom="0.71875" header="0.36811023599999998" footer="0.31496062992126"/>
  <pageSetup paperSize="9" orientation="portrait" r:id="rId1"/>
  <headerFooter>
    <oddHeader>&amp;C&amp;G&amp;R&amp;"Times New Roman,Bold"&amp;12&amp;U&amp;K000000Sl. No.: MCA/2025-27/10&amp;P</oddHeader>
    <oddFooter xml:space="preserve">&amp;L&amp;"Times New Roman,Bold"&amp;12Prepared by                           Checked by
03.02.2026&amp;C&amp;"Times New Roman,Bold"&amp;12                                                  Examination Controller
&amp;R&amp;"Times New Roman,Bold"&amp;12Director
</oddFooter>
  </headerFooter>
  <rowBreaks count="40" manualBreakCount="40">
    <brk id="29" max="16383" man="1"/>
    <brk id="52" max="16383" man="1"/>
    <brk id="75" max="16383" man="1"/>
    <brk id="98" max="16383" man="1"/>
    <brk id="121" max="16383" man="1"/>
    <brk id="144" max="16383" man="1"/>
    <brk id="167" max="16383" man="1"/>
    <brk id="190" max="16383" man="1"/>
    <brk id="213" max="16383" man="1"/>
    <brk id="236" max="16383" man="1"/>
    <brk id="259" max="16383" man="1"/>
    <brk id="282" max="16383" man="1"/>
    <brk id="305" max="16383" man="1"/>
    <brk id="328" max="16383" man="1"/>
    <brk id="351" max="16383" man="1"/>
    <brk id="374" max="16383" man="1"/>
    <brk id="397" max="16383" man="1"/>
    <brk id="420" max="16383" man="1"/>
    <brk id="443" max="16383" man="1"/>
    <brk id="466" max="16383" man="1"/>
    <brk id="489" max="16383" man="1"/>
    <brk id="512" max="16383" man="1"/>
    <brk id="535" max="16383" man="1"/>
    <brk id="558" max="16383" man="1"/>
    <brk id="581" max="16383" man="1"/>
    <brk id="604" max="16383" man="1"/>
    <brk id="627" max="16383" man="1"/>
    <brk id="650" max="16383" man="1"/>
    <brk id="673" max="16383" man="1"/>
    <brk id="696" max="16383" man="1"/>
    <brk id="719" max="16383" man="1"/>
    <brk id="742" max="16383" man="1"/>
    <brk id="765" max="16383" man="1"/>
    <brk id="788" max="16383" man="1"/>
    <brk id="811" max="16383" man="1"/>
    <brk id="834" max="16383" man="1"/>
    <brk id="857" max="16383" man="1"/>
    <brk id="880" max="16383" man="1"/>
    <brk id="903" max="16383" man="1"/>
    <brk id="926" max="16383" man="1"/>
  </row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7C7B-FB51-40A1-B302-4A4DC3B65DFA}">
  <dimension ref="A1:J766"/>
  <sheetViews>
    <sheetView zoomScaleNormal="100" workbookViewId="0">
      <selection activeCell="L5" sqref="L5"/>
    </sheetView>
  </sheetViews>
  <sheetFormatPr baseColWidth="10" defaultColWidth="8.83203125" defaultRowHeight="28" customHeight="1" x14ac:dyDescent="0.2"/>
  <cols>
    <col min="7" max="7" width="13.1640625" customWidth="1"/>
  </cols>
  <sheetData>
    <row r="1" spans="1:10" ht="28" customHeight="1" x14ac:dyDescent="0.2">
      <c r="A1" s="123" t="s">
        <v>243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28" customHeight="1" x14ac:dyDescent="0.2">
      <c r="A2" s="124" t="s">
        <v>20</v>
      </c>
      <c r="B2" s="124"/>
      <c r="C2" s="124"/>
      <c r="D2" s="124"/>
      <c r="E2" s="124"/>
      <c r="F2" s="124"/>
      <c r="G2" s="124"/>
      <c r="H2" s="124"/>
      <c r="I2" s="124"/>
      <c r="J2" s="124"/>
    </row>
    <row r="3" spans="1:10" ht="28" customHeight="1" x14ac:dyDescent="0.2">
      <c r="A3" s="125" t="s">
        <v>150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28" customHeight="1" x14ac:dyDescent="0.2">
      <c r="A4" s="13"/>
      <c r="B4" s="126" t="s">
        <v>49</v>
      </c>
      <c r="C4" s="126"/>
      <c r="D4" s="126"/>
      <c r="E4" s="126"/>
      <c r="F4" s="126"/>
      <c r="G4" s="126"/>
      <c r="H4" s="126"/>
      <c r="I4" s="126"/>
      <c r="J4" s="13"/>
    </row>
    <row r="5" spans="1:10" ht="28" customHeight="1" x14ac:dyDescent="0.2">
      <c r="A5" s="14"/>
      <c r="B5" s="127" t="s">
        <v>242</v>
      </c>
      <c r="C5" s="127"/>
      <c r="D5" s="127"/>
      <c r="E5" s="127"/>
      <c r="F5" s="127"/>
      <c r="G5" s="127"/>
      <c r="H5" s="127"/>
      <c r="I5" s="127"/>
      <c r="J5" s="14"/>
    </row>
    <row r="6" spans="1:10" ht="28" customHeight="1" x14ac:dyDescent="0.2">
      <c r="B6" s="127"/>
      <c r="C6" s="127"/>
      <c r="D6" s="127"/>
      <c r="E6" s="127"/>
      <c r="F6" s="127"/>
      <c r="G6" s="127"/>
      <c r="H6" s="127"/>
      <c r="I6" s="127"/>
      <c r="J6" s="14"/>
    </row>
    <row r="7" spans="1:10" ht="28" customHeight="1" x14ac:dyDescent="0.2">
      <c r="A7" s="112" t="s">
        <v>24</v>
      </c>
      <c r="B7" s="112"/>
      <c r="C7" s="112" t="str">
        <f ca="1">INDIRECT(_xlfn.TEXTJOIN("",TRUE,A24,"!",ADDRESS(9+(A25-1)*A21,2)))</f>
        <v>ALOK NEGI</v>
      </c>
      <c r="D7" s="112"/>
      <c r="E7" s="112"/>
      <c r="F7" s="112" t="s">
        <v>50</v>
      </c>
      <c r="G7" s="112"/>
      <c r="H7" s="112"/>
      <c r="I7" s="113">
        <f ca="1">INDIRECT(_xlfn.TEXTJOIN("",TRUE,A24,"!",ADDRESS(9+(A25-1)*A21,9)))</f>
        <v>240090600001</v>
      </c>
      <c r="J7" s="113"/>
    </row>
    <row r="8" spans="1:10" ht="28" customHeight="1" x14ac:dyDescent="0.2">
      <c r="A8" s="112" t="s">
        <v>25</v>
      </c>
      <c r="B8" s="112"/>
      <c r="C8" s="112" t="str">
        <f ca="1">INDIRECT(_xlfn.TEXTJOIN("",TRUE,A24,"!",ADDRESS(9+(A25-1)*A21,5)))</f>
        <v>PRATAP SINGH NEGI</v>
      </c>
      <c r="D8" s="112"/>
      <c r="E8" s="112"/>
      <c r="F8" s="114" t="s">
        <v>51</v>
      </c>
      <c r="G8" s="114"/>
      <c r="H8" s="114"/>
      <c r="I8" s="113" t="str">
        <f ca="1">INDIRECT(_xlfn.TEXTJOIN("",TRUE,A24,"!",ADDRESS(9+(A25-1)*A21,13)))</f>
        <v>UTU/2406100187</v>
      </c>
      <c r="J8" s="113"/>
    </row>
    <row r="9" spans="1:10" ht="28" customHeight="1" x14ac:dyDescent="0.2">
      <c r="A9" s="95" t="s">
        <v>28</v>
      </c>
      <c r="B9" s="95"/>
      <c r="C9" s="95" t="s">
        <v>29</v>
      </c>
      <c r="D9" s="95"/>
      <c r="E9" s="95"/>
      <c r="F9" s="95"/>
      <c r="G9" s="95"/>
      <c r="H9" s="15" t="s">
        <v>30</v>
      </c>
      <c r="I9" s="15" t="s">
        <v>9</v>
      </c>
      <c r="J9" s="15" t="s">
        <v>34</v>
      </c>
    </row>
    <row r="10" spans="1:10" ht="28" customHeight="1" x14ac:dyDescent="0.2">
      <c r="A10" s="96" t="str">
        <f ca="1">INDIRECT(_xlfn.TEXTJOIN("",TRUE,A24,"!",ADDRESS(13+(A25-1)*A21,1)))</f>
        <v>CAT 009</v>
      </c>
      <c r="B10" s="97"/>
      <c r="C10" s="106" t="str">
        <f ca="1">INDIRECT(_xlfn.TEXTJOIN("",TRUE,A24,"!",ADDRESS(13+(A25-1)*A21,2)))</f>
        <v>Computer Based Numerical and Statistical Techniques</v>
      </c>
      <c r="D10" s="107"/>
      <c r="E10" s="107"/>
      <c r="F10" s="107"/>
      <c r="G10" s="108"/>
      <c r="H10" s="20">
        <f ca="1">INDIRECT(_xlfn.TEXTJOIN("",TRUE,A24,"!",ADDRESS(13+(A25-1)*A21,6)))</f>
        <v>4</v>
      </c>
      <c r="I10" s="20" t="e">
        <f ca="1">INDIRECT(_xlfn.TEXTJOIN("",TRUE,A24,"!",ADDRESS(13+(A25-1)*A21,13)))</f>
        <v>#N/A</v>
      </c>
      <c r="J10" s="20" t="e">
        <f ca="1">INDIRECT(_xlfn.TEXTJOIN("",TRUE,A24,"!",ADDRESS(13+(A25-1)*A21,14)))</f>
        <v>#N/A</v>
      </c>
    </row>
    <row r="11" spans="1:10" ht="28" customHeight="1" x14ac:dyDescent="0.2">
      <c r="A11" s="96" t="str">
        <f ca="1">INDIRECT(_xlfn.TEXTJOIN("",TRUE,A24,"!",ADDRESS(14+(A25-1)*A21,1)))</f>
        <v>CAT 010</v>
      </c>
      <c r="B11" s="97"/>
      <c r="C11" s="106" t="str">
        <f ca="1">INDIRECT(_xlfn.TEXTJOIN("",TRUE,A24,"!",ADDRESS(14+(A25-1)*A21,2)))</f>
        <v>Data Structures and Analysis of Algorithms</v>
      </c>
      <c r="D11" s="107"/>
      <c r="E11" s="107"/>
      <c r="F11" s="107"/>
      <c r="G11" s="108"/>
      <c r="H11" s="20">
        <f ca="1">INDIRECT(_xlfn.TEXTJOIN("",TRUE,A24,"!",ADDRESS(14+(A25-1)*A21,6)))</f>
        <v>4</v>
      </c>
      <c r="I11" s="20" t="e">
        <f ca="1">INDIRECT(_xlfn.TEXTJOIN("",TRUE,A24,"!",ADDRESS(14+(A25-1)*A21,13)))</f>
        <v>#N/A</v>
      </c>
      <c r="J11" s="20" t="e">
        <f ca="1">INDIRECT(_xlfn.TEXTJOIN("",TRUE,A24,"!",ADDRESS(14+(A25-1)*A21,14)))</f>
        <v>#N/A</v>
      </c>
    </row>
    <row r="12" spans="1:10" ht="28" customHeight="1" x14ac:dyDescent="0.2">
      <c r="A12" s="96" t="str">
        <f ca="1">INDIRECT(_xlfn.TEXTJOIN("",TRUE,A24,"!",ADDRESS(15+(A25-1)*A21,1)))</f>
        <v>CAT 011</v>
      </c>
      <c r="B12" s="97"/>
      <c r="C12" s="106" t="str">
        <f ca="1">INDIRECT(_xlfn.TEXTJOIN("",TRUE,A24,"!",ADDRESS(15+(A25-1)*A21,2)))</f>
        <v>Object Oriented Programming with JAVA</v>
      </c>
      <c r="D12" s="107"/>
      <c r="E12" s="107"/>
      <c r="F12" s="107"/>
      <c r="G12" s="108"/>
      <c r="H12" s="20">
        <f ca="1">INDIRECT(_xlfn.TEXTJOIN("",TRUE,A24,"!",ADDRESS(15+(A25-1)*A21,6)))</f>
        <v>4</v>
      </c>
      <c r="I12" s="20" t="e">
        <f ca="1">INDIRECT(_xlfn.TEXTJOIN("",TRUE,A24,"!",ADDRESS(15+(A25-1)*A21,13)))</f>
        <v>#N/A</v>
      </c>
      <c r="J12" s="20" t="e">
        <f ca="1">INDIRECT(_xlfn.TEXTJOIN("",TRUE,A24,"!",ADDRESS(15+(A25-1)*A21,14)))</f>
        <v>#N/A</v>
      </c>
    </row>
    <row r="13" spans="1:10" ht="28" customHeight="1" x14ac:dyDescent="0.2">
      <c r="A13" s="96" t="str">
        <f ca="1">INDIRECT(_xlfn.TEXTJOIN("",TRUE,A24,"!",ADDRESS(16+(A25-1)*A21,1)))</f>
        <v>CAT 012</v>
      </c>
      <c r="B13" s="97"/>
      <c r="C13" s="106" t="str">
        <f ca="1">INDIRECT(_xlfn.TEXTJOIN("",TRUE,A24,"!",ADDRESS(16+(A25-1)*A21,2)))</f>
        <v>Computer Networks</v>
      </c>
      <c r="D13" s="107"/>
      <c r="E13" s="107"/>
      <c r="F13" s="107"/>
      <c r="G13" s="108"/>
      <c r="H13" s="20">
        <f ca="1">INDIRECT(_xlfn.TEXTJOIN("",TRUE,A24,"!",ADDRESS(16+(A25-1)*A21,6)))</f>
        <v>4</v>
      </c>
      <c r="I13" s="20" t="e">
        <f ca="1">INDIRECT(_xlfn.TEXTJOIN("",TRUE,A24,"!",ADDRESS(16+(A25-1)*A21,13)))</f>
        <v>#N/A</v>
      </c>
      <c r="J13" s="20" t="e">
        <f ca="1">INDIRECT(_xlfn.TEXTJOIN("",TRUE,A24,"!",ADDRESS(16+(A25-1)*A21,14)))</f>
        <v>#N/A</v>
      </c>
    </row>
    <row r="14" spans="1:10" ht="28" customHeight="1" x14ac:dyDescent="0.2">
      <c r="A14" s="96" t="str">
        <f ca="1">INDIRECT(_xlfn.TEXTJOIN("",TRUE,A24,"!",ADDRESS(17+(A25-1)*A21,1)))</f>
        <v>CAT 013</v>
      </c>
      <c r="B14" s="97"/>
      <c r="C14" s="106" t="str">
        <f ca="1">INDIRECT(_xlfn.TEXTJOIN("",TRUE,A24,"!",ADDRESS(17+(A25-1)*A21,2)))</f>
        <v>Artificial Intelligence</v>
      </c>
      <c r="D14" s="107"/>
      <c r="E14" s="107"/>
      <c r="F14" s="107"/>
      <c r="G14" s="108"/>
      <c r="H14" s="20">
        <f ca="1">INDIRECT(_xlfn.TEXTJOIN("",TRUE,A24,"!",ADDRESS(17+(A25-1)*A21,6)))</f>
        <v>4</v>
      </c>
      <c r="I14" s="20" t="e">
        <f ca="1">INDIRECT(_xlfn.TEXTJOIN("",TRUE,A24,"!",ADDRESS(17+(A25-1)*A21,13)))</f>
        <v>#N/A</v>
      </c>
      <c r="J14" s="20" t="e">
        <f ca="1">INDIRECT(_xlfn.TEXTJOIN("",TRUE,A24,"!",ADDRESS(17+(A25-1)*A21,14)))</f>
        <v>#N/A</v>
      </c>
    </row>
    <row r="15" spans="1:10" ht="28" customHeight="1" x14ac:dyDescent="0.2">
      <c r="A15" s="96" t="str">
        <f ca="1">INDIRECT(_xlfn.TEXTJOIN("",TRUE,A24,"!",ADDRESS(18+(A25-1)*A21,1)))</f>
        <v>AHT 304</v>
      </c>
      <c r="B15" s="97"/>
      <c r="C15" s="106" t="str">
        <f ca="1">INDIRECT(_xlfn.TEXTJOIN("",TRUE,A24,"!",ADDRESS(18+(A25-1)*A21,2)))</f>
        <v>Accounting and Financial Management ($)</v>
      </c>
      <c r="D15" s="107"/>
      <c r="E15" s="107"/>
      <c r="F15" s="107"/>
      <c r="G15" s="108"/>
      <c r="H15" s="20">
        <f ca="1">INDIRECT(_xlfn.TEXTJOIN("",TRUE,A24,"!",ADDRESS(18+(A25-1)*A21,6)))</f>
        <v>0</v>
      </c>
      <c r="I15" s="20" t="e">
        <f ca="1">INDIRECT(_xlfn.TEXTJOIN("",TRUE,A24,"!",ADDRESS(18+(A25-1)*A21,13)))</f>
        <v>#N/A</v>
      </c>
      <c r="J15" s="20" t="e">
        <f ca="1">INDIRECT(_xlfn.TEXTJOIN("",TRUE,A24,"!",ADDRESS(18+(A25-1)*A21,14)))</f>
        <v>#N/A</v>
      </c>
    </row>
    <row r="16" spans="1:10" ht="28" customHeight="1" x14ac:dyDescent="0.2">
      <c r="A16" s="96" t="str">
        <f ca="1">INDIRECT(_xlfn.TEXTJOIN("",TRUE,A24,"!",ADDRESS(19+(A25-1)*A21,1)))</f>
        <v>CAP 004</v>
      </c>
      <c r="B16" s="97"/>
      <c r="C16" s="106" t="str">
        <f ca="1">INDIRECT(_xlfn.TEXTJOIN("",TRUE,A24,"!",ADDRESS(19+(A25-1)*A21,2)))</f>
        <v>Data Structures and Analysis of Algorithms Lab</v>
      </c>
      <c r="D16" s="107"/>
      <c r="E16" s="107"/>
      <c r="F16" s="107"/>
      <c r="G16" s="108"/>
      <c r="H16" s="20">
        <f ca="1">INDIRECT(_xlfn.TEXTJOIN("",TRUE,A24,"!",ADDRESS(19+(A25-1)*A21,6)))</f>
        <v>1</v>
      </c>
      <c r="I16" s="20" t="e">
        <f ca="1">INDIRECT(_xlfn.TEXTJOIN("",TRUE,A24,"!",ADDRESS(19+(A25-1)*A21,13)))</f>
        <v>#N/A</v>
      </c>
      <c r="J16" s="20" t="e">
        <f ca="1">INDIRECT(_xlfn.TEXTJOIN("",TRUE,A24,"!",ADDRESS(19+(A25-1)*A21,14)))</f>
        <v>#N/A</v>
      </c>
    </row>
    <row r="17" spans="1:10" ht="28" customHeight="1" x14ac:dyDescent="0.2">
      <c r="A17" s="96" t="str">
        <f ca="1">INDIRECT(_xlfn.TEXTJOIN("",TRUE,A24,"!",ADDRESS(20+(A25-1)*A21,1)))</f>
        <v>CAP 005</v>
      </c>
      <c r="B17" s="97"/>
      <c r="C17" s="106" t="str">
        <f ca="1">INDIRECT(_xlfn.TEXTJOIN("",TRUE,A24,"!",ADDRESS(20+(A25-1)*A21,2)))</f>
        <v>Object Oriented Programming with JAVA Lab</v>
      </c>
      <c r="D17" s="107"/>
      <c r="E17" s="107"/>
      <c r="F17" s="107"/>
      <c r="G17" s="108"/>
      <c r="H17" s="20">
        <f ca="1">INDIRECT(_xlfn.TEXTJOIN("",TRUE,A24,"!",ADDRESS(20+(A25-1)*A21,6)))</f>
        <v>1</v>
      </c>
      <c r="I17" s="20" t="e">
        <f ca="1">INDIRECT(_xlfn.TEXTJOIN("",TRUE,A24,"!",ADDRESS(20+(A25-1)*A21,13)))</f>
        <v>#N/A</v>
      </c>
      <c r="J17" s="20" t="e">
        <f ca="1">INDIRECT(_xlfn.TEXTJOIN("",TRUE,A24,"!",ADDRESS(20+(A25-1)*A21,14)))</f>
        <v>#N/A</v>
      </c>
    </row>
    <row r="18" spans="1:10" ht="28" customHeight="1" x14ac:dyDescent="0.2">
      <c r="A18" s="96" t="str">
        <f ca="1">INDIRECT(_xlfn.TEXTJOIN("",TRUE,A24,"!",ADDRESS(21+(A25-1)*A21,1)))</f>
        <v>CAP 006</v>
      </c>
      <c r="B18" s="97"/>
      <c r="C18" s="106" t="str">
        <f ca="1">INDIRECT(_xlfn.TEXTJOIN("",TRUE,A24,"!",ADDRESS(21+(A25-1)*A21,2)))</f>
        <v>Computer Networks Lab</v>
      </c>
      <c r="D18" s="107"/>
      <c r="E18" s="107"/>
      <c r="F18" s="107"/>
      <c r="G18" s="108"/>
      <c r="H18" s="20">
        <f ca="1">INDIRECT(_xlfn.TEXTJOIN("",TRUE,A24,"!",ADDRESS(21+(A25-1)*A21,6)))</f>
        <v>1</v>
      </c>
      <c r="I18" s="20" t="e">
        <f ca="1">INDIRECT(_xlfn.TEXTJOIN("",TRUE,A24,"!",ADDRESS(21+(A25-1)*A21,13)))</f>
        <v>#N/A</v>
      </c>
      <c r="J18" s="20" t="e">
        <f ca="1">INDIRECT(_xlfn.TEXTJOIN("",TRUE,A24,"!",ADDRESS(21+(A25-1)*A21,14)))</f>
        <v>#N/A</v>
      </c>
    </row>
    <row r="19" spans="1:10" ht="28" customHeight="1" x14ac:dyDescent="0.2">
      <c r="A19" s="96" t="str">
        <f ca="1">INDIRECT(_xlfn.TEXTJOIN("",TRUE,A24,"!",ADDRESS(22+(A25-1)*A21,1)))</f>
        <v>CAP 007</v>
      </c>
      <c r="B19" s="97"/>
      <c r="C19" s="106" t="str">
        <f ca="1">INDIRECT(_xlfn.TEXTJOIN("",TRUE,A24,"!",ADDRESS(22+(A25-1)*A21,2)))</f>
        <v>Artificial Intelligence Lab</v>
      </c>
      <c r="D19" s="107"/>
      <c r="E19" s="107"/>
      <c r="F19" s="107"/>
      <c r="G19" s="108"/>
      <c r="H19" s="20">
        <f ca="1">INDIRECT(_xlfn.TEXTJOIN("",TRUE,A24,"!",ADDRESS(22+(A25-1)*A21,6)))</f>
        <v>1</v>
      </c>
      <c r="I19" s="20" t="e">
        <f ca="1">INDIRECT(_xlfn.TEXTJOIN("",TRUE,A24,"!",ADDRESS(22+(A25-1)*A21,13)))</f>
        <v>#N/A</v>
      </c>
      <c r="J19" s="20" t="e">
        <f ca="1">INDIRECT(_xlfn.TEXTJOIN("",TRUE,A24,"!",ADDRESS(22+(A25-1)*A21,14)))</f>
        <v>#N/A</v>
      </c>
    </row>
    <row r="20" spans="1:10" ht="28" customHeight="1" x14ac:dyDescent="0.2">
      <c r="A20" s="118" t="s">
        <v>52</v>
      </c>
      <c r="B20" s="118"/>
      <c r="C20" s="118"/>
      <c r="D20" s="118"/>
      <c r="E20" s="118"/>
      <c r="F20" s="118"/>
      <c r="G20" s="118"/>
      <c r="H20" s="16">
        <f ca="1">SUM(H10:H19)</f>
        <v>24</v>
      </c>
      <c r="I20" s="16" t="s">
        <v>44</v>
      </c>
      <c r="J20" s="16" t="e">
        <f ca="1">SUMPRODUCT(J10:J19,H10:H19)</f>
        <v>#N/A</v>
      </c>
    </row>
    <row r="21" spans="1:10" ht="28" customHeight="1" x14ac:dyDescent="0.2">
      <c r="A21" s="22">
        <f>ROWS(A10:B19)+9</f>
        <v>19</v>
      </c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28" customHeight="1" x14ac:dyDescent="0.2">
      <c r="A22" s="120" t="s">
        <v>40</v>
      </c>
      <c r="B22" s="120"/>
      <c r="C22" s="21">
        <f ca="1">INDIRECT(_xlfn.TEXTJOIN("",TRUE,A24,"!",ADDRESS(5+A25*A21,12)))</f>
        <v>0</v>
      </c>
      <c r="D22" s="120" t="s">
        <v>38</v>
      </c>
      <c r="E22" s="120"/>
      <c r="F22" s="18" t="e">
        <f ca="1">INDIRECT(_xlfn.TEXTJOIN("",TRUE,A24,"!",ADDRESS(5+A25*A21,8)))</f>
        <v>#N/A</v>
      </c>
      <c r="G22" s="120" t="s">
        <v>39</v>
      </c>
      <c r="H22" s="120"/>
      <c r="I22" s="109" t="e">
        <f ca="1">INDIRECT(_xlfn.TEXTJOIN("",TRUE,A24,"!",ADDRESS(5+A25*A21,10)))</f>
        <v>#N/A</v>
      </c>
      <c r="J22" s="109"/>
    </row>
    <row r="23" spans="1:10" ht="40.5" customHeight="1" x14ac:dyDescent="0.2">
      <c r="A23" s="19" t="s">
        <v>36</v>
      </c>
      <c r="B23" s="95" t="e">
        <f ca="1">INDIRECT(_xlfn.TEXTJOIN("",TRUE,A24,"!",ADDRESS(5+A25*A21,2)))</f>
        <v>#N/A</v>
      </c>
      <c r="C23" s="95"/>
      <c r="D23" s="121" t="s">
        <v>37</v>
      </c>
      <c r="E23" s="121"/>
      <c r="F23" s="122" t="e">
        <f ca="1">INDIRECT(_xlfn.TEXTJOIN("",TRUE,A24,"!",ADDRESS(5+A25*A21,5)))</f>
        <v>#N/A</v>
      </c>
      <c r="G23" s="122"/>
      <c r="H23" s="122"/>
      <c r="I23" s="122"/>
      <c r="J23" s="122"/>
    </row>
    <row r="24" spans="1:10" ht="28" customHeight="1" x14ac:dyDescent="0.2">
      <c r="A24" s="22" t="s">
        <v>57</v>
      </c>
    </row>
    <row r="25" spans="1:10" ht="28" customHeight="1" x14ac:dyDescent="0.2">
      <c r="A25" s="22">
        <v>1</v>
      </c>
    </row>
    <row r="26" spans="1:10" ht="28" customHeight="1" x14ac:dyDescent="0.2">
      <c r="A26" s="112" t="s">
        <v>24</v>
      </c>
      <c r="B26" s="112"/>
      <c r="C26" s="112" t="str">
        <f ca="1">INDIRECT(_xlfn.TEXTJOIN("",TRUE,A43,"!",ADDRESS(9+(A44-1)*A40,2)))</f>
        <v>AMAN POKHRIYAL</v>
      </c>
      <c r="D26" s="112"/>
      <c r="E26" s="112"/>
      <c r="F26" s="112" t="s">
        <v>50</v>
      </c>
      <c r="G26" s="112"/>
      <c r="H26" s="112"/>
      <c r="I26" s="113">
        <f ca="1">INDIRECT(_xlfn.TEXTJOIN("",TRUE,A43,"!",ADDRESS(9+(A44-1)*A40,9)))</f>
        <v>240090600002</v>
      </c>
      <c r="J26" s="113"/>
    </row>
    <row r="27" spans="1:10" ht="28" customHeight="1" x14ac:dyDescent="0.2">
      <c r="A27" s="112" t="s">
        <v>25</v>
      </c>
      <c r="B27" s="112"/>
      <c r="C27" s="112" t="str">
        <f ca="1">INDIRECT(_xlfn.TEXTJOIN("",TRUE,A43,"!",ADDRESS(9+(A44-1)*A40,5)))</f>
        <v>VINOD PRASSAD POKHRIYAL</v>
      </c>
      <c r="D27" s="112"/>
      <c r="E27" s="112"/>
      <c r="F27" s="114" t="s">
        <v>51</v>
      </c>
      <c r="G27" s="114"/>
      <c r="H27" s="114"/>
      <c r="I27" s="113" t="str">
        <f ca="1">INDIRECT(_xlfn.TEXTJOIN("",TRUE,A43,"!",ADDRESS(9+(A44-1)*A40,13)))</f>
        <v>UTU/2406100171</v>
      </c>
      <c r="J27" s="113"/>
    </row>
    <row r="28" spans="1:10" ht="28" customHeight="1" x14ac:dyDescent="0.2">
      <c r="A28" s="95" t="s">
        <v>28</v>
      </c>
      <c r="B28" s="95"/>
      <c r="C28" s="95" t="s">
        <v>29</v>
      </c>
      <c r="D28" s="95"/>
      <c r="E28" s="95"/>
      <c r="F28" s="95"/>
      <c r="G28" s="95"/>
      <c r="H28" s="15" t="s">
        <v>30</v>
      </c>
      <c r="I28" s="15" t="s">
        <v>9</v>
      </c>
      <c r="J28" s="15" t="s">
        <v>34</v>
      </c>
    </row>
    <row r="29" spans="1:10" ht="28" customHeight="1" x14ac:dyDescent="0.2">
      <c r="A29" s="96" t="str">
        <f ca="1">INDIRECT(_xlfn.TEXTJOIN("",TRUE,A43,"!",ADDRESS(13+(A44-1)*A40,1)))</f>
        <v>CAT 009</v>
      </c>
      <c r="B29" s="97"/>
      <c r="C29" s="106" t="str">
        <f ca="1">INDIRECT(_xlfn.TEXTJOIN("",TRUE,A43,"!",ADDRESS(13+(A44-1)*A40,2)))</f>
        <v>Computer Based Numerical and Statistical Techniques</v>
      </c>
      <c r="D29" s="107"/>
      <c r="E29" s="107"/>
      <c r="F29" s="107"/>
      <c r="G29" s="108"/>
      <c r="H29" s="20">
        <f ca="1">INDIRECT(_xlfn.TEXTJOIN("",TRUE,A43,"!",ADDRESS(13+(A44-1)*A40,6)))</f>
        <v>4</v>
      </c>
      <c r="I29" s="20" t="e">
        <f ca="1">INDIRECT(_xlfn.TEXTJOIN("",TRUE,A43,"!",ADDRESS(13+(A44-1)*A40,13)))</f>
        <v>#N/A</v>
      </c>
      <c r="J29" s="20" t="e">
        <f ca="1">INDIRECT(_xlfn.TEXTJOIN("",TRUE,A43,"!",ADDRESS(13+(A44-1)*A40,14)))</f>
        <v>#N/A</v>
      </c>
    </row>
    <row r="30" spans="1:10" ht="28" customHeight="1" x14ac:dyDescent="0.2">
      <c r="A30" s="96" t="str">
        <f ca="1">INDIRECT(_xlfn.TEXTJOIN("",TRUE,A43,"!",ADDRESS(14+(A44-1)*A40,1)))</f>
        <v>CAT 010</v>
      </c>
      <c r="B30" s="97"/>
      <c r="C30" s="106" t="str">
        <f ca="1">INDIRECT(_xlfn.TEXTJOIN("",TRUE,A43,"!",ADDRESS(14+(A44-1)*A40,2)))</f>
        <v>Data Structures and Analysis of Algorithms</v>
      </c>
      <c r="D30" s="107"/>
      <c r="E30" s="107"/>
      <c r="F30" s="107"/>
      <c r="G30" s="108"/>
      <c r="H30" s="20">
        <f ca="1">INDIRECT(_xlfn.TEXTJOIN("",TRUE,A43,"!",ADDRESS(14+(A44-1)*A40,6)))</f>
        <v>4</v>
      </c>
      <c r="I30" s="20" t="e">
        <f ca="1">INDIRECT(_xlfn.TEXTJOIN("",TRUE,A43,"!",ADDRESS(14+(A44-1)*A40,13)))</f>
        <v>#N/A</v>
      </c>
      <c r="J30" s="20" t="e">
        <f ca="1">INDIRECT(_xlfn.TEXTJOIN("",TRUE,A43,"!",ADDRESS(14+(A44-1)*A40,14)))</f>
        <v>#N/A</v>
      </c>
    </row>
    <row r="31" spans="1:10" ht="28" customHeight="1" x14ac:dyDescent="0.2">
      <c r="A31" s="96" t="str">
        <f ca="1">INDIRECT(_xlfn.TEXTJOIN("",TRUE,A43,"!",ADDRESS(15+(A44-1)*A40,1)))</f>
        <v>CAT 011</v>
      </c>
      <c r="B31" s="97"/>
      <c r="C31" s="106" t="str">
        <f ca="1">INDIRECT(_xlfn.TEXTJOIN("",TRUE,A43,"!",ADDRESS(15+(A44-1)*A40,2)))</f>
        <v>Object Oriented Programming with JAVA</v>
      </c>
      <c r="D31" s="107"/>
      <c r="E31" s="107"/>
      <c r="F31" s="107"/>
      <c r="G31" s="108"/>
      <c r="H31" s="20">
        <f ca="1">INDIRECT(_xlfn.TEXTJOIN("",TRUE,A43,"!",ADDRESS(15+(A44-1)*A40,6)))</f>
        <v>4</v>
      </c>
      <c r="I31" s="20" t="e">
        <f ca="1">INDIRECT(_xlfn.TEXTJOIN("",TRUE,A43,"!",ADDRESS(15+(A44-1)*A40,13)))</f>
        <v>#N/A</v>
      </c>
      <c r="J31" s="20" t="e">
        <f ca="1">INDIRECT(_xlfn.TEXTJOIN("",TRUE,A43,"!",ADDRESS(15+(A44-1)*A40,14)))</f>
        <v>#N/A</v>
      </c>
    </row>
    <row r="32" spans="1:10" ht="28" customHeight="1" x14ac:dyDescent="0.2">
      <c r="A32" s="96" t="str">
        <f ca="1">INDIRECT(_xlfn.TEXTJOIN("",TRUE,A43,"!",ADDRESS(16+(A44-1)*A40,1)))</f>
        <v>CAT 012</v>
      </c>
      <c r="B32" s="97"/>
      <c r="C32" s="106" t="str">
        <f ca="1">INDIRECT(_xlfn.TEXTJOIN("",TRUE,A43,"!",ADDRESS(16+(A44-1)*A40,2)))</f>
        <v>Computer Networks</v>
      </c>
      <c r="D32" s="107"/>
      <c r="E32" s="107"/>
      <c r="F32" s="107"/>
      <c r="G32" s="108"/>
      <c r="H32" s="20">
        <f ca="1">INDIRECT(_xlfn.TEXTJOIN("",TRUE,A43,"!",ADDRESS(16+(A44-1)*A40,6)))</f>
        <v>4</v>
      </c>
      <c r="I32" s="20" t="e">
        <f ca="1">INDIRECT(_xlfn.TEXTJOIN("",TRUE,A43,"!",ADDRESS(16+(A44-1)*A40,13)))</f>
        <v>#N/A</v>
      </c>
      <c r="J32" s="20" t="e">
        <f ca="1">INDIRECT(_xlfn.TEXTJOIN("",TRUE,A43,"!",ADDRESS(16+(A44-1)*A40,14)))</f>
        <v>#N/A</v>
      </c>
    </row>
    <row r="33" spans="1:10" ht="28" customHeight="1" x14ac:dyDescent="0.2">
      <c r="A33" s="96" t="str">
        <f ca="1">INDIRECT(_xlfn.TEXTJOIN("",TRUE,A43,"!",ADDRESS(17+(A44-1)*A40,1)))</f>
        <v>CAT 013</v>
      </c>
      <c r="B33" s="97"/>
      <c r="C33" s="106" t="str">
        <f ca="1">INDIRECT(_xlfn.TEXTJOIN("",TRUE,A43,"!",ADDRESS(17+(A44-1)*A40,2)))</f>
        <v>Artificial Intelligence</v>
      </c>
      <c r="D33" s="107"/>
      <c r="E33" s="107"/>
      <c r="F33" s="107"/>
      <c r="G33" s="108"/>
      <c r="H33" s="20">
        <f ca="1">INDIRECT(_xlfn.TEXTJOIN("",TRUE,A43,"!",ADDRESS(17+(A44-1)*A40,6)))</f>
        <v>4</v>
      </c>
      <c r="I33" s="20" t="e">
        <f ca="1">INDIRECT(_xlfn.TEXTJOIN("",TRUE,A43,"!",ADDRESS(17+(A44-1)*A40,13)))</f>
        <v>#N/A</v>
      </c>
      <c r="J33" s="20" t="e">
        <f ca="1">INDIRECT(_xlfn.TEXTJOIN("",TRUE,A43,"!",ADDRESS(17+(A44-1)*A40,14)))</f>
        <v>#N/A</v>
      </c>
    </row>
    <row r="34" spans="1:10" ht="28" customHeight="1" x14ac:dyDescent="0.2">
      <c r="A34" s="96" t="str">
        <f ca="1">INDIRECT(_xlfn.TEXTJOIN("",TRUE,A43,"!",ADDRESS(18+(A44-1)*A40,1)))</f>
        <v>AHT 304</v>
      </c>
      <c r="B34" s="97"/>
      <c r="C34" s="106" t="str">
        <f ca="1">INDIRECT(_xlfn.TEXTJOIN("",TRUE,A43,"!",ADDRESS(18+(A44-1)*A40,2)))</f>
        <v>Accounting and Financial Management ($)</v>
      </c>
      <c r="D34" s="107"/>
      <c r="E34" s="107"/>
      <c r="F34" s="107"/>
      <c r="G34" s="108"/>
      <c r="H34" s="20">
        <f ca="1">INDIRECT(_xlfn.TEXTJOIN("",TRUE,A43,"!",ADDRESS(18+(A44-1)*A40,6)))</f>
        <v>0</v>
      </c>
      <c r="I34" s="20" t="e">
        <f ca="1">INDIRECT(_xlfn.TEXTJOIN("",TRUE,A43,"!",ADDRESS(18+(A44-1)*A40,13)))</f>
        <v>#N/A</v>
      </c>
      <c r="J34" s="20" t="e">
        <f ca="1">INDIRECT(_xlfn.TEXTJOIN("",TRUE,A43,"!",ADDRESS(18+(A44-1)*A40,14)))</f>
        <v>#N/A</v>
      </c>
    </row>
    <row r="35" spans="1:10" ht="28" customHeight="1" x14ac:dyDescent="0.2">
      <c r="A35" s="96" t="str">
        <f ca="1">INDIRECT(_xlfn.TEXTJOIN("",TRUE,A43,"!",ADDRESS(19+(A44-1)*A40,1)))</f>
        <v>CAP 004</v>
      </c>
      <c r="B35" s="97"/>
      <c r="C35" s="106" t="str">
        <f ca="1">INDIRECT(_xlfn.TEXTJOIN("",TRUE,A43,"!",ADDRESS(19+(A44-1)*A40,2)))</f>
        <v>Data Structures and Analysis of Algorithms Lab</v>
      </c>
      <c r="D35" s="107"/>
      <c r="E35" s="107"/>
      <c r="F35" s="107"/>
      <c r="G35" s="108"/>
      <c r="H35" s="20">
        <f ca="1">INDIRECT(_xlfn.TEXTJOIN("",TRUE,A43,"!",ADDRESS(19+(A44-1)*A40,6)))</f>
        <v>1</v>
      </c>
      <c r="I35" s="20" t="e">
        <f ca="1">INDIRECT(_xlfn.TEXTJOIN("",TRUE,A43,"!",ADDRESS(19+(A44-1)*A40,13)))</f>
        <v>#N/A</v>
      </c>
      <c r="J35" s="20" t="e">
        <f ca="1">INDIRECT(_xlfn.TEXTJOIN("",TRUE,A43,"!",ADDRESS(19+(A44-1)*A40,14)))</f>
        <v>#N/A</v>
      </c>
    </row>
    <row r="36" spans="1:10" ht="28" customHeight="1" x14ac:dyDescent="0.2">
      <c r="A36" s="96" t="str">
        <f ca="1">INDIRECT(_xlfn.TEXTJOIN("",TRUE,A43,"!",ADDRESS(20+(A44-1)*A40,1)))</f>
        <v>CAP 005</v>
      </c>
      <c r="B36" s="97"/>
      <c r="C36" s="106" t="str">
        <f ca="1">INDIRECT(_xlfn.TEXTJOIN("",TRUE,A43,"!",ADDRESS(20+(A44-1)*A40,2)))</f>
        <v>Object Oriented Programming with JAVA Lab</v>
      </c>
      <c r="D36" s="107"/>
      <c r="E36" s="107"/>
      <c r="F36" s="107"/>
      <c r="G36" s="108"/>
      <c r="H36" s="20">
        <f ca="1">INDIRECT(_xlfn.TEXTJOIN("",TRUE,A43,"!",ADDRESS(20+(A44-1)*A40,6)))</f>
        <v>1</v>
      </c>
      <c r="I36" s="20" t="e">
        <f ca="1">INDIRECT(_xlfn.TEXTJOIN("",TRUE,A43,"!",ADDRESS(20+(A44-1)*A40,13)))</f>
        <v>#N/A</v>
      </c>
      <c r="J36" s="20" t="e">
        <f ca="1">INDIRECT(_xlfn.TEXTJOIN("",TRUE,A43,"!",ADDRESS(20+(A44-1)*A40,14)))</f>
        <v>#N/A</v>
      </c>
    </row>
    <row r="37" spans="1:10" ht="28" customHeight="1" x14ac:dyDescent="0.2">
      <c r="A37" s="96" t="str">
        <f ca="1">INDIRECT(_xlfn.TEXTJOIN("",TRUE,A43,"!",ADDRESS(21+(A44-1)*A40,1)))</f>
        <v>CAP 006</v>
      </c>
      <c r="B37" s="97"/>
      <c r="C37" s="106" t="str">
        <f ca="1">INDIRECT(_xlfn.TEXTJOIN("",TRUE,A43,"!",ADDRESS(21+(A44-1)*A40,2)))</f>
        <v>Computer Networks Lab</v>
      </c>
      <c r="D37" s="107"/>
      <c r="E37" s="107"/>
      <c r="F37" s="107"/>
      <c r="G37" s="108"/>
      <c r="H37" s="20">
        <f ca="1">INDIRECT(_xlfn.TEXTJOIN("",TRUE,A43,"!",ADDRESS(21+(A44-1)*A40,6)))</f>
        <v>1</v>
      </c>
      <c r="I37" s="20" t="e">
        <f ca="1">INDIRECT(_xlfn.TEXTJOIN("",TRUE,A43,"!",ADDRESS(21+(A44-1)*A40,13)))</f>
        <v>#N/A</v>
      </c>
      <c r="J37" s="20" t="e">
        <f ca="1">INDIRECT(_xlfn.TEXTJOIN("",TRUE,A43,"!",ADDRESS(21+(A44-1)*A40,14)))</f>
        <v>#N/A</v>
      </c>
    </row>
    <row r="38" spans="1:10" ht="28" customHeight="1" x14ac:dyDescent="0.2">
      <c r="A38" s="96" t="str">
        <f ca="1">INDIRECT(_xlfn.TEXTJOIN("",TRUE,A43,"!",ADDRESS(22+(A44-1)*A40,1)))</f>
        <v>CAP 007</v>
      </c>
      <c r="B38" s="97"/>
      <c r="C38" s="106" t="str">
        <f ca="1">INDIRECT(_xlfn.TEXTJOIN("",TRUE,A43,"!",ADDRESS(22+(A44-1)*A40,2)))</f>
        <v>Artificial Intelligence Lab</v>
      </c>
      <c r="D38" s="107"/>
      <c r="E38" s="107"/>
      <c r="F38" s="107"/>
      <c r="G38" s="108"/>
      <c r="H38" s="20">
        <f ca="1">INDIRECT(_xlfn.TEXTJOIN("",TRUE,A43,"!",ADDRESS(22+(A44-1)*A40,6)))</f>
        <v>1</v>
      </c>
      <c r="I38" s="20" t="e">
        <f ca="1">INDIRECT(_xlfn.TEXTJOIN("",TRUE,A43,"!",ADDRESS(22+(A44-1)*A40,13)))</f>
        <v>#N/A</v>
      </c>
      <c r="J38" s="20" t="e">
        <f ca="1">INDIRECT(_xlfn.TEXTJOIN("",TRUE,A43,"!",ADDRESS(22+(A44-1)*A40,14)))</f>
        <v>#N/A</v>
      </c>
    </row>
    <row r="39" spans="1:10" ht="28" customHeight="1" x14ac:dyDescent="0.2">
      <c r="A39" s="118" t="s">
        <v>52</v>
      </c>
      <c r="B39" s="118"/>
      <c r="C39" s="118"/>
      <c r="D39" s="118"/>
      <c r="E39" s="118"/>
      <c r="F39" s="118"/>
      <c r="G39" s="118"/>
      <c r="H39" s="16">
        <f ca="1">SUM(H29:H38)</f>
        <v>24</v>
      </c>
      <c r="I39" s="16" t="s">
        <v>44</v>
      </c>
      <c r="J39" s="16" t="e">
        <f ca="1">SUMPRODUCT(J29:J38,H29:H38)</f>
        <v>#N/A</v>
      </c>
    </row>
    <row r="40" spans="1:10" ht="28" customHeight="1" x14ac:dyDescent="0.2">
      <c r="A40" s="22">
        <f>ROWS(A29:B38)+9</f>
        <v>19</v>
      </c>
      <c r="B40" s="17"/>
      <c r="C40" s="17"/>
      <c r="D40" s="17"/>
      <c r="E40" s="17"/>
      <c r="F40" s="17"/>
      <c r="G40" s="17"/>
      <c r="H40" s="17"/>
      <c r="I40" s="17"/>
      <c r="J40" s="17"/>
    </row>
    <row r="41" spans="1:10" ht="28" customHeight="1" x14ac:dyDescent="0.2">
      <c r="A41" s="120" t="s">
        <v>40</v>
      </c>
      <c r="B41" s="120"/>
      <c r="C41" s="21">
        <f ca="1">INDIRECT(_xlfn.TEXTJOIN("",TRUE,A43,"!",ADDRESS(5+A44*A40,12)))</f>
        <v>0</v>
      </c>
      <c r="D41" s="120" t="s">
        <v>38</v>
      </c>
      <c r="E41" s="120"/>
      <c r="F41" s="18" t="e">
        <f ca="1">INDIRECT(_xlfn.TEXTJOIN("",TRUE,A43,"!",ADDRESS(5+A44*A40,8)))</f>
        <v>#N/A</v>
      </c>
      <c r="G41" s="120" t="s">
        <v>39</v>
      </c>
      <c r="H41" s="120"/>
      <c r="I41" s="109" t="e">
        <f ca="1">INDIRECT(_xlfn.TEXTJOIN("",TRUE,A43,"!",ADDRESS(5+A44*A40,10)))</f>
        <v>#N/A</v>
      </c>
      <c r="J41" s="109"/>
    </row>
    <row r="42" spans="1:10" ht="28" customHeight="1" x14ac:dyDescent="0.2">
      <c r="A42" s="19" t="s">
        <v>36</v>
      </c>
      <c r="B42" s="95" t="e">
        <f ca="1">INDIRECT(_xlfn.TEXTJOIN("",TRUE,A43,"!",ADDRESS(5+A44*A40,2)))</f>
        <v>#N/A</v>
      </c>
      <c r="C42" s="95"/>
      <c r="D42" s="121" t="s">
        <v>37</v>
      </c>
      <c r="E42" s="121"/>
      <c r="F42" s="122" t="e">
        <f ca="1">INDIRECT(_xlfn.TEXTJOIN("",TRUE,A43,"!",ADDRESS(5+A44*A40,5)))</f>
        <v>#N/A</v>
      </c>
      <c r="G42" s="122"/>
      <c r="H42" s="122"/>
      <c r="I42" s="122"/>
      <c r="J42" s="122"/>
    </row>
    <row r="43" spans="1:10" ht="28" customHeight="1" x14ac:dyDescent="0.2">
      <c r="A43" s="22" t="str">
        <f>A24</f>
        <v>TC_II</v>
      </c>
    </row>
    <row r="44" spans="1:10" ht="28" customHeight="1" x14ac:dyDescent="0.2">
      <c r="A44" s="22">
        <f>A25+1</f>
        <v>2</v>
      </c>
    </row>
    <row r="45" spans="1:10" ht="28" customHeight="1" x14ac:dyDescent="0.2">
      <c r="A45" s="112" t="s">
        <v>24</v>
      </c>
      <c r="B45" s="112"/>
      <c r="C45" s="112" t="str">
        <f ca="1">INDIRECT(_xlfn.TEXTJOIN("",TRUE,A62,"!",ADDRESS(9+(A63-1)*A59,2)))</f>
        <v>ANAS SAIFI</v>
      </c>
      <c r="D45" s="112"/>
      <c r="E45" s="112"/>
      <c r="F45" s="112" t="s">
        <v>50</v>
      </c>
      <c r="G45" s="112"/>
      <c r="H45" s="112"/>
      <c r="I45" s="113">
        <f ca="1">INDIRECT(_xlfn.TEXTJOIN("",TRUE,A62,"!",ADDRESS(9+(A63-1)*A59,9)))</f>
        <v>240090600003</v>
      </c>
      <c r="J45" s="113"/>
    </row>
    <row r="46" spans="1:10" ht="28" customHeight="1" x14ac:dyDescent="0.2">
      <c r="A46" s="112" t="s">
        <v>25</v>
      </c>
      <c r="B46" s="112"/>
      <c r="C46" s="112" t="str">
        <f ca="1">INDIRECT(_xlfn.TEXTJOIN("",TRUE,A62,"!",ADDRESS(9+(A63-1)*A59,5)))</f>
        <v>SALMUDDIN SAIFI</v>
      </c>
      <c r="D46" s="112"/>
      <c r="E46" s="112"/>
      <c r="F46" s="114" t="s">
        <v>51</v>
      </c>
      <c r="G46" s="114"/>
      <c r="H46" s="114"/>
      <c r="I46" s="113" t="str">
        <f ca="1">INDIRECT(_xlfn.TEXTJOIN("",TRUE,A62,"!",ADDRESS(9+(A63-1)*A59,13)))</f>
        <v>UTU/2406100173</v>
      </c>
      <c r="J46" s="113"/>
    </row>
    <row r="47" spans="1:10" ht="28" customHeight="1" x14ac:dyDescent="0.2">
      <c r="A47" s="95" t="s">
        <v>28</v>
      </c>
      <c r="B47" s="95"/>
      <c r="C47" s="95" t="s">
        <v>29</v>
      </c>
      <c r="D47" s="95"/>
      <c r="E47" s="95"/>
      <c r="F47" s="95"/>
      <c r="G47" s="95"/>
      <c r="H47" s="15" t="s">
        <v>30</v>
      </c>
      <c r="I47" s="15" t="s">
        <v>9</v>
      </c>
      <c r="J47" s="15" t="s">
        <v>34</v>
      </c>
    </row>
    <row r="48" spans="1:10" ht="28" customHeight="1" x14ac:dyDescent="0.2">
      <c r="A48" s="96" t="str">
        <f ca="1">INDIRECT(_xlfn.TEXTJOIN("",TRUE,A62,"!",ADDRESS(13+(A63-1)*A59,1)))</f>
        <v>CAT 009</v>
      </c>
      <c r="B48" s="97"/>
      <c r="C48" s="106" t="str">
        <f ca="1">INDIRECT(_xlfn.TEXTJOIN("",TRUE,A62,"!",ADDRESS(13+(A63-1)*A59,2)))</f>
        <v>Computer Based Numerical and Statistical Techniques</v>
      </c>
      <c r="D48" s="107"/>
      <c r="E48" s="107"/>
      <c r="F48" s="107"/>
      <c r="G48" s="108"/>
      <c r="H48" s="20">
        <f ca="1">INDIRECT(_xlfn.TEXTJOIN("",TRUE,A62,"!",ADDRESS(13+(A63-1)*A59,6)))</f>
        <v>4</v>
      </c>
      <c r="I48" s="20" t="e">
        <f ca="1">INDIRECT(_xlfn.TEXTJOIN("",TRUE,A62,"!",ADDRESS(13+(A63-1)*A59,13)))</f>
        <v>#N/A</v>
      </c>
      <c r="J48" s="20" t="e">
        <f ca="1">INDIRECT(_xlfn.TEXTJOIN("",TRUE,A62,"!",ADDRESS(13+(A63-1)*A59,14)))</f>
        <v>#N/A</v>
      </c>
    </row>
    <row r="49" spans="1:10" ht="28" customHeight="1" x14ac:dyDescent="0.2">
      <c r="A49" s="96" t="str">
        <f ca="1">INDIRECT(_xlfn.TEXTJOIN("",TRUE,A62,"!",ADDRESS(14+(A63-1)*A59,1)))</f>
        <v>CAT 010</v>
      </c>
      <c r="B49" s="97"/>
      <c r="C49" s="106" t="str">
        <f ca="1">INDIRECT(_xlfn.TEXTJOIN("",TRUE,A62,"!",ADDRESS(14+(A63-1)*A59,2)))</f>
        <v>Data Structures and Analysis of Algorithms</v>
      </c>
      <c r="D49" s="107"/>
      <c r="E49" s="107"/>
      <c r="F49" s="107"/>
      <c r="G49" s="108"/>
      <c r="H49" s="20">
        <f ca="1">INDIRECT(_xlfn.TEXTJOIN("",TRUE,A62,"!",ADDRESS(14+(A63-1)*A59,6)))</f>
        <v>4</v>
      </c>
      <c r="I49" s="20" t="e">
        <f ca="1">INDIRECT(_xlfn.TEXTJOIN("",TRUE,A62,"!",ADDRESS(14+(A63-1)*A59,13)))</f>
        <v>#N/A</v>
      </c>
      <c r="J49" s="20" t="e">
        <f ca="1">INDIRECT(_xlfn.TEXTJOIN("",TRUE,A62,"!",ADDRESS(14+(A63-1)*A59,14)))</f>
        <v>#N/A</v>
      </c>
    </row>
    <row r="50" spans="1:10" ht="28" customHeight="1" x14ac:dyDescent="0.2">
      <c r="A50" s="96" t="str">
        <f ca="1">INDIRECT(_xlfn.TEXTJOIN("",TRUE,A62,"!",ADDRESS(15+(A63-1)*A59,1)))</f>
        <v>CAT 011</v>
      </c>
      <c r="B50" s="97"/>
      <c r="C50" s="106" t="str">
        <f ca="1">INDIRECT(_xlfn.TEXTJOIN("",TRUE,A62,"!",ADDRESS(15+(A63-1)*A59,2)))</f>
        <v>Object Oriented Programming with JAVA</v>
      </c>
      <c r="D50" s="107"/>
      <c r="E50" s="107"/>
      <c r="F50" s="107"/>
      <c r="G50" s="108"/>
      <c r="H50" s="20">
        <f ca="1">INDIRECT(_xlfn.TEXTJOIN("",TRUE,A62,"!",ADDRESS(15+(A63-1)*A59,6)))</f>
        <v>4</v>
      </c>
      <c r="I50" s="20" t="e">
        <f ca="1">INDIRECT(_xlfn.TEXTJOIN("",TRUE,A62,"!",ADDRESS(15+(A63-1)*A59,13)))</f>
        <v>#N/A</v>
      </c>
      <c r="J50" s="20" t="e">
        <f ca="1">INDIRECT(_xlfn.TEXTJOIN("",TRUE,A62,"!",ADDRESS(15+(A63-1)*A59,14)))</f>
        <v>#N/A</v>
      </c>
    </row>
    <row r="51" spans="1:10" ht="28" customHeight="1" x14ac:dyDescent="0.2">
      <c r="A51" s="96" t="str">
        <f ca="1">INDIRECT(_xlfn.TEXTJOIN("",TRUE,A62,"!",ADDRESS(16+(A63-1)*A59,1)))</f>
        <v>CAT 012</v>
      </c>
      <c r="B51" s="97"/>
      <c r="C51" s="106" t="str">
        <f ca="1">INDIRECT(_xlfn.TEXTJOIN("",TRUE,A62,"!",ADDRESS(16+(A63-1)*A59,2)))</f>
        <v>Computer Networks</v>
      </c>
      <c r="D51" s="107"/>
      <c r="E51" s="107"/>
      <c r="F51" s="107"/>
      <c r="G51" s="108"/>
      <c r="H51" s="20">
        <f ca="1">INDIRECT(_xlfn.TEXTJOIN("",TRUE,A62,"!",ADDRESS(16+(A63-1)*A59,6)))</f>
        <v>4</v>
      </c>
      <c r="I51" s="20" t="e">
        <f ca="1">INDIRECT(_xlfn.TEXTJOIN("",TRUE,A62,"!",ADDRESS(16+(A63-1)*A59,13)))</f>
        <v>#N/A</v>
      </c>
      <c r="J51" s="20" t="e">
        <f ca="1">INDIRECT(_xlfn.TEXTJOIN("",TRUE,A62,"!",ADDRESS(16+(A63-1)*A59,14)))</f>
        <v>#N/A</v>
      </c>
    </row>
    <row r="52" spans="1:10" ht="28" customHeight="1" x14ac:dyDescent="0.2">
      <c r="A52" s="96" t="str">
        <f ca="1">INDIRECT(_xlfn.TEXTJOIN("",TRUE,A62,"!",ADDRESS(17+(A63-1)*A59,1)))</f>
        <v>CAT 013</v>
      </c>
      <c r="B52" s="97"/>
      <c r="C52" s="106" t="str">
        <f ca="1">INDIRECT(_xlfn.TEXTJOIN("",TRUE,A62,"!",ADDRESS(17+(A63-1)*A59,2)))</f>
        <v>Artificial Intelligence</v>
      </c>
      <c r="D52" s="107"/>
      <c r="E52" s="107"/>
      <c r="F52" s="107"/>
      <c r="G52" s="108"/>
      <c r="H52" s="20">
        <f ca="1">INDIRECT(_xlfn.TEXTJOIN("",TRUE,A62,"!",ADDRESS(17+(A63-1)*A59,6)))</f>
        <v>4</v>
      </c>
      <c r="I52" s="20" t="e">
        <f ca="1">INDIRECT(_xlfn.TEXTJOIN("",TRUE,A62,"!",ADDRESS(17+(A63-1)*A59,13)))</f>
        <v>#N/A</v>
      </c>
      <c r="J52" s="20" t="e">
        <f ca="1">INDIRECT(_xlfn.TEXTJOIN("",TRUE,A62,"!",ADDRESS(17+(A63-1)*A59,14)))</f>
        <v>#N/A</v>
      </c>
    </row>
    <row r="53" spans="1:10" ht="28" customHeight="1" x14ac:dyDescent="0.2">
      <c r="A53" s="96" t="str">
        <f ca="1">INDIRECT(_xlfn.TEXTJOIN("",TRUE,A62,"!",ADDRESS(18+(A63-1)*A59,1)))</f>
        <v>AHT 304</v>
      </c>
      <c r="B53" s="97"/>
      <c r="C53" s="106" t="str">
        <f ca="1">INDIRECT(_xlfn.TEXTJOIN("",TRUE,A62,"!",ADDRESS(18+(A63-1)*A59,2)))</f>
        <v>Accounting and Financial Management ($)</v>
      </c>
      <c r="D53" s="107"/>
      <c r="E53" s="107"/>
      <c r="F53" s="107"/>
      <c r="G53" s="108"/>
      <c r="H53" s="20">
        <f ca="1">INDIRECT(_xlfn.TEXTJOIN("",TRUE,A62,"!",ADDRESS(18+(A63-1)*A59,6)))</f>
        <v>0</v>
      </c>
      <c r="I53" s="20" t="e">
        <f ca="1">INDIRECT(_xlfn.TEXTJOIN("",TRUE,A62,"!",ADDRESS(18+(A63-1)*A59,13)))</f>
        <v>#N/A</v>
      </c>
      <c r="J53" s="20" t="e">
        <f ca="1">INDIRECT(_xlfn.TEXTJOIN("",TRUE,A62,"!",ADDRESS(18+(A63-1)*A59,14)))</f>
        <v>#N/A</v>
      </c>
    </row>
    <row r="54" spans="1:10" ht="28" customHeight="1" x14ac:dyDescent="0.2">
      <c r="A54" s="96" t="str">
        <f ca="1">INDIRECT(_xlfn.TEXTJOIN("",TRUE,A62,"!",ADDRESS(19+(A63-1)*A59,1)))</f>
        <v>CAP 004</v>
      </c>
      <c r="B54" s="97"/>
      <c r="C54" s="106" t="str">
        <f ca="1">INDIRECT(_xlfn.TEXTJOIN("",TRUE,A62,"!",ADDRESS(19+(A63-1)*A59,2)))</f>
        <v>Data Structures and Analysis of Algorithms Lab</v>
      </c>
      <c r="D54" s="107"/>
      <c r="E54" s="107"/>
      <c r="F54" s="107"/>
      <c r="G54" s="108"/>
      <c r="H54" s="20">
        <f ca="1">INDIRECT(_xlfn.TEXTJOIN("",TRUE,A62,"!",ADDRESS(19+(A63-1)*A59,6)))</f>
        <v>1</v>
      </c>
      <c r="I54" s="20" t="e">
        <f ca="1">INDIRECT(_xlfn.TEXTJOIN("",TRUE,A62,"!",ADDRESS(19+(A63-1)*A59,13)))</f>
        <v>#N/A</v>
      </c>
      <c r="J54" s="20" t="e">
        <f ca="1">INDIRECT(_xlfn.TEXTJOIN("",TRUE,A62,"!",ADDRESS(19+(A63-1)*A59,14)))</f>
        <v>#N/A</v>
      </c>
    </row>
    <row r="55" spans="1:10" ht="28" customHeight="1" x14ac:dyDescent="0.2">
      <c r="A55" s="96" t="str">
        <f ca="1">INDIRECT(_xlfn.TEXTJOIN("",TRUE,A62,"!",ADDRESS(20+(A63-1)*A59,1)))</f>
        <v>CAP 005</v>
      </c>
      <c r="B55" s="97"/>
      <c r="C55" s="106" t="str">
        <f ca="1">INDIRECT(_xlfn.TEXTJOIN("",TRUE,A62,"!",ADDRESS(20+(A63-1)*A59,2)))</f>
        <v>Object Oriented Programming with JAVA Lab</v>
      </c>
      <c r="D55" s="107"/>
      <c r="E55" s="107"/>
      <c r="F55" s="107"/>
      <c r="G55" s="108"/>
      <c r="H55" s="20">
        <f ca="1">INDIRECT(_xlfn.TEXTJOIN("",TRUE,A62,"!",ADDRESS(20+(A63-1)*A59,6)))</f>
        <v>1</v>
      </c>
      <c r="I55" s="20" t="e">
        <f ca="1">INDIRECT(_xlfn.TEXTJOIN("",TRUE,A62,"!",ADDRESS(20+(A63-1)*A59,13)))</f>
        <v>#N/A</v>
      </c>
      <c r="J55" s="20" t="e">
        <f ca="1">INDIRECT(_xlfn.TEXTJOIN("",TRUE,A62,"!",ADDRESS(20+(A63-1)*A59,14)))</f>
        <v>#N/A</v>
      </c>
    </row>
    <row r="56" spans="1:10" ht="28" customHeight="1" x14ac:dyDescent="0.2">
      <c r="A56" s="96" t="str">
        <f ca="1">INDIRECT(_xlfn.TEXTJOIN("",TRUE,A62,"!",ADDRESS(21+(A63-1)*A59,1)))</f>
        <v>CAP 006</v>
      </c>
      <c r="B56" s="97"/>
      <c r="C56" s="106" t="str">
        <f ca="1">INDIRECT(_xlfn.TEXTJOIN("",TRUE,A62,"!",ADDRESS(21+(A63-1)*A59,2)))</f>
        <v>Computer Networks Lab</v>
      </c>
      <c r="D56" s="107"/>
      <c r="E56" s="107"/>
      <c r="F56" s="107"/>
      <c r="G56" s="108"/>
      <c r="H56" s="20">
        <f ca="1">INDIRECT(_xlfn.TEXTJOIN("",TRUE,A62,"!",ADDRESS(21+(A63-1)*A59,6)))</f>
        <v>1</v>
      </c>
      <c r="I56" s="20" t="e">
        <f ca="1">INDIRECT(_xlfn.TEXTJOIN("",TRUE,A62,"!",ADDRESS(21+(A63-1)*A59,13)))</f>
        <v>#N/A</v>
      </c>
      <c r="J56" s="20" t="e">
        <f ca="1">INDIRECT(_xlfn.TEXTJOIN("",TRUE,A62,"!",ADDRESS(21+(A63-1)*A59,14)))</f>
        <v>#N/A</v>
      </c>
    </row>
    <row r="57" spans="1:10" ht="28" customHeight="1" x14ac:dyDescent="0.2">
      <c r="A57" s="96" t="str">
        <f ca="1">INDIRECT(_xlfn.TEXTJOIN("",TRUE,A62,"!",ADDRESS(22+(A63-1)*A59,1)))</f>
        <v>CAP 007</v>
      </c>
      <c r="B57" s="97"/>
      <c r="C57" s="106" t="str">
        <f ca="1">INDIRECT(_xlfn.TEXTJOIN("",TRUE,A62,"!",ADDRESS(22+(A63-1)*A59,2)))</f>
        <v>Artificial Intelligence Lab</v>
      </c>
      <c r="D57" s="107"/>
      <c r="E57" s="107"/>
      <c r="F57" s="107"/>
      <c r="G57" s="108"/>
      <c r="H57" s="20">
        <f ca="1">INDIRECT(_xlfn.TEXTJOIN("",TRUE,A62,"!",ADDRESS(22+(A63-1)*A59,6)))</f>
        <v>1</v>
      </c>
      <c r="I57" s="20" t="e">
        <f ca="1">INDIRECT(_xlfn.TEXTJOIN("",TRUE,A62,"!",ADDRESS(22+(A63-1)*A59,13)))</f>
        <v>#N/A</v>
      </c>
      <c r="J57" s="20" t="e">
        <f ca="1">INDIRECT(_xlfn.TEXTJOIN("",TRUE,A62,"!",ADDRESS(22+(A63-1)*A59,14)))</f>
        <v>#N/A</v>
      </c>
    </row>
    <row r="58" spans="1:10" ht="28" customHeight="1" x14ac:dyDescent="0.2">
      <c r="A58" s="118" t="s">
        <v>52</v>
      </c>
      <c r="B58" s="118"/>
      <c r="C58" s="118"/>
      <c r="D58" s="118"/>
      <c r="E58" s="118"/>
      <c r="F58" s="118"/>
      <c r="G58" s="118"/>
      <c r="H58" s="16">
        <f ca="1">SUM(H48:H57)</f>
        <v>24</v>
      </c>
      <c r="I58" s="16" t="s">
        <v>44</v>
      </c>
      <c r="J58" s="16" t="e">
        <f ca="1">SUMPRODUCT(J48:J57,H48:H57)</f>
        <v>#N/A</v>
      </c>
    </row>
    <row r="59" spans="1:10" ht="28" customHeight="1" x14ac:dyDescent="0.2">
      <c r="A59" s="22">
        <f>ROWS(A48:B57)+9</f>
        <v>19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28" customHeight="1" x14ac:dyDescent="0.2">
      <c r="A60" s="120" t="s">
        <v>40</v>
      </c>
      <c r="B60" s="120"/>
      <c r="C60" s="21">
        <f ca="1">INDIRECT(_xlfn.TEXTJOIN("",TRUE,A62,"!",ADDRESS(5+A63*A59,12)))</f>
        <v>0</v>
      </c>
      <c r="D60" s="120" t="s">
        <v>38</v>
      </c>
      <c r="E60" s="120"/>
      <c r="F60" s="18" t="e">
        <f ca="1">INDIRECT(_xlfn.TEXTJOIN("",TRUE,A62,"!",ADDRESS(5+A63*A59,8)))</f>
        <v>#N/A</v>
      </c>
      <c r="G60" s="120" t="s">
        <v>39</v>
      </c>
      <c r="H60" s="120"/>
      <c r="I60" s="109" t="e">
        <f ca="1">INDIRECT(_xlfn.TEXTJOIN("",TRUE,A62,"!",ADDRESS(5+A63*A59,10)))</f>
        <v>#N/A</v>
      </c>
      <c r="J60" s="109"/>
    </row>
    <row r="61" spans="1:10" ht="28" customHeight="1" x14ac:dyDescent="0.2">
      <c r="A61" s="19" t="s">
        <v>36</v>
      </c>
      <c r="B61" s="95" t="e">
        <f ca="1">INDIRECT(_xlfn.TEXTJOIN("",TRUE,A62,"!",ADDRESS(5+A63*A59,2)))</f>
        <v>#N/A</v>
      </c>
      <c r="C61" s="95"/>
      <c r="D61" s="121" t="s">
        <v>37</v>
      </c>
      <c r="E61" s="121"/>
      <c r="F61" s="122" t="e">
        <f ca="1">INDIRECT(_xlfn.TEXTJOIN("",TRUE,A62,"!",ADDRESS(5+A63*A59,5)))</f>
        <v>#N/A</v>
      </c>
      <c r="G61" s="122"/>
      <c r="H61" s="122"/>
      <c r="I61" s="122"/>
      <c r="J61" s="122"/>
    </row>
    <row r="62" spans="1:10" ht="28" customHeight="1" x14ac:dyDescent="0.2">
      <c r="A62" s="22" t="str">
        <f>A43</f>
        <v>TC_II</v>
      </c>
    </row>
    <row r="63" spans="1:10" ht="28" customHeight="1" x14ac:dyDescent="0.2">
      <c r="A63" s="22">
        <f>A44+1</f>
        <v>3</v>
      </c>
    </row>
    <row r="64" spans="1:10" ht="28" customHeight="1" x14ac:dyDescent="0.2">
      <c r="A64" s="112" t="s">
        <v>24</v>
      </c>
      <c r="B64" s="112"/>
      <c r="C64" s="112" t="str">
        <f ca="1">INDIRECT(_xlfn.TEXTJOIN("",TRUE,A81,"!",ADDRESS(9+(A82-1)*A78,2)))</f>
        <v>ANJALI GUSAIN</v>
      </c>
      <c r="D64" s="112"/>
      <c r="E64" s="112"/>
      <c r="F64" s="112" t="s">
        <v>50</v>
      </c>
      <c r="G64" s="112"/>
      <c r="H64" s="112"/>
      <c r="I64" s="113">
        <f ca="1">INDIRECT(_xlfn.TEXTJOIN("",TRUE,A81,"!",ADDRESS(9+(A82-1)*A78,9)))</f>
        <v>240090600004</v>
      </c>
      <c r="J64" s="113"/>
    </row>
    <row r="65" spans="1:10" ht="28" customHeight="1" x14ac:dyDescent="0.2">
      <c r="A65" s="112" t="s">
        <v>25</v>
      </c>
      <c r="B65" s="112"/>
      <c r="C65" s="112" t="str">
        <f ca="1">INDIRECT(_xlfn.TEXTJOIN("",TRUE,A81,"!",ADDRESS(9+(A82-1)*A78,5)))</f>
        <v>JAIBEER SINGH GUSAIN</v>
      </c>
      <c r="D65" s="112"/>
      <c r="E65" s="112"/>
      <c r="F65" s="114" t="s">
        <v>51</v>
      </c>
      <c r="G65" s="114"/>
      <c r="H65" s="114"/>
      <c r="I65" s="113" t="str">
        <f ca="1">INDIRECT(_xlfn.TEXTJOIN("",TRUE,A81,"!",ADDRESS(9+(A82-1)*A78,13)))</f>
        <v>UTU/2406100161</v>
      </c>
      <c r="J65" s="113"/>
    </row>
    <row r="66" spans="1:10" ht="28" customHeight="1" x14ac:dyDescent="0.2">
      <c r="A66" s="95" t="s">
        <v>28</v>
      </c>
      <c r="B66" s="95"/>
      <c r="C66" s="95" t="s">
        <v>29</v>
      </c>
      <c r="D66" s="95"/>
      <c r="E66" s="95"/>
      <c r="F66" s="95"/>
      <c r="G66" s="95"/>
      <c r="H66" s="15" t="s">
        <v>30</v>
      </c>
      <c r="I66" s="15" t="s">
        <v>9</v>
      </c>
      <c r="J66" s="15" t="s">
        <v>34</v>
      </c>
    </row>
    <row r="67" spans="1:10" ht="28" customHeight="1" x14ac:dyDescent="0.2">
      <c r="A67" s="96" t="str">
        <f ca="1">INDIRECT(_xlfn.TEXTJOIN("",TRUE,A81,"!",ADDRESS(13+(A82-1)*A78,1)))</f>
        <v>CAT 009</v>
      </c>
      <c r="B67" s="97"/>
      <c r="C67" s="106" t="str">
        <f ca="1">INDIRECT(_xlfn.TEXTJOIN("",TRUE,A81,"!",ADDRESS(13+(A82-1)*A78,2)))</f>
        <v>Computer Based Numerical and Statistical Techniques</v>
      </c>
      <c r="D67" s="107"/>
      <c r="E67" s="107"/>
      <c r="F67" s="107"/>
      <c r="G67" s="108"/>
      <c r="H67" s="20">
        <f ca="1">INDIRECT(_xlfn.TEXTJOIN("",TRUE,A81,"!",ADDRESS(13+(A82-1)*A78,6)))</f>
        <v>4</v>
      </c>
      <c r="I67" s="20" t="e">
        <f ca="1">INDIRECT(_xlfn.TEXTJOIN("",TRUE,A81,"!",ADDRESS(13+(A82-1)*A78,13)))</f>
        <v>#N/A</v>
      </c>
      <c r="J67" s="20" t="e">
        <f ca="1">INDIRECT(_xlfn.TEXTJOIN("",TRUE,A81,"!",ADDRESS(13+(A82-1)*A78,14)))</f>
        <v>#N/A</v>
      </c>
    </row>
    <row r="68" spans="1:10" ht="28" customHeight="1" x14ac:dyDescent="0.2">
      <c r="A68" s="96" t="str">
        <f ca="1">INDIRECT(_xlfn.TEXTJOIN("",TRUE,A81,"!",ADDRESS(14+(A82-1)*A78,1)))</f>
        <v>CAT 010</v>
      </c>
      <c r="B68" s="97"/>
      <c r="C68" s="106" t="str">
        <f ca="1">INDIRECT(_xlfn.TEXTJOIN("",TRUE,A81,"!",ADDRESS(14+(A82-1)*A78,2)))</f>
        <v>Data Structures and Analysis of Algorithms</v>
      </c>
      <c r="D68" s="107"/>
      <c r="E68" s="107"/>
      <c r="F68" s="107"/>
      <c r="G68" s="108"/>
      <c r="H68" s="20">
        <f ca="1">INDIRECT(_xlfn.TEXTJOIN("",TRUE,A81,"!",ADDRESS(14+(A82-1)*A78,6)))</f>
        <v>4</v>
      </c>
      <c r="I68" s="20" t="e">
        <f ca="1">INDIRECT(_xlfn.TEXTJOIN("",TRUE,A81,"!",ADDRESS(14+(A82-1)*A78,13)))</f>
        <v>#N/A</v>
      </c>
      <c r="J68" s="20" t="e">
        <f ca="1">INDIRECT(_xlfn.TEXTJOIN("",TRUE,A81,"!",ADDRESS(14+(A82-1)*A78,14)))</f>
        <v>#N/A</v>
      </c>
    </row>
    <row r="69" spans="1:10" ht="28" customHeight="1" x14ac:dyDescent="0.2">
      <c r="A69" s="96" t="str">
        <f ca="1">INDIRECT(_xlfn.TEXTJOIN("",TRUE,A81,"!",ADDRESS(15+(A82-1)*A78,1)))</f>
        <v>CAT 011</v>
      </c>
      <c r="B69" s="97"/>
      <c r="C69" s="106" t="str">
        <f ca="1">INDIRECT(_xlfn.TEXTJOIN("",TRUE,A81,"!",ADDRESS(15+(A82-1)*A78,2)))</f>
        <v>Object Oriented Programming with JAVA</v>
      </c>
      <c r="D69" s="107"/>
      <c r="E69" s="107"/>
      <c r="F69" s="107"/>
      <c r="G69" s="108"/>
      <c r="H69" s="20">
        <f ca="1">INDIRECT(_xlfn.TEXTJOIN("",TRUE,A81,"!",ADDRESS(15+(A82-1)*A78,6)))</f>
        <v>4</v>
      </c>
      <c r="I69" s="20" t="e">
        <f ca="1">INDIRECT(_xlfn.TEXTJOIN("",TRUE,A81,"!",ADDRESS(15+(A82-1)*A78,13)))</f>
        <v>#N/A</v>
      </c>
      <c r="J69" s="20" t="e">
        <f ca="1">INDIRECT(_xlfn.TEXTJOIN("",TRUE,A81,"!",ADDRESS(15+(A82-1)*A78,14)))</f>
        <v>#N/A</v>
      </c>
    </row>
    <row r="70" spans="1:10" ht="28" customHeight="1" x14ac:dyDescent="0.2">
      <c r="A70" s="96" t="str">
        <f ca="1">INDIRECT(_xlfn.TEXTJOIN("",TRUE,A81,"!",ADDRESS(16+(A82-1)*A78,1)))</f>
        <v>CAT 012</v>
      </c>
      <c r="B70" s="97"/>
      <c r="C70" s="106" t="str">
        <f ca="1">INDIRECT(_xlfn.TEXTJOIN("",TRUE,A81,"!",ADDRESS(16+(A82-1)*A78,2)))</f>
        <v>Computer Networks</v>
      </c>
      <c r="D70" s="107"/>
      <c r="E70" s="107"/>
      <c r="F70" s="107"/>
      <c r="G70" s="108"/>
      <c r="H70" s="20">
        <f ca="1">INDIRECT(_xlfn.TEXTJOIN("",TRUE,A81,"!",ADDRESS(16+(A82-1)*A78,6)))</f>
        <v>4</v>
      </c>
      <c r="I70" s="20" t="e">
        <f ca="1">INDIRECT(_xlfn.TEXTJOIN("",TRUE,A81,"!",ADDRESS(16+(A82-1)*A78,13)))</f>
        <v>#N/A</v>
      </c>
      <c r="J70" s="20" t="e">
        <f ca="1">INDIRECT(_xlfn.TEXTJOIN("",TRUE,A81,"!",ADDRESS(16+(A82-1)*A78,14)))</f>
        <v>#N/A</v>
      </c>
    </row>
    <row r="71" spans="1:10" ht="28" customHeight="1" x14ac:dyDescent="0.2">
      <c r="A71" s="96" t="str">
        <f ca="1">INDIRECT(_xlfn.TEXTJOIN("",TRUE,A81,"!",ADDRESS(17+(A82-1)*A78,1)))</f>
        <v>CAT 013</v>
      </c>
      <c r="B71" s="97"/>
      <c r="C71" s="106" t="str">
        <f ca="1">INDIRECT(_xlfn.TEXTJOIN("",TRUE,A81,"!",ADDRESS(17+(A82-1)*A78,2)))</f>
        <v>Artificial Intelligence</v>
      </c>
      <c r="D71" s="107"/>
      <c r="E71" s="107"/>
      <c r="F71" s="107"/>
      <c r="G71" s="108"/>
      <c r="H71" s="20">
        <f ca="1">INDIRECT(_xlfn.TEXTJOIN("",TRUE,A81,"!",ADDRESS(17+(A82-1)*A78,6)))</f>
        <v>4</v>
      </c>
      <c r="I71" s="20" t="e">
        <f ca="1">INDIRECT(_xlfn.TEXTJOIN("",TRUE,A81,"!",ADDRESS(17+(A82-1)*A78,13)))</f>
        <v>#N/A</v>
      </c>
      <c r="J71" s="20" t="e">
        <f ca="1">INDIRECT(_xlfn.TEXTJOIN("",TRUE,A81,"!",ADDRESS(17+(A82-1)*A78,14)))</f>
        <v>#N/A</v>
      </c>
    </row>
    <row r="72" spans="1:10" ht="28" customHeight="1" x14ac:dyDescent="0.2">
      <c r="A72" s="96" t="str">
        <f ca="1">INDIRECT(_xlfn.TEXTJOIN("",TRUE,A81,"!",ADDRESS(18+(A82-1)*A78,1)))</f>
        <v>AHT 304</v>
      </c>
      <c r="B72" s="97"/>
      <c r="C72" s="106" t="str">
        <f ca="1">INDIRECT(_xlfn.TEXTJOIN("",TRUE,A81,"!",ADDRESS(18+(A82-1)*A78,2)))</f>
        <v>Accounting and Financial Management ($)</v>
      </c>
      <c r="D72" s="107"/>
      <c r="E72" s="107"/>
      <c r="F72" s="107"/>
      <c r="G72" s="108"/>
      <c r="H72" s="20">
        <f ca="1">INDIRECT(_xlfn.TEXTJOIN("",TRUE,A81,"!",ADDRESS(18+(A82-1)*A78,6)))</f>
        <v>0</v>
      </c>
      <c r="I72" s="20" t="e">
        <f ca="1">INDIRECT(_xlfn.TEXTJOIN("",TRUE,A81,"!",ADDRESS(18+(A82-1)*A78,13)))</f>
        <v>#N/A</v>
      </c>
      <c r="J72" s="20" t="e">
        <f ca="1">INDIRECT(_xlfn.TEXTJOIN("",TRUE,A81,"!",ADDRESS(18+(A82-1)*A78,14)))</f>
        <v>#N/A</v>
      </c>
    </row>
    <row r="73" spans="1:10" ht="28" customHeight="1" x14ac:dyDescent="0.2">
      <c r="A73" s="96" t="str">
        <f ca="1">INDIRECT(_xlfn.TEXTJOIN("",TRUE,A81,"!",ADDRESS(19+(A82-1)*A78,1)))</f>
        <v>CAP 004</v>
      </c>
      <c r="B73" s="97"/>
      <c r="C73" s="106" t="str">
        <f ca="1">INDIRECT(_xlfn.TEXTJOIN("",TRUE,A81,"!",ADDRESS(19+(A82-1)*A78,2)))</f>
        <v>Data Structures and Analysis of Algorithms Lab</v>
      </c>
      <c r="D73" s="107"/>
      <c r="E73" s="107"/>
      <c r="F73" s="107"/>
      <c r="G73" s="108"/>
      <c r="H73" s="20">
        <f ca="1">INDIRECT(_xlfn.TEXTJOIN("",TRUE,A81,"!",ADDRESS(19+(A82-1)*A78,6)))</f>
        <v>1</v>
      </c>
      <c r="I73" s="20" t="e">
        <f ca="1">INDIRECT(_xlfn.TEXTJOIN("",TRUE,A81,"!",ADDRESS(19+(A82-1)*A78,13)))</f>
        <v>#N/A</v>
      </c>
      <c r="J73" s="20" t="e">
        <f ca="1">INDIRECT(_xlfn.TEXTJOIN("",TRUE,A81,"!",ADDRESS(19+(A82-1)*A78,14)))</f>
        <v>#N/A</v>
      </c>
    </row>
    <row r="74" spans="1:10" ht="28" customHeight="1" x14ac:dyDescent="0.2">
      <c r="A74" s="96" t="str">
        <f ca="1">INDIRECT(_xlfn.TEXTJOIN("",TRUE,A81,"!",ADDRESS(20+(A82-1)*A78,1)))</f>
        <v>CAP 005</v>
      </c>
      <c r="B74" s="97"/>
      <c r="C74" s="106" t="str">
        <f ca="1">INDIRECT(_xlfn.TEXTJOIN("",TRUE,A81,"!",ADDRESS(20+(A82-1)*A78,2)))</f>
        <v>Object Oriented Programming with JAVA Lab</v>
      </c>
      <c r="D74" s="107"/>
      <c r="E74" s="107"/>
      <c r="F74" s="107"/>
      <c r="G74" s="108"/>
      <c r="H74" s="20">
        <f ca="1">INDIRECT(_xlfn.TEXTJOIN("",TRUE,A81,"!",ADDRESS(20+(A82-1)*A78,6)))</f>
        <v>1</v>
      </c>
      <c r="I74" s="20" t="e">
        <f ca="1">INDIRECT(_xlfn.TEXTJOIN("",TRUE,A81,"!",ADDRESS(20+(A82-1)*A78,13)))</f>
        <v>#N/A</v>
      </c>
      <c r="J74" s="20" t="e">
        <f ca="1">INDIRECT(_xlfn.TEXTJOIN("",TRUE,A81,"!",ADDRESS(20+(A82-1)*A78,14)))</f>
        <v>#N/A</v>
      </c>
    </row>
    <row r="75" spans="1:10" ht="28" customHeight="1" x14ac:dyDescent="0.2">
      <c r="A75" s="96" t="str">
        <f ca="1">INDIRECT(_xlfn.TEXTJOIN("",TRUE,A81,"!",ADDRESS(21+(A82-1)*A78,1)))</f>
        <v>CAP 006</v>
      </c>
      <c r="B75" s="97"/>
      <c r="C75" s="106" t="str">
        <f ca="1">INDIRECT(_xlfn.TEXTJOIN("",TRUE,A81,"!",ADDRESS(21+(A82-1)*A78,2)))</f>
        <v>Computer Networks Lab</v>
      </c>
      <c r="D75" s="107"/>
      <c r="E75" s="107"/>
      <c r="F75" s="107"/>
      <c r="G75" s="108"/>
      <c r="H75" s="20">
        <f ca="1">INDIRECT(_xlfn.TEXTJOIN("",TRUE,A81,"!",ADDRESS(21+(A82-1)*A78,6)))</f>
        <v>1</v>
      </c>
      <c r="I75" s="20" t="e">
        <f ca="1">INDIRECT(_xlfn.TEXTJOIN("",TRUE,A81,"!",ADDRESS(21+(A82-1)*A78,13)))</f>
        <v>#N/A</v>
      </c>
      <c r="J75" s="20" t="e">
        <f ca="1">INDIRECT(_xlfn.TEXTJOIN("",TRUE,A81,"!",ADDRESS(21+(A82-1)*A78,14)))</f>
        <v>#N/A</v>
      </c>
    </row>
    <row r="76" spans="1:10" ht="28" customHeight="1" x14ac:dyDescent="0.2">
      <c r="A76" s="96" t="str">
        <f ca="1">INDIRECT(_xlfn.TEXTJOIN("",TRUE,A81,"!",ADDRESS(22+(A82-1)*A78,1)))</f>
        <v>CAP 007</v>
      </c>
      <c r="B76" s="97"/>
      <c r="C76" s="106" t="str">
        <f ca="1">INDIRECT(_xlfn.TEXTJOIN("",TRUE,A81,"!",ADDRESS(22+(A82-1)*A78,2)))</f>
        <v>Artificial Intelligence Lab</v>
      </c>
      <c r="D76" s="107"/>
      <c r="E76" s="107"/>
      <c r="F76" s="107"/>
      <c r="G76" s="108"/>
      <c r="H76" s="20">
        <f ca="1">INDIRECT(_xlfn.TEXTJOIN("",TRUE,A81,"!",ADDRESS(22+(A82-1)*A78,6)))</f>
        <v>1</v>
      </c>
      <c r="I76" s="20" t="e">
        <f ca="1">INDIRECT(_xlfn.TEXTJOIN("",TRUE,A81,"!",ADDRESS(22+(A82-1)*A78,13)))</f>
        <v>#N/A</v>
      </c>
      <c r="J76" s="20" t="e">
        <f ca="1">INDIRECT(_xlfn.TEXTJOIN("",TRUE,A81,"!",ADDRESS(22+(A82-1)*A78,14)))</f>
        <v>#N/A</v>
      </c>
    </row>
    <row r="77" spans="1:10" ht="28" customHeight="1" x14ac:dyDescent="0.2">
      <c r="A77" s="118" t="s">
        <v>52</v>
      </c>
      <c r="B77" s="118"/>
      <c r="C77" s="118"/>
      <c r="D77" s="118"/>
      <c r="E77" s="118"/>
      <c r="F77" s="118"/>
      <c r="G77" s="118"/>
      <c r="H77" s="16">
        <f ca="1">SUM(H67:H76)</f>
        <v>24</v>
      </c>
      <c r="I77" s="16" t="s">
        <v>44</v>
      </c>
      <c r="J77" s="16" t="e">
        <f ca="1">SUMPRODUCT(J67:J76,H67:H76)</f>
        <v>#N/A</v>
      </c>
    </row>
    <row r="78" spans="1:10" ht="28" customHeight="1" x14ac:dyDescent="0.2">
      <c r="A78" s="22">
        <f>ROWS(A67:B76)+9</f>
        <v>19</v>
      </c>
      <c r="B78" s="17"/>
      <c r="C78" s="17"/>
      <c r="D78" s="17"/>
      <c r="E78" s="17"/>
      <c r="F78" s="17"/>
      <c r="G78" s="17"/>
      <c r="H78" s="17"/>
      <c r="I78" s="17"/>
      <c r="J78" s="17"/>
    </row>
    <row r="79" spans="1:10" ht="28" customHeight="1" x14ac:dyDescent="0.2">
      <c r="A79" s="120" t="s">
        <v>40</v>
      </c>
      <c r="B79" s="120"/>
      <c r="C79" s="21">
        <f ca="1">INDIRECT(_xlfn.TEXTJOIN("",TRUE,A81,"!",ADDRESS(5+A82*A78,12)))</f>
        <v>0</v>
      </c>
      <c r="D79" s="120" t="s">
        <v>38</v>
      </c>
      <c r="E79" s="120"/>
      <c r="F79" s="18" t="e">
        <f ca="1">INDIRECT(_xlfn.TEXTJOIN("",TRUE,A81,"!",ADDRESS(5+A82*A78,8)))</f>
        <v>#N/A</v>
      </c>
      <c r="G79" s="120" t="s">
        <v>39</v>
      </c>
      <c r="H79" s="120"/>
      <c r="I79" s="109" t="e">
        <f ca="1">INDIRECT(_xlfn.TEXTJOIN("",TRUE,A81,"!",ADDRESS(5+A82*A78,10)))</f>
        <v>#N/A</v>
      </c>
      <c r="J79" s="109"/>
    </row>
    <row r="80" spans="1:10" ht="28" customHeight="1" x14ac:dyDescent="0.2">
      <c r="A80" s="19" t="s">
        <v>36</v>
      </c>
      <c r="B80" s="95" t="e">
        <f ca="1">INDIRECT(_xlfn.TEXTJOIN("",TRUE,A81,"!",ADDRESS(5+A82*A78,2)))</f>
        <v>#N/A</v>
      </c>
      <c r="C80" s="95"/>
      <c r="D80" s="121" t="s">
        <v>37</v>
      </c>
      <c r="E80" s="121"/>
      <c r="F80" s="122" t="e">
        <f ca="1">INDIRECT(_xlfn.TEXTJOIN("",TRUE,A81,"!",ADDRESS(5+A82*A78,5)))</f>
        <v>#N/A</v>
      </c>
      <c r="G80" s="122"/>
      <c r="H80" s="122"/>
      <c r="I80" s="122"/>
      <c r="J80" s="122"/>
    </row>
    <row r="81" spans="1:10" ht="28" customHeight="1" x14ac:dyDescent="0.2">
      <c r="A81" s="22" t="str">
        <f>A62</f>
        <v>TC_II</v>
      </c>
    </row>
    <row r="82" spans="1:10" ht="28" customHeight="1" x14ac:dyDescent="0.2">
      <c r="A82" s="22">
        <f>A63+1</f>
        <v>4</v>
      </c>
    </row>
    <row r="83" spans="1:10" ht="28" customHeight="1" x14ac:dyDescent="0.2">
      <c r="A83" s="112" t="s">
        <v>24</v>
      </c>
      <c r="B83" s="112"/>
      <c r="C83" s="112" t="str">
        <f ca="1">INDIRECT(_xlfn.TEXTJOIN("",TRUE,A100,"!",ADDRESS(9+(A101-1)*A97,2)))</f>
        <v>ANJALI PATWAL</v>
      </c>
      <c r="D83" s="112"/>
      <c r="E83" s="112"/>
      <c r="F83" s="112" t="s">
        <v>50</v>
      </c>
      <c r="G83" s="112"/>
      <c r="H83" s="112"/>
      <c r="I83" s="113">
        <f ca="1">INDIRECT(_xlfn.TEXTJOIN("",TRUE,A100,"!",ADDRESS(9+(A101-1)*A97,9)))</f>
        <v>240090600005</v>
      </c>
      <c r="J83" s="113"/>
    </row>
    <row r="84" spans="1:10" ht="28" customHeight="1" x14ac:dyDescent="0.2">
      <c r="A84" s="112" t="s">
        <v>25</v>
      </c>
      <c r="B84" s="112"/>
      <c r="C84" s="112" t="str">
        <f ca="1">INDIRECT(_xlfn.TEXTJOIN("",TRUE,A100,"!",ADDRESS(9+(A101-1)*A97,5)))</f>
        <v>SANJAY SINGH PATWAL</v>
      </c>
      <c r="D84" s="112"/>
      <c r="E84" s="112"/>
      <c r="F84" s="114" t="s">
        <v>51</v>
      </c>
      <c r="G84" s="114"/>
      <c r="H84" s="114"/>
      <c r="I84" s="113" t="str">
        <f ca="1">INDIRECT(_xlfn.TEXTJOIN("",TRUE,A100,"!",ADDRESS(9+(A101-1)*A97,13)))</f>
        <v>UTU/2406100178</v>
      </c>
      <c r="J84" s="113"/>
    </row>
    <row r="85" spans="1:10" ht="28" customHeight="1" x14ac:dyDescent="0.2">
      <c r="A85" s="95" t="s">
        <v>28</v>
      </c>
      <c r="B85" s="95"/>
      <c r="C85" s="95" t="s">
        <v>29</v>
      </c>
      <c r="D85" s="95"/>
      <c r="E85" s="95"/>
      <c r="F85" s="95"/>
      <c r="G85" s="95"/>
      <c r="H85" s="15" t="s">
        <v>30</v>
      </c>
      <c r="I85" s="15" t="s">
        <v>9</v>
      </c>
      <c r="J85" s="15" t="s">
        <v>34</v>
      </c>
    </row>
    <row r="86" spans="1:10" ht="28" customHeight="1" x14ac:dyDescent="0.2">
      <c r="A86" s="96" t="str">
        <f ca="1">INDIRECT(_xlfn.TEXTJOIN("",TRUE,A100,"!",ADDRESS(13+(A101-1)*A97,1)))</f>
        <v>CAT 009</v>
      </c>
      <c r="B86" s="97"/>
      <c r="C86" s="106" t="str">
        <f ca="1">INDIRECT(_xlfn.TEXTJOIN("",TRUE,A100,"!",ADDRESS(13+(A101-1)*A97,2)))</f>
        <v>Computer Based Numerical and Statistical Techniques</v>
      </c>
      <c r="D86" s="107"/>
      <c r="E86" s="107"/>
      <c r="F86" s="107"/>
      <c r="G86" s="108"/>
      <c r="H86" s="20">
        <f ca="1">INDIRECT(_xlfn.TEXTJOIN("",TRUE,A100,"!",ADDRESS(13+(A101-1)*A97,6)))</f>
        <v>4</v>
      </c>
      <c r="I86" s="20" t="e">
        <f ca="1">INDIRECT(_xlfn.TEXTJOIN("",TRUE,A100,"!",ADDRESS(13+(A101-1)*A97,13)))</f>
        <v>#N/A</v>
      </c>
      <c r="J86" s="20" t="e">
        <f ca="1">INDIRECT(_xlfn.TEXTJOIN("",TRUE,A100,"!",ADDRESS(13+(A101-1)*A97,14)))</f>
        <v>#N/A</v>
      </c>
    </row>
    <row r="87" spans="1:10" ht="28" customHeight="1" x14ac:dyDescent="0.2">
      <c r="A87" s="96" t="str">
        <f ca="1">INDIRECT(_xlfn.TEXTJOIN("",TRUE,A100,"!",ADDRESS(14+(A101-1)*A97,1)))</f>
        <v>CAT 010</v>
      </c>
      <c r="B87" s="97"/>
      <c r="C87" s="106" t="str">
        <f ca="1">INDIRECT(_xlfn.TEXTJOIN("",TRUE,A100,"!",ADDRESS(14+(A101-1)*A97,2)))</f>
        <v>Data Structures and Analysis of Algorithms</v>
      </c>
      <c r="D87" s="107"/>
      <c r="E87" s="107"/>
      <c r="F87" s="107"/>
      <c r="G87" s="108"/>
      <c r="H87" s="20">
        <f ca="1">INDIRECT(_xlfn.TEXTJOIN("",TRUE,A100,"!",ADDRESS(14+(A101-1)*A97,6)))</f>
        <v>4</v>
      </c>
      <c r="I87" s="20" t="e">
        <f ca="1">INDIRECT(_xlfn.TEXTJOIN("",TRUE,A100,"!",ADDRESS(14+(A101-1)*A97,13)))</f>
        <v>#N/A</v>
      </c>
      <c r="J87" s="20" t="e">
        <f ca="1">INDIRECT(_xlfn.TEXTJOIN("",TRUE,A100,"!",ADDRESS(14+(A101-1)*A97,14)))</f>
        <v>#N/A</v>
      </c>
    </row>
    <row r="88" spans="1:10" ht="28" customHeight="1" x14ac:dyDescent="0.2">
      <c r="A88" s="96" t="str">
        <f ca="1">INDIRECT(_xlfn.TEXTJOIN("",TRUE,A100,"!",ADDRESS(15+(A101-1)*A97,1)))</f>
        <v>CAT 011</v>
      </c>
      <c r="B88" s="97"/>
      <c r="C88" s="106" t="str">
        <f ca="1">INDIRECT(_xlfn.TEXTJOIN("",TRUE,A100,"!",ADDRESS(15+(A101-1)*A97,2)))</f>
        <v>Object Oriented Programming with JAVA</v>
      </c>
      <c r="D88" s="107"/>
      <c r="E88" s="107"/>
      <c r="F88" s="107"/>
      <c r="G88" s="108"/>
      <c r="H88" s="20">
        <f ca="1">INDIRECT(_xlfn.TEXTJOIN("",TRUE,A100,"!",ADDRESS(15+(A101-1)*A97,6)))</f>
        <v>4</v>
      </c>
      <c r="I88" s="20" t="e">
        <f ca="1">INDIRECT(_xlfn.TEXTJOIN("",TRUE,A100,"!",ADDRESS(15+(A101-1)*A97,13)))</f>
        <v>#N/A</v>
      </c>
      <c r="J88" s="20" t="e">
        <f ca="1">INDIRECT(_xlfn.TEXTJOIN("",TRUE,A100,"!",ADDRESS(15+(A101-1)*A97,14)))</f>
        <v>#N/A</v>
      </c>
    </row>
    <row r="89" spans="1:10" ht="28" customHeight="1" x14ac:dyDescent="0.2">
      <c r="A89" s="96" t="str">
        <f ca="1">INDIRECT(_xlfn.TEXTJOIN("",TRUE,A100,"!",ADDRESS(16+(A101-1)*A97,1)))</f>
        <v>CAT 012</v>
      </c>
      <c r="B89" s="97"/>
      <c r="C89" s="106" t="str">
        <f ca="1">INDIRECT(_xlfn.TEXTJOIN("",TRUE,A100,"!",ADDRESS(16+(A101-1)*A97,2)))</f>
        <v>Computer Networks</v>
      </c>
      <c r="D89" s="107"/>
      <c r="E89" s="107"/>
      <c r="F89" s="107"/>
      <c r="G89" s="108"/>
      <c r="H89" s="20">
        <f ca="1">INDIRECT(_xlfn.TEXTJOIN("",TRUE,A100,"!",ADDRESS(16+(A101-1)*A97,6)))</f>
        <v>4</v>
      </c>
      <c r="I89" s="20" t="e">
        <f ca="1">INDIRECT(_xlfn.TEXTJOIN("",TRUE,A100,"!",ADDRESS(16+(A101-1)*A97,13)))</f>
        <v>#N/A</v>
      </c>
      <c r="J89" s="20" t="e">
        <f ca="1">INDIRECT(_xlfn.TEXTJOIN("",TRUE,A100,"!",ADDRESS(16+(A101-1)*A97,14)))</f>
        <v>#N/A</v>
      </c>
    </row>
    <row r="90" spans="1:10" ht="28" customHeight="1" x14ac:dyDescent="0.2">
      <c r="A90" s="96" t="str">
        <f ca="1">INDIRECT(_xlfn.TEXTJOIN("",TRUE,A100,"!",ADDRESS(17+(A101-1)*A97,1)))</f>
        <v>CAT 013</v>
      </c>
      <c r="B90" s="97"/>
      <c r="C90" s="106" t="str">
        <f ca="1">INDIRECT(_xlfn.TEXTJOIN("",TRUE,A100,"!",ADDRESS(17+(A101-1)*A97,2)))</f>
        <v>Artificial Intelligence</v>
      </c>
      <c r="D90" s="107"/>
      <c r="E90" s="107"/>
      <c r="F90" s="107"/>
      <c r="G90" s="108"/>
      <c r="H90" s="20">
        <f ca="1">INDIRECT(_xlfn.TEXTJOIN("",TRUE,A100,"!",ADDRESS(17+(A101-1)*A97,6)))</f>
        <v>4</v>
      </c>
      <c r="I90" s="20" t="e">
        <f ca="1">INDIRECT(_xlfn.TEXTJOIN("",TRUE,A100,"!",ADDRESS(17+(A101-1)*A97,13)))</f>
        <v>#N/A</v>
      </c>
      <c r="J90" s="20" t="e">
        <f ca="1">INDIRECT(_xlfn.TEXTJOIN("",TRUE,A100,"!",ADDRESS(17+(A101-1)*A97,14)))</f>
        <v>#N/A</v>
      </c>
    </row>
    <row r="91" spans="1:10" ht="28" customHeight="1" x14ac:dyDescent="0.2">
      <c r="A91" s="96" t="str">
        <f ca="1">INDIRECT(_xlfn.TEXTJOIN("",TRUE,A100,"!",ADDRESS(18+(A101-1)*A97,1)))</f>
        <v>AHT 304</v>
      </c>
      <c r="B91" s="97"/>
      <c r="C91" s="106" t="str">
        <f ca="1">INDIRECT(_xlfn.TEXTJOIN("",TRUE,A100,"!",ADDRESS(18+(A101-1)*A97,2)))</f>
        <v>Accounting and Financial Management ($)</v>
      </c>
      <c r="D91" s="107"/>
      <c r="E91" s="107"/>
      <c r="F91" s="107"/>
      <c r="G91" s="108"/>
      <c r="H91" s="20">
        <f ca="1">INDIRECT(_xlfn.TEXTJOIN("",TRUE,A100,"!",ADDRESS(18+(A101-1)*A97,6)))</f>
        <v>0</v>
      </c>
      <c r="I91" s="20" t="e">
        <f ca="1">INDIRECT(_xlfn.TEXTJOIN("",TRUE,A100,"!",ADDRESS(18+(A101-1)*A97,13)))</f>
        <v>#N/A</v>
      </c>
      <c r="J91" s="20" t="e">
        <f ca="1">INDIRECT(_xlfn.TEXTJOIN("",TRUE,A100,"!",ADDRESS(18+(A101-1)*A97,14)))</f>
        <v>#N/A</v>
      </c>
    </row>
    <row r="92" spans="1:10" ht="28" customHeight="1" x14ac:dyDescent="0.2">
      <c r="A92" s="96" t="str">
        <f ca="1">INDIRECT(_xlfn.TEXTJOIN("",TRUE,A100,"!",ADDRESS(19+(A101-1)*A97,1)))</f>
        <v>CAP 004</v>
      </c>
      <c r="B92" s="97"/>
      <c r="C92" s="106" t="str">
        <f ca="1">INDIRECT(_xlfn.TEXTJOIN("",TRUE,A100,"!",ADDRESS(19+(A101-1)*A97,2)))</f>
        <v>Data Structures and Analysis of Algorithms Lab</v>
      </c>
      <c r="D92" s="107"/>
      <c r="E92" s="107"/>
      <c r="F92" s="107"/>
      <c r="G92" s="108"/>
      <c r="H92" s="20">
        <f ca="1">INDIRECT(_xlfn.TEXTJOIN("",TRUE,A100,"!",ADDRESS(19+(A101-1)*A97,6)))</f>
        <v>1</v>
      </c>
      <c r="I92" s="20" t="e">
        <f ca="1">INDIRECT(_xlfn.TEXTJOIN("",TRUE,A100,"!",ADDRESS(19+(A101-1)*A97,13)))</f>
        <v>#N/A</v>
      </c>
      <c r="J92" s="20" t="e">
        <f ca="1">INDIRECT(_xlfn.TEXTJOIN("",TRUE,A100,"!",ADDRESS(19+(A101-1)*A97,14)))</f>
        <v>#N/A</v>
      </c>
    </row>
    <row r="93" spans="1:10" ht="28" customHeight="1" x14ac:dyDescent="0.2">
      <c r="A93" s="96" t="str">
        <f ca="1">INDIRECT(_xlfn.TEXTJOIN("",TRUE,A100,"!",ADDRESS(20+(A101-1)*A97,1)))</f>
        <v>CAP 005</v>
      </c>
      <c r="B93" s="97"/>
      <c r="C93" s="106" t="str">
        <f ca="1">INDIRECT(_xlfn.TEXTJOIN("",TRUE,A100,"!",ADDRESS(20+(A101-1)*A97,2)))</f>
        <v>Object Oriented Programming with JAVA Lab</v>
      </c>
      <c r="D93" s="107"/>
      <c r="E93" s="107"/>
      <c r="F93" s="107"/>
      <c r="G93" s="108"/>
      <c r="H93" s="20">
        <f ca="1">INDIRECT(_xlfn.TEXTJOIN("",TRUE,A100,"!",ADDRESS(20+(A101-1)*A97,6)))</f>
        <v>1</v>
      </c>
      <c r="I93" s="20" t="e">
        <f ca="1">INDIRECT(_xlfn.TEXTJOIN("",TRUE,A100,"!",ADDRESS(20+(A101-1)*A97,13)))</f>
        <v>#N/A</v>
      </c>
      <c r="J93" s="20" t="e">
        <f ca="1">INDIRECT(_xlfn.TEXTJOIN("",TRUE,A100,"!",ADDRESS(20+(A101-1)*A97,14)))</f>
        <v>#N/A</v>
      </c>
    </row>
    <row r="94" spans="1:10" ht="28" customHeight="1" x14ac:dyDescent="0.2">
      <c r="A94" s="96" t="str">
        <f ca="1">INDIRECT(_xlfn.TEXTJOIN("",TRUE,A100,"!",ADDRESS(21+(A101-1)*A97,1)))</f>
        <v>CAP 006</v>
      </c>
      <c r="B94" s="97"/>
      <c r="C94" s="106" t="str">
        <f ca="1">INDIRECT(_xlfn.TEXTJOIN("",TRUE,A100,"!",ADDRESS(21+(A101-1)*A97,2)))</f>
        <v>Computer Networks Lab</v>
      </c>
      <c r="D94" s="107"/>
      <c r="E94" s="107"/>
      <c r="F94" s="107"/>
      <c r="G94" s="108"/>
      <c r="H94" s="20">
        <f ca="1">INDIRECT(_xlfn.TEXTJOIN("",TRUE,A100,"!",ADDRESS(21+(A101-1)*A97,6)))</f>
        <v>1</v>
      </c>
      <c r="I94" s="20" t="e">
        <f ca="1">INDIRECT(_xlfn.TEXTJOIN("",TRUE,A100,"!",ADDRESS(21+(A101-1)*A97,13)))</f>
        <v>#N/A</v>
      </c>
      <c r="J94" s="20" t="e">
        <f ca="1">INDIRECT(_xlfn.TEXTJOIN("",TRUE,A100,"!",ADDRESS(21+(A101-1)*A97,14)))</f>
        <v>#N/A</v>
      </c>
    </row>
    <row r="95" spans="1:10" ht="28" customHeight="1" x14ac:dyDescent="0.2">
      <c r="A95" s="96" t="str">
        <f ca="1">INDIRECT(_xlfn.TEXTJOIN("",TRUE,A100,"!",ADDRESS(22+(A101-1)*A97,1)))</f>
        <v>CAP 007</v>
      </c>
      <c r="B95" s="97"/>
      <c r="C95" s="106" t="str">
        <f ca="1">INDIRECT(_xlfn.TEXTJOIN("",TRUE,A100,"!",ADDRESS(22+(A101-1)*A97,2)))</f>
        <v>Artificial Intelligence Lab</v>
      </c>
      <c r="D95" s="107"/>
      <c r="E95" s="107"/>
      <c r="F95" s="107"/>
      <c r="G95" s="108"/>
      <c r="H95" s="20">
        <f ca="1">INDIRECT(_xlfn.TEXTJOIN("",TRUE,A100,"!",ADDRESS(22+(A101-1)*A97,6)))</f>
        <v>1</v>
      </c>
      <c r="I95" s="20" t="e">
        <f ca="1">INDIRECT(_xlfn.TEXTJOIN("",TRUE,A100,"!",ADDRESS(22+(A101-1)*A97,13)))</f>
        <v>#N/A</v>
      </c>
      <c r="J95" s="20" t="e">
        <f ca="1">INDIRECT(_xlfn.TEXTJOIN("",TRUE,A100,"!",ADDRESS(22+(A101-1)*A97,14)))</f>
        <v>#N/A</v>
      </c>
    </row>
    <row r="96" spans="1:10" ht="28" customHeight="1" x14ac:dyDescent="0.2">
      <c r="A96" s="118" t="s">
        <v>52</v>
      </c>
      <c r="B96" s="118"/>
      <c r="C96" s="118"/>
      <c r="D96" s="118"/>
      <c r="E96" s="118"/>
      <c r="F96" s="118"/>
      <c r="G96" s="118"/>
      <c r="H96" s="16">
        <f ca="1">SUM(H86:H95)</f>
        <v>24</v>
      </c>
      <c r="I96" s="16" t="s">
        <v>44</v>
      </c>
      <c r="J96" s="16" t="e">
        <f ca="1">SUMPRODUCT(J86:J95,H86:H95)</f>
        <v>#N/A</v>
      </c>
    </row>
    <row r="97" spans="1:10" ht="28" customHeight="1" x14ac:dyDescent="0.2">
      <c r="A97" s="22">
        <f>ROWS(A86:B95)+9</f>
        <v>19</v>
      </c>
      <c r="B97" s="17"/>
      <c r="C97" s="17"/>
      <c r="D97" s="17"/>
      <c r="E97" s="17"/>
      <c r="F97" s="17"/>
      <c r="G97" s="17"/>
      <c r="H97" s="17"/>
      <c r="I97" s="17"/>
      <c r="J97" s="17"/>
    </row>
    <row r="98" spans="1:10" ht="28" customHeight="1" x14ac:dyDescent="0.2">
      <c r="A98" s="120" t="s">
        <v>40</v>
      </c>
      <c r="B98" s="120"/>
      <c r="C98" s="21">
        <f ca="1">INDIRECT(_xlfn.TEXTJOIN("",TRUE,A100,"!",ADDRESS(5+A101*A97,12)))</f>
        <v>0</v>
      </c>
      <c r="D98" s="120" t="s">
        <v>38</v>
      </c>
      <c r="E98" s="120"/>
      <c r="F98" s="18" t="e">
        <f ca="1">INDIRECT(_xlfn.TEXTJOIN("",TRUE,A100,"!",ADDRESS(5+A101*A97,8)))</f>
        <v>#N/A</v>
      </c>
      <c r="G98" s="120" t="s">
        <v>39</v>
      </c>
      <c r="H98" s="120"/>
      <c r="I98" s="109" t="e">
        <f ca="1">INDIRECT(_xlfn.TEXTJOIN("",TRUE,A100,"!",ADDRESS(5+A101*A97,10)))</f>
        <v>#N/A</v>
      </c>
      <c r="J98" s="109"/>
    </row>
    <row r="99" spans="1:10" ht="28" customHeight="1" x14ac:dyDescent="0.2">
      <c r="A99" s="19" t="s">
        <v>36</v>
      </c>
      <c r="B99" s="95" t="e">
        <f ca="1">INDIRECT(_xlfn.TEXTJOIN("",TRUE,A100,"!",ADDRESS(5+A101*A97,2)))</f>
        <v>#N/A</v>
      </c>
      <c r="C99" s="95"/>
      <c r="D99" s="121" t="s">
        <v>37</v>
      </c>
      <c r="E99" s="121"/>
      <c r="F99" s="122" t="e">
        <f ca="1">INDIRECT(_xlfn.TEXTJOIN("",TRUE,A100,"!",ADDRESS(5+A101*A97,5)))</f>
        <v>#N/A</v>
      </c>
      <c r="G99" s="122"/>
      <c r="H99" s="122"/>
      <c r="I99" s="122"/>
      <c r="J99" s="122"/>
    </row>
    <row r="100" spans="1:10" ht="28" customHeight="1" x14ac:dyDescent="0.2">
      <c r="A100" s="22" t="str">
        <f>A81</f>
        <v>TC_II</v>
      </c>
    </row>
    <row r="101" spans="1:10" ht="28" customHeight="1" x14ac:dyDescent="0.2">
      <c r="A101" s="22">
        <f>A82+1</f>
        <v>5</v>
      </c>
    </row>
    <row r="102" spans="1:10" ht="28" customHeight="1" x14ac:dyDescent="0.2">
      <c r="A102" s="112" t="s">
        <v>24</v>
      </c>
      <c r="B102" s="112"/>
      <c r="C102" s="112" t="str">
        <f ca="1">INDIRECT(_xlfn.TEXTJOIN("",TRUE,A119,"!",ADDRESS(9+(A120-1)*A116,2)))</f>
        <v>ASMIT BHATT</v>
      </c>
      <c r="D102" s="112"/>
      <c r="E102" s="112"/>
      <c r="F102" s="112" t="s">
        <v>50</v>
      </c>
      <c r="G102" s="112"/>
      <c r="H102" s="112"/>
      <c r="I102" s="113">
        <f ca="1">INDIRECT(_xlfn.TEXTJOIN("",TRUE,A119,"!",ADDRESS(9+(A120-1)*A116,9)))</f>
        <v>240090600006</v>
      </c>
      <c r="J102" s="113"/>
    </row>
    <row r="103" spans="1:10" ht="28" customHeight="1" x14ac:dyDescent="0.2">
      <c r="A103" s="112" t="s">
        <v>25</v>
      </c>
      <c r="B103" s="112"/>
      <c r="C103" s="112" t="str">
        <f ca="1">INDIRECT(_xlfn.TEXTJOIN("",TRUE,A119,"!",ADDRESS(9+(A120-1)*A116,5)))</f>
        <v>JANARDHAN BHATT</v>
      </c>
      <c r="D103" s="112"/>
      <c r="E103" s="112"/>
      <c r="F103" s="114" t="s">
        <v>51</v>
      </c>
      <c r="G103" s="114"/>
      <c r="H103" s="114"/>
      <c r="I103" s="113" t="str">
        <f ca="1">INDIRECT(_xlfn.TEXTJOIN("",TRUE,A119,"!",ADDRESS(9+(A120-1)*A116,13)))</f>
        <v>UTU/2406100179</v>
      </c>
      <c r="J103" s="113"/>
    </row>
    <row r="104" spans="1:10" ht="28" customHeight="1" x14ac:dyDescent="0.2">
      <c r="A104" s="95" t="s">
        <v>28</v>
      </c>
      <c r="B104" s="95"/>
      <c r="C104" s="95" t="s">
        <v>29</v>
      </c>
      <c r="D104" s="95"/>
      <c r="E104" s="95"/>
      <c r="F104" s="95"/>
      <c r="G104" s="95"/>
      <c r="H104" s="15" t="s">
        <v>30</v>
      </c>
      <c r="I104" s="15" t="s">
        <v>9</v>
      </c>
      <c r="J104" s="15" t="s">
        <v>34</v>
      </c>
    </row>
    <row r="105" spans="1:10" ht="28" customHeight="1" x14ac:dyDescent="0.2">
      <c r="A105" s="96" t="str">
        <f ca="1">INDIRECT(_xlfn.TEXTJOIN("",TRUE,A119,"!",ADDRESS(13+(A120-1)*A116,1)))</f>
        <v>CAT 009</v>
      </c>
      <c r="B105" s="97"/>
      <c r="C105" s="106" t="str">
        <f ca="1">INDIRECT(_xlfn.TEXTJOIN("",TRUE,A119,"!",ADDRESS(13+(A120-1)*A116,2)))</f>
        <v>Computer Based Numerical and Statistical Techniques</v>
      </c>
      <c r="D105" s="107"/>
      <c r="E105" s="107"/>
      <c r="F105" s="107"/>
      <c r="G105" s="108"/>
      <c r="H105" s="20">
        <f ca="1">INDIRECT(_xlfn.TEXTJOIN("",TRUE,A119,"!",ADDRESS(13+(A120-1)*A116,6)))</f>
        <v>4</v>
      </c>
      <c r="I105" s="20" t="e">
        <f ca="1">INDIRECT(_xlfn.TEXTJOIN("",TRUE,A119,"!",ADDRESS(13+(A120-1)*A116,13)))</f>
        <v>#N/A</v>
      </c>
      <c r="J105" s="20" t="e">
        <f ca="1">INDIRECT(_xlfn.TEXTJOIN("",TRUE,A119,"!",ADDRESS(13+(A120-1)*A116,14)))</f>
        <v>#N/A</v>
      </c>
    </row>
    <row r="106" spans="1:10" ht="28" customHeight="1" x14ac:dyDescent="0.2">
      <c r="A106" s="96" t="str">
        <f ca="1">INDIRECT(_xlfn.TEXTJOIN("",TRUE,A119,"!",ADDRESS(14+(A120-1)*A116,1)))</f>
        <v>CAT 010</v>
      </c>
      <c r="B106" s="97"/>
      <c r="C106" s="106" t="str">
        <f ca="1">INDIRECT(_xlfn.TEXTJOIN("",TRUE,A119,"!",ADDRESS(14+(A120-1)*A116,2)))</f>
        <v>Data Structures and Analysis of Algorithms</v>
      </c>
      <c r="D106" s="107"/>
      <c r="E106" s="107"/>
      <c r="F106" s="107"/>
      <c r="G106" s="108"/>
      <c r="H106" s="20">
        <f ca="1">INDIRECT(_xlfn.TEXTJOIN("",TRUE,A119,"!",ADDRESS(14+(A120-1)*A116,6)))</f>
        <v>4</v>
      </c>
      <c r="I106" s="20" t="e">
        <f ca="1">INDIRECT(_xlfn.TEXTJOIN("",TRUE,A119,"!",ADDRESS(14+(A120-1)*A116,13)))</f>
        <v>#N/A</v>
      </c>
      <c r="J106" s="20" t="e">
        <f ca="1">INDIRECT(_xlfn.TEXTJOIN("",TRUE,A119,"!",ADDRESS(14+(A120-1)*A116,14)))</f>
        <v>#N/A</v>
      </c>
    </row>
    <row r="107" spans="1:10" ht="28" customHeight="1" x14ac:dyDescent="0.2">
      <c r="A107" s="96" t="str">
        <f ca="1">INDIRECT(_xlfn.TEXTJOIN("",TRUE,A119,"!",ADDRESS(15+(A120-1)*A116,1)))</f>
        <v>CAT 011</v>
      </c>
      <c r="B107" s="97"/>
      <c r="C107" s="106" t="str">
        <f ca="1">INDIRECT(_xlfn.TEXTJOIN("",TRUE,A119,"!",ADDRESS(15+(A120-1)*A116,2)))</f>
        <v>Object Oriented Programming with JAVA</v>
      </c>
      <c r="D107" s="107"/>
      <c r="E107" s="107"/>
      <c r="F107" s="107"/>
      <c r="G107" s="108"/>
      <c r="H107" s="20">
        <f ca="1">INDIRECT(_xlfn.TEXTJOIN("",TRUE,A119,"!",ADDRESS(15+(A120-1)*A116,6)))</f>
        <v>4</v>
      </c>
      <c r="I107" s="20" t="e">
        <f ca="1">INDIRECT(_xlfn.TEXTJOIN("",TRUE,A119,"!",ADDRESS(15+(A120-1)*A116,13)))</f>
        <v>#N/A</v>
      </c>
      <c r="J107" s="20" t="e">
        <f ca="1">INDIRECT(_xlfn.TEXTJOIN("",TRUE,A119,"!",ADDRESS(15+(A120-1)*A116,14)))</f>
        <v>#N/A</v>
      </c>
    </row>
    <row r="108" spans="1:10" ht="28" customHeight="1" x14ac:dyDescent="0.2">
      <c r="A108" s="96" t="str">
        <f ca="1">INDIRECT(_xlfn.TEXTJOIN("",TRUE,A119,"!",ADDRESS(16+(A120-1)*A116,1)))</f>
        <v>CAT 012</v>
      </c>
      <c r="B108" s="97"/>
      <c r="C108" s="106" t="str">
        <f ca="1">INDIRECT(_xlfn.TEXTJOIN("",TRUE,A119,"!",ADDRESS(16+(A120-1)*A116,2)))</f>
        <v>Computer Networks</v>
      </c>
      <c r="D108" s="107"/>
      <c r="E108" s="107"/>
      <c r="F108" s="107"/>
      <c r="G108" s="108"/>
      <c r="H108" s="20">
        <f ca="1">INDIRECT(_xlfn.TEXTJOIN("",TRUE,A119,"!",ADDRESS(16+(A120-1)*A116,6)))</f>
        <v>4</v>
      </c>
      <c r="I108" s="20" t="e">
        <f ca="1">INDIRECT(_xlfn.TEXTJOIN("",TRUE,A119,"!",ADDRESS(16+(A120-1)*A116,13)))</f>
        <v>#N/A</v>
      </c>
      <c r="J108" s="20" t="e">
        <f ca="1">INDIRECT(_xlfn.TEXTJOIN("",TRUE,A119,"!",ADDRESS(16+(A120-1)*A116,14)))</f>
        <v>#N/A</v>
      </c>
    </row>
    <row r="109" spans="1:10" ht="28" customHeight="1" x14ac:dyDescent="0.2">
      <c r="A109" s="96" t="str">
        <f ca="1">INDIRECT(_xlfn.TEXTJOIN("",TRUE,A119,"!",ADDRESS(17+(A120-1)*A116,1)))</f>
        <v>CAT 013</v>
      </c>
      <c r="B109" s="97"/>
      <c r="C109" s="106" t="str">
        <f ca="1">INDIRECT(_xlfn.TEXTJOIN("",TRUE,A119,"!",ADDRESS(17+(A120-1)*A116,2)))</f>
        <v>Artificial Intelligence</v>
      </c>
      <c r="D109" s="107"/>
      <c r="E109" s="107"/>
      <c r="F109" s="107"/>
      <c r="G109" s="108"/>
      <c r="H109" s="20">
        <f ca="1">INDIRECT(_xlfn.TEXTJOIN("",TRUE,A119,"!",ADDRESS(17+(A120-1)*A116,6)))</f>
        <v>4</v>
      </c>
      <c r="I109" s="20" t="e">
        <f ca="1">INDIRECT(_xlfn.TEXTJOIN("",TRUE,A119,"!",ADDRESS(17+(A120-1)*A116,13)))</f>
        <v>#N/A</v>
      </c>
      <c r="J109" s="20" t="e">
        <f ca="1">INDIRECT(_xlfn.TEXTJOIN("",TRUE,A119,"!",ADDRESS(17+(A120-1)*A116,14)))</f>
        <v>#N/A</v>
      </c>
    </row>
    <row r="110" spans="1:10" ht="28" customHeight="1" x14ac:dyDescent="0.2">
      <c r="A110" s="96" t="str">
        <f ca="1">INDIRECT(_xlfn.TEXTJOIN("",TRUE,A119,"!",ADDRESS(18+(A120-1)*A116,1)))</f>
        <v>AHT 304</v>
      </c>
      <c r="B110" s="97"/>
      <c r="C110" s="106" t="str">
        <f ca="1">INDIRECT(_xlfn.TEXTJOIN("",TRUE,A119,"!",ADDRESS(18+(A120-1)*A116,2)))</f>
        <v>Accounting and Financial Management ($)</v>
      </c>
      <c r="D110" s="107"/>
      <c r="E110" s="107"/>
      <c r="F110" s="107"/>
      <c r="G110" s="108"/>
      <c r="H110" s="20">
        <f ca="1">INDIRECT(_xlfn.TEXTJOIN("",TRUE,A119,"!",ADDRESS(18+(A120-1)*A116,6)))</f>
        <v>0</v>
      </c>
      <c r="I110" s="20" t="e">
        <f ca="1">INDIRECT(_xlfn.TEXTJOIN("",TRUE,A119,"!",ADDRESS(18+(A120-1)*A116,13)))</f>
        <v>#N/A</v>
      </c>
      <c r="J110" s="20" t="e">
        <f ca="1">INDIRECT(_xlfn.TEXTJOIN("",TRUE,A119,"!",ADDRESS(18+(A120-1)*A116,14)))</f>
        <v>#N/A</v>
      </c>
    </row>
    <row r="111" spans="1:10" ht="28" customHeight="1" x14ac:dyDescent="0.2">
      <c r="A111" s="96" t="str">
        <f ca="1">INDIRECT(_xlfn.TEXTJOIN("",TRUE,A119,"!",ADDRESS(19+(A120-1)*A116,1)))</f>
        <v>CAP 004</v>
      </c>
      <c r="B111" s="97"/>
      <c r="C111" s="106" t="str">
        <f ca="1">INDIRECT(_xlfn.TEXTJOIN("",TRUE,A119,"!",ADDRESS(19+(A120-1)*A116,2)))</f>
        <v>Data Structures and Analysis of Algorithms Lab</v>
      </c>
      <c r="D111" s="107"/>
      <c r="E111" s="107"/>
      <c r="F111" s="107"/>
      <c r="G111" s="108"/>
      <c r="H111" s="20">
        <f ca="1">INDIRECT(_xlfn.TEXTJOIN("",TRUE,A119,"!",ADDRESS(19+(A120-1)*A116,6)))</f>
        <v>1</v>
      </c>
      <c r="I111" s="20" t="e">
        <f ca="1">INDIRECT(_xlfn.TEXTJOIN("",TRUE,A119,"!",ADDRESS(19+(A120-1)*A116,13)))</f>
        <v>#N/A</v>
      </c>
      <c r="J111" s="20" t="e">
        <f ca="1">INDIRECT(_xlfn.TEXTJOIN("",TRUE,A119,"!",ADDRESS(19+(A120-1)*A116,14)))</f>
        <v>#N/A</v>
      </c>
    </row>
    <row r="112" spans="1:10" ht="28" customHeight="1" x14ac:dyDescent="0.2">
      <c r="A112" s="96" t="str">
        <f ca="1">INDIRECT(_xlfn.TEXTJOIN("",TRUE,A119,"!",ADDRESS(20+(A120-1)*A116,1)))</f>
        <v>CAP 005</v>
      </c>
      <c r="B112" s="97"/>
      <c r="C112" s="106" t="str">
        <f ca="1">INDIRECT(_xlfn.TEXTJOIN("",TRUE,A119,"!",ADDRESS(20+(A120-1)*A116,2)))</f>
        <v>Object Oriented Programming with JAVA Lab</v>
      </c>
      <c r="D112" s="107"/>
      <c r="E112" s="107"/>
      <c r="F112" s="107"/>
      <c r="G112" s="108"/>
      <c r="H112" s="20">
        <f ca="1">INDIRECT(_xlfn.TEXTJOIN("",TRUE,A119,"!",ADDRESS(20+(A120-1)*A116,6)))</f>
        <v>1</v>
      </c>
      <c r="I112" s="20" t="e">
        <f ca="1">INDIRECT(_xlfn.TEXTJOIN("",TRUE,A119,"!",ADDRESS(20+(A120-1)*A116,13)))</f>
        <v>#N/A</v>
      </c>
      <c r="J112" s="20" t="e">
        <f ca="1">INDIRECT(_xlfn.TEXTJOIN("",TRUE,A119,"!",ADDRESS(20+(A120-1)*A116,14)))</f>
        <v>#N/A</v>
      </c>
    </row>
    <row r="113" spans="1:10" ht="28" customHeight="1" x14ac:dyDescent="0.2">
      <c r="A113" s="96" t="str">
        <f ca="1">INDIRECT(_xlfn.TEXTJOIN("",TRUE,A119,"!",ADDRESS(21+(A120-1)*A116,1)))</f>
        <v>CAP 006</v>
      </c>
      <c r="B113" s="97"/>
      <c r="C113" s="106" t="str">
        <f ca="1">INDIRECT(_xlfn.TEXTJOIN("",TRUE,A119,"!",ADDRESS(21+(A120-1)*A116,2)))</f>
        <v>Computer Networks Lab</v>
      </c>
      <c r="D113" s="107"/>
      <c r="E113" s="107"/>
      <c r="F113" s="107"/>
      <c r="G113" s="108"/>
      <c r="H113" s="20">
        <f ca="1">INDIRECT(_xlfn.TEXTJOIN("",TRUE,A119,"!",ADDRESS(21+(A120-1)*A116,6)))</f>
        <v>1</v>
      </c>
      <c r="I113" s="20" t="e">
        <f ca="1">INDIRECT(_xlfn.TEXTJOIN("",TRUE,A119,"!",ADDRESS(21+(A120-1)*A116,13)))</f>
        <v>#N/A</v>
      </c>
      <c r="J113" s="20" t="e">
        <f ca="1">INDIRECT(_xlfn.TEXTJOIN("",TRUE,A119,"!",ADDRESS(21+(A120-1)*A116,14)))</f>
        <v>#N/A</v>
      </c>
    </row>
    <row r="114" spans="1:10" ht="28" customHeight="1" x14ac:dyDescent="0.2">
      <c r="A114" s="96" t="str">
        <f ca="1">INDIRECT(_xlfn.TEXTJOIN("",TRUE,A119,"!",ADDRESS(22+(A120-1)*A116,1)))</f>
        <v>CAP 007</v>
      </c>
      <c r="B114" s="97"/>
      <c r="C114" s="106" t="str">
        <f ca="1">INDIRECT(_xlfn.TEXTJOIN("",TRUE,A119,"!",ADDRESS(22+(A120-1)*A116,2)))</f>
        <v>Artificial Intelligence Lab</v>
      </c>
      <c r="D114" s="107"/>
      <c r="E114" s="107"/>
      <c r="F114" s="107"/>
      <c r="G114" s="108"/>
      <c r="H114" s="20">
        <f ca="1">INDIRECT(_xlfn.TEXTJOIN("",TRUE,A119,"!",ADDRESS(22+(A120-1)*A116,6)))</f>
        <v>1</v>
      </c>
      <c r="I114" s="20" t="e">
        <f ca="1">INDIRECT(_xlfn.TEXTJOIN("",TRUE,A119,"!",ADDRESS(22+(A120-1)*A116,13)))</f>
        <v>#N/A</v>
      </c>
      <c r="J114" s="20" t="e">
        <f ca="1">INDIRECT(_xlfn.TEXTJOIN("",TRUE,A119,"!",ADDRESS(22+(A120-1)*A116,14)))</f>
        <v>#N/A</v>
      </c>
    </row>
    <row r="115" spans="1:10" ht="28" customHeight="1" x14ac:dyDescent="0.2">
      <c r="A115" s="118" t="s">
        <v>52</v>
      </c>
      <c r="B115" s="118"/>
      <c r="C115" s="118"/>
      <c r="D115" s="118"/>
      <c r="E115" s="118"/>
      <c r="F115" s="118"/>
      <c r="G115" s="118"/>
      <c r="H115" s="16">
        <f ca="1">SUM(H105:H114)</f>
        <v>24</v>
      </c>
      <c r="I115" s="16" t="s">
        <v>44</v>
      </c>
      <c r="J115" s="16" t="e">
        <f ca="1">SUMPRODUCT(J105:J114,H105:H114)</f>
        <v>#N/A</v>
      </c>
    </row>
    <row r="116" spans="1:10" ht="28" customHeight="1" x14ac:dyDescent="0.2">
      <c r="A116" s="22">
        <f>ROWS(A105:B114)+9</f>
        <v>19</v>
      </c>
      <c r="B116" s="17"/>
      <c r="C116" s="17"/>
      <c r="D116" s="17"/>
      <c r="E116" s="17"/>
      <c r="F116" s="17"/>
      <c r="G116" s="17"/>
      <c r="H116" s="17"/>
      <c r="I116" s="17"/>
      <c r="J116" s="17"/>
    </row>
    <row r="117" spans="1:10" ht="28" customHeight="1" x14ac:dyDescent="0.2">
      <c r="A117" s="120" t="s">
        <v>40</v>
      </c>
      <c r="B117" s="120"/>
      <c r="C117" s="21">
        <f ca="1">INDIRECT(_xlfn.TEXTJOIN("",TRUE,A119,"!",ADDRESS(5+A120*A116,12)))</f>
        <v>0</v>
      </c>
      <c r="D117" s="120" t="s">
        <v>38</v>
      </c>
      <c r="E117" s="120"/>
      <c r="F117" s="18" t="e">
        <f ca="1">INDIRECT(_xlfn.TEXTJOIN("",TRUE,A119,"!",ADDRESS(5+A120*A116,8)))</f>
        <v>#N/A</v>
      </c>
      <c r="G117" s="120" t="s">
        <v>39</v>
      </c>
      <c r="H117" s="120"/>
      <c r="I117" s="109" t="e">
        <f ca="1">INDIRECT(_xlfn.TEXTJOIN("",TRUE,A119,"!",ADDRESS(5+A120*A116,10)))</f>
        <v>#N/A</v>
      </c>
      <c r="J117" s="109"/>
    </row>
    <row r="118" spans="1:10" ht="28" customHeight="1" x14ac:dyDescent="0.2">
      <c r="A118" s="19" t="s">
        <v>36</v>
      </c>
      <c r="B118" s="95" t="e">
        <f ca="1">INDIRECT(_xlfn.TEXTJOIN("",TRUE,A119,"!",ADDRESS(5+A120*A116,2)))</f>
        <v>#N/A</v>
      </c>
      <c r="C118" s="95"/>
      <c r="D118" s="121" t="s">
        <v>37</v>
      </c>
      <c r="E118" s="121"/>
      <c r="F118" s="122" t="e">
        <f ca="1">INDIRECT(_xlfn.TEXTJOIN("",TRUE,A119,"!",ADDRESS(5+A120*A116,5)))</f>
        <v>#N/A</v>
      </c>
      <c r="G118" s="122"/>
      <c r="H118" s="122"/>
      <c r="I118" s="122"/>
      <c r="J118" s="122"/>
    </row>
    <row r="119" spans="1:10" ht="28" customHeight="1" x14ac:dyDescent="0.2">
      <c r="A119" s="22" t="str">
        <f>A100</f>
        <v>TC_II</v>
      </c>
    </row>
    <row r="120" spans="1:10" ht="28" customHeight="1" x14ac:dyDescent="0.2">
      <c r="A120" s="22">
        <f>A101+1</f>
        <v>6</v>
      </c>
    </row>
    <row r="121" spans="1:10" ht="28" customHeight="1" x14ac:dyDescent="0.2">
      <c r="A121" s="112" t="s">
        <v>24</v>
      </c>
      <c r="B121" s="112"/>
      <c r="C121" s="112" t="str">
        <f ca="1">INDIRECT(_xlfn.TEXTJOIN("",TRUE,A138,"!",ADDRESS(9+(A139-1)*A135,2)))</f>
        <v>AYUSH MAURYA</v>
      </c>
      <c r="D121" s="112"/>
      <c r="E121" s="112"/>
      <c r="F121" s="112" t="s">
        <v>50</v>
      </c>
      <c r="G121" s="112"/>
      <c r="H121" s="112"/>
      <c r="I121" s="113">
        <f ca="1">INDIRECT(_xlfn.TEXTJOIN("",TRUE,A138,"!",ADDRESS(9+(A139-1)*A135,9)))</f>
        <v>240090600007</v>
      </c>
      <c r="J121" s="113"/>
    </row>
    <row r="122" spans="1:10" ht="28" customHeight="1" x14ac:dyDescent="0.2">
      <c r="A122" s="112" t="s">
        <v>25</v>
      </c>
      <c r="B122" s="112"/>
      <c r="C122" s="112" t="str">
        <f ca="1">INDIRECT(_xlfn.TEXTJOIN("",TRUE,A138,"!",ADDRESS(9+(A139-1)*A135,5)))</f>
        <v>BABU RAM</v>
      </c>
      <c r="D122" s="112"/>
      <c r="E122" s="112"/>
      <c r="F122" s="114" t="s">
        <v>51</v>
      </c>
      <c r="G122" s="114"/>
      <c r="H122" s="114"/>
      <c r="I122" s="113" t="str">
        <f ca="1">INDIRECT(_xlfn.TEXTJOIN("",TRUE,A138,"!",ADDRESS(9+(A139-1)*A135,13)))</f>
        <v>UTU/2406100174</v>
      </c>
      <c r="J122" s="113"/>
    </row>
    <row r="123" spans="1:10" ht="28" customHeight="1" x14ac:dyDescent="0.2">
      <c r="A123" s="95" t="s">
        <v>28</v>
      </c>
      <c r="B123" s="95"/>
      <c r="C123" s="95" t="s">
        <v>29</v>
      </c>
      <c r="D123" s="95"/>
      <c r="E123" s="95"/>
      <c r="F123" s="95"/>
      <c r="G123" s="95"/>
      <c r="H123" s="15" t="s">
        <v>30</v>
      </c>
      <c r="I123" s="15" t="s">
        <v>9</v>
      </c>
      <c r="J123" s="15" t="s">
        <v>34</v>
      </c>
    </row>
    <row r="124" spans="1:10" ht="28" customHeight="1" x14ac:dyDescent="0.2">
      <c r="A124" s="96" t="str">
        <f ca="1">INDIRECT(_xlfn.TEXTJOIN("",TRUE,A138,"!",ADDRESS(13+(A139-1)*A135,1)))</f>
        <v>CAT 009</v>
      </c>
      <c r="B124" s="97"/>
      <c r="C124" s="106" t="str">
        <f ca="1">INDIRECT(_xlfn.TEXTJOIN("",TRUE,A138,"!",ADDRESS(13+(A139-1)*A135,2)))</f>
        <v>Computer Based Numerical and Statistical Techniques</v>
      </c>
      <c r="D124" s="107"/>
      <c r="E124" s="107"/>
      <c r="F124" s="107"/>
      <c r="G124" s="108"/>
      <c r="H124" s="20">
        <f ca="1">INDIRECT(_xlfn.TEXTJOIN("",TRUE,A138,"!",ADDRESS(13+(A139-1)*A135,6)))</f>
        <v>4</v>
      </c>
      <c r="I124" s="20" t="e">
        <f ca="1">INDIRECT(_xlfn.TEXTJOIN("",TRUE,A138,"!",ADDRESS(13+(A139-1)*A135,13)))</f>
        <v>#N/A</v>
      </c>
      <c r="J124" s="20" t="e">
        <f ca="1">INDIRECT(_xlfn.TEXTJOIN("",TRUE,A138,"!",ADDRESS(13+(A139-1)*A135,14)))</f>
        <v>#N/A</v>
      </c>
    </row>
    <row r="125" spans="1:10" ht="28" customHeight="1" x14ac:dyDescent="0.2">
      <c r="A125" s="96" t="str">
        <f ca="1">INDIRECT(_xlfn.TEXTJOIN("",TRUE,A138,"!",ADDRESS(14+(A139-1)*A135,1)))</f>
        <v>CAT 010</v>
      </c>
      <c r="B125" s="97"/>
      <c r="C125" s="106" t="str">
        <f ca="1">INDIRECT(_xlfn.TEXTJOIN("",TRUE,A138,"!",ADDRESS(14+(A139-1)*A135,2)))</f>
        <v>Data Structures and Analysis of Algorithms</v>
      </c>
      <c r="D125" s="107"/>
      <c r="E125" s="107"/>
      <c r="F125" s="107"/>
      <c r="G125" s="108"/>
      <c r="H125" s="20">
        <f ca="1">INDIRECT(_xlfn.TEXTJOIN("",TRUE,A138,"!",ADDRESS(14+(A139-1)*A135,6)))</f>
        <v>4</v>
      </c>
      <c r="I125" s="20" t="e">
        <f ca="1">INDIRECT(_xlfn.TEXTJOIN("",TRUE,A138,"!",ADDRESS(14+(A139-1)*A135,13)))</f>
        <v>#N/A</v>
      </c>
      <c r="J125" s="20" t="e">
        <f ca="1">INDIRECT(_xlfn.TEXTJOIN("",TRUE,A138,"!",ADDRESS(14+(A139-1)*A135,14)))</f>
        <v>#N/A</v>
      </c>
    </row>
    <row r="126" spans="1:10" ht="28" customHeight="1" x14ac:dyDescent="0.2">
      <c r="A126" s="96" t="str">
        <f ca="1">INDIRECT(_xlfn.TEXTJOIN("",TRUE,A138,"!",ADDRESS(15+(A139-1)*A135,1)))</f>
        <v>CAT 011</v>
      </c>
      <c r="B126" s="97"/>
      <c r="C126" s="106" t="str">
        <f ca="1">INDIRECT(_xlfn.TEXTJOIN("",TRUE,A138,"!",ADDRESS(15+(A139-1)*A135,2)))</f>
        <v>Object Oriented Programming with JAVA</v>
      </c>
      <c r="D126" s="107"/>
      <c r="E126" s="107"/>
      <c r="F126" s="107"/>
      <c r="G126" s="108"/>
      <c r="H126" s="20">
        <f ca="1">INDIRECT(_xlfn.TEXTJOIN("",TRUE,A138,"!",ADDRESS(15+(A139-1)*A135,6)))</f>
        <v>4</v>
      </c>
      <c r="I126" s="20" t="e">
        <f ca="1">INDIRECT(_xlfn.TEXTJOIN("",TRUE,A138,"!",ADDRESS(15+(A139-1)*A135,13)))</f>
        <v>#N/A</v>
      </c>
      <c r="J126" s="20" t="e">
        <f ca="1">INDIRECT(_xlfn.TEXTJOIN("",TRUE,A138,"!",ADDRESS(15+(A139-1)*A135,14)))</f>
        <v>#N/A</v>
      </c>
    </row>
    <row r="127" spans="1:10" ht="28" customHeight="1" x14ac:dyDescent="0.2">
      <c r="A127" s="96" t="str">
        <f ca="1">INDIRECT(_xlfn.TEXTJOIN("",TRUE,A138,"!",ADDRESS(16+(A139-1)*A135,1)))</f>
        <v>CAT 012</v>
      </c>
      <c r="B127" s="97"/>
      <c r="C127" s="106" t="str">
        <f ca="1">INDIRECT(_xlfn.TEXTJOIN("",TRUE,A138,"!",ADDRESS(16+(A139-1)*A135,2)))</f>
        <v>Computer Networks</v>
      </c>
      <c r="D127" s="107"/>
      <c r="E127" s="107"/>
      <c r="F127" s="107"/>
      <c r="G127" s="108"/>
      <c r="H127" s="20">
        <f ca="1">INDIRECT(_xlfn.TEXTJOIN("",TRUE,A138,"!",ADDRESS(16+(A139-1)*A135,6)))</f>
        <v>4</v>
      </c>
      <c r="I127" s="20" t="e">
        <f ca="1">INDIRECT(_xlfn.TEXTJOIN("",TRUE,A138,"!",ADDRESS(16+(A139-1)*A135,13)))</f>
        <v>#N/A</v>
      </c>
      <c r="J127" s="20" t="e">
        <f ca="1">INDIRECT(_xlfn.TEXTJOIN("",TRUE,A138,"!",ADDRESS(16+(A139-1)*A135,14)))</f>
        <v>#N/A</v>
      </c>
    </row>
    <row r="128" spans="1:10" ht="28" customHeight="1" x14ac:dyDescent="0.2">
      <c r="A128" s="96" t="str">
        <f ca="1">INDIRECT(_xlfn.TEXTJOIN("",TRUE,A138,"!",ADDRESS(17+(A139-1)*A135,1)))</f>
        <v>CAT 013</v>
      </c>
      <c r="B128" s="97"/>
      <c r="C128" s="106" t="str">
        <f ca="1">INDIRECT(_xlfn.TEXTJOIN("",TRUE,A138,"!",ADDRESS(17+(A139-1)*A135,2)))</f>
        <v>Artificial Intelligence</v>
      </c>
      <c r="D128" s="107"/>
      <c r="E128" s="107"/>
      <c r="F128" s="107"/>
      <c r="G128" s="108"/>
      <c r="H128" s="20">
        <f ca="1">INDIRECT(_xlfn.TEXTJOIN("",TRUE,A138,"!",ADDRESS(17+(A139-1)*A135,6)))</f>
        <v>4</v>
      </c>
      <c r="I128" s="20" t="e">
        <f ca="1">INDIRECT(_xlfn.TEXTJOIN("",TRUE,A138,"!",ADDRESS(17+(A139-1)*A135,13)))</f>
        <v>#N/A</v>
      </c>
      <c r="J128" s="20" t="e">
        <f ca="1">INDIRECT(_xlfn.TEXTJOIN("",TRUE,A138,"!",ADDRESS(17+(A139-1)*A135,14)))</f>
        <v>#N/A</v>
      </c>
    </row>
    <row r="129" spans="1:10" ht="28" customHeight="1" x14ac:dyDescent="0.2">
      <c r="A129" s="96" t="str">
        <f ca="1">INDIRECT(_xlfn.TEXTJOIN("",TRUE,A138,"!",ADDRESS(18+(A139-1)*A135,1)))</f>
        <v>AHT 304</v>
      </c>
      <c r="B129" s="97"/>
      <c r="C129" s="106" t="str">
        <f ca="1">INDIRECT(_xlfn.TEXTJOIN("",TRUE,A138,"!",ADDRESS(18+(A139-1)*A135,2)))</f>
        <v>Accounting and Financial Management ($)</v>
      </c>
      <c r="D129" s="107"/>
      <c r="E129" s="107"/>
      <c r="F129" s="107"/>
      <c r="G129" s="108"/>
      <c r="H129" s="20">
        <f ca="1">INDIRECT(_xlfn.TEXTJOIN("",TRUE,A138,"!",ADDRESS(18+(A139-1)*A135,6)))</f>
        <v>0</v>
      </c>
      <c r="I129" s="20" t="e">
        <f ca="1">INDIRECT(_xlfn.TEXTJOIN("",TRUE,A138,"!",ADDRESS(18+(A139-1)*A135,13)))</f>
        <v>#N/A</v>
      </c>
      <c r="J129" s="20" t="e">
        <f ca="1">INDIRECT(_xlfn.TEXTJOIN("",TRUE,A138,"!",ADDRESS(18+(A139-1)*A135,14)))</f>
        <v>#N/A</v>
      </c>
    </row>
    <row r="130" spans="1:10" ht="28" customHeight="1" x14ac:dyDescent="0.2">
      <c r="A130" s="96" t="str">
        <f ca="1">INDIRECT(_xlfn.TEXTJOIN("",TRUE,A138,"!",ADDRESS(19+(A139-1)*A135,1)))</f>
        <v>CAP 004</v>
      </c>
      <c r="B130" s="97"/>
      <c r="C130" s="106" t="str">
        <f ca="1">INDIRECT(_xlfn.TEXTJOIN("",TRUE,A138,"!",ADDRESS(19+(A139-1)*A135,2)))</f>
        <v>Data Structures and Analysis of Algorithms Lab</v>
      </c>
      <c r="D130" s="107"/>
      <c r="E130" s="107"/>
      <c r="F130" s="107"/>
      <c r="G130" s="108"/>
      <c r="H130" s="20">
        <f ca="1">INDIRECT(_xlfn.TEXTJOIN("",TRUE,A138,"!",ADDRESS(19+(A139-1)*A135,6)))</f>
        <v>1</v>
      </c>
      <c r="I130" s="20" t="e">
        <f ca="1">INDIRECT(_xlfn.TEXTJOIN("",TRUE,A138,"!",ADDRESS(19+(A139-1)*A135,13)))</f>
        <v>#N/A</v>
      </c>
      <c r="J130" s="20" t="e">
        <f ca="1">INDIRECT(_xlfn.TEXTJOIN("",TRUE,A138,"!",ADDRESS(19+(A139-1)*A135,14)))</f>
        <v>#N/A</v>
      </c>
    </row>
    <row r="131" spans="1:10" ht="28" customHeight="1" x14ac:dyDescent="0.2">
      <c r="A131" s="96" t="str">
        <f ca="1">INDIRECT(_xlfn.TEXTJOIN("",TRUE,A138,"!",ADDRESS(20+(A139-1)*A135,1)))</f>
        <v>CAP 005</v>
      </c>
      <c r="B131" s="97"/>
      <c r="C131" s="106" t="str">
        <f ca="1">INDIRECT(_xlfn.TEXTJOIN("",TRUE,A138,"!",ADDRESS(20+(A139-1)*A135,2)))</f>
        <v>Object Oriented Programming with JAVA Lab</v>
      </c>
      <c r="D131" s="107"/>
      <c r="E131" s="107"/>
      <c r="F131" s="107"/>
      <c r="G131" s="108"/>
      <c r="H131" s="20">
        <f ca="1">INDIRECT(_xlfn.TEXTJOIN("",TRUE,A138,"!",ADDRESS(20+(A139-1)*A135,6)))</f>
        <v>1</v>
      </c>
      <c r="I131" s="20" t="e">
        <f ca="1">INDIRECT(_xlfn.TEXTJOIN("",TRUE,A138,"!",ADDRESS(20+(A139-1)*A135,13)))</f>
        <v>#N/A</v>
      </c>
      <c r="J131" s="20" t="e">
        <f ca="1">INDIRECT(_xlfn.TEXTJOIN("",TRUE,A138,"!",ADDRESS(20+(A139-1)*A135,14)))</f>
        <v>#N/A</v>
      </c>
    </row>
    <row r="132" spans="1:10" ht="28" customHeight="1" x14ac:dyDescent="0.2">
      <c r="A132" s="96" t="str">
        <f ca="1">INDIRECT(_xlfn.TEXTJOIN("",TRUE,A138,"!",ADDRESS(21+(A139-1)*A135,1)))</f>
        <v>CAP 006</v>
      </c>
      <c r="B132" s="97"/>
      <c r="C132" s="106" t="str">
        <f ca="1">INDIRECT(_xlfn.TEXTJOIN("",TRUE,A138,"!",ADDRESS(21+(A139-1)*A135,2)))</f>
        <v>Computer Networks Lab</v>
      </c>
      <c r="D132" s="107"/>
      <c r="E132" s="107"/>
      <c r="F132" s="107"/>
      <c r="G132" s="108"/>
      <c r="H132" s="20">
        <f ca="1">INDIRECT(_xlfn.TEXTJOIN("",TRUE,A138,"!",ADDRESS(21+(A139-1)*A135,6)))</f>
        <v>1</v>
      </c>
      <c r="I132" s="20" t="e">
        <f ca="1">INDIRECT(_xlfn.TEXTJOIN("",TRUE,A138,"!",ADDRESS(21+(A139-1)*A135,13)))</f>
        <v>#N/A</v>
      </c>
      <c r="J132" s="20" t="e">
        <f ca="1">INDIRECT(_xlfn.TEXTJOIN("",TRUE,A138,"!",ADDRESS(21+(A139-1)*A135,14)))</f>
        <v>#N/A</v>
      </c>
    </row>
    <row r="133" spans="1:10" ht="28" customHeight="1" x14ac:dyDescent="0.2">
      <c r="A133" s="96" t="str">
        <f ca="1">INDIRECT(_xlfn.TEXTJOIN("",TRUE,A138,"!",ADDRESS(22+(A139-1)*A135,1)))</f>
        <v>CAP 007</v>
      </c>
      <c r="B133" s="97"/>
      <c r="C133" s="106" t="str">
        <f ca="1">INDIRECT(_xlfn.TEXTJOIN("",TRUE,A138,"!",ADDRESS(22+(A139-1)*A135,2)))</f>
        <v>Artificial Intelligence Lab</v>
      </c>
      <c r="D133" s="107"/>
      <c r="E133" s="107"/>
      <c r="F133" s="107"/>
      <c r="G133" s="108"/>
      <c r="H133" s="20">
        <f ca="1">INDIRECT(_xlfn.TEXTJOIN("",TRUE,A138,"!",ADDRESS(22+(A139-1)*A135,6)))</f>
        <v>1</v>
      </c>
      <c r="I133" s="20" t="e">
        <f ca="1">INDIRECT(_xlfn.TEXTJOIN("",TRUE,A138,"!",ADDRESS(22+(A139-1)*A135,13)))</f>
        <v>#N/A</v>
      </c>
      <c r="J133" s="20" t="e">
        <f ca="1">INDIRECT(_xlfn.TEXTJOIN("",TRUE,A138,"!",ADDRESS(22+(A139-1)*A135,14)))</f>
        <v>#N/A</v>
      </c>
    </row>
    <row r="134" spans="1:10" ht="28" customHeight="1" x14ac:dyDescent="0.2">
      <c r="A134" s="118" t="s">
        <v>52</v>
      </c>
      <c r="B134" s="118"/>
      <c r="C134" s="118"/>
      <c r="D134" s="118"/>
      <c r="E134" s="118"/>
      <c r="F134" s="118"/>
      <c r="G134" s="118"/>
      <c r="H134" s="16">
        <f ca="1">SUM(H124:H133)</f>
        <v>24</v>
      </c>
      <c r="I134" s="16" t="s">
        <v>44</v>
      </c>
      <c r="J134" s="16" t="e">
        <f ca="1">SUMPRODUCT(J124:J133,H124:H133)</f>
        <v>#N/A</v>
      </c>
    </row>
    <row r="135" spans="1:10" ht="28" customHeight="1" x14ac:dyDescent="0.2">
      <c r="A135" s="22">
        <f>ROWS(A124:B133)+9</f>
        <v>19</v>
      </c>
      <c r="B135" s="17"/>
      <c r="C135" s="17"/>
      <c r="D135" s="17"/>
      <c r="E135" s="17"/>
      <c r="F135" s="17"/>
      <c r="G135" s="17"/>
      <c r="H135" s="17"/>
      <c r="I135" s="17"/>
      <c r="J135" s="17"/>
    </row>
    <row r="136" spans="1:10" ht="28" customHeight="1" x14ac:dyDescent="0.2">
      <c r="A136" s="120" t="s">
        <v>40</v>
      </c>
      <c r="B136" s="120"/>
      <c r="C136" s="21">
        <f ca="1">INDIRECT(_xlfn.TEXTJOIN("",TRUE,A138,"!",ADDRESS(5+A139*A135,12)))</f>
        <v>0</v>
      </c>
      <c r="D136" s="120" t="s">
        <v>38</v>
      </c>
      <c r="E136" s="120"/>
      <c r="F136" s="18" t="e">
        <f ca="1">INDIRECT(_xlfn.TEXTJOIN("",TRUE,A138,"!",ADDRESS(5+A139*A135,8)))</f>
        <v>#N/A</v>
      </c>
      <c r="G136" s="120" t="s">
        <v>39</v>
      </c>
      <c r="H136" s="120"/>
      <c r="I136" s="109" t="e">
        <f ca="1">INDIRECT(_xlfn.TEXTJOIN("",TRUE,A138,"!",ADDRESS(5+A139*A135,10)))</f>
        <v>#N/A</v>
      </c>
      <c r="J136" s="109"/>
    </row>
    <row r="137" spans="1:10" ht="28" customHeight="1" x14ac:dyDescent="0.2">
      <c r="A137" s="19" t="s">
        <v>36</v>
      </c>
      <c r="B137" s="95" t="e">
        <f ca="1">INDIRECT(_xlfn.TEXTJOIN("",TRUE,A138,"!",ADDRESS(5+A139*A135,2)))</f>
        <v>#N/A</v>
      </c>
      <c r="C137" s="95"/>
      <c r="D137" s="121" t="s">
        <v>37</v>
      </c>
      <c r="E137" s="121"/>
      <c r="F137" s="122" t="e">
        <f ca="1">INDIRECT(_xlfn.TEXTJOIN("",TRUE,A138,"!",ADDRESS(5+A139*A135,5)))</f>
        <v>#N/A</v>
      </c>
      <c r="G137" s="122"/>
      <c r="H137" s="122"/>
      <c r="I137" s="122"/>
      <c r="J137" s="122"/>
    </row>
    <row r="138" spans="1:10" ht="28" customHeight="1" x14ac:dyDescent="0.2">
      <c r="A138" s="22" t="str">
        <f>A119</f>
        <v>TC_II</v>
      </c>
    </row>
    <row r="139" spans="1:10" ht="28" customHeight="1" x14ac:dyDescent="0.2">
      <c r="A139" s="22">
        <f>A120+1</f>
        <v>7</v>
      </c>
    </row>
    <row r="140" spans="1:10" ht="28" customHeight="1" x14ac:dyDescent="0.2">
      <c r="A140" s="112" t="s">
        <v>24</v>
      </c>
      <c r="B140" s="112"/>
      <c r="C140" s="112" t="str">
        <f ca="1">INDIRECT(_xlfn.TEXTJOIN("",TRUE,A157,"!",ADDRESS(9+(A158-1)*A154,2)))</f>
        <v>AYUSH RAWAT</v>
      </c>
      <c r="D140" s="112"/>
      <c r="E140" s="112"/>
      <c r="F140" s="112" t="s">
        <v>50</v>
      </c>
      <c r="G140" s="112"/>
      <c r="H140" s="112"/>
      <c r="I140" s="113">
        <f ca="1">INDIRECT(_xlfn.TEXTJOIN("",TRUE,A157,"!",ADDRESS(9+(A158-1)*A154,9)))</f>
        <v>240090600008</v>
      </c>
      <c r="J140" s="113"/>
    </row>
    <row r="141" spans="1:10" ht="28" customHeight="1" x14ac:dyDescent="0.2">
      <c r="A141" s="112" t="s">
        <v>25</v>
      </c>
      <c r="B141" s="112"/>
      <c r="C141" s="112" t="str">
        <f ca="1">INDIRECT(_xlfn.TEXTJOIN("",TRUE,A157,"!",ADDRESS(9+(A158-1)*A154,5)))</f>
        <v>MUKESH RAWAT</v>
      </c>
      <c r="D141" s="112"/>
      <c r="E141" s="112"/>
      <c r="F141" s="114" t="s">
        <v>51</v>
      </c>
      <c r="G141" s="114"/>
      <c r="H141" s="114"/>
      <c r="I141" s="113" t="str">
        <f ca="1">INDIRECT(_xlfn.TEXTJOIN("",TRUE,A157,"!",ADDRESS(9+(A158-1)*A154,13)))</f>
        <v>UTU/2406100183</v>
      </c>
      <c r="J141" s="113"/>
    </row>
    <row r="142" spans="1:10" ht="28" customHeight="1" x14ac:dyDescent="0.2">
      <c r="A142" s="95" t="s">
        <v>28</v>
      </c>
      <c r="B142" s="95"/>
      <c r="C142" s="95" t="s">
        <v>29</v>
      </c>
      <c r="D142" s="95"/>
      <c r="E142" s="95"/>
      <c r="F142" s="95"/>
      <c r="G142" s="95"/>
      <c r="H142" s="15" t="s">
        <v>30</v>
      </c>
      <c r="I142" s="15" t="s">
        <v>9</v>
      </c>
      <c r="J142" s="15" t="s">
        <v>34</v>
      </c>
    </row>
    <row r="143" spans="1:10" ht="28" customHeight="1" x14ac:dyDescent="0.2">
      <c r="A143" s="96" t="str">
        <f ca="1">INDIRECT(_xlfn.TEXTJOIN("",TRUE,A157,"!",ADDRESS(13+(A158-1)*A154,1)))</f>
        <v>CAT 009</v>
      </c>
      <c r="B143" s="97"/>
      <c r="C143" s="106" t="str">
        <f ca="1">INDIRECT(_xlfn.TEXTJOIN("",TRUE,A157,"!",ADDRESS(13+(A158-1)*A154,2)))</f>
        <v>Computer Based Numerical and Statistical Techniques</v>
      </c>
      <c r="D143" s="107"/>
      <c r="E143" s="107"/>
      <c r="F143" s="107"/>
      <c r="G143" s="108"/>
      <c r="H143" s="20">
        <f ca="1">INDIRECT(_xlfn.TEXTJOIN("",TRUE,A157,"!",ADDRESS(13+(A158-1)*A154,6)))</f>
        <v>4</v>
      </c>
      <c r="I143" s="20" t="e">
        <f ca="1">INDIRECT(_xlfn.TEXTJOIN("",TRUE,A157,"!",ADDRESS(13+(A158-1)*A154,13)))</f>
        <v>#N/A</v>
      </c>
      <c r="J143" s="20" t="e">
        <f ca="1">INDIRECT(_xlfn.TEXTJOIN("",TRUE,A157,"!",ADDRESS(13+(A158-1)*A154,14)))</f>
        <v>#N/A</v>
      </c>
    </row>
    <row r="144" spans="1:10" ht="28" customHeight="1" x14ac:dyDescent="0.2">
      <c r="A144" s="96" t="str">
        <f ca="1">INDIRECT(_xlfn.TEXTJOIN("",TRUE,A157,"!",ADDRESS(14+(A158-1)*A154,1)))</f>
        <v>CAT 010</v>
      </c>
      <c r="B144" s="97"/>
      <c r="C144" s="106" t="str">
        <f ca="1">INDIRECT(_xlfn.TEXTJOIN("",TRUE,A157,"!",ADDRESS(14+(A158-1)*A154,2)))</f>
        <v>Data Structures and Analysis of Algorithms</v>
      </c>
      <c r="D144" s="107"/>
      <c r="E144" s="107"/>
      <c r="F144" s="107"/>
      <c r="G144" s="108"/>
      <c r="H144" s="20">
        <f ca="1">INDIRECT(_xlfn.TEXTJOIN("",TRUE,A157,"!",ADDRESS(14+(A158-1)*A154,6)))</f>
        <v>4</v>
      </c>
      <c r="I144" s="20" t="e">
        <f ca="1">INDIRECT(_xlfn.TEXTJOIN("",TRUE,A157,"!",ADDRESS(14+(A158-1)*A154,13)))</f>
        <v>#N/A</v>
      </c>
      <c r="J144" s="20" t="e">
        <f ca="1">INDIRECT(_xlfn.TEXTJOIN("",TRUE,A157,"!",ADDRESS(14+(A158-1)*A154,14)))</f>
        <v>#N/A</v>
      </c>
    </row>
    <row r="145" spans="1:10" ht="28" customHeight="1" x14ac:dyDescent="0.2">
      <c r="A145" s="96" t="str">
        <f ca="1">INDIRECT(_xlfn.TEXTJOIN("",TRUE,A157,"!",ADDRESS(15+(A158-1)*A154,1)))</f>
        <v>CAT 011</v>
      </c>
      <c r="B145" s="97"/>
      <c r="C145" s="106" t="str">
        <f ca="1">INDIRECT(_xlfn.TEXTJOIN("",TRUE,A157,"!",ADDRESS(15+(A158-1)*A154,2)))</f>
        <v>Object Oriented Programming with JAVA</v>
      </c>
      <c r="D145" s="107"/>
      <c r="E145" s="107"/>
      <c r="F145" s="107"/>
      <c r="G145" s="108"/>
      <c r="H145" s="20">
        <f ca="1">INDIRECT(_xlfn.TEXTJOIN("",TRUE,A157,"!",ADDRESS(15+(A158-1)*A154,6)))</f>
        <v>4</v>
      </c>
      <c r="I145" s="20" t="e">
        <f ca="1">INDIRECT(_xlfn.TEXTJOIN("",TRUE,A157,"!",ADDRESS(15+(A158-1)*A154,13)))</f>
        <v>#N/A</v>
      </c>
      <c r="J145" s="20" t="e">
        <f ca="1">INDIRECT(_xlfn.TEXTJOIN("",TRUE,A157,"!",ADDRESS(15+(A158-1)*A154,14)))</f>
        <v>#N/A</v>
      </c>
    </row>
    <row r="146" spans="1:10" ht="28" customHeight="1" x14ac:dyDescent="0.2">
      <c r="A146" s="96" t="str">
        <f ca="1">INDIRECT(_xlfn.TEXTJOIN("",TRUE,A157,"!",ADDRESS(16+(A158-1)*A154,1)))</f>
        <v>CAT 012</v>
      </c>
      <c r="B146" s="97"/>
      <c r="C146" s="106" t="str">
        <f ca="1">INDIRECT(_xlfn.TEXTJOIN("",TRUE,A157,"!",ADDRESS(16+(A158-1)*A154,2)))</f>
        <v>Computer Networks</v>
      </c>
      <c r="D146" s="107"/>
      <c r="E146" s="107"/>
      <c r="F146" s="107"/>
      <c r="G146" s="108"/>
      <c r="H146" s="20">
        <f ca="1">INDIRECT(_xlfn.TEXTJOIN("",TRUE,A157,"!",ADDRESS(16+(A158-1)*A154,6)))</f>
        <v>4</v>
      </c>
      <c r="I146" s="20" t="e">
        <f ca="1">INDIRECT(_xlfn.TEXTJOIN("",TRUE,A157,"!",ADDRESS(16+(A158-1)*A154,13)))</f>
        <v>#N/A</v>
      </c>
      <c r="J146" s="20" t="e">
        <f ca="1">INDIRECT(_xlfn.TEXTJOIN("",TRUE,A157,"!",ADDRESS(16+(A158-1)*A154,14)))</f>
        <v>#N/A</v>
      </c>
    </row>
    <row r="147" spans="1:10" ht="28" customHeight="1" x14ac:dyDescent="0.2">
      <c r="A147" s="96" t="str">
        <f ca="1">INDIRECT(_xlfn.TEXTJOIN("",TRUE,A157,"!",ADDRESS(17+(A158-1)*A154,1)))</f>
        <v>CAT 013</v>
      </c>
      <c r="B147" s="97"/>
      <c r="C147" s="106" t="str">
        <f ca="1">INDIRECT(_xlfn.TEXTJOIN("",TRUE,A157,"!",ADDRESS(17+(A158-1)*A154,2)))</f>
        <v>Artificial Intelligence</v>
      </c>
      <c r="D147" s="107"/>
      <c r="E147" s="107"/>
      <c r="F147" s="107"/>
      <c r="G147" s="108"/>
      <c r="H147" s="20">
        <f ca="1">INDIRECT(_xlfn.TEXTJOIN("",TRUE,A157,"!",ADDRESS(17+(A158-1)*A154,6)))</f>
        <v>4</v>
      </c>
      <c r="I147" s="20" t="e">
        <f ca="1">INDIRECT(_xlfn.TEXTJOIN("",TRUE,A157,"!",ADDRESS(17+(A158-1)*A154,13)))</f>
        <v>#N/A</v>
      </c>
      <c r="J147" s="20" t="e">
        <f ca="1">INDIRECT(_xlfn.TEXTJOIN("",TRUE,A157,"!",ADDRESS(17+(A158-1)*A154,14)))</f>
        <v>#N/A</v>
      </c>
    </row>
    <row r="148" spans="1:10" ht="28" customHeight="1" x14ac:dyDescent="0.2">
      <c r="A148" s="96" t="str">
        <f ca="1">INDIRECT(_xlfn.TEXTJOIN("",TRUE,A157,"!",ADDRESS(18+(A158-1)*A154,1)))</f>
        <v>AHT 304</v>
      </c>
      <c r="B148" s="97"/>
      <c r="C148" s="106" t="str">
        <f ca="1">INDIRECT(_xlfn.TEXTJOIN("",TRUE,A157,"!",ADDRESS(18+(A158-1)*A154,2)))</f>
        <v>Accounting and Financial Management ($)</v>
      </c>
      <c r="D148" s="107"/>
      <c r="E148" s="107"/>
      <c r="F148" s="107"/>
      <c r="G148" s="108"/>
      <c r="H148" s="20">
        <f ca="1">INDIRECT(_xlfn.TEXTJOIN("",TRUE,A157,"!",ADDRESS(18+(A158-1)*A154,6)))</f>
        <v>0</v>
      </c>
      <c r="I148" s="20" t="e">
        <f ca="1">INDIRECT(_xlfn.TEXTJOIN("",TRUE,A157,"!",ADDRESS(18+(A158-1)*A154,13)))</f>
        <v>#N/A</v>
      </c>
      <c r="J148" s="20" t="e">
        <f ca="1">INDIRECT(_xlfn.TEXTJOIN("",TRUE,A157,"!",ADDRESS(18+(A158-1)*A154,14)))</f>
        <v>#N/A</v>
      </c>
    </row>
    <row r="149" spans="1:10" ht="28" customHeight="1" x14ac:dyDescent="0.2">
      <c r="A149" s="96" t="str">
        <f ca="1">INDIRECT(_xlfn.TEXTJOIN("",TRUE,A157,"!",ADDRESS(19+(A158-1)*A154,1)))</f>
        <v>CAP 004</v>
      </c>
      <c r="B149" s="97"/>
      <c r="C149" s="106" t="str">
        <f ca="1">INDIRECT(_xlfn.TEXTJOIN("",TRUE,A157,"!",ADDRESS(19+(A158-1)*A154,2)))</f>
        <v>Data Structures and Analysis of Algorithms Lab</v>
      </c>
      <c r="D149" s="107"/>
      <c r="E149" s="107"/>
      <c r="F149" s="107"/>
      <c r="G149" s="108"/>
      <c r="H149" s="20">
        <f ca="1">INDIRECT(_xlfn.TEXTJOIN("",TRUE,A157,"!",ADDRESS(19+(A158-1)*A154,6)))</f>
        <v>1</v>
      </c>
      <c r="I149" s="20" t="e">
        <f ca="1">INDIRECT(_xlfn.TEXTJOIN("",TRUE,A157,"!",ADDRESS(19+(A158-1)*A154,13)))</f>
        <v>#N/A</v>
      </c>
      <c r="J149" s="20" t="e">
        <f ca="1">INDIRECT(_xlfn.TEXTJOIN("",TRUE,A157,"!",ADDRESS(19+(A158-1)*A154,14)))</f>
        <v>#N/A</v>
      </c>
    </row>
    <row r="150" spans="1:10" ht="28" customHeight="1" x14ac:dyDescent="0.2">
      <c r="A150" s="96" t="str">
        <f ca="1">INDIRECT(_xlfn.TEXTJOIN("",TRUE,A157,"!",ADDRESS(20+(A158-1)*A154,1)))</f>
        <v>CAP 005</v>
      </c>
      <c r="B150" s="97"/>
      <c r="C150" s="106" t="str">
        <f ca="1">INDIRECT(_xlfn.TEXTJOIN("",TRUE,A157,"!",ADDRESS(20+(A158-1)*A154,2)))</f>
        <v>Object Oriented Programming with JAVA Lab</v>
      </c>
      <c r="D150" s="107"/>
      <c r="E150" s="107"/>
      <c r="F150" s="107"/>
      <c r="G150" s="108"/>
      <c r="H150" s="20">
        <f ca="1">INDIRECT(_xlfn.TEXTJOIN("",TRUE,A157,"!",ADDRESS(20+(A158-1)*A154,6)))</f>
        <v>1</v>
      </c>
      <c r="I150" s="20" t="e">
        <f ca="1">INDIRECT(_xlfn.TEXTJOIN("",TRUE,A157,"!",ADDRESS(20+(A158-1)*A154,13)))</f>
        <v>#N/A</v>
      </c>
      <c r="J150" s="20" t="e">
        <f ca="1">INDIRECT(_xlfn.TEXTJOIN("",TRUE,A157,"!",ADDRESS(20+(A158-1)*A154,14)))</f>
        <v>#N/A</v>
      </c>
    </row>
    <row r="151" spans="1:10" ht="28" customHeight="1" x14ac:dyDescent="0.2">
      <c r="A151" s="96" t="str">
        <f ca="1">INDIRECT(_xlfn.TEXTJOIN("",TRUE,A157,"!",ADDRESS(21+(A158-1)*A154,1)))</f>
        <v>CAP 006</v>
      </c>
      <c r="B151" s="97"/>
      <c r="C151" s="106" t="str">
        <f ca="1">INDIRECT(_xlfn.TEXTJOIN("",TRUE,A157,"!",ADDRESS(21+(A158-1)*A154,2)))</f>
        <v>Computer Networks Lab</v>
      </c>
      <c r="D151" s="107"/>
      <c r="E151" s="107"/>
      <c r="F151" s="107"/>
      <c r="G151" s="108"/>
      <c r="H151" s="20">
        <f ca="1">INDIRECT(_xlfn.TEXTJOIN("",TRUE,A157,"!",ADDRESS(21+(A158-1)*A154,6)))</f>
        <v>1</v>
      </c>
      <c r="I151" s="20" t="e">
        <f ca="1">INDIRECT(_xlfn.TEXTJOIN("",TRUE,A157,"!",ADDRESS(21+(A158-1)*A154,13)))</f>
        <v>#N/A</v>
      </c>
      <c r="J151" s="20" t="e">
        <f ca="1">INDIRECT(_xlfn.TEXTJOIN("",TRUE,A157,"!",ADDRESS(21+(A158-1)*A154,14)))</f>
        <v>#N/A</v>
      </c>
    </row>
    <row r="152" spans="1:10" ht="28" customHeight="1" x14ac:dyDescent="0.2">
      <c r="A152" s="96" t="str">
        <f ca="1">INDIRECT(_xlfn.TEXTJOIN("",TRUE,A157,"!",ADDRESS(22+(A158-1)*A154,1)))</f>
        <v>CAP 007</v>
      </c>
      <c r="B152" s="97"/>
      <c r="C152" s="106" t="str">
        <f ca="1">INDIRECT(_xlfn.TEXTJOIN("",TRUE,A157,"!",ADDRESS(22+(A158-1)*A154,2)))</f>
        <v>Artificial Intelligence Lab</v>
      </c>
      <c r="D152" s="107"/>
      <c r="E152" s="107"/>
      <c r="F152" s="107"/>
      <c r="G152" s="108"/>
      <c r="H152" s="20">
        <f ca="1">INDIRECT(_xlfn.TEXTJOIN("",TRUE,A157,"!",ADDRESS(22+(A158-1)*A154,6)))</f>
        <v>1</v>
      </c>
      <c r="I152" s="20" t="e">
        <f ca="1">INDIRECT(_xlfn.TEXTJOIN("",TRUE,A157,"!",ADDRESS(22+(A158-1)*A154,13)))</f>
        <v>#N/A</v>
      </c>
      <c r="J152" s="20" t="e">
        <f ca="1">INDIRECT(_xlfn.TEXTJOIN("",TRUE,A157,"!",ADDRESS(22+(A158-1)*A154,14)))</f>
        <v>#N/A</v>
      </c>
    </row>
    <row r="153" spans="1:10" ht="28" customHeight="1" x14ac:dyDescent="0.2">
      <c r="A153" s="118" t="s">
        <v>52</v>
      </c>
      <c r="B153" s="118"/>
      <c r="C153" s="118"/>
      <c r="D153" s="118"/>
      <c r="E153" s="118"/>
      <c r="F153" s="118"/>
      <c r="G153" s="118"/>
      <c r="H153" s="16">
        <f ca="1">SUM(H143:H152)</f>
        <v>24</v>
      </c>
      <c r="I153" s="16" t="s">
        <v>44</v>
      </c>
      <c r="J153" s="16" t="e">
        <f ca="1">SUMPRODUCT(J143:J152,H143:H152)</f>
        <v>#N/A</v>
      </c>
    </row>
    <row r="154" spans="1:10" ht="28" customHeight="1" x14ac:dyDescent="0.2">
      <c r="A154" s="22">
        <f>ROWS(A143:B152)+9</f>
        <v>19</v>
      </c>
      <c r="B154" s="17"/>
      <c r="C154" s="17"/>
      <c r="D154" s="17"/>
      <c r="E154" s="17"/>
      <c r="F154" s="17"/>
      <c r="G154" s="17"/>
      <c r="H154" s="17"/>
      <c r="I154" s="17"/>
      <c r="J154" s="17"/>
    </row>
    <row r="155" spans="1:10" ht="28" customHeight="1" x14ac:dyDescent="0.2">
      <c r="A155" s="120" t="s">
        <v>40</v>
      </c>
      <c r="B155" s="120"/>
      <c r="C155" s="21">
        <f ca="1">INDIRECT(_xlfn.TEXTJOIN("",TRUE,A157,"!",ADDRESS(5+A158*A154,12)))</f>
        <v>0</v>
      </c>
      <c r="D155" s="120" t="s">
        <v>38</v>
      </c>
      <c r="E155" s="120"/>
      <c r="F155" s="18" t="e">
        <f ca="1">INDIRECT(_xlfn.TEXTJOIN("",TRUE,A157,"!",ADDRESS(5+A158*A154,8)))</f>
        <v>#N/A</v>
      </c>
      <c r="G155" s="120" t="s">
        <v>39</v>
      </c>
      <c r="H155" s="120"/>
      <c r="I155" s="109" t="e">
        <f ca="1">INDIRECT(_xlfn.TEXTJOIN("",TRUE,A157,"!",ADDRESS(5+A158*A154,10)))</f>
        <v>#N/A</v>
      </c>
      <c r="J155" s="109"/>
    </row>
    <row r="156" spans="1:10" ht="28" customHeight="1" x14ac:dyDescent="0.2">
      <c r="A156" s="19" t="s">
        <v>36</v>
      </c>
      <c r="B156" s="95" t="e">
        <f ca="1">INDIRECT(_xlfn.TEXTJOIN("",TRUE,A157,"!",ADDRESS(5+A158*A154,2)))</f>
        <v>#N/A</v>
      </c>
      <c r="C156" s="95"/>
      <c r="D156" s="121" t="s">
        <v>37</v>
      </c>
      <c r="E156" s="121"/>
      <c r="F156" s="122" t="e">
        <f ca="1">INDIRECT(_xlfn.TEXTJOIN("",TRUE,A157,"!",ADDRESS(5+A158*A154,5)))</f>
        <v>#N/A</v>
      </c>
      <c r="G156" s="122"/>
      <c r="H156" s="122"/>
      <c r="I156" s="122"/>
      <c r="J156" s="122"/>
    </row>
    <row r="157" spans="1:10" ht="28" customHeight="1" x14ac:dyDescent="0.2">
      <c r="A157" s="22" t="str">
        <f>A138</f>
        <v>TC_II</v>
      </c>
    </row>
    <row r="158" spans="1:10" ht="28" customHeight="1" x14ac:dyDescent="0.2">
      <c r="A158" s="22">
        <f>A139+1</f>
        <v>8</v>
      </c>
    </row>
    <row r="159" spans="1:10" ht="28" customHeight="1" x14ac:dyDescent="0.2">
      <c r="A159" s="112" t="s">
        <v>24</v>
      </c>
      <c r="B159" s="112"/>
      <c r="C159" s="112" t="str">
        <f ca="1">INDIRECT(_xlfn.TEXTJOIN("",TRUE,A176,"!",ADDRESS(9+(A177-1)*A173,2)))</f>
        <v>CHIRAG KASHYAP</v>
      </c>
      <c r="D159" s="112"/>
      <c r="E159" s="112"/>
      <c r="F159" s="112" t="s">
        <v>50</v>
      </c>
      <c r="G159" s="112"/>
      <c r="H159" s="112"/>
      <c r="I159" s="113">
        <f ca="1">INDIRECT(_xlfn.TEXTJOIN("",TRUE,A176,"!",ADDRESS(9+(A177-1)*A173,9)))</f>
        <v>240090600009</v>
      </c>
      <c r="J159" s="113"/>
    </row>
    <row r="160" spans="1:10" ht="28" customHeight="1" x14ac:dyDescent="0.2">
      <c r="A160" s="112" t="s">
        <v>25</v>
      </c>
      <c r="B160" s="112"/>
      <c r="C160" s="112" t="str">
        <f ca="1">INDIRECT(_xlfn.TEXTJOIN("",TRUE,A176,"!",ADDRESS(9+(A177-1)*A173,5)))</f>
        <v>NARENDRA SINGH</v>
      </c>
      <c r="D160" s="112"/>
      <c r="E160" s="112"/>
      <c r="F160" s="114" t="s">
        <v>51</v>
      </c>
      <c r="G160" s="114"/>
      <c r="H160" s="114"/>
      <c r="I160" s="113" t="str">
        <f ca="1">INDIRECT(_xlfn.TEXTJOIN("",TRUE,A176,"!",ADDRESS(9+(A177-1)*A173,13)))</f>
        <v>UTU/2406100172</v>
      </c>
      <c r="J160" s="113"/>
    </row>
    <row r="161" spans="1:10" ht="28" customHeight="1" x14ac:dyDescent="0.2">
      <c r="A161" s="95" t="s">
        <v>28</v>
      </c>
      <c r="B161" s="95"/>
      <c r="C161" s="95" t="s">
        <v>29</v>
      </c>
      <c r="D161" s="95"/>
      <c r="E161" s="95"/>
      <c r="F161" s="95"/>
      <c r="G161" s="95"/>
      <c r="H161" s="15" t="s">
        <v>30</v>
      </c>
      <c r="I161" s="15" t="s">
        <v>9</v>
      </c>
      <c r="J161" s="15" t="s">
        <v>34</v>
      </c>
    </row>
    <row r="162" spans="1:10" ht="28" customHeight="1" x14ac:dyDescent="0.2">
      <c r="A162" s="96" t="str">
        <f ca="1">INDIRECT(_xlfn.TEXTJOIN("",TRUE,A176,"!",ADDRESS(13+(A177-1)*A173,1)))</f>
        <v>CAT 009</v>
      </c>
      <c r="B162" s="97"/>
      <c r="C162" s="106" t="str">
        <f ca="1">INDIRECT(_xlfn.TEXTJOIN("",TRUE,A176,"!",ADDRESS(13+(A177-1)*A173,2)))</f>
        <v>Computer Based Numerical and Statistical Techniques</v>
      </c>
      <c r="D162" s="107"/>
      <c r="E162" s="107"/>
      <c r="F162" s="107"/>
      <c r="G162" s="108"/>
      <c r="H162" s="20">
        <f ca="1">INDIRECT(_xlfn.TEXTJOIN("",TRUE,A176,"!",ADDRESS(13+(A177-1)*A173,6)))</f>
        <v>4</v>
      </c>
      <c r="I162" s="20" t="e">
        <f ca="1">INDIRECT(_xlfn.TEXTJOIN("",TRUE,A176,"!",ADDRESS(13+(A177-1)*A173,13)))</f>
        <v>#N/A</v>
      </c>
      <c r="J162" s="20" t="e">
        <f ca="1">INDIRECT(_xlfn.TEXTJOIN("",TRUE,A176,"!",ADDRESS(13+(A177-1)*A173,14)))</f>
        <v>#N/A</v>
      </c>
    </row>
    <row r="163" spans="1:10" ht="28" customHeight="1" x14ac:dyDescent="0.2">
      <c r="A163" s="96" t="str">
        <f ca="1">INDIRECT(_xlfn.TEXTJOIN("",TRUE,A176,"!",ADDRESS(14+(A177-1)*A173,1)))</f>
        <v>CAT 010</v>
      </c>
      <c r="B163" s="97"/>
      <c r="C163" s="106" t="str">
        <f ca="1">INDIRECT(_xlfn.TEXTJOIN("",TRUE,A176,"!",ADDRESS(14+(A177-1)*A173,2)))</f>
        <v>Data Structures and Analysis of Algorithms</v>
      </c>
      <c r="D163" s="107"/>
      <c r="E163" s="107"/>
      <c r="F163" s="107"/>
      <c r="G163" s="108"/>
      <c r="H163" s="20">
        <f ca="1">INDIRECT(_xlfn.TEXTJOIN("",TRUE,A176,"!",ADDRESS(14+(A177-1)*A173,6)))</f>
        <v>4</v>
      </c>
      <c r="I163" s="20" t="e">
        <f ca="1">INDIRECT(_xlfn.TEXTJOIN("",TRUE,A176,"!",ADDRESS(14+(A177-1)*A173,13)))</f>
        <v>#N/A</v>
      </c>
      <c r="J163" s="20" t="e">
        <f ca="1">INDIRECT(_xlfn.TEXTJOIN("",TRUE,A176,"!",ADDRESS(14+(A177-1)*A173,14)))</f>
        <v>#N/A</v>
      </c>
    </row>
    <row r="164" spans="1:10" ht="28" customHeight="1" x14ac:dyDescent="0.2">
      <c r="A164" s="96" t="str">
        <f ca="1">INDIRECT(_xlfn.TEXTJOIN("",TRUE,A176,"!",ADDRESS(15+(A177-1)*A173,1)))</f>
        <v>CAT 011</v>
      </c>
      <c r="B164" s="97"/>
      <c r="C164" s="106" t="str">
        <f ca="1">INDIRECT(_xlfn.TEXTJOIN("",TRUE,A176,"!",ADDRESS(15+(A177-1)*A173,2)))</f>
        <v>Object Oriented Programming with JAVA</v>
      </c>
      <c r="D164" s="107"/>
      <c r="E164" s="107"/>
      <c r="F164" s="107"/>
      <c r="G164" s="108"/>
      <c r="H164" s="20">
        <f ca="1">INDIRECT(_xlfn.TEXTJOIN("",TRUE,A176,"!",ADDRESS(15+(A177-1)*A173,6)))</f>
        <v>4</v>
      </c>
      <c r="I164" s="20" t="e">
        <f ca="1">INDIRECT(_xlfn.TEXTJOIN("",TRUE,A176,"!",ADDRESS(15+(A177-1)*A173,13)))</f>
        <v>#N/A</v>
      </c>
      <c r="J164" s="20" t="e">
        <f ca="1">INDIRECT(_xlfn.TEXTJOIN("",TRUE,A176,"!",ADDRESS(15+(A177-1)*A173,14)))</f>
        <v>#N/A</v>
      </c>
    </row>
    <row r="165" spans="1:10" ht="28" customHeight="1" x14ac:dyDescent="0.2">
      <c r="A165" s="96" t="str">
        <f ca="1">INDIRECT(_xlfn.TEXTJOIN("",TRUE,A176,"!",ADDRESS(16+(A177-1)*A173,1)))</f>
        <v>CAT 012</v>
      </c>
      <c r="B165" s="97"/>
      <c r="C165" s="106" t="str">
        <f ca="1">INDIRECT(_xlfn.TEXTJOIN("",TRUE,A176,"!",ADDRESS(16+(A177-1)*A173,2)))</f>
        <v>Computer Networks</v>
      </c>
      <c r="D165" s="107"/>
      <c r="E165" s="107"/>
      <c r="F165" s="107"/>
      <c r="G165" s="108"/>
      <c r="H165" s="20">
        <f ca="1">INDIRECT(_xlfn.TEXTJOIN("",TRUE,A176,"!",ADDRESS(16+(A177-1)*A173,6)))</f>
        <v>4</v>
      </c>
      <c r="I165" s="20" t="e">
        <f ca="1">INDIRECT(_xlfn.TEXTJOIN("",TRUE,A176,"!",ADDRESS(16+(A177-1)*A173,13)))</f>
        <v>#N/A</v>
      </c>
      <c r="J165" s="20" t="e">
        <f ca="1">INDIRECT(_xlfn.TEXTJOIN("",TRUE,A176,"!",ADDRESS(16+(A177-1)*A173,14)))</f>
        <v>#N/A</v>
      </c>
    </row>
    <row r="166" spans="1:10" ht="28" customHeight="1" x14ac:dyDescent="0.2">
      <c r="A166" s="96" t="str">
        <f ca="1">INDIRECT(_xlfn.TEXTJOIN("",TRUE,A176,"!",ADDRESS(17+(A177-1)*A173,1)))</f>
        <v>CAT 013</v>
      </c>
      <c r="B166" s="97"/>
      <c r="C166" s="106" t="str">
        <f ca="1">INDIRECT(_xlfn.TEXTJOIN("",TRUE,A176,"!",ADDRESS(17+(A177-1)*A173,2)))</f>
        <v>Artificial Intelligence</v>
      </c>
      <c r="D166" s="107"/>
      <c r="E166" s="107"/>
      <c r="F166" s="107"/>
      <c r="G166" s="108"/>
      <c r="H166" s="20">
        <f ca="1">INDIRECT(_xlfn.TEXTJOIN("",TRUE,A176,"!",ADDRESS(17+(A177-1)*A173,6)))</f>
        <v>4</v>
      </c>
      <c r="I166" s="20" t="e">
        <f ca="1">INDIRECT(_xlfn.TEXTJOIN("",TRUE,A176,"!",ADDRESS(17+(A177-1)*A173,13)))</f>
        <v>#N/A</v>
      </c>
      <c r="J166" s="20" t="e">
        <f ca="1">INDIRECT(_xlfn.TEXTJOIN("",TRUE,A176,"!",ADDRESS(17+(A177-1)*A173,14)))</f>
        <v>#N/A</v>
      </c>
    </row>
    <row r="167" spans="1:10" ht="28" customHeight="1" x14ac:dyDescent="0.2">
      <c r="A167" s="96" t="str">
        <f ca="1">INDIRECT(_xlfn.TEXTJOIN("",TRUE,A176,"!",ADDRESS(18+(A177-1)*A173,1)))</f>
        <v>AHT 304</v>
      </c>
      <c r="B167" s="97"/>
      <c r="C167" s="106" t="str">
        <f ca="1">INDIRECT(_xlfn.TEXTJOIN("",TRUE,A176,"!",ADDRESS(18+(A177-1)*A173,2)))</f>
        <v>Accounting and Financial Management ($)</v>
      </c>
      <c r="D167" s="107"/>
      <c r="E167" s="107"/>
      <c r="F167" s="107"/>
      <c r="G167" s="108"/>
      <c r="H167" s="20">
        <f ca="1">INDIRECT(_xlfn.TEXTJOIN("",TRUE,A176,"!",ADDRESS(18+(A177-1)*A173,6)))</f>
        <v>0</v>
      </c>
      <c r="I167" s="20" t="e">
        <f ca="1">INDIRECT(_xlfn.TEXTJOIN("",TRUE,A176,"!",ADDRESS(18+(A177-1)*A173,13)))</f>
        <v>#N/A</v>
      </c>
      <c r="J167" s="20" t="e">
        <f ca="1">INDIRECT(_xlfn.TEXTJOIN("",TRUE,A176,"!",ADDRESS(18+(A177-1)*A173,14)))</f>
        <v>#N/A</v>
      </c>
    </row>
    <row r="168" spans="1:10" ht="28" customHeight="1" x14ac:dyDescent="0.2">
      <c r="A168" s="96" t="str">
        <f ca="1">INDIRECT(_xlfn.TEXTJOIN("",TRUE,A176,"!",ADDRESS(19+(A177-1)*A173,1)))</f>
        <v>CAP 004</v>
      </c>
      <c r="B168" s="97"/>
      <c r="C168" s="106" t="str">
        <f ca="1">INDIRECT(_xlfn.TEXTJOIN("",TRUE,A176,"!",ADDRESS(19+(A177-1)*A173,2)))</f>
        <v>Data Structures and Analysis of Algorithms Lab</v>
      </c>
      <c r="D168" s="107"/>
      <c r="E168" s="107"/>
      <c r="F168" s="107"/>
      <c r="G168" s="108"/>
      <c r="H168" s="20">
        <f ca="1">INDIRECT(_xlfn.TEXTJOIN("",TRUE,A176,"!",ADDRESS(19+(A177-1)*A173,6)))</f>
        <v>1</v>
      </c>
      <c r="I168" s="20" t="e">
        <f ca="1">INDIRECT(_xlfn.TEXTJOIN("",TRUE,A176,"!",ADDRESS(19+(A177-1)*A173,13)))</f>
        <v>#N/A</v>
      </c>
      <c r="J168" s="20" t="e">
        <f ca="1">INDIRECT(_xlfn.TEXTJOIN("",TRUE,A176,"!",ADDRESS(19+(A177-1)*A173,14)))</f>
        <v>#N/A</v>
      </c>
    </row>
    <row r="169" spans="1:10" ht="28" customHeight="1" x14ac:dyDescent="0.2">
      <c r="A169" s="96" t="str">
        <f ca="1">INDIRECT(_xlfn.TEXTJOIN("",TRUE,A176,"!",ADDRESS(20+(A177-1)*A173,1)))</f>
        <v>CAP 005</v>
      </c>
      <c r="B169" s="97"/>
      <c r="C169" s="106" t="str">
        <f ca="1">INDIRECT(_xlfn.TEXTJOIN("",TRUE,A176,"!",ADDRESS(20+(A177-1)*A173,2)))</f>
        <v>Object Oriented Programming with JAVA Lab</v>
      </c>
      <c r="D169" s="107"/>
      <c r="E169" s="107"/>
      <c r="F169" s="107"/>
      <c r="G169" s="108"/>
      <c r="H169" s="20">
        <f ca="1">INDIRECT(_xlfn.TEXTJOIN("",TRUE,A176,"!",ADDRESS(20+(A177-1)*A173,6)))</f>
        <v>1</v>
      </c>
      <c r="I169" s="20" t="e">
        <f ca="1">INDIRECT(_xlfn.TEXTJOIN("",TRUE,A176,"!",ADDRESS(20+(A177-1)*A173,13)))</f>
        <v>#N/A</v>
      </c>
      <c r="J169" s="20" t="e">
        <f ca="1">INDIRECT(_xlfn.TEXTJOIN("",TRUE,A176,"!",ADDRESS(20+(A177-1)*A173,14)))</f>
        <v>#N/A</v>
      </c>
    </row>
    <row r="170" spans="1:10" ht="28" customHeight="1" x14ac:dyDescent="0.2">
      <c r="A170" s="96" t="str">
        <f ca="1">INDIRECT(_xlfn.TEXTJOIN("",TRUE,A176,"!",ADDRESS(21+(A177-1)*A173,1)))</f>
        <v>CAP 006</v>
      </c>
      <c r="B170" s="97"/>
      <c r="C170" s="106" t="str">
        <f ca="1">INDIRECT(_xlfn.TEXTJOIN("",TRUE,A176,"!",ADDRESS(21+(A177-1)*A173,2)))</f>
        <v>Computer Networks Lab</v>
      </c>
      <c r="D170" s="107"/>
      <c r="E170" s="107"/>
      <c r="F170" s="107"/>
      <c r="G170" s="108"/>
      <c r="H170" s="20">
        <f ca="1">INDIRECT(_xlfn.TEXTJOIN("",TRUE,A176,"!",ADDRESS(21+(A177-1)*A173,6)))</f>
        <v>1</v>
      </c>
      <c r="I170" s="20" t="e">
        <f ca="1">INDIRECT(_xlfn.TEXTJOIN("",TRUE,A176,"!",ADDRESS(21+(A177-1)*A173,13)))</f>
        <v>#N/A</v>
      </c>
      <c r="J170" s="20" t="e">
        <f ca="1">INDIRECT(_xlfn.TEXTJOIN("",TRUE,A176,"!",ADDRESS(21+(A177-1)*A173,14)))</f>
        <v>#N/A</v>
      </c>
    </row>
    <row r="171" spans="1:10" ht="28" customHeight="1" x14ac:dyDescent="0.2">
      <c r="A171" s="96" t="str">
        <f ca="1">INDIRECT(_xlfn.TEXTJOIN("",TRUE,A176,"!",ADDRESS(22+(A177-1)*A173,1)))</f>
        <v>CAP 007</v>
      </c>
      <c r="B171" s="97"/>
      <c r="C171" s="106" t="str">
        <f ca="1">INDIRECT(_xlfn.TEXTJOIN("",TRUE,A176,"!",ADDRESS(22+(A177-1)*A173,2)))</f>
        <v>Artificial Intelligence Lab</v>
      </c>
      <c r="D171" s="107"/>
      <c r="E171" s="107"/>
      <c r="F171" s="107"/>
      <c r="G171" s="108"/>
      <c r="H171" s="20">
        <f ca="1">INDIRECT(_xlfn.TEXTJOIN("",TRUE,A176,"!",ADDRESS(22+(A177-1)*A173,6)))</f>
        <v>1</v>
      </c>
      <c r="I171" s="20" t="e">
        <f ca="1">INDIRECT(_xlfn.TEXTJOIN("",TRUE,A176,"!",ADDRESS(22+(A177-1)*A173,13)))</f>
        <v>#N/A</v>
      </c>
      <c r="J171" s="20" t="e">
        <f ca="1">INDIRECT(_xlfn.TEXTJOIN("",TRUE,A176,"!",ADDRESS(22+(A177-1)*A173,14)))</f>
        <v>#N/A</v>
      </c>
    </row>
    <row r="172" spans="1:10" ht="28" customHeight="1" x14ac:dyDescent="0.2">
      <c r="A172" s="118" t="s">
        <v>52</v>
      </c>
      <c r="B172" s="118"/>
      <c r="C172" s="118"/>
      <c r="D172" s="118"/>
      <c r="E172" s="118"/>
      <c r="F172" s="118"/>
      <c r="G172" s="118"/>
      <c r="H172" s="16">
        <f ca="1">SUM(H162:H171)</f>
        <v>24</v>
      </c>
      <c r="I172" s="16" t="s">
        <v>44</v>
      </c>
      <c r="J172" s="16" t="e">
        <f ca="1">SUMPRODUCT(J162:J171,H162:H171)</f>
        <v>#N/A</v>
      </c>
    </row>
    <row r="173" spans="1:10" ht="28" customHeight="1" x14ac:dyDescent="0.2">
      <c r="A173" s="22">
        <f>ROWS(A162:B171)+9</f>
        <v>19</v>
      </c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0" ht="28" customHeight="1" x14ac:dyDescent="0.2">
      <c r="A174" s="120" t="s">
        <v>40</v>
      </c>
      <c r="B174" s="120"/>
      <c r="C174" s="21">
        <f ca="1">INDIRECT(_xlfn.TEXTJOIN("",TRUE,A176,"!",ADDRESS(5+A177*A173,12)))</f>
        <v>0</v>
      </c>
      <c r="D174" s="120" t="s">
        <v>38</v>
      </c>
      <c r="E174" s="120"/>
      <c r="F174" s="18" t="e">
        <f ca="1">INDIRECT(_xlfn.TEXTJOIN("",TRUE,A176,"!",ADDRESS(5+A177*A173,8)))</f>
        <v>#N/A</v>
      </c>
      <c r="G174" s="120" t="s">
        <v>39</v>
      </c>
      <c r="H174" s="120"/>
      <c r="I174" s="109" t="e">
        <f ca="1">INDIRECT(_xlfn.TEXTJOIN("",TRUE,A176,"!",ADDRESS(5+A177*A173,10)))</f>
        <v>#N/A</v>
      </c>
      <c r="J174" s="109"/>
    </row>
    <row r="175" spans="1:10" ht="28" customHeight="1" x14ac:dyDescent="0.2">
      <c r="A175" s="19" t="s">
        <v>36</v>
      </c>
      <c r="B175" s="95" t="e">
        <f ca="1">INDIRECT(_xlfn.TEXTJOIN("",TRUE,A176,"!",ADDRESS(5+A177*A173,2)))</f>
        <v>#N/A</v>
      </c>
      <c r="C175" s="95"/>
      <c r="D175" s="121" t="s">
        <v>37</v>
      </c>
      <c r="E175" s="121"/>
      <c r="F175" s="122" t="e">
        <f ca="1">INDIRECT(_xlfn.TEXTJOIN("",TRUE,A176,"!",ADDRESS(5+A177*A173,5)))</f>
        <v>#N/A</v>
      </c>
      <c r="G175" s="122"/>
      <c r="H175" s="122"/>
      <c r="I175" s="122"/>
      <c r="J175" s="122"/>
    </row>
    <row r="176" spans="1:10" ht="28" customHeight="1" x14ac:dyDescent="0.2">
      <c r="A176" s="22" t="str">
        <f>A157</f>
        <v>TC_II</v>
      </c>
    </row>
    <row r="177" spans="1:10" ht="28" customHeight="1" x14ac:dyDescent="0.2">
      <c r="A177" s="22">
        <f>A158+1</f>
        <v>9</v>
      </c>
    </row>
    <row r="178" spans="1:10" ht="28" customHeight="1" x14ac:dyDescent="0.2">
      <c r="A178" s="112" t="s">
        <v>24</v>
      </c>
      <c r="B178" s="112"/>
      <c r="C178" s="112" t="str">
        <f ca="1">INDIRECT(_xlfn.TEXTJOIN("",TRUE,A195,"!",ADDRESS(9+(A196-1)*A192,2)))</f>
        <v>DEVENDRA SINGH RANA</v>
      </c>
      <c r="D178" s="112"/>
      <c r="E178" s="112"/>
      <c r="F178" s="112" t="s">
        <v>50</v>
      </c>
      <c r="G178" s="112"/>
      <c r="H178" s="112"/>
      <c r="I178" s="113">
        <f ca="1">INDIRECT(_xlfn.TEXTJOIN("",TRUE,A195,"!",ADDRESS(9+(A196-1)*A192,9)))</f>
        <v>240090600010</v>
      </c>
      <c r="J178" s="113"/>
    </row>
    <row r="179" spans="1:10" ht="28" customHeight="1" x14ac:dyDescent="0.2">
      <c r="A179" s="112" t="s">
        <v>25</v>
      </c>
      <c r="B179" s="112"/>
      <c r="C179" s="112" t="str">
        <f ca="1">INDIRECT(_xlfn.TEXTJOIN("",TRUE,A195,"!",ADDRESS(9+(A196-1)*A192,5)))</f>
        <v>DHYAN SINGH RANA</v>
      </c>
      <c r="D179" s="112"/>
      <c r="E179" s="112"/>
      <c r="F179" s="114" t="s">
        <v>51</v>
      </c>
      <c r="G179" s="114"/>
      <c r="H179" s="114"/>
      <c r="I179" s="113" t="str">
        <f ca="1">INDIRECT(_xlfn.TEXTJOIN("",TRUE,A195,"!",ADDRESS(9+(A196-1)*A192,13)))</f>
        <v>UTU/2406100181</v>
      </c>
      <c r="J179" s="113"/>
    </row>
    <row r="180" spans="1:10" ht="28" customHeight="1" x14ac:dyDescent="0.2">
      <c r="A180" s="95" t="s">
        <v>28</v>
      </c>
      <c r="B180" s="95"/>
      <c r="C180" s="95" t="s">
        <v>29</v>
      </c>
      <c r="D180" s="95"/>
      <c r="E180" s="95"/>
      <c r="F180" s="95"/>
      <c r="G180" s="95"/>
      <c r="H180" s="15" t="s">
        <v>30</v>
      </c>
      <c r="I180" s="15" t="s">
        <v>9</v>
      </c>
      <c r="J180" s="15" t="s">
        <v>34</v>
      </c>
    </row>
    <row r="181" spans="1:10" ht="28" customHeight="1" x14ac:dyDescent="0.2">
      <c r="A181" s="96" t="str">
        <f ca="1">INDIRECT(_xlfn.TEXTJOIN("",TRUE,A195,"!",ADDRESS(13+(A196-1)*A192,1)))</f>
        <v>CAT 009</v>
      </c>
      <c r="B181" s="97"/>
      <c r="C181" s="106" t="str">
        <f ca="1">INDIRECT(_xlfn.TEXTJOIN("",TRUE,A195,"!",ADDRESS(13+(A196-1)*A192,2)))</f>
        <v>Computer Based Numerical and Statistical Techniques</v>
      </c>
      <c r="D181" s="107"/>
      <c r="E181" s="107"/>
      <c r="F181" s="107"/>
      <c r="G181" s="108"/>
      <c r="H181" s="20">
        <f ca="1">INDIRECT(_xlfn.TEXTJOIN("",TRUE,A195,"!",ADDRESS(13+(A196-1)*A192,6)))</f>
        <v>4</v>
      </c>
      <c r="I181" s="20" t="e">
        <f ca="1">INDIRECT(_xlfn.TEXTJOIN("",TRUE,A195,"!",ADDRESS(13+(A196-1)*A192,13)))</f>
        <v>#N/A</v>
      </c>
      <c r="J181" s="20" t="e">
        <f ca="1">INDIRECT(_xlfn.TEXTJOIN("",TRUE,A195,"!",ADDRESS(13+(A196-1)*A192,14)))</f>
        <v>#N/A</v>
      </c>
    </row>
    <row r="182" spans="1:10" ht="28" customHeight="1" x14ac:dyDescent="0.2">
      <c r="A182" s="96" t="str">
        <f ca="1">INDIRECT(_xlfn.TEXTJOIN("",TRUE,A195,"!",ADDRESS(14+(A196-1)*A192,1)))</f>
        <v>CAT 010</v>
      </c>
      <c r="B182" s="97"/>
      <c r="C182" s="106" t="str">
        <f ca="1">INDIRECT(_xlfn.TEXTJOIN("",TRUE,A195,"!",ADDRESS(14+(A196-1)*A192,2)))</f>
        <v>Data Structures and Analysis of Algorithms</v>
      </c>
      <c r="D182" s="107"/>
      <c r="E182" s="107"/>
      <c r="F182" s="107"/>
      <c r="G182" s="108"/>
      <c r="H182" s="20">
        <f ca="1">INDIRECT(_xlfn.TEXTJOIN("",TRUE,A195,"!",ADDRESS(14+(A196-1)*A192,6)))</f>
        <v>4</v>
      </c>
      <c r="I182" s="20" t="e">
        <f ca="1">INDIRECT(_xlfn.TEXTJOIN("",TRUE,A195,"!",ADDRESS(14+(A196-1)*A192,13)))</f>
        <v>#N/A</v>
      </c>
      <c r="J182" s="20" t="e">
        <f ca="1">INDIRECT(_xlfn.TEXTJOIN("",TRUE,A195,"!",ADDRESS(14+(A196-1)*A192,14)))</f>
        <v>#N/A</v>
      </c>
    </row>
    <row r="183" spans="1:10" ht="28" customHeight="1" x14ac:dyDescent="0.2">
      <c r="A183" s="96" t="str">
        <f ca="1">INDIRECT(_xlfn.TEXTJOIN("",TRUE,A195,"!",ADDRESS(15+(A196-1)*A192,1)))</f>
        <v>CAT 011</v>
      </c>
      <c r="B183" s="97"/>
      <c r="C183" s="106" t="str">
        <f ca="1">INDIRECT(_xlfn.TEXTJOIN("",TRUE,A195,"!",ADDRESS(15+(A196-1)*A192,2)))</f>
        <v>Object Oriented Programming with JAVA</v>
      </c>
      <c r="D183" s="107"/>
      <c r="E183" s="107"/>
      <c r="F183" s="107"/>
      <c r="G183" s="108"/>
      <c r="H183" s="20">
        <f ca="1">INDIRECT(_xlfn.TEXTJOIN("",TRUE,A195,"!",ADDRESS(15+(A196-1)*A192,6)))</f>
        <v>4</v>
      </c>
      <c r="I183" s="20" t="e">
        <f ca="1">INDIRECT(_xlfn.TEXTJOIN("",TRUE,A195,"!",ADDRESS(15+(A196-1)*A192,13)))</f>
        <v>#N/A</v>
      </c>
      <c r="J183" s="20" t="e">
        <f ca="1">INDIRECT(_xlfn.TEXTJOIN("",TRUE,A195,"!",ADDRESS(15+(A196-1)*A192,14)))</f>
        <v>#N/A</v>
      </c>
    </row>
    <row r="184" spans="1:10" ht="28" customHeight="1" x14ac:dyDescent="0.2">
      <c r="A184" s="96" t="str">
        <f ca="1">INDIRECT(_xlfn.TEXTJOIN("",TRUE,A195,"!",ADDRESS(16+(A196-1)*A192,1)))</f>
        <v>CAT 012</v>
      </c>
      <c r="B184" s="97"/>
      <c r="C184" s="106" t="str">
        <f ca="1">INDIRECT(_xlfn.TEXTJOIN("",TRUE,A195,"!",ADDRESS(16+(A196-1)*A192,2)))</f>
        <v>Computer Networks</v>
      </c>
      <c r="D184" s="107"/>
      <c r="E184" s="107"/>
      <c r="F184" s="107"/>
      <c r="G184" s="108"/>
      <c r="H184" s="20">
        <f ca="1">INDIRECT(_xlfn.TEXTJOIN("",TRUE,A195,"!",ADDRESS(16+(A196-1)*A192,6)))</f>
        <v>4</v>
      </c>
      <c r="I184" s="20" t="e">
        <f ca="1">INDIRECT(_xlfn.TEXTJOIN("",TRUE,A195,"!",ADDRESS(16+(A196-1)*A192,13)))</f>
        <v>#N/A</v>
      </c>
      <c r="J184" s="20" t="e">
        <f ca="1">INDIRECT(_xlfn.TEXTJOIN("",TRUE,A195,"!",ADDRESS(16+(A196-1)*A192,14)))</f>
        <v>#N/A</v>
      </c>
    </row>
    <row r="185" spans="1:10" ht="28" customHeight="1" x14ac:dyDescent="0.2">
      <c r="A185" s="96" t="str">
        <f ca="1">INDIRECT(_xlfn.TEXTJOIN("",TRUE,A195,"!",ADDRESS(17+(A196-1)*A192,1)))</f>
        <v>CAT 013</v>
      </c>
      <c r="B185" s="97"/>
      <c r="C185" s="106" t="str">
        <f ca="1">INDIRECT(_xlfn.TEXTJOIN("",TRUE,A195,"!",ADDRESS(17+(A196-1)*A192,2)))</f>
        <v>Artificial Intelligence</v>
      </c>
      <c r="D185" s="107"/>
      <c r="E185" s="107"/>
      <c r="F185" s="107"/>
      <c r="G185" s="108"/>
      <c r="H185" s="20">
        <f ca="1">INDIRECT(_xlfn.TEXTJOIN("",TRUE,A195,"!",ADDRESS(17+(A196-1)*A192,6)))</f>
        <v>4</v>
      </c>
      <c r="I185" s="20" t="e">
        <f ca="1">INDIRECT(_xlfn.TEXTJOIN("",TRUE,A195,"!",ADDRESS(17+(A196-1)*A192,13)))</f>
        <v>#N/A</v>
      </c>
      <c r="J185" s="20" t="e">
        <f ca="1">INDIRECT(_xlfn.TEXTJOIN("",TRUE,A195,"!",ADDRESS(17+(A196-1)*A192,14)))</f>
        <v>#N/A</v>
      </c>
    </row>
    <row r="186" spans="1:10" ht="28" customHeight="1" x14ac:dyDescent="0.2">
      <c r="A186" s="96" t="str">
        <f ca="1">INDIRECT(_xlfn.TEXTJOIN("",TRUE,A195,"!",ADDRESS(18+(A196-1)*A192,1)))</f>
        <v>AHT 304</v>
      </c>
      <c r="B186" s="97"/>
      <c r="C186" s="106" t="str">
        <f ca="1">INDIRECT(_xlfn.TEXTJOIN("",TRUE,A195,"!",ADDRESS(18+(A196-1)*A192,2)))</f>
        <v>Accounting and Financial Management ($)</v>
      </c>
      <c r="D186" s="107"/>
      <c r="E186" s="107"/>
      <c r="F186" s="107"/>
      <c r="G186" s="108"/>
      <c r="H186" s="20">
        <f ca="1">INDIRECT(_xlfn.TEXTJOIN("",TRUE,A195,"!",ADDRESS(18+(A196-1)*A192,6)))</f>
        <v>0</v>
      </c>
      <c r="I186" s="20" t="e">
        <f ca="1">INDIRECT(_xlfn.TEXTJOIN("",TRUE,A195,"!",ADDRESS(18+(A196-1)*A192,13)))</f>
        <v>#N/A</v>
      </c>
      <c r="J186" s="20" t="e">
        <f ca="1">INDIRECT(_xlfn.TEXTJOIN("",TRUE,A195,"!",ADDRESS(18+(A196-1)*A192,14)))</f>
        <v>#N/A</v>
      </c>
    </row>
    <row r="187" spans="1:10" ht="28" customHeight="1" x14ac:dyDescent="0.2">
      <c r="A187" s="96" t="str">
        <f ca="1">INDIRECT(_xlfn.TEXTJOIN("",TRUE,A195,"!",ADDRESS(19+(A196-1)*A192,1)))</f>
        <v>CAP 004</v>
      </c>
      <c r="B187" s="97"/>
      <c r="C187" s="106" t="str">
        <f ca="1">INDIRECT(_xlfn.TEXTJOIN("",TRUE,A195,"!",ADDRESS(19+(A196-1)*A192,2)))</f>
        <v>Data Structures and Analysis of Algorithms Lab</v>
      </c>
      <c r="D187" s="107"/>
      <c r="E187" s="107"/>
      <c r="F187" s="107"/>
      <c r="G187" s="108"/>
      <c r="H187" s="20">
        <f ca="1">INDIRECT(_xlfn.TEXTJOIN("",TRUE,A195,"!",ADDRESS(19+(A196-1)*A192,6)))</f>
        <v>1</v>
      </c>
      <c r="I187" s="20" t="e">
        <f ca="1">INDIRECT(_xlfn.TEXTJOIN("",TRUE,A195,"!",ADDRESS(19+(A196-1)*A192,13)))</f>
        <v>#N/A</v>
      </c>
      <c r="J187" s="20" t="e">
        <f ca="1">INDIRECT(_xlfn.TEXTJOIN("",TRUE,A195,"!",ADDRESS(19+(A196-1)*A192,14)))</f>
        <v>#N/A</v>
      </c>
    </row>
    <row r="188" spans="1:10" ht="28" customHeight="1" x14ac:dyDescent="0.2">
      <c r="A188" s="96" t="str">
        <f ca="1">INDIRECT(_xlfn.TEXTJOIN("",TRUE,A195,"!",ADDRESS(20+(A196-1)*A192,1)))</f>
        <v>CAP 005</v>
      </c>
      <c r="B188" s="97"/>
      <c r="C188" s="106" t="str">
        <f ca="1">INDIRECT(_xlfn.TEXTJOIN("",TRUE,A195,"!",ADDRESS(20+(A196-1)*A192,2)))</f>
        <v>Object Oriented Programming with JAVA Lab</v>
      </c>
      <c r="D188" s="107"/>
      <c r="E188" s="107"/>
      <c r="F188" s="107"/>
      <c r="G188" s="108"/>
      <c r="H188" s="20">
        <f ca="1">INDIRECT(_xlfn.TEXTJOIN("",TRUE,A195,"!",ADDRESS(20+(A196-1)*A192,6)))</f>
        <v>1</v>
      </c>
      <c r="I188" s="20" t="e">
        <f ca="1">INDIRECT(_xlfn.TEXTJOIN("",TRUE,A195,"!",ADDRESS(20+(A196-1)*A192,13)))</f>
        <v>#N/A</v>
      </c>
      <c r="J188" s="20" t="e">
        <f ca="1">INDIRECT(_xlfn.TEXTJOIN("",TRUE,A195,"!",ADDRESS(20+(A196-1)*A192,14)))</f>
        <v>#N/A</v>
      </c>
    </row>
    <row r="189" spans="1:10" ht="28" customHeight="1" x14ac:dyDescent="0.2">
      <c r="A189" s="96" t="str">
        <f ca="1">INDIRECT(_xlfn.TEXTJOIN("",TRUE,A195,"!",ADDRESS(21+(A196-1)*A192,1)))</f>
        <v>CAP 006</v>
      </c>
      <c r="B189" s="97"/>
      <c r="C189" s="106" t="str">
        <f ca="1">INDIRECT(_xlfn.TEXTJOIN("",TRUE,A195,"!",ADDRESS(21+(A196-1)*A192,2)))</f>
        <v>Computer Networks Lab</v>
      </c>
      <c r="D189" s="107"/>
      <c r="E189" s="107"/>
      <c r="F189" s="107"/>
      <c r="G189" s="108"/>
      <c r="H189" s="20">
        <f ca="1">INDIRECT(_xlfn.TEXTJOIN("",TRUE,A195,"!",ADDRESS(21+(A196-1)*A192,6)))</f>
        <v>1</v>
      </c>
      <c r="I189" s="20" t="e">
        <f ca="1">INDIRECT(_xlfn.TEXTJOIN("",TRUE,A195,"!",ADDRESS(21+(A196-1)*A192,13)))</f>
        <v>#N/A</v>
      </c>
      <c r="J189" s="20" t="e">
        <f ca="1">INDIRECT(_xlfn.TEXTJOIN("",TRUE,A195,"!",ADDRESS(21+(A196-1)*A192,14)))</f>
        <v>#N/A</v>
      </c>
    </row>
    <row r="190" spans="1:10" ht="28" customHeight="1" x14ac:dyDescent="0.2">
      <c r="A190" s="96" t="str">
        <f ca="1">INDIRECT(_xlfn.TEXTJOIN("",TRUE,A195,"!",ADDRESS(22+(A196-1)*A192,1)))</f>
        <v>CAP 007</v>
      </c>
      <c r="B190" s="97"/>
      <c r="C190" s="106" t="str">
        <f ca="1">INDIRECT(_xlfn.TEXTJOIN("",TRUE,A195,"!",ADDRESS(22+(A196-1)*A192,2)))</f>
        <v>Artificial Intelligence Lab</v>
      </c>
      <c r="D190" s="107"/>
      <c r="E190" s="107"/>
      <c r="F190" s="107"/>
      <c r="G190" s="108"/>
      <c r="H190" s="20">
        <f ca="1">INDIRECT(_xlfn.TEXTJOIN("",TRUE,A195,"!",ADDRESS(22+(A196-1)*A192,6)))</f>
        <v>1</v>
      </c>
      <c r="I190" s="20" t="e">
        <f ca="1">INDIRECT(_xlfn.TEXTJOIN("",TRUE,A195,"!",ADDRESS(22+(A196-1)*A192,13)))</f>
        <v>#N/A</v>
      </c>
      <c r="J190" s="20" t="e">
        <f ca="1">INDIRECT(_xlfn.TEXTJOIN("",TRUE,A195,"!",ADDRESS(22+(A196-1)*A192,14)))</f>
        <v>#N/A</v>
      </c>
    </row>
    <row r="191" spans="1:10" ht="28" customHeight="1" x14ac:dyDescent="0.2">
      <c r="A191" s="118" t="s">
        <v>52</v>
      </c>
      <c r="B191" s="118"/>
      <c r="C191" s="118"/>
      <c r="D191" s="118"/>
      <c r="E191" s="118"/>
      <c r="F191" s="118"/>
      <c r="G191" s="118"/>
      <c r="H191" s="16">
        <f ca="1">SUM(H181:H190)</f>
        <v>24</v>
      </c>
      <c r="I191" s="16" t="s">
        <v>44</v>
      </c>
      <c r="J191" s="16" t="e">
        <f ca="1">SUMPRODUCT(J181:J190,H181:H190)</f>
        <v>#N/A</v>
      </c>
    </row>
    <row r="192" spans="1:10" ht="28" customHeight="1" x14ac:dyDescent="0.2">
      <c r="A192" s="22">
        <f>ROWS(A181:B190)+9</f>
        <v>19</v>
      </c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1:10" ht="28" customHeight="1" x14ac:dyDescent="0.2">
      <c r="A193" s="120" t="s">
        <v>40</v>
      </c>
      <c r="B193" s="120"/>
      <c r="C193" s="21">
        <f ca="1">INDIRECT(_xlfn.TEXTJOIN("",TRUE,A195,"!",ADDRESS(5+A196*A192,12)))</f>
        <v>0</v>
      </c>
      <c r="D193" s="120" t="s">
        <v>38</v>
      </c>
      <c r="E193" s="120"/>
      <c r="F193" s="18" t="e">
        <f ca="1">INDIRECT(_xlfn.TEXTJOIN("",TRUE,A195,"!",ADDRESS(5+A196*A192,8)))</f>
        <v>#N/A</v>
      </c>
      <c r="G193" s="120" t="s">
        <v>39</v>
      </c>
      <c r="H193" s="120"/>
      <c r="I193" s="109" t="e">
        <f ca="1">INDIRECT(_xlfn.TEXTJOIN("",TRUE,A195,"!",ADDRESS(5+A196*A192,10)))</f>
        <v>#N/A</v>
      </c>
      <c r="J193" s="109"/>
    </row>
    <row r="194" spans="1:10" ht="28" customHeight="1" x14ac:dyDescent="0.2">
      <c r="A194" s="19" t="s">
        <v>36</v>
      </c>
      <c r="B194" s="95" t="e">
        <f ca="1">INDIRECT(_xlfn.TEXTJOIN("",TRUE,A195,"!",ADDRESS(5+A196*A192,2)))</f>
        <v>#N/A</v>
      </c>
      <c r="C194" s="95"/>
      <c r="D194" s="121" t="s">
        <v>37</v>
      </c>
      <c r="E194" s="121"/>
      <c r="F194" s="122" t="e">
        <f ca="1">INDIRECT(_xlfn.TEXTJOIN("",TRUE,A195,"!",ADDRESS(5+A196*A192,5)))</f>
        <v>#N/A</v>
      </c>
      <c r="G194" s="122"/>
      <c r="H194" s="122"/>
      <c r="I194" s="122"/>
      <c r="J194" s="122"/>
    </row>
    <row r="195" spans="1:10" ht="28" customHeight="1" x14ac:dyDescent="0.2">
      <c r="A195" s="22" t="str">
        <f>A176</f>
        <v>TC_II</v>
      </c>
    </row>
    <row r="196" spans="1:10" ht="28" customHeight="1" x14ac:dyDescent="0.2">
      <c r="A196" s="22">
        <f>A177+1</f>
        <v>10</v>
      </c>
    </row>
    <row r="197" spans="1:10" ht="28" customHeight="1" x14ac:dyDescent="0.2">
      <c r="A197" s="112" t="s">
        <v>24</v>
      </c>
      <c r="B197" s="112"/>
      <c r="C197" s="112" t="str">
        <f ca="1">INDIRECT(_xlfn.TEXTJOIN("",TRUE,A214,"!",ADDRESS(9+(A215-1)*A211,2)))</f>
        <v>DIKSHA PHARTYAL</v>
      </c>
      <c r="D197" s="112"/>
      <c r="E197" s="112"/>
      <c r="F197" s="112" t="s">
        <v>50</v>
      </c>
      <c r="G197" s="112"/>
      <c r="H197" s="112"/>
      <c r="I197" s="113">
        <f ca="1">INDIRECT(_xlfn.TEXTJOIN("",TRUE,A214,"!",ADDRESS(9+(A215-1)*A211,9)))</f>
        <v>240090600011</v>
      </c>
      <c r="J197" s="113"/>
    </row>
    <row r="198" spans="1:10" ht="28" customHeight="1" x14ac:dyDescent="0.2">
      <c r="A198" s="112" t="s">
        <v>25</v>
      </c>
      <c r="B198" s="112"/>
      <c r="C198" s="112" t="str">
        <f ca="1">INDIRECT(_xlfn.TEXTJOIN("",TRUE,A214,"!",ADDRESS(9+(A215-1)*A211,5)))</f>
        <v>UPENDRA SINGH PHARTYAL</v>
      </c>
      <c r="D198" s="112"/>
      <c r="E198" s="112"/>
      <c r="F198" s="114" t="s">
        <v>51</v>
      </c>
      <c r="G198" s="114"/>
      <c r="H198" s="114"/>
      <c r="I198" s="113" t="str">
        <f ca="1">INDIRECT(_xlfn.TEXTJOIN("",TRUE,A214,"!",ADDRESS(9+(A215-1)*A211,13)))</f>
        <v>UTU/2406100185</v>
      </c>
      <c r="J198" s="113"/>
    </row>
    <row r="199" spans="1:10" ht="28" customHeight="1" x14ac:dyDescent="0.2">
      <c r="A199" s="95" t="s">
        <v>28</v>
      </c>
      <c r="B199" s="95"/>
      <c r="C199" s="95" t="s">
        <v>29</v>
      </c>
      <c r="D199" s="95"/>
      <c r="E199" s="95"/>
      <c r="F199" s="95"/>
      <c r="G199" s="95"/>
      <c r="H199" s="15" t="s">
        <v>30</v>
      </c>
      <c r="I199" s="15" t="s">
        <v>9</v>
      </c>
      <c r="J199" s="15" t="s">
        <v>34</v>
      </c>
    </row>
    <row r="200" spans="1:10" ht="28" customHeight="1" x14ac:dyDescent="0.2">
      <c r="A200" s="96" t="str">
        <f ca="1">INDIRECT(_xlfn.TEXTJOIN("",TRUE,A214,"!",ADDRESS(13+(A215-1)*A211,1)))</f>
        <v>CAT 009</v>
      </c>
      <c r="B200" s="97"/>
      <c r="C200" s="106" t="str">
        <f ca="1">INDIRECT(_xlfn.TEXTJOIN("",TRUE,A214,"!",ADDRESS(13+(A215-1)*A211,2)))</f>
        <v>Computer Based Numerical and Statistical Techniques</v>
      </c>
      <c r="D200" s="107"/>
      <c r="E200" s="107"/>
      <c r="F200" s="107"/>
      <c r="G200" s="108"/>
      <c r="H200" s="20">
        <f ca="1">INDIRECT(_xlfn.TEXTJOIN("",TRUE,A214,"!",ADDRESS(13+(A215-1)*A211,6)))</f>
        <v>4</v>
      </c>
      <c r="I200" s="20" t="e">
        <f ca="1">INDIRECT(_xlfn.TEXTJOIN("",TRUE,A214,"!",ADDRESS(13+(A215-1)*A211,13)))</f>
        <v>#N/A</v>
      </c>
      <c r="J200" s="20" t="e">
        <f ca="1">INDIRECT(_xlfn.TEXTJOIN("",TRUE,A214,"!",ADDRESS(13+(A215-1)*A211,14)))</f>
        <v>#N/A</v>
      </c>
    </row>
    <row r="201" spans="1:10" ht="28" customHeight="1" x14ac:dyDescent="0.2">
      <c r="A201" s="96" t="str">
        <f ca="1">INDIRECT(_xlfn.TEXTJOIN("",TRUE,A214,"!",ADDRESS(14+(A215-1)*A211,1)))</f>
        <v>CAT 010</v>
      </c>
      <c r="B201" s="97"/>
      <c r="C201" s="106" t="str">
        <f ca="1">INDIRECT(_xlfn.TEXTJOIN("",TRUE,A214,"!",ADDRESS(14+(A215-1)*A211,2)))</f>
        <v>Data Structures and Analysis of Algorithms</v>
      </c>
      <c r="D201" s="107"/>
      <c r="E201" s="107"/>
      <c r="F201" s="107"/>
      <c r="G201" s="108"/>
      <c r="H201" s="20">
        <f ca="1">INDIRECT(_xlfn.TEXTJOIN("",TRUE,A214,"!",ADDRESS(14+(A215-1)*A211,6)))</f>
        <v>4</v>
      </c>
      <c r="I201" s="20" t="e">
        <f ca="1">INDIRECT(_xlfn.TEXTJOIN("",TRUE,A214,"!",ADDRESS(14+(A215-1)*A211,13)))</f>
        <v>#N/A</v>
      </c>
      <c r="J201" s="20" t="e">
        <f ca="1">INDIRECT(_xlfn.TEXTJOIN("",TRUE,A214,"!",ADDRESS(14+(A215-1)*A211,14)))</f>
        <v>#N/A</v>
      </c>
    </row>
    <row r="202" spans="1:10" ht="28" customHeight="1" x14ac:dyDescent="0.2">
      <c r="A202" s="96" t="str">
        <f ca="1">INDIRECT(_xlfn.TEXTJOIN("",TRUE,A214,"!",ADDRESS(15+(A215-1)*A211,1)))</f>
        <v>CAT 011</v>
      </c>
      <c r="B202" s="97"/>
      <c r="C202" s="106" t="str">
        <f ca="1">INDIRECT(_xlfn.TEXTJOIN("",TRUE,A214,"!",ADDRESS(15+(A215-1)*A211,2)))</f>
        <v>Object Oriented Programming with JAVA</v>
      </c>
      <c r="D202" s="107"/>
      <c r="E202" s="107"/>
      <c r="F202" s="107"/>
      <c r="G202" s="108"/>
      <c r="H202" s="20">
        <f ca="1">INDIRECT(_xlfn.TEXTJOIN("",TRUE,A214,"!",ADDRESS(15+(A215-1)*A211,6)))</f>
        <v>4</v>
      </c>
      <c r="I202" s="20" t="e">
        <f ca="1">INDIRECT(_xlfn.TEXTJOIN("",TRUE,A214,"!",ADDRESS(15+(A215-1)*A211,13)))</f>
        <v>#N/A</v>
      </c>
      <c r="J202" s="20" t="e">
        <f ca="1">INDIRECT(_xlfn.TEXTJOIN("",TRUE,A214,"!",ADDRESS(15+(A215-1)*A211,14)))</f>
        <v>#N/A</v>
      </c>
    </row>
    <row r="203" spans="1:10" ht="28" customHeight="1" x14ac:dyDescent="0.2">
      <c r="A203" s="96" t="str">
        <f ca="1">INDIRECT(_xlfn.TEXTJOIN("",TRUE,A214,"!",ADDRESS(16+(A215-1)*A211,1)))</f>
        <v>CAT 012</v>
      </c>
      <c r="B203" s="97"/>
      <c r="C203" s="106" t="str">
        <f ca="1">INDIRECT(_xlfn.TEXTJOIN("",TRUE,A214,"!",ADDRESS(16+(A215-1)*A211,2)))</f>
        <v>Computer Networks</v>
      </c>
      <c r="D203" s="107"/>
      <c r="E203" s="107"/>
      <c r="F203" s="107"/>
      <c r="G203" s="108"/>
      <c r="H203" s="20">
        <f ca="1">INDIRECT(_xlfn.TEXTJOIN("",TRUE,A214,"!",ADDRESS(16+(A215-1)*A211,6)))</f>
        <v>4</v>
      </c>
      <c r="I203" s="20" t="e">
        <f ca="1">INDIRECT(_xlfn.TEXTJOIN("",TRUE,A214,"!",ADDRESS(16+(A215-1)*A211,13)))</f>
        <v>#N/A</v>
      </c>
      <c r="J203" s="20" t="e">
        <f ca="1">INDIRECT(_xlfn.TEXTJOIN("",TRUE,A214,"!",ADDRESS(16+(A215-1)*A211,14)))</f>
        <v>#N/A</v>
      </c>
    </row>
    <row r="204" spans="1:10" ht="28" customHeight="1" x14ac:dyDescent="0.2">
      <c r="A204" s="96" t="str">
        <f ca="1">INDIRECT(_xlfn.TEXTJOIN("",TRUE,A214,"!",ADDRESS(17+(A215-1)*A211,1)))</f>
        <v>CAT 013</v>
      </c>
      <c r="B204" s="97"/>
      <c r="C204" s="106" t="str">
        <f ca="1">INDIRECT(_xlfn.TEXTJOIN("",TRUE,A214,"!",ADDRESS(17+(A215-1)*A211,2)))</f>
        <v>Artificial Intelligence</v>
      </c>
      <c r="D204" s="107"/>
      <c r="E204" s="107"/>
      <c r="F204" s="107"/>
      <c r="G204" s="108"/>
      <c r="H204" s="20">
        <f ca="1">INDIRECT(_xlfn.TEXTJOIN("",TRUE,A214,"!",ADDRESS(17+(A215-1)*A211,6)))</f>
        <v>4</v>
      </c>
      <c r="I204" s="20" t="e">
        <f ca="1">INDIRECT(_xlfn.TEXTJOIN("",TRUE,A214,"!",ADDRESS(17+(A215-1)*A211,13)))</f>
        <v>#N/A</v>
      </c>
      <c r="J204" s="20" t="e">
        <f ca="1">INDIRECT(_xlfn.TEXTJOIN("",TRUE,A214,"!",ADDRESS(17+(A215-1)*A211,14)))</f>
        <v>#N/A</v>
      </c>
    </row>
    <row r="205" spans="1:10" ht="28" customHeight="1" x14ac:dyDescent="0.2">
      <c r="A205" s="96" t="str">
        <f ca="1">INDIRECT(_xlfn.TEXTJOIN("",TRUE,A214,"!",ADDRESS(18+(A215-1)*A211,1)))</f>
        <v>AHT 304</v>
      </c>
      <c r="B205" s="97"/>
      <c r="C205" s="106" t="str">
        <f ca="1">INDIRECT(_xlfn.TEXTJOIN("",TRUE,A214,"!",ADDRESS(18+(A215-1)*A211,2)))</f>
        <v>Accounting and Financial Management ($)</v>
      </c>
      <c r="D205" s="107"/>
      <c r="E205" s="107"/>
      <c r="F205" s="107"/>
      <c r="G205" s="108"/>
      <c r="H205" s="20">
        <f ca="1">INDIRECT(_xlfn.TEXTJOIN("",TRUE,A214,"!",ADDRESS(18+(A215-1)*A211,6)))</f>
        <v>0</v>
      </c>
      <c r="I205" s="20" t="e">
        <f ca="1">INDIRECT(_xlfn.TEXTJOIN("",TRUE,A214,"!",ADDRESS(18+(A215-1)*A211,13)))</f>
        <v>#N/A</v>
      </c>
      <c r="J205" s="20" t="e">
        <f ca="1">INDIRECT(_xlfn.TEXTJOIN("",TRUE,A214,"!",ADDRESS(18+(A215-1)*A211,14)))</f>
        <v>#N/A</v>
      </c>
    </row>
    <row r="206" spans="1:10" ht="28" customHeight="1" x14ac:dyDescent="0.2">
      <c r="A206" s="96" t="str">
        <f ca="1">INDIRECT(_xlfn.TEXTJOIN("",TRUE,A214,"!",ADDRESS(19+(A215-1)*A211,1)))</f>
        <v>CAP 004</v>
      </c>
      <c r="B206" s="97"/>
      <c r="C206" s="106" t="str">
        <f ca="1">INDIRECT(_xlfn.TEXTJOIN("",TRUE,A214,"!",ADDRESS(19+(A215-1)*A211,2)))</f>
        <v>Data Structures and Analysis of Algorithms Lab</v>
      </c>
      <c r="D206" s="107"/>
      <c r="E206" s="107"/>
      <c r="F206" s="107"/>
      <c r="G206" s="108"/>
      <c r="H206" s="20">
        <f ca="1">INDIRECT(_xlfn.TEXTJOIN("",TRUE,A214,"!",ADDRESS(19+(A215-1)*A211,6)))</f>
        <v>1</v>
      </c>
      <c r="I206" s="20" t="e">
        <f ca="1">INDIRECT(_xlfn.TEXTJOIN("",TRUE,A214,"!",ADDRESS(19+(A215-1)*A211,13)))</f>
        <v>#N/A</v>
      </c>
      <c r="J206" s="20" t="e">
        <f ca="1">INDIRECT(_xlfn.TEXTJOIN("",TRUE,A214,"!",ADDRESS(19+(A215-1)*A211,14)))</f>
        <v>#N/A</v>
      </c>
    </row>
    <row r="207" spans="1:10" ht="28" customHeight="1" x14ac:dyDescent="0.2">
      <c r="A207" s="96" t="str">
        <f ca="1">INDIRECT(_xlfn.TEXTJOIN("",TRUE,A214,"!",ADDRESS(20+(A215-1)*A211,1)))</f>
        <v>CAP 005</v>
      </c>
      <c r="B207" s="97"/>
      <c r="C207" s="106" t="str">
        <f ca="1">INDIRECT(_xlfn.TEXTJOIN("",TRUE,A214,"!",ADDRESS(20+(A215-1)*A211,2)))</f>
        <v>Object Oriented Programming with JAVA Lab</v>
      </c>
      <c r="D207" s="107"/>
      <c r="E207" s="107"/>
      <c r="F207" s="107"/>
      <c r="G207" s="108"/>
      <c r="H207" s="20">
        <f ca="1">INDIRECT(_xlfn.TEXTJOIN("",TRUE,A214,"!",ADDRESS(20+(A215-1)*A211,6)))</f>
        <v>1</v>
      </c>
      <c r="I207" s="20" t="e">
        <f ca="1">INDIRECT(_xlfn.TEXTJOIN("",TRUE,A214,"!",ADDRESS(20+(A215-1)*A211,13)))</f>
        <v>#N/A</v>
      </c>
      <c r="J207" s="20" t="e">
        <f ca="1">INDIRECT(_xlfn.TEXTJOIN("",TRUE,A214,"!",ADDRESS(20+(A215-1)*A211,14)))</f>
        <v>#N/A</v>
      </c>
    </row>
    <row r="208" spans="1:10" ht="28" customHeight="1" x14ac:dyDescent="0.2">
      <c r="A208" s="96" t="str">
        <f ca="1">INDIRECT(_xlfn.TEXTJOIN("",TRUE,A214,"!",ADDRESS(21+(A215-1)*A211,1)))</f>
        <v>CAP 006</v>
      </c>
      <c r="B208" s="97"/>
      <c r="C208" s="106" t="str">
        <f ca="1">INDIRECT(_xlfn.TEXTJOIN("",TRUE,A214,"!",ADDRESS(21+(A215-1)*A211,2)))</f>
        <v>Computer Networks Lab</v>
      </c>
      <c r="D208" s="107"/>
      <c r="E208" s="107"/>
      <c r="F208" s="107"/>
      <c r="G208" s="108"/>
      <c r="H208" s="20">
        <f ca="1">INDIRECT(_xlfn.TEXTJOIN("",TRUE,A214,"!",ADDRESS(21+(A215-1)*A211,6)))</f>
        <v>1</v>
      </c>
      <c r="I208" s="20" t="e">
        <f ca="1">INDIRECT(_xlfn.TEXTJOIN("",TRUE,A214,"!",ADDRESS(21+(A215-1)*A211,13)))</f>
        <v>#N/A</v>
      </c>
      <c r="J208" s="20" t="e">
        <f ca="1">INDIRECT(_xlfn.TEXTJOIN("",TRUE,A214,"!",ADDRESS(21+(A215-1)*A211,14)))</f>
        <v>#N/A</v>
      </c>
    </row>
    <row r="209" spans="1:10" ht="28" customHeight="1" x14ac:dyDescent="0.2">
      <c r="A209" s="96" t="str">
        <f ca="1">INDIRECT(_xlfn.TEXTJOIN("",TRUE,A214,"!",ADDRESS(22+(A215-1)*A211,1)))</f>
        <v>CAP 007</v>
      </c>
      <c r="B209" s="97"/>
      <c r="C209" s="106" t="str">
        <f ca="1">INDIRECT(_xlfn.TEXTJOIN("",TRUE,A214,"!",ADDRESS(22+(A215-1)*A211,2)))</f>
        <v>Artificial Intelligence Lab</v>
      </c>
      <c r="D209" s="107"/>
      <c r="E209" s="107"/>
      <c r="F209" s="107"/>
      <c r="G209" s="108"/>
      <c r="H209" s="20">
        <f ca="1">INDIRECT(_xlfn.TEXTJOIN("",TRUE,A214,"!",ADDRESS(22+(A215-1)*A211,6)))</f>
        <v>1</v>
      </c>
      <c r="I209" s="20" t="e">
        <f ca="1">INDIRECT(_xlfn.TEXTJOIN("",TRUE,A214,"!",ADDRESS(22+(A215-1)*A211,13)))</f>
        <v>#N/A</v>
      </c>
      <c r="J209" s="20" t="e">
        <f ca="1">INDIRECT(_xlfn.TEXTJOIN("",TRUE,A214,"!",ADDRESS(22+(A215-1)*A211,14)))</f>
        <v>#N/A</v>
      </c>
    </row>
    <row r="210" spans="1:10" ht="28" customHeight="1" x14ac:dyDescent="0.2">
      <c r="A210" s="118" t="s">
        <v>52</v>
      </c>
      <c r="B210" s="118"/>
      <c r="C210" s="118"/>
      <c r="D210" s="118"/>
      <c r="E210" s="118"/>
      <c r="F210" s="118"/>
      <c r="G210" s="118"/>
      <c r="H210" s="16">
        <f ca="1">SUM(H200:H209)</f>
        <v>24</v>
      </c>
      <c r="I210" s="16" t="s">
        <v>44</v>
      </c>
      <c r="J210" s="16" t="e">
        <f ca="1">SUMPRODUCT(J200:J209,H200:H209)</f>
        <v>#N/A</v>
      </c>
    </row>
    <row r="211" spans="1:10" ht="28" customHeight="1" x14ac:dyDescent="0.2">
      <c r="A211" s="22">
        <f>ROWS(A200:B209)+9</f>
        <v>19</v>
      </c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1:10" ht="28" customHeight="1" x14ac:dyDescent="0.2">
      <c r="A212" s="120" t="s">
        <v>40</v>
      </c>
      <c r="B212" s="120"/>
      <c r="C212" s="21">
        <f ca="1">INDIRECT(_xlfn.TEXTJOIN("",TRUE,A214,"!",ADDRESS(5+A215*A211,12)))</f>
        <v>0</v>
      </c>
      <c r="D212" s="120" t="s">
        <v>38</v>
      </c>
      <c r="E212" s="120"/>
      <c r="F212" s="18" t="e">
        <f ca="1">INDIRECT(_xlfn.TEXTJOIN("",TRUE,A214,"!",ADDRESS(5+A215*A211,8)))</f>
        <v>#N/A</v>
      </c>
      <c r="G212" s="120" t="s">
        <v>39</v>
      </c>
      <c r="H212" s="120"/>
      <c r="I212" s="109" t="e">
        <f ca="1">INDIRECT(_xlfn.TEXTJOIN("",TRUE,A214,"!",ADDRESS(5+A215*A211,10)))</f>
        <v>#N/A</v>
      </c>
      <c r="J212" s="109"/>
    </row>
    <row r="213" spans="1:10" ht="28" customHeight="1" x14ac:dyDescent="0.2">
      <c r="A213" s="19" t="s">
        <v>36</v>
      </c>
      <c r="B213" s="95" t="e">
        <f ca="1">INDIRECT(_xlfn.TEXTJOIN("",TRUE,A214,"!",ADDRESS(5+A215*A211,2)))</f>
        <v>#N/A</v>
      </c>
      <c r="C213" s="95"/>
      <c r="D213" s="121" t="s">
        <v>37</v>
      </c>
      <c r="E213" s="121"/>
      <c r="F213" s="122" t="e">
        <f ca="1">INDIRECT(_xlfn.TEXTJOIN("",TRUE,A214,"!",ADDRESS(5+A215*A211,5)))</f>
        <v>#N/A</v>
      </c>
      <c r="G213" s="122"/>
      <c r="H213" s="122"/>
      <c r="I213" s="122"/>
      <c r="J213" s="122"/>
    </row>
    <row r="214" spans="1:10" ht="28" customHeight="1" x14ac:dyDescent="0.2">
      <c r="A214" s="22" t="str">
        <f>A195</f>
        <v>TC_II</v>
      </c>
    </row>
    <row r="215" spans="1:10" ht="28" customHeight="1" x14ac:dyDescent="0.2">
      <c r="A215" s="22">
        <f>A196+1</f>
        <v>11</v>
      </c>
    </row>
    <row r="216" spans="1:10" ht="28" customHeight="1" x14ac:dyDescent="0.2">
      <c r="A216" s="112" t="s">
        <v>24</v>
      </c>
      <c r="B216" s="112"/>
      <c r="C216" s="112" t="str">
        <f ca="1">INDIRECT(_xlfn.TEXTJOIN("",TRUE,A233,"!",ADDRESS(9+(A234-1)*A230,2)))</f>
        <v>KAMAL SINGH BISHT</v>
      </c>
      <c r="D216" s="112"/>
      <c r="E216" s="112"/>
      <c r="F216" s="112" t="s">
        <v>50</v>
      </c>
      <c r="G216" s="112"/>
      <c r="H216" s="112"/>
      <c r="I216" s="113">
        <f ca="1">INDIRECT(_xlfn.TEXTJOIN("",TRUE,A233,"!",ADDRESS(9+(A234-1)*A230,9)))</f>
        <v>240090600012</v>
      </c>
      <c r="J216" s="113"/>
    </row>
    <row r="217" spans="1:10" ht="28" customHeight="1" x14ac:dyDescent="0.2">
      <c r="A217" s="112" t="s">
        <v>25</v>
      </c>
      <c r="B217" s="112"/>
      <c r="C217" s="112" t="str">
        <f ca="1">INDIRECT(_xlfn.TEXTJOIN("",TRUE,A233,"!",ADDRESS(9+(A234-1)*A230,5)))</f>
        <v>SHIV SINGH BISHT</v>
      </c>
      <c r="D217" s="112"/>
      <c r="E217" s="112"/>
      <c r="F217" s="114" t="s">
        <v>51</v>
      </c>
      <c r="G217" s="114"/>
      <c r="H217" s="114"/>
      <c r="I217" s="113" t="str">
        <f ca="1">INDIRECT(_xlfn.TEXTJOIN("",TRUE,A233,"!",ADDRESS(9+(A234-1)*A230,13)))</f>
        <v>UTU/2406100182</v>
      </c>
      <c r="J217" s="113"/>
    </row>
    <row r="218" spans="1:10" ht="28" customHeight="1" x14ac:dyDescent="0.2">
      <c r="A218" s="95" t="s">
        <v>28</v>
      </c>
      <c r="B218" s="95"/>
      <c r="C218" s="95" t="s">
        <v>29</v>
      </c>
      <c r="D218" s="95"/>
      <c r="E218" s="95"/>
      <c r="F218" s="95"/>
      <c r="G218" s="95"/>
      <c r="H218" s="15" t="s">
        <v>30</v>
      </c>
      <c r="I218" s="15" t="s">
        <v>9</v>
      </c>
      <c r="J218" s="15" t="s">
        <v>34</v>
      </c>
    </row>
    <row r="219" spans="1:10" ht="28" customHeight="1" x14ac:dyDescent="0.2">
      <c r="A219" s="96" t="str">
        <f ca="1">INDIRECT(_xlfn.TEXTJOIN("",TRUE,A233,"!",ADDRESS(13+(A234-1)*A230,1)))</f>
        <v>CAT 009</v>
      </c>
      <c r="B219" s="97"/>
      <c r="C219" s="106" t="str">
        <f ca="1">INDIRECT(_xlfn.TEXTJOIN("",TRUE,A233,"!",ADDRESS(13+(A234-1)*A230,2)))</f>
        <v>Computer Based Numerical and Statistical Techniques</v>
      </c>
      <c r="D219" s="107"/>
      <c r="E219" s="107"/>
      <c r="F219" s="107"/>
      <c r="G219" s="108"/>
      <c r="H219" s="20">
        <f ca="1">INDIRECT(_xlfn.TEXTJOIN("",TRUE,A233,"!",ADDRESS(13+(A234-1)*A230,6)))</f>
        <v>4</v>
      </c>
      <c r="I219" s="20" t="e">
        <f ca="1">INDIRECT(_xlfn.TEXTJOIN("",TRUE,A233,"!",ADDRESS(13+(A234-1)*A230,13)))</f>
        <v>#N/A</v>
      </c>
      <c r="J219" s="20" t="e">
        <f ca="1">INDIRECT(_xlfn.TEXTJOIN("",TRUE,A233,"!",ADDRESS(13+(A234-1)*A230,14)))</f>
        <v>#N/A</v>
      </c>
    </row>
    <row r="220" spans="1:10" ht="28" customHeight="1" x14ac:dyDescent="0.2">
      <c r="A220" s="96" t="str">
        <f ca="1">INDIRECT(_xlfn.TEXTJOIN("",TRUE,A233,"!",ADDRESS(14+(A234-1)*A230,1)))</f>
        <v>CAT 010</v>
      </c>
      <c r="B220" s="97"/>
      <c r="C220" s="106" t="str">
        <f ca="1">INDIRECT(_xlfn.TEXTJOIN("",TRUE,A233,"!",ADDRESS(14+(A234-1)*A230,2)))</f>
        <v>Data Structures and Analysis of Algorithms</v>
      </c>
      <c r="D220" s="107"/>
      <c r="E220" s="107"/>
      <c r="F220" s="107"/>
      <c r="G220" s="108"/>
      <c r="H220" s="20">
        <f ca="1">INDIRECT(_xlfn.TEXTJOIN("",TRUE,A233,"!",ADDRESS(14+(A234-1)*A230,6)))</f>
        <v>4</v>
      </c>
      <c r="I220" s="20" t="e">
        <f ca="1">INDIRECT(_xlfn.TEXTJOIN("",TRUE,A233,"!",ADDRESS(14+(A234-1)*A230,13)))</f>
        <v>#N/A</v>
      </c>
      <c r="J220" s="20" t="e">
        <f ca="1">INDIRECT(_xlfn.TEXTJOIN("",TRUE,A233,"!",ADDRESS(14+(A234-1)*A230,14)))</f>
        <v>#N/A</v>
      </c>
    </row>
    <row r="221" spans="1:10" ht="28" customHeight="1" x14ac:dyDescent="0.2">
      <c r="A221" s="96" t="str">
        <f ca="1">INDIRECT(_xlfn.TEXTJOIN("",TRUE,A233,"!",ADDRESS(15+(A234-1)*A230,1)))</f>
        <v>CAT 011</v>
      </c>
      <c r="B221" s="97"/>
      <c r="C221" s="106" t="str">
        <f ca="1">INDIRECT(_xlfn.TEXTJOIN("",TRUE,A233,"!",ADDRESS(15+(A234-1)*A230,2)))</f>
        <v>Object Oriented Programming with JAVA</v>
      </c>
      <c r="D221" s="107"/>
      <c r="E221" s="107"/>
      <c r="F221" s="107"/>
      <c r="G221" s="108"/>
      <c r="H221" s="20">
        <f ca="1">INDIRECT(_xlfn.TEXTJOIN("",TRUE,A233,"!",ADDRESS(15+(A234-1)*A230,6)))</f>
        <v>4</v>
      </c>
      <c r="I221" s="20" t="e">
        <f ca="1">INDIRECT(_xlfn.TEXTJOIN("",TRUE,A233,"!",ADDRESS(15+(A234-1)*A230,13)))</f>
        <v>#N/A</v>
      </c>
      <c r="J221" s="20" t="e">
        <f ca="1">INDIRECT(_xlfn.TEXTJOIN("",TRUE,A233,"!",ADDRESS(15+(A234-1)*A230,14)))</f>
        <v>#N/A</v>
      </c>
    </row>
    <row r="222" spans="1:10" ht="28" customHeight="1" x14ac:dyDescent="0.2">
      <c r="A222" s="96" t="str">
        <f ca="1">INDIRECT(_xlfn.TEXTJOIN("",TRUE,A233,"!",ADDRESS(16+(A234-1)*A230,1)))</f>
        <v>CAT 012</v>
      </c>
      <c r="B222" s="97"/>
      <c r="C222" s="106" t="str">
        <f ca="1">INDIRECT(_xlfn.TEXTJOIN("",TRUE,A233,"!",ADDRESS(16+(A234-1)*A230,2)))</f>
        <v>Computer Networks</v>
      </c>
      <c r="D222" s="107"/>
      <c r="E222" s="107"/>
      <c r="F222" s="107"/>
      <c r="G222" s="108"/>
      <c r="H222" s="20">
        <f ca="1">INDIRECT(_xlfn.TEXTJOIN("",TRUE,A233,"!",ADDRESS(16+(A234-1)*A230,6)))</f>
        <v>4</v>
      </c>
      <c r="I222" s="20" t="e">
        <f ca="1">INDIRECT(_xlfn.TEXTJOIN("",TRUE,A233,"!",ADDRESS(16+(A234-1)*A230,13)))</f>
        <v>#N/A</v>
      </c>
      <c r="J222" s="20" t="e">
        <f ca="1">INDIRECT(_xlfn.TEXTJOIN("",TRUE,A233,"!",ADDRESS(16+(A234-1)*A230,14)))</f>
        <v>#N/A</v>
      </c>
    </row>
    <row r="223" spans="1:10" ht="28" customHeight="1" x14ac:dyDescent="0.2">
      <c r="A223" s="96" t="str">
        <f ca="1">INDIRECT(_xlfn.TEXTJOIN("",TRUE,A233,"!",ADDRESS(17+(A234-1)*A230,1)))</f>
        <v>CAT 013</v>
      </c>
      <c r="B223" s="97"/>
      <c r="C223" s="106" t="str">
        <f ca="1">INDIRECT(_xlfn.TEXTJOIN("",TRUE,A233,"!",ADDRESS(17+(A234-1)*A230,2)))</f>
        <v>Artificial Intelligence</v>
      </c>
      <c r="D223" s="107"/>
      <c r="E223" s="107"/>
      <c r="F223" s="107"/>
      <c r="G223" s="108"/>
      <c r="H223" s="20">
        <f ca="1">INDIRECT(_xlfn.TEXTJOIN("",TRUE,A233,"!",ADDRESS(17+(A234-1)*A230,6)))</f>
        <v>4</v>
      </c>
      <c r="I223" s="20" t="e">
        <f ca="1">INDIRECT(_xlfn.TEXTJOIN("",TRUE,A233,"!",ADDRESS(17+(A234-1)*A230,13)))</f>
        <v>#N/A</v>
      </c>
      <c r="J223" s="20" t="e">
        <f ca="1">INDIRECT(_xlfn.TEXTJOIN("",TRUE,A233,"!",ADDRESS(17+(A234-1)*A230,14)))</f>
        <v>#N/A</v>
      </c>
    </row>
    <row r="224" spans="1:10" ht="28" customHeight="1" x14ac:dyDescent="0.2">
      <c r="A224" s="96" t="str">
        <f ca="1">INDIRECT(_xlfn.TEXTJOIN("",TRUE,A233,"!",ADDRESS(18+(A234-1)*A230,1)))</f>
        <v>AHT 304</v>
      </c>
      <c r="B224" s="97"/>
      <c r="C224" s="106" t="str">
        <f ca="1">INDIRECT(_xlfn.TEXTJOIN("",TRUE,A233,"!",ADDRESS(18+(A234-1)*A230,2)))</f>
        <v>Accounting and Financial Management ($)</v>
      </c>
      <c r="D224" s="107"/>
      <c r="E224" s="107"/>
      <c r="F224" s="107"/>
      <c r="G224" s="108"/>
      <c r="H224" s="20">
        <f ca="1">INDIRECT(_xlfn.TEXTJOIN("",TRUE,A233,"!",ADDRESS(18+(A234-1)*A230,6)))</f>
        <v>0</v>
      </c>
      <c r="I224" s="20" t="e">
        <f ca="1">INDIRECT(_xlfn.TEXTJOIN("",TRUE,A233,"!",ADDRESS(18+(A234-1)*A230,13)))</f>
        <v>#N/A</v>
      </c>
      <c r="J224" s="20" t="e">
        <f ca="1">INDIRECT(_xlfn.TEXTJOIN("",TRUE,A233,"!",ADDRESS(18+(A234-1)*A230,14)))</f>
        <v>#N/A</v>
      </c>
    </row>
    <row r="225" spans="1:10" ht="28" customHeight="1" x14ac:dyDescent="0.2">
      <c r="A225" s="96" t="str">
        <f ca="1">INDIRECT(_xlfn.TEXTJOIN("",TRUE,A233,"!",ADDRESS(19+(A234-1)*A230,1)))</f>
        <v>CAP 004</v>
      </c>
      <c r="B225" s="97"/>
      <c r="C225" s="106" t="str">
        <f ca="1">INDIRECT(_xlfn.TEXTJOIN("",TRUE,A233,"!",ADDRESS(19+(A234-1)*A230,2)))</f>
        <v>Data Structures and Analysis of Algorithms Lab</v>
      </c>
      <c r="D225" s="107"/>
      <c r="E225" s="107"/>
      <c r="F225" s="107"/>
      <c r="G225" s="108"/>
      <c r="H225" s="20">
        <f ca="1">INDIRECT(_xlfn.TEXTJOIN("",TRUE,A233,"!",ADDRESS(19+(A234-1)*A230,6)))</f>
        <v>1</v>
      </c>
      <c r="I225" s="20" t="e">
        <f ca="1">INDIRECT(_xlfn.TEXTJOIN("",TRUE,A233,"!",ADDRESS(19+(A234-1)*A230,13)))</f>
        <v>#N/A</v>
      </c>
      <c r="J225" s="20" t="e">
        <f ca="1">INDIRECT(_xlfn.TEXTJOIN("",TRUE,A233,"!",ADDRESS(19+(A234-1)*A230,14)))</f>
        <v>#N/A</v>
      </c>
    </row>
    <row r="226" spans="1:10" ht="28" customHeight="1" x14ac:dyDescent="0.2">
      <c r="A226" s="96" t="str">
        <f ca="1">INDIRECT(_xlfn.TEXTJOIN("",TRUE,A233,"!",ADDRESS(20+(A234-1)*A230,1)))</f>
        <v>CAP 005</v>
      </c>
      <c r="B226" s="97"/>
      <c r="C226" s="106" t="str">
        <f ca="1">INDIRECT(_xlfn.TEXTJOIN("",TRUE,A233,"!",ADDRESS(20+(A234-1)*A230,2)))</f>
        <v>Object Oriented Programming with JAVA Lab</v>
      </c>
      <c r="D226" s="107"/>
      <c r="E226" s="107"/>
      <c r="F226" s="107"/>
      <c r="G226" s="108"/>
      <c r="H226" s="20">
        <f ca="1">INDIRECT(_xlfn.TEXTJOIN("",TRUE,A233,"!",ADDRESS(20+(A234-1)*A230,6)))</f>
        <v>1</v>
      </c>
      <c r="I226" s="20" t="e">
        <f ca="1">INDIRECT(_xlfn.TEXTJOIN("",TRUE,A233,"!",ADDRESS(20+(A234-1)*A230,13)))</f>
        <v>#N/A</v>
      </c>
      <c r="J226" s="20" t="e">
        <f ca="1">INDIRECT(_xlfn.TEXTJOIN("",TRUE,A233,"!",ADDRESS(20+(A234-1)*A230,14)))</f>
        <v>#N/A</v>
      </c>
    </row>
    <row r="227" spans="1:10" ht="28" customHeight="1" x14ac:dyDescent="0.2">
      <c r="A227" s="96" t="str">
        <f ca="1">INDIRECT(_xlfn.TEXTJOIN("",TRUE,A233,"!",ADDRESS(21+(A234-1)*A230,1)))</f>
        <v>CAP 006</v>
      </c>
      <c r="B227" s="97"/>
      <c r="C227" s="106" t="str">
        <f ca="1">INDIRECT(_xlfn.TEXTJOIN("",TRUE,A233,"!",ADDRESS(21+(A234-1)*A230,2)))</f>
        <v>Computer Networks Lab</v>
      </c>
      <c r="D227" s="107"/>
      <c r="E227" s="107"/>
      <c r="F227" s="107"/>
      <c r="G227" s="108"/>
      <c r="H227" s="20">
        <f ca="1">INDIRECT(_xlfn.TEXTJOIN("",TRUE,A233,"!",ADDRESS(21+(A234-1)*A230,6)))</f>
        <v>1</v>
      </c>
      <c r="I227" s="20" t="e">
        <f ca="1">INDIRECT(_xlfn.TEXTJOIN("",TRUE,A233,"!",ADDRESS(21+(A234-1)*A230,13)))</f>
        <v>#N/A</v>
      </c>
      <c r="J227" s="20" t="e">
        <f ca="1">INDIRECT(_xlfn.TEXTJOIN("",TRUE,A233,"!",ADDRESS(21+(A234-1)*A230,14)))</f>
        <v>#N/A</v>
      </c>
    </row>
    <row r="228" spans="1:10" ht="28" customHeight="1" x14ac:dyDescent="0.2">
      <c r="A228" s="96" t="str">
        <f ca="1">INDIRECT(_xlfn.TEXTJOIN("",TRUE,A233,"!",ADDRESS(22+(A234-1)*A230,1)))</f>
        <v>CAP 007</v>
      </c>
      <c r="B228" s="97"/>
      <c r="C228" s="106" t="str">
        <f ca="1">INDIRECT(_xlfn.TEXTJOIN("",TRUE,A233,"!",ADDRESS(22+(A234-1)*A230,2)))</f>
        <v>Artificial Intelligence Lab</v>
      </c>
      <c r="D228" s="107"/>
      <c r="E228" s="107"/>
      <c r="F228" s="107"/>
      <c r="G228" s="108"/>
      <c r="H228" s="20">
        <f ca="1">INDIRECT(_xlfn.TEXTJOIN("",TRUE,A233,"!",ADDRESS(22+(A234-1)*A230,6)))</f>
        <v>1</v>
      </c>
      <c r="I228" s="20" t="e">
        <f ca="1">INDIRECT(_xlfn.TEXTJOIN("",TRUE,A233,"!",ADDRESS(22+(A234-1)*A230,13)))</f>
        <v>#N/A</v>
      </c>
      <c r="J228" s="20" t="e">
        <f ca="1">INDIRECT(_xlfn.TEXTJOIN("",TRUE,A233,"!",ADDRESS(22+(A234-1)*A230,14)))</f>
        <v>#N/A</v>
      </c>
    </row>
    <row r="229" spans="1:10" ht="28" customHeight="1" x14ac:dyDescent="0.2">
      <c r="A229" s="118" t="s">
        <v>52</v>
      </c>
      <c r="B229" s="118"/>
      <c r="C229" s="118"/>
      <c r="D229" s="118"/>
      <c r="E229" s="118"/>
      <c r="F229" s="118"/>
      <c r="G229" s="118"/>
      <c r="H229" s="16">
        <f ca="1">SUM(H219:H228)</f>
        <v>24</v>
      </c>
      <c r="I229" s="16" t="s">
        <v>44</v>
      </c>
      <c r="J229" s="16" t="e">
        <f ca="1">SUMPRODUCT(J219:J228,H219:H228)</f>
        <v>#N/A</v>
      </c>
    </row>
    <row r="230" spans="1:10" ht="28" customHeight="1" x14ac:dyDescent="0.2">
      <c r="A230" s="22">
        <f>ROWS(A219:B228)+9</f>
        <v>19</v>
      </c>
      <c r="B230" s="17"/>
      <c r="C230" s="17"/>
      <c r="D230" s="17"/>
      <c r="E230" s="17"/>
      <c r="F230" s="17"/>
      <c r="G230" s="17"/>
      <c r="H230" s="17"/>
      <c r="I230" s="17"/>
      <c r="J230" s="17"/>
    </row>
    <row r="231" spans="1:10" ht="28" customHeight="1" x14ac:dyDescent="0.2">
      <c r="A231" s="120" t="s">
        <v>40</v>
      </c>
      <c r="B231" s="120"/>
      <c r="C231" s="21">
        <f ca="1">INDIRECT(_xlfn.TEXTJOIN("",TRUE,A233,"!",ADDRESS(5+A234*A230,12)))</f>
        <v>0</v>
      </c>
      <c r="D231" s="120" t="s">
        <v>38</v>
      </c>
      <c r="E231" s="120"/>
      <c r="F231" s="18" t="e">
        <f ca="1">INDIRECT(_xlfn.TEXTJOIN("",TRUE,A233,"!",ADDRESS(5+A234*A230,8)))</f>
        <v>#N/A</v>
      </c>
      <c r="G231" s="120" t="s">
        <v>39</v>
      </c>
      <c r="H231" s="120"/>
      <c r="I231" s="109" t="e">
        <f ca="1">INDIRECT(_xlfn.TEXTJOIN("",TRUE,A233,"!",ADDRESS(5+A234*A230,10)))</f>
        <v>#N/A</v>
      </c>
      <c r="J231" s="109"/>
    </row>
    <row r="232" spans="1:10" ht="28" customHeight="1" x14ac:dyDescent="0.2">
      <c r="A232" s="19" t="s">
        <v>36</v>
      </c>
      <c r="B232" s="95" t="e">
        <f ca="1">INDIRECT(_xlfn.TEXTJOIN("",TRUE,A233,"!",ADDRESS(5+A234*A230,2)))</f>
        <v>#N/A</v>
      </c>
      <c r="C232" s="95"/>
      <c r="D232" s="121" t="s">
        <v>37</v>
      </c>
      <c r="E232" s="121"/>
      <c r="F232" s="122" t="e">
        <f ca="1">INDIRECT(_xlfn.TEXTJOIN("",TRUE,A233,"!",ADDRESS(5+A234*A230,5)))</f>
        <v>#N/A</v>
      </c>
      <c r="G232" s="122"/>
      <c r="H232" s="122"/>
      <c r="I232" s="122"/>
      <c r="J232" s="122"/>
    </row>
    <row r="233" spans="1:10" ht="28" customHeight="1" x14ac:dyDescent="0.2">
      <c r="A233" s="22" t="str">
        <f>A214</f>
        <v>TC_II</v>
      </c>
    </row>
    <row r="234" spans="1:10" ht="28" customHeight="1" x14ac:dyDescent="0.2">
      <c r="A234" s="22">
        <f>A215+1</f>
        <v>12</v>
      </c>
    </row>
    <row r="235" spans="1:10" ht="28" customHeight="1" x14ac:dyDescent="0.2">
      <c r="A235" s="112" t="s">
        <v>24</v>
      </c>
      <c r="B235" s="112"/>
      <c r="C235" s="112" t="str">
        <f ca="1">INDIRECT(_xlfn.TEXTJOIN("",TRUE,A252,"!",ADDRESS(9+(A253-1)*A249,2)))</f>
        <v>KRISHNA BHATT</v>
      </c>
      <c r="D235" s="112"/>
      <c r="E235" s="112"/>
      <c r="F235" s="112" t="s">
        <v>50</v>
      </c>
      <c r="G235" s="112"/>
      <c r="H235" s="112"/>
      <c r="I235" s="113">
        <f ca="1">INDIRECT(_xlfn.TEXTJOIN("",TRUE,A252,"!",ADDRESS(9+(A253-1)*A249,9)))</f>
        <v>240090600013</v>
      </c>
      <c r="J235" s="113"/>
    </row>
    <row r="236" spans="1:10" ht="28" customHeight="1" x14ac:dyDescent="0.2">
      <c r="A236" s="112" t="s">
        <v>25</v>
      </c>
      <c r="B236" s="112"/>
      <c r="C236" s="112" t="str">
        <f ca="1">INDIRECT(_xlfn.TEXTJOIN("",TRUE,A252,"!",ADDRESS(9+(A253-1)*A249,5)))</f>
        <v>HARENDRA PRASAD BHATT</v>
      </c>
      <c r="D236" s="112"/>
      <c r="E236" s="112"/>
      <c r="F236" s="114" t="s">
        <v>51</v>
      </c>
      <c r="G236" s="114"/>
      <c r="H236" s="114"/>
      <c r="I236" s="113" t="str">
        <f ca="1">INDIRECT(_xlfn.TEXTJOIN("",TRUE,A252,"!",ADDRESS(9+(A253-1)*A249,13)))</f>
        <v>UTU/2406100175</v>
      </c>
      <c r="J236" s="113"/>
    </row>
    <row r="237" spans="1:10" ht="28" customHeight="1" x14ac:dyDescent="0.2">
      <c r="A237" s="95" t="s">
        <v>28</v>
      </c>
      <c r="B237" s="95"/>
      <c r="C237" s="95" t="s">
        <v>29</v>
      </c>
      <c r="D237" s="95"/>
      <c r="E237" s="95"/>
      <c r="F237" s="95"/>
      <c r="G237" s="95"/>
      <c r="H237" s="15" t="s">
        <v>30</v>
      </c>
      <c r="I237" s="15" t="s">
        <v>9</v>
      </c>
      <c r="J237" s="15" t="s">
        <v>34</v>
      </c>
    </row>
    <row r="238" spans="1:10" ht="28" customHeight="1" x14ac:dyDescent="0.2">
      <c r="A238" s="96" t="str">
        <f ca="1">INDIRECT(_xlfn.TEXTJOIN("",TRUE,A252,"!",ADDRESS(13+(A253-1)*A249,1)))</f>
        <v>CAT 009</v>
      </c>
      <c r="B238" s="97"/>
      <c r="C238" s="106" t="str">
        <f ca="1">INDIRECT(_xlfn.TEXTJOIN("",TRUE,A252,"!",ADDRESS(13+(A253-1)*A249,2)))</f>
        <v>Computer Based Numerical and Statistical Techniques</v>
      </c>
      <c r="D238" s="107"/>
      <c r="E238" s="107"/>
      <c r="F238" s="107"/>
      <c r="G238" s="108"/>
      <c r="H238" s="20">
        <f ca="1">INDIRECT(_xlfn.TEXTJOIN("",TRUE,A252,"!",ADDRESS(13+(A253-1)*A249,6)))</f>
        <v>4</v>
      </c>
      <c r="I238" s="20" t="e">
        <f ca="1">INDIRECT(_xlfn.TEXTJOIN("",TRUE,A252,"!",ADDRESS(13+(A253-1)*A249,13)))</f>
        <v>#N/A</v>
      </c>
      <c r="J238" s="20" t="e">
        <f ca="1">INDIRECT(_xlfn.TEXTJOIN("",TRUE,A252,"!",ADDRESS(13+(A253-1)*A249,14)))</f>
        <v>#N/A</v>
      </c>
    </row>
    <row r="239" spans="1:10" ht="28" customHeight="1" x14ac:dyDescent="0.2">
      <c r="A239" s="96" t="str">
        <f ca="1">INDIRECT(_xlfn.TEXTJOIN("",TRUE,A252,"!",ADDRESS(14+(A253-1)*A249,1)))</f>
        <v>CAT 010</v>
      </c>
      <c r="B239" s="97"/>
      <c r="C239" s="106" t="str">
        <f ca="1">INDIRECT(_xlfn.TEXTJOIN("",TRUE,A252,"!",ADDRESS(14+(A253-1)*A249,2)))</f>
        <v>Data Structures and Analysis of Algorithms</v>
      </c>
      <c r="D239" s="107"/>
      <c r="E239" s="107"/>
      <c r="F239" s="107"/>
      <c r="G239" s="108"/>
      <c r="H239" s="20">
        <f ca="1">INDIRECT(_xlfn.TEXTJOIN("",TRUE,A252,"!",ADDRESS(14+(A253-1)*A249,6)))</f>
        <v>4</v>
      </c>
      <c r="I239" s="20" t="e">
        <f ca="1">INDIRECT(_xlfn.TEXTJOIN("",TRUE,A252,"!",ADDRESS(14+(A253-1)*A249,13)))</f>
        <v>#N/A</v>
      </c>
      <c r="J239" s="20" t="e">
        <f ca="1">INDIRECT(_xlfn.TEXTJOIN("",TRUE,A252,"!",ADDRESS(14+(A253-1)*A249,14)))</f>
        <v>#N/A</v>
      </c>
    </row>
    <row r="240" spans="1:10" ht="28" customHeight="1" x14ac:dyDescent="0.2">
      <c r="A240" s="96" t="str">
        <f ca="1">INDIRECT(_xlfn.TEXTJOIN("",TRUE,A252,"!",ADDRESS(15+(A253-1)*A249,1)))</f>
        <v>CAT 011</v>
      </c>
      <c r="B240" s="97"/>
      <c r="C240" s="106" t="str">
        <f ca="1">INDIRECT(_xlfn.TEXTJOIN("",TRUE,A252,"!",ADDRESS(15+(A253-1)*A249,2)))</f>
        <v>Object Oriented Programming with JAVA</v>
      </c>
      <c r="D240" s="107"/>
      <c r="E240" s="107"/>
      <c r="F240" s="107"/>
      <c r="G240" s="108"/>
      <c r="H240" s="20">
        <f ca="1">INDIRECT(_xlfn.TEXTJOIN("",TRUE,A252,"!",ADDRESS(15+(A253-1)*A249,6)))</f>
        <v>4</v>
      </c>
      <c r="I240" s="20" t="e">
        <f ca="1">INDIRECT(_xlfn.TEXTJOIN("",TRUE,A252,"!",ADDRESS(15+(A253-1)*A249,13)))</f>
        <v>#N/A</v>
      </c>
      <c r="J240" s="20" t="e">
        <f ca="1">INDIRECT(_xlfn.TEXTJOIN("",TRUE,A252,"!",ADDRESS(15+(A253-1)*A249,14)))</f>
        <v>#N/A</v>
      </c>
    </row>
    <row r="241" spans="1:10" ht="28" customHeight="1" x14ac:dyDescent="0.2">
      <c r="A241" s="96" t="str">
        <f ca="1">INDIRECT(_xlfn.TEXTJOIN("",TRUE,A252,"!",ADDRESS(16+(A253-1)*A249,1)))</f>
        <v>CAT 012</v>
      </c>
      <c r="B241" s="97"/>
      <c r="C241" s="106" t="str">
        <f ca="1">INDIRECT(_xlfn.TEXTJOIN("",TRUE,A252,"!",ADDRESS(16+(A253-1)*A249,2)))</f>
        <v>Computer Networks</v>
      </c>
      <c r="D241" s="107"/>
      <c r="E241" s="107"/>
      <c r="F241" s="107"/>
      <c r="G241" s="108"/>
      <c r="H241" s="20">
        <f ca="1">INDIRECT(_xlfn.TEXTJOIN("",TRUE,A252,"!",ADDRESS(16+(A253-1)*A249,6)))</f>
        <v>4</v>
      </c>
      <c r="I241" s="20" t="e">
        <f ca="1">INDIRECT(_xlfn.TEXTJOIN("",TRUE,A252,"!",ADDRESS(16+(A253-1)*A249,13)))</f>
        <v>#N/A</v>
      </c>
      <c r="J241" s="20" t="e">
        <f ca="1">INDIRECT(_xlfn.TEXTJOIN("",TRUE,A252,"!",ADDRESS(16+(A253-1)*A249,14)))</f>
        <v>#N/A</v>
      </c>
    </row>
    <row r="242" spans="1:10" ht="28" customHeight="1" x14ac:dyDescent="0.2">
      <c r="A242" s="96" t="str">
        <f ca="1">INDIRECT(_xlfn.TEXTJOIN("",TRUE,A252,"!",ADDRESS(17+(A253-1)*A249,1)))</f>
        <v>CAT 013</v>
      </c>
      <c r="B242" s="97"/>
      <c r="C242" s="106" t="str">
        <f ca="1">INDIRECT(_xlfn.TEXTJOIN("",TRUE,A252,"!",ADDRESS(17+(A253-1)*A249,2)))</f>
        <v>Artificial Intelligence</v>
      </c>
      <c r="D242" s="107"/>
      <c r="E242" s="107"/>
      <c r="F242" s="107"/>
      <c r="G242" s="108"/>
      <c r="H242" s="20">
        <f ca="1">INDIRECT(_xlfn.TEXTJOIN("",TRUE,A252,"!",ADDRESS(17+(A253-1)*A249,6)))</f>
        <v>4</v>
      </c>
      <c r="I242" s="20" t="e">
        <f ca="1">INDIRECT(_xlfn.TEXTJOIN("",TRUE,A252,"!",ADDRESS(17+(A253-1)*A249,13)))</f>
        <v>#N/A</v>
      </c>
      <c r="J242" s="20" t="e">
        <f ca="1">INDIRECT(_xlfn.TEXTJOIN("",TRUE,A252,"!",ADDRESS(17+(A253-1)*A249,14)))</f>
        <v>#N/A</v>
      </c>
    </row>
    <row r="243" spans="1:10" ht="28" customHeight="1" x14ac:dyDescent="0.2">
      <c r="A243" s="96" t="str">
        <f ca="1">INDIRECT(_xlfn.TEXTJOIN("",TRUE,A252,"!",ADDRESS(18+(A253-1)*A249,1)))</f>
        <v>AHT 304</v>
      </c>
      <c r="B243" s="97"/>
      <c r="C243" s="106" t="str">
        <f ca="1">INDIRECT(_xlfn.TEXTJOIN("",TRUE,A252,"!",ADDRESS(18+(A253-1)*A249,2)))</f>
        <v>Accounting and Financial Management ($)</v>
      </c>
      <c r="D243" s="107"/>
      <c r="E243" s="107"/>
      <c r="F243" s="107"/>
      <c r="G243" s="108"/>
      <c r="H243" s="20">
        <f ca="1">INDIRECT(_xlfn.TEXTJOIN("",TRUE,A252,"!",ADDRESS(18+(A253-1)*A249,6)))</f>
        <v>0</v>
      </c>
      <c r="I243" s="20" t="e">
        <f ca="1">INDIRECT(_xlfn.TEXTJOIN("",TRUE,A252,"!",ADDRESS(18+(A253-1)*A249,13)))</f>
        <v>#N/A</v>
      </c>
      <c r="J243" s="20" t="e">
        <f ca="1">INDIRECT(_xlfn.TEXTJOIN("",TRUE,A252,"!",ADDRESS(18+(A253-1)*A249,14)))</f>
        <v>#N/A</v>
      </c>
    </row>
    <row r="244" spans="1:10" ht="28" customHeight="1" x14ac:dyDescent="0.2">
      <c r="A244" s="96" t="str">
        <f ca="1">INDIRECT(_xlfn.TEXTJOIN("",TRUE,A252,"!",ADDRESS(19+(A253-1)*A249,1)))</f>
        <v>CAP 004</v>
      </c>
      <c r="B244" s="97"/>
      <c r="C244" s="106" t="str">
        <f ca="1">INDIRECT(_xlfn.TEXTJOIN("",TRUE,A252,"!",ADDRESS(19+(A253-1)*A249,2)))</f>
        <v>Data Structures and Analysis of Algorithms Lab</v>
      </c>
      <c r="D244" s="107"/>
      <c r="E244" s="107"/>
      <c r="F244" s="107"/>
      <c r="G244" s="108"/>
      <c r="H244" s="20">
        <f ca="1">INDIRECT(_xlfn.TEXTJOIN("",TRUE,A252,"!",ADDRESS(19+(A253-1)*A249,6)))</f>
        <v>1</v>
      </c>
      <c r="I244" s="20" t="e">
        <f ca="1">INDIRECT(_xlfn.TEXTJOIN("",TRUE,A252,"!",ADDRESS(19+(A253-1)*A249,13)))</f>
        <v>#N/A</v>
      </c>
      <c r="J244" s="20" t="e">
        <f ca="1">INDIRECT(_xlfn.TEXTJOIN("",TRUE,A252,"!",ADDRESS(19+(A253-1)*A249,14)))</f>
        <v>#N/A</v>
      </c>
    </row>
    <row r="245" spans="1:10" ht="28" customHeight="1" x14ac:dyDescent="0.2">
      <c r="A245" s="96" t="str">
        <f ca="1">INDIRECT(_xlfn.TEXTJOIN("",TRUE,A252,"!",ADDRESS(20+(A253-1)*A249,1)))</f>
        <v>CAP 005</v>
      </c>
      <c r="B245" s="97"/>
      <c r="C245" s="106" t="str">
        <f ca="1">INDIRECT(_xlfn.TEXTJOIN("",TRUE,A252,"!",ADDRESS(20+(A253-1)*A249,2)))</f>
        <v>Object Oriented Programming with JAVA Lab</v>
      </c>
      <c r="D245" s="107"/>
      <c r="E245" s="107"/>
      <c r="F245" s="107"/>
      <c r="G245" s="108"/>
      <c r="H245" s="20">
        <f ca="1">INDIRECT(_xlfn.TEXTJOIN("",TRUE,A252,"!",ADDRESS(20+(A253-1)*A249,6)))</f>
        <v>1</v>
      </c>
      <c r="I245" s="20" t="e">
        <f ca="1">INDIRECT(_xlfn.TEXTJOIN("",TRUE,A252,"!",ADDRESS(20+(A253-1)*A249,13)))</f>
        <v>#N/A</v>
      </c>
      <c r="J245" s="20" t="e">
        <f ca="1">INDIRECT(_xlfn.TEXTJOIN("",TRUE,A252,"!",ADDRESS(20+(A253-1)*A249,14)))</f>
        <v>#N/A</v>
      </c>
    </row>
    <row r="246" spans="1:10" ht="28" customHeight="1" x14ac:dyDescent="0.2">
      <c r="A246" s="96" t="str">
        <f ca="1">INDIRECT(_xlfn.TEXTJOIN("",TRUE,A252,"!",ADDRESS(21+(A253-1)*A249,1)))</f>
        <v>CAP 006</v>
      </c>
      <c r="B246" s="97"/>
      <c r="C246" s="106" t="str">
        <f ca="1">INDIRECT(_xlfn.TEXTJOIN("",TRUE,A252,"!",ADDRESS(21+(A253-1)*A249,2)))</f>
        <v>Computer Networks Lab</v>
      </c>
      <c r="D246" s="107"/>
      <c r="E246" s="107"/>
      <c r="F246" s="107"/>
      <c r="G246" s="108"/>
      <c r="H246" s="20">
        <f ca="1">INDIRECT(_xlfn.TEXTJOIN("",TRUE,A252,"!",ADDRESS(21+(A253-1)*A249,6)))</f>
        <v>1</v>
      </c>
      <c r="I246" s="20" t="e">
        <f ca="1">INDIRECT(_xlfn.TEXTJOIN("",TRUE,A252,"!",ADDRESS(21+(A253-1)*A249,13)))</f>
        <v>#N/A</v>
      </c>
      <c r="J246" s="20" t="e">
        <f ca="1">INDIRECT(_xlfn.TEXTJOIN("",TRUE,A252,"!",ADDRESS(21+(A253-1)*A249,14)))</f>
        <v>#N/A</v>
      </c>
    </row>
    <row r="247" spans="1:10" ht="28" customHeight="1" x14ac:dyDescent="0.2">
      <c r="A247" s="96" t="str">
        <f ca="1">INDIRECT(_xlfn.TEXTJOIN("",TRUE,A252,"!",ADDRESS(22+(A253-1)*A249,1)))</f>
        <v>CAP 007</v>
      </c>
      <c r="B247" s="97"/>
      <c r="C247" s="106" t="str">
        <f ca="1">INDIRECT(_xlfn.TEXTJOIN("",TRUE,A252,"!",ADDRESS(22+(A253-1)*A249,2)))</f>
        <v>Artificial Intelligence Lab</v>
      </c>
      <c r="D247" s="107"/>
      <c r="E247" s="107"/>
      <c r="F247" s="107"/>
      <c r="G247" s="108"/>
      <c r="H247" s="20">
        <f ca="1">INDIRECT(_xlfn.TEXTJOIN("",TRUE,A252,"!",ADDRESS(22+(A253-1)*A249,6)))</f>
        <v>1</v>
      </c>
      <c r="I247" s="20" t="e">
        <f ca="1">INDIRECT(_xlfn.TEXTJOIN("",TRUE,A252,"!",ADDRESS(22+(A253-1)*A249,13)))</f>
        <v>#N/A</v>
      </c>
      <c r="J247" s="20" t="e">
        <f ca="1">INDIRECT(_xlfn.TEXTJOIN("",TRUE,A252,"!",ADDRESS(22+(A253-1)*A249,14)))</f>
        <v>#N/A</v>
      </c>
    </row>
    <row r="248" spans="1:10" ht="28" customHeight="1" x14ac:dyDescent="0.2">
      <c r="A248" s="118" t="s">
        <v>52</v>
      </c>
      <c r="B248" s="118"/>
      <c r="C248" s="118"/>
      <c r="D248" s="118"/>
      <c r="E248" s="118"/>
      <c r="F248" s="118"/>
      <c r="G248" s="118"/>
      <c r="H248" s="16">
        <f ca="1">SUM(H238:H247)</f>
        <v>24</v>
      </c>
      <c r="I248" s="16" t="s">
        <v>44</v>
      </c>
      <c r="J248" s="16" t="e">
        <f ca="1">SUMPRODUCT(J238:J247,H238:H247)</f>
        <v>#N/A</v>
      </c>
    </row>
    <row r="249" spans="1:10" ht="28" customHeight="1" x14ac:dyDescent="0.2">
      <c r="A249" s="22">
        <f>ROWS(A238:B247)+9</f>
        <v>19</v>
      </c>
      <c r="B249" s="17"/>
      <c r="C249" s="17"/>
      <c r="D249" s="17"/>
      <c r="E249" s="17"/>
      <c r="F249" s="17"/>
      <c r="G249" s="17"/>
      <c r="H249" s="17"/>
      <c r="I249" s="17"/>
      <c r="J249" s="17"/>
    </row>
    <row r="250" spans="1:10" ht="28" customHeight="1" x14ac:dyDescent="0.2">
      <c r="A250" s="120" t="s">
        <v>40</v>
      </c>
      <c r="B250" s="120"/>
      <c r="C250" s="21">
        <f ca="1">INDIRECT(_xlfn.TEXTJOIN("",TRUE,A252,"!",ADDRESS(5+A253*A249,12)))</f>
        <v>0</v>
      </c>
      <c r="D250" s="120" t="s">
        <v>38</v>
      </c>
      <c r="E250" s="120"/>
      <c r="F250" s="18" t="e">
        <f ca="1">INDIRECT(_xlfn.TEXTJOIN("",TRUE,A252,"!",ADDRESS(5+A253*A249,8)))</f>
        <v>#N/A</v>
      </c>
      <c r="G250" s="120" t="s">
        <v>39</v>
      </c>
      <c r="H250" s="120"/>
      <c r="I250" s="109" t="e">
        <f ca="1">INDIRECT(_xlfn.TEXTJOIN("",TRUE,A252,"!",ADDRESS(5+A253*A249,10)))</f>
        <v>#N/A</v>
      </c>
      <c r="J250" s="109"/>
    </row>
    <row r="251" spans="1:10" ht="28" customHeight="1" x14ac:dyDescent="0.2">
      <c r="A251" s="19" t="s">
        <v>36</v>
      </c>
      <c r="B251" s="95" t="e">
        <f ca="1">INDIRECT(_xlfn.TEXTJOIN("",TRUE,A252,"!",ADDRESS(5+A253*A249,2)))</f>
        <v>#N/A</v>
      </c>
      <c r="C251" s="95"/>
      <c r="D251" s="121" t="s">
        <v>37</v>
      </c>
      <c r="E251" s="121"/>
      <c r="F251" s="122" t="e">
        <f ca="1">INDIRECT(_xlfn.TEXTJOIN("",TRUE,A252,"!",ADDRESS(5+A253*A249,5)))</f>
        <v>#N/A</v>
      </c>
      <c r="G251" s="122"/>
      <c r="H251" s="122"/>
      <c r="I251" s="122"/>
      <c r="J251" s="122"/>
    </row>
    <row r="252" spans="1:10" ht="28" customHeight="1" x14ac:dyDescent="0.2">
      <c r="A252" s="22" t="str">
        <f>A233</f>
        <v>TC_II</v>
      </c>
    </row>
    <row r="253" spans="1:10" ht="28" customHeight="1" x14ac:dyDescent="0.2">
      <c r="A253" s="22">
        <f>A234+1</f>
        <v>13</v>
      </c>
    </row>
    <row r="254" spans="1:10" ht="28" customHeight="1" x14ac:dyDescent="0.2">
      <c r="A254" s="112" t="s">
        <v>24</v>
      </c>
      <c r="B254" s="112"/>
      <c r="C254" s="112" t="str">
        <f ca="1">INDIRECT(_xlfn.TEXTJOIN("",TRUE,A271,"!",ADDRESS(9+(A272-1)*A268,2)))</f>
        <v>MANSI SAINI</v>
      </c>
      <c r="D254" s="112"/>
      <c r="E254" s="112"/>
      <c r="F254" s="112" t="s">
        <v>50</v>
      </c>
      <c r="G254" s="112"/>
      <c r="H254" s="112"/>
      <c r="I254" s="113">
        <f ca="1">INDIRECT(_xlfn.TEXTJOIN("",TRUE,A271,"!",ADDRESS(9+(A272-1)*A268,9)))</f>
        <v>240090600014</v>
      </c>
      <c r="J254" s="113"/>
    </row>
    <row r="255" spans="1:10" ht="28" customHeight="1" x14ac:dyDescent="0.2">
      <c r="A255" s="112" t="s">
        <v>25</v>
      </c>
      <c r="B255" s="112"/>
      <c r="C255" s="112" t="str">
        <f ca="1">INDIRECT(_xlfn.TEXTJOIN("",TRUE,A271,"!",ADDRESS(9+(A272-1)*A268,5)))</f>
        <v>ASHOK KUMAR SAINI</v>
      </c>
      <c r="D255" s="112"/>
      <c r="E255" s="112"/>
      <c r="F255" s="114" t="s">
        <v>51</v>
      </c>
      <c r="G255" s="114"/>
      <c r="H255" s="114"/>
      <c r="I255" s="113" t="str">
        <f ca="1">INDIRECT(_xlfn.TEXTJOIN("",TRUE,A271,"!",ADDRESS(9+(A272-1)*A268,13)))</f>
        <v>UTU/2406100188</v>
      </c>
      <c r="J255" s="113"/>
    </row>
    <row r="256" spans="1:10" ht="28" customHeight="1" x14ac:dyDescent="0.2">
      <c r="A256" s="95" t="s">
        <v>28</v>
      </c>
      <c r="B256" s="95"/>
      <c r="C256" s="95" t="s">
        <v>29</v>
      </c>
      <c r="D256" s="95"/>
      <c r="E256" s="95"/>
      <c r="F256" s="95"/>
      <c r="G256" s="95"/>
      <c r="H256" s="15" t="s">
        <v>30</v>
      </c>
      <c r="I256" s="15" t="s">
        <v>9</v>
      </c>
      <c r="J256" s="15" t="s">
        <v>34</v>
      </c>
    </row>
    <row r="257" spans="1:10" ht="28" customHeight="1" x14ac:dyDescent="0.2">
      <c r="A257" s="96" t="str">
        <f ca="1">INDIRECT(_xlfn.TEXTJOIN("",TRUE,A271,"!",ADDRESS(13+(A272-1)*A268,1)))</f>
        <v>CAT 009</v>
      </c>
      <c r="B257" s="97"/>
      <c r="C257" s="106" t="str">
        <f ca="1">INDIRECT(_xlfn.TEXTJOIN("",TRUE,A271,"!",ADDRESS(13+(A272-1)*A268,2)))</f>
        <v>Computer Based Numerical and Statistical Techniques</v>
      </c>
      <c r="D257" s="107"/>
      <c r="E257" s="107"/>
      <c r="F257" s="107"/>
      <c r="G257" s="108"/>
      <c r="H257" s="20">
        <f ca="1">INDIRECT(_xlfn.TEXTJOIN("",TRUE,A271,"!",ADDRESS(13+(A272-1)*A268,6)))</f>
        <v>4</v>
      </c>
      <c r="I257" s="20" t="e">
        <f ca="1">INDIRECT(_xlfn.TEXTJOIN("",TRUE,A271,"!",ADDRESS(13+(A272-1)*A268,13)))</f>
        <v>#N/A</v>
      </c>
      <c r="J257" s="20" t="e">
        <f ca="1">INDIRECT(_xlfn.TEXTJOIN("",TRUE,A271,"!",ADDRESS(13+(A272-1)*A268,14)))</f>
        <v>#N/A</v>
      </c>
    </row>
    <row r="258" spans="1:10" ht="28" customHeight="1" x14ac:dyDescent="0.2">
      <c r="A258" s="96" t="str">
        <f ca="1">INDIRECT(_xlfn.TEXTJOIN("",TRUE,A271,"!",ADDRESS(14+(A272-1)*A268,1)))</f>
        <v>CAT 010</v>
      </c>
      <c r="B258" s="97"/>
      <c r="C258" s="106" t="str">
        <f ca="1">INDIRECT(_xlfn.TEXTJOIN("",TRUE,A271,"!",ADDRESS(14+(A272-1)*A268,2)))</f>
        <v>Data Structures and Analysis of Algorithms</v>
      </c>
      <c r="D258" s="107"/>
      <c r="E258" s="107"/>
      <c r="F258" s="107"/>
      <c r="G258" s="108"/>
      <c r="H258" s="20">
        <f ca="1">INDIRECT(_xlfn.TEXTJOIN("",TRUE,A271,"!",ADDRESS(14+(A272-1)*A268,6)))</f>
        <v>4</v>
      </c>
      <c r="I258" s="20" t="e">
        <f ca="1">INDIRECT(_xlfn.TEXTJOIN("",TRUE,A271,"!",ADDRESS(14+(A272-1)*A268,13)))</f>
        <v>#N/A</v>
      </c>
      <c r="J258" s="20" t="e">
        <f ca="1">INDIRECT(_xlfn.TEXTJOIN("",TRUE,A271,"!",ADDRESS(14+(A272-1)*A268,14)))</f>
        <v>#N/A</v>
      </c>
    </row>
    <row r="259" spans="1:10" ht="28" customHeight="1" x14ac:dyDescent="0.2">
      <c r="A259" s="96" t="str">
        <f ca="1">INDIRECT(_xlfn.TEXTJOIN("",TRUE,A271,"!",ADDRESS(15+(A272-1)*A268,1)))</f>
        <v>CAT 011</v>
      </c>
      <c r="B259" s="97"/>
      <c r="C259" s="106" t="str">
        <f ca="1">INDIRECT(_xlfn.TEXTJOIN("",TRUE,A271,"!",ADDRESS(15+(A272-1)*A268,2)))</f>
        <v>Object Oriented Programming with JAVA</v>
      </c>
      <c r="D259" s="107"/>
      <c r="E259" s="107"/>
      <c r="F259" s="107"/>
      <c r="G259" s="108"/>
      <c r="H259" s="20">
        <f ca="1">INDIRECT(_xlfn.TEXTJOIN("",TRUE,A271,"!",ADDRESS(15+(A272-1)*A268,6)))</f>
        <v>4</v>
      </c>
      <c r="I259" s="20" t="e">
        <f ca="1">INDIRECT(_xlfn.TEXTJOIN("",TRUE,A271,"!",ADDRESS(15+(A272-1)*A268,13)))</f>
        <v>#N/A</v>
      </c>
      <c r="J259" s="20" t="e">
        <f ca="1">INDIRECT(_xlfn.TEXTJOIN("",TRUE,A271,"!",ADDRESS(15+(A272-1)*A268,14)))</f>
        <v>#N/A</v>
      </c>
    </row>
    <row r="260" spans="1:10" ht="28" customHeight="1" x14ac:dyDescent="0.2">
      <c r="A260" s="96" t="str">
        <f ca="1">INDIRECT(_xlfn.TEXTJOIN("",TRUE,A271,"!",ADDRESS(16+(A272-1)*A268,1)))</f>
        <v>CAT 012</v>
      </c>
      <c r="B260" s="97"/>
      <c r="C260" s="106" t="str">
        <f ca="1">INDIRECT(_xlfn.TEXTJOIN("",TRUE,A271,"!",ADDRESS(16+(A272-1)*A268,2)))</f>
        <v>Computer Networks</v>
      </c>
      <c r="D260" s="107"/>
      <c r="E260" s="107"/>
      <c r="F260" s="107"/>
      <c r="G260" s="108"/>
      <c r="H260" s="20">
        <f ca="1">INDIRECT(_xlfn.TEXTJOIN("",TRUE,A271,"!",ADDRESS(16+(A272-1)*A268,6)))</f>
        <v>4</v>
      </c>
      <c r="I260" s="20" t="e">
        <f ca="1">INDIRECT(_xlfn.TEXTJOIN("",TRUE,A271,"!",ADDRESS(16+(A272-1)*A268,13)))</f>
        <v>#N/A</v>
      </c>
      <c r="J260" s="20" t="e">
        <f ca="1">INDIRECT(_xlfn.TEXTJOIN("",TRUE,A271,"!",ADDRESS(16+(A272-1)*A268,14)))</f>
        <v>#N/A</v>
      </c>
    </row>
    <row r="261" spans="1:10" ht="28" customHeight="1" x14ac:dyDescent="0.2">
      <c r="A261" s="96" t="str">
        <f ca="1">INDIRECT(_xlfn.TEXTJOIN("",TRUE,A271,"!",ADDRESS(17+(A272-1)*A268,1)))</f>
        <v>CAT 013</v>
      </c>
      <c r="B261" s="97"/>
      <c r="C261" s="106" t="str">
        <f ca="1">INDIRECT(_xlfn.TEXTJOIN("",TRUE,A271,"!",ADDRESS(17+(A272-1)*A268,2)))</f>
        <v>Artificial Intelligence</v>
      </c>
      <c r="D261" s="107"/>
      <c r="E261" s="107"/>
      <c r="F261" s="107"/>
      <c r="G261" s="108"/>
      <c r="H261" s="20">
        <f ca="1">INDIRECT(_xlfn.TEXTJOIN("",TRUE,A271,"!",ADDRESS(17+(A272-1)*A268,6)))</f>
        <v>4</v>
      </c>
      <c r="I261" s="20" t="e">
        <f ca="1">INDIRECT(_xlfn.TEXTJOIN("",TRUE,A271,"!",ADDRESS(17+(A272-1)*A268,13)))</f>
        <v>#N/A</v>
      </c>
      <c r="J261" s="20" t="e">
        <f ca="1">INDIRECT(_xlfn.TEXTJOIN("",TRUE,A271,"!",ADDRESS(17+(A272-1)*A268,14)))</f>
        <v>#N/A</v>
      </c>
    </row>
    <row r="262" spans="1:10" ht="28" customHeight="1" x14ac:dyDescent="0.2">
      <c r="A262" s="96" t="str">
        <f ca="1">INDIRECT(_xlfn.TEXTJOIN("",TRUE,A271,"!",ADDRESS(18+(A272-1)*A268,1)))</f>
        <v>AHT 304</v>
      </c>
      <c r="B262" s="97"/>
      <c r="C262" s="106" t="str">
        <f ca="1">INDIRECT(_xlfn.TEXTJOIN("",TRUE,A271,"!",ADDRESS(18+(A272-1)*A268,2)))</f>
        <v>Accounting and Financial Management ($)</v>
      </c>
      <c r="D262" s="107"/>
      <c r="E262" s="107"/>
      <c r="F262" s="107"/>
      <c r="G262" s="108"/>
      <c r="H262" s="20">
        <f ca="1">INDIRECT(_xlfn.TEXTJOIN("",TRUE,A271,"!",ADDRESS(18+(A272-1)*A268,6)))</f>
        <v>0</v>
      </c>
      <c r="I262" s="20" t="e">
        <f ca="1">INDIRECT(_xlfn.TEXTJOIN("",TRUE,A271,"!",ADDRESS(18+(A272-1)*A268,13)))</f>
        <v>#N/A</v>
      </c>
      <c r="J262" s="20" t="e">
        <f ca="1">INDIRECT(_xlfn.TEXTJOIN("",TRUE,A271,"!",ADDRESS(18+(A272-1)*A268,14)))</f>
        <v>#N/A</v>
      </c>
    </row>
    <row r="263" spans="1:10" ht="28" customHeight="1" x14ac:dyDescent="0.2">
      <c r="A263" s="96" t="str">
        <f ca="1">INDIRECT(_xlfn.TEXTJOIN("",TRUE,A271,"!",ADDRESS(19+(A272-1)*A268,1)))</f>
        <v>CAP 004</v>
      </c>
      <c r="B263" s="97"/>
      <c r="C263" s="106" t="str">
        <f ca="1">INDIRECT(_xlfn.TEXTJOIN("",TRUE,A271,"!",ADDRESS(19+(A272-1)*A268,2)))</f>
        <v>Data Structures and Analysis of Algorithms Lab</v>
      </c>
      <c r="D263" s="107"/>
      <c r="E263" s="107"/>
      <c r="F263" s="107"/>
      <c r="G263" s="108"/>
      <c r="H263" s="20">
        <f ca="1">INDIRECT(_xlfn.TEXTJOIN("",TRUE,A271,"!",ADDRESS(19+(A272-1)*A268,6)))</f>
        <v>1</v>
      </c>
      <c r="I263" s="20" t="e">
        <f ca="1">INDIRECT(_xlfn.TEXTJOIN("",TRUE,A271,"!",ADDRESS(19+(A272-1)*A268,13)))</f>
        <v>#N/A</v>
      </c>
      <c r="J263" s="20" t="e">
        <f ca="1">INDIRECT(_xlfn.TEXTJOIN("",TRUE,A271,"!",ADDRESS(19+(A272-1)*A268,14)))</f>
        <v>#N/A</v>
      </c>
    </row>
    <row r="264" spans="1:10" ht="28" customHeight="1" x14ac:dyDescent="0.2">
      <c r="A264" s="96" t="str">
        <f ca="1">INDIRECT(_xlfn.TEXTJOIN("",TRUE,A271,"!",ADDRESS(20+(A272-1)*A268,1)))</f>
        <v>CAP 005</v>
      </c>
      <c r="B264" s="97"/>
      <c r="C264" s="106" t="str">
        <f ca="1">INDIRECT(_xlfn.TEXTJOIN("",TRUE,A271,"!",ADDRESS(20+(A272-1)*A268,2)))</f>
        <v>Object Oriented Programming with JAVA Lab</v>
      </c>
      <c r="D264" s="107"/>
      <c r="E264" s="107"/>
      <c r="F264" s="107"/>
      <c r="G264" s="108"/>
      <c r="H264" s="20">
        <f ca="1">INDIRECT(_xlfn.TEXTJOIN("",TRUE,A271,"!",ADDRESS(20+(A272-1)*A268,6)))</f>
        <v>1</v>
      </c>
      <c r="I264" s="20" t="e">
        <f ca="1">INDIRECT(_xlfn.TEXTJOIN("",TRUE,A271,"!",ADDRESS(20+(A272-1)*A268,13)))</f>
        <v>#N/A</v>
      </c>
      <c r="J264" s="20" t="e">
        <f ca="1">INDIRECT(_xlfn.TEXTJOIN("",TRUE,A271,"!",ADDRESS(20+(A272-1)*A268,14)))</f>
        <v>#N/A</v>
      </c>
    </row>
    <row r="265" spans="1:10" ht="28" customHeight="1" x14ac:dyDescent="0.2">
      <c r="A265" s="96" t="str">
        <f ca="1">INDIRECT(_xlfn.TEXTJOIN("",TRUE,A271,"!",ADDRESS(21+(A272-1)*A268,1)))</f>
        <v>CAP 006</v>
      </c>
      <c r="B265" s="97"/>
      <c r="C265" s="106" t="str">
        <f ca="1">INDIRECT(_xlfn.TEXTJOIN("",TRUE,A271,"!",ADDRESS(21+(A272-1)*A268,2)))</f>
        <v>Computer Networks Lab</v>
      </c>
      <c r="D265" s="107"/>
      <c r="E265" s="107"/>
      <c r="F265" s="107"/>
      <c r="G265" s="108"/>
      <c r="H265" s="20">
        <f ca="1">INDIRECT(_xlfn.TEXTJOIN("",TRUE,A271,"!",ADDRESS(21+(A272-1)*A268,6)))</f>
        <v>1</v>
      </c>
      <c r="I265" s="20" t="e">
        <f ca="1">INDIRECT(_xlfn.TEXTJOIN("",TRUE,A271,"!",ADDRESS(21+(A272-1)*A268,13)))</f>
        <v>#N/A</v>
      </c>
      <c r="J265" s="20" t="e">
        <f ca="1">INDIRECT(_xlfn.TEXTJOIN("",TRUE,A271,"!",ADDRESS(21+(A272-1)*A268,14)))</f>
        <v>#N/A</v>
      </c>
    </row>
    <row r="266" spans="1:10" ht="28" customHeight="1" x14ac:dyDescent="0.2">
      <c r="A266" s="96" t="str">
        <f ca="1">INDIRECT(_xlfn.TEXTJOIN("",TRUE,A271,"!",ADDRESS(22+(A272-1)*A268,1)))</f>
        <v>CAP 007</v>
      </c>
      <c r="B266" s="97"/>
      <c r="C266" s="106" t="str">
        <f ca="1">INDIRECT(_xlfn.TEXTJOIN("",TRUE,A271,"!",ADDRESS(22+(A272-1)*A268,2)))</f>
        <v>Artificial Intelligence Lab</v>
      </c>
      <c r="D266" s="107"/>
      <c r="E266" s="107"/>
      <c r="F266" s="107"/>
      <c r="G266" s="108"/>
      <c r="H266" s="20">
        <f ca="1">INDIRECT(_xlfn.TEXTJOIN("",TRUE,A271,"!",ADDRESS(22+(A272-1)*A268,6)))</f>
        <v>1</v>
      </c>
      <c r="I266" s="20" t="e">
        <f ca="1">INDIRECT(_xlfn.TEXTJOIN("",TRUE,A271,"!",ADDRESS(22+(A272-1)*A268,13)))</f>
        <v>#N/A</v>
      </c>
      <c r="J266" s="20" t="e">
        <f ca="1">INDIRECT(_xlfn.TEXTJOIN("",TRUE,A271,"!",ADDRESS(22+(A272-1)*A268,14)))</f>
        <v>#N/A</v>
      </c>
    </row>
    <row r="267" spans="1:10" ht="28" customHeight="1" x14ac:dyDescent="0.2">
      <c r="A267" s="118" t="s">
        <v>52</v>
      </c>
      <c r="B267" s="118"/>
      <c r="C267" s="118"/>
      <c r="D267" s="118"/>
      <c r="E267" s="118"/>
      <c r="F267" s="118"/>
      <c r="G267" s="118"/>
      <c r="H267" s="16">
        <f ca="1">SUM(H257:H266)</f>
        <v>24</v>
      </c>
      <c r="I267" s="16" t="s">
        <v>44</v>
      </c>
      <c r="J267" s="16" t="e">
        <f ca="1">SUMPRODUCT(J257:J266,H257:H266)</f>
        <v>#N/A</v>
      </c>
    </row>
    <row r="268" spans="1:10" ht="28" customHeight="1" x14ac:dyDescent="0.2">
      <c r="A268" s="22">
        <f>ROWS(A257:B266)+9</f>
        <v>19</v>
      </c>
      <c r="B268" s="17"/>
      <c r="C268" s="17"/>
      <c r="D268" s="17"/>
      <c r="E268" s="17"/>
      <c r="F268" s="17"/>
      <c r="G268" s="17"/>
      <c r="H268" s="17"/>
      <c r="I268" s="17"/>
      <c r="J268" s="17"/>
    </row>
    <row r="269" spans="1:10" ht="28" customHeight="1" x14ac:dyDescent="0.2">
      <c r="A269" s="120" t="s">
        <v>40</v>
      </c>
      <c r="B269" s="120"/>
      <c r="C269" s="21">
        <f ca="1">INDIRECT(_xlfn.TEXTJOIN("",TRUE,A271,"!",ADDRESS(5+A272*A268,12)))</f>
        <v>0</v>
      </c>
      <c r="D269" s="120" t="s">
        <v>38</v>
      </c>
      <c r="E269" s="120"/>
      <c r="F269" s="18" t="e">
        <f ca="1">INDIRECT(_xlfn.TEXTJOIN("",TRUE,A271,"!",ADDRESS(5+A272*A268,8)))</f>
        <v>#N/A</v>
      </c>
      <c r="G269" s="120" t="s">
        <v>39</v>
      </c>
      <c r="H269" s="120"/>
      <c r="I269" s="109" t="e">
        <f ca="1">INDIRECT(_xlfn.TEXTJOIN("",TRUE,A271,"!",ADDRESS(5+A272*A268,10)))</f>
        <v>#N/A</v>
      </c>
      <c r="J269" s="109"/>
    </row>
    <row r="270" spans="1:10" ht="28" customHeight="1" x14ac:dyDescent="0.2">
      <c r="A270" s="19" t="s">
        <v>36</v>
      </c>
      <c r="B270" s="95" t="e">
        <f ca="1">INDIRECT(_xlfn.TEXTJOIN("",TRUE,A271,"!",ADDRESS(5+A272*A268,2)))</f>
        <v>#N/A</v>
      </c>
      <c r="C270" s="95"/>
      <c r="D270" s="121" t="s">
        <v>37</v>
      </c>
      <c r="E270" s="121"/>
      <c r="F270" s="122" t="e">
        <f ca="1">INDIRECT(_xlfn.TEXTJOIN("",TRUE,A271,"!",ADDRESS(5+A272*A268,5)))</f>
        <v>#N/A</v>
      </c>
      <c r="G270" s="122"/>
      <c r="H270" s="122"/>
      <c r="I270" s="122"/>
      <c r="J270" s="122"/>
    </row>
    <row r="271" spans="1:10" ht="28" customHeight="1" x14ac:dyDescent="0.2">
      <c r="A271" s="22" t="str">
        <f>A252</f>
        <v>TC_II</v>
      </c>
    </row>
    <row r="272" spans="1:10" ht="28" customHeight="1" x14ac:dyDescent="0.2">
      <c r="A272" s="22">
        <f>A253+1</f>
        <v>14</v>
      </c>
    </row>
    <row r="273" spans="1:10" ht="28" customHeight="1" x14ac:dyDescent="0.2">
      <c r="A273" s="112" t="s">
        <v>24</v>
      </c>
      <c r="B273" s="112"/>
      <c r="C273" s="112" t="str">
        <f ca="1">INDIRECT(_xlfn.TEXTJOIN("",TRUE,A290,"!",ADDRESS(9+(A291-1)*A287,2)))</f>
        <v>MANVI UNIYAL</v>
      </c>
      <c r="D273" s="112"/>
      <c r="E273" s="112"/>
      <c r="F273" s="112" t="s">
        <v>50</v>
      </c>
      <c r="G273" s="112"/>
      <c r="H273" s="112"/>
      <c r="I273" s="113">
        <f ca="1">INDIRECT(_xlfn.TEXTJOIN("",TRUE,A290,"!",ADDRESS(9+(A291-1)*A287,9)))</f>
        <v>240090600015</v>
      </c>
      <c r="J273" s="113"/>
    </row>
    <row r="274" spans="1:10" ht="28" customHeight="1" x14ac:dyDescent="0.2">
      <c r="A274" s="112" t="s">
        <v>25</v>
      </c>
      <c r="B274" s="112"/>
      <c r="C274" s="112" t="str">
        <f ca="1">INDIRECT(_xlfn.TEXTJOIN("",TRUE,A290,"!",ADDRESS(9+(A291-1)*A287,5)))</f>
        <v>MANOJ UNIYAL</v>
      </c>
      <c r="D274" s="112"/>
      <c r="E274" s="112"/>
      <c r="F274" s="114" t="s">
        <v>51</v>
      </c>
      <c r="G274" s="114"/>
      <c r="H274" s="114"/>
      <c r="I274" s="113" t="str">
        <f ca="1">INDIRECT(_xlfn.TEXTJOIN("",TRUE,A290,"!",ADDRESS(9+(A291-1)*A287,13)))</f>
        <v>UTU/2406100177</v>
      </c>
      <c r="J274" s="113"/>
    </row>
    <row r="275" spans="1:10" ht="28" customHeight="1" x14ac:dyDescent="0.2">
      <c r="A275" s="95" t="s">
        <v>28</v>
      </c>
      <c r="B275" s="95"/>
      <c r="C275" s="95" t="s">
        <v>29</v>
      </c>
      <c r="D275" s="95"/>
      <c r="E275" s="95"/>
      <c r="F275" s="95"/>
      <c r="G275" s="95"/>
      <c r="H275" s="15" t="s">
        <v>30</v>
      </c>
      <c r="I275" s="15" t="s">
        <v>9</v>
      </c>
      <c r="J275" s="15" t="s">
        <v>34</v>
      </c>
    </row>
    <row r="276" spans="1:10" ht="28" customHeight="1" x14ac:dyDescent="0.2">
      <c r="A276" s="96" t="str">
        <f ca="1">INDIRECT(_xlfn.TEXTJOIN("",TRUE,A290,"!",ADDRESS(13+(A291-1)*A287,1)))</f>
        <v>CAT 009</v>
      </c>
      <c r="B276" s="97"/>
      <c r="C276" s="106" t="str">
        <f ca="1">INDIRECT(_xlfn.TEXTJOIN("",TRUE,A290,"!",ADDRESS(13+(A291-1)*A287,2)))</f>
        <v>Computer Based Numerical and Statistical Techniques</v>
      </c>
      <c r="D276" s="107"/>
      <c r="E276" s="107"/>
      <c r="F276" s="107"/>
      <c r="G276" s="108"/>
      <c r="H276" s="20">
        <f ca="1">INDIRECT(_xlfn.TEXTJOIN("",TRUE,A290,"!",ADDRESS(13+(A291-1)*A287,6)))</f>
        <v>4</v>
      </c>
      <c r="I276" s="20" t="e">
        <f ca="1">INDIRECT(_xlfn.TEXTJOIN("",TRUE,A290,"!",ADDRESS(13+(A291-1)*A287,13)))</f>
        <v>#N/A</v>
      </c>
      <c r="J276" s="20" t="e">
        <f ca="1">INDIRECT(_xlfn.TEXTJOIN("",TRUE,A290,"!",ADDRESS(13+(A291-1)*A287,14)))</f>
        <v>#N/A</v>
      </c>
    </row>
    <row r="277" spans="1:10" ht="28" customHeight="1" x14ac:dyDescent="0.2">
      <c r="A277" s="96" t="str">
        <f ca="1">INDIRECT(_xlfn.TEXTJOIN("",TRUE,A290,"!",ADDRESS(14+(A291-1)*A287,1)))</f>
        <v>CAT 010</v>
      </c>
      <c r="B277" s="97"/>
      <c r="C277" s="106" t="str">
        <f ca="1">INDIRECT(_xlfn.TEXTJOIN("",TRUE,A290,"!",ADDRESS(14+(A291-1)*A287,2)))</f>
        <v>Data Structures and Analysis of Algorithms</v>
      </c>
      <c r="D277" s="107"/>
      <c r="E277" s="107"/>
      <c r="F277" s="107"/>
      <c r="G277" s="108"/>
      <c r="H277" s="20">
        <f ca="1">INDIRECT(_xlfn.TEXTJOIN("",TRUE,A290,"!",ADDRESS(14+(A291-1)*A287,6)))</f>
        <v>4</v>
      </c>
      <c r="I277" s="20" t="e">
        <f ca="1">INDIRECT(_xlfn.TEXTJOIN("",TRUE,A290,"!",ADDRESS(14+(A291-1)*A287,13)))</f>
        <v>#N/A</v>
      </c>
      <c r="J277" s="20" t="e">
        <f ca="1">INDIRECT(_xlfn.TEXTJOIN("",TRUE,A290,"!",ADDRESS(14+(A291-1)*A287,14)))</f>
        <v>#N/A</v>
      </c>
    </row>
    <row r="278" spans="1:10" ht="28" customHeight="1" x14ac:dyDescent="0.2">
      <c r="A278" s="96" t="str">
        <f ca="1">INDIRECT(_xlfn.TEXTJOIN("",TRUE,A290,"!",ADDRESS(15+(A291-1)*A287,1)))</f>
        <v>CAT 011</v>
      </c>
      <c r="B278" s="97"/>
      <c r="C278" s="106" t="str">
        <f ca="1">INDIRECT(_xlfn.TEXTJOIN("",TRUE,A290,"!",ADDRESS(15+(A291-1)*A287,2)))</f>
        <v>Object Oriented Programming with JAVA</v>
      </c>
      <c r="D278" s="107"/>
      <c r="E278" s="107"/>
      <c r="F278" s="107"/>
      <c r="G278" s="108"/>
      <c r="H278" s="20">
        <f ca="1">INDIRECT(_xlfn.TEXTJOIN("",TRUE,A290,"!",ADDRESS(15+(A291-1)*A287,6)))</f>
        <v>4</v>
      </c>
      <c r="I278" s="20" t="e">
        <f ca="1">INDIRECT(_xlfn.TEXTJOIN("",TRUE,A290,"!",ADDRESS(15+(A291-1)*A287,13)))</f>
        <v>#N/A</v>
      </c>
      <c r="J278" s="20" t="e">
        <f ca="1">INDIRECT(_xlfn.TEXTJOIN("",TRUE,A290,"!",ADDRESS(15+(A291-1)*A287,14)))</f>
        <v>#N/A</v>
      </c>
    </row>
    <row r="279" spans="1:10" ht="28" customHeight="1" x14ac:dyDescent="0.2">
      <c r="A279" s="96" t="str">
        <f ca="1">INDIRECT(_xlfn.TEXTJOIN("",TRUE,A290,"!",ADDRESS(16+(A291-1)*A287,1)))</f>
        <v>CAT 012</v>
      </c>
      <c r="B279" s="97"/>
      <c r="C279" s="106" t="str">
        <f ca="1">INDIRECT(_xlfn.TEXTJOIN("",TRUE,A290,"!",ADDRESS(16+(A291-1)*A287,2)))</f>
        <v>Computer Networks</v>
      </c>
      <c r="D279" s="107"/>
      <c r="E279" s="107"/>
      <c r="F279" s="107"/>
      <c r="G279" s="108"/>
      <c r="H279" s="20">
        <f ca="1">INDIRECT(_xlfn.TEXTJOIN("",TRUE,A290,"!",ADDRESS(16+(A291-1)*A287,6)))</f>
        <v>4</v>
      </c>
      <c r="I279" s="20" t="e">
        <f ca="1">INDIRECT(_xlfn.TEXTJOIN("",TRUE,A290,"!",ADDRESS(16+(A291-1)*A287,13)))</f>
        <v>#N/A</v>
      </c>
      <c r="J279" s="20" t="e">
        <f ca="1">INDIRECT(_xlfn.TEXTJOIN("",TRUE,A290,"!",ADDRESS(16+(A291-1)*A287,14)))</f>
        <v>#N/A</v>
      </c>
    </row>
    <row r="280" spans="1:10" ht="28" customHeight="1" x14ac:dyDescent="0.2">
      <c r="A280" s="96" t="str">
        <f ca="1">INDIRECT(_xlfn.TEXTJOIN("",TRUE,A290,"!",ADDRESS(17+(A291-1)*A287,1)))</f>
        <v>CAT 013</v>
      </c>
      <c r="B280" s="97"/>
      <c r="C280" s="106" t="str">
        <f ca="1">INDIRECT(_xlfn.TEXTJOIN("",TRUE,A290,"!",ADDRESS(17+(A291-1)*A287,2)))</f>
        <v>Artificial Intelligence</v>
      </c>
      <c r="D280" s="107"/>
      <c r="E280" s="107"/>
      <c r="F280" s="107"/>
      <c r="G280" s="108"/>
      <c r="H280" s="20">
        <f ca="1">INDIRECT(_xlfn.TEXTJOIN("",TRUE,A290,"!",ADDRESS(17+(A291-1)*A287,6)))</f>
        <v>4</v>
      </c>
      <c r="I280" s="20" t="e">
        <f ca="1">INDIRECT(_xlfn.TEXTJOIN("",TRUE,A290,"!",ADDRESS(17+(A291-1)*A287,13)))</f>
        <v>#N/A</v>
      </c>
      <c r="J280" s="20" t="e">
        <f ca="1">INDIRECT(_xlfn.TEXTJOIN("",TRUE,A290,"!",ADDRESS(17+(A291-1)*A287,14)))</f>
        <v>#N/A</v>
      </c>
    </row>
    <row r="281" spans="1:10" ht="28" customHeight="1" x14ac:dyDescent="0.2">
      <c r="A281" s="96" t="str">
        <f ca="1">INDIRECT(_xlfn.TEXTJOIN("",TRUE,A290,"!",ADDRESS(18+(A291-1)*A287,1)))</f>
        <v>AHT 304</v>
      </c>
      <c r="B281" s="97"/>
      <c r="C281" s="106" t="str">
        <f ca="1">INDIRECT(_xlfn.TEXTJOIN("",TRUE,A290,"!",ADDRESS(18+(A291-1)*A287,2)))</f>
        <v>Accounting and Financial Management ($)</v>
      </c>
      <c r="D281" s="107"/>
      <c r="E281" s="107"/>
      <c r="F281" s="107"/>
      <c r="G281" s="108"/>
      <c r="H281" s="20">
        <f ca="1">INDIRECT(_xlfn.TEXTJOIN("",TRUE,A290,"!",ADDRESS(18+(A291-1)*A287,6)))</f>
        <v>0</v>
      </c>
      <c r="I281" s="20" t="e">
        <f ca="1">INDIRECT(_xlfn.TEXTJOIN("",TRUE,A290,"!",ADDRESS(18+(A291-1)*A287,13)))</f>
        <v>#N/A</v>
      </c>
      <c r="J281" s="20" t="e">
        <f ca="1">INDIRECT(_xlfn.TEXTJOIN("",TRUE,A290,"!",ADDRESS(18+(A291-1)*A287,14)))</f>
        <v>#N/A</v>
      </c>
    </row>
    <row r="282" spans="1:10" ht="28" customHeight="1" x14ac:dyDescent="0.2">
      <c r="A282" s="96" t="str">
        <f ca="1">INDIRECT(_xlfn.TEXTJOIN("",TRUE,A290,"!",ADDRESS(19+(A291-1)*A287,1)))</f>
        <v>CAP 004</v>
      </c>
      <c r="B282" s="97"/>
      <c r="C282" s="106" t="str">
        <f ca="1">INDIRECT(_xlfn.TEXTJOIN("",TRUE,A290,"!",ADDRESS(19+(A291-1)*A287,2)))</f>
        <v>Data Structures and Analysis of Algorithms Lab</v>
      </c>
      <c r="D282" s="107"/>
      <c r="E282" s="107"/>
      <c r="F282" s="107"/>
      <c r="G282" s="108"/>
      <c r="H282" s="20">
        <f ca="1">INDIRECT(_xlfn.TEXTJOIN("",TRUE,A290,"!",ADDRESS(19+(A291-1)*A287,6)))</f>
        <v>1</v>
      </c>
      <c r="I282" s="20" t="e">
        <f ca="1">INDIRECT(_xlfn.TEXTJOIN("",TRUE,A290,"!",ADDRESS(19+(A291-1)*A287,13)))</f>
        <v>#N/A</v>
      </c>
      <c r="J282" s="20" t="e">
        <f ca="1">INDIRECT(_xlfn.TEXTJOIN("",TRUE,A290,"!",ADDRESS(19+(A291-1)*A287,14)))</f>
        <v>#N/A</v>
      </c>
    </row>
    <row r="283" spans="1:10" ht="28" customHeight="1" x14ac:dyDescent="0.2">
      <c r="A283" s="96" t="str">
        <f ca="1">INDIRECT(_xlfn.TEXTJOIN("",TRUE,A290,"!",ADDRESS(20+(A291-1)*A287,1)))</f>
        <v>CAP 005</v>
      </c>
      <c r="B283" s="97"/>
      <c r="C283" s="106" t="str">
        <f ca="1">INDIRECT(_xlfn.TEXTJOIN("",TRUE,A290,"!",ADDRESS(20+(A291-1)*A287,2)))</f>
        <v>Object Oriented Programming with JAVA Lab</v>
      </c>
      <c r="D283" s="107"/>
      <c r="E283" s="107"/>
      <c r="F283" s="107"/>
      <c r="G283" s="108"/>
      <c r="H283" s="20">
        <f ca="1">INDIRECT(_xlfn.TEXTJOIN("",TRUE,A290,"!",ADDRESS(20+(A291-1)*A287,6)))</f>
        <v>1</v>
      </c>
      <c r="I283" s="20" t="e">
        <f ca="1">INDIRECT(_xlfn.TEXTJOIN("",TRUE,A290,"!",ADDRESS(20+(A291-1)*A287,13)))</f>
        <v>#N/A</v>
      </c>
      <c r="J283" s="20" t="e">
        <f ca="1">INDIRECT(_xlfn.TEXTJOIN("",TRUE,A290,"!",ADDRESS(20+(A291-1)*A287,14)))</f>
        <v>#N/A</v>
      </c>
    </row>
    <row r="284" spans="1:10" ht="28" customHeight="1" x14ac:dyDescent="0.2">
      <c r="A284" s="96" t="str">
        <f ca="1">INDIRECT(_xlfn.TEXTJOIN("",TRUE,A290,"!",ADDRESS(21+(A291-1)*A287,1)))</f>
        <v>CAP 006</v>
      </c>
      <c r="B284" s="97"/>
      <c r="C284" s="106" t="str">
        <f ca="1">INDIRECT(_xlfn.TEXTJOIN("",TRUE,A290,"!",ADDRESS(21+(A291-1)*A287,2)))</f>
        <v>Computer Networks Lab</v>
      </c>
      <c r="D284" s="107"/>
      <c r="E284" s="107"/>
      <c r="F284" s="107"/>
      <c r="G284" s="108"/>
      <c r="H284" s="20">
        <f ca="1">INDIRECT(_xlfn.TEXTJOIN("",TRUE,A290,"!",ADDRESS(21+(A291-1)*A287,6)))</f>
        <v>1</v>
      </c>
      <c r="I284" s="20" t="e">
        <f ca="1">INDIRECT(_xlfn.TEXTJOIN("",TRUE,A290,"!",ADDRESS(21+(A291-1)*A287,13)))</f>
        <v>#N/A</v>
      </c>
      <c r="J284" s="20" t="e">
        <f ca="1">INDIRECT(_xlfn.TEXTJOIN("",TRUE,A290,"!",ADDRESS(21+(A291-1)*A287,14)))</f>
        <v>#N/A</v>
      </c>
    </row>
    <row r="285" spans="1:10" ht="28" customHeight="1" x14ac:dyDescent="0.2">
      <c r="A285" s="96" t="str">
        <f ca="1">INDIRECT(_xlfn.TEXTJOIN("",TRUE,A290,"!",ADDRESS(22+(A291-1)*A287,1)))</f>
        <v>CAP 007</v>
      </c>
      <c r="B285" s="97"/>
      <c r="C285" s="106" t="str">
        <f ca="1">INDIRECT(_xlfn.TEXTJOIN("",TRUE,A290,"!",ADDRESS(22+(A291-1)*A287,2)))</f>
        <v>Artificial Intelligence Lab</v>
      </c>
      <c r="D285" s="107"/>
      <c r="E285" s="107"/>
      <c r="F285" s="107"/>
      <c r="G285" s="108"/>
      <c r="H285" s="20">
        <f ca="1">INDIRECT(_xlfn.TEXTJOIN("",TRUE,A290,"!",ADDRESS(22+(A291-1)*A287,6)))</f>
        <v>1</v>
      </c>
      <c r="I285" s="20" t="e">
        <f ca="1">INDIRECT(_xlfn.TEXTJOIN("",TRUE,A290,"!",ADDRESS(22+(A291-1)*A287,13)))</f>
        <v>#N/A</v>
      </c>
      <c r="J285" s="20" t="e">
        <f ca="1">INDIRECT(_xlfn.TEXTJOIN("",TRUE,A290,"!",ADDRESS(22+(A291-1)*A287,14)))</f>
        <v>#N/A</v>
      </c>
    </row>
    <row r="286" spans="1:10" ht="28" customHeight="1" x14ac:dyDescent="0.2">
      <c r="A286" s="118" t="s">
        <v>52</v>
      </c>
      <c r="B286" s="118"/>
      <c r="C286" s="118"/>
      <c r="D286" s="118"/>
      <c r="E286" s="118"/>
      <c r="F286" s="118"/>
      <c r="G286" s="118"/>
      <c r="H286" s="16">
        <f ca="1">SUM(H276:H285)</f>
        <v>24</v>
      </c>
      <c r="I286" s="16" t="s">
        <v>44</v>
      </c>
      <c r="J286" s="16" t="e">
        <f ca="1">SUMPRODUCT(J276:J285,H276:H285)</f>
        <v>#N/A</v>
      </c>
    </row>
    <row r="287" spans="1:10" ht="28" customHeight="1" x14ac:dyDescent="0.2">
      <c r="A287" s="22">
        <f>ROWS(A276:B285)+9</f>
        <v>19</v>
      </c>
      <c r="B287" s="17"/>
      <c r="C287" s="17"/>
      <c r="D287" s="17"/>
      <c r="E287" s="17"/>
      <c r="F287" s="17"/>
      <c r="G287" s="17"/>
      <c r="H287" s="17"/>
      <c r="I287" s="17"/>
      <c r="J287" s="17"/>
    </row>
    <row r="288" spans="1:10" ht="28" customHeight="1" x14ac:dyDescent="0.2">
      <c r="A288" s="120" t="s">
        <v>40</v>
      </c>
      <c r="B288" s="120"/>
      <c r="C288" s="21">
        <f ca="1">INDIRECT(_xlfn.TEXTJOIN("",TRUE,A290,"!",ADDRESS(5+A291*A287,12)))</f>
        <v>0</v>
      </c>
      <c r="D288" s="120" t="s">
        <v>38</v>
      </c>
      <c r="E288" s="120"/>
      <c r="F288" s="18" t="e">
        <f ca="1">INDIRECT(_xlfn.TEXTJOIN("",TRUE,A290,"!",ADDRESS(5+A291*A287,8)))</f>
        <v>#N/A</v>
      </c>
      <c r="G288" s="120" t="s">
        <v>39</v>
      </c>
      <c r="H288" s="120"/>
      <c r="I288" s="109" t="e">
        <f ca="1">INDIRECT(_xlfn.TEXTJOIN("",TRUE,A290,"!",ADDRESS(5+A291*A287,10)))</f>
        <v>#N/A</v>
      </c>
      <c r="J288" s="109"/>
    </row>
    <row r="289" spans="1:10" ht="28" customHeight="1" x14ac:dyDescent="0.2">
      <c r="A289" s="19" t="s">
        <v>36</v>
      </c>
      <c r="B289" s="95" t="e">
        <f ca="1">INDIRECT(_xlfn.TEXTJOIN("",TRUE,A290,"!",ADDRESS(5+A291*A287,2)))</f>
        <v>#N/A</v>
      </c>
      <c r="C289" s="95"/>
      <c r="D289" s="121" t="s">
        <v>37</v>
      </c>
      <c r="E289" s="121"/>
      <c r="F289" s="122" t="e">
        <f ca="1">INDIRECT(_xlfn.TEXTJOIN("",TRUE,A290,"!",ADDRESS(5+A291*A287,5)))</f>
        <v>#N/A</v>
      </c>
      <c r="G289" s="122"/>
      <c r="H289" s="122"/>
      <c r="I289" s="122"/>
      <c r="J289" s="122"/>
    </row>
    <row r="290" spans="1:10" ht="28" customHeight="1" x14ac:dyDescent="0.2">
      <c r="A290" s="22" t="str">
        <f>A271</f>
        <v>TC_II</v>
      </c>
    </row>
    <row r="291" spans="1:10" ht="28" customHeight="1" x14ac:dyDescent="0.2">
      <c r="A291" s="22">
        <f>A272+1</f>
        <v>15</v>
      </c>
    </row>
    <row r="292" spans="1:10" ht="28" customHeight="1" x14ac:dyDescent="0.2">
      <c r="A292" s="112" t="s">
        <v>24</v>
      </c>
      <c r="B292" s="112"/>
      <c r="C292" s="112" t="str">
        <f ca="1">INDIRECT(_xlfn.TEXTJOIN("",TRUE,A309,"!",ADDRESS(9+(A310-1)*A306,2)))</f>
        <v>NEERAJ JOSHI</v>
      </c>
      <c r="D292" s="112"/>
      <c r="E292" s="112"/>
      <c r="F292" s="112" t="s">
        <v>50</v>
      </c>
      <c r="G292" s="112"/>
      <c r="H292" s="112"/>
      <c r="I292" s="113">
        <f ca="1">INDIRECT(_xlfn.TEXTJOIN("",TRUE,A309,"!",ADDRESS(9+(A310-1)*A306,9)))</f>
        <v>240090600016</v>
      </c>
      <c r="J292" s="113"/>
    </row>
    <row r="293" spans="1:10" ht="28" customHeight="1" x14ac:dyDescent="0.2">
      <c r="A293" s="112" t="s">
        <v>25</v>
      </c>
      <c r="B293" s="112"/>
      <c r="C293" s="112" t="str">
        <f ca="1">INDIRECT(_xlfn.TEXTJOIN("",TRUE,A309,"!",ADDRESS(9+(A310-1)*A306,5)))</f>
        <v>PURAN CHANDRA JOSHI</v>
      </c>
      <c r="D293" s="112"/>
      <c r="E293" s="112"/>
      <c r="F293" s="114" t="s">
        <v>51</v>
      </c>
      <c r="G293" s="114"/>
      <c r="H293" s="114"/>
      <c r="I293" s="113" t="str">
        <f ca="1">INDIRECT(_xlfn.TEXTJOIN("",TRUE,A309,"!",ADDRESS(9+(A310-1)*A306,13)))</f>
        <v>UTU/2406100137</v>
      </c>
      <c r="J293" s="113"/>
    </row>
    <row r="294" spans="1:10" ht="28" customHeight="1" x14ac:dyDescent="0.2">
      <c r="A294" s="95" t="s">
        <v>28</v>
      </c>
      <c r="B294" s="95"/>
      <c r="C294" s="95" t="s">
        <v>29</v>
      </c>
      <c r="D294" s="95"/>
      <c r="E294" s="95"/>
      <c r="F294" s="95"/>
      <c r="G294" s="95"/>
      <c r="H294" s="15" t="s">
        <v>30</v>
      </c>
      <c r="I294" s="15" t="s">
        <v>9</v>
      </c>
      <c r="J294" s="15" t="s">
        <v>34</v>
      </c>
    </row>
    <row r="295" spans="1:10" ht="28" customHeight="1" x14ac:dyDescent="0.2">
      <c r="A295" s="96" t="str">
        <f ca="1">INDIRECT(_xlfn.TEXTJOIN("",TRUE,A309,"!",ADDRESS(13+(A310-1)*A306,1)))</f>
        <v>CAT 009</v>
      </c>
      <c r="B295" s="97"/>
      <c r="C295" s="106" t="str">
        <f ca="1">INDIRECT(_xlfn.TEXTJOIN("",TRUE,A309,"!",ADDRESS(13+(A310-1)*A306,2)))</f>
        <v>Computer Based Numerical and Statistical Techniques</v>
      </c>
      <c r="D295" s="107"/>
      <c r="E295" s="107"/>
      <c r="F295" s="107"/>
      <c r="G295" s="108"/>
      <c r="H295" s="20">
        <f ca="1">INDIRECT(_xlfn.TEXTJOIN("",TRUE,A309,"!",ADDRESS(13+(A310-1)*A306,6)))</f>
        <v>4</v>
      </c>
      <c r="I295" s="20" t="e">
        <f ca="1">INDIRECT(_xlfn.TEXTJOIN("",TRUE,A309,"!",ADDRESS(13+(A310-1)*A306,13)))</f>
        <v>#N/A</v>
      </c>
      <c r="J295" s="20" t="e">
        <f ca="1">INDIRECT(_xlfn.TEXTJOIN("",TRUE,A309,"!",ADDRESS(13+(A310-1)*A306,14)))</f>
        <v>#N/A</v>
      </c>
    </row>
    <row r="296" spans="1:10" ht="28" customHeight="1" x14ac:dyDescent="0.2">
      <c r="A296" s="96" t="str">
        <f ca="1">INDIRECT(_xlfn.TEXTJOIN("",TRUE,A309,"!",ADDRESS(14+(A310-1)*A306,1)))</f>
        <v>CAT 010</v>
      </c>
      <c r="B296" s="97"/>
      <c r="C296" s="106" t="str">
        <f ca="1">INDIRECT(_xlfn.TEXTJOIN("",TRUE,A309,"!",ADDRESS(14+(A310-1)*A306,2)))</f>
        <v>Data Structures and Analysis of Algorithms</v>
      </c>
      <c r="D296" s="107"/>
      <c r="E296" s="107"/>
      <c r="F296" s="107"/>
      <c r="G296" s="108"/>
      <c r="H296" s="20">
        <f ca="1">INDIRECT(_xlfn.TEXTJOIN("",TRUE,A309,"!",ADDRESS(14+(A310-1)*A306,6)))</f>
        <v>4</v>
      </c>
      <c r="I296" s="20" t="e">
        <f ca="1">INDIRECT(_xlfn.TEXTJOIN("",TRUE,A309,"!",ADDRESS(14+(A310-1)*A306,13)))</f>
        <v>#N/A</v>
      </c>
      <c r="J296" s="20" t="e">
        <f ca="1">INDIRECT(_xlfn.TEXTJOIN("",TRUE,A309,"!",ADDRESS(14+(A310-1)*A306,14)))</f>
        <v>#N/A</v>
      </c>
    </row>
    <row r="297" spans="1:10" ht="28" customHeight="1" x14ac:dyDescent="0.2">
      <c r="A297" s="96" t="str">
        <f ca="1">INDIRECT(_xlfn.TEXTJOIN("",TRUE,A309,"!",ADDRESS(15+(A310-1)*A306,1)))</f>
        <v>CAT 011</v>
      </c>
      <c r="B297" s="97"/>
      <c r="C297" s="106" t="str">
        <f ca="1">INDIRECT(_xlfn.TEXTJOIN("",TRUE,A309,"!",ADDRESS(15+(A310-1)*A306,2)))</f>
        <v>Object Oriented Programming with JAVA</v>
      </c>
      <c r="D297" s="107"/>
      <c r="E297" s="107"/>
      <c r="F297" s="107"/>
      <c r="G297" s="108"/>
      <c r="H297" s="20">
        <f ca="1">INDIRECT(_xlfn.TEXTJOIN("",TRUE,A309,"!",ADDRESS(15+(A310-1)*A306,6)))</f>
        <v>4</v>
      </c>
      <c r="I297" s="20" t="e">
        <f ca="1">INDIRECT(_xlfn.TEXTJOIN("",TRUE,A309,"!",ADDRESS(15+(A310-1)*A306,13)))</f>
        <v>#N/A</v>
      </c>
      <c r="J297" s="20" t="e">
        <f ca="1">INDIRECT(_xlfn.TEXTJOIN("",TRUE,A309,"!",ADDRESS(15+(A310-1)*A306,14)))</f>
        <v>#N/A</v>
      </c>
    </row>
    <row r="298" spans="1:10" ht="28" customHeight="1" x14ac:dyDescent="0.2">
      <c r="A298" s="96" t="str">
        <f ca="1">INDIRECT(_xlfn.TEXTJOIN("",TRUE,A309,"!",ADDRESS(16+(A310-1)*A306,1)))</f>
        <v>CAT 012</v>
      </c>
      <c r="B298" s="97"/>
      <c r="C298" s="106" t="str">
        <f ca="1">INDIRECT(_xlfn.TEXTJOIN("",TRUE,A309,"!",ADDRESS(16+(A310-1)*A306,2)))</f>
        <v>Computer Networks</v>
      </c>
      <c r="D298" s="107"/>
      <c r="E298" s="107"/>
      <c r="F298" s="107"/>
      <c r="G298" s="108"/>
      <c r="H298" s="20">
        <f ca="1">INDIRECT(_xlfn.TEXTJOIN("",TRUE,A309,"!",ADDRESS(16+(A310-1)*A306,6)))</f>
        <v>4</v>
      </c>
      <c r="I298" s="20" t="e">
        <f ca="1">INDIRECT(_xlfn.TEXTJOIN("",TRUE,A309,"!",ADDRESS(16+(A310-1)*A306,13)))</f>
        <v>#N/A</v>
      </c>
      <c r="J298" s="20" t="e">
        <f ca="1">INDIRECT(_xlfn.TEXTJOIN("",TRUE,A309,"!",ADDRESS(16+(A310-1)*A306,14)))</f>
        <v>#N/A</v>
      </c>
    </row>
    <row r="299" spans="1:10" ht="28" customHeight="1" x14ac:dyDescent="0.2">
      <c r="A299" s="96" t="str">
        <f ca="1">INDIRECT(_xlfn.TEXTJOIN("",TRUE,A309,"!",ADDRESS(17+(A310-1)*A306,1)))</f>
        <v>CAT 013</v>
      </c>
      <c r="B299" s="97"/>
      <c r="C299" s="106" t="str">
        <f ca="1">INDIRECT(_xlfn.TEXTJOIN("",TRUE,A309,"!",ADDRESS(17+(A310-1)*A306,2)))</f>
        <v>Artificial Intelligence</v>
      </c>
      <c r="D299" s="107"/>
      <c r="E299" s="107"/>
      <c r="F299" s="107"/>
      <c r="G299" s="108"/>
      <c r="H299" s="20">
        <f ca="1">INDIRECT(_xlfn.TEXTJOIN("",TRUE,A309,"!",ADDRESS(17+(A310-1)*A306,6)))</f>
        <v>4</v>
      </c>
      <c r="I299" s="20" t="e">
        <f ca="1">INDIRECT(_xlfn.TEXTJOIN("",TRUE,A309,"!",ADDRESS(17+(A310-1)*A306,13)))</f>
        <v>#N/A</v>
      </c>
      <c r="J299" s="20" t="e">
        <f ca="1">INDIRECT(_xlfn.TEXTJOIN("",TRUE,A309,"!",ADDRESS(17+(A310-1)*A306,14)))</f>
        <v>#N/A</v>
      </c>
    </row>
    <row r="300" spans="1:10" ht="28" customHeight="1" x14ac:dyDescent="0.2">
      <c r="A300" s="96" t="str">
        <f ca="1">INDIRECT(_xlfn.TEXTJOIN("",TRUE,A309,"!",ADDRESS(18+(A310-1)*A306,1)))</f>
        <v>AHT 304</v>
      </c>
      <c r="B300" s="97"/>
      <c r="C300" s="106" t="str">
        <f ca="1">INDIRECT(_xlfn.TEXTJOIN("",TRUE,A309,"!",ADDRESS(18+(A310-1)*A306,2)))</f>
        <v>Accounting and Financial Management ($)</v>
      </c>
      <c r="D300" s="107"/>
      <c r="E300" s="107"/>
      <c r="F300" s="107"/>
      <c r="G300" s="108"/>
      <c r="H300" s="20">
        <f ca="1">INDIRECT(_xlfn.TEXTJOIN("",TRUE,A309,"!",ADDRESS(18+(A310-1)*A306,6)))</f>
        <v>0</v>
      </c>
      <c r="I300" s="20" t="e">
        <f ca="1">INDIRECT(_xlfn.TEXTJOIN("",TRUE,A309,"!",ADDRESS(18+(A310-1)*A306,13)))</f>
        <v>#N/A</v>
      </c>
      <c r="J300" s="20" t="e">
        <f ca="1">INDIRECT(_xlfn.TEXTJOIN("",TRUE,A309,"!",ADDRESS(18+(A310-1)*A306,14)))</f>
        <v>#N/A</v>
      </c>
    </row>
    <row r="301" spans="1:10" ht="28" customHeight="1" x14ac:dyDescent="0.2">
      <c r="A301" s="96" t="str">
        <f ca="1">INDIRECT(_xlfn.TEXTJOIN("",TRUE,A309,"!",ADDRESS(19+(A310-1)*A306,1)))</f>
        <v>CAP 004</v>
      </c>
      <c r="B301" s="97"/>
      <c r="C301" s="106" t="str">
        <f ca="1">INDIRECT(_xlfn.TEXTJOIN("",TRUE,A309,"!",ADDRESS(19+(A310-1)*A306,2)))</f>
        <v>Data Structures and Analysis of Algorithms Lab</v>
      </c>
      <c r="D301" s="107"/>
      <c r="E301" s="107"/>
      <c r="F301" s="107"/>
      <c r="G301" s="108"/>
      <c r="H301" s="20">
        <f ca="1">INDIRECT(_xlfn.TEXTJOIN("",TRUE,A309,"!",ADDRESS(19+(A310-1)*A306,6)))</f>
        <v>1</v>
      </c>
      <c r="I301" s="20" t="e">
        <f ca="1">INDIRECT(_xlfn.TEXTJOIN("",TRUE,A309,"!",ADDRESS(19+(A310-1)*A306,13)))</f>
        <v>#N/A</v>
      </c>
      <c r="J301" s="20" t="e">
        <f ca="1">INDIRECT(_xlfn.TEXTJOIN("",TRUE,A309,"!",ADDRESS(19+(A310-1)*A306,14)))</f>
        <v>#N/A</v>
      </c>
    </row>
    <row r="302" spans="1:10" ht="28" customHeight="1" x14ac:dyDescent="0.2">
      <c r="A302" s="96" t="str">
        <f ca="1">INDIRECT(_xlfn.TEXTJOIN("",TRUE,A309,"!",ADDRESS(20+(A310-1)*A306,1)))</f>
        <v>CAP 005</v>
      </c>
      <c r="B302" s="97"/>
      <c r="C302" s="106" t="str">
        <f ca="1">INDIRECT(_xlfn.TEXTJOIN("",TRUE,A309,"!",ADDRESS(20+(A310-1)*A306,2)))</f>
        <v>Object Oriented Programming with JAVA Lab</v>
      </c>
      <c r="D302" s="107"/>
      <c r="E302" s="107"/>
      <c r="F302" s="107"/>
      <c r="G302" s="108"/>
      <c r="H302" s="20">
        <f ca="1">INDIRECT(_xlfn.TEXTJOIN("",TRUE,A309,"!",ADDRESS(20+(A310-1)*A306,6)))</f>
        <v>1</v>
      </c>
      <c r="I302" s="20" t="e">
        <f ca="1">INDIRECT(_xlfn.TEXTJOIN("",TRUE,A309,"!",ADDRESS(20+(A310-1)*A306,13)))</f>
        <v>#N/A</v>
      </c>
      <c r="J302" s="20" t="e">
        <f ca="1">INDIRECT(_xlfn.TEXTJOIN("",TRUE,A309,"!",ADDRESS(20+(A310-1)*A306,14)))</f>
        <v>#N/A</v>
      </c>
    </row>
    <row r="303" spans="1:10" ht="28" customHeight="1" x14ac:dyDescent="0.2">
      <c r="A303" s="96" t="str">
        <f ca="1">INDIRECT(_xlfn.TEXTJOIN("",TRUE,A309,"!",ADDRESS(21+(A310-1)*A306,1)))</f>
        <v>CAP 006</v>
      </c>
      <c r="B303" s="97"/>
      <c r="C303" s="106" t="str">
        <f ca="1">INDIRECT(_xlfn.TEXTJOIN("",TRUE,A309,"!",ADDRESS(21+(A310-1)*A306,2)))</f>
        <v>Computer Networks Lab</v>
      </c>
      <c r="D303" s="107"/>
      <c r="E303" s="107"/>
      <c r="F303" s="107"/>
      <c r="G303" s="108"/>
      <c r="H303" s="20">
        <f ca="1">INDIRECT(_xlfn.TEXTJOIN("",TRUE,A309,"!",ADDRESS(21+(A310-1)*A306,6)))</f>
        <v>1</v>
      </c>
      <c r="I303" s="20" t="e">
        <f ca="1">INDIRECT(_xlfn.TEXTJOIN("",TRUE,A309,"!",ADDRESS(21+(A310-1)*A306,13)))</f>
        <v>#N/A</v>
      </c>
      <c r="J303" s="20" t="e">
        <f ca="1">INDIRECT(_xlfn.TEXTJOIN("",TRUE,A309,"!",ADDRESS(21+(A310-1)*A306,14)))</f>
        <v>#N/A</v>
      </c>
    </row>
    <row r="304" spans="1:10" ht="28" customHeight="1" x14ac:dyDescent="0.2">
      <c r="A304" s="96" t="str">
        <f ca="1">INDIRECT(_xlfn.TEXTJOIN("",TRUE,A309,"!",ADDRESS(22+(A310-1)*A306,1)))</f>
        <v>CAP 007</v>
      </c>
      <c r="B304" s="97"/>
      <c r="C304" s="106" t="str">
        <f ca="1">INDIRECT(_xlfn.TEXTJOIN("",TRUE,A309,"!",ADDRESS(22+(A310-1)*A306,2)))</f>
        <v>Artificial Intelligence Lab</v>
      </c>
      <c r="D304" s="107"/>
      <c r="E304" s="107"/>
      <c r="F304" s="107"/>
      <c r="G304" s="108"/>
      <c r="H304" s="20">
        <f ca="1">INDIRECT(_xlfn.TEXTJOIN("",TRUE,A309,"!",ADDRESS(22+(A310-1)*A306,6)))</f>
        <v>1</v>
      </c>
      <c r="I304" s="20" t="e">
        <f ca="1">INDIRECT(_xlfn.TEXTJOIN("",TRUE,A309,"!",ADDRESS(22+(A310-1)*A306,13)))</f>
        <v>#N/A</v>
      </c>
      <c r="J304" s="20" t="e">
        <f ca="1">INDIRECT(_xlfn.TEXTJOIN("",TRUE,A309,"!",ADDRESS(22+(A310-1)*A306,14)))</f>
        <v>#N/A</v>
      </c>
    </row>
    <row r="305" spans="1:10" ht="28" customHeight="1" x14ac:dyDescent="0.2">
      <c r="A305" s="118" t="s">
        <v>52</v>
      </c>
      <c r="B305" s="118"/>
      <c r="C305" s="118"/>
      <c r="D305" s="118"/>
      <c r="E305" s="118"/>
      <c r="F305" s="118"/>
      <c r="G305" s="118"/>
      <c r="H305" s="16">
        <f ca="1">SUM(H295:H304)</f>
        <v>24</v>
      </c>
      <c r="I305" s="16" t="s">
        <v>44</v>
      </c>
      <c r="J305" s="16" t="e">
        <f ca="1">SUMPRODUCT(J295:J304,H295:H304)</f>
        <v>#N/A</v>
      </c>
    </row>
    <row r="306" spans="1:10" ht="28" customHeight="1" x14ac:dyDescent="0.2">
      <c r="A306" s="22">
        <f>ROWS(A295:B304)+9</f>
        <v>19</v>
      </c>
      <c r="B306" s="17"/>
      <c r="C306" s="17"/>
      <c r="D306" s="17"/>
      <c r="E306" s="17"/>
      <c r="F306" s="17"/>
      <c r="G306" s="17"/>
      <c r="H306" s="17"/>
      <c r="I306" s="17"/>
      <c r="J306" s="17"/>
    </row>
    <row r="307" spans="1:10" ht="28" customHeight="1" x14ac:dyDescent="0.2">
      <c r="A307" s="120" t="s">
        <v>40</v>
      </c>
      <c r="B307" s="120"/>
      <c r="C307" s="21">
        <f ca="1">INDIRECT(_xlfn.TEXTJOIN("",TRUE,A309,"!",ADDRESS(5+A310*A306,12)))</f>
        <v>0</v>
      </c>
      <c r="D307" s="120" t="s">
        <v>38</v>
      </c>
      <c r="E307" s="120"/>
      <c r="F307" s="18" t="e">
        <f ca="1">INDIRECT(_xlfn.TEXTJOIN("",TRUE,A309,"!",ADDRESS(5+A310*A306,8)))</f>
        <v>#N/A</v>
      </c>
      <c r="G307" s="120" t="s">
        <v>39</v>
      </c>
      <c r="H307" s="120"/>
      <c r="I307" s="109" t="e">
        <f ca="1">INDIRECT(_xlfn.TEXTJOIN("",TRUE,A309,"!",ADDRESS(5+A310*A306,10)))</f>
        <v>#N/A</v>
      </c>
      <c r="J307" s="109"/>
    </row>
    <row r="308" spans="1:10" ht="28" customHeight="1" x14ac:dyDescent="0.2">
      <c r="A308" s="19" t="s">
        <v>36</v>
      </c>
      <c r="B308" s="95" t="e">
        <f ca="1">INDIRECT(_xlfn.TEXTJOIN("",TRUE,A309,"!",ADDRESS(5+A310*A306,2)))</f>
        <v>#N/A</v>
      </c>
      <c r="C308" s="95"/>
      <c r="D308" s="121" t="s">
        <v>37</v>
      </c>
      <c r="E308" s="121"/>
      <c r="F308" s="122" t="e">
        <f ca="1">INDIRECT(_xlfn.TEXTJOIN("",TRUE,A309,"!",ADDRESS(5+A310*A306,5)))</f>
        <v>#N/A</v>
      </c>
      <c r="G308" s="122"/>
      <c r="H308" s="122"/>
      <c r="I308" s="122"/>
      <c r="J308" s="122"/>
    </row>
    <row r="309" spans="1:10" ht="28" customHeight="1" x14ac:dyDescent="0.2">
      <c r="A309" s="22" t="str">
        <f>A290</f>
        <v>TC_II</v>
      </c>
    </row>
    <row r="310" spans="1:10" ht="28" customHeight="1" x14ac:dyDescent="0.2">
      <c r="A310" s="22">
        <f>A291+1</f>
        <v>16</v>
      </c>
    </row>
    <row r="311" spans="1:10" ht="28" customHeight="1" x14ac:dyDescent="0.2">
      <c r="A311" s="112" t="s">
        <v>24</v>
      </c>
      <c r="B311" s="112"/>
      <c r="C311" s="112" t="str">
        <f ca="1">INDIRECT(_xlfn.TEXTJOIN("",TRUE,A328,"!",ADDRESS(9+(A329-1)*A325,2)))</f>
        <v>PRIYANSHU BHATT</v>
      </c>
      <c r="D311" s="112"/>
      <c r="E311" s="112"/>
      <c r="F311" s="112" t="s">
        <v>50</v>
      </c>
      <c r="G311" s="112"/>
      <c r="H311" s="112"/>
      <c r="I311" s="113">
        <f ca="1">INDIRECT(_xlfn.TEXTJOIN("",TRUE,A328,"!",ADDRESS(9+(A329-1)*A325,9)))</f>
        <v>240090600017</v>
      </c>
      <c r="J311" s="113"/>
    </row>
    <row r="312" spans="1:10" ht="28" customHeight="1" x14ac:dyDescent="0.2">
      <c r="A312" s="112" t="s">
        <v>25</v>
      </c>
      <c r="B312" s="112"/>
      <c r="C312" s="112" t="str">
        <f ca="1">INDIRECT(_xlfn.TEXTJOIN("",TRUE,A328,"!",ADDRESS(9+(A329-1)*A325,5)))</f>
        <v>DINESH BHATT</v>
      </c>
      <c r="D312" s="112"/>
      <c r="E312" s="112"/>
      <c r="F312" s="114" t="s">
        <v>51</v>
      </c>
      <c r="G312" s="114"/>
      <c r="H312" s="114"/>
      <c r="I312" s="113" t="str">
        <f ca="1">INDIRECT(_xlfn.TEXTJOIN("",TRUE,A328,"!",ADDRESS(9+(A329-1)*A325,13)))</f>
        <v>UTU/2406100180</v>
      </c>
      <c r="J312" s="113"/>
    </row>
    <row r="313" spans="1:10" ht="28" customHeight="1" x14ac:dyDescent="0.2">
      <c r="A313" s="95" t="s">
        <v>28</v>
      </c>
      <c r="B313" s="95"/>
      <c r="C313" s="95" t="s">
        <v>29</v>
      </c>
      <c r="D313" s="95"/>
      <c r="E313" s="95"/>
      <c r="F313" s="95"/>
      <c r="G313" s="95"/>
      <c r="H313" s="15" t="s">
        <v>30</v>
      </c>
      <c r="I313" s="15" t="s">
        <v>9</v>
      </c>
      <c r="J313" s="15" t="s">
        <v>34</v>
      </c>
    </row>
    <row r="314" spans="1:10" ht="28" customHeight="1" x14ac:dyDescent="0.2">
      <c r="A314" s="96" t="str">
        <f ca="1">INDIRECT(_xlfn.TEXTJOIN("",TRUE,A328,"!",ADDRESS(13+(A329-1)*A325,1)))</f>
        <v>CAT 009</v>
      </c>
      <c r="B314" s="97"/>
      <c r="C314" s="106" t="str">
        <f ca="1">INDIRECT(_xlfn.TEXTJOIN("",TRUE,A328,"!",ADDRESS(13+(A329-1)*A325,2)))</f>
        <v>Computer Based Numerical and Statistical Techniques</v>
      </c>
      <c r="D314" s="107"/>
      <c r="E314" s="107"/>
      <c r="F314" s="107"/>
      <c r="G314" s="108"/>
      <c r="H314" s="20">
        <f ca="1">INDIRECT(_xlfn.TEXTJOIN("",TRUE,A328,"!",ADDRESS(13+(A329-1)*A325,6)))</f>
        <v>4</v>
      </c>
      <c r="I314" s="20" t="e">
        <f ca="1">INDIRECT(_xlfn.TEXTJOIN("",TRUE,A328,"!",ADDRESS(13+(A329-1)*A325,13)))</f>
        <v>#N/A</v>
      </c>
      <c r="J314" s="20" t="e">
        <f ca="1">INDIRECT(_xlfn.TEXTJOIN("",TRUE,A328,"!",ADDRESS(13+(A329-1)*A325,14)))</f>
        <v>#N/A</v>
      </c>
    </row>
    <row r="315" spans="1:10" ht="28" customHeight="1" x14ac:dyDescent="0.2">
      <c r="A315" s="96" t="str">
        <f ca="1">INDIRECT(_xlfn.TEXTJOIN("",TRUE,A328,"!",ADDRESS(14+(A329-1)*A325,1)))</f>
        <v>CAT 010</v>
      </c>
      <c r="B315" s="97"/>
      <c r="C315" s="106" t="str">
        <f ca="1">INDIRECT(_xlfn.TEXTJOIN("",TRUE,A328,"!",ADDRESS(14+(A329-1)*A325,2)))</f>
        <v>Data Structures and Analysis of Algorithms</v>
      </c>
      <c r="D315" s="107"/>
      <c r="E315" s="107"/>
      <c r="F315" s="107"/>
      <c r="G315" s="108"/>
      <c r="H315" s="20">
        <f ca="1">INDIRECT(_xlfn.TEXTJOIN("",TRUE,A328,"!",ADDRESS(14+(A329-1)*A325,6)))</f>
        <v>4</v>
      </c>
      <c r="I315" s="20" t="e">
        <f ca="1">INDIRECT(_xlfn.TEXTJOIN("",TRUE,A328,"!",ADDRESS(14+(A329-1)*A325,13)))</f>
        <v>#N/A</v>
      </c>
      <c r="J315" s="20" t="e">
        <f ca="1">INDIRECT(_xlfn.TEXTJOIN("",TRUE,A328,"!",ADDRESS(14+(A329-1)*A325,14)))</f>
        <v>#N/A</v>
      </c>
    </row>
    <row r="316" spans="1:10" ht="28" customHeight="1" x14ac:dyDescent="0.2">
      <c r="A316" s="96" t="str">
        <f ca="1">INDIRECT(_xlfn.TEXTJOIN("",TRUE,A328,"!",ADDRESS(15+(A329-1)*A325,1)))</f>
        <v>CAT 011</v>
      </c>
      <c r="B316" s="97"/>
      <c r="C316" s="106" t="str">
        <f ca="1">INDIRECT(_xlfn.TEXTJOIN("",TRUE,A328,"!",ADDRESS(15+(A329-1)*A325,2)))</f>
        <v>Object Oriented Programming with JAVA</v>
      </c>
      <c r="D316" s="107"/>
      <c r="E316" s="107"/>
      <c r="F316" s="107"/>
      <c r="G316" s="108"/>
      <c r="H316" s="20">
        <f ca="1">INDIRECT(_xlfn.TEXTJOIN("",TRUE,A328,"!",ADDRESS(15+(A329-1)*A325,6)))</f>
        <v>4</v>
      </c>
      <c r="I316" s="20" t="e">
        <f ca="1">INDIRECT(_xlfn.TEXTJOIN("",TRUE,A328,"!",ADDRESS(15+(A329-1)*A325,13)))</f>
        <v>#N/A</v>
      </c>
      <c r="J316" s="20" t="e">
        <f ca="1">INDIRECT(_xlfn.TEXTJOIN("",TRUE,A328,"!",ADDRESS(15+(A329-1)*A325,14)))</f>
        <v>#N/A</v>
      </c>
    </row>
    <row r="317" spans="1:10" ht="28" customHeight="1" x14ac:dyDescent="0.2">
      <c r="A317" s="96" t="str">
        <f ca="1">INDIRECT(_xlfn.TEXTJOIN("",TRUE,A328,"!",ADDRESS(16+(A329-1)*A325,1)))</f>
        <v>CAT 012</v>
      </c>
      <c r="B317" s="97"/>
      <c r="C317" s="106" t="str">
        <f ca="1">INDIRECT(_xlfn.TEXTJOIN("",TRUE,A328,"!",ADDRESS(16+(A329-1)*A325,2)))</f>
        <v>Computer Networks</v>
      </c>
      <c r="D317" s="107"/>
      <c r="E317" s="107"/>
      <c r="F317" s="107"/>
      <c r="G317" s="108"/>
      <c r="H317" s="20">
        <f ca="1">INDIRECT(_xlfn.TEXTJOIN("",TRUE,A328,"!",ADDRESS(16+(A329-1)*A325,6)))</f>
        <v>4</v>
      </c>
      <c r="I317" s="20" t="e">
        <f ca="1">INDIRECT(_xlfn.TEXTJOIN("",TRUE,A328,"!",ADDRESS(16+(A329-1)*A325,13)))</f>
        <v>#N/A</v>
      </c>
      <c r="J317" s="20" t="e">
        <f ca="1">INDIRECT(_xlfn.TEXTJOIN("",TRUE,A328,"!",ADDRESS(16+(A329-1)*A325,14)))</f>
        <v>#N/A</v>
      </c>
    </row>
    <row r="318" spans="1:10" ht="28" customHeight="1" x14ac:dyDescent="0.2">
      <c r="A318" s="96" t="str">
        <f ca="1">INDIRECT(_xlfn.TEXTJOIN("",TRUE,A328,"!",ADDRESS(17+(A329-1)*A325,1)))</f>
        <v>CAT 013</v>
      </c>
      <c r="B318" s="97"/>
      <c r="C318" s="106" t="str">
        <f ca="1">INDIRECT(_xlfn.TEXTJOIN("",TRUE,A328,"!",ADDRESS(17+(A329-1)*A325,2)))</f>
        <v>Artificial Intelligence</v>
      </c>
      <c r="D318" s="107"/>
      <c r="E318" s="107"/>
      <c r="F318" s="107"/>
      <c r="G318" s="108"/>
      <c r="H318" s="20">
        <f ca="1">INDIRECT(_xlfn.TEXTJOIN("",TRUE,A328,"!",ADDRESS(17+(A329-1)*A325,6)))</f>
        <v>4</v>
      </c>
      <c r="I318" s="20" t="e">
        <f ca="1">INDIRECT(_xlfn.TEXTJOIN("",TRUE,A328,"!",ADDRESS(17+(A329-1)*A325,13)))</f>
        <v>#N/A</v>
      </c>
      <c r="J318" s="20" t="e">
        <f ca="1">INDIRECT(_xlfn.TEXTJOIN("",TRUE,A328,"!",ADDRESS(17+(A329-1)*A325,14)))</f>
        <v>#N/A</v>
      </c>
    </row>
    <row r="319" spans="1:10" ht="28" customHeight="1" x14ac:dyDescent="0.2">
      <c r="A319" s="96" t="str">
        <f ca="1">INDIRECT(_xlfn.TEXTJOIN("",TRUE,A328,"!",ADDRESS(18+(A329-1)*A325,1)))</f>
        <v>AHT 304</v>
      </c>
      <c r="B319" s="97"/>
      <c r="C319" s="106" t="str">
        <f ca="1">INDIRECT(_xlfn.TEXTJOIN("",TRUE,A328,"!",ADDRESS(18+(A329-1)*A325,2)))</f>
        <v>Accounting and Financial Management ($)</v>
      </c>
      <c r="D319" s="107"/>
      <c r="E319" s="107"/>
      <c r="F319" s="107"/>
      <c r="G319" s="108"/>
      <c r="H319" s="20">
        <f ca="1">INDIRECT(_xlfn.TEXTJOIN("",TRUE,A328,"!",ADDRESS(18+(A329-1)*A325,6)))</f>
        <v>0</v>
      </c>
      <c r="I319" s="20" t="e">
        <f ca="1">INDIRECT(_xlfn.TEXTJOIN("",TRUE,A328,"!",ADDRESS(18+(A329-1)*A325,13)))</f>
        <v>#N/A</v>
      </c>
      <c r="J319" s="20" t="e">
        <f ca="1">INDIRECT(_xlfn.TEXTJOIN("",TRUE,A328,"!",ADDRESS(18+(A329-1)*A325,14)))</f>
        <v>#N/A</v>
      </c>
    </row>
    <row r="320" spans="1:10" ht="28" customHeight="1" x14ac:dyDescent="0.2">
      <c r="A320" s="96" t="str">
        <f ca="1">INDIRECT(_xlfn.TEXTJOIN("",TRUE,A328,"!",ADDRESS(19+(A329-1)*A325,1)))</f>
        <v>CAP 004</v>
      </c>
      <c r="B320" s="97"/>
      <c r="C320" s="106" t="str">
        <f ca="1">INDIRECT(_xlfn.TEXTJOIN("",TRUE,A328,"!",ADDRESS(19+(A329-1)*A325,2)))</f>
        <v>Data Structures and Analysis of Algorithms Lab</v>
      </c>
      <c r="D320" s="107"/>
      <c r="E320" s="107"/>
      <c r="F320" s="107"/>
      <c r="G320" s="108"/>
      <c r="H320" s="20">
        <f ca="1">INDIRECT(_xlfn.TEXTJOIN("",TRUE,A328,"!",ADDRESS(19+(A329-1)*A325,6)))</f>
        <v>1</v>
      </c>
      <c r="I320" s="20" t="e">
        <f ca="1">INDIRECT(_xlfn.TEXTJOIN("",TRUE,A328,"!",ADDRESS(19+(A329-1)*A325,13)))</f>
        <v>#N/A</v>
      </c>
      <c r="J320" s="20" t="e">
        <f ca="1">INDIRECT(_xlfn.TEXTJOIN("",TRUE,A328,"!",ADDRESS(19+(A329-1)*A325,14)))</f>
        <v>#N/A</v>
      </c>
    </row>
    <row r="321" spans="1:10" ht="28" customHeight="1" x14ac:dyDescent="0.2">
      <c r="A321" s="96" t="str">
        <f ca="1">INDIRECT(_xlfn.TEXTJOIN("",TRUE,A328,"!",ADDRESS(20+(A329-1)*A325,1)))</f>
        <v>CAP 005</v>
      </c>
      <c r="B321" s="97"/>
      <c r="C321" s="106" t="str">
        <f ca="1">INDIRECT(_xlfn.TEXTJOIN("",TRUE,A328,"!",ADDRESS(20+(A329-1)*A325,2)))</f>
        <v>Object Oriented Programming with JAVA Lab</v>
      </c>
      <c r="D321" s="107"/>
      <c r="E321" s="107"/>
      <c r="F321" s="107"/>
      <c r="G321" s="108"/>
      <c r="H321" s="20">
        <f ca="1">INDIRECT(_xlfn.TEXTJOIN("",TRUE,A328,"!",ADDRESS(20+(A329-1)*A325,6)))</f>
        <v>1</v>
      </c>
      <c r="I321" s="20" t="e">
        <f ca="1">INDIRECT(_xlfn.TEXTJOIN("",TRUE,A328,"!",ADDRESS(20+(A329-1)*A325,13)))</f>
        <v>#N/A</v>
      </c>
      <c r="J321" s="20" t="e">
        <f ca="1">INDIRECT(_xlfn.TEXTJOIN("",TRUE,A328,"!",ADDRESS(20+(A329-1)*A325,14)))</f>
        <v>#N/A</v>
      </c>
    </row>
    <row r="322" spans="1:10" ht="28" customHeight="1" x14ac:dyDescent="0.2">
      <c r="A322" s="96" t="str">
        <f ca="1">INDIRECT(_xlfn.TEXTJOIN("",TRUE,A328,"!",ADDRESS(21+(A329-1)*A325,1)))</f>
        <v>CAP 006</v>
      </c>
      <c r="B322" s="97"/>
      <c r="C322" s="106" t="str">
        <f ca="1">INDIRECT(_xlfn.TEXTJOIN("",TRUE,A328,"!",ADDRESS(21+(A329-1)*A325,2)))</f>
        <v>Computer Networks Lab</v>
      </c>
      <c r="D322" s="107"/>
      <c r="E322" s="107"/>
      <c r="F322" s="107"/>
      <c r="G322" s="108"/>
      <c r="H322" s="20">
        <f ca="1">INDIRECT(_xlfn.TEXTJOIN("",TRUE,A328,"!",ADDRESS(21+(A329-1)*A325,6)))</f>
        <v>1</v>
      </c>
      <c r="I322" s="20" t="e">
        <f ca="1">INDIRECT(_xlfn.TEXTJOIN("",TRUE,A328,"!",ADDRESS(21+(A329-1)*A325,13)))</f>
        <v>#N/A</v>
      </c>
      <c r="J322" s="20" t="e">
        <f ca="1">INDIRECT(_xlfn.TEXTJOIN("",TRUE,A328,"!",ADDRESS(21+(A329-1)*A325,14)))</f>
        <v>#N/A</v>
      </c>
    </row>
    <row r="323" spans="1:10" ht="28" customHeight="1" x14ac:dyDescent="0.2">
      <c r="A323" s="96" t="str">
        <f ca="1">INDIRECT(_xlfn.TEXTJOIN("",TRUE,A328,"!",ADDRESS(22+(A329-1)*A325,1)))</f>
        <v>CAP 007</v>
      </c>
      <c r="B323" s="97"/>
      <c r="C323" s="106" t="str">
        <f ca="1">INDIRECT(_xlfn.TEXTJOIN("",TRUE,A328,"!",ADDRESS(22+(A329-1)*A325,2)))</f>
        <v>Artificial Intelligence Lab</v>
      </c>
      <c r="D323" s="107"/>
      <c r="E323" s="107"/>
      <c r="F323" s="107"/>
      <c r="G323" s="108"/>
      <c r="H323" s="20">
        <f ca="1">INDIRECT(_xlfn.TEXTJOIN("",TRUE,A328,"!",ADDRESS(22+(A329-1)*A325,6)))</f>
        <v>1</v>
      </c>
      <c r="I323" s="20" t="e">
        <f ca="1">INDIRECT(_xlfn.TEXTJOIN("",TRUE,A328,"!",ADDRESS(22+(A329-1)*A325,13)))</f>
        <v>#N/A</v>
      </c>
      <c r="J323" s="20" t="e">
        <f ca="1">INDIRECT(_xlfn.TEXTJOIN("",TRUE,A328,"!",ADDRESS(22+(A329-1)*A325,14)))</f>
        <v>#N/A</v>
      </c>
    </row>
    <row r="324" spans="1:10" ht="28" customHeight="1" x14ac:dyDescent="0.2">
      <c r="A324" s="118" t="s">
        <v>52</v>
      </c>
      <c r="B324" s="118"/>
      <c r="C324" s="118"/>
      <c r="D324" s="118"/>
      <c r="E324" s="118"/>
      <c r="F324" s="118"/>
      <c r="G324" s="118"/>
      <c r="H324" s="16">
        <f ca="1">SUM(H314:H323)</f>
        <v>24</v>
      </c>
      <c r="I324" s="16" t="s">
        <v>44</v>
      </c>
      <c r="J324" s="16" t="e">
        <f ca="1">SUMPRODUCT(J314:J323,H314:H323)</f>
        <v>#N/A</v>
      </c>
    </row>
    <row r="325" spans="1:10" ht="28" customHeight="1" x14ac:dyDescent="0.2">
      <c r="A325" s="22">
        <f>ROWS(A314:B323)+9</f>
        <v>19</v>
      </c>
      <c r="B325" s="17"/>
      <c r="C325" s="17"/>
      <c r="D325" s="17"/>
      <c r="E325" s="17"/>
      <c r="F325" s="17"/>
      <c r="G325" s="17"/>
      <c r="H325" s="17"/>
      <c r="I325" s="17"/>
      <c r="J325" s="17"/>
    </row>
    <row r="326" spans="1:10" ht="28" customHeight="1" x14ac:dyDescent="0.2">
      <c r="A326" s="120" t="s">
        <v>40</v>
      </c>
      <c r="B326" s="120"/>
      <c r="C326" s="21">
        <f ca="1">INDIRECT(_xlfn.TEXTJOIN("",TRUE,A328,"!",ADDRESS(5+A329*A325,12)))</f>
        <v>0</v>
      </c>
      <c r="D326" s="120" t="s">
        <v>38</v>
      </c>
      <c r="E326" s="120"/>
      <c r="F326" s="18" t="e">
        <f ca="1">INDIRECT(_xlfn.TEXTJOIN("",TRUE,A328,"!",ADDRESS(5+A329*A325,8)))</f>
        <v>#N/A</v>
      </c>
      <c r="G326" s="120" t="s">
        <v>39</v>
      </c>
      <c r="H326" s="120"/>
      <c r="I326" s="109" t="e">
        <f ca="1">INDIRECT(_xlfn.TEXTJOIN("",TRUE,A328,"!",ADDRESS(5+A329*A325,10)))</f>
        <v>#N/A</v>
      </c>
      <c r="J326" s="109"/>
    </row>
    <row r="327" spans="1:10" ht="28" customHeight="1" x14ac:dyDescent="0.2">
      <c r="A327" s="19" t="s">
        <v>36</v>
      </c>
      <c r="B327" s="95" t="e">
        <f ca="1">INDIRECT(_xlfn.TEXTJOIN("",TRUE,A328,"!",ADDRESS(5+A329*A325,2)))</f>
        <v>#N/A</v>
      </c>
      <c r="C327" s="95"/>
      <c r="D327" s="121" t="s">
        <v>37</v>
      </c>
      <c r="E327" s="121"/>
      <c r="F327" s="122" t="e">
        <f ca="1">INDIRECT(_xlfn.TEXTJOIN("",TRUE,A328,"!",ADDRESS(5+A329*A325,5)))</f>
        <v>#N/A</v>
      </c>
      <c r="G327" s="122"/>
      <c r="H327" s="122"/>
      <c r="I327" s="122"/>
      <c r="J327" s="122"/>
    </row>
    <row r="328" spans="1:10" ht="28" customHeight="1" x14ac:dyDescent="0.2">
      <c r="A328" s="22" t="str">
        <f>A309</f>
        <v>TC_II</v>
      </c>
    </row>
    <row r="329" spans="1:10" ht="28" customHeight="1" x14ac:dyDescent="0.2">
      <c r="A329" s="22">
        <f>A310+1</f>
        <v>17</v>
      </c>
    </row>
    <row r="330" spans="1:10" ht="28" customHeight="1" x14ac:dyDescent="0.2">
      <c r="A330" s="112" t="s">
        <v>24</v>
      </c>
      <c r="B330" s="112"/>
      <c r="C330" s="112" t="str">
        <f ca="1">INDIRECT(_xlfn.TEXTJOIN("",TRUE,A347,"!",ADDRESS(9+(A348-1)*A344,2)))</f>
        <v>PRIYANSHU DHYANI</v>
      </c>
      <c r="D330" s="112"/>
      <c r="E330" s="112"/>
      <c r="F330" s="112" t="s">
        <v>50</v>
      </c>
      <c r="G330" s="112"/>
      <c r="H330" s="112"/>
      <c r="I330" s="113">
        <f ca="1">INDIRECT(_xlfn.TEXTJOIN("",TRUE,A347,"!",ADDRESS(9+(A348-1)*A344,9)))</f>
        <v>240090600018</v>
      </c>
      <c r="J330" s="113"/>
    </row>
    <row r="331" spans="1:10" ht="28" customHeight="1" x14ac:dyDescent="0.2">
      <c r="A331" s="112" t="s">
        <v>25</v>
      </c>
      <c r="B331" s="112"/>
      <c r="C331" s="112" t="str">
        <f ca="1">INDIRECT(_xlfn.TEXTJOIN("",TRUE,A347,"!",ADDRESS(9+(A348-1)*A344,5)))</f>
        <v>RAMESH CHANDRA DHYANI</v>
      </c>
      <c r="D331" s="112"/>
      <c r="E331" s="112"/>
      <c r="F331" s="114" t="s">
        <v>51</v>
      </c>
      <c r="G331" s="114"/>
      <c r="H331" s="114"/>
      <c r="I331" s="113" t="str">
        <f ca="1">INDIRECT(_xlfn.TEXTJOIN("",TRUE,A347,"!",ADDRESS(9+(A348-1)*A344,13)))</f>
        <v>UTU/2406100171</v>
      </c>
      <c r="J331" s="113"/>
    </row>
    <row r="332" spans="1:10" ht="28" customHeight="1" x14ac:dyDescent="0.2">
      <c r="A332" s="95" t="s">
        <v>28</v>
      </c>
      <c r="B332" s="95"/>
      <c r="C332" s="95" t="s">
        <v>29</v>
      </c>
      <c r="D332" s="95"/>
      <c r="E332" s="95"/>
      <c r="F332" s="95"/>
      <c r="G332" s="95"/>
      <c r="H332" s="15" t="s">
        <v>30</v>
      </c>
      <c r="I332" s="15" t="s">
        <v>9</v>
      </c>
      <c r="J332" s="15" t="s">
        <v>34</v>
      </c>
    </row>
    <row r="333" spans="1:10" ht="28" customHeight="1" x14ac:dyDescent="0.2">
      <c r="A333" s="96" t="str">
        <f ca="1">INDIRECT(_xlfn.TEXTJOIN("",TRUE,A347,"!",ADDRESS(13+(A348-1)*A344,1)))</f>
        <v>CAT 009</v>
      </c>
      <c r="B333" s="97"/>
      <c r="C333" s="106" t="str">
        <f ca="1">INDIRECT(_xlfn.TEXTJOIN("",TRUE,A347,"!",ADDRESS(13+(A348-1)*A344,2)))</f>
        <v>Computer Based Numerical and Statistical Techniques</v>
      </c>
      <c r="D333" s="107"/>
      <c r="E333" s="107"/>
      <c r="F333" s="107"/>
      <c r="G333" s="108"/>
      <c r="H333" s="20">
        <f ca="1">INDIRECT(_xlfn.TEXTJOIN("",TRUE,A347,"!",ADDRESS(13+(A348-1)*A344,6)))</f>
        <v>4</v>
      </c>
      <c r="I333" s="20" t="e">
        <f ca="1">INDIRECT(_xlfn.TEXTJOIN("",TRUE,A347,"!",ADDRESS(13+(A348-1)*A344,13)))</f>
        <v>#N/A</v>
      </c>
      <c r="J333" s="20" t="e">
        <f ca="1">INDIRECT(_xlfn.TEXTJOIN("",TRUE,A347,"!",ADDRESS(13+(A348-1)*A344,14)))</f>
        <v>#N/A</v>
      </c>
    </row>
    <row r="334" spans="1:10" ht="28" customHeight="1" x14ac:dyDescent="0.2">
      <c r="A334" s="96" t="str">
        <f ca="1">INDIRECT(_xlfn.TEXTJOIN("",TRUE,A347,"!",ADDRESS(14+(A348-1)*A344,1)))</f>
        <v>CAT 010</v>
      </c>
      <c r="B334" s="97"/>
      <c r="C334" s="106" t="str">
        <f ca="1">INDIRECT(_xlfn.TEXTJOIN("",TRUE,A347,"!",ADDRESS(14+(A348-1)*A344,2)))</f>
        <v>Data Structures and Analysis of Algorithms</v>
      </c>
      <c r="D334" s="107"/>
      <c r="E334" s="107"/>
      <c r="F334" s="107"/>
      <c r="G334" s="108"/>
      <c r="H334" s="20">
        <f ca="1">INDIRECT(_xlfn.TEXTJOIN("",TRUE,A347,"!",ADDRESS(14+(A348-1)*A344,6)))</f>
        <v>4</v>
      </c>
      <c r="I334" s="20" t="e">
        <f ca="1">INDIRECT(_xlfn.TEXTJOIN("",TRUE,A347,"!",ADDRESS(14+(A348-1)*A344,13)))</f>
        <v>#N/A</v>
      </c>
      <c r="J334" s="20" t="e">
        <f ca="1">INDIRECT(_xlfn.TEXTJOIN("",TRUE,A347,"!",ADDRESS(14+(A348-1)*A344,14)))</f>
        <v>#N/A</v>
      </c>
    </row>
    <row r="335" spans="1:10" ht="28" customHeight="1" x14ac:dyDescent="0.2">
      <c r="A335" s="96" t="str">
        <f ca="1">INDIRECT(_xlfn.TEXTJOIN("",TRUE,A347,"!",ADDRESS(15+(A348-1)*A344,1)))</f>
        <v>CAT 011</v>
      </c>
      <c r="B335" s="97"/>
      <c r="C335" s="106" t="str">
        <f ca="1">INDIRECT(_xlfn.TEXTJOIN("",TRUE,A347,"!",ADDRESS(15+(A348-1)*A344,2)))</f>
        <v>Object Oriented Programming with JAVA</v>
      </c>
      <c r="D335" s="107"/>
      <c r="E335" s="107"/>
      <c r="F335" s="107"/>
      <c r="G335" s="108"/>
      <c r="H335" s="20">
        <f ca="1">INDIRECT(_xlfn.TEXTJOIN("",TRUE,A347,"!",ADDRESS(15+(A348-1)*A344,6)))</f>
        <v>4</v>
      </c>
      <c r="I335" s="20" t="e">
        <f ca="1">INDIRECT(_xlfn.TEXTJOIN("",TRUE,A347,"!",ADDRESS(15+(A348-1)*A344,13)))</f>
        <v>#N/A</v>
      </c>
      <c r="J335" s="20" t="e">
        <f ca="1">INDIRECT(_xlfn.TEXTJOIN("",TRUE,A347,"!",ADDRESS(15+(A348-1)*A344,14)))</f>
        <v>#N/A</v>
      </c>
    </row>
    <row r="336" spans="1:10" ht="28" customHeight="1" x14ac:dyDescent="0.2">
      <c r="A336" s="96" t="str">
        <f ca="1">INDIRECT(_xlfn.TEXTJOIN("",TRUE,A347,"!",ADDRESS(16+(A348-1)*A344,1)))</f>
        <v>CAT 012</v>
      </c>
      <c r="B336" s="97"/>
      <c r="C336" s="106" t="str">
        <f ca="1">INDIRECT(_xlfn.TEXTJOIN("",TRUE,A347,"!",ADDRESS(16+(A348-1)*A344,2)))</f>
        <v>Computer Networks</v>
      </c>
      <c r="D336" s="107"/>
      <c r="E336" s="107"/>
      <c r="F336" s="107"/>
      <c r="G336" s="108"/>
      <c r="H336" s="20">
        <f ca="1">INDIRECT(_xlfn.TEXTJOIN("",TRUE,A347,"!",ADDRESS(16+(A348-1)*A344,6)))</f>
        <v>4</v>
      </c>
      <c r="I336" s="20" t="e">
        <f ca="1">INDIRECT(_xlfn.TEXTJOIN("",TRUE,A347,"!",ADDRESS(16+(A348-1)*A344,13)))</f>
        <v>#N/A</v>
      </c>
      <c r="J336" s="20" t="e">
        <f ca="1">INDIRECT(_xlfn.TEXTJOIN("",TRUE,A347,"!",ADDRESS(16+(A348-1)*A344,14)))</f>
        <v>#N/A</v>
      </c>
    </row>
    <row r="337" spans="1:10" ht="28" customHeight="1" x14ac:dyDescent="0.2">
      <c r="A337" s="96" t="str">
        <f ca="1">INDIRECT(_xlfn.TEXTJOIN("",TRUE,A347,"!",ADDRESS(17+(A348-1)*A344,1)))</f>
        <v>CAT 013</v>
      </c>
      <c r="B337" s="97"/>
      <c r="C337" s="106" t="str">
        <f ca="1">INDIRECT(_xlfn.TEXTJOIN("",TRUE,A347,"!",ADDRESS(17+(A348-1)*A344,2)))</f>
        <v>Artificial Intelligence</v>
      </c>
      <c r="D337" s="107"/>
      <c r="E337" s="107"/>
      <c r="F337" s="107"/>
      <c r="G337" s="108"/>
      <c r="H337" s="20">
        <f ca="1">INDIRECT(_xlfn.TEXTJOIN("",TRUE,A347,"!",ADDRESS(17+(A348-1)*A344,6)))</f>
        <v>4</v>
      </c>
      <c r="I337" s="20" t="e">
        <f ca="1">INDIRECT(_xlfn.TEXTJOIN("",TRUE,A347,"!",ADDRESS(17+(A348-1)*A344,13)))</f>
        <v>#N/A</v>
      </c>
      <c r="J337" s="20" t="e">
        <f ca="1">INDIRECT(_xlfn.TEXTJOIN("",TRUE,A347,"!",ADDRESS(17+(A348-1)*A344,14)))</f>
        <v>#N/A</v>
      </c>
    </row>
    <row r="338" spans="1:10" ht="28" customHeight="1" x14ac:dyDescent="0.2">
      <c r="A338" s="96" t="str">
        <f ca="1">INDIRECT(_xlfn.TEXTJOIN("",TRUE,A347,"!",ADDRESS(18+(A348-1)*A344,1)))</f>
        <v>AHT 304</v>
      </c>
      <c r="B338" s="97"/>
      <c r="C338" s="106" t="str">
        <f ca="1">INDIRECT(_xlfn.TEXTJOIN("",TRUE,A347,"!",ADDRESS(18+(A348-1)*A344,2)))</f>
        <v>Accounting and Financial Management ($)</v>
      </c>
      <c r="D338" s="107"/>
      <c r="E338" s="107"/>
      <c r="F338" s="107"/>
      <c r="G338" s="108"/>
      <c r="H338" s="20">
        <f ca="1">INDIRECT(_xlfn.TEXTJOIN("",TRUE,A347,"!",ADDRESS(18+(A348-1)*A344,6)))</f>
        <v>0</v>
      </c>
      <c r="I338" s="20" t="e">
        <f ca="1">INDIRECT(_xlfn.TEXTJOIN("",TRUE,A347,"!",ADDRESS(18+(A348-1)*A344,13)))</f>
        <v>#N/A</v>
      </c>
      <c r="J338" s="20" t="e">
        <f ca="1">INDIRECT(_xlfn.TEXTJOIN("",TRUE,A347,"!",ADDRESS(18+(A348-1)*A344,14)))</f>
        <v>#N/A</v>
      </c>
    </row>
    <row r="339" spans="1:10" ht="28" customHeight="1" x14ac:dyDescent="0.2">
      <c r="A339" s="96" t="str">
        <f ca="1">INDIRECT(_xlfn.TEXTJOIN("",TRUE,A347,"!",ADDRESS(19+(A348-1)*A344,1)))</f>
        <v>CAP 004</v>
      </c>
      <c r="B339" s="97"/>
      <c r="C339" s="106" t="str">
        <f ca="1">INDIRECT(_xlfn.TEXTJOIN("",TRUE,A347,"!",ADDRESS(19+(A348-1)*A344,2)))</f>
        <v>Data Structures and Analysis of Algorithms Lab</v>
      </c>
      <c r="D339" s="107"/>
      <c r="E339" s="107"/>
      <c r="F339" s="107"/>
      <c r="G339" s="108"/>
      <c r="H339" s="20">
        <f ca="1">INDIRECT(_xlfn.TEXTJOIN("",TRUE,A347,"!",ADDRESS(19+(A348-1)*A344,6)))</f>
        <v>1</v>
      </c>
      <c r="I339" s="20" t="e">
        <f ca="1">INDIRECT(_xlfn.TEXTJOIN("",TRUE,A347,"!",ADDRESS(19+(A348-1)*A344,13)))</f>
        <v>#N/A</v>
      </c>
      <c r="J339" s="20" t="e">
        <f ca="1">INDIRECT(_xlfn.TEXTJOIN("",TRUE,A347,"!",ADDRESS(19+(A348-1)*A344,14)))</f>
        <v>#N/A</v>
      </c>
    </row>
    <row r="340" spans="1:10" ht="28" customHeight="1" x14ac:dyDescent="0.2">
      <c r="A340" s="96" t="str">
        <f ca="1">INDIRECT(_xlfn.TEXTJOIN("",TRUE,A347,"!",ADDRESS(20+(A348-1)*A344,1)))</f>
        <v>CAP 005</v>
      </c>
      <c r="B340" s="97"/>
      <c r="C340" s="106" t="str">
        <f ca="1">INDIRECT(_xlfn.TEXTJOIN("",TRUE,A347,"!",ADDRESS(20+(A348-1)*A344,2)))</f>
        <v>Object Oriented Programming with JAVA Lab</v>
      </c>
      <c r="D340" s="107"/>
      <c r="E340" s="107"/>
      <c r="F340" s="107"/>
      <c r="G340" s="108"/>
      <c r="H340" s="20">
        <f ca="1">INDIRECT(_xlfn.TEXTJOIN("",TRUE,A347,"!",ADDRESS(20+(A348-1)*A344,6)))</f>
        <v>1</v>
      </c>
      <c r="I340" s="20" t="e">
        <f ca="1">INDIRECT(_xlfn.TEXTJOIN("",TRUE,A347,"!",ADDRESS(20+(A348-1)*A344,13)))</f>
        <v>#N/A</v>
      </c>
      <c r="J340" s="20" t="e">
        <f ca="1">INDIRECT(_xlfn.TEXTJOIN("",TRUE,A347,"!",ADDRESS(20+(A348-1)*A344,14)))</f>
        <v>#N/A</v>
      </c>
    </row>
    <row r="341" spans="1:10" ht="28" customHeight="1" x14ac:dyDescent="0.2">
      <c r="A341" s="96" t="str">
        <f ca="1">INDIRECT(_xlfn.TEXTJOIN("",TRUE,A347,"!",ADDRESS(21+(A348-1)*A344,1)))</f>
        <v>CAP 006</v>
      </c>
      <c r="B341" s="97"/>
      <c r="C341" s="106" t="str">
        <f ca="1">INDIRECT(_xlfn.TEXTJOIN("",TRUE,A347,"!",ADDRESS(21+(A348-1)*A344,2)))</f>
        <v>Computer Networks Lab</v>
      </c>
      <c r="D341" s="107"/>
      <c r="E341" s="107"/>
      <c r="F341" s="107"/>
      <c r="G341" s="108"/>
      <c r="H341" s="20">
        <f ca="1">INDIRECT(_xlfn.TEXTJOIN("",TRUE,A347,"!",ADDRESS(21+(A348-1)*A344,6)))</f>
        <v>1</v>
      </c>
      <c r="I341" s="20" t="e">
        <f ca="1">INDIRECT(_xlfn.TEXTJOIN("",TRUE,A347,"!",ADDRESS(21+(A348-1)*A344,13)))</f>
        <v>#N/A</v>
      </c>
      <c r="J341" s="20" t="e">
        <f ca="1">INDIRECT(_xlfn.TEXTJOIN("",TRUE,A347,"!",ADDRESS(21+(A348-1)*A344,14)))</f>
        <v>#N/A</v>
      </c>
    </row>
    <row r="342" spans="1:10" ht="28" customHeight="1" x14ac:dyDescent="0.2">
      <c r="A342" s="96" t="str">
        <f ca="1">INDIRECT(_xlfn.TEXTJOIN("",TRUE,A347,"!",ADDRESS(22+(A348-1)*A344,1)))</f>
        <v>CAP 007</v>
      </c>
      <c r="B342" s="97"/>
      <c r="C342" s="106" t="str">
        <f ca="1">INDIRECT(_xlfn.TEXTJOIN("",TRUE,A347,"!",ADDRESS(22+(A348-1)*A344,2)))</f>
        <v>Artificial Intelligence Lab</v>
      </c>
      <c r="D342" s="107"/>
      <c r="E342" s="107"/>
      <c r="F342" s="107"/>
      <c r="G342" s="108"/>
      <c r="H342" s="20">
        <f ca="1">INDIRECT(_xlfn.TEXTJOIN("",TRUE,A347,"!",ADDRESS(22+(A348-1)*A344,6)))</f>
        <v>1</v>
      </c>
      <c r="I342" s="20" t="e">
        <f ca="1">INDIRECT(_xlfn.TEXTJOIN("",TRUE,A347,"!",ADDRESS(22+(A348-1)*A344,13)))</f>
        <v>#N/A</v>
      </c>
      <c r="J342" s="20" t="e">
        <f ca="1">INDIRECT(_xlfn.TEXTJOIN("",TRUE,A347,"!",ADDRESS(22+(A348-1)*A344,14)))</f>
        <v>#N/A</v>
      </c>
    </row>
    <row r="343" spans="1:10" ht="28" customHeight="1" x14ac:dyDescent="0.2">
      <c r="A343" s="118" t="s">
        <v>52</v>
      </c>
      <c r="B343" s="118"/>
      <c r="C343" s="118"/>
      <c r="D343" s="118"/>
      <c r="E343" s="118"/>
      <c r="F343" s="118"/>
      <c r="G343" s="118"/>
      <c r="H343" s="16">
        <f ca="1">SUM(H333:H342)</f>
        <v>24</v>
      </c>
      <c r="I343" s="16" t="s">
        <v>44</v>
      </c>
      <c r="J343" s="16" t="e">
        <f ca="1">SUMPRODUCT(J333:J342,H333:H342)</f>
        <v>#N/A</v>
      </c>
    </row>
    <row r="344" spans="1:10" ht="28" customHeight="1" x14ac:dyDescent="0.2">
      <c r="A344" s="22">
        <f>ROWS(A333:B342)+9</f>
        <v>19</v>
      </c>
      <c r="B344" s="17"/>
      <c r="C344" s="17"/>
      <c r="D344" s="17"/>
      <c r="E344" s="17"/>
      <c r="F344" s="17"/>
      <c r="G344" s="17"/>
      <c r="H344" s="17"/>
      <c r="I344" s="17"/>
      <c r="J344" s="17"/>
    </row>
    <row r="345" spans="1:10" ht="28" customHeight="1" x14ac:dyDescent="0.2">
      <c r="A345" s="120" t="s">
        <v>40</v>
      </c>
      <c r="B345" s="120"/>
      <c r="C345" s="21">
        <f ca="1">INDIRECT(_xlfn.TEXTJOIN("",TRUE,A347,"!",ADDRESS(5+A348*A344,12)))</f>
        <v>0</v>
      </c>
      <c r="D345" s="120" t="s">
        <v>38</v>
      </c>
      <c r="E345" s="120"/>
      <c r="F345" s="18" t="e">
        <f ca="1">INDIRECT(_xlfn.TEXTJOIN("",TRUE,A347,"!",ADDRESS(5+A348*A344,8)))</f>
        <v>#N/A</v>
      </c>
      <c r="G345" s="120" t="s">
        <v>39</v>
      </c>
      <c r="H345" s="120"/>
      <c r="I345" s="109" t="e">
        <f ca="1">INDIRECT(_xlfn.TEXTJOIN("",TRUE,A347,"!",ADDRESS(5+A348*A344,10)))</f>
        <v>#N/A</v>
      </c>
      <c r="J345" s="109"/>
    </row>
    <row r="346" spans="1:10" ht="28" customHeight="1" x14ac:dyDescent="0.2">
      <c r="A346" s="19" t="s">
        <v>36</v>
      </c>
      <c r="B346" s="95" t="e">
        <f ca="1">INDIRECT(_xlfn.TEXTJOIN("",TRUE,A347,"!",ADDRESS(5+A348*A344,2)))</f>
        <v>#N/A</v>
      </c>
      <c r="C346" s="95"/>
      <c r="D346" s="121" t="s">
        <v>37</v>
      </c>
      <c r="E346" s="121"/>
      <c r="F346" s="122" t="e">
        <f ca="1">INDIRECT(_xlfn.TEXTJOIN("",TRUE,A347,"!",ADDRESS(5+A348*A344,5)))</f>
        <v>#N/A</v>
      </c>
      <c r="G346" s="122"/>
      <c r="H346" s="122"/>
      <c r="I346" s="122"/>
      <c r="J346" s="122"/>
    </row>
    <row r="347" spans="1:10" ht="28" customHeight="1" x14ac:dyDescent="0.2">
      <c r="A347" s="22" t="str">
        <f>A328</f>
        <v>TC_II</v>
      </c>
    </row>
    <row r="348" spans="1:10" ht="28" customHeight="1" x14ac:dyDescent="0.2">
      <c r="A348" s="22">
        <f>A329+1</f>
        <v>18</v>
      </c>
    </row>
    <row r="349" spans="1:10" ht="28" customHeight="1" x14ac:dyDescent="0.2">
      <c r="A349" s="112" t="s">
        <v>24</v>
      </c>
      <c r="B349" s="112"/>
      <c r="C349" s="112" t="str">
        <f ca="1">INDIRECT(_xlfn.TEXTJOIN("",TRUE,A366,"!",ADDRESS(9+(A367-1)*A363,2)))</f>
        <v>SEJAL SINGH</v>
      </c>
      <c r="D349" s="112"/>
      <c r="E349" s="112"/>
      <c r="F349" s="112" t="s">
        <v>50</v>
      </c>
      <c r="G349" s="112"/>
      <c r="H349" s="112"/>
      <c r="I349" s="113">
        <f ca="1">INDIRECT(_xlfn.TEXTJOIN("",TRUE,A366,"!",ADDRESS(9+(A367-1)*A363,9)))</f>
        <v>240090600019</v>
      </c>
      <c r="J349" s="113"/>
    </row>
    <row r="350" spans="1:10" ht="28" customHeight="1" x14ac:dyDescent="0.2">
      <c r="A350" s="112" t="s">
        <v>25</v>
      </c>
      <c r="B350" s="112"/>
      <c r="C350" s="112" t="str">
        <f ca="1">INDIRECT(_xlfn.TEXTJOIN("",TRUE,A366,"!",ADDRESS(9+(A367-1)*A363,5)))</f>
        <v>SHEESH RAM SINGH</v>
      </c>
      <c r="D350" s="112"/>
      <c r="E350" s="112"/>
      <c r="F350" s="114" t="s">
        <v>51</v>
      </c>
      <c r="G350" s="114"/>
      <c r="H350" s="114"/>
      <c r="I350" s="113" t="str">
        <f ca="1">INDIRECT(_xlfn.TEXTJOIN("",TRUE,A366,"!",ADDRESS(9+(A367-1)*A363,13)))</f>
        <v>UTU/2406100169</v>
      </c>
      <c r="J350" s="113"/>
    </row>
    <row r="351" spans="1:10" ht="28" customHeight="1" x14ac:dyDescent="0.2">
      <c r="A351" s="95" t="s">
        <v>28</v>
      </c>
      <c r="B351" s="95"/>
      <c r="C351" s="95" t="s">
        <v>29</v>
      </c>
      <c r="D351" s="95"/>
      <c r="E351" s="95"/>
      <c r="F351" s="95"/>
      <c r="G351" s="95"/>
      <c r="H351" s="15" t="s">
        <v>30</v>
      </c>
      <c r="I351" s="15" t="s">
        <v>9</v>
      </c>
      <c r="J351" s="15" t="s">
        <v>34</v>
      </c>
    </row>
    <row r="352" spans="1:10" ht="28" customHeight="1" x14ac:dyDescent="0.2">
      <c r="A352" s="96" t="str">
        <f ca="1">INDIRECT(_xlfn.TEXTJOIN("",TRUE,A366,"!",ADDRESS(13+(A367-1)*A363,1)))</f>
        <v>CAT 009</v>
      </c>
      <c r="B352" s="97"/>
      <c r="C352" s="106" t="str">
        <f ca="1">INDIRECT(_xlfn.TEXTJOIN("",TRUE,A366,"!",ADDRESS(13+(A367-1)*A363,2)))</f>
        <v>Computer Based Numerical and Statistical Techniques</v>
      </c>
      <c r="D352" s="107"/>
      <c r="E352" s="107"/>
      <c r="F352" s="107"/>
      <c r="G352" s="108"/>
      <c r="H352" s="20">
        <f ca="1">INDIRECT(_xlfn.TEXTJOIN("",TRUE,A366,"!",ADDRESS(13+(A367-1)*A363,6)))</f>
        <v>4</v>
      </c>
      <c r="I352" s="20" t="e">
        <f ca="1">INDIRECT(_xlfn.TEXTJOIN("",TRUE,A366,"!",ADDRESS(13+(A367-1)*A363,13)))</f>
        <v>#N/A</v>
      </c>
      <c r="J352" s="20" t="e">
        <f ca="1">INDIRECT(_xlfn.TEXTJOIN("",TRUE,A366,"!",ADDRESS(13+(A367-1)*A363,14)))</f>
        <v>#N/A</v>
      </c>
    </row>
    <row r="353" spans="1:10" ht="28" customHeight="1" x14ac:dyDescent="0.2">
      <c r="A353" s="96" t="str">
        <f ca="1">INDIRECT(_xlfn.TEXTJOIN("",TRUE,A366,"!",ADDRESS(14+(A367-1)*A363,1)))</f>
        <v>CAT 010</v>
      </c>
      <c r="B353" s="97"/>
      <c r="C353" s="106" t="str">
        <f ca="1">INDIRECT(_xlfn.TEXTJOIN("",TRUE,A366,"!",ADDRESS(14+(A367-1)*A363,2)))</f>
        <v>Data Structures and Analysis of Algorithms</v>
      </c>
      <c r="D353" s="107"/>
      <c r="E353" s="107"/>
      <c r="F353" s="107"/>
      <c r="G353" s="108"/>
      <c r="H353" s="20">
        <f ca="1">INDIRECT(_xlfn.TEXTJOIN("",TRUE,A366,"!",ADDRESS(14+(A367-1)*A363,6)))</f>
        <v>4</v>
      </c>
      <c r="I353" s="20" t="e">
        <f ca="1">INDIRECT(_xlfn.TEXTJOIN("",TRUE,A366,"!",ADDRESS(14+(A367-1)*A363,13)))</f>
        <v>#N/A</v>
      </c>
      <c r="J353" s="20" t="e">
        <f ca="1">INDIRECT(_xlfn.TEXTJOIN("",TRUE,A366,"!",ADDRESS(14+(A367-1)*A363,14)))</f>
        <v>#N/A</v>
      </c>
    </row>
    <row r="354" spans="1:10" ht="28" customHeight="1" x14ac:dyDescent="0.2">
      <c r="A354" s="96" t="str">
        <f ca="1">INDIRECT(_xlfn.TEXTJOIN("",TRUE,A366,"!",ADDRESS(15+(A367-1)*A363,1)))</f>
        <v>CAT 011</v>
      </c>
      <c r="B354" s="97"/>
      <c r="C354" s="106" t="str">
        <f ca="1">INDIRECT(_xlfn.TEXTJOIN("",TRUE,A366,"!",ADDRESS(15+(A367-1)*A363,2)))</f>
        <v>Object Oriented Programming with JAVA</v>
      </c>
      <c r="D354" s="107"/>
      <c r="E354" s="107"/>
      <c r="F354" s="107"/>
      <c r="G354" s="108"/>
      <c r="H354" s="20">
        <f ca="1">INDIRECT(_xlfn.TEXTJOIN("",TRUE,A366,"!",ADDRESS(15+(A367-1)*A363,6)))</f>
        <v>4</v>
      </c>
      <c r="I354" s="20" t="e">
        <f ca="1">INDIRECT(_xlfn.TEXTJOIN("",TRUE,A366,"!",ADDRESS(15+(A367-1)*A363,13)))</f>
        <v>#N/A</v>
      </c>
      <c r="J354" s="20" t="e">
        <f ca="1">INDIRECT(_xlfn.TEXTJOIN("",TRUE,A366,"!",ADDRESS(15+(A367-1)*A363,14)))</f>
        <v>#N/A</v>
      </c>
    </row>
    <row r="355" spans="1:10" ht="28" customHeight="1" x14ac:dyDescent="0.2">
      <c r="A355" s="96" t="str">
        <f ca="1">INDIRECT(_xlfn.TEXTJOIN("",TRUE,A366,"!",ADDRESS(16+(A367-1)*A363,1)))</f>
        <v>CAT 012</v>
      </c>
      <c r="B355" s="97"/>
      <c r="C355" s="106" t="str">
        <f ca="1">INDIRECT(_xlfn.TEXTJOIN("",TRUE,A366,"!",ADDRESS(16+(A367-1)*A363,2)))</f>
        <v>Computer Networks</v>
      </c>
      <c r="D355" s="107"/>
      <c r="E355" s="107"/>
      <c r="F355" s="107"/>
      <c r="G355" s="108"/>
      <c r="H355" s="20">
        <f ca="1">INDIRECT(_xlfn.TEXTJOIN("",TRUE,A366,"!",ADDRESS(16+(A367-1)*A363,6)))</f>
        <v>4</v>
      </c>
      <c r="I355" s="20" t="e">
        <f ca="1">INDIRECT(_xlfn.TEXTJOIN("",TRUE,A366,"!",ADDRESS(16+(A367-1)*A363,13)))</f>
        <v>#N/A</v>
      </c>
      <c r="J355" s="20" t="e">
        <f ca="1">INDIRECT(_xlfn.TEXTJOIN("",TRUE,A366,"!",ADDRESS(16+(A367-1)*A363,14)))</f>
        <v>#N/A</v>
      </c>
    </row>
    <row r="356" spans="1:10" ht="28" customHeight="1" x14ac:dyDescent="0.2">
      <c r="A356" s="96" t="str">
        <f ca="1">INDIRECT(_xlfn.TEXTJOIN("",TRUE,A366,"!",ADDRESS(17+(A367-1)*A363,1)))</f>
        <v>CAT 013</v>
      </c>
      <c r="B356" s="97"/>
      <c r="C356" s="106" t="str">
        <f ca="1">INDIRECT(_xlfn.TEXTJOIN("",TRUE,A366,"!",ADDRESS(17+(A367-1)*A363,2)))</f>
        <v>Artificial Intelligence</v>
      </c>
      <c r="D356" s="107"/>
      <c r="E356" s="107"/>
      <c r="F356" s="107"/>
      <c r="G356" s="108"/>
      <c r="H356" s="20">
        <f ca="1">INDIRECT(_xlfn.TEXTJOIN("",TRUE,A366,"!",ADDRESS(17+(A367-1)*A363,6)))</f>
        <v>4</v>
      </c>
      <c r="I356" s="20" t="e">
        <f ca="1">INDIRECT(_xlfn.TEXTJOIN("",TRUE,A366,"!",ADDRESS(17+(A367-1)*A363,13)))</f>
        <v>#N/A</v>
      </c>
      <c r="J356" s="20" t="e">
        <f ca="1">INDIRECT(_xlfn.TEXTJOIN("",TRUE,A366,"!",ADDRESS(17+(A367-1)*A363,14)))</f>
        <v>#N/A</v>
      </c>
    </row>
    <row r="357" spans="1:10" ht="28" customHeight="1" x14ac:dyDescent="0.2">
      <c r="A357" s="96" t="str">
        <f ca="1">INDIRECT(_xlfn.TEXTJOIN("",TRUE,A366,"!",ADDRESS(18+(A367-1)*A363,1)))</f>
        <v>AHT 304</v>
      </c>
      <c r="B357" s="97"/>
      <c r="C357" s="106" t="str">
        <f ca="1">INDIRECT(_xlfn.TEXTJOIN("",TRUE,A366,"!",ADDRESS(18+(A367-1)*A363,2)))</f>
        <v>Accounting and Financial Management ($)</v>
      </c>
      <c r="D357" s="107"/>
      <c r="E357" s="107"/>
      <c r="F357" s="107"/>
      <c r="G357" s="108"/>
      <c r="H357" s="20">
        <f ca="1">INDIRECT(_xlfn.TEXTJOIN("",TRUE,A366,"!",ADDRESS(18+(A367-1)*A363,6)))</f>
        <v>0</v>
      </c>
      <c r="I357" s="20" t="e">
        <f ca="1">INDIRECT(_xlfn.TEXTJOIN("",TRUE,A366,"!",ADDRESS(18+(A367-1)*A363,13)))</f>
        <v>#N/A</v>
      </c>
      <c r="J357" s="20" t="e">
        <f ca="1">INDIRECT(_xlfn.TEXTJOIN("",TRUE,A366,"!",ADDRESS(18+(A367-1)*A363,14)))</f>
        <v>#N/A</v>
      </c>
    </row>
    <row r="358" spans="1:10" ht="28" customHeight="1" x14ac:dyDescent="0.2">
      <c r="A358" s="96" t="str">
        <f ca="1">INDIRECT(_xlfn.TEXTJOIN("",TRUE,A366,"!",ADDRESS(19+(A367-1)*A363,1)))</f>
        <v>CAP 004</v>
      </c>
      <c r="B358" s="97"/>
      <c r="C358" s="106" t="str">
        <f ca="1">INDIRECT(_xlfn.TEXTJOIN("",TRUE,A366,"!",ADDRESS(19+(A367-1)*A363,2)))</f>
        <v>Data Structures and Analysis of Algorithms Lab</v>
      </c>
      <c r="D358" s="107"/>
      <c r="E358" s="107"/>
      <c r="F358" s="107"/>
      <c r="G358" s="108"/>
      <c r="H358" s="20">
        <f ca="1">INDIRECT(_xlfn.TEXTJOIN("",TRUE,A366,"!",ADDRESS(19+(A367-1)*A363,6)))</f>
        <v>1</v>
      </c>
      <c r="I358" s="20" t="e">
        <f ca="1">INDIRECT(_xlfn.TEXTJOIN("",TRUE,A366,"!",ADDRESS(19+(A367-1)*A363,13)))</f>
        <v>#N/A</v>
      </c>
      <c r="J358" s="20" t="e">
        <f ca="1">INDIRECT(_xlfn.TEXTJOIN("",TRUE,A366,"!",ADDRESS(19+(A367-1)*A363,14)))</f>
        <v>#N/A</v>
      </c>
    </row>
    <row r="359" spans="1:10" ht="28" customHeight="1" x14ac:dyDescent="0.2">
      <c r="A359" s="96" t="str">
        <f ca="1">INDIRECT(_xlfn.TEXTJOIN("",TRUE,A366,"!",ADDRESS(20+(A367-1)*A363,1)))</f>
        <v>CAP 005</v>
      </c>
      <c r="B359" s="97"/>
      <c r="C359" s="106" t="str">
        <f ca="1">INDIRECT(_xlfn.TEXTJOIN("",TRUE,A366,"!",ADDRESS(20+(A367-1)*A363,2)))</f>
        <v>Object Oriented Programming with JAVA Lab</v>
      </c>
      <c r="D359" s="107"/>
      <c r="E359" s="107"/>
      <c r="F359" s="107"/>
      <c r="G359" s="108"/>
      <c r="H359" s="20">
        <f ca="1">INDIRECT(_xlfn.TEXTJOIN("",TRUE,A366,"!",ADDRESS(20+(A367-1)*A363,6)))</f>
        <v>1</v>
      </c>
      <c r="I359" s="20" t="e">
        <f ca="1">INDIRECT(_xlfn.TEXTJOIN("",TRUE,A366,"!",ADDRESS(20+(A367-1)*A363,13)))</f>
        <v>#N/A</v>
      </c>
      <c r="J359" s="20" t="e">
        <f ca="1">INDIRECT(_xlfn.TEXTJOIN("",TRUE,A366,"!",ADDRESS(20+(A367-1)*A363,14)))</f>
        <v>#N/A</v>
      </c>
    </row>
    <row r="360" spans="1:10" ht="28" customHeight="1" x14ac:dyDescent="0.2">
      <c r="A360" s="96" t="str">
        <f ca="1">INDIRECT(_xlfn.TEXTJOIN("",TRUE,A366,"!",ADDRESS(21+(A367-1)*A363,1)))</f>
        <v>CAP 006</v>
      </c>
      <c r="B360" s="97"/>
      <c r="C360" s="106" t="str">
        <f ca="1">INDIRECT(_xlfn.TEXTJOIN("",TRUE,A366,"!",ADDRESS(21+(A367-1)*A363,2)))</f>
        <v>Computer Networks Lab</v>
      </c>
      <c r="D360" s="107"/>
      <c r="E360" s="107"/>
      <c r="F360" s="107"/>
      <c r="G360" s="108"/>
      <c r="H360" s="20">
        <f ca="1">INDIRECT(_xlfn.TEXTJOIN("",TRUE,A366,"!",ADDRESS(21+(A367-1)*A363,6)))</f>
        <v>1</v>
      </c>
      <c r="I360" s="20" t="e">
        <f ca="1">INDIRECT(_xlfn.TEXTJOIN("",TRUE,A366,"!",ADDRESS(21+(A367-1)*A363,13)))</f>
        <v>#N/A</v>
      </c>
      <c r="J360" s="20" t="e">
        <f ca="1">INDIRECT(_xlfn.TEXTJOIN("",TRUE,A366,"!",ADDRESS(21+(A367-1)*A363,14)))</f>
        <v>#N/A</v>
      </c>
    </row>
    <row r="361" spans="1:10" ht="28" customHeight="1" x14ac:dyDescent="0.2">
      <c r="A361" s="96" t="str">
        <f ca="1">INDIRECT(_xlfn.TEXTJOIN("",TRUE,A366,"!",ADDRESS(22+(A367-1)*A363,1)))</f>
        <v>CAP 007</v>
      </c>
      <c r="B361" s="97"/>
      <c r="C361" s="106" t="str">
        <f ca="1">INDIRECT(_xlfn.TEXTJOIN("",TRUE,A366,"!",ADDRESS(22+(A367-1)*A363,2)))</f>
        <v>Artificial Intelligence Lab</v>
      </c>
      <c r="D361" s="107"/>
      <c r="E361" s="107"/>
      <c r="F361" s="107"/>
      <c r="G361" s="108"/>
      <c r="H361" s="20">
        <f ca="1">INDIRECT(_xlfn.TEXTJOIN("",TRUE,A366,"!",ADDRESS(22+(A367-1)*A363,6)))</f>
        <v>1</v>
      </c>
      <c r="I361" s="20" t="e">
        <f ca="1">INDIRECT(_xlfn.TEXTJOIN("",TRUE,A366,"!",ADDRESS(22+(A367-1)*A363,13)))</f>
        <v>#N/A</v>
      </c>
      <c r="J361" s="20" t="e">
        <f ca="1">INDIRECT(_xlfn.TEXTJOIN("",TRUE,A366,"!",ADDRESS(22+(A367-1)*A363,14)))</f>
        <v>#N/A</v>
      </c>
    </row>
    <row r="362" spans="1:10" ht="28" customHeight="1" x14ac:dyDescent="0.2">
      <c r="A362" s="118" t="s">
        <v>52</v>
      </c>
      <c r="B362" s="118"/>
      <c r="C362" s="118"/>
      <c r="D362" s="118"/>
      <c r="E362" s="118"/>
      <c r="F362" s="118"/>
      <c r="G362" s="118"/>
      <c r="H362" s="16">
        <f ca="1">SUM(H352:H361)</f>
        <v>24</v>
      </c>
      <c r="I362" s="16" t="s">
        <v>44</v>
      </c>
      <c r="J362" s="16" t="e">
        <f ca="1">SUMPRODUCT(J352:J361,H352:H361)</f>
        <v>#N/A</v>
      </c>
    </row>
    <row r="363" spans="1:10" ht="28" customHeight="1" x14ac:dyDescent="0.2">
      <c r="A363" s="22">
        <f>ROWS(A352:B361)+9</f>
        <v>19</v>
      </c>
      <c r="B363" s="17"/>
      <c r="C363" s="17"/>
      <c r="D363" s="17"/>
      <c r="E363" s="17"/>
      <c r="F363" s="17"/>
      <c r="G363" s="17"/>
      <c r="H363" s="17"/>
      <c r="I363" s="17"/>
      <c r="J363" s="17"/>
    </row>
    <row r="364" spans="1:10" ht="28" customHeight="1" x14ac:dyDescent="0.2">
      <c r="A364" s="120" t="s">
        <v>40</v>
      </c>
      <c r="B364" s="120"/>
      <c r="C364" s="21">
        <f ca="1">INDIRECT(_xlfn.TEXTJOIN("",TRUE,A366,"!",ADDRESS(5+A367*A363,12)))</f>
        <v>0</v>
      </c>
      <c r="D364" s="120" t="s">
        <v>38</v>
      </c>
      <c r="E364" s="120"/>
      <c r="F364" s="18" t="e">
        <f ca="1">INDIRECT(_xlfn.TEXTJOIN("",TRUE,A366,"!",ADDRESS(5+A367*A363,8)))</f>
        <v>#N/A</v>
      </c>
      <c r="G364" s="120" t="s">
        <v>39</v>
      </c>
      <c r="H364" s="120"/>
      <c r="I364" s="109" t="e">
        <f ca="1">INDIRECT(_xlfn.TEXTJOIN("",TRUE,A366,"!",ADDRESS(5+A367*A363,10)))</f>
        <v>#N/A</v>
      </c>
      <c r="J364" s="109"/>
    </row>
    <row r="365" spans="1:10" ht="28" customHeight="1" x14ac:dyDescent="0.2">
      <c r="A365" s="19" t="s">
        <v>36</v>
      </c>
      <c r="B365" s="95" t="e">
        <f ca="1">INDIRECT(_xlfn.TEXTJOIN("",TRUE,A366,"!",ADDRESS(5+A367*A363,2)))</f>
        <v>#N/A</v>
      </c>
      <c r="C365" s="95"/>
      <c r="D365" s="121" t="s">
        <v>37</v>
      </c>
      <c r="E365" s="121"/>
      <c r="F365" s="122" t="e">
        <f ca="1">INDIRECT(_xlfn.TEXTJOIN("",TRUE,A366,"!",ADDRESS(5+A367*A363,5)))</f>
        <v>#N/A</v>
      </c>
      <c r="G365" s="122"/>
      <c r="H365" s="122"/>
      <c r="I365" s="122"/>
      <c r="J365" s="122"/>
    </row>
    <row r="366" spans="1:10" ht="28" customHeight="1" x14ac:dyDescent="0.2">
      <c r="A366" s="22" t="str">
        <f>A347</f>
        <v>TC_II</v>
      </c>
    </row>
    <row r="367" spans="1:10" ht="28" customHeight="1" x14ac:dyDescent="0.2">
      <c r="A367" s="22">
        <f>A348+1</f>
        <v>19</v>
      </c>
    </row>
    <row r="368" spans="1:10" ht="28" customHeight="1" x14ac:dyDescent="0.2">
      <c r="A368" s="112" t="s">
        <v>24</v>
      </c>
      <c r="B368" s="112"/>
      <c r="C368" s="112" t="str">
        <f ca="1">INDIRECT(_xlfn.TEXTJOIN("",TRUE,A385,"!",ADDRESS(9+(A386-1)*A382,2)))</f>
        <v>SHARAD NIJWALA</v>
      </c>
      <c r="D368" s="112"/>
      <c r="E368" s="112"/>
      <c r="F368" s="112" t="s">
        <v>50</v>
      </c>
      <c r="G368" s="112"/>
      <c r="H368" s="112"/>
      <c r="I368" s="113">
        <f ca="1">INDIRECT(_xlfn.TEXTJOIN("",TRUE,A385,"!",ADDRESS(9+(A386-1)*A382,9)))</f>
        <v>240090600020</v>
      </c>
      <c r="J368" s="113"/>
    </row>
    <row r="369" spans="1:10" ht="28" customHeight="1" x14ac:dyDescent="0.2">
      <c r="A369" s="112" t="s">
        <v>25</v>
      </c>
      <c r="B369" s="112"/>
      <c r="C369" s="112" t="str">
        <f ca="1">INDIRECT(_xlfn.TEXTJOIN("",TRUE,A385,"!",ADDRESS(9+(A386-1)*A382,5)))</f>
        <v>VIJAYANT SINGH</v>
      </c>
      <c r="D369" s="112"/>
      <c r="E369" s="112"/>
      <c r="F369" s="114" t="s">
        <v>51</v>
      </c>
      <c r="G369" s="114"/>
      <c r="H369" s="114"/>
      <c r="I369" s="113" t="str">
        <f ca="1">INDIRECT(_xlfn.TEXTJOIN("",TRUE,A385,"!",ADDRESS(9+(A386-1)*A382,13)))</f>
        <v>UTU/2406100196</v>
      </c>
      <c r="J369" s="113"/>
    </row>
    <row r="370" spans="1:10" ht="28" customHeight="1" x14ac:dyDescent="0.2">
      <c r="A370" s="95" t="s">
        <v>28</v>
      </c>
      <c r="B370" s="95"/>
      <c r="C370" s="95" t="s">
        <v>29</v>
      </c>
      <c r="D370" s="95"/>
      <c r="E370" s="95"/>
      <c r="F370" s="95"/>
      <c r="G370" s="95"/>
      <c r="H370" s="15" t="s">
        <v>30</v>
      </c>
      <c r="I370" s="15" t="s">
        <v>9</v>
      </c>
      <c r="J370" s="15" t="s">
        <v>34</v>
      </c>
    </row>
    <row r="371" spans="1:10" ht="28" customHeight="1" x14ac:dyDescent="0.2">
      <c r="A371" s="96" t="str">
        <f ca="1">INDIRECT(_xlfn.TEXTJOIN("",TRUE,A385,"!",ADDRESS(13+(A386-1)*A382,1)))</f>
        <v>CAT 009</v>
      </c>
      <c r="B371" s="97"/>
      <c r="C371" s="106" t="str">
        <f ca="1">INDIRECT(_xlfn.TEXTJOIN("",TRUE,A385,"!",ADDRESS(13+(A386-1)*A382,2)))</f>
        <v>Computer Based Numerical and Statistical Techniques</v>
      </c>
      <c r="D371" s="107"/>
      <c r="E371" s="107"/>
      <c r="F371" s="107"/>
      <c r="G371" s="108"/>
      <c r="H371" s="20">
        <f ca="1">INDIRECT(_xlfn.TEXTJOIN("",TRUE,A385,"!",ADDRESS(13+(A386-1)*A382,6)))</f>
        <v>4</v>
      </c>
      <c r="I371" s="20" t="e">
        <f ca="1">INDIRECT(_xlfn.TEXTJOIN("",TRUE,A385,"!",ADDRESS(13+(A386-1)*A382,13)))</f>
        <v>#N/A</v>
      </c>
      <c r="J371" s="20" t="e">
        <f ca="1">INDIRECT(_xlfn.TEXTJOIN("",TRUE,A385,"!",ADDRESS(13+(A386-1)*A382,14)))</f>
        <v>#N/A</v>
      </c>
    </row>
    <row r="372" spans="1:10" ht="28" customHeight="1" x14ac:dyDescent="0.2">
      <c r="A372" s="96" t="str">
        <f ca="1">INDIRECT(_xlfn.TEXTJOIN("",TRUE,A385,"!",ADDRESS(14+(A386-1)*A382,1)))</f>
        <v>CAT 010</v>
      </c>
      <c r="B372" s="97"/>
      <c r="C372" s="106" t="str">
        <f ca="1">INDIRECT(_xlfn.TEXTJOIN("",TRUE,A385,"!",ADDRESS(14+(A386-1)*A382,2)))</f>
        <v>Data Structures and Analysis of Algorithms</v>
      </c>
      <c r="D372" s="107"/>
      <c r="E372" s="107"/>
      <c r="F372" s="107"/>
      <c r="G372" s="108"/>
      <c r="H372" s="20">
        <f ca="1">INDIRECT(_xlfn.TEXTJOIN("",TRUE,A385,"!",ADDRESS(14+(A386-1)*A382,6)))</f>
        <v>4</v>
      </c>
      <c r="I372" s="20" t="e">
        <f ca="1">INDIRECT(_xlfn.TEXTJOIN("",TRUE,A385,"!",ADDRESS(14+(A386-1)*A382,13)))</f>
        <v>#N/A</v>
      </c>
      <c r="J372" s="20" t="e">
        <f ca="1">INDIRECT(_xlfn.TEXTJOIN("",TRUE,A385,"!",ADDRESS(14+(A386-1)*A382,14)))</f>
        <v>#N/A</v>
      </c>
    </row>
    <row r="373" spans="1:10" ht="28" customHeight="1" x14ac:dyDescent="0.2">
      <c r="A373" s="96" t="str">
        <f ca="1">INDIRECT(_xlfn.TEXTJOIN("",TRUE,A385,"!",ADDRESS(15+(A386-1)*A382,1)))</f>
        <v>CAT 011</v>
      </c>
      <c r="B373" s="97"/>
      <c r="C373" s="106" t="str">
        <f ca="1">INDIRECT(_xlfn.TEXTJOIN("",TRUE,A385,"!",ADDRESS(15+(A386-1)*A382,2)))</f>
        <v>Object Oriented Programming with JAVA</v>
      </c>
      <c r="D373" s="107"/>
      <c r="E373" s="107"/>
      <c r="F373" s="107"/>
      <c r="G373" s="108"/>
      <c r="H373" s="20">
        <f ca="1">INDIRECT(_xlfn.TEXTJOIN("",TRUE,A385,"!",ADDRESS(15+(A386-1)*A382,6)))</f>
        <v>4</v>
      </c>
      <c r="I373" s="20" t="e">
        <f ca="1">INDIRECT(_xlfn.TEXTJOIN("",TRUE,A385,"!",ADDRESS(15+(A386-1)*A382,13)))</f>
        <v>#N/A</v>
      </c>
      <c r="J373" s="20" t="e">
        <f ca="1">INDIRECT(_xlfn.TEXTJOIN("",TRUE,A385,"!",ADDRESS(15+(A386-1)*A382,14)))</f>
        <v>#N/A</v>
      </c>
    </row>
    <row r="374" spans="1:10" ht="28" customHeight="1" x14ac:dyDescent="0.2">
      <c r="A374" s="96" t="str">
        <f ca="1">INDIRECT(_xlfn.TEXTJOIN("",TRUE,A385,"!",ADDRESS(16+(A386-1)*A382,1)))</f>
        <v>CAT 012</v>
      </c>
      <c r="B374" s="97"/>
      <c r="C374" s="106" t="str">
        <f ca="1">INDIRECT(_xlfn.TEXTJOIN("",TRUE,A385,"!",ADDRESS(16+(A386-1)*A382,2)))</f>
        <v>Computer Networks</v>
      </c>
      <c r="D374" s="107"/>
      <c r="E374" s="107"/>
      <c r="F374" s="107"/>
      <c r="G374" s="108"/>
      <c r="H374" s="20">
        <f ca="1">INDIRECT(_xlfn.TEXTJOIN("",TRUE,A385,"!",ADDRESS(16+(A386-1)*A382,6)))</f>
        <v>4</v>
      </c>
      <c r="I374" s="20" t="e">
        <f ca="1">INDIRECT(_xlfn.TEXTJOIN("",TRUE,A385,"!",ADDRESS(16+(A386-1)*A382,13)))</f>
        <v>#N/A</v>
      </c>
      <c r="J374" s="20" t="e">
        <f ca="1">INDIRECT(_xlfn.TEXTJOIN("",TRUE,A385,"!",ADDRESS(16+(A386-1)*A382,14)))</f>
        <v>#N/A</v>
      </c>
    </row>
    <row r="375" spans="1:10" ht="28" customHeight="1" x14ac:dyDescent="0.2">
      <c r="A375" s="96" t="str">
        <f ca="1">INDIRECT(_xlfn.TEXTJOIN("",TRUE,A385,"!",ADDRESS(17+(A386-1)*A382,1)))</f>
        <v>CAT 013</v>
      </c>
      <c r="B375" s="97"/>
      <c r="C375" s="106" t="str">
        <f ca="1">INDIRECT(_xlfn.TEXTJOIN("",TRUE,A385,"!",ADDRESS(17+(A386-1)*A382,2)))</f>
        <v>Artificial Intelligence</v>
      </c>
      <c r="D375" s="107"/>
      <c r="E375" s="107"/>
      <c r="F375" s="107"/>
      <c r="G375" s="108"/>
      <c r="H375" s="20">
        <f ca="1">INDIRECT(_xlfn.TEXTJOIN("",TRUE,A385,"!",ADDRESS(17+(A386-1)*A382,6)))</f>
        <v>4</v>
      </c>
      <c r="I375" s="20" t="e">
        <f ca="1">INDIRECT(_xlfn.TEXTJOIN("",TRUE,A385,"!",ADDRESS(17+(A386-1)*A382,13)))</f>
        <v>#N/A</v>
      </c>
      <c r="J375" s="20" t="e">
        <f ca="1">INDIRECT(_xlfn.TEXTJOIN("",TRUE,A385,"!",ADDRESS(17+(A386-1)*A382,14)))</f>
        <v>#N/A</v>
      </c>
    </row>
    <row r="376" spans="1:10" ht="28" customHeight="1" x14ac:dyDescent="0.2">
      <c r="A376" s="96" t="str">
        <f ca="1">INDIRECT(_xlfn.TEXTJOIN("",TRUE,A385,"!",ADDRESS(18+(A386-1)*A382,1)))</f>
        <v>AHT 304</v>
      </c>
      <c r="B376" s="97"/>
      <c r="C376" s="106" t="str">
        <f ca="1">INDIRECT(_xlfn.TEXTJOIN("",TRUE,A385,"!",ADDRESS(18+(A386-1)*A382,2)))</f>
        <v>Accounting and Financial Management ($)</v>
      </c>
      <c r="D376" s="107"/>
      <c r="E376" s="107"/>
      <c r="F376" s="107"/>
      <c r="G376" s="108"/>
      <c r="H376" s="20">
        <f ca="1">INDIRECT(_xlfn.TEXTJOIN("",TRUE,A385,"!",ADDRESS(18+(A386-1)*A382,6)))</f>
        <v>0</v>
      </c>
      <c r="I376" s="20" t="e">
        <f ca="1">INDIRECT(_xlfn.TEXTJOIN("",TRUE,A385,"!",ADDRESS(18+(A386-1)*A382,13)))</f>
        <v>#N/A</v>
      </c>
      <c r="J376" s="20" t="e">
        <f ca="1">INDIRECT(_xlfn.TEXTJOIN("",TRUE,A385,"!",ADDRESS(18+(A386-1)*A382,14)))</f>
        <v>#N/A</v>
      </c>
    </row>
    <row r="377" spans="1:10" ht="28" customHeight="1" x14ac:dyDescent="0.2">
      <c r="A377" s="96" t="str">
        <f ca="1">INDIRECT(_xlfn.TEXTJOIN("",TRUE,A385,"!",ADDRESS(19+(A386-1)*A382,1)))</f>
        <v>CAP 004</v>
      </c>
      <c r="B377" s="97"/>
      <c r="C377" s="106" t="str">
        <f ca="1">INDIRECT(_xlfn.TEXTJOIN("",TRUE,A385,"!",ADDRESS(19+(A386-1)*A382,2)))</f>
        <v>Data Structures and Analysis of Algorithms Lab</v>
      </c>
      <c r="D377" s="107"/>
      <c r="E377" s="107"/>
      <c r="F377" s="107"/>
      <c r="G377" s="108"/>
      <c r="H377" s="20">
        <f ca="1">INDIRECT(_xlfn.TEXTJOIN("",TRUE,A385,"!",ADDRESS(19+(A386-1)*A382,6)))</f>
        <v>1</v>
      </c>
      <c r="I377" s="20" t="e">
        <f ca="1">INDIRECT(_xlfn.TEXTJOIN("",TRUE,A385,"!",ADDRESS(19+(A386-1)*A382,13)))</f>
        <v>#N/A</v>
      </c>
      <c r="J377" s="20" t="e">
        <f ca="1">INDIRECT(_xlfn.TEXTJOIN("",TRUE,A385,"!",ADDRESS(19+(A386-1)*A382,14)))</f>
        <v>#N/A</v>
      </c>
    </row>
    <row r="378" spans="1:10" ht="28" customHeight="1" x14ac:dyDescent="0.2">
      <c r="A378" s="96" t="str">
        <f ca="1">INDIRECT(_xlfn.TEXTJOIN("",TRUE,A385,"!",ADDRESS(20+(A386-1)*A382,1)))</f>
        <v>CAP 005</v>
      </c>
      <c r="B378" s="97"/>
      <c r="C378" s="106" t="str">
        <f ca="1">INDIRECT(_xlfn.TEXTJOIN("",TRUE,A385,"!",ADDRESS(20+(A386-1)*A382,2)))</f>
        <v>Object Oriented Programming with JAVA Lab</v>
      </c>
      <c r="D378" s="107"/>
      <c r="E378" s="107"/>
      <c r="F378" s="107"/>
      <c r="G378" s="108"/>
      <c r="H378" s="20">
        <f ca="1">INDIRECT(_xlfn.TEXTJOIN("",TRUE,A385,"!",ADDRESS(20+(A386-1)*A382,6)))</f>
        <v>1</v>
      </c>
      <c r="I378" s="20" t="e">
        <f ca="1">INDIRECT(_xlfn.TEXTJOIN("",TRUE,A385,"!",ADDRESS(20+(A386-1)*A382,13)))</f>
        <v>#N/A</v>
      </c>
      <c r="J378" s="20" t="e">
        <f ca="1">INDIRECT(_xlfn.TEXTJOIN("",TRUE,A385,"!",ADDRESS(20+(A386-1)*A382,14)))</f>
        <v>#N/A</v>
      </c>
    </row>
    <row r="379" spans="1:10" ht="28" customHeight="1" x14ac:dyDescent="0.2">
      <c r="A379" s="96" t="str">
        <f ca="1">INDIRECT(_xlfn.TEXTJOIN("",TRUE,A385,"!",ADDRESS(21+(A386-1)*A382,1)))</f>
        <v>CAP 006</v>
      </c>
      <c r="B379" s="97"/>
      <c r="C379" s="106" t="str">
        <f ca="1">INDIRECT(_xlfn.TEXTJOIN("",TRUE,A385,"!",ADDRESS(21+(A386-1)*A382,2)))</f>
        <v>Computer Networks Lab</v>
      </c>
      <c r="D379" s="107"/>
      <c r="E379" s="107"/>
      <c r="F379" s="107"/>
      <c r="G379" s="108"/>
      <c r="H379" s="20">
        <f ca="1">INDIRECT(_xlfn.TEXTJOIN("",TRUE,A385,"!",ADDRESS(21+(A386-1)*A382,6)))</f>
        <v>1</v>
      </c>
      <c r="I379" s="20" t="e">
        <f ca="1">INDIRECT(_xlfn.TEXTJOIN("",TRUE,A385,"!",ADDRESS(21+(A386-1)*A382,13)))</f>
        <v>#N/A</v>
      </c>
      <c r="J379" s="20" t="e">
        <f ca="1">INDIRECT(_xlfn.TEXTJOIN("",TRUE,A385,"!",ADDRESS(21+(A386-1)*A382,14)))</f>
        <v>#N/A</v>
      </c>
    </row>
    <row r="380" spans="1:10" ht="28" customHeight="1" x14ac:dyDescent="0.2">
      <c r="A380" s="96" t="str">
        <f ca="1">INDIRECT(_xlfn.TEXTJOIN("",TRUE,A385,"!",ADDRESS(22+(A386-1)*A382,1)))</f>
        <v>CAP 007</v>
      </c>
      <c r="B380" s="97"/>
      <c r="C380" s="106" t="str">
        <f ca="1">INDIRECT(_xlfn.TEXTJOIN("",TRUE,A385,"!",ADDRESS(22+(A386-1)*A382,2)))</f>
        <v>Artificial Intelligence Lab</v>
      </c>
      <c r="D380" s="107"/>
      <c r="E380" s="107"/>
      <c r="F380" s="107"/>
      <c r="G380" s="108"/>
      <c r="H380" s="20">
        <f ca="1">INDIRECT(_xlfn.TEXTJOIN("",TRUE,A385,"!",ADDRESS(22+(A386-1)*A382,6)))</f>
        <v>1</v>
      </c>
      <c r="I380" s="20" t="e">
        <f ca="1">INDIRECT(_xlfn.TEXTJOIN("",TRUE,A385,"!",ADDRESS(22+(A386-1)*A382,13)))</f>
        <v>#N/A</v>
      </c>
      <c r="J380" s="20" t="e">
        <f ca="1">INDIRECT(_xlfn.TEXTJOIN("",TRUE,A385,"!",ADDRESS(22+(A386-1)*A382,14)))</f>
        <v>#N/A</v>
      </c>
    </row>
    <row r="381" spans="1:10" ht="28" customHeight="1" x14ac:dyDescent="0.2">
      <c r="A381" s="118" t="s">
        <v>52</v>
      </c>
      <c r="B381" s="118"/>
      <c r="C381" s="118"/>
      <c r="D381" s="118"/>
      <c r="E381" s="118"/>
      <c r="F381" s="118"/>
      <c r="G381" s="118"/>
      <c r="H381" s="16">
        <f ca="1">SUM(H371:H380)</f>
        <v>24</v>
      </c>
      <c r="I381" s="16" t="s">
        <v>44</v>
      </c>
      <c r="J381" s="16" t="e">
        <f ca="1">SUMPRODUCT(J371:J380,H371:H380)</f>
        <v>#N/A</v>
      </c>
    </row>
    <row r="382" spans="1:10" ht="28" customHeight="1" x14ac:dyDescent="0.2">
      <c r="A382" s="22">
        <f>ROWS(A371:B380)+9</f>
        <v>19</v>
      </c>
      <c r="B382" s="17"/>
      <c r="C382" s="17"/>
      <c r="D382" s="17"/>
      <c r="E382" s="17"/>
      <c r="F382" s="17"/>
      <c r="G382" s="17"/>
      <c r="H382" s="17"/>
      <c r="I382" s="17"/>
      <c r="J382" s="17"/>
    </row>
    <row r="383" spans="1:10" ht="28" customHeight="1" x14ac:dyDescent="0.2">
      <c r="A383" s="120" t="s">
        <v>40</v>
      </c>
      <c r="B383" s="120"/>
      <c r="C383" s="21">
        <f ca="1">INDIRECT(_xlfn.TEXTJOIN("",TRUE,A385,"!",ADDRESS(5+A386*A382,12)))</f>
        <v>0</v>
      </c>
      <c r="D383" s="120" t="s">
        <v>38</v>
      </c>
      <c r="E383" s="120"/>
      <c r="F383" s="18" t="e">
        <f ca="1">INDIRECT(_xlfn.TEXTJOIN("",TRUE,A385,"!",ADDRESS(5+A386*A382,8)))</f>
        <v>#N/A</v>
      </c>
      <c r="G383" s="120" t="s">
        <v>39</v>
      </c>
      <c r="H383" s="120"/>
      <c r="I383" s="109" t="e">
        <f ca="1">INDIRECT(_xlfn.TEXTJOIN("",TRUE,A385,"!",ADDRESS(5+A386*A382,10)))</f>
        <v>#N/A</v>
      </c>
      <c r="J383" s="109"/>
    </row>
    <row r="384" spans="1:10" ht="28" customHeight="1" x14ac:dyDescent="0.2">
      <c r="A384" s="19" t="s">
        <v>36</v>
      </c>
      <c r="B384" s="95" t="e">
        <f ca="1">INDIRECT(_xlfn.TEXTJOIN("",TRUE,A385,"!",ADDRESS(5+A386*A382,2)))</f>
        <v>#N/A</v>
      </c>
      <c r="C384" s="95"/>
      <c r="D384" s="121" t="s">
        <v>37</v>
      </c>
      <c r="E384" s="121"/>
      <c r="F384" s="122" t="e">
        <f ca="1">INDIRECT(_xlfn.TEXTJOIN("",TRUE,A385,"!",ADDRESS(5+A386*A382,5)))</f>
        <v>#N/A</v>
      </c>
      <c r="G384" s="122"/>
      <c r="H384" s="122"/>
      <c r="I384" s="122"/>
      <c r="J384" s="122"/>
    </row>
    <row r="385" spans="1:10" ht="28" customHeight="1" x14ac:dyDescent="0.2">
      <c r="A385" s="22" t="str">
        <f>A366</f>
        <v>TC_II</v>
      </c>
    </row>
    <row r="386" spans="1:10" ht="28" customHeight="1" x14ac:dyDescent="0.2">
      <c r="A386" s="22">
        <f>A367+1</f>
        <v>20</v>
      </c>
    </row>
    <row r="387" spans="1:10" ht="28" customHeight="1" x14ac:dyDescent="0.2">
      <c r="A387" s="112" t="s">
        <v>24</v>
      </c>
      <c r="B387" s="112"/>
      <c r="C387" s="112" t="str">
        <f ca="1">INDIRECT(_xlfn.TEXTJOIN("",TRUE,A404,"!",ADDRESS(9+(A405-1)*A401,2)))</f>
        <v>SHIKHA</v>
      </c>
      <c r="D387" s="112"/>
      <c r="E387" s="112"/>
      <c r="F387" s="112" t="s">
        <v>50</v>
      </c>
      <c r="G387" s="112"/>
      <c r="H387" s="112"/>
      <c r="I387" s="113">
        <f ca="1">INDIRECT(_xlfn.TEXTJOIN("",TRUE,A404,"!",ADDRESS(9+(A405-1)*A401,9)))</f>
        <v>240090600021</v>
      </c>
      <c r="J387" s="113"/>
    </row>
    <row r="388" spans="1:10" ht="28" customHeight="1" x14ac:dyDescent="0.2">
      <c r="A388" s="112" t="s">
        <v>25</v>
      </c>
      <c r="B388" s="112"/>
      <c r="C388" s="112" t="str">
        <f ca="1">INDIRECT(_xlfn.TEXTJOIN("",TRUE,A404,"!",ADDRESS(9+(A405-1)*A401,5)))</f>
        <v>UPENDRA SINGH SEMWAL</v>
      </c>
      <c r="D388" s="112"/>
      <c r="E388" s="112"/>
      <c r="F388" s="114" t="s">
        <v>51</v>
      </c>
      <c r="G388" s="114"/>
      <c r="H388" s="114"/>
      <c r="I388" s="113" t="str">
        <f ca="1">INDIRECT(_xlfn.TEXTJOIN("",TRUE,A404,"!",ADDRESS(9+(A405-1)*A401,13)))</f>
        <v>UTU/2406100176</v>
      </c>
      <c r="J388" s="113"/>
    </row>
    <row r="389" spans="1:10" ht="28" customHeight="1" x14ac:dyDescent="0.2">
      <c r="A389" s="95" t="s">
        <v>28</v>
      </c>
      <c r="B389" s="95"/>
      <c r="C389" s="95" t="s">
        <v>29</v>
      </c>
      <c r="D389" s="95"/>
      <c r="E389" s="95"/>
      <c r="F389" s="95"/>
      <c r="G389" s="95"/>
      <c r="H389" s="15" t="s">
        <v>30</v>
      </c>
      <c r="I389" s="15" t="s">
        <v>9</v>
      </c>
      <c r="J389" s="15" t="s">
        <v>34</v>
      </c>
    </row>
    <row r="390" spans="1:10" ht="28" customHeight="1" x14ac:dyDescent="0.2">
      <c r="A390" s="96" t="str">
        <f ca="1">INDIRECT(_xlfn.TEXTJOIN("",TRUE,A404,"!",ADDRESS(13+(A405-1)*A401,1)))</f>
        <v>CAT 009</v>
      </c>
      <c r="B390" s="97"/>
      <c r="C390" s="106" t="str">
        <f ca="1">INDIRECT(_xlfn.TEXTJOIN("",TRUE,A404,"!",ADDRESS(13+(A405-1)*A401,2)))</f>
        <v>Computer Based Numerical and Statistical Techniques</v>
      </c>
      <c r="D390" s="107"/>
      <c r="E390" s="107"/>
      <c r="F390" s="107"/>
      <c r="G390" s="108"/>
      <c r="H390" s="20">
        <f ca="1">INDIRECT(_xlfn.TEXTJOIN("",TRUE,A404,"!",ADDRESS(13+(A405-1)*A401,6)))</f>
        <v>4</v>
      </c>
      <c r="I390" s="20" t="e">
        <f ca="1">INDIRECT(_xlfn.TEXTJOIN("",TRUE,A404,"!",ADDRESS(13+(A405-1)*A401,13)))</f>
        <v>#N/A</v>
      </c>
      <c r="J390" s="20" t="e">
        <f ca="1">INDIRECT(_xlfn.TEXTJOIN("",TRUE,A404,"!",ADDRESS(13+(A405-1)*A401,14)))</f>
        <v>#N/A</v>
      </c>
    </row>
    <row r="391" spans="1:10" ht="28" customHeight="1" x14ac:dyDescent="0.2">
      <c r="A391" s="96" t="str">
        <f ca="1">INDIRECT(_xlfn.TEXTJOIN("",TRUE,A404,"!",ADDRESS(14+(A405-1)*A401,1)))</f>
        <v>CAT 010</v>
      </c>
      <c r="B391" s="97"/>
      <c r="C391" s="106" t="str">
        <f ca="1">INDIRECT(_xlfn.TEXTJOIN("",TRUE,A404,"!",ADDRESS(14+(A405-1)*A401,2)))</f>
        <v>Data Structures and Analysis of Algorithms</v>
      </c>
      <c r="D391" s="107"/>
      <c r="E391" s="107"/>
      <c r="F391" s="107"/>
      <c r="G391" s="108"/>
      <c r="H391" s="20">
        <f ca="1">INDIRECT(_xlfn.TEXTJOIN("",TRUE,A404,"!",ADDRESS(14+(A405-1)*A401,6)))</f>
        <v>4</v>
      </c>
      <c r="I391" s="20" t="e">
        <f ca="1">INDIRECT(_xlfn.TEXTJOIN("",TRUE,A404,"!",ADDRESS(14+(A405-1)*A401,13)))</f>
        <v>#N/A</v>
      </c>
      <c r="J391" s="20" t="e">
        <f ca="1">INDIRECT(_xlfn.TEXTJOIN("",TRUE,A404,"!",ADDRESS(14+(A405-1)*A401,14)))</f>
        <v>#N/A</v>
      </c>
    </row>
    <row r="392" spans="1:10" ht="28" customHeight="1" x14ac:dyDescent="0.2">
      <c r="A392" s="96" t="str">
        <f ca="1">INDIRECT(_xlfn.TEXTJOIN("",TRUE,A404,"!",ADDRESS(15+(A405-1)*A401,1)))</f>
        <v>CAT 011</v>
      </c>
      <c r="B392" s="97"/>
      <c r="C392" s="106" t="str">
        <f ca="1">INDIRECT(_xlfn.TEXTJOIN("",TRUE,A404,"!",ADDRESS(15+(A405-1)*A401,2)))</f>
        <v>Object Oriented Programming with JAVA</v>
      </c>
      <c r="D392" s="107"/>
      <c r="E392" s="107"/>
      <c r="F392" s="107"/>
      <c r="G392" s="108"/>
      <c r="H392" s="20">
        <f ca="1">INDIRECT(_xlfn.TEXTJOIN("",TRUE,A404,"!",ADDRESS(15+(A405-1)*A401,6)))</f>
        <v>4</v>
      </c>
      <c r="I392" s="20" t="e">
        <f ca="1">INDIRECT(_xlfn.TEXTJOIN("",TRUE,A404,"!",ADDRESS(15+(A405-1)*A401,13)))</f>
        <v>#N/A</v>
      </c>
      <c r="J392" s="20" t="e">
        <f ca="1">INDIRECT(_xlfn.TEXTJOIN("",TRUE,A404,"!",ADDRESS(15+(A405-1)*A401,14)))</f>
        <v>#N/A</v>
      </c>
    </row>
    <row r="393" spans="1:10" ht="28" customHeight="1" x14ac:dyDescent="0.2">
      <c r="A393" s="96" t="str">
        <f ca="1">INDIRECT(_xlfn.TEXTJOIN("",TRUE,A404,"!",ADDRESS(16+(A405-1)*A401,1)))</f>
        <v>CAT 012</v>
      </c>
      <c r="B393" s="97"/>
      <c r="C393" s="106" t="str">
        <f ca="1">INDIRECT(_xlfn.TEXTJOIN("",TRUE,A404,"!",ADDRESS(16+(A405-1)*A401,2)))</f>
        <v>Computer Networks</v>
      </c>
      <c r="D393" s="107"/>
      <c r="E393" s="107"/>
      <c r="F393" s="107"/>
      <c r="G393" s="108"/>
      <c r="H393" s="20">
        <f ca="1">INDIRECT(_xlfn.TEXTJOIN("",TRUE,A404,"!",ADDRESS(16+(A405-1)*A401,6)))</f>
        <v>4</v>
      </c>
      <c r="I393" s="20" t="e">
        <f ca="1">INDIRECT(_xlfn.TEXTJOIN("",TRUE,A404,"!",ADDRESS(16+(A405-1)*A401,13)))</f>
        <v>#N/A</v>
      </c>
      <c r="J393" s="20" t="e">
        <f ca="1">INDIRECT(_xlfn.TEXTJOIN("",TRUE,A404,"!",ADDRESS(16+(A405-1)*A401,14)))</f>
        <v>#N/A</v>
      </c>
    </row>
    <row r="394" spans="1:10" ht="28" customHeight="1" x14ac:dyDescent="0.2">
      <c r="A394" s="96" t="str">
        <f ca="1">INDIRECT(_xlfn.TEXTJOIN("",TRUE,A404,"!",ADDRESS(17+(A405-1)*A401,1)))</f>
        <v>CAT 013</v>
      </c>
      <c r="B394" s="97"/>
      <c r="C394" s="106" t="str">
        <f ca="1">INDIRECT(_xlfn.TEXTJOIN("",TRUE,A404,"!",ADDRESS(17+(A405-1)*A401,2)))</f>
        <v>Artificial Intelligence</v>
      </c>
      <c r="D394" s="107"/>
      <c r="E394" s="107"/>
      <c r="F394" s="107"/>
      <c r="G394" s="108"/>
      <c r="H394" s="20">
        <f ca="1">INDIRECT(_xlfn.TEXTJOIN("",TRUE,A404,"!",ADDRESS(17+(A405-1)*A401,6)))</f>
        <v>4</v>
      </c>
      <c r="I394" s="20" t="e">
        <f ca="1">INDIRECT(_xlfn.TEXTJOIN("",TRUE,A404,"!",ADDRESS(17+(A405-1)*A401,13)))</f>
        <v>#N/A</v>
      </c>
      <c r="J394" s="20" t="e">
        <f ca="1">INDIRECT(_xlfn.TEXTJOIN("",TRUE,A404,"!",ADDRESS(17+(A405-1)*A401,14)))</f>
        <v>#N/A</v>
      </c>
    </row>
    <row r="395" spans="1:10" ht="28" customHeight="1" x14ac:dyDescent="0.2">
      <c r="A395" s="96" t="str">
        <f ca="1">INDIRECT(_xlfn.TEXTJOIN("",TRUE,A404,"!",ADDRESS(18+(A405-1)*A401,1)))</f>
        <v>AHT 304</v>
      </c>
      <c r="B395" s="97"/>
      <c r="C395" s="106" t="str">
        <f ca="1">INDIRECT(_xlfn.TEXTJOIN("",TRUE,A404,"!",ADDRESS(18+(A405-1)*A401,2)))</f>
        <v>Accounting and Financial Management ($)</v>
      </c>
      <c r="D395" s="107"/>
      <c r="E395" s="107"/>
      <c r="F395" s="107"/>
      <c r="G395" s="108"/>
      <c r="H395" s="20">
        <f ca="1">INDIRECT(_xlfn.TEXTJOIN("",TRUE,A404,"!",ADDRESS(18+(A405-1)*A401,6)))</f>
        <v>0</v>
      </c>
      <c r="I395" s="20" t="e">
        <f ca="1">INDIRECT(_xlfn.TEXTJOIN("",TRUE,A404,"!",ADDRESS(18+(A405-1)*A401,13)))</f>
        <v>#N/A</v>
      </c>
      <c r="J395" s="20" t="e">
        <f ca="1">INDIRECT(_xlfn.TEXTJOIN("",TRUE,A404,"!",ADDRESS(18+(A405-1)*A401,14)))</f>
        <v>#N/A</v>
      </c>
    </row>
    <row r="396" spans="1:10" ht="28" customHeight="1" x14ac:dyDescent="0.2">
      <c r="A396" s="96" t="str">
        <f ca="1">INDIRECT(_xlfn.TEXTJOIN("",TRUE,A404,"!",ADDRESS(19+(A405-1)*A401,1)))</f>
        <v>CAP 004</v>
      </c>
      <c r="B396" s="97"/>
      <c r="C396" s="106" t="str">
        <f ca="1">INDIRECT(_xlfn.TEXTJOIN("",TRUE,A404,"!",ADDRESS(19+(A405-1)*A401,2)))</f>
        <v>Data Structures and Analysis of Algorithms Lab</v>
      </c>
      <c r="D396" s="107"/>
      <c r="E396" s="107"/>
      <c r="F396" s="107"/>
      <c r="G396" s="108"/>
      <c r="H396" s="20">
        <f ca="1">INDIRECT(_xlfn.TEXTJOIN("",TRUE,A404,"!",ADDRESS(19+(A405-1)*A401,6)))</f>
        <v>1</v>
      </c>
      <c r="I396" s="20" t="e">
        <f ca="1">INDIRECT(_xlfn.TEXTJOIN("",TRUE,A404,"!",ADDRESS(19+(A405-1)*A401,13)))</f>
        <v>#N/A</v>
      </c>
      <c r="J396" s="20" t="e">
        <f ca="1">INDIRECT(_xlfn.TEXTJOIN("",TRUE,A404,"!",ADDRESS(19+(A405-1)*A401,14)))</f>
        <v>#N/A</v>
      </c>
    </row>
    <row r="397" spans="1:10" ht="28" customHeight="1" x14ac:dyDescent="0.2">
      <c r="A397" s="96" t="str">
        <f ca="1">INDIRECT(_xlfn.TEXTJOIN("",TRUE,A404,"!",ADDRESS(20+(A405-1)*A401,1)))</f>
        <v>CAP 005</v>
      </c>
      <c r="B397" s="97"/>
      <c r="C397" s="106" t="str">
        <f ca="1">INDIRECT(_xlfn.TEXTJOIN("",TRUE,A404,"!",ADDRESS(20+(A405-1)*A401,2)))</f>
        <v>Object Oriented Programming with JAVA Lab</v>
      </c>
      <c r="D397" s="107"/>
      <c r="E397" s="107"/>
      <c r="F397" s="107"/>
      <c r="G397" s="108"/>
      <c r="H397" s="20">
        <f ca="1">INDIRECT(_xlfn.TEXTJOIN("",TRUE,A404,"!",ADDRESS(20+(A405-1)*A401,6)))</f>
        <v>1</v>
      </c>
      <c r="I397" s="20" t="e">
        <f ca="1">INDIRECT(_xlfn.TEXTJOIN("",TRUE,A404,"!",ADDRESS(20+(A405-1)*A401,13)))</f>
        <v>#N/A</v>
      </c>
      <c r="J397" s="20" t="e">
        <f ca="1">INDIRECT(_xlfn.TEXTJOIN("",TRUE,A404,"!",ADDRESS(20+(A405-1)*A401,14)))</f>
        <v>#N/A</v>
      </c>
    </row>
    <row r="398" spans="1:10" ht="28" customHeight="1" x14ac:dyDescent="0.2">
      <c r="A398" s="96" t="str">
        <f ca="1">INDIRECT(_xlfn.TEXTJOIN("",TRUE,A404,"!",ADDRESS(21+(A405-1)*A401,1)))</f>
        <v>CAP 006</v>
      </c>
      <c r="B398" s="97"/>
      <c r="C398" s="106" t="str">
        <f ca="1">INDIRECT(_xlfn.TEXTJOIN("",TRUE,A404,"!",ADDRESS(21+(A405-1)*A401,2)))</f>
        <v>Computer Networks Lab</v>
      </c>
      <c r="D398" s="107"/>
      <c r="E398" s="107"/>
      <c r="F398" s="107"/>
      <c r="G398" s="108"/>
      <c r="H398" s="20">
        <f ca="1">INDIRECT(_xlfn.TEXTJOIN("",TRUE,A404,"!",ADDRESS(21+(A405-1)*A401,6)))</f>
        <v>1</v>
      </c>
      <c r="I398" s="20" t="e">
        <f ca="1">INDIRECT(_xlfn.TEXTJOIN("",TRUE,A404,"!",ADDRESS(21+(A405-1)*A401,13)))</f>
        <v>#N/A</v>
      </c>
      <c r="J398" s="20" t="e">
        <f ca="1">INDIRECT(_xlfn.TEXTJOIN("",TRUE,A404,"!",ADDRESS(21+(A405-1)*A401,14)))</f>
        <v>#N/A</v>
      </c>
    </row>
    <row r="399" spans="1:10" ht="28" customHeight="1" x14ac:dyDescent="0.2">
      <c r="A399" s="96" t="str">
        <f ca="1">INDIRECT(_xlfn.TEXTJOIN("",TRUE,A404,"!",ADDRESS(22+(A405-1)*A401,1)))</f>
        <v>CAP 007</v>
      </c>
      <c r="B399" s="97"/>
      <c r="C399" s="106" t="str">
        <f ca="1">INDIRECT(_xlfn.TEXTJOIN("",TRUE,A404,"!",ADDRESS(22+(A405-1)*A401,2)))</f>
        <v>Artificial Intelligence Lab</v>
      </c>
      <c r="D399" s="107"/>
      <c r="E399" s="107"/>
      <c r="F399" s="107"/>
      <c r="G399" s="108"/>
      <c r="H399" s="20">
        <f ca="1">INDIRECT(_xlfn.TEXTJOIN("",TRUE,A404,"!",ADDRESS(22+(A405-1)*A401,6)))</f>
        <v>1</v>
      </c>
      <c r="I399" s="20" t="e">
        <f ca="1">INDIRECT(_xlfn.TEXTJOIN("",TRUE,A404,"!",ADDRESS(22+(A405-1)*A401,13)))</f>
        <v>#N/A</v>
      </c>
      <c r="J399" s="20" t="e">
        <f ca="1">INDIRECT(_xlfn.TEXTJOIN("",TRUE,A404,"!",ADDRESS(22+(A405-1)*A401,14)))</f>
        <v>#N/A</v>
      </c>
    </row>
    <row r="400" spans="1:10" ht="28" customHeight="1" x14ac:dyDescent="0.2">
      <c r="A400" s="118" t="s">
        <v>52</v>
      </c>
      <c r="B400" s="118"/>
      <c r="C400" s="118"/>
      <c r="D400" s="118"/>
      <c r="E400" s="118"/>
      <c r="F400" s="118"/>
      <c r="G400" s="118"/>
      <c r="H400" s="16">
        <f ca="1">SUM(H390:H399)</f>
        <v>24</v>
      </c>
      <c r="I400" s="16" t="s">
        <v>44</v>
      </c>
      <c r="J400" s="16" t="e">
        <f ca="1">SUMPRODUCT(J390:J399,H390:H399)</f>
        <v>#N/A</v>
      </c>
    </row>
    <row r="401" spans="1:10" ht="28" customHeight="1" x14ac:dyDescent="0.2">
      <c r="A401" s="22">
        <f>ROWS(A390:B399)+9</f>
        <v>19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8" customHeight="1" x14ac:dyDescent="0.2">
      <c r="A402" s="120" t="s">
        <v>40</v>
      </c>
      <c r="B402" s="120"/>
      <c r="C402" s="21">
        <f ca="1">INDIRECT(_xlfn.TEXTJOIN("",TRUE,A404,"!",ADDRESS(5+A405*A401,12)))</f>
        <v>0</v>
      </c>
      <c r="D402" s="120" t="s">
        <v>38</v>
      </c>
      <c r="E402" s="120"/>
      <c r="F402" s="18" t="e">
        <f ca="1">INDIRECT(_xlfn.TEXTJOIN("",TRUE,A404,"!",ADDRESS(5+A405*A401,8)))</f>
        <v>#N/A</v>
      </c>
      <c r="G402" s="120" t="s">
        <v>39</v>
      </c>
      <c r="H402" s="120"/>
      <c r="I402" s="109" t="e">
        <f ca="1">INDIRECT(_xlfn.TEXTJOIN("",TRUE,A404,"!",ADDRESS(5+A405*A401,10)))</f>
        <v>#N/A</v>
      </c>
      <c r="J402" s="109"/>
    </row>
    <row r="403" spans="1:10" ht="28" customHeight="1" x14ac:dyDescent="0.2">
      <c r="A403" s="19" t="s">
        <v>36</v>
      </c>
      <c r="B403" s="95" t="e">
        <f ca="1">INDIRECT(_xlfn.TEXTJOIN("",TRUE,A404,"!",ADDRESS(5+A405*A401,2)))</f>
        <v>#N/A</v>
      </c>
      <c r="C403" s="95"/>
      <c r="D403" s="121" t="s">
        <v>37</v>
      </c>
      <c r="E403" s="121"/>
      <c r="F403" s="122" t="e">
        <f ca="1">INDIRECT(_xlfn.TEXTJOIN("",TRUE,A404,"!",ADDRESS(5+A405*A401,5)))</f>
        <v>#N/A</v>
      </c>
      <c r="G403" s="122"/>
      <c r="H403" s="122"/>
      <c r="I403" s="122"/>
      <c r="J403" s="122"/>
    </row>
    <row r="404" spans="1:10" ht="28" customHeight="1" x14ac:dyDescent="0.2">
      <c r="A404" s="22" t="str">
        <f>A385</f>
        <v>TC_II</v>
      </c>
    </row>
    <row r="405" spans="1:10" ht="28" customHeight="1" x14ac:dyDescent="0.2">
      <c r="A405" s="22">
        <f>A386+1</f>
        <v>21</v>
      </c>
    </row>
    <row r="406" spans="1:10" ht="28" customHeight="1" x14ac:dyDescent="0.2">
      <c r="A406" s="112" t="s">
        <v>24</v>
      </c>
      <c r="B406" s="112"/>
      <c r="C406" s="112" t="str">
        <f ca="1">INDIRECT(_xlfn.TEXTJOIN("",TRUE,A423,"!",ADDRESS(9+(A424-1)*A420,2)))</f>
        <v>SHIVANI BHATT</v>
      </c>
      <c r="D406" s="112"/>
      <c r="E406" s="112"/>
      <c r="F406" s="112" t="s">
        <v>50</v>
      </c>
      <c r="G406" s="112"/>
      <c r="H406" s="112"/>
      <c r="I406" s="113">
        <f ca="1">INDIRECT(_xlfn.TEXTJOIN("",TRUE,A423,"!",ADDRESS(9+(A424-1)*A420,9)))</f>
        <v>240090600022</v>
      </c>
      <c r="J406" s="113"/>
    </row>
    <row r="407" spans="1:10" ht="28" customHeight="1" x14ac:dyDescent="0.2">
      <c r="A407" s="112" t="s">
        <v>25</v>
      </c>
      <c r="B407" s="112"/>
      <c r="C407" s="112" t="str">
        <f ca="1">INDIRECT(_xlfn.TEXTJOIN("",TRUE,A423,"!",ADDRESS(9+(A424-1)*A420,5)))</f>
        <v>RAVINDRA BHATT</v>
      </c>
      <c r="D407" s="112"/>
      <c r="E407" s="112"/>
      <c r="F407" s="114" t="s">
        <v>51</v>
      </c>
      <c r="G407" s="114"/>
      <c r="H407" s="114"/>
      <c r="I407" s="113" t="str">
        <f ca="1">INDIRECT(_xlfn.TEXTJOIN("",TRUE,A423,"!",ADDRESS(9+(A424-1)*A420,13)))</f>
        <v>UTU/2406100168</v>
      </c>
      <c r="J407" s="113"/>
    </row>
    <row r="408" spans="1:10" ht="28" customHeight="1" x14ac:dyDescent="0.2">
      <c r="A408" s="95" t="s">
        <v>28</v>
      </c>
      <c r="B408" s="95"/>
      <c r="C408" s="95" t="s">
        <v>29</v>
      </c>
      <c r="D408" s="95"/>
      <c r="E408" s="95"/>
      <c r="F408" s="95"/>
      <c r="G408" s="95"/>
      <c r="H408" s="15" t="s">
        <v>30</v>
      </c>
      <c r="I408" s="15" t="s">
        <v>9</v>
      </c>
      <c r="J408" s="15" t="s">
        <v>34</v>
      </c>
    </row>
    <row r="409" spans="1:10" ht="28" customHeight="1" x14ac:dyDescent="0.2">
      <c r="A409" s="96" t="str">
        <f ca="1">INDIRECT(_xlfn.TEXTJOIN("",TRUE,A423,"!",ADDRESS(13+(A424-1)*A420,1)))</f>
        <v>CAT 009</v>
      </c>
      <c r="B409" s="97"/>
      <c r="C409" s="106" t="str">
        <f ca="1">INDIRECT(_xlfn.TEXTJOIN("",TRUE,A423,"!",ADDRESS(13+(A424-1)*A420,2)))</f>
        <v>Computer Based Numerical and Statistical Techniques</v>
      </c>
      <c r="D409" s="107"/>
      <c r="E409" s="107"/>
      <c r="F409" s="107"/>
      <c r="G409" s="108"/>
      <c r="H409" s="20">
        <f ca="1">INDIRECT(_xlfn.TEXTJOIN("",TRUE,A423,"!",ADDRESS(13+(A424-1)*A420,6)))</f>
        <v>4</v>
      </c>
      <c r="I409" s="20" t="e">
        <f ca="1">INDIRECT(_xlfn.TEXTJOIN("",TRUE,A423,"!",ADDRESS(13+(A424-1)*A420,13)))</f>
        <v>#N/A</v>
      </c>
      <c r="J409" s="20" t="e">
        <f ca="1">INDIRECT(_xlfn.TEXTJOIN("",TRUE,A423,"!",ADDRESS(13+(A424-1)*A420,14)))</f>
        <v>#N/A</v>
      </c>
    </row>
    <row r="410" spans="1:10" ht="28" customHeight="1" x14ac:dyDescent="0.2">
      <c r="A410" s="96" t="str">
        <f ca="1">INDIRECT(_xlfn.TEXTJOIN("",TRUE,A423,"!",ADDRESS(14+(A424-1)*A420,1)))</f>
        <v>CAT 010</v>
      </c>
      <c r="B410" s="97"/>
      <c r="C410" s="106" t="str">
        <f ca="1">INDIRECT(_xlfn.TEXTJOIN("",TRUE,A423,"!",ADDRESS(14+(A424-1)*A420,2)))</f>
        <v>Data Structures and Analysis of Algorithms</v>
      </c>
      <c r="D410" s="107"/>
      <c r="E410" s="107"/>
      <c r="F410" s="107"/>
      <c r="G410" s="108"/>
      <c r="H410" s="20">
        <f ca="1">INDIRECT(_xlfn.TEXTJOIN("",TRUE,A423,"!",ADDRESS(14+(A424-1)*A420,6)))</f>
        <v>4</v>
      </c>
      <c r="I410" s="20" t="e">
        <f ca="1">INDIRECT(_xlfn.TEXTJOIN("",TRUE,A423,"!",ADDRESS(14+(A424-1)*A420,13)))</f>
        <v>#N/A</v>
      </c>
      <c r="J410" s="20" t="e">
        <f ca="1">INDIRECT(_xlfn.TEXTJOIN("",TRUE,A423,"!",ADDRESS(14+(A424-1)*A420,14)))</f>
        <v>#N/A</v>
      </c>
    </row>
    <row r="411" spans="1:10" ht="28" customHeight="1" x14ac:dyDescent="0.2">
      <c r="A411" s="96" t="str">
        <f ca="1">INDIRECT(_xlfn.TEXTJOIN("",TRUE,A423,"!",ADDRESS(15+(A424-1)*A420,1)))</f>
        <v>CAT 011</v>
      </c>
      <c r="B411" s="97"/>
      <c r="C411" s="106" t="str">
        <f ca="1">INDIRECT(_xlfn.TEXTJOIN("",TRUE,A423,"!",ADDRESS(15+(A424-1)*A420,2)))</f>
        <v>Object Oriented Programming with JAVA</v>
      </c>
      <c r="D411" s="107"/>
      <c r="E411" s="107"/>
      <c r="F411" s="107"/>
      <c r="G411" s="108"/>
      <c r="H411" s="20">
        <f ca="1">INDIRECT(_xlfn.TEXTJOIN("",TRUE,A423,"!",ADDRESS(15+(A424-1)*A420,6)))</f>
        <v>4</v>
      </c>
      <c r="I411" s="20" t="e">
        <f ca="1">INDIRECT(_xlfn.TEXTJOIN("",TRUE,A423,"!",ADDRESS(15+(A424-1)*A420,13)))</f>
        <v>#N/A</v>
      </c>
      <c r="J411" s="20" t="e">
        <f ca="1">INDIRECT(_xlfn.TEXTJOIN("",TRUE,A423,"!",ADDRESS(15+(A424-1)*A420,14)))</f>
        <v>#N/A</v>
      </c>
    </row>
    <row r="412" spans="1:10" ht="28" customHeight="1" x14ac:dyDescent="0.2">
      <c r="A412" s="96" t="str">
        <f ca="1">INDIRECT(_xlfn.TEXTJOIN("",TRUE,A423,"!",ADDRESS(16+(A424-1)*A420,1)))</f>
        <v>CAT 012</v>
      </c>
      <c r="B412" s="97"/>
      <c r="C412" s="106" t="str">
        <f ca="1">INDIRECT(_xlfn.TEXTJOIN("",TRUE,A423,"!",ADDRESS(16+(A424-1)*A420,2)))</f>
        <v>Computer Networks</v>
      </c>
      <c r="D412" s="107"/>
      <c r="E412" s="107"/>
      <c r="F412" s="107"/>
      <c r="G412" s="108"/>
      <c r="H412" s="20">
        <f ca="1">INDIRECT(_xlfn.TEXTJOIN("",TRUE,A423,"!",ADDRESS(16+(A424-1)*A420,6)))</f>
        <v>4</v>
      </c>
      <c r="I412" s="20" t="e">
        <f ca="1">INDIRECT(_xlfn.TEXTJOIN("",TRUE,A423,"!",ADDRESS(16+(A424-1)*A420,13)))</f>
        <v>#N/A</v>
      </c>
      <c r="J412" s="20" t="e">
        <f ca="1">INDIRECT(_xlfn.TEXTJOIN("",TRUE,A423,"!",ADDRESS(16+(A424-1)*A420,14)))</f>
        <v>#N/A</v>
      </c>
    </row>
    <row r="413" spans="1:10" ht="28" customHeight="1" x14ac:dyDescent="0.2">
      <c r="A413" s="96" t="str">
        <f ca="1">INDIRECT(_xlfn.TEXTJOIN("",TRUE,A423,"!",ADDRESS(17+(A424-1)*A420,1)))</f>
        <v>CAT 013</v>
      </c>
      <c r="B413" s="97"/>
      <c r="C413" s="106" t="str">
        <f ca="1">INDIRECT(_xlfn.TEXTJOIN("",TRUE,A423,"!",ADDRESS(17+(A424-1)*A420,2)))</f>
        <v>Artificial Intelligence</v>
      </c>
      <c r="D413" s="107"/>
      <c r="E413" s="107"/>
      <c r="F413" s="107"/>
      <c r="G413" s="108"/>
      <c r="H413" s="20">
        <f ca="1">INDIRECT(_xlfn.TEXTJOIN("",TRUE,A423,"!",ADDRESS(17+(A424-1)*A420,6)))</f>
        <v>4</v>
      </c>
      <c r="I413" s="20" t="e">
        <f ca="1">INDIRECT(_xlfn.TEXTJOIN("",TRUE,A423,"!",ADDRESS(17+(A424-1)*A420,13)))</f>
        <v>#N/A</v>
      </c>
      <c r="J413" s="20" t="e">
        <f ca="1">INDIRECT(_xlfn.TEXTJOIN("",TRUE,A423,"!",ADDRESS(17+(A424-1)*A420,14)))</f>
        <v>#N/A</v>
      </c>
    </row>
    <row r="414" spans="1:10" ht="28" customHeight="1" x14ac:dyDescent="0.2">
      <c r="A414" s="96" t="str">
        <f ca="1">INDIRECT(_xlfn.TEXTJOIN("",TRUE,A423,"!",ADDRESS(18+(A424-1)*A420,1)))</f>
        <v>AHT 304</v>
      </c>
      <c r="B414" s="97"/>
      <c r="C414" s="106" t="str">
        <f ca="1">INDIRECT(_xlfn.TEXTJOIN("",TRUE,A423,"!",ADDRESS(18+(A424-1)*A420,2)))</f>
        <v>Accounting and Financial Management ($)</v>
      </c>
      <c r="D414" s="107"/>
      <c r="E414" s="107"/>
      <c r="F414" s="107"/>
      <c r="G414" s="108"/>
      <c r="H414" s="20">
        <f ca="1">INDIRECT(_xlfn.TEXTJOIN("",TRUE,A423,"!",ADDRESS(18+(A424-1)*A420,6)))</f>
        <v>0</v>
      </c>
      <c r="I414" s="20" t="e">
        <f ca="1">INDIRECT(_xlfn.TEXTJOIN("",TRUE,A423,"!",ADDRESS(18+(A424-1)*A420,13)))</f>
        <v>#N/A</v>
      </c>
      <c r="J414" s="20" t="e">
        <f ca="1">INDIRECT(_xlfn.TEXTJOIN("",TRUE,A423,"!",ADDRESS(18+(A424-1)*A420,14)))</f>
        <v>#N/A</v>
      </c>
    </row>
    <row r="415" spans="1:10" ht="28" customHeight="1" x14ac:dyDescent="0.2">
      <c r="A415" s="96" t="str">
        <f ca="1">INDIRECT(_xlfn.TEXTJOIN("",TRUE,A423,"!",ADDRESS(19+(A424-1)*A420,1)))</f>
        <v>CAP 004</v>
      </c>
      <c r="B415" s="97"/>
      <c r="C415" s="106" t="str">
        <f ca="1">INDIRECT(_xlfn.TEXTJOIN("",TRUE,A423,"!",ADDRESS(19+(A424-1)*A420,2)))</f>
        <v>Data Structures and Analysis of Algorithms Lab</v>
      </c>
      <c r="D415" s="107"/>
      <c r="E415" s="107"/>
      <c r="F415" s="107"/>
      <c r="G415" s="108"/>
      <c r="H415" s="20">
        <f ca="1">INDIRECT(_xlfn.TEXTJOIN("",TRUE,A423,"!",ADDRESS(19+(A424-1)*A420,6)))</f>
        <v>1</v>
      </c>
      <c r="I415" s="20" t="e">
        <f ca="1">INDIRECT(_xlfn.TEXTJOIN("",TRUE,A423,"!",ADDRESS(19+(A424-1)*A420,13)))</f>
        <v>#N/A</v>
      </c>
      <c r="J415" s="20" t="e">
        <f ca="1">INDIRECT(_xlfn.TEXTJOIN("",TRUE,A423,"!",ADDRESS(19+(A424-1)*A420,14)))</f>
        <v>#N/A</v>
      </c>
    </row>
    <row r="416" spans="1:10" ht="28" customHeight="1" x14ac:dyDescent="0.2">
      <c r="A416" s="96" t="str">
        <f ca="1">INDIRECT(_xlfn.TEXTJOIN("",TRUE,A423,"!",ADDRESS(20+(A424-1)*A420,1)))</f>
        <v>CAP 005</v>
      </c>
      <c r="B416" s="97"/>
      <c r="C416" s="106" t="str">
        <f ca="1">INDIRECT(_xlfn.TEXTJOIN("",TRUE,A423,"!",ADDRESS(20+(A424-1)*A420,2)))</f>
        <v>Object Oriented Programming with JAVA Lab</v>
      </c>
      <c r="D416" s="107"/>
      <c r="E416" s="107"/>
      <c r="F416" s="107"/>
      <c r="G416" s="108"/>
      <c r="H416" s="20">
        <f ca="1">INDIRECT(_xlfn.TEXTJOIN("",TRUE,A423,"!",ADDRESS(20+(A424-1)*A420,6)))</f>
        <v>1</v>
      </c>
      <c r="I416" s="20" t="e">
        <f ca="1">INDIRECT(_xlfn.TEXTJOIN("",TRUE,A423,"!",ADDRESS(20+(A424-1)*A420,13)))</f>
        <v>#N/A</v>
      </c>
      <c r="J416" s="20" t="e">
        <f ca="1">INDIRECT(_xlfn.TEXTJOIN("",TRUE,A423,"!",ADDRESS(20+(A424-1)*A420,14)))</f>
        <v>#N/A</v>
      </c>
    </row>
    <row r="417" spans="1:10" ht="28" customHeight="1" x14ac:dyDescent="0.2">
      <c r="A417" s="96" t="str">
        <f ca="1">INDIRECT(_xlfn.TEXTJOIN("",TRUE,A423,"!",ADDRESS(21+(A424-1)*A420,1)))</f>
        <v>CAP 006</v>
      </c>
      <c r="B417" s="97"/>
      <c r="C417" s="106" t="str">
        <f ca="1">INDIRECT(_xlfn.TEXTJOIN("",TRUE,A423,"!",ADDRESS(21+(A424-1)*A420,2)))</f>
        <v>Computer Networks Lab</v>
      </c>
      <c r="D417" s="107"/>
      <c r="E417" s="107"/>
      <c r="F417" s="107"/>
      <c r="G417" s="108"/>
      <c r="H417" s="20">
        <f ca="1">INDIRECT(_xlfn.TEXTJOIN("",TRUE,A423,"!",ADDRESS(21+(A424-1)*A420,6)))</f>
        <v>1</v>
      </c>
      <c r="I417" s="20" t="e">
        <f ca="1">INDIRECT(_xlfn.TEXTJOIN("",TRUE,A423,"!",ADDRESS(21+(A424-1)*A420,13)))</f>
        <v>#N/A</v>
      </c>
      <c r="J417" s="20" t="e">
        <f ca="1">INDIRECT(_xlfn.TEXTJOIN("",TRUE,A423,"!",ADDRESS(21+(A424-1)*A420,14)))</f>
        <v>#N/A</v>
      </c>
    </row>
    <row r="418" spans="1:10" ht="28" customHeight="1" x14ac:dyDescent="0.2">
      <c r="A418" s="96" t="str">
        <f ca="1">INDIRECT(_xlfn.TEXTJOIN("",TRUE,A423,"!",ADDRESS(22+(A424-1)*A420,1)))</f>
        <v>CAP 007</v>
      </c>
      <c r="B418" s="97"/>
      <c r="C418" s="106" t="str">
        <f ca="1">INDIRECT(_xlfn.TEXTJOIN("",TRUE,A423,"!",ADDRESS(22+(A424-1)*A420,2)))</f>
        <v>Artificial Intelligence Lab</v>
      </c>
      <c r="D418" s="107"/>
      <c r="E418" s="107"/>
      <c r="F418" s="107"/>
      <c r="G418" s="108"/>
      <c r="H418" s="20">
        <f ca="1">INDIRECT(_xlfn.TEXTJOIN("",TRUE,A423,"!",ADDRESS(22+(A424-1)*A420,6)))</f>
        <v>1</v>
      </c>
      <c r="I418" s="20" t="e">
        <f ca="1">INDIRECT(_xlfn.TEXTJOIN("",TRUE,A423,"!",ADDRESS(22+(A424-1)*A420,13)))</f>
        <v>#N/A</v>
      </c>
      <c r="J418" s="20" t="e">
        <f ca="1">INDIRECT(_xlfn.TEXTJOIN("",TRUE,A423,"!",ADDRESS(22+(A424-1)*A420,14)))</f>
        <v>#N/A</v>
      </c>
    </row>
    <row r="419" spans="1:10" ht="28" customHeight="1" x14ac:dyDescent="0.2">
      <c r="A419" s="118" t="s">
        <v>52</v>
      </c>
      <c r="B419" s="118"/>
      <c r="C419" s="118"/>
      <c r="D419" s="118"/>
      <c r="E419" s="118"/>
      <c r="F419" s="118"/>
      <c r="G419" s="118"/>
      <c r="H419" s="16">
        <f ca="1">SUM(H409:H418)</f>
        <v>24</v>
      </c>
      <c r="I419" s="16" t="s">
        <v>44</v>
      </c>
      <c r="J419" s="16" t="e">
        <f ca="1">SUMPRODUCT(J409:J418,H409:H418)</f>
        <v>#N/A</v>
      </c>
    </row>
    <row r="420" spans="1:10" ht="28" customHeight="1" x14ac:dyDescent="0.2">
      <c r="A420" s="22">
        <f>ROWS(A409:B418)+9</f>
        <v>19</v>
      </c>
      <c r="B420" s="17"/>
      <c r="C420" s="17"/>
      <c r="D420" s="17"/>
      <c r="E420" s="17"/>
      <c r="F420" s="17"/>
      <c r="G420" s="17"/>
      <c r="H420" s="17"/>
      <c r="I420" s="17"/>
      <c r="J420" s="17"/>
    </row>
    <row r="421" spans="1:10" ht="28" customHeight="1" x14ac:dyDescent="0.2">
      <c r="A421" s="120" t="s">
        <v>40</v>
      </c>
      <c r="B421" s="120"/>
      <c r="C421" s="21">
        <f ca="1">INDIRECT(_xlfn.TEXTJOIN("",TRUE,A423,"!",ADDRESS(5+A424*A420,12)))</f>
        <v>0</v>
      </c>
      <c r="D421" s="120" t="s">
        <v>38</v>
      </c>
      <c r="E421" s="120"/>
      <c r="F421" s="18" t="e">
        <f ca="1">INDIRECT(_xlfn.TEXTJOIN("",TRUE,A423,"!",ADDRESS(5+A424*A420,8)))</f>
        <v>#N/A</v>
      </c>
      <c r="G421" s="120" t="s">
        <v>39</v>
      </c>
      <c r="H421" s="120"/>
      <c r="I421" s="109" t="e">
        <f ca="1">INDIRECT(_xlfn.TEXTJOIN("",TRUE,A423,"!",ADDRESS(5+A424*A420,10)))</f>
        <v>#N/A</v>
      </c>
      <c r="J421" s="109"/>
    </row>
    <row r="422" spans="1:10" ht="28" customHeight="1" x14ac:dyDescent="0.2">
      <c r="A422" s="19" t="s">
        <v>36</v>
      </c>
      <c r="B422" s="95" t="e">
        <f ca="1">INDIRECT(_xlfn.TEXTJOIN("",TRUE,A423,"!",ADDRESS(5+A424*A420,2)))</f>
        <v>#N/A</v>
      </c>
      <c r="C422" s="95"/>
      <c r="D422" s="121" t="s">
        <v>37</v>
      </c>
      <c r="E422" s="121"/>
      <c r="F422" s="122" t="e">
        <f ca="1">INDIRECT(_xlfn.TEXTJOIN("",TRUE,A423,"!",ADDRESS(5+A424*A420,5)))</f>
        <v>#N/A</v>
      </c>
      <c r="G422" s="122"/>
      <c r="H422" s="122"/>
      <c r="I422" s="122"/>
      <c r="J422" s="122"/>
    </row>
    <row r="423" spans="1:10" ht="28" customHeight="1" x14ac:dyDescent="0.2">
      <c r="A423" s="22" t="str">
        <f>A404</f>
        <v>TC_II</v>
      </c>
    </row>
    <row r="424" spans="1:10" ht="28" customHeight="1" x14ac:dyDescent="0.2">
      <c r="A424" s="22">
        <f>A405+1</f>
        <v>22</v>
      </c>
    </row>
    <row r="425" spans="1:10" ht="28" customHeight="1" x14ac:dyDescent="0.2">
      <c r="A425" s="112" t="s">
        <v>24</v>
      </c>
      <c r="B425" s="112"/>
      <c r="C425" s="112" t="str">
        <f ca="1">INDIRECT(_xlfn.TEXTJOIN("",TRUE,A442,"!",ADDRESS(9+(A443-1)*A439,2)))</f>
        <v>SHRIYANSHU DHYANI</v>
      </c>
      <c r="D425" s="112"/>
      <c r="E425" s="112"/>
      <c r="F425" s="112" t="s">
        <v>50</v>
      </c>
      <c r="G425" s="112"/>
      <c r="H425" s="112"/>
      <c r="I425" s="113">
        <f ca="1">INDIRECT(_xlfn.TEXTJOIN("",TRUE,A442,"!",ADDRESS(9+(A443-1)*A439,9)))</f>
        <v>240090600023</v>
      </c>
      <c r="J425" s="113"/>
    </row>
    <row r="426" spans="1:10" ht="28" customHeight="1" x14ac:dyDescent="0.2">
      <c r="A426" s="112" t="s">
        <v>25</v>
      </c>
      <c r="B426" s="112"/>
      <c r="C426" s="112" t="str">
        <f ca="1">INDIRECT(_xlfn.TEXTJOIN("",TRUE,A442,"!",ADDRESS(9+(A443-1)*A439,5)))</f>
        <v>LUV KUMAR DHYANI</v>
      </c>
      <c r="D426" s="112"/>
      <c r="E426" s="112"/>
      <c r="F426" s="114" t="s">
        <v>51</v>
      </c>
      <c r="G426" s="114"/>
      <c r="H426" s="114"/>
      <c r="I426" s="113" t="str">
        <f ca="1">INDIRECT(_xlfn.TEXTJOIN("",TRUE,A442,"!",ADDRESS(9+(A443-1)*A439,13)))</f>
        <v>UTU/2406100184</v>
      </c>
      <c r="J426" s="113"/>
    </row>
    <row r="427" spans="1:10" ht="28" customHeight="1" x14ac:dyDescent="0.2">
      <c r="A427" s="95" t="s">
        <v>28</v>
      </c>
      <c r="B427" s="95"/>
      <c r="C427" s="95" t="s">
        <v>29</v>
      </c>
      <c r="D427" s="95"/>
      <c r="E427" s="95"/>
      <c r="F427" s="95"/>
      <c r="G427" s="95"/>
      <c r="H427" s="15" t="s">
        <v>30</v>
      </c>
      <c r="I427" s="15" t="s">
        <v>9</v>
      </c>
      <c r="J427" s="15" t="s">
        <v>34</v>
      </c>
    </row>
    <row r="428" spans="1:10" ht="28" customHeight="1" x14ac:dyDescent="0.2">
      <c r="A428" s="96" t="str">
        <f ca="1">INDIRECT(_xlfn.TEXTJOIN("",TRUE,A442,"!",ADDRESS(13+(A443-1)*A439,1)))</f>
        <v>CAT 009</v>
      </c>
      <c r="B428" s="97"/>
      <c r="C428" s="106" t="str">
        <f ca="1">INDIRECT(_xlfn.TEXTJOIN("",TRUE,A442,"!",ADDRESS(13+(A443-1)*A439,2)))</f>
        <v>Computer Based Numerical and Statistical Techniques</v>
      </c>
      <c r="D428" s="107"/>
      <c r="E428" s="107"/>
      <c r="F428" s="107"/>
      <c r="G428" s="108"/>
      <c r="H428" s="20">
        <f ca="1">INDIRECT(_xlfn.TEXTJOIN("",TRUE,A442,"!",ADDRESS(13+(A443-1)*A439,6)))</f>
        <v>4</v>
      </c>
      <c r="I428" s="20" t="e">
        <f ca="1">INDIRECT(_xlfn.TEXTJOIN("",TRUE,A442,"!",ADDRESS(13+(A443-1)*A439,13)))</f>
        <v>#N/A</v>
      </c>
      <c r="J428" s="20" t="e">
        <f ca="1">INDIRECT(_xlfn.TEXTJOIN("",TRUE,A442,"!",ADDRESS(13+(A443-1)*A439,14)))</f>
        <v>#N/A</v>
      </c>
    </row>
    <row r="429" spans="1:10" ht="28" customHeight="1" x14ac:dyDescent="0.2">
      <c r="A429" s="96" t="str">
        <f ca="1">INDIRECT(_xlfn.TEXTJOIN("",TRUE,A442,"!",ADDRESS(14+(A443-1)*A439,1)))</f>
        <v>CAT 010</v>
      </c>
      <c r="B429" s="97"/>
      <c r="C429" s="106" t="str">
        <f ca="1">INDIRECT(_xlfn.TEXTJOIN("",TRUE,A442,"!",ADDRESS(14+(A443-1)*A439,2)))</f>
        <v>Data Structures and Analysis of Algorithms</v>
      </c>
      <c r="D429" s="107"/>
      <c r="E429" s="107"/>
      <c r="F429" s="107"/>
      <c r="G429" s="108"/>
      <c r="H429" s="20">
        <f ca="1">INDIRECT(_xlfn.TEXTJOIN("",TRUE,A442,"!",ADDRESS(14+(A443-1)*A439,6)))</f>
        <v>4</v>
      </c>
      <c r="I429" s="20" t="e">
        <f ca="1">INDIRECT(_xlfn.TEXTJOIN("",TRUE,A442,"!",ADDRESS(14+(A443-1)*A439,13)))</f>
        <v>#N/A</v>
      </c>
      <c r="J429" s="20" t="e">
        <f ca="1">INDIRECT(_xlfn.TEXTJOIN("",TRUE,A442,"!",ADDRESS(14+(A443-1)*A439,14)))</f>
        <v>#N/A</v>
      </c>
    </row>
    <row r="430" spans="1:10" ht="28" customHeight="1" x14ac:dyDescent="0.2">
      <c r="A430" s="96" t="str">
        <f ca="1">INDIRECT(_xlfn.TEXTJOIN("",TRUE,A442,"!",ADDRESS(15+(A443-1)*A439,1)))</f>
        <v>CAT 011</v>
      </c>
      <c r="B430" s="97"/>
      <c r="C430" s="106" t="str">
        <f ca="1">INDIRECT(_xlfn.TEXTJOIN("",TRUE,A442,"!",ADDRESS(15+(A443-1)*A439,2)))</f>
        <v>Object Oriented Programming with JAVA</v>
      </c>
      <c r="D430" s="107"/>
      <c r="E430" s="107"/>
      <c r="F430" s="107"/>
      <c r="G430" s="108"/>
      <c r="H430" s="20">
        <f ca="1">INDIRECT(_xlfn.TEXTJOIN("",TRUE,A442,"!",ADDRESS(15+(A443-1)*A439,6)))</f>
        <v>4</v>
      </c>
      <c r="I430" s="20" t="e">
        <f ca="1">INDIRECT(_xlfn.TEXTJOIN("",TRUE,A442,"!",ADDRESS(15+(A443-1)*A439,13)))</f>
        <v>#N/A</v>
      </c>
      <c r="J430" s="20" t="e">
        <f ca="1">INDIRECT(_xlfn.TEXTJOIN("",TRUE,A442,"!",ADDRESS(15+(A443-1)*A439,14)))</f>
        <v>#N/A</v>
      </c>
    </row>
    <row r="431" spans="1:10" ht="28" customHeight="1" x14ac:dyDescent="0.2">
      <c r="A431" s="96" t="str">
        <f ca="1">INDIRECT(_xlfn.TEXTJOIN("",TRUE,A442,"!",ADDRESS(16+(A443-1)*A439,1)))</f>
        <v>CAT 012</v>
      </c>
      <c r="B431" s="97"/>
      <c r="C431" s="106" t="str">
        <f ca="1">INDIRECT(_xlfn.TEXTJOIN("",TRUE,A442,"!",ADDRESS(16+(A443-1)*A439,2)))</f>
        <v>Computer Networks</v>
      </c>
      <c r="D431" s="107"/>
      <c r="E431" s="107"/>
      <c r="F431" s="107"/>
      <c r="G431" s="108"/>
      <c r="H431" s="20">
        <f ca="1">INDIRECT(_xlfn.TEXTJOIN("",TRUE,A442,"!",ADDRESS(16+(A443-1)*A439,6)))</f>
        <v>4</v>
      </c>
      <c r="I431" s="20" t="e">
        <f ca="1">INDIRECT(_xlfn.TEXTJOIN("",TRUE,A442,"!",ADDRESS(16+(A443-1)*A439,13)))</f>
        <v>#N/A</v>
      </c>
      <c r="J431" s="20" t="e">
        <f ca="1">INDIRECT(_xlfn.TEXTJOIN("",TRUE,A442,"!",ADDRESS(16+(A443-1)*A439,14)))</f>
        <v>#N/A</v>
      </c>
    </row>
    <row r="432" spans="1:10" ht="28" customHeight="1" x14ac:dyDescent="0.2">
      <c r="A432" s="96" t="str">
        <f ca="1">INDIRECT(_xlfn.TEXTJOIN("",TRUE,A442,"!",ADDRESS(17+(A443-1)*A439,1)))</f>
        <v>CAT 013</v>
      </c>
      <c r="B432" s="97"/>
      <c r="C432" s="106" t="str">
        <f ca="1">INDIRECT(_xlfn.TEXTJOIN("",TRUE,A442,"!",ADDRESS(17+(A443-1)*A439,2)))</f>
        <v>Artificial Intelligence</v>
      </c>
      <c r="D432" s="107"/>
      <c r="E432" s="107"/>
      <c r="F432" s="107"/>
      <c r="G432" s="108"/>
      <c r="H432" s="20">
        <f ca="1">INDIRECT(_xlfn.TEXTJOIN("",TRUE,A442,"!",ADDRESS(17+(A443-1)*A439,6)))</f>
        <v>4</v>
      </c>
      <c r="I432" s="20" t="e">
        <f ca="1">INDIRECT(_xlfn.TEXTJOIN("",TRUE,A442,"!",ADDRESS(17+(A443-1)*A439,13)))</f>
        <v>#N/A</v>
      </c>
      <c r="J432" s="20" t="e">
        <f ca="1">INDIRECT(_xlfn.TEXTJOIN("",TRUE,A442,"!",ADDRESS(17+(A443-1)*A439,14)))</f>
        <v>#N/A</v>
      </c>
    </row>
    <row r="433" spans="1:10" ht="28" customHeight="1" x14ac:dyDescent="0.2">
      <c r="A433" s="96" t="str">
        <f ca="1">INDIRECT(_xlfn.TEXTJOIN("",TRUE,A442,"!",ADDRESS(18+(A443-1)*A439,1)))</f>
        <v>AHT 304</v>
      </c>
      <c r="B433" s="97"/>
      <c r="C433" s="106" t="str">
        <f ca="1">INDIRECT(_xlfn.TEXTJOIN("",TRUE,A442,"!",ADDRESS(18+(A443-1)*A439,2)))</f>
        <v>Accounting and Financial Management ($)</v>
      </c>
      <c r="D433" s="107"/>
      <c r="E433" s="107"/>
      <c r="F433" s="107"/>
      <c r="G433" s="108"/>
      <c r="H433" s="20">
        <f ca="1">INDIRECT(_xlfn.TEXTJOIN("",TRUE,A442,"!",ADDRESS(18+(A443-1)*A439,6)))</f>
        <v>0</v>
      </c>
      <c r="I433" s="20" t="e">
        <f ca="1">INDIRECT(_xlfn.TEXTJOIN("",TRUE,A442,"!",ADDRESS(18+(A443-1)*A439,13)))</f>
        <v>#N/A</v>
      </c>
      <c r="J433" s="20" t="e">
        <f ca="1">INDIRECT(_xlfn.TEXTJOIN("",TRUE,A442,"!",ADDRESS(18+(A443-1)*A439,14)))</f>
        <v>#N/A</v>
      </c>
    </row>
    <row r="434" spans="1:10" ht="28" customHeight="1" x14ac:dyDescent="0.2">
      <c r="A434" s="96" t="str">
        <f ca="1">INDIRECT(_xlfn.TEXTJOIN("",TRUE,A442,"!",ADDRESS(19+(A443-1)*A439,1)))</f>
        <v>CAP 004</v>
      </c>
      <c r="B434" s="97"/>
      <c r="C434" s="106" t="str">
        <f ca="1">INDIRECT(_xlfn.TEXTJOIN("",TRUE,A442,"!",ADDRESS(19+(A443-1)*A439,2)))</f>
        <v>Data Structures and Analysis of Algorithms Lab</v>
      </c>
      <c r="D434" s="107"/>
      <c r="E434" s="107"/>
      <c r="F434" s="107"/>
      <c r="G434" s="108"/>
      <c r="H434" s="20">
        <f ca="1">INDIRECT(_xlfn.TEXTJOIN("",TRUE,A442,"!",ADDRESS(19+(A443-1)*A439,6)))</f>
        <v>1</v>
      </c>
      <c r="I434" s="20" t="e">
        <f ca="1">INDIRECT(_xlfn.TEXTJOIN("",TRUE,A442,"!",ADDRESS(19+(A443-1)*A439,13)))</f>
        <v>#N/A</v>
      </c>
      <c r="J434" s="20" t="e">
        <f ca="1">INDIRECT(_xlfn.TEXTJOIN("",TRUE,A442,"!",ADDRESS(19+(A443-1)*A439,14)))</f>
        <v>#N/A</v>
      </c>
    </row>
    <row r="435" spans="1:10" ht="28" customHeight="1" x14ac:dyDescent="0.2">
      <c r="A435" s="96" t="str">
        <f ca="1">INDIRECT(_xlfn.TEXTJOIN("",TRUE,A442,"!",ADDRESS(20+(A443-1)*A439,1)))</f>
        <v>CAP 005</v>
      </c>
      <c r="B435" s="97"/>
      <c r="C435" s="106" t="str">
        <f ca="1">INDIRECT(_xlfn.TEXTJOIN("",TRUE,A442,"!",ADDRESS(20+(A443-1)*A439,2)))</f>
        <v>Object Oriented Programming with JAVA Lab</v>
      </c>
      <c r="D435" s="107"/>
      <c r="E435" s="107"/>
      <c r="F435" s="107"/>
      <c r="G435" s="108"/>
      <c r="H435" s="20">
        <f ca="1">INDIRECT(_xlfn.TEXTJOIN("",TRUE,A442,"!",ADDRESS(20+(A443-1)*A439,6)))</f>
        <v>1</v>
      </c>
      <c r="I435" s="20" t="e">
        <f ca="1">INDIRECT(_xlfn.TEXTJOIN("",TRUE,A442,"!",ADDRESS(20+(A443-1)*A439,13)))</f>
        <v>#N/A</v>
      </c>
      <c r="J435" s="20" t="e">
        <f ca="1">INDIRECT(_xlfn.TEXTJOIN("",TRUE,A442,"!",ADDRESS(20+(A443-1)*A439,14)))</f>
        <v>#N/A</v>
      </c>
    </row>
    <row r="436" spans="1:10" ht="28" customHeight="1" x14ac:dyDescent="0.2">
      <c r="A436" s="96" t="str">
        <f ca="1">INDIRECT(_xlfn.TEXTJOIN("",TRUE,A442,"!",ADDRESS(21+(A443-1)*A439,1)))</f>
        <v>CAP 006</v>
      </c>
      <c r="B436" s="97"/>
      <c r="C436" s="106" t="str">
        <f ca="1">INDIRECT(_xlfn.TEXTJOIN("",TRUE,A442,"!",ADDRESS(21+(A443-1)*A439,2)))</f>
        <v>Computer Networks Lab</v>
      </c>
      <c r="D436" s="107"/>
      <c r="E436" s="107"/>
      <c r="F436" s="107"/>
      <c r="G436" s="108"/>
      <c r="H436" s="20">
        <f ca="1">INDIRECT(_xlfn.TEXTJOIN("",TRUE,A442,"!",ADDRESS(21+(A443-1)*A439,6)))</f>
        <v>1</v>
      </c>
      <c r="I436" s="20" t="e">
        <f ca="1">INDIRECT(_xlfn.TEXTJOIN("",TRUE,A442,"!",ADDRESS(21+(A443-1)*A439,13)))</f>
        <v>#N/A</v>
      </c>
      <c r="J436" s="20" t="e">
        <f ca="1">INDIRECT(_xlfn.TEXTJOIN("",TRUE,A442,"!",ADDRESS(21+(A443-1)*A439,14)))</f>
        <v>#N/A</v>
      </c>
    </row>
    <row r="437" spans="1:10" ht="28" customHeight="1" x14ac:dyDescent="0.2">
      <c r="A437" s="96" t="str">
        <f ca="1">INDIRECT(_xlfn.TEXTJOIN("",TRUE,A442,"!",ADDRESS(22+(A443-1)*A439,1)))</f>
        <v>CAP 007</v>
      </c>
      <c r="B437" s="97"/>
      <c r="C437" s="106" t="str">
        <f ca="1">INDIRECT(_xlfn.TEXTJOIN("",TRUE,A442,"!",ADDRESS(22+(A443-1)*A439,2)))</f>
        <v>Artificial Intelligence Lab</v>
      </c>
      <c r="D437" s="107"/>
      <c r="E437" s="107"/>
      <c r="F437" s="107"/>
      <c r="G437" s="108"/>
      <c r="H437" s="20">
        <f ca="1">INDIRECT(_xlfn.TEXTJOIN("",TRUE,A442,"!",ADDRESS(22+(A443-1)*A439,6)))</f>
        <v>1</v>
      </c>
      <c r="I437" s="20" t="e">
        <f ca="1">INDIRECT(_xlfn.TEXTJOIN("",TRUE,A442,"!",ADDRESS(22+(A443-1)*A439,13)))</f>
        <v>#N/A</v>
      </c>
      <c r="J437" s="20" t="e">
        <f ca="1">INDIRECT(_xlfn.TEXTJOIN("",TRUE,A442,"!",ADDRESS(22+(A443-1)*A439,14)))</f>
        <v>#N/A</v>
      </c>
    </row>
    <row r="438" spans="1:10" ht="28" customHeight="1" x14ac:dyDescent="0.2">
      <c r="A438" s="118" t="s">
        <v>52</v>
      </c>
      <c r="B438" s="118"/>
      <c r="C438" s="118"/>
      <c r="D438" s="118"/>
      <c r="E438" s="118"/>
      <c r="F438" s="118"/>
      <c r="G438" s="118"/>
      <c r="H438" s="16">
        <f ca="1">SUM(H428:H437)</f>
        <v>24</v>
      </c>
      <c r="I438" s="16" t="s">
        <v>44</v>
      </c>
      <c r="J438" s="16" t="e">
        <f ca="1">SUMPRODUCT(J428:J437,H428:H437)</f>
        <v>#N/A</v>
      </c>
    </row>
    <row r="439" spans="1:10" ht="28" customHeight="1" x14ac:dyDescent="0.2">
      <c r="A439" s="22">
        <f>ROWS(A428:B437)+9</f>
        <v>19</v>
      </c>
      <c r="B439" s="17"/>
      <c r="C439" s="17"/>
      <c r="D439" s="17"/>
      <c r="E439" s="17"/>
      <c r="F439" s="17"/>
      <c r="G439" s="17"/>
      <c r="H439" s="17"/>
      <c r="I439" s="17"/>
      <c r="J439" s="17"/>
    </row>
    <row r="440" spans="1:10" ht="28" customHeight="1" x14ac:dyDescent="0.2">
      <c r="A440" s="120" t="s">
        <v>40</v>
      </c>
      <c r="B440" s="120"/>
      <c r="C440" s="21">
        <f ca="1">INDIRECT(_xlfn.TEXTJOIN("",TRUE,A442,"!",ADDRESS(5+A443*A439,12)))</f>
        <v>0</v>
      </c>
      <c r="D440" s="120" t="s">
        <v>38</v>
      </c>
      <c r="E440" s="120"/>
      <c r="F440" s="18" t="e">
        <f ca="1">INDIRECT(_xlfn.TEXTJOIN("",TRUE,A442,"!",ADDRESS(5+A443*A439,8)))</f>
        <v>#N/A</v>
      </c>
      <c r="G440" s="120" t="s">
        <v>39</v>
      </c>
      <c r="H440" s="120"/>
      <c r="I440" s="109" t="e">
        <f ca="1">INDIRECT(_xlfn.TEXTJOIN("",TRUE,A442,"!",ADDRESS(5+A443*A439,10)))</f>
        <v>#N/A</v>
      </c>
      <c r="J440" s="109"/>
    </row>
    <row r="441" spans="1:10" ht="28" customHeight="1" x14ac:dyDescent="0.2">
      <c r="A441" s="19" t="s">
        <v>36</v>
      </c>
      <c r="B441" s="95" t="e">
        <f ca="1">INDIRECT(_xlfn.TEXTJOIN("",TRUE,A442,"!",ADDRESS(5+A443*A439,2)))</f>
        <v>#N/A</v>
      </c>
      <c r="C441" s="95"/>
      <c r="D441" s="121" t="s">
        <v>37</v>
      </c>
      <c r="E441" s="121"/>
      <c r="F441" s="122" t="e">
        <f ca="1">INDIRECT(_xlfn.TEXTJOIN("",TRUE,A442,"!",ADDRESS(5+A443*A439,5)))</f>
        <v>#N/A</v>
      </c>
      <c r="G441" s="122"/>
      <c r="H441" s="122"/>
      <c r="I441" s="122"/>
      <c r="J441" s="122"/>
    </row>
    <row r="442" spans="1:10" ht="28" customHeight="1" x14ac:dyDescent="0.2">
      <c r="A442" s="22" t="str">
        <f>A423</f>
        <v>TC_II</v>
      </c>
    </row>
    <row r="443" spans="1:10" ht="28" customHeight="1" x14ac:dyDescent="0.2">
      <c r="A443" s="22">
        <f>A424+1</f>
        <v>23</v>
      </c>
    </row>
    <row r="444" spans="1:10" ht="28" customHeight="1" x14ac:dyDescent="0.2">
      <c r="A444" s="112" t="s">
        <v>24</v>
      </c>
      <c r="B444" s="112"/>
      <c r="C444" s="112" t="str">
        <f ca="1">INDIRECT(_xlfn.TEXTJOIN("",TRUE,A461,"!",ADDRESS(9+(A462-1)*A458,2)))</f>
        <v>SIDDHARTH PATWAL</v>
      </c>
      <c r="D444" s="112"/>
      <c r="E444" s="112"/>
      <c r="F444" s="112" t="s">
        <v>50</v>
      </c>
      <c r="G444" s="112"/>
      <c r="H444" s="112"/>
      <c r="I444" s="113">
        <f ca="1">INDIRECT(_xlfn.TEXTJOIN("",TRUE,A461,"!",ADDRESS(9+(A462-1)*A458,9)))</f>
        <v>240090600024</v>
      </c>
      <c r="J444" s="113"/>
    </row>
    <row r="445" spans="1:10" ht="28" customHeight="1" x14ac:dyDescent="0.2">
      <c r="A445" s="112" t="s">
        <v>25</v>
      </c>
      <c r="B445" s="112"/>
      <c r="C445" s="112" t="str">
        <f ca="1">INDIRECT(_xlfn.TEXTJOIN("",TRUE,A461,"!",ADDRESS(9+(A462-1)*A458,5)))</f>
        <v>MANOJ PATWAL</v>
      </c>
      <c r="D445" s="112"/>
      <c r="E445" s="112"/>
      <c r="F445" s="114" t="s">
        <v>51</v>
      </c>
      <c r="G445" s="114"/>
      <c r="H445" s="114"/>
      <c r="I445" s="113" t="str">
        <f ca="1">INDIRECT(_xlfn.TEXTJOIN("",TRUE,A461,"!",ADDRESS(9+(A462-1)*A458,13)))</f>
        <v>UTU/2406100190</v>
      </c>
      <c r="J445" s="113"/>
    </row>
    <row r="446" spans="1:10" ht="28" customHeight="1" x14ac:dyDescent="0.2">
      <c r="A446" s="95" t="s">
        <v>28</v>
      </c>
      <c r="B446" s="95"/>
      <c r="C446" s="95" t="s">
        <v>29</v>
      </c>
      <c r="D446" s="95"/>
      <c r="E446" s="95"/>
      <c r="F446" s="95"/>
      <c r="G446" s="95"/>
      <c r="H446" s="15" t="s">
        <v>30</v>
      </c>
      <c r="I446" s="15" t="s">
        <v>9</v>
      </c>
      <c r="J446" s="15" t="s">
        <v>34</v>
      </c>
    </row>
    <row r="447" spans="1:10" ht="28" customHeight="1" x14ac:dyDescent="0.2">
      <c r="A447" s="96" t="str">
        <f ca="1">INDIRECT(_xlfn.TEXTJOIN("",TRUE,A461,"!",ADDRESS(13+(A462-1)*A458,1)))</f>
        <v>CAT 009</v>
      </c>
      <c r="B447" s="97"/>
      <c r="C447" s="106" t="str">
        <f ca="1">INDIRECT(_xlfn.TEXTJOIN("",TRUE,A461,"!",ADDRESS(13+(A462-1)*A458,2)))</f>
        <v>Computer Based Numerical and Statistical Techniques</v>
      </c>
      <c r="D447" s="107"/>
      <c r="E447" s="107"/>
      <c r="F447" s="107"/>
      <c r="G447" s="108"/>
      <c r="H447" s="20">
        <f ca="1">INDIRECT(_xlfn.TEXTJOIN("",TRUE,A461,"!",ADDRESS(13+(A462-1)*A458,6)))</f>
        <v>4</v>
      </c>
      <c r="I447" s="20" t="e">
        <f ca="1">INDIRECT(_xlfn.TEXTJOIN("",TRUE,A461,"!",ADDRESS(13+(A462-1)*A458,13)))</f>
        <v>#N/A</v>
      </c>
      <c r="J447" s="20" t="e">
        <f ca="1">INDIRECT(_xlfn.TEXTJOIN("",TRUE,A461,"!",ADDRESS(13+(A462-1)*A458,14)))</f>
        <v>#N/A</v>
      </c>
    </row>
    <row r="448" spans="1:10" ht="28" customHeight="1" x14ac:dyDescent="0.2">
      <c r="A448" s="96" t="str">
        <f ca="1">INDIRECT(_xlfn.TEXTJOIN("",TRUE,A461,"!",ADDRESS(14+(A462-1)*A458,1)))</f>
        <v>CAT 010</v>
      </c>
      <c r="B448" s="97"/>
      <c r="C448" s="106" t="str">
        <f ca="1">INDIRECT(_xlfn.TEXTJOIN("",TRUE,A461,"!",ADDRESS(14+(A462-1)*A458,2)))</f>
        <v>Data Structures and Analysis of Algorithms</v>
      </c>
      <c r="D448" s="107"/>
      <c r="E448" s="107"/>
      <c r="F448" s="107"/>
      <c r="G448" s="108"/>
      <c r="H448" s="20">
        <f ca="1">INDIRECT(_xlfn.TEXTJOIN("",TRUE,A461,"!",ADDRESS(14+(A462-1)*A458,6)))</f>
        <v>4</v>
      </c>
      <c r="I448" s="20" t="e">
        <f ca="1">INDIRECT(_xlfn.TEXTJOIN("",TRUE,A461,"!",ADDRESS(14+(A462-1)*A458,13)))</f>
        <v>#N/A</v>
      </c>
      <c r="J448" s="20" t="e">
        <f ca="1">INDIRECT(_xlfn.TEXTJOIN("",TRUE,A461,"!",ADDRESS(14+(A462-1)*A458,14)))</f>
        <v>#N/A</v>
      </c>
    </row>
    <row r="449" spans="1:10" ht="28" customHeight="1" x14ac:dyDescent="0.2">
      <c r="A449" s="96" t="str">
        <f ca="1">INDIRECT(_xlfn.TEXTJOIN("",TRUE,A461,"!",ADDRESS(15+(A462-1)*A458,1)))</f>
        <v>CAT 011</v>
      </c>
      <c r="B449" s="97"/>
      <c r="C449" s="106" t="str">
        <f ca="1">INDIRECT(_xlfn.TEXTJOIN("",TRUE,A461,"!",ADDRESS(15+(A462-1)*A458,2)))</f>
        <v>Object Oriented Programming with JAVA</v>
      </c>
      <c r="D449" s="107"/>
      <c r="E449" s="107"/>
      <c r="F449" s="107"/>
      <c r="G449" s="108"/>
      <c r="H449" s="20">
        <f ca="1">INDIRECT(_xlfn.TEXTJOIN("",TRUE,A461,"!",ADDRESS(15+(A462-1)*A458,6)))</f>
        <v>4</v>
      </c>
      <c r="I449" s="20" t="e">
        <f ca="1">INDIRECT(_xlfn.TEXTJOIN("",TRUE,A461,"!",ADDRESS(15+(A462-1)*A458,13)))</f>
        <v>#N/A</v>
      </c>
      <c r="J449" s="20" t="e">
        <f ca="1">INDIRECT(_xlfn.TEXTJOIN("",TRUE,A461,"!",ADDRESS(15+(A462-1)*A458,14)))</f>
        <v>#N/A</v>
      </c>
    </row>
    <row r="450" spans="1:10" ht="28" customHeight="1" x14ac:dyDescent="0.2">
      <c r="A450" s="96" t="str">
        <f ca="1">INDIRECT(_xlfn.TEXTJOIN("",TRUE,A461,"!",ADDRESS(16+(A462-1)*A458,1)))</f>
        <v>CAT 012</v>
      </c>
      <c r="B450" s="97"/>
      <c r="C450" s="106" t="str">
        <f ca="1">INDIRECT(_xlfn.TEXTJOIN("",TRUE,A461,"!",ADDRESS(16+(A462-1)*A458,2)))</f>
        <v>Computer Networks</v>
      </c>
      <c r="D450" s="107"/>
      <c r="E450" s="107"/>
      <c r="F450" s="107"/>
      <c r="G450" s="108"/>
      <c r="H450" s="20">
        <f ca="1">INDIRECT(_xlfn.TEXTJOIN("",TRUE,A461,"!",ADDRESS(16+(A462-1)*A458,6)))</f>
        <v>4</v>
      </c>
      <c r="I450" s="20" t="e">
        <f ca="1">INDIRECT(_xlfn.TEXTJOIN("",TRUE,A461,"!",ADDRESS(16+(A462-1)*A458,13)))</f>
        <v>#N/A</v>
      </c>
      <c r="J450" s="20" t="e">
        <f ca="1">INDIRECT(_xlfn.TEXTJOIN("",TRUE,A461,"!",ADDRESS(16+(A462-1)*A458,14)))</f>
        <v>#N/A</v>
      </c>
    </row>
    <row r="451" spans="1:10" ht="28" customHeight="1" x14ac:dyDescent="0.2">
      <c r="A451" s="96" t="str">
        <f ca="1">INDIRECT(_xlfn.TEXTJOIN("",TRUE,A461,"!",ADDRESS(17+(A462-1)*A458,1)))</f>
        <v>CAT 013</v>
      </c>
      <c r="B451" s="97"/>
      <c r="C451" s="106" t="str">
        <f ca="1">INDIRECT(_xlfn.TEXTJOIN("",TRUE,A461,"!",ADDRESS(17+(A462-1)*A458,2)))</f>
        <v>Artificial Intelligence</v>
      </c>
      <c r="D451" s="107"/>
      <c r="E451" s="107"/>
      <c r="F451" s="107"/>
      <c r="G451" s="108"/>
      <c r="H451" s="20">
        <f ca="1">INDIRECT(_xlfn.TEXTJOIN("",TRUE,A461,"!",ADDRESS(17+(A462-1)*A458,6)))</f>
        <v>4</v>
      </c>
      <c r="I451" s="20" t="e">
        <f ca="1">INDIRECT(_xlfn.TEXTJOIN("",TRUE,A461,"!",ADDRESS(17+(A462-1)*A458,13)))</f>
        <v>#N/A</v>
      </c>
      <c r="J451" s="20" t="e">
        <f ca="1">INDIRECT(_xlfn.TEXTJOIN("",TRUE,A461,"!",ADDRESS(17+(A462-1)*A458,14)))</f>
        <v>#N/A</v>
      </c>
    </row>
    <row r="452" spans="1:10" ht="28" customHeight="1" x14ac:dyDescent="0.2">
      <c r="A452" s="96" t="str">
        <f ca="1">INDIRECT(_xlfn.TEXTJOIN("",TRUE,A461,"!",ADDRESS(18+(A462-1)*A458,1)))</f>
        <v>AHT 304</v>
      </c>
      <c r="B452" s="97"/>
      <c r="C452" s="106" t="str">
        <f ca="1">INDIRECT(_xlfn.TEXTJOIN("",TRUE,A461,"!",ADDRESS(18+(A462-1)*A458,2)))</f>
        <v>Accounting and Financial Management ($)</v>
      </c>
      <c r="D452" s="107"/>
      <c r="E452" s="107"/>
      <c r="F452" s="107"/>
      <c r="G452" s="108"/>
      <c r="H452" s="20">
        <f ca="1">INDIRECT(_xlfn.TEXTJOIN("",TRUE,A461,"!",ADDRESS(18+(A462-1)*A458,6)))</f>
        <v>0</v>
      </c>
      <c r="I452" s="20" t="e">
        <f ca="1">INDIRECT(_xlfn.TEXTJOIN("",TRUE,A461,"!",ADDRESS(18+(A462-1)*A458,13)))</f>
        <v>#N/A</v>
      </c>
      <c r="J452" s="20" t="e">
        <f ca="1">INDIRECT(_xlfn.TEXTJOIN("",TRUE,A461,"!",ADDRESS(18+(A462-1)*A458,14)))</f>
        <v>#N/A</v>
      </c>
    </row>
    <row r="453" spans="1:10" ht="28" customHeight="1" x14ac:dyDescent="0.2">
      <c r="A453" s="96" t="str">
        <f ca="1">INDIRECT(_xlfn.TEXTJOIN("",TRUE,A461,"!",ADDRESS(19+(A462-1)*A458,1)))</f>
        <v>CAP 004</v>
      </c>
      <c r="B453" s="97"/>
      <c r="C453" s="106" t="str">
        <f ca="1">INDIRECT(_xlfn.TEXTJOIN("",TRUE,A461,"!",ADDRESS(19+(A462-1)*A458,2)))</f>
        <v>Data Structures and Analysis of Algorithms Lab</v>
      </c>
      <c r="D453" s="107"/>
      <c r="E453" s="107"/>
      <c r="F453" s="107"/>
      <c r="G453" s="108"/>
      <c r="H453" s="20">
        <f ca="1">INDIRECT(_xlfn.TEXTJOIN("",TRUE,A461,"!",ADDRESS(19+(A462-1)*A458,6)))</f>
        <v>1</v>
      </c>
      <c r="I453" s="20" t="e">
        <f ca="1">INDIRECT(_xlfn.TEXTJOIN("",TRUE,A461,"!",ADDRESS(19+(A462-1)*A458,13)))</f>
        <v>#N/A</v>
      </c>
      <c r="J453" s="20" t="e">
        <f ca="1">INDIRECT(_xlfn.TEXTJOIN("",TRUE,A461,"!",ADDRESS(19+(A462-1)*A458,14)))</f>
        <v>#N/A</v>
      </c>
    </row>
    <row r="454" spans="1:10" ht="28" customHeight="1" x14ac:dyDescent="0.2">
      <c r="A454" s="96" t="str">
        <f ca="1">INDIRECT(_xlfn.TEXTJOIN("",TRUE,A461,"!",ADDRESS(20+(A462-1)*A458,1)))</f>
        <v>CAP 005</v>
      </c>
      <c r="B454" s="97"/>
      <c r="C454" s="106" t="str">
        <f ca="1">INDIRECT(_xlfn.TEXTJOIN("",TRUE,A461,"!",ADDRESS(20+(A462-1)*A458,2)))</f>
        <v>Object Oriented Programming with JAVA Lab</v>
      </c>
      <c r="D454" s="107"/>
      <c r="E454" s="107"/>
      <c r="F454" s="107"/>
      <c r="G454" s="108"/>
      <c r="H454" s="20">
        <f ca="1">INDIRECT(_xlfn.TEXTJOIN("",TRUE,A461,"!",ADDRESS(20+(A462-1)*A458,6)))</f>
        <v>1</v>
      </c>
      <c r="I454" s="20" t="e">
        <f ca="1">INDIRECT(_xlfn.TEXTJOIN("",TRUE,A461,"!",ADDRESS(20+(A462-1)*A458,13)))</f>
        <v>#N/A</v>
      </c>
      <c r="J454" s="20" t="e">
        <f ca="1">INDIRECT(_xlfn.TEXTJOIN("",TRUE,A461,"!",ADDRESS(20+(A462-1)*A458,14)))</f>
        <v>#N/A</v>
      </c>
    </row>
    <row r="455" spans="1:10" ht="28" customHeight="1" x14ac:dyDescent="0.2">
      <c r="A455" s="96" t="str">
        <f ca="1">INDIRECT(_xlfn.TEXTJOIN("",TRUE,A461,"!",ADDRESS(21+(A462-1)*A458,1)))</f>
        <v>CAP 006</v>
      </c>
      <c r="B455" s="97"/>
      <c r="C455" s="106" t="str">
        <f ca="1">INDIRECT(_xlfn.TEXTJOIN("",TRUE,A461,"!",ADDRESS(21+(A462-1)*A458,2)))</f>
        <v>Computer Networks Lab</v>
      </c>
      <c r="D455" s="107"/>
      <c r="E455" s="107"/>
      <c r="F455" s="107"/>
      <c r="G455" s="108"/>
      <c r="H455" s="20">
        <f ca="1">INDIRECT(_xlfn.TEXTJOIN("",TRUE,A461,"!",ADDRESS(21+(A462-1)*A458,6)))</f>
        <v>1</v>
      </c>
      <c r="I455" s="20" t="e">
        <f ca="1">INDIRECT(_xlfn.TEXTJOIN("",TRUE,A461,"!",ADDRESS(21+(A462-1)*A458,13)))</f>
        <v>#N/A</v>
      </c>
      <c r="J455" s="20" t="e">
        <f ca="1">INDIRECT(_xlfn.TEXTJOIN("",TRUE,A461,"!",ADDRESS(21+(A462-1)*A458,14)))</f>
        <v>#N/A</v>
      </c>
    </row>
    <row r="456" spans="1:10" ht="28" customHeight="1" x14ac:dyDescent="0.2">
      <c r="A456" s="96" t="str">
        <f ca="1">INDIRECT(_xlfn.TEXTJOIN("",TRUE,A461,"!",ADDRESS(22+(A462-1)*A458,1)))</f>
        <v>CAP 007</v>
      </c>
      <c r="B456" s="97"/>
      <c r="C456" s="106" t="str">
        <f ca="1">INDIRECT(_xlfn.TEXTJOIN("",TRUE,A461,"!",ADDRESS(22+(A462-1)*A458,2)))</f>
        <v>Artificial Intelligence Lab</v>
      </c>
      <c r="D456" s="107"/>
      <c r="E456" s="107"/>
      <c r="F456" s="107"/>
      <c r="G456" s="108"/>
      <c r="H456" s="20">
        <f ca="1">INDIRECT(_xlfn.TEXTJOIN("",TRUE,A461,"!",ADDRESS(22+(A462-1)*A458,6)))</f>
        <v>1</v>
      </c>
      <c r="I456" s="20" t="e">
        <f ca="1">INDIRECT(_xlfn.TEXTJOIN("",TRUE,A461,"!",ADDRESS(22+(A462-1)*A458,13)))</f>
        <v>#N/A</v>
      </c>
      <c r="J456" s="20" t="e">
        <f ca="1">INDIRECT(_xlfn.TEXTJOIN("",TRUE,A461,"!",ADDRESS(22+(A462-1)*A458,14)))</f>
        <v>#N/A</v>
      </c>
    </row>
    <row r="457" spans="1:10" ht="28" customHeight="1" x14ac:dyDescent="0.2">
      <c r="A457" s="118" t="s">
        <v>52</v>
      </c>
      <c r="B457" s="118"/>
      <c r="C457" s="118"/>
      <c r="D457" s="118"/>
      <c r="E457" s="118"/>
      <c r="F457" s="118"/>
      <c r="G457" s="118"/>
      <c r="H457" s="16">
        <f ca="1">SUM(H447:H456)</f>
        <v>24</v>
      </c>
      <c r="I457" s="16" t="s">
        <v>44</v>
      </c>
      <c r="J457" s="16" t="e">
        <f ca="1">SUMPRODUCT(J447:J456,H447:H456)</f>
        <v>#N/A</v>
      </c>
    </row>
    <row r="458" spans="1:10" ht="28" customHeight="1" x14ac:dyDescent="0.2">
      <c r="A458" s="22">
        <f>ROWS(A447:B456)+9</f>
        <v>19</v>
      </c>
      <c r="B458" s="17"/>
      <c r="C458" s="17"/>
      <c r="D458" s="17"/>
      <c r="E458" s="17"/>
      <c r="F458" s="17"/>
      <c r="G458" s="17"/>
      <c r="H458" s="17"/>
      <c r="I458" s="17"/>
      <c r="J458" s="17"/>
    </row>
    <row r="459" spans="1:10" ht="28" customHeight="1" x14ac:dyDescent="0.2">
      <c r="A459" s="120" t="s">
        <v>40</v>
      </c>
      <c r="B459" s="120"/>
      <c r="C459" s="21">
        <f ca="1">INDIRECT(_xlfn.TEXTJOIN("",TRUE,A461,"!",ADDRESS(5+A462*A458,12)))</f>
        <v>0</v>
      </c>
      <c r="D459" s="120" t="s">
        <v>38</v>
      </c>
      <c r="E459" s="120"/>
      <c r="F459" s="18" t="e">
        <f ca="1">INDIRECT(_xlfn.TEXTJOIN("",TRUE,A461,"!",ADDRESS(5+A462*A458,8)))</f>
        <v>#N/A</v>
      </c>
      <c r="G459" s="120" t="s">
        <v>39</v>
      </c>
      <c r="H459" s="120"/>
      <c r="I459" s="109" t="e">
        <f ca="1">INDIRECT(_xlfn.TEXTJOIN("",TRUE,A461,"!",ADDRESS(5+A462*A458,10)))</f>
        <v>#N/A</v>
      </c>
      <c r="J459" s="109"/>
    </row>
    <row r="460" spans="1:10" ht="28" customHeight="1" x14ac:dyDescent="0.2">
      <c r="A460" s="19" t="s">
        <v>36</v>
      </c>
      <c r="B460" s="95" t="e">
        <f ca="1">INDIRECT(_xlfn.TEXTJOIN("",TRUE,A461,"!",ADDRESS(5+A462*A458,2)))</f>
        <v>#N/A</v>
      </c>
      <c r="C460" s="95"/>
      <c r="D460" s="121" t="s">
        <v>37</v>
      </c>
      <c r="E460" s="121"/>
      <c r="F460" s="122" t="e">
        <f ca="1">INDIRECT(_xlfn.TEXTJOIN("",TRUE,A461,"!",ADDRESS(5+A462*A458,5)))</f>
        <v>#N/A</v>
      </c>
      <c r="G460" s="122"/>
      <c r="H460" s="122"/>
      <c r="I460" s="122"/>
      <c r="J460" s="122"/>
    </row>
    <row r="461" spans="1:10" ht="28" customHeight="1" x14ac:dyDescent="0.2">
      <c r="A461" s="22" t="str">
        <f>A442</f>
        <v>TC_II</v>
      </c>
    </row>
    <row r="462" spans="1:10" ht="28" customHeight="1" x14ac:dyDescent="0.2">
      <c r="A462" s="22">
        <f>A443+1</f>
        <v>24</v>
      </c>
    </row>
    <row r="463" spans="1:10" ht="28" customHeight="1" x14ac:dyDescent="0.2">
      <c r="A463" s="112" t="s">
        <v>24</v>
      </c>
      <c r="B463" s="112"/>
      <c r="C463" s="112" t="str">
        <f ca="1">INDIRECT(_xlfn.TEXTJOIN("",TRUE,A480,"!",ADDRESS(9+(A481-1)*A477,2)))</f>
        <v>SURAJ SINGH BISHT</v>
      </c>
      <c r="D463" s="112"/>
      <c r="E463" s="112"/>
      <c r="F463" s="112" t="s">
        <v>50</v>
      </c>
      <c r="G463" s="112"/>
      <c r="H463" s="112"/>
      <c r="I463" s="113">
        <f ca="1">INDIRECT(_xlfn.TEXTJOIN("",TRUE,A480,"!",ADDRESS(9+(A481-1)*A477,9)))</f>
        <v>240090600025</v>
      </c>
      <c r="J463" s="113"/>
    </row>
    <row r="464" spans="1:10" ht="28" customHeight="1" x14ac:dyDescent="0.2">
      <c r="A464" s="112" t="s">
        <v>25</v>
      </c>
      <c r="B464" s="112"/>
      <c r="C464" s="112" t="str">
        <f ca="1">INDIRECT(_xlfn.TEXTJOIN("",TRUE,A480,"!",ADDRESS(9+(A481-1)*A477,5)))</f>
        <v>KHUSHAL SINGH</v>
      </c>
      <c r="D464" s="112"/>
      <c r="E464" s="112"/>
      <c r="F464" s="114" t="s">
        <v>51</v>
      </c>
      <c r="G464" s="114"/>
      <c r="H464" s="114"/>
      <c r="I464" s="113" t="str">
        <f ca="1">INDIRECT(_xlfn.TEXTJOIN("",TRUE,A480,"!",ADDRESS(9+(A481-1)*A477,13)))</f>
        <v>UTU/2406100189</v>
      </c>
      <c r="J464" s="113"/>
    </row>
    <row r="465" spans="1:10" ht="28" customHeight="1" x14ac:dyDescent="0.2">
      <c r="A465" s="95" t="s">
        <v>28</v>
      </c>
      <c r="B465" s="95"/>
      <c r="C465" s="95" t="s">
        <v>29</v>
      </c>
      <c r="D465" s="95"/>
      <c r="E465" s="95"/>
      <c r="F465" s="95"/>
      <c r="G465" s="95"/>
      <c r="H465" s="15" t="s">
        <v>30</v>
      </c>
      <c r="I465" s="15" t="s">
        <v>9</v>
      </c>
      <c r="J465" s="15" t="s">
        <v>34</v>
      </c>
    </row>
    <row r="466" spans="1:10" ht="28" customHeight="1" x14ac:dyDescent="0.2">
      <c r="A466" s="96" t="str">
        <f ca="1">INDIRECT(_xlfn.TEXTJOIN("",TRUE,A480,"!",ADDRESS(13+(A481-1)*A477,1)))</f>
        <v>CAT 009</v>
      </c>
      <c r="B466" s="97"/>
      <c r="C466" s="106" t="str">
        <f ca="1">INDIRECT(_xlfn.TEXTJOIN("",TRUE,A480,"!",ADDRESS(13+(A481-1)*A477,2)))</f>
        <v>Computer Based Numerical and Statistical Techniques</v>
      </c>
      <c r="D466" s="107"/>
      <c r="E466" s="107"/>
      <c r="F466" s="107"/>
      <c r="G466" s="108"/>
      <c r="H466" s="20">
        <f ca="1">INDIRECT(_xlfn.TEXTJOIN("",TRUE,A480,"!",ADDRESS(13+(A481-1)*A477,6)))</f>
        <v>4</v>
      </c>
      <c r="I466" s="20" t="e">
        <f ca="1">INDIRECT(_xlfn.TEXTJOIN("",TRUE,A480,"!",ADDRESS(13+(A481-1)*A477,13)))</f>
        <v>#N/A</v>
      </c>
      <c r="J466" s="20" t="e">
        <f ca="1">INDIRECT(_xlfn.TEXTJOIN("",TRUE,A480,"!",ADDRESS(13+(A481-1)*A477,14)))</f>
        <v>#N/A</v>
      </c>
    </row>
    <row r="467" spans="1:10" ht="28" customHeight="1" x14ac:dyDescent="0.2">
      <c r="A467" s="96" t="str">
        <f ca="1">INDIRECT(_xlfn.TEXTJOIN("",TRUE,A480,"!",ADDRESS(14+(A481-1)*A477,1)))</f>
        <v>CAT 010</v>
      </c>
      <c r="B467" s="97"/>
      <c r="C467" s="106" t="str">
        <f ca="1">INDIRECT(_xlfn.TEXTJOIN("",TRUE,A480,"!",ADDRESS(14+(A481-1)*A477,2)))</f>
        <v>Data Structures and Analysis of Algorithms</v>
      </c>
      <c r="D467" s="107"/>
      <c r="E467" s="107"/>
      <c r="F467" s="107"/>
      <c r="G467" s="108"/>
      <c r="H467" s="20">
        <f ca="1">INDIRECT(_xlfn.TEXTJOIN("",TRUE,A480,"!",ADDRESS(14+(A481-1)*A477,6)))</f>
        <v>4</v>
      </c>
      <c r="I467" s="20" t="e">
        <f ca="1">INDIRECT(_xlfn.TEXTJOIN("",TRUE,A480,"!",ADDRESS(14+(A481-1)*A477,13)))</f>
        <v>#N/A</v>
      </c>
      <c r="J467" s="20" t="e">
        <f ca="1">INDIRECT(_xlfn.TEXTJOIN("",TRUE,A480,"!",ADDRESS(14+(A481-1)*A477,14)))</f>
        <v>#N/A</v>
      </c>
    </row>
    <row r="468" spans="1:10" ht="28" customHeight="1" x14ac:dyDescent="0.2">
      <c r="A468" s="96" t="str">
        <f ca="1">INDIRECT(_xlfn.TEXTJOIN("",TRUE,A480,"!",ADDRESS(15+(A481-1)*A477,1)))</f>
        <v>CAT 011</v>
      </c>
      <c r="B468" s="97"/>
      <c r="C468" s="106" t="str">
        <f ca="1">INDIRECT(_xlfn.TEXTJOIN("",TRUE,A480,"!",ADDRESS(15+(A481-1)*A477,2)))</f>
        <v>Object Oriented Programming with JAVA</v>
      </c>
      <c r="D468" s="107"/>
      <c r="E468" s="107"/>
      <c r="F468" s="107"/>
      <c r="G468" s="108"/>
      <c r="H468" s="20">
        <f ca="1">INDIRECT(_xlfn.TEXTJOIN("",TRUE,A480,"!",ADDRESS(15+(A481-1)*A477,6)))</f>
        <v>4</v>
      </c>
      <c r="I468" s="20" t="e">
        <f ca="1">INDIRECT(_xlfn.TEXTJOIN("",TRUE,A480,"!",ADDRESS(15+(A481-1)*A477,13)))</f>
        <v>#N/A</v>
      </c>
      <c r="J468" s="20" t="e">
        <f ca="1">INDIRECT(_xlfn.TEXTJOIN("",TRUE,A480,"!",ADDRESS(15+(A481-1)*A477,14)))</f>
        <v>#N/A</v>
      </c>
    </row>
    <row r="469" spans="1:10" ht="28" customHeight="1" x14ac:dyDescent="0.2">
      <c r="A469" s="96" t="str">
        <f ca="1">INDIRECT(_xlfn.TEXTJOIN("",TRUE,A480,"!",ADDRESS(16+(A481-1)*A477,1)))</f>
        <v>CAT 012</v>
      </c>
      <c r="B469" s="97"/>
      <c r="C469" s="106" t="str">
        <f ca="1">INDIRECT(_xlfn.TEXTJOIN("",TRUE,A480,"!",ADDRESS(16+(A481-1)*A477,2)))</f>
        <v>Computer Networks</v>
      </c>
      <c r="D469" s="107"/>
      <c r="E469" s="107"/>
      <c r="F469" s="107"/>
      <c r="G469" s="108"/>
      <c r="H469" s="20">
        <f ca="1">INDIRECT(_xlfn.TEXTJOIN("",TRUE,A480,"!",ADDRESS(16+(A481-1)*A477,6)))</f>
        <v>4</v>
      </c>
      <c r="I469" s="20" t="e">
        <f ca="1">INDIRECT(_xlfn.TEXTJOIN("",TRUE,A480,"!",ADDRESS(16+(A481-1)*A477,13)))</f>
        <v>#N/A</v>
      </c>
      <c r="J469" s="20" t="e">
        <f ca="1">INDIRECT(_xlfn.TEXTJOIN("",TRUE,A480,"!",ADDRESS(16+(A481-1)*A477,14)))</f>
        <v>#N/A</v>
      </c>
    </row>
    <row r="470" spans="1:10" ht="28" customHeight="1" x14ac:dyDescent="0.2">
      <c r="A470" s="96" t="str">
        <f ca="1">INDIRECT(_xlfn.TEXTJOIN("",TRUE,A480,"!",ADDRESS(17+(A481-1)*A477,1)))</f>
        <v>CAT 013</v>
      </c>
      <c r="B470" s="97"/>
      <c r="C470" s="106" t="str">
        <f ca="1">INDIRECT(_xlfn.TEXTJOIN("",TRUE,A480,"!",ADDRESS(17+(A481-1)*A477,2)))</f>
        <v>Artificial Intelligence</v>
      </c>
      <c r="D470" s="107"/>
      <c r="E470" s="107"/>
      <c r="F470" s="107"/>
      <c r="G470" s="108"/>
      <c r="H470" s="20">
        <f ca="1">INDIRECT(_xlfn.TEXTJOIN("",TRUE,A480,"!",ADDRESS(17+(A481-1)*A477,6)))</f>
        <v>4</v>
      </c>
      <c r="I470" s="20" t="e">
        <f ca="1">INDIRECT(_xlfn.TEXTJOIN("",TRUE,A480,"!",ADDRESS(17+(A481-1)*A477,13)))</f>
        <v>#N/A</v>
      </c>
      <c r="J470" s="20" t="e">
        <f ca="1">INDIRECT(_xlfn.TEXTJOIN("",TRUE,A480,"!",ADDRESS(17+(A481-1)*A477,14)))</f>
        <v>#N/A</v>
      </c>
    </row>
    <row r="471" spans="1:10" ht="28" customHeight="1" x14ac:dyDescent="0.2">
      <c r="A471" s="96" t="str">
        <f ca="1">INDIRECT(_xlfn.TEXTJOIN("",TRUE,A480,"!",ADDRESS(18+(A481-1)*A477,1)))</f>
        <v>AHT 304</v>
      </c>
      <c r="B471" s="97"/>
      <c r="C471" s="106" t="str">
        <f ca="1">INDIRECT(_xlfn.TEXTJOIN("",TRUE,A480,"!",ADDRESS(18+(A481-1)*A477,2)))</f>
        <v>Accounting and Financial Management ($)</v>
      </c>
      <c r="D471" s="107"/>
      <c r="E471" s="107"/>
      <c r="F471" s="107"/>
      <c r="G471" s="108"/>
      <c r="H471" s="20">
        <f ca="1">INDIRECT(_xlfn.TEXTJOIN("",TRUE,A480,"!",ADDRESS(18+(A481-1)*A477,6)))</f>
        <v>0</v>
      </c>
      <c r="I471" s="20" t="e">
        <f ca="1">INDIRECT(_xlfn.TEXTJOIN("",TRUE,A480,"!",ADDRESS(18+(A481-1)*A477,13)))</f>
        <v>#N/A</v>
      </c>
      <c r="J471" s="20" t="e">
        <f ca="1">INDIRECT(_xlfn.TEXTJOIN("",TRUE,A480,"!",ADDRESS(18+(A481-1)*A477,14)))</f>
        <v>#N/A</v>
      </c>
    </row>
    <row r="472" spans="1:10" ht="28" customHeight="1" x14ac:dyDescent="0.2">
      <c r="A472" s="96" t="str">
        <f ca="1">INDIRECT(_xlfn.TEXTJOIN("",TRUE,A480,"!",ADDRESS(19+(A481-1)*A477,1)))</f>
        <v>CAP 004</v>
      </c>
      <c r="B472" s="97"/>
      <c r="C472" s="106" t="str">
        <f ca="1">INDIRECT(_xlfn.TEXTJOIN("",TRUE,A480,"!",ADDRESS(19+(A481-1)*A477,2)))</f>
        <v>Data Structures and Analysis of Algorithms Lab</v>
      </c>
      <c r="D472" s="107"/>
      <c r="E472" s="107"/>
      <c r="F472" s="107"/>
      <c r="G472" s="108"/>
      <c r="H472" s="20">
        <f ca="1">INDIRECT(_xlfn.TEXTJOIN("",TRUE,A480,"!",ADDRESS(19+(A481-1)*A477,6)))</f>
        <v>1</v>
      </c>
      <c r="I472" s="20" t="e">
        <f ca="1">INDIRECT(_xlfn.TEXTJOIN("",TRUE,A480,"!",ADDRESS(19+(A481-1)*A477,13)))</f>
        <v>#N/A</v>
      </c>
      <c r="J472" s="20" t="e">
        <f ca="1">INDIRECT(_xlfn.TEXTJOIN("",TRUE,A480,"!",ADDRESS(19+(A481-1)*A477,14)))</f>
        <v>#N/A</v>
      </c>
    </row>
    <row r="473" spans="1:10" ht="28" customHeight="1" x14ac:dyDescent="0.2">
      <c r="A473" s="96" t="str">
        <f ca="1">INDIRECT(_xlfn.TEXTJOIN("",TRUE,A480,"!",ADDRESS(20+(A481-1)*A477,1)))</f>
        <v>CAP 005</v>
      </c>
      <c r="B473" s="97"/>
      <c r="C473" s="106" t="str">
        <f ca="1">INDIRECT(_xlfn.TEXTJOIN("",TRUE,A480,"!",ADDRESS(20+(A481-1)*A477,2)))</f>
        <v>Object Oriented Programming with JAVA Lab</v>
      </c>
      <c r="D473" s="107"/>
      <c r="E473" s="107"/>
      <c r="F473" s="107"/>
      <c r="G473" s="108"/>
      <c r="H473" s="20">
        <f ca="1">INDIRECT(_xlfn.TEXTJOIN("",TRUE,A480,"!",ADDRESS(20+(A481-1)*A477,6)))</f>
        <v>1</v>
      </c>
      <c r="I473" s="20" t="e">
        <f ca="1">INDIRECT(_xlfn.TEXTJOIN("",TRUE,A480,"!",ADDRESS(20+(A481-1)*A477,13)))</f>
        <v>#N/A</v>
      </c>
      <c r="J473" s="20" t="e">
        <f ca="1">INDIRECT(_xlfn.TEXTJOIN("",TRUE,A480,"!",ADDRESS(20+(A481-1)*A477,14)))</f>
        <v>#N/A</v>
      </c>
    </row>
    <row r="474" spans="1:10" ht="28" customHeight="1" x14ac:dyDescent="0.2">
      <c r="A474" s="96" t="str">
        <f ca="1">INDIRECT(_xlfn.TEXTJOIN("",TRUE,A480,"!",ADDRESS(21+(A481-1)*A477,1)))</f>
        <v>CAP 006</v>
      </c>
      <c r="B474" s="97"/>
      <c r="C474" s="106" t="str">
        <f ca="1">INDIRECT(_xlfn.TEXTJOIN("",TRUE,A480,"!",ADDRESS(21+(A481-1)*A477,2)))</f>
        <v>Computer Networks Lab</v>
      </c>
      <c r="D474" s="107"/>
      <c r="E474" s="107"/>
      <c r="F474" s="107"/>
      <c r="G474" s="108"/>
      <c r="H474" s="20">
        <f ca="1">INDIRECT(_xlfn.TEXTJOIN("",TRUE,A480,"!",ADDRESS(21+(A481-1)*A477,6)))</f>
        <v>1</v>
      </c>
      <c r="I474" s="20" t="e">
        <f ca="1">INDIRECT(_xlfn.TEXTJOIN("",TRUE,A480,"!",ADDRESS(21+(A481-1)*A477,13)))</f>
        <v>#N/A</v>
      </c>
      <c r="J474" s="20" t="e">
        <f ca="1">INDIRECT(_xlfn.TEXTJOIN("",TRUE,A480,"!",ADDRESS(21+(A481-1)*A477,14)))</f>
        <v>#N/A</v>
      </c>
    </row>
    <row r="475" spans="1:10" ht="28" customHeight="1" x14ac:dyDescent="0.2">
      <c r="A475" s="96" t="str">
        <f ca="1">INDIRECT(_xlfn.TEXTJOIN("",TRUE,A480,"!",ADDRESS(22+(A481-1)*A477,1)))</f>
        <v>CAP 007</v>
      </c>
      <c r="B475" s="97"/>
      <c r="C475" s="106" t="str">
        <f ca="1">INDIRECT(_xlfn.TEXTJOIN("",TRUE,A480,"!",ADDRESS(22+(A481-1)*A477,2)))</f>
        <v>Artificial Intelligence Lab</v>
      </c>
      <c r="D475" s="107"/>
      <c r="E475" s="107"/>
      <c r="F475" s="107"/>
      <c r="G475" s="108"/>
      <c r="H475" s="20">
        <f ca="1">INDIRECT(_xlfn.TEXTJOIN("",TRUE,A480,"!",ADDRESS(22+(A481-1)*A477,6)))</f>
        <v>1</v>
      </c>
      <c r="I475" s="20" t="e">
        <f ca="1">INDIRECT(_xlfn.TEXTJOIN("",TRUE,A480,"!",ADDRESS(22+(A481-1)*A477,13)))</f>
        <v>#N/A</v>
      </c>
      <c r="J475" s="20" t="e">
        <f ca="1">INDIRECT(_xlfn.TEXTJOIN("",TRUE,A480,"!",ADDRESS(22+(A481-1)*A477,14)))</f>
        <v>#N/A</v>
      </c>
    </row>
    <row r="476" spans="1:10" ht="28" customHeight="1" x14ac:dyDescent="0.2">
      <c r="A476" s="118" t="s">
        <v>52</v>
      </c>
      <c r="B476" s="118"/>
      <c r="C476" s="118"/>
      <c r="D476" s="118"/>
      <c r="E476" s="118"/>
      <c r="F476" s="118"/>
      <c r="G476" s="118"/>
      <c r="H476" s="16">
        <f ca="1">SUM(H466:H475)</f>
        <v>24</v>
      </c>
      <c r="I476" s="16" t="s">
        <v>44</v>
      </c>
      <c r="J476" s="16" t="e">
        <f ca="1">SUMPRODUCT(J466:J475,H466:H475)</f>
        <v>#N/A</v>
      </c>
    </row>
    <row r="477" spans="1:10" ht="28" customHeight="1" x14ac:dyDescent="0.2">
      <c r="A477" s="22">
        <f>ROWS(A466:B475)+9</f>
        <v>19</v>
      </c>
      <c r="B477" s="17"/>
      <c r="C477" s="17"/>
      <c r="D477" s="17"/>
      <c r="E477" s="17"/>
      <c r="F477" s="17"/>
      <c r="G477" s="17"/>
      <c r="H477" s="17"/>
      <c r="I477" s="17"/>
      <c r="J477" s="17"/>
    </row>
    <row r="478" spans="1:10" ht="28" customHeight="1" x14ac:dyDescent="0.2">
      <c r="A478" s="120" t="s">
        <v>40</v>
      </c>
      <c r="B478" s="120"/>
      <c r="C478" s="21">
        <f ca="1">INDIRECT(_xlfn.TEXTJOIN("",TRUE,A480,"!",ADDRESS(5+A481*A477,12)))</f>
        <v>0</v>
      </c>
      <c r="D478" s="120" t="s">
        <v>38</v>
      </c>
      <c r="E478" s="120"/>
      <c r="F478" s="18" t="e">
        <f ca="1">INDIRECT(_xlfn.TEXTJOIN("",TRUE,A480,"!",ADDRESS(5+A481*A477,8)))</f>
        <v>#N/A</v>
      </c>
      <c r="G478" s="120" t="s">
        <v>39</v>
      </c>
      <c r="H478" s="120"/>
      <c r="I478" s="109" t="e">
        <f ca="1">INDIRECT(_xlfn.TEXTJOIN("",TRUE,A480,"!",ADDRESS(5+A481*A477,10)))</f>
        <v>#N/A</v>
      </c>
      <c r="J478" s="109"/>
    </row>
    <row r="479" spans="1:10" ht="28" customHeight="1" x14ac:dyDescent="0.2">
      <c r="A479" s="19" t="s">
        <v>36</v>
      </c>
      <c r="B479" s="95" t="e">
        <f ca="1">INDIRECT(_xlfn.TEXTJOIN("",TRUE,A480,"!",ADDRESS(5+A481*A477,2)))</f>
        <v>#N/A</v>
      </c>
      <c r="C479" s="95"/>
      <c r="D479" s="121" t="s">
        <v>37</v>
      </c>
      <c r="E479" s="121"/>
      <c r="F479" s="122" t="e">
        <f ca="1">INDIRECT(_xlfn.TEXTJOIN("",TRUE,A480,"!",ADDRESS(5+A481*A477,5)))</f>
        <v>#N/A</v>
      </c>
      <c r="G479" s="122"/>
      <c r="H479" s="122"/>
      <c r="I479" s="122"/>
      <c r="J479" s="122"/>
    </row>
    <row r="480" spans="1:10" ht="28" customHeight="1" x14ac:dyDescent="0.2">
      <c r="A480" s="22" t="str">
        <f>A461</f>
        <v>TC_II</v>
      </c>
    </row>
    <row r="481" spans="1:10" ht="28" customHeight="1" x14ac:dyDescent="0.2">
      <c r="A481" s="22">
        <f>A462+1</f>
        <v>25</v>
      </c>
    </row>
    <row r="482" spans="1:10" ht="28" customHeight="1" x14ac:dyDescent="0.2">
      <c r="A482" s="112" t="s">
        <v>24</v>
      </c>
      <c r="B482" s="112"/>
      <c r="C482" s="112" t="str">
        <f ca="1">INDIRECT(_xlfn.TEXTJOIN("",TRUE,A499,"!",ADDRESS(9+(A500-1)*A496,2)))</f>
        <v/>
      </c>
      <c r="D482" s="112"/>
      <c r="E482" s="112"/>
      <c r="F482" s="112" t="s">
        <v>50</v>
      </c>
      <c r="G482" s="112"/>
      <c r="H482" s="112"/>
      <c r="I482" s="113" t="str">
        <f ca="1">INDIRECT(_xlfn.TEXTJOIN("",TRUE,A499,"!",ADDRESS(9+(A500-1)*A496,9)))</f>
        <v/>
      </c>
      <c r="J482" s="113"/>
    </row>
    <row r="483" spans="1:10" ht="28" customHeight="1" x14ac:dyDescent="0.2">
      <c r="A483" s="112" t="s">
        <v>25</v>
      </c>
      <c r="B483" s="112"/>
      <c r="C483" s="112" t="str">
        <f ca="1">INDIRECT(_xlfn.TEXTJOIN("",TRUE,A499,"!",ADDRESS(9+(A500-1)*A496,5)))</f>
        <v/>
      </c>
      <c r="D483" s="112"/>
      <c r="E483" s="112"/>
      <c r="F483" s="114" t="s">
        <v>51</v>
      </c>
      <c r="G483" s="114"/>
      <c r="H483" s="114"/>
      <c r="I483" s="113" t="str">
        <f ca="1">INDIRECT(_xlfn.TEXTJOIN("",TRUE,A499,"!",ADDRESS(9+(A500-1)*A496,13)))</f>
        <v/>
      </c>
      <c r="J483" s="113"/>
    </row>
    <row r="484" spans="1:10" ht="28" customHeight="1" x14ac:dyDescent="0.2">
      <c r="A484" s="95" t="s">
        <v>28</v>
      </c>
      <c r="B484" s="95"/>
      <c r="C484" s="95" t="s">
        <v>29</v>
      </c>
      <c r="D484" s="95"/>
      <c r="E484" s="95"/>
      <c r="F484" s="95"/>
      <c r="G484" s="95"/>
      <c r="H484" s="15" t="s">
        <v>30</v>
      </c>
      <c r="I484" s="15" t="s">
        <v>9</v>
      </c>
      <c r="J484" s="15" t="s">
        <v>34</v>
      </c>
    </row>
    <row r="485" spans="1:10" ht="28" customHeight="1" x14ac:dyDescent="0.2">
      <c r="A485" s="96" t="str">
        <f ca="1">INDIRECT(_xlfn.TEXTJOIN("",TRUE,A499,"!",ADDRESS(13+(A500-1)*A496,1)))</f>
        <v/>
      </c>
      <c r="B485" s="97"/>
      <c r="C485" s="106" t="str">
        <f ca="1">INDIRECT(_xlfn.TEXTJOIN("",TRUE,A499,"!",ADDRESS(13+(A500-1)*A496,2)))</f>
        <v/>
      </c>
      <c r="D485" s="107"/>
      <c r="E485" s="107"/>
      <c r="F485" s="107"/>
      <c r="G485" s="108"/>
      <c r="H485" s="20" t="str">
        <f ca="1">INDIRECT(_xlfn.TEXTJOIN("",TRUE,A499,"!",ADDRESS(13+(A500-1)*A496,6)))</f>
        <v/>
      </c>
      <c r="I485" s="20" t="str">
        <f ca="1">INDIRECT(_xlfn.TEXTJOIN("",TRUE,A499,"!",ADDRESS(13+(A500-1)*A496,13)))</f>
        <v/>
      </c>
      <c r="J485" s="20" t="str">
        <f ca="1">INDIRECT(_xlfn.TEXTJOIN("",TRUE,A499,"!",ADDRESS(13+(A500-1)*A496,14)))</f>
        <v/>
      </c>
    </row>
    <row r="486" spans="1:10" ht="28" customHeight="1" x14ac:dyDescent="0.2">
      <c r="A486" s="96" t="str">
        <f ca="1">INDIRECT(_xlfn.TEXTJOIN("",TRUE,A499,"!",ADDRESS(14+(A500-1)*A496,1)))</f>
        <v/>
      </c>
      <c r="B486" s="97"/>
      <c r="C486" s="106" t="str">
        <f ca="1">INDIRECT(_xlfn.TEXTJOIN("",TRUE,A499,"!",ADDRESS(14+(A500-1)*A496,2)))</f>
        <v/>
      </c>
      <c r="D486" s="107"/>
      <c r="E486" s="107"/>
      <c r="F486" s="107"/>
      <c r="G486" s="108"/>
      <c r="H486" s="20" t="str">
        <f ca="1">INDIRECT(_xlfn.TEXTJOIN("",TRUE,A499,"!",ADDRESS(14+(A500-1)*A496,6)))</f>
        <v/>
      </c>
      <c r="I486" s="20" t="str">
        <f ca="1">INDIRECT(_xlfn.TEXTJOIN("",TRUE,A499,"!",ADDRESS(14+(A500-1)*A496,13)))</f>
        <v/>
      </c>
      <c r="J486" s="20" t="str">
        <f ca="1">INDIRECT(_xlfn.TEXTJOIN("",TRUE,A499,"!",ADDRESS(14+(A500-1)*A496,14)))</f>
        <v/>
      </c>
    </row>
    <row r="487" spans="1:10" ht="28" customHeight="1" x14ac:dyDescent="0.2">
      <c r="A487" s="96" t="str">
        <f ca="1">INDIRECT(_xlfn.TEXTJOIN("",TRUE,A499,"!",ADDRESS(15+(A500-1)*A496,1)))</f>
        <v/>
      </c>
      <c r="B487" s="97"/>
      <c r="C487" s="106" t="str">
        <f ca="1">INDIRECT(_xlfn.TEXTJOIN("",TRUE,A499,"!",ADDRESS(15+(A500-1)*A496,2)))</f>
        <v/>
      </c>
      <c r="D487" s="107"/>
      <c r="E487" s="107"/>
      <c r="F487" s="107"/>
      <c r="G487" s="108"/>
      <c r="H487" s="20" t="str">
        <f ca="1">INDIRECT(_xlfn.TEXTJOIN("",TRUE,A499,"!",ADDRESS(15+(A500-1)*A496,6)))</f>
        <v/>
      </c>
      <c r="I487" s="20" t="str">
        <f ca="1">INDIRECT(_xlfn.TEXTJOIN("",TRUE,A499,"!",ADDRESS(15+(A500-1)*A496,13)))</f>
        <v/>
      </c>
      <c r="J487" s="20" t="str">
        <f ca="1">INDIRECT(_xlfn.TEXTJOIN("",TRUE,A499,"!",ADDRESS(15+(A500-1)*A496,14)))</f>
        <v/>
      </c>
    </row>
    <row r="488" spans="1:10" ht="28" customHeight="1" x14ac:dyDescent="0.2">
      <c r="A488" s="96" t="str">
        <f ca="1">INDIRECT(_xlfn.TEXTJOIN("",TRUE,A499,"!",ADDRESS(16+(A500-1)*A496,1)))</f>
        <v/>
      </c>
      <c r="B488" s="97"/>
      <c r="C488" s="106" t="str">
        <f ca="1">INDIRECT(_xlfn.TEXTJOIN("",TRUE,A499,"!",ADDRESS(16+(A500-1)*A496,2)))</f>
        <v/>
      </c>
      <c r="D488" s="107"/>
      <c r="E488" s="107"/>
      <c r="F488" s="107"/>
      <c r="G488" s="108"/>
      <c r="H488" s="20" t="str">
        <f ca="1">INDIRECT(_xlfn.TEXTJOIN("",TRUE,A499,"!",ADDRESS(16+(A500-1)*A496,6)))</f>
        <v/>
      </c>
      <c r="I488" s="20" t="str">
        <f ca="1">INDIRECT(_xlfn.TEXTJOIN("",TRUE,A499,"!",ADDRESS(16+(A500-1)*A496,13)))</f>
        <v/>
      </c>
      <c r="J488" s="20" t="str">
        <f ca="1">INDIRECT(_xlfn.TEXTJOIN("",TRUE,A499,"!",ADDRESS(16+(A500-1)*A496,14)))</f>
        <v/>
      </c>
    </row>
    <row r="489" spans="1:10" ht="28" customHeight="1" x14ac:dyDescent="0.2">
      <c r="A489" s="96" t="str">
        <f ca="1">INDIRECT(_xlfn.TEXTJOIN("",TRUE,A499,"!",ADDRESS(17+(A500-1)*A496,1)))</f>
        <v/>
      </c>
      <c r="B489" s="97"/>
      <c r="C489" s="106" t="str">
        <f ca="1">INDIRECT(_xlfn.TEXTJOIN("",TRUE,A499,"!",ADDRESS(17+(A500-1)*A496,2)))</f>
        <v/>
      </c>
      <c r="D489" s="107"/>
      <c r="E489" s="107"/>
      <c r="F489" s="107"/>
      <c r="G489" s="108"/>
      <c r="H489" s="20" t="str">
        <f ca="1">INDIRECT(_xlfn.TEXTJOIN("",TRUE,A499,"!",ADDRESS(17+(A500-1)*A496,6)))</f>
        <v/>
      </c>
      <c r="I489" s="20" t="str">
        <f ca="1">INDIRECT(_xlfn.TEXTJOIN("",TRUE,A499,"!",ADDRESS(17+(A500-1)*A496,13)))</f>
        <v/>
      </c>
      <c r="J489" s="20" t="str">
        <f ca="1">INDIRECT(_xlfn.TEXTJOIN("",TRUE,A499,"!",ADDRESS(17+(A500-1)*A496,14)))</f>
        <v/>
      </c>
    </row>
    <row r="490" spans="1:10" ht="28" customHeight="1" x14ac:dyDescent="0.2">
      <c r="A490" s="96" t="str">
        <f ca="1">INDIRECT(_xlfn.TEXTJOIN("",TRUE,A499,"!",ADDRESS(18+(A500-1)*A496,1)))</f>
        <v/>
      </c>
      <c r="B490" s="97"/>
      <c r="C490" s="106" t="str">
        <f ca="1">INDIRECT(_xlfn.TEXTJOIN("",TRUE,A499,"!",ADDRESS(18+(A500-1)*A496,2)))</f>
        <v/>
      </c>
      <c r="D490" s="107"/>
      <c r="E490" s="107"/>
      <c r="F490" s="107"/>
      <c r="G490" s="108"/>
      <c r="H490" s="20" t="str">
        <f ca="1">INDIRECT(_xlfn.TEXTJOIN("",TRUE,A499,"!",ADDRESS(18+(A500-1)*A496,6)))</f>
        <v/>
      </c>
      <c r="I490" s="20" t="str">
        <f ca="1">INDIRECT(_xlfn.TEXTJOIN("",TRUE,A499,"!",ADDRESS(18+(A500-1)*A496,13)))</f>
        <v/>
      </c>
      <c r="J490" s="20" t="str">
        <f ca="1">INDIRECT(_xlfn.TEXTJOIN("",TRUE,A499,"!",ADDRESS(18+(A500-1)*A496,14)))</f>
        <v/>
      </c>
    </row>
    <row r="491" spans="1:10" ht="28" customHeight="1" x14ac:dyDescent="0.2">
      <c r="A491" s="96" t="str">
        <f ca="1">INDIRECT(_xlfn.TEXTJOIN("",TRUE,A499,"!",ADDRESS(19+(A500-1)*A496,1)))</f>
        <v/>
      </c>
      <c r="B491" s="97"/>
      <c r="C491" s="106" t="str">
        <f ca="1">INDIRECT(_xlfn.TEXTJOIN("",TRUE,A499,"!",ADDRESS(19+(A500-1)*A496,2)))</f>
        <v/>
      </c>
      <c r="D491" s="107"/>
      <c r="E491" s="107"/>
      <c r="F491" s="107"/>
      <c r="G491" s="108"/>
      <c r="H491" s="20" t="str">
        <f ca="1">INDIRECT(_xlfn.TEXTJOIN("",TRUE,A499,"!",ADDRESS(19+(A500-1)*A496,6)))</f>
        <v/>
      </c>
      <c r="I491" s="20" t="str">
        <f ca="1">INDIRECT(_xlfn.TEXTJOIN("",TRUE,A499,"!",ADDRESS(19+(A500-1)*A496,13)))</f>
        <v/>
      </c>
      <c r="J491" s="20" t="str">
        <f ca="1">INDIRECT(_xlfn.TEXTJOIN("",TRUE,A499,"!",ADDRESS(19+(A500-1)*A496,14)))</f>
        <v/>
      </c>
    </row>
    <row r="492" spans="1:10" ht="28" customHeight="1" x14ac:dyDescent="0.2">
      <c r="A492" s="96" t="str">
        <f ca="1">INDIRECT(_xlfn.TEXTJOIN("",TRUE,A499,"!",ADDRESS(20+(A500-1)*A496,1)))</f>
        <v/>
      </c>
      <c r="B492" s="97"/>
      <c r="C492" s="106" t="str">
        <f ca="1">INDIRECT(_xlfn.TEXTJOIN("",TRUE,A499,"!",ADDRESS(20+(A500-1)*A496,2)))</f>
        <v/>
      </c>
      <c r="D492" s="107"/>
      <c r="E492" s="107"/>
      <c r="F492" s="107"/>
      <c r="G492" s="108"/>
      <c r="H492" s="20" t="str">
        <f ca="1">INDIRECT(_xlfn.TEXTJOIN("",TRUE,A499,"!",ADDRESS(20+(A500-1)*A496,6)))</f>
        <v/>
      </c>
      <c r="I492" s="20" t="str">
        <f ca="1">INDIRECT(_xlfn.TEXTJOIN("",TRUE,A499,"!",ADDRESS(20+(A500-1)*A496,13)))</f>
        <v/>
      </c>
      <c r="J492" s="20" t="str">
        <f ca="1">INDIRECT(_xlfn.TEXTJOIN("",TRUE,A499,"!",ADDRESS(20+(A500-1)*A496,14)))</f>
        <v/>
      </c>
    </row>
    <row r="493" spans="1:10" ht="28" customHeight="1" x14ac:dyDescent="0.2">
      <c r="A493" s="96" t="str">
        <f ca="1">INDIRECT(_xlfn.TEXTJOIN("",TRUE,A499,"!",ADDRESS(21+(A500-1)*A496,1)))</f>
        <v/>
      </c>
      <c r="B493" s="97"/>
      <c r="C493" s="106" t="str">
        <f ca="1">INDIRECT(_xlfn.TEXTJOIN("",TRUE,A499,"!",ADDRESS(21+(A500-1)*A496,2)))</f>
        <v/>
      </c>
      <c r="D493" s="107"/>
      <c r="E493" s="107"/>
      <c r="F493" s="107"/>
      <c r="G493" s="108"/>
      <c r="H493" s="20" t="str">
        <f ca="1">INDIRECT(_xlfn.TEXTJOIN("",TRUE,A499,"!",ADDRESS(21+(A500-1)*A496,6)))</f>
        <v/>
      </c>
      <c r="I493" s="20" t="str">
        <f ca="1">INDIRECT(_xlfn.TEXTJOIN("",TRUE,A499,"!",ADDRESS(21+(A500-1)*A496,13)))</f>
        <v/>
      </c>
      <c r="J493" s="20" t="str">
        <f ca="1">INDIRECT(_xlfn.TEXTJOIN("",TRUE,A499,"!",ADDRESS(21+(A500-1)*A496,14)))</f>
        <v/>
      </c>
    </row>
    <row r="494" spans="1:10" ht="28" customHeight="1" x14ac:dyDescent="0.2">
      <c r="A494" s="96" t="str">
        <f ca="1">INDIRECT(_xlfn.TEXTJOIN("",TRUE,A499,"!",ADDRESS(22+(A500-1)*A496,1)))</f>
        <v/>
      </c>
      <c r="B494" s="97"/>
      <c r="C494" s="106" t="str">
        <f ca="1">INDIRECT(_xlfn.TEXTJOIN("",TRUE,A499,"!",ADDRESS(22+(A500-1)*A496,2)))</f>
        <v/>
      </c>
      <c r="D494" s="107"/>
      <c r="E494" s="107"/>
      <c r="F494" s="107"/>
      <c r="G494" s="108"/>
      <c r="H494" s="20" t="str">
        <f ca="1">INDIRECT(_xlfn.TEXTJOIN("",TRUE,A499,"!",ADDRESS(22+(A500-1)*A496,6)))</f>
        <v/>
      </c>
      <c r="I494" s="20" t="str">
        <f ca="1">INDIRECT(_xlfn.TEXTJOIN("",TRUE,A499,"!",ADDRESS(22+(A500-1)*A496,13)))</f>
        <v/>
      </c>
      <c r="J494" s="20" t="str">
        <f ca="1">INDIRECT(_xlfn.TEXTJOIN("",TRUE,A499,"!",ADDRESS(22+(A500-1)*A496,14)))</f>
        <v/>
      </c>
    </row>
    <row r="495" spans="1:10" ht="28" customHeight="1" x14ac:dyDescent="0.2">
      <c r="A495" s="118" t="s">
        <v>52</v>
      </c>
      <c r="B495" s="118"/>
      <c r="C495" s="118"/>
      <c r="D495" s="118"/>
      <c r="E495" s="118"/>
      <c r="F495" s="118"/>
      <c r="G495" s="118"/>
      <c r="H495" s="16">
        <f ca="1">SUM(H485:H494)</f>
        <v>0</v>
      </c>
      <c r="I495" s="16" t="s">
        <v>44</v>
      </c>
      <c r="J495" s="16">
        <f ca="1">SUMPRODUCT(J485:J494,H485:H494)</f>
        <v>0</v>
      </c>
    </row>
    <row r="496" spans="1:10" ht="28" customHeight="1" x14ac:dyDescent="0.2">
      <c r="A496" s="22">
        <f>ROWS(A485:B494)+9</f>
        <v>19</v>
      </c>
      <c r="B496" s="17"/>
      <c r="C496" s="17"/>
      <c r="D496" s="17"/>
      <c r="E496" s="17"/>
      <c r="F496" s="17"/>
      <c r="G496" s="17"/>
      <c r="H496" s="17"/>
      <c r="I496" s="17"/>
      <c r="J496" s="17"/>
    </row>
    <row r="497" spans="1:10" ht="28" customHeight="1" x14ac:dyDescent="0.2">
      <c r="A497" s="120" t="s">
        <v>40</v>
      </c>
      <c r="B497" s="120"/>
      <c r="C497" s="21" t="str">
        <f ca="1">INDIRECT(_xlfn.TEXTJOIN("",TRUE,A499,"!",ADDRESS(5+A500*A496,12)))</f>
        <v/>
      </c>
      <c r="D497" s="120" t="s">
        <v>38</v>
      </c>
      <c r="E497" s="120"/>
      <c r="F497" s="18" t="str">
        <f ca="1">INDIRECT(_xlfn.TEXTJOIN("",TRUE,A499,"!",ADDRESS(5+A500*A496,8)))</f>
        <v/>
      </c>
      <c r="G497" s="120" t="s">
        <v>39</v>
      </c>
      <c r="H497" s="120"/>
      <c r="I497" s="109" t="str">
        <f ca="1">INDIRECT(_xlfn.TEXTJOIN("",TRUE,A499,"!",ADDRESS(5+A500*A496,10)))</f>
        <v/>
      </c>
      <c r="J497" s="109"/>
    </row>
    <row r="498" spans="1:10" ht="28" customHeight="1" x14ac:dyDescent="0.2">
      <c r="A498" s="19" t="s">
        <v>36</v>
      </c>
      <c r="B498" s="95" t="str">
        <f ca="1">INDIRECT(_xlfn.TEXTJOIN("",TRUE,A499,"!",ADDRESS(5+A500*A496,2)))</f>
        <v/>
      </c>
      <c r="C498" s="95"/>
      <c r="D498" s="121" t="s">
        <v>37</v>
      </c>
      <c r="E498" s="121"/>
      <c r="F498" s="122" t="str">
        <f ca="1">INDIRECT(_xlfn.TEXTJOIN("",TRUE,A499,"!",ADDRESS(5+A500*A496,5)))</f>
        <v/>
      </c>
      <c r="G498" s="122"/>
      <c r="H498" s="122"/>
      <c r="I498" s="122"/>
      <c r="J498" s="122"/>
    </row>
    <row r="499" spans="1:10" ht="28" customHeight="1" x14ac:dyDescent="0.2">
      <c r="A499" s="22" t="str">
        <f>A480</f>
        <v>TC_II</v>
      </c>
    </row>
    <row r="500" spans="1:10" ht="28" customHeight="1" x14ac:dyDescent="0.2">
      <c r="A500" s="22">
        <f>A481+1</f>
        <v>26</v>
      </c>
    </row>
    <row r="501" spans="1:10" ht="28" customHeight="1" x14ac:dyDescent="0.2">
      <c r="A501" s="112" t="s">
        <v>24</v>
      </c>
      <c r="B501" s="112"/>
      <c r="C501" s="112" t="str">
        <f ca="1">INDIRECT(_xlfn.TEXTJOIN("",TRUE,A518,"!",ADDRESS(9+(A519-1)*A515,2)))</f>
        <v/>
      </c>
      <c r="D501" s="112"/>
      <c r="E501" s="112"/>
      <c r="F501" s="112" t="s">
        <v>50</v>
      </c>
      <c r="G501" s="112"/>
      <c r="H501" s="112"/>
      <c r="I501" s="113" t="str">
        <f ca="1">INDIRECT(_xlfn.TEXTJOIN("",TRUE,A518,"!",ADDRESS(9+(A519-1)*A515,9)))</f>
        <v/>
      </c>
      <c r="J501" s="113"/>
    </row>
    <row r="502" spans="1:10" ht="28" customHeight="1" x14ac:dyDescent="0.2">
      <c r="A502" s="112" t="s">
        <v>25</v>
      </c>
      <c r="B502" s="112"/>
      <c r="C502" s="112" t="str">
        <f ca="1">INDIRECT(_xlfn.TEXTJOIN("",TRUE,A518,"!",ADDRESS(9+(A519-1)*A515,5)))</f>
        <v/>
      </c>
      <c r="D502" s="112"/>
      <c r="E502" s="112"/>
      <c r="F502" s="114" t="s">
        <v>51</v>
      </c>
      <c r="G502" s="114"/>
      <c r="H502" s="114"/>
      <c r="I502" s="113" t="str">
        <f ca="1">INDIRECT(_xlfn.TEXTJOIN("",TRUE,A518,"!",ADDRESS(9+(A519-1)*A515,13)))</f>
        <v/>
      </c>
      <c r="J502" s="113"/>
    </row>
    <row r="503" spans="1:10" ht="28" customHeight="1" x14ac:dyDescent="0.2">
      <c r="A503" s="95" t="s">
        <v>28</v>
      </c>
      <c r="B503" s="95"/>
      <c r="C503" s="95" t="s">
        <v>29</v>
      </c>
      <c r="D503" s="95"/>
      <c r="E503" s="95"/>
      <c r="F503" s="95"/>
      <c r="G503" s="95"/>
      <c r="H503" s="15" t="s">
        <v>30</v>
      </c>
      <c r="I503" s="15" t="s">
        <v>9</v>
      </c>
      <c r="J503" s="15" t="s">
        <v>34</v>
      </c>
    </row>
    <row r="504" spans="1:10" ht="28" customHeight="1" x14ac:dyDescent="0.2">
      <c r="A504" s="96" t="str">
        <f ca="1">INDIRECT(_xlfn.TEXTJOIN("",TRUE,A518,"!",ADDRESS(13+(A519-1)*A515,1)))</f>
        <v/>
      </c>
      <c r="B504" s="97"/>
      <c r="C504" s="106" t="str">
        <f ca="1">INDIRECT(_xlfn.TEXTJOIN("",TRUE,A518,"!",ADDRESS(13+(A519-1)*A515,2)))</f>
        <v/>
      </c>
      <c r="D504" s="107"/>
      <c r="E504" s="107"/>
      <c r="F504" s="107"/>
      <c r="G504" s="108"/>
      <c r="H504" s="20" t="str">
        <f ca="1">INDIRECT(_xlfn.TEXTJOIN("",TRUE,A518,"!",ADDRESS(13+(A519-1)*A515,6)))</f>
        <v/>
      </c>
      <c r="I504" s="20" t="str">
        <f ca="1">INDIRECT(_xlfn.TEXTJOIN("",TRUE,A518,"!",ADDRESS(13+(A519-1)*A515,13)))</f>
        <v/>
      </c>
      <c r="J504" s="20" t="str">
        <f ca="1">INDIRECT(_xlfn.TEXTJOIN("",TRUE,A518,"!",ADDRESS(13+(A519-1)*A515,14)))</f>
        <v/>
      </c>
    </row>
    <row r="505" spans="1:10" ht="28" customHeight="1" x14ac:dyDescent="0.2">
      <c r="A505" s="96" t="str">
        <f ca="1">INDIRECT(_xlfn.TEXTJOIN("",TRUE,A518,"!",ADDRESS(14+(A519-1)*A515,1)))</f>
        <v/>
      </c>
      <c r="B505" s="97"/>
      <c r="C505" s="106" t="str">
        <f ca="1">INDIRECT(_xlfn.TEXTJOIN("",TRUE,A518,"!",ADDRESS(14+(A519-1)*A515,2)))</f>
        <v/>
      </c>
      <c r="D505" s="107"/>
      <c r="E505" s="107"/>
      <c r="F505" s="107"/>
      <c r="G505" s="108"/>
      <c r="H505" s="20" t="str">
        <f ca="1">INDIRECT(_xlfn.TEXTJOIN("",TRUE,A518,"!",ADDRESS(14+(A519-1)*A515,6)))</f>
        <v/>
      </c>
      <c r="I505" s="20" t="str">
        <f ca="1">INDIRECT(_xlfn.TEXTJOIN("",TRUE,A518,"!",ADDRESS(14+(A519-1)*A515,13)))</f>
        <v/>
      </c>
      <c r="J505" s="20" t="str">
        <f ca="1">INDIRECT(_xlfn.TEXTJOIN("",TRUE,A518,"!",ADDRESS(14+(A519-1)*A515,14)))</f>
        <v/>
      </c>
    </row>
    <row r="506" spans="1:10" ht="28" customHeight="1" x14ac:dyDescent="0.2">
      <c r="A506" s="96" t="str">
        <f ca="1">INDIRECT(_xlfn.TEXTJOIN("",TRUE,A518,"!",ADDRESS(15+(A519-1)*A515,1)))</f>
        <v/>
      </c>
      <c r="B506" s="97"/>
      <c r="C506" s="106" t="str">
        <f ca="1">INDIRECT(_xlfn.TEXTJOIN("",TRUE,A518,"!",ADDRESS(15+(A519-1)*A515,2)))</f>
        <v/>
      </c>
      <c r="D506" s="107"/>
      <c r="E506" s="107"/>
      <c r="F506" s="107"/>
      <c r="G506" s="108"/>
      <c r="H506" s="20" t="str">
        <f ca="1">INDIRECT(_xlfn.TEXTJOIN("",TRUE,A518,"!",ADDRESS(15+(A519-1)*A515,6)))</f>
        <v/>
      </c>
      <c r="I506" s="20" t="str">
        <f ca="1">INDIRECT(_xlfn.TEXTJOIN("",TRUE,A518,"!",ADDRESS(15+(A519-1)*A515,13)))</f>
        <v/>
      </c>
      <c r="J506" s="20" t="str">
        <f ca="1">INDIRECT(_xlfn.TEXTJOIN("",TRUE,A518,"!",ADDRESS(15+(A519-1)*A515,14)))</f>
        <v/>
      </c>
    </row>
    <row r="507" spans="1:10" ht="28" customHeight="1" x14ac:dyDescent="0.2">
      <c r="A507" s="96" t="str">
        <f ca="1">INDIRECT(_xlfn.TEXTJOIN("",TRUE,A518,"!",ADDRESS(16+(A519-1)*A515,1)))</f>
        <v/>
      </c>
      <c r="B507" s="97"/>
      <c r="C507" s="106" t="str">
        <f ca="1">INDIRECT(_xlfn.TEXTJOIN("",TRUE,A518,"!",ADDRESS(16+(A519-1)*A515,2)))</f>
        <v/>
      </c>
      <c r="D507" s="107"/>
      <c r="E507" s="107"/>
      <c r="F507" s="107"/>
      <c r="G507" s="108"/>
      <c r="H507" s="20" t="str">
        <f ca="1">INDIRECT(_xlfn.TEXTJOIN("",TRUE,A518,"!",ADDRESS(16+(A519-1)*A515,6)))</f>
        <v/>
      </c>
      <c r="I507" s="20" t="str">
        <f ca="1">INDIRECT(_xlfn.TEXTJOIN("",TRUE,A518,"!",ADDRESS(16+(A519-1)*A515,13)))</f>
        <v/>
      </c>
      <c r="J507" s="20" t="str">
        <f ca="1">INDIRECT(_xlfn.TEXTJOIN("",TRUE,A518,"!",ADDRESS(16+(A519-1)*A515,14)))</f>
        <v/>
      </c>
    </row>
    <row r="508" spans="1:10" ht="28" customHeight="1" x14ac:dyDescent="0.2">
      <c r="A508" s="96" t="str">
        <f ca="1">INDIRECT(_xlfn.TEXTJOIN("",TRUE,A518,"!",ADDRESS(17+(A519-1)*A515,1)))</f>
        <v/>
      </c>
      <c r="B508" s="97"/>
      <c r="C508" s="106" t="str">
        <f ca="1">INDIRECT(_xlfn.TEXTJOIN("",TRUE,A518,"!",ADDRESS(17+(A519-1)*A515,2)))</f>
        <v/>
      </c>
      <c r="D508" s="107"/>
      <c r="E508" s="107"/>
      <c r="F508" s="107"/>
      <c r="G508" s="108"/>
      <c r="H508" s="20" t="str">
        <f ca="1">INDIRECT(_xlfn.TEXTJOIN("",TRUE,A518,"!",ADDRESS(17+(A519-1)*A515,6)))</f>
        <v/>
      </c>
      <c r="I508" s="20" t="str">
        <f ca="1">INDIRECT(_xlfn.TEXTJOIN("",TRUE,A518,"!",ADDRESS(17+(A519-1)*A515,13)))</f>
        <v/>
      </c>
      <c r="J508" s="20" t="str">
        <f ca="1">INDIRECT(_xlfn.TEXTJOIN("",TRUE,A518,"!",ADDRESS(17+(A519-1)*A515,14)))</f>
        <v/>
      </c>
    </row>
    <row r="509" spans="1:10" ht="28" customHeight="1" x14ac:dyDescent="0.2">
      <c r="A509" s="96" t="str">
        <f ca="1">INDIRECT(_xlfn.TEXTJOIN("",TRUE,A518,"!",ADDRESS(18+(A519-1)*A515,1)))</f>
        <v/>
      </c>
      <c r="B509" s="97"/>
      <c r="C509" s="106" t="str">
        <f ca="1">INDIRECT(_xlfn.TEXTJOIN("",TRUE,A518,"!",ADDRESS(18+(A519-1)*A515,2)))</f>
        <v/>
      </c>
      <c r="D509" s="107"/>
      <c r="E509" s="107"/>
      <c r="F509" s="107"/>
      <c r="G509" s="108"/>
      <c r="H509" s="20" t="str">
        <f ca="1">INDIRECT(_xlfn.TEXTJOIN("",TRUE,A518,"!",ADDRESS(18+(A519-1)*A515,6)))</f>
        <v/>
      </c>
      <c r="I509" s="20" t="str">
        <f ca="1">INDIRECT(_xlfn.TEXTJOIN("",TRUE,A518,"!",ADDRESS(18+(A519-1)*A515,13)))</f>
        <v/>
      </c>
      <c r="J509" s="20" t="str">
        <f ca="1">INDIRECT(_xlfn.TEXTJOIN("",TRUE,A518,"!",ADDRESS(18+(A519-1)*A515,14)))</f>
        <v/>
      </c>
    </row>
    <row r="510" spans="1:10" ht="28" customHeight="1" x14ac:dyDescent="0.2">
      <c r="A510" s="96" t="str">
        <f ca="1">INDIRECT(_xlfn.TEXTJOIN("",TRUE,A518,"!",ADDRESS(19+(A519-1)*A515,1)))</f>
        <v/>
      </c>
      <c r="B510" s="97"/>
      <c r="C510" s="106" t="str">
        <f ca="1">INDIRECT(_xlfn.TEXTJOIN("",TRUE,A518,"!",ADDRESS(19+(A519-1)*A515,2)))</f>
        <v/>
      </c>
      <c r="D510" s="107"/>
      <c r="E510" s="107"/>
      <c r="F510" s="107"/>
      <c r="G510" s="108"/>
      <c r="H510" s="20" t="str">
        <f ca="1">INDIRECT(_xlfn.TEXTJOIN("",TRUE,A518,"!",ADDRESS(19+(A519-1)*A515,6)))</f>
        <v/>
      </c>
      <c r="I510" s="20" t="str">
        <f ca="1">INDIRECT(_xlfn.TEXTJOIN("",TRUE,A518,"!",ADDRESS(19+(A519-1)*A515,13)))</f>
        <v/>
      </c>
      <c r="J510" s="20" t="str">
        <f ca="1">INDIRECT(_xlfn.TEXTJOIN("",TRUE,A518,"!",ADDRESS(19+(A519-1)*A515,14)))</f>
        <v/>
      </c>
    </row>
    <row r="511" spans="1:10" ht="28" customHeight="1" x14ac:dyDescent="0.2">
      <c r="A511" s="96" t="str">
        <f ca="1">INDIRECT(_xlfn.TEXTJOIN("",TRUE,A518,"!",ADDRESS(20+(A519-1)*A515,1)))</f>
        <v/>
      </c>
      <c r="B511" s="97"/>
      <c r="C511" s="106" t="str">
        <f ca="1">INDIRECT(_xlfn.TEXTJOIN("",TRUE,A518,"!",ADDRESS(20+(A519-1)*A515,2)))</f>
        <v/>
      </c>
      <c r="D511" s="107"/>
      <c r="E511" s="107"/>
      <c r="F511" s="107"/>
      <c r="G511" s="108"/>
      <c r="H511" s="20" t="str">
        <f ca="1">INDIRECT(_xlfn.TEXTJOIN("",TRUE,A518,"!",ADDRESS(20+(A519-1)*A515,6)))</f>
        <v/>
      </c>
      <c r="I511" s="20" t="str">
        <f ca="1">INDIRECT(_xlfn.TEXTJOIN("",TRUE,A518,"!",ADDRESS(20+(A519-1)*A515,13)))</f>
        <v/>
      </c>
      <c r="J511" s="20" t="str">
        <f ca="1">INDIRECT(_xlfn.TEXTJOIN("",TRUE,A518,"!",ADDRESS(20+(A519-1)*A515,14)))</f>
        <v/>
      </c>
    </row>
    <row r="512" spans="1:10" ht="28" customHeight="1" x14ac:dyDescent="0.2">
      <c r="A512" s="96" t="str">
        <f ca="1">INDIRECT(_xlfn.TEXTJOIN("",TRUE,A518,"!",ADDRESS(21+(A519-1)*A515,1)))</f>
        <v/>
      </c>
      <c r="B512" s="97"/>
      <c r="C512" s="106" t="str">
        <f ca="1">INDIRECT(_xlfn.TEXTJOIN("",TRUE,A518,"!",ADDRESS(21+(A519-1)*A515,2)))</f>
        <v/>
      </c>
      <c r="D512" s="107"/>
      <c r="E512" s="107"/>
      <c r="F512" s="107"/>
      <c r="G512" s="108"/>
      <c r="H512" s="20" t="str">
        <f ca="1">INDIRECT(_xlfn.TEXTJOIN("",TRUE,A518,"!",ADDRESS(21+(A519-1)*A515,6)))</f>
        <v/>
      </c>
      <c r="I512" s="20" t="str">
        <f ca="1">INDIRECT(_xlfn.TEXTJOIN("",TRUE,A518,"!",ADDRESS(21+(A519-1)*A515,13)))</f>
        <v/>
      </c>
      <c r="J512" s="20" t="str">
        <f ca="1">INDIRECT(_xlfn.TEXTJOIN("",TRUE,A518,"!",ADDRESS(21+(A519-1)*A515,14)))</f>
        <v/>
      </c>
    </row>
    <row r="513" spans="1:10" ht="28" customHeight="1" x14ac:dyDescent="0.2">
      <c r="A513" s="96" t="str">
        <f ca="1">INDIRECT(_xlfn.TEXTJOIN("",TRUE,A518,"!",ADDRESS(22+(A519-1)*A515,1)))</f>
        <v/>
      </c>
      <c r="B513" s="97"/>
      <c r="C513" s="106" t="str">
        <f ca="1">INDIRECT(_xlfn.TEXTJOIN("",TRUE,A518,"!",ADDRESS(22+(A519-1)*A515,2)))</f>
        <v/>
      </c>
      <c r="D513" s="107"/>
      <c r="E513" s="107"/>
      <c r="F513" s="107"/>
      <c r="G513" s="108"/>
      <c r="H513" s="20" t="str">
        <f ca="1">INDIRECT(_xlfn.TEXTJOIN("",TRUE,A518,"!",ADDRESS(22+(A519-1)*A515,6)))</f>
        <v/>
      </c>
      <c r="I513" s="20" t="str">
        <f ca="1">INDIRECT(_xlfn.TEXTJOIN("",TRUE,A518,"!",ADDRESS(22+(A519-1)*A515,13)))</f>
        <v/>
      </c>
      <c r="J513" s="20" t="str">
        <f ca="1">INDIRECT(_xlfn.TEXTJOIN("",TRUE,A518,"!",ADDRESS(22+(A519-1)*A515,14)))</f>
        <v/>
      </c>
    </row>
    <row r="514" spans="1:10" ht="28" customHeight="1" x14ac:dyDescent="0.2">
      <c r="A514" s="118" t="s">
        <v>52</v>
      </c>
      <c r="B514" s="118"/>
      <c r="C514" s="118"/>
      <c r="D514" s="118"/>
      <c r="E514" s="118"/>
      <c r="F514" s="118"/>
      <c r="G514" s="118"/>
      <c r="H514" s="16">
        <f ca="1">SUM(H504:H513)</f>
        <v>0</v>
      </c>
      <c r="I514" s="16" t="s">
        <v>44</v>
      </c>
      <c r="J514" s="16">
        <f ca="1">SUMPRODUCT(J504:J513,H504:H513)</f>
        <v>0</v>
      </c>
    </row>
    <row r="515" spans="1:10" ht="28" customHeight="1" x14ac:dyDescent="0.2">
      <c r="A515" s="22">
        <f>ROWS(A504:B513)+9</f>
        <v>19</v>
      </c>
      <c r="B515" s="17"/>
      <c r="C515" s="17"/>
      <c r="D515" s="17"/>
      <c r="E515" s="17"/>
      <c r="F515" s="17"/>
      <c r="G515" s="17"/>
      <c r="H515" s="17"/>
      <c r="I515" s="17"/>
      <c r="J515" s="17"/>
    </row>
    <row r="516" spans="1:10" ht="28" customHeight="1" x14ac:dyDescent="0.2">
      <c r="A516" s="120" t="s">
        <v>40</v>
      </c>
      <c r="B516" s="120"/>
      <c r="C516" s="21" t="str">
        <f ca="1">INDIRECT(_xlfn.TEXTJOIN("",TRUE,A518,"!",ADDRESS(5+A519*A515,12)))</f>
        <v/>
      </c>
      <c r="D516" s="120" t="s">
        <v>38</v>
      </c>
      <c r="E516" s="120"/>
      <c r="F516" s="18" t="str">
        <f ca="1">INDIRECT(_xlfn.TEXTJOIN("",TRUE,A518,"!",ADDRESS(5+A519*A515,8)))</f>
        <v/>
      </c>
      <c r="G516" s="120" t="s">
        <v>39</v>
      </c>
      <c r="H516" s="120"/>
      <c r="I516" s="109" t="str">
        <f ca="1">INDIRECT(_xlfn.TEXTJOIN("",TRUE,A518,"!",ADDRESS(5+A519*A515,10)))</f>
        <v/>
      </c>
      <c r="J516" s="109"/>
    </row>
    <row r="517" spans="1:10" ht="28" customHeight="1" x14ac:dyDescent="0.2">
      <c r="A517" s="19" t="s">
        <v>36</v>
      </c>
      <c r="B517" s="95" t="str">
        <f ca="1">INDIRECT(_xlfn.TEXTJOIN("",TRUE,A518,"!",ADDRESS(5+A519*A515,2)))</f>
        <v/>
      </c>
      <c r="C517" s="95"/>
      <c r="D517" s="121" t="s">
        <v>37</v>
      </c>
      <c r="E517" s="121"/>
      <c r="F517" s="122" t="str">
        <f ca="1">INDIRECT(_xlfn.TEXTJOIN("",TRUE,A518,"!",ADDRESS(5+A519*A515,5)))</f>
        <v/>
      </c>
      <c r="G517" s="122"/>
      <c r="H517" s="122"/>
      <c r="I517" s="122"/>
      <c r="J517" s="122"/>
    </row>
    <row r="518" spans="1:10" ht="28" customHeight="1" x14ac:dyDescent="0.2">
      <c r="A518" s="22" t="str">
        <f>A499</f>
        <v>TC_II</v>
      </c>
    </row>
    <row r="519" spans="1:10" ht="28" customHeight="1" x14ac:dyDescent="0.2">
      <c r="A519" s="22">
        <f>A500+1</f>
        <v>27</v>
      </c>
    </row>
    <row r="520" spans="1:10" ht="28" customHeight="1" x14ac:dyDescent="0.2">
      <c r="A520" s="112" t="s">
        <v>24</v>
      </c>
      <c r="B520" s="112"/>
      <c r="C520" s="112" t="str">
        <f ca="1">INDIRECT(_xlfn.TEXTJOIN("",TRUE,A537,"!",ADDRESS(9+(A538-1)*A534,2)))</f>
        <v/>
      </c>
      <c r="D520" s="112"/>
      <c r="E520" s="112"/>
      <c r="F520" s="112" t="s">
        <v>50</v>
      </c>
      <c r="G520" s="112"/>
      <c r="H520" s="112"/>
      <c r="I520" s="113" t="str">
        <f ca="1">INDIRECT(_xlfn.TEXTJOIN("",TRUE,A537,"!",ADDRESS(9+(A538-1)*A534,9)))</f>
        <v/>
      </c>
      <c r="J520" s="113"/>
    </row>
    <row r="521" spans="1:10" ht="28" customHeight="1" x14ac:dyDescent="0.2">
      <c r="A521" s="112" t="s">
        <v>25</v>
      </c>
      <c r="B521" s="112"/>
      <c r="C521" s="112" t="str">
        <f ca="1">INDIRECT(_xlfn.TEXTJOIN("",TRUE,A537,"!",ADDRESS(9+(A538-1)*A534,5)))</f>
        <v/>
      </c>
      <c r="D521" s="112"/>
      <c r="E521" s="112"/>
      <c r="F521" s="114" t="s">
        <v>51</v>
      </c>
      <c r="G521" s="114"/>
      <c r="H521" s="114"/>
      <c r="I521" s="113" t="str">
        <f ca="1">INDIRECT(_xlfn.TEXTJOIN("",TRUE,A537,"!",ADDRESS(9+(A538-1)*A534,13)))</f>
        <v/>
      </c>
      <c r="J521" s="113"/>
    </row>
    <row r="522" spans="1:10" ht="28" customHeight="1" x14ac:dyDescent="0.2">
      <c r="A522" s="95" t="s">
        <v>28</v>
      </c>
      <c r="B522" s="95"/>
      <c r="C522" s="95" t="s">
        <v>29</v>
      </c>
      <c r="D522" s="95"/>
      <c r="E522" s="95"/>
      <c r="F522" s="95"/>
      <c r="G522" s="95"/>
      <c r="H522" s="15" t="s">
        <v>30</v>
      </c>
      <c r="I522" s="15" t="s">
        <v>9</v>
      </c>
      <c r="J522" s="15" t="s">
        <v>34</v>
      </c>
    </row>
    <row r="523" spans="1:10" ht="28" customHeight="1" x14ac:dyDescent="0.2">
      <c r="A523" s="96" t="str">
        <f ca="1">INDIRECT(_xlfn.TEXTJOIN("",TRUE,A537,"!",ADDRESS(13+(A538-1)*A534,1)))</f>
        <v/>
      </c>
      <c r="B523" s="97"/>
      <c r="C523" s="106" t="str">
        <f ca="1">INDIRECT(_xlfn.TEXTJOIN("",TRUE,A537,"!",ADDRESS(13+(A538-1)*A534,2)))</f>
        <v/>
      </c>
      <c r="D523" s="107"/>
      <c r="E523" s="107"/>
      <c r="F523" s="107"/>
      <c r="G523" s="108"/>
      <c r="H523" s="20" t="str">
        <f ca="1">INDIRECT(_xlfn.TEXTJOIN("",TRUE,A537,"!",ADDRESS(13+(A538-1)*A534,6)))</f>
        <v/>
      </c>
      <c r="I523" s="20" t="str">
        <f ca="1">INDIRECT(_xlfn.TEXTJOIN("",TRUE,A537,"!",ADDRESS(13+(A538-1)*A534,13)))</f>
        <v/>
      </c>
      <c r="J523" s="20" t="str">
        <f ca="1">INDIRECT(_xlfn.TEXTJOIN("",TRUE,A537,"!",ADDRESS(13+(A538-1)*A534,14)))</f>
        <v/>
      </c>
    </row>
    <row r="524" spans="1:10" ht="28" customHeight="1" x14ac:dyDescent="0.2">
      <c r="A524" s="96" t="str">
        <f ca="1">INDIRECT(_xlfn.TEXTJOIN("",TRUE,A537,"!",ADDRESS(14+(A538-1)*A534,1)))</f>
        <v/>
      </c>
      <c r="B524" s="97"/>
      <c r="C524" s="106" t="str">
        <f ca="1">INDIRECT(_xlfn.TEXTJOIN("",TRUE,A537,"!",ADDRESS(14+(A538-1)*A534,2)))</f>
        <v/>
      </c>
      <c r="D524" s="107"/>
      <c r="E524" s="107"/>
      <c r="F524" s="107"/>
      <c r="G524" s="108"/>
      <c r="H524" s="20" t="str">
        <f ca="1">INDIRECT(_xlfn.TEXTJOIN("",TRUE,A537,"!",ADDRESS(14+(A538-1)*A534,6)))</f>
        <v/>
      </c>
      <c r="I524" s="20" t="str">
        <f ca="1">INDIRECT(_xlfn.TEXTJOIN("",TRUE,A537,"!",ADDRESS(14+(A538-1)*A534,13)))</f>
        <v/>
      </c>
      <c r="J524" s="20" t="str">
        <f ca="1">INDIRECT(_xlfn.TEXTJOIN("",TRUE,A537,"!",ADDRESS(14+(A538-1)*A534,14)))</f>
        <v/>
      </c>
    </row>
    <row r="525" spans="1:10" ht="28" customHeight="1" x14ac:dyDescent="0.2">
      <c r="A525" s="96" t="str">
        <f ca="1">INDIRECT(_xlfn.TEXTJOIN("",TRUE,A537,"!",ADDRESS(15+(A538-1)*A534,1)))</f>
        <v/>
      </c>
      <c r="B525" s="97"/>
      <c r="C525" s="106" t="str">
        <f ca="1">INDIRECT(_xlfn.TEXTJOIN("",TRUE,A537,"!",ADDRESS(15+(A538-1)*A534,2)))</f>
        <v/>
      </c>
      <c r="D525" s="107"/>
      <c r="E525" s="107"/>
      <c r="F525" s="107"/>
      <c r="G525" s="108"/>
      <c r="H525" s="20" t="str">
        <f ca="1">INDIRECT(_xlfn.TEXTJOIN("",TRUE,A537,"!",ADDRESS(15+(A538-1)*A534,6)))</f>
        <v/>
      </c>
      <c r="I525" s="20" t="str">
        <f ca="1">INDIRECT(_xlfn.TEXTJOIN("",TRUE,A537,"!",ADDRESS(15+(A538-1)*A534,13)))</f>
        <v/>
      </c>
      <c r="J525" s="20" t="str">
        <f ca="1">INDIRECT(_xlfn.TEXTJOIN("",TRUE,A537,"!",ADDRESS(15+(A538-1)*A534,14)))</f>
        <v/>
      </c>
    </row>
    <row r="526" spans="1:10" ht="28" customHeight="1" x14ac:dyDescent="0.2">
      <c r="A526" s="96" t="str">
        <f ca="1">INDIRECT(_xlfn.TEXTJOIN("",TRUE,A537,"!",ADDRESS(16+(A538-1)*A534,1)))</f>
        <v/>
      </c>
      <c r="B526" s="97"/>
      <c r="C526" s="106" t="str">
        <f ca="1">INDIRECT(_xlfn.TEXTJOIN("",TRUE,A537,"!",ADDRESS(16+(A538-1)*A534,2)))</f>
        <v/>
      </c>
      <c r="D526" s="107"/>
      <c r="E526" s="107"/>
      <c r="F526" s="107"/>
      <c r="G526" s="108"/>
      <c r="H526" s="20" t="str">
        <f ca="1">INDIRECT(_xlfn.TEXTJOIN("",TRUE,A537,"!",ADDRESS(16+(A538-1)*A534,6)))</f>
        <v/>
      </c>
      <c r="I526" s="20" t="str">
        <f ca="1">INDIRECT(_xlfn.TEXTJOIN("",TRUE,A537,"!",ADDRESS(16+(A538-1)*A534,13)))</f>
        <v/>
      </c>
      <c r="J526" s="20" t="str">
        <f ca="1">INDIRECT(_xlfn.TEXTJOIN("",TRUE,A537,"!",ADDRESS(16+(A538-1)*A534,14)))</f>
        <v/>
      </c>
    </row>
    <row r="527" spans="1:10" ht="28" customHeight="1" x14ac:dyDescent="0.2">
      <c r="A527" s="96" t="str">
        <f ca="1">INDIRECT(_xlfn.TEXTJOIN("",TRUE,A537,"!",ADDRESS(17+(A538-1)*A534,1)))</f>
        <v/>
      </c>
      <c r="B527" s="97"/>
      <c r="C527" s="106" t="str">
        <f ca="1">INDIRECT(_xlfn.TEXTJOIN("",TRUE,A537,"!",ADDRESS(17+(A538-1)*A534,2)))</f>
        <v/>
      </c>
      <c r="D527" s="107"/>
      <c r="E527" s="107"/>
      <c r="F527" s="107"/>
      <c r="G527" s="108"/>
      <c r="H527" s="20" t="str">
        <f ca="1">INDIRECT(_xlfn.TEXTJOIN("",TRUE,A537,"!",ADDRESS(17+(A538-1)*A534,6)))</f>
        <v/>
      </c>
      <c r="I527" s="20" t="str">
        <f ca="1">INDIRECT(_xlfn.TEXTJOIN("",TRUE,A537,"!",ADDRESS(17+(A538-1)*A534,13)))</f>
        <v/>
      </c>
      <c r="J527" s="20" t="str">
        <f ca="1">INDIRECT(_xlfn.TEXTJOIN("",TRUE,A537,"!",ADDRESS(17+(A538-1)*A534,14)))</f>
        <v/>
      </c>
    </row>
    <row r="528" spans="1:10" ht="28" customHeight="1" x14ac:dyDescent="0.2">
      <c r="A528" s="96" t="str">
        <f ca="1">INDIRECT(_xlfn.TEXTJOIN("",TRUE,A537,"!",ADDRESS(18+(A538-1)*A534,1)))</f>
        <v/>
      </c>
      <c r="B528" s="97"/>
      <c r="C528" s="106" t="str">
        <f ca="1">INDIRECT(_xlfn.TEXTJOIN("",TRUE,A537,"!",ADDRESS(18+(A538-1)*A534,2)))</f>
        <v/>
      </c>
      <c r="D528" s="107"/>
      <c r="E528" s="107"/>
      <c r="F528" s="107"/>
      <c r="G528" s="108"/>
      <c r="H528" s="20" t="str">
        <f ca="1">INDIRECT(_xlfn.TEXTJOIN("",TRUE,A537,"!",ADDRESS(18+(A538-1)*A534,6)))</f>
        <v/>
      </c>
      <c r="I528" s="20" t="str">
        <f ca="1">INDIRECT(_xlfn.TEXTJOIN("",TRUE,A537,"!",ADDRESS(18+(A538-1)*A534,13)))</f>
        <v/>
      </c>
      <c r="J528" s="20" t="str">
        <f ca="1">INDIRECT(_xlfn.TEXTJOIN("",TRUE,A537,"!",ADDRESS(18+(A538-1)*A534,14)))</f>
        <v/>
      </c>
    </row>
    <row r="529" spans="1:10" ht="28" customHeight="1" x14ac:dyDescent="0.2">
      <c r="A529" s="96" t="str">
        <f ca="1">INDIRECT(_xlfn.TEXTJOIN("",TRUE,A537,"!",ADDRESS(19+(A538-1)*A534,1)))</f>
        <v/>
      </c>
      <c r="B529" s="97"/>
      <c r="C529" s="106" t="str">
        <f ca="1">INDIRECT(_xlfn.TEXTJOIN("",TRUE,A537,"!",ADDRESS(19+(A538-1)*A534,2)))</f>
        <v/>
      </c>
      <c r="D529" s="107"/>
      <c r="E529" s="107"/>
      <c r="F529" s="107"/>
      <c r="G529" s="108"/>
      <c r="H529" s="20" t="str">
        <f ca="1">INDIRECT(_xlfn.TEXTJOIN("",TRUE,A537,"!",ADDRESS(19+(A538-1)*A534,6)))</f>
        <v/>
      </c>
      <c r="I529" s="20" t="str">
        <f ca="1">INDIRECT(_xlfn.TEXTJOIN("",TRUE,A537,"!",ADDRESS(19+(A538-1)*A534,13)))</f>
        <v/>
      </c>
      <c r="J529" s="20" t="str">
        <f ca="1">INDIRECT(_xlfn.TEXTJOIN("",TRUE,A537,"!",ADDRESS(19+(A538-1)*A534,14)))</f>
        <v/>
      </c>
    </row>
    <row r="530" spans="1:10" ht="28" customHeight="1" x14ac:dyDescent="0.2">
      <c r="A530" s="96" t="str">
        <f ca="1">INDIRECT(_xlfn.TEXTJOIN("",TRUE,A537,"!",ADDRESS(20+(A538-1)*A534,1)))</f>
        <v/>
      </c>
      <c r="B530" s="97"/>
      <c r="C530" s="106" t="str">
        <f ca="1">INDIRECT(_xlfn.TEXTJOIN("",TRUE,A537,"!",ADDRESS(20+(A538-1)*A534,2)))</f>
        <v/>
      </c>
      <c r="D530" s="107"/>
      <c r="E530" s="107"/>
      <c r="F530" s="107"/>
      <c r="G530" s="108"/>
      <c r="H530" s="20" t="str">
        <f ca="1">INDIRECT(_xlfn.TEXTJOIN("",TRUE,A537,"!",ADDRESS(20+(A538-1)*A534,6)))</f>
        <v/>
      </c>
      <c r="I530" s="20" t="str">
        <f ca="1">INDIRECT(_xlfn.TEXTJOIN("",TRUE,A537,"!",ADDRESS(20+(A538-1)*A534,13)))</f>
        <v/>
      </c>
      <c r="J530" s="20" t="str">
        <f ca="1">INDIRECT(_xlfn.TEXTJOIN("",TRUE,A537,"!",ADDRESS(20+(A538-1)*A534,14)))</f>
        <v/>
      </c>
    </row>
    <row r="531" spans="1:10" ht="28" customHeight="1" x14ac:dyDescent="0.2">
      <c r="A531" s="96" t="str">
        <f ca="1">INDIRECT(_xlfn.TEXTJOIN("",TRUE,A537,"!",ADDRESS(21+(A538-1)*A534,1)))</f>
        <v/>
      </c>
      <c r="B531" s="97"/>
      <c r="C531" s="106" t="str">
        <f ca="1">INDIRECT(_xlfn.TEXTJOIN("",TRUE,A537,"!",ADDRESS(21+(A538-1)*A534,2)))</f>
        <v/>
      </c>
      <c r="D531" s="107"/>
      <c r="E531" s="107"/>
      <c r="F531" s="107"/>
      <c r="G531" s="108"/>
      <c r="H531" s="20" t="str">
        <f ca="1">INDIRECT(_xlfn.TEXTJOIN("",TRUE,A537,"!",ADDRESS(21+(A538-1)*A534,6)))</f>
        <v/>
      </c>
      <c r="I531" s="20" t="str">
        <f ca="1">INDIRECT(_xlfn.TEXTJOIN("",TRUE,A537,"!",ADDRESS(21+(A538-1)*A534,13)))</f>
        <v/>
      </c>
      <c r="J531" s="20" t="str">
        <f ca="1">INDIRECT(_xlfn.TEXTJOIN("",TRUE,A537,"!",ADDRESS(21+(A538-1)*A534,14)))</f>
        <v/>
      </c>
    </row>
    <row r="532" spans="1:10" ht="28" customHeight="1" x14ac:dyDescent="0.2">
      <c r="A532" s="96" t="str">
        <f ca="1">INDIRECT(_xlfn.TEXTJOIN("",TRUE,A537,"!",ADDRESS(22+(A538-1)*A534,1)))</f>
        <v/>
      </c>
      <c r="B532" s="97"/>
      <c r="C532" s="106" t="str">
        <f ca="1">INDIRECT(_xlfn.TEXTJOIN("",TRUE,A537,"!",ADDRESS(22+(A538-1)*A534,2)))</f>
        <v/>
      </c>
      <c r="D532" s="107"/>
      <c r="E532" s="107"/>
      <c r="F532" s="107"/>
      <c r="G532" s="108"/>
      <c r="H532" s="20" t="str">
        <f ca="1">INDIRECT(_xlfn.TEXTJOIN("",TRUE,A537,"!",ADDRESS(22+(A538-1)*A534,6)))</f>
        <v/>
      </c>
      <c r="I532" s="20" t="str">
        <f ca="1">INDIRECT(_xlfn.TEXTJOIN("",TRUE,A537,"!",ADDRESS(22+(A538-1)*A534,13)))</f>
        <v/>
      </c>
      <c r="J532" s="20" t="str">
        <f ca="1">INDIRECT(_xlfn.TEXTJOIN("",TRUE,A537,"!",ADDRESS(22+(A538-1)*A534,14)))</f>
        <v/>
      </c>
    </row>
    <row r="533" spans="1:10" ht="28" customHeight="1" x14ac:dyDescent="0.2">
      <c r="A533" s="118" t="s">
        <v>52</v>
      </c>
      <c r="B533" s="118"/>
      <c r="C533" s="118"/>
      <c r="D533" s="118"/>
      <c r="E533" s="118"/>
      <c r="F533" s="118"/>
      <c r="G533" s="118"/>
      <c r="H533" s="16">
        <f ca="1">SUM(H523:H532)</f>
        <v>0</v>
      </c>
      <c r="I533" s="16" t="s">
        <v>44</v>
      </c>
      <c r="J533" s="16">
        <f ca="1">SUMPRODUCT(J523:J532,H523:H532)</f>
        <v>0</v>
      </c>
    </row>
    <row r="534" spans="1:10" ht="28" customHeight="1" x14ac:dyDescent="0.2">
      <c r="A534" s="22">
        <f>ROWS(A523:B532)+9</f>
        <v>19</v>
      </c>
      <c r="B534" s="17"/>
      <c r="C534" s="17"/>
      <c r="D534" s="17"/>
      <c r="E534" s="17"/>
      <c r="F534" s="17"/>
      <c r="G534" s="17"/>
      <c r="H534" s="17"/>
      <c r="I534" s="17"/>
      <c r="J534" s="17"/>
    </row>
    <row r="535" spans="1:10" ht="28" customHeight="1" x14ac:dyDescent="0.2">
      <c r="A535" s="120" t="s">
        <v>40</v>
      </c>
      <c r="B535" s="120"/>
      <c r="C535" s="21" t="str">
        <f ca="1">INDIRECT(_xlfn.TEXTJOIN("",TRUE,A537,"!",ADDRESS(5+A538*A534,12)))</f>
        <v/>
      </c>
      <c r="D535" s="120" t="s">
        <v>38</v>
      </c>
      <c r="E535" s="120"/>
      <c r="F535" s="18" t="str">
        <f ca="1">INDIRECT(_xlfn.TEXTJOIN("",TRUE,A537,"!",ADDRESS(5+A538*A534,8)))</f>
        <v/>
      </c>
      <c r="G535" s="120" t="s">
        <v>39</v>
      </c>
      <c r="H535" s="120"/>
      <c r="I535" s="109" t="str">
        <f ca="1">INDIRECT(_xlfn.TEXTJOIN("",TRUE,A537,"!",ADDRESS(5+A538*A534,10)))</f>
        <v/>
      </c>
      <c r="J535" s="109"/>
    </row>
    <row r="536" spans="1:10" ht="28" customHeight="1" x14ac:dyDescent="0.2">
      <c r="A536" s="19" t="s">
        <v>36</v>
      </c>
      <c r="B536" s="95" t="str">
        <f ca="1">INDIRECT(_xlfn.TEXTJOIN("",TRUE,A537,"!",ADDRESS(5+A538*A534,2)))</f>
        <v/>
      </c>
      <c r="C536" s="95"/>
      <c r="D536" s="121" t="s">
        <v>37</v>
      </c>
      <c r="E536" s="121"/>
      <c r="F536" s="122" t="str">
        <f ca="1">INDIRECT(_xlfn.TEXTJOIN("",TRUE,A537,"!",ADDRESS(5+A538*A534,5)))</f>
        <v/>
      </c>
      <c r="G536" s="122"/>
      <c r="H536" s="122"/>
      <c r="I536" s="122"/>
      <c r="J536" s="122"/>
    </row>
    <row r="537" spans="1:10" ht="28" customHeight="1" x14ac:dyDescent="0.2">
      <c r="A537" s="22" t="str">
        <f>A518</f>
        <v>TC_II</v>
      </c>
    </row>
    <row r="538" spans="1:10" ht="28" customHeight="1" x14ac:dyDescent="0.2">
      <c r="A538" s="22">
        <f>A519+1</f>
        <v>28</v>
      </c>
    </row>
    <row r="539" spans="1:10" ht="28" customHeight="1" x14ac:dyDescent="0.2">
      <c r="A539" s="112" t="s">
        <v>24</v>
      </c>
      <c r="B539" s="112"/>
      <c r="C539" s="112" t="str">
        <f ca="1">INDIRECT(_xlfn.TEXTJOIN("",TRUE,A556,"!",ADDRESS(9+(A557-1)*A553,2)))</f>
        <v/>
      </c>
      <c r="D539" s="112"/>
      <c r="E539" s="112"/>
      <c r="F539" s="112" t="s">
        <v>50</v>
      </c>
      <c r="G539" s="112"/>
      <c r="H539" s="112"/>
      <c r="I539" s="113" t="str">
        <f ca="1">INDIRECT(_xlfn.TEXTJOIN("",TRUE,A556,"!",ADDRESS(9+(A557-1)*A553,9)))</f>
        <v/>
      </c>
      <c r="J539" s="113"/>
    </row>
    <row r="540" spans="1:10" ht="28" customHeight="1" x14ac:dyDescent="0.2">
      <c r="A540" s="112" t="s">
        <v>25</v>
      </c>
      <c r="B540" s="112"/>
      <c r="C540" s="112" t="str">
        <f ca="1">INDIRECT(_xlfn.TEXTJOIN("",TRUE,A556,"!",ADDRESS(9+(A557-1)*A553,5)))</f>
        <v/>
      </c>
      <c r="D540" s="112"/>
      <c r="E540" s="112"/>
      <c r="F540" s="114" t="s">
        <v>51</v>
      </c>
      <c r="G540" s="114"/>
      <c r="H540" s="114"/>
      <c r="I540" s="113" t="str">
        <f ca="1">INDIRECT(_xlfn.TEXTJOIN("",TRUE,A556,"!",ADDRESS(9+(A557-1)*A553,13)))</f>
        <v/>
      </c>
      <c r="J540" s="113"/>
    </row>
    <row r="541" spans="1:10" ht="28" customHeight="1" x14ac:dyDescent="0.2">
      <c r="A541" s="95" t="s">
        <v>28</v>
      </c>
      <c r="B541" s="95"/>
      <c r="C541" s="95" t="s">
        <v>29</v>
      </c>
      <c r="D541" s="95"/>
      <c r="E541" s="95"/>
      <c r="F541" s="95"/>
      <c r="G541" s="95"/>
      <c r="H541" s="15" t="s">
        <v>30</v>
      </c>
      <c r="I541" s="15" t="s">
        <v>9</v>
      </c>
      <c r="J541" s="15" t="s">
        <v>34</v>
      </c>
    </row>
    <row r="542" spans="1:10" ht="28" customHeight="1" x14ac:dyDescent="0.2">
      <c r="A542" s="96" t="str">
        <f ca="1">INDIRECT(_xlfn.TEXTJOIN("",TRUE,A556,"!",ADDRESS(13+(A557-1)*A553,1)))</f>
        <v/>
      </c>
      <c r="B542" s="97"/>
      <c r="C542" s="106" t="str">
        <f ca="1">INDIRECT(_xlfn.TEXTJOIN("",TRUE,A556,"!",ADDRESS(13+(A557-1)*A553,2)))</f>
        <v/>
      </c>
      <c r="D542" s="107"/>
      <c r="E542" s="107"/>
      <c r="F542" s="107"/>
      <c r="G542" s="108"/>
      <c r="H542" s="20" t="str">
        <f ca="1">INDIRECT(_xlfn.TEXTJOIN("",TRUE,A556,"!",ADDRESS(13+(A557-1)*A553,6)))</f>
        <v/>
      </c>
      <c r="I542" s="20" t="str">
        <f ca="1">INDIRECT(_xlfn.TEXTJOIN("",TRUE,A556,"!",ADDRESS(13+(A557-1)*A553,13)))</f>
        <v/>
      </c>
      <c r="J542" s="20" t="str">
        <f ca="1">INDIRECT(_xlfn.TEXTJOIN("",TRUE,A556,"!",ADDRESS(13+(A557-1)*A553,14)))</f>
        <v/>
      </c>
    </row>
    <row r="543" spans="1:10" ht="28" customHeight="1" x14ac:dyDescent="0.2">
      <c r="A543" s="96" t="str">
        <f ca="1">INDIRECT(_xlfn.TEXTJOIN("",TRUE,A556,"!",ADDRESS(14+(A557-1)*A553,1)))</f>
        <v/>
      </c>
      <c r="B543" s="97"/>
      <c r="C543" s="106" t="str">
        <f ca="1">INDIRECT(_xlfn.TEXTJOIN("",TRUE,A556,"!",ADDRESS(14+(A557-1)*A553,2)))</f>
        <v/>
      </c>
      <c r="D543" s="107"/>
      <c r="E543" s="107"/>
      <c r="F543" s="107"/>
      <c r="G543" s="108"/>
      <c r="H543" s="20" t="str">
        <f ca="1">INDIRECT(_xlfn.TEXTJOIN("",TRUE,A556,"!",ADDRESS(14+(A557-1)*A553,6)))</f>
        <v/>
      </c>
      <c r="I543" s="20" t="str">
        <f ca="1">INDIRECT(_xlfn.TEXTJOIN("",TRUE,A556,"!",ADDRESS(14+(A557-1)*A553,13)))</f>
        <v/>
      </c>
      <c r="J543" s="20" t="str">
        <f ca="1">INDIRECT(_xlfn.TEXTJOIN("",TRUE,A556,"!",ADDRESS(14+(A557-1)*A553,14)))</f>
        <v/>
      </c>
    </row>
    <row r="544" spans="1:10" ht="28" customHeight="1" x14ac:dyDescent="0.2">
      <c r="A544" s="96" t="str">
        <f ca="1">INDIRECT(_xlfn.TEXTJOIN("",TRUE,A556,"!",ADDRESS(15+(A557-1)*A553,1)))</f>
        <v/>
      </c>
      <c r="B544" s="97"/>
      <c r="C544" s="106" t="str">
        <f ca="1">INDIRECT(_xlfn.TEXTJOIN("",TRUE,A556,"!",ADDRESS(15+(A557-1)*A553,2)))</f>
        <v/>
      </c>
      <c r="D544" s="107"/>
      <c r="E544" s="107"/>
      <c r="F544" s="107"/>
      <c r="G544" s="108"/>
      <c r="H544" s="20" t="str">
        <f ca="1">INDIRECT(_xlfn.TEXTJOIN("",TRUE,A556,"!",ADDRESS(15+(A557-1)*A553,6)))</f>
        <v/>
      </c>
      <c r="I544" s="20" t="str">
        <f ca="1">INDIRECT(_xlfn.TEXTJOIN("",TRUE,A556,"!",ADDRESS(15+(A557-1)*A553,13)))</f>
        <v/>
      </c>
      <c r="J544" s="20" t="str">
        <f ca="1">INDIRECT(_xlfn.TEXTJOIN("",TRUE,A556,"!",ADDRESS(15+(A557-1)*A553,14)))</f>
        <v/>
      </c>
    </row>
    <row r="545" spans="1:10" ht="28" customHeight="1" x14ac:dyDescent="0.2">
      <c r="A545" s="96" t="str">
        <f ca="1">INDIRECT(_xlfn.TEXTJOIN("",TRUE,A556,"!",ADDRESS(16+(A557-1)*A553,1)))</f>
        <v/>
      </c>
      <c r="B545" s="97"/>
      <c r="C545" s="106" t="str">
        <f ca="1">INDIRECT(_xlfn.TEXTJOIN("",TRUE,A556,"!",ADDRESS(16+(A557-1)*A553,2)))</f>
        <v/>
      </c>
      <c r="D545" s="107"/>
      <c r="E545" s="107"/>
      <c r="F545" s="107"/>
      <c r="G545" s="108"/>
      <c r="H545" s="20" t="str">
        <f ca="1">INDIRECT(_xlfn.TEXTJOIN("",TRUE,A556,"!",ADDRESS(16+(A557-1)*A553,6)))</f>
        <v/>
      </c>
      <c r="I545" s="20" t="str">
        <f ca="1">INDIRECT(_xlfn.TEXTJOIN("",TRUE,A556,"!",ADDRESS(16+(A557-1)*A553,13)))</f>
        <v/>
      </c>
      <c r="J545" s="20" t="str">
        <f ca="1">INDIRECT(_xlfn.TEXTJOIN("",TRUE,A556,"!",ADDRESS(16+(A557-1)*A553,14)))</f>
        <v/>
      </c>
    </row>
    <row r="546" spans="1:10" ht="28" customHeight="1" x14ac:dyDescent="0.2">
      <c r="A546" s="96" t="str">
        <f ca="1">INDIRECT(_xlfn.TEXTJOIN("",TRUE,A556,"!",ADDRESS(17+(A557-1)*A553,1)))</f>
        <v/>
      </c>
      <c r="B546" s="97"/>
      <c r="C546" s="106" t="str">
        <f ca="1">INDIRECT(_xlfn.TEXTJOIN("",TRUE,A556,"!",ADDRESS(17+(A557-1)*A553,2)))</f>
        <v/>
      </c>
      <c r="D546" s="107"/>
      <c r="E546" s="107"/>
      <c r="F546" s="107"/>
      <c r="G546" s="108"/>
      <c r="H546" s="20" t="str">
        <f ca="1">INDIRECT(_xlfn.TEXTJOIN("",TRUE,A556,"!",ADDRESS(17+(A557-1)*A553,6)))</f>
        <v/>
      </c>
      <c r="I546" s="20" t="str">
        <f ca="1">INDIRECT(_xlfn.TEXTJOIN("",TRUE,A556,"!",ADDRESS(17+(A557-1)*A553,13)))</f>
        <v/>
      </c>
      <c r="J546" s="20" t="str">
        <f ca="1">INDIRECT(_xlfn.TEXTJOIN("",TRUE,A556,"!",ADDRESS(17+(A557-1)*A553,14)))</f>
        <v/>
      </c>
    </row>
    <row r="547" spans="1:10" ht="28" customHeight="1" x14ac:dyDescent="0.2">
      <c r="A547" s="96" t="str">
        <f ca="1">INDIRECT(_xlfn.TEXTJOIN("",TRUE,A556,"!",ADDRESS(18+(A557-1)*A553,1)))</f>
        <v/>
      </c>
      <c r="B547" s="97"/>
      <c r="C547" s="106" t="str">
        <f ca="1">INDIRECT(_xlfn.TEXTJOIN("",TRUE,A556,"!",ADDRESS(18+(A557-1)*A553,2)))</f>
        <v/>
      </c>
      <c r="D547" s="107"/>
      <c r="E547" s="107"/>
      <c r="F547" s="107"/>
      <c r="G547" s="108"/>
      <c r="H547" s="20" t="str">
        <f ca="1">INDIRECT(_xlfn.TEXTJOIN("",TRUE,A556,"!",ADDRESS(18+(A557-1)*A553,6)))</f>
        <v/>
      </c>
      <c r="I547" s="20" t="str">
        <f ca="1">INDIRECT(_xlfn.TEXTJOIN("",TRUE,A556,"!",ADDRESS(18+(A557-1)*A553,13)))</f>
        <v/>
      </c>
      <c r="J547" s="20" t="str">
        <f ca="1">INDIRECT(_xlfn.TEXTJOIN("",TRUE,A556,"!",ADDRESS(18+(A557-1)*A553,14)))</f>
        <v/>
      </c>
    </row>
    <row r="548" spans="1:10" ht="28" customHeight="1" x14ac:dyDescent="0.2">
      <c r="A548" s="96" t="str">
        <f ca="1">INDIRECT(_xlfn.TEXTJOIN("",TRUE,A556,"!",ADDRESS(19+(A557-1)*A553,1)))</f>
        <v/>
      </c>
      <c r="B548" s="97"/>
      <c r="C548" s="106" t="str">
        <f ca="1">INDIRECT(_xlfn.TEXTJOIN("",TRUE,A556,"!",ADDRESS(19+(A557-1)*A553,2)))</f>
        <v/>
      </c>
      <c r="D548" s="107"/>
      <c r="E548" s="107"/>
      <c r="F548" s="107"/>
      <c r="G548" s="108"/>
      <c r="H548" s="20" t="str">
        <f ca="1">INDIRECT(_xlfn.TEXTJOIN("",TRUE,A556,"!",ADDRESS(19+(A557-1)*A553,6)))</f>
        <v/>
      </c>
      <c r="I548" s="20" t="str">
        <f ca="1">INDIRECT(_xlfn.TEXTJOIN("",TRUE,A556,"!",ADDRESS(19+(A557-1)*A553,13)))</f>
        <v/>
      </c>
      <c r="J548" s="20" t="str">
        <f ca="1">INDIRECT(_xlfn.TEXTJOIN("",TRUE,A556,"!",ADDRESS(19+(A557-1)*A553,14)))</f>
        <v/>
      </c>
    </row>
    <row r="549" spans="1:10" ht="28" customHeight="1" x14ac:dyDescent="0.2">
      <c r="A549" s="96" t="str">
        <f ca="1">INDIRECT(_xlfn.TEXTJOIN("",TRUE,A556,"!",ADDRESS(20+(A557-1)*A553,1)))</f>
        <v/>
      </c>
      <c r="B549" s="97"/>
      <c r="C549" s="106" t="str">
        <f ca="1">INDIRECT(_xlfn.TEXTJOIN("",TRUE,A556,"!",ADDRESS(20+(A557-1)*A553,2)))</f>
        <v/>
      </c>
      <c r="D549" s="107"/>
      <c r="E549" s="107"/>
      <c r="F549" s="107"/>
      <c r="G549" s="108"/>
      <c r="H549" s="20" t="str">
        <f ca="1">INDIRECT(_xlfn.TEXTJOIN("",TRUE,A556,"!",ADDRESS(20+(A557-1)*A553,6)))</f>
        <v/>
      </c>
      <c r="I549" s="20" t="str">
        <f ca="1">INDIRECT(_xlfn.TEXTJOIN("",TRUE,A556,"!",ADDRESS(20+(A557-1)*A553,13)))</f>
        <v/>
      </c>
      <c r="J549" s="20" t="str">
        <f ca="1">INDIRECT(_xlfn.TEXTJOIN("",TRUE,A556,"!",ADDRESS(20+(A557-1)*A553,14)))</f>
        <v/>
      </c>
    </row>
    <row r="550" spans="1:10" ht="28" customHeight="1" x14ac:dyDescent="0.2">
      <c r="A550" s="96" t="str">
        <f ca="1">INDIRECT(_xlfn.TEXTJOIN("",TRUE,A556,"!",ADDRESS(21+(A557-1)*A553,1)))</f>
        <v/>
      </c>
      <c r="B550" s="97"/>
      <c r="C550" s="106" t="str">
        <f ca="1">INDIRECT(_xlfn.TEXTJOIN("",TRUE,A556,"!",ADDRESS(21+(A557-1)*A553,2)))</f>
        <v/>
      </c>
      <c r="D550" s="107"/>
      <c r="E550" s="107"/>
      <c r="F550" s="107"/>
      <c r="G550" s="108"/>
      <c r="H550" s="20" t="str">
        <f ca="1">INDIRECT(_xlfn.TEXTJOIN("",TRUE,A556,"!",ADDRESS(21+(A557-1)*A553,6)))</f>
        <v/>
      </c>
      <c r="I550" s="20" t="str">
        <f ca="1">INDIRECT(_xlfn.TEXTJOIN("",TRUE,A556,"!",ADDRESS(21+(A557-1)*A553,13)))</f>
        <v/>
      </c>
      <c r="J550" s="20" t="str">
        <f ca="1">INDIRECT(_xlfn.TEXTJOIN("",TRUE,A556,"!",ADDRESS(21+(A557-1)*A553,14)))</f>
        <v/>
      </c>
    </row>
    <row r="551" spans="1:10" ht="28" customHeight="1" x14ac:dyDescent="0.2">
      <c r="A551" s="96" t="str">
        <f ca="1">INDIRECT(_xlfn.TEXTJOIN("",TRUE,A556,"!",ADDRESS(22+(A557-1)*A553,1)))</f>
        <v/>
      </c>
      <c r="B551" s="97"/>
      <c r="C551" s="106" t="str">
        <f ca="1">INDIRECT(_xlfn.TEXTJOIN("",TRUE,A556,"!",ADDRESS(22+(A557-1)*A553,2)))</f>
        <v/>
      </c>
      <c r="D551" s="107"/>
      <c r="E551" s="107"/>
      <c r="F551" s="107"/>
      <c r="G551" s="108"/>
      <c r="H551" s="20" t="str">
        <f ca="1">INDIRECT(_xlfn.TEXTJOIN("",TRUE,A556,"!",ADDRESS(22+(A557-1)*A553,6)))</f>
        <v/>
      </c>
      <c r="I551" s="20" t="str">
        <f ca="1">INDIRECT(_xlfn.TEXTJOIN("",TRUE,A556,"!",ADDRESS(22+(A557-1)*A553,13)))</f>
        <v/>
      </c>
      <c r="J551" s="20" t="str">
        <f ca="1">INDIRECT(_xlfn.TEXTJOIN("",TRUE,A556,"!",ADDRESS(22+(A557-1)*A553,14)))</f>
        <v/>
      </c>
    </row>
    <row r="552" spans="1:10" ht="28" customHeight="1" x14ac:dyDescent="0.2">
      <c r="A552" s="118" t="s">
        <v>52</v>
      </c>
      <c r="B552" s="118"/>
      <c r="C552" s="118"/>
      <c r="D552" s="118"/>
      <c r="E552" s="118"/>
      <c r="F552" s="118"/>
      <c r="G552" s="118"/>
      <c r="H552" s="16">
        <f ca="1">SUM(H542:H551)</f>
        <v>0</v>
      </c>
      <c r="I552" s="16" t="s">
        <v>44</v>
      </c>
      <c r="J552" s="16">
        <f ca="1">SUMPRODUCT(J542:J551,H542:H551)</f>
        <v>0</v>
      </c>
    </row>
    <row r="553" spans="1:10" ht="28" customHeight="1" x14ac:dyDescent="0.2">
      <c r="A553" s="22">
        <f>ROWS(A542:B551)+9</f>
        <v>19</v>
      </c>
      <c r="B553" s="17"/>
      <c r="C553" s="17"/>
      <c r="D553" s="17"/>
      <c r="E553" s="17"/>
      <c r="F553" s="17"/>
      <c r="G553" s="17"/>
      <c r="H553" s="17"/>
      <c r="I553" s="17"/>
      <c r="J553" s="17"/>
    </row>
    <row r="554" spans="1:10" ht="28" customHeight="1" x14ac:dyDescent="0.2">
      <c r="A554" s="120" t="s">
        <v>40</v>
      </c>
      <c r="B554" s="120"/>
      <c r="C554" s="21" t="str">
        <f ca="1">INDIRECT(_xlfn.TEXTJOIN("",TRUE,A556,"!",ADDRESS(5+A557*A553,12)))</f>
        <v/>
      </c>
      <c r="D554" s="120" t="s">
        <v>38</v>
      </c>
      <c r="E554" s="120"/>
      <c r="F554" s="18" t="str">
        <f ca="1">INDIRECT(_xlfn.TEXTJOIN("",TRUE,A556,"!",ADDRESS(5+A557*A553,8)))</f>
        <v/>
      </c>
      <c r="G554" s="120" t="s">
        <v>39</v>
      </c>
      <c r="H554" s="120"/>
      <c r="I554" s="109" t="str">
        <f ca="1">INDIRECT(_xlfn.TEXTJOIN("",TRUE,A556,"!",ADDRESS(5+A557*A553,10)))</f>
        <v/>
      </c>
      <c r="J554" s="109"/>
    </row>
    <row r="555" spans="1:10" ht="28" customHeight="1" x14ac:dyDescent="0.2">
      <c r="A555" s="19" t="s">
        <v>36</v>
      </c>
      <c r="B555" s="95" t="str">
        <f ca="1">INDIRECT(_xlfn.TEXTJOIN("",TRUE,A556,"!",ADDRESS(5+A557*A553,2)))</f>
        <v/>
      </c>
      <c r="C555" s="95"/>
      <c r="D555" s="121" t="s">
        <v>37</v>
      </c>
      <c r="E555" s="121"/>
      <c r="F555" s="122" t="str">
        <f ca="1">INDIRECT(_xlfn.TEXTJOIN("",TRUE,A556,"!",ADDRESS(5+A557*A553,5)))</f>
        <v/>
      </c>
      <c r="G555" s="122"/>
      <c r="H555" s="122"/>
      <c r="I555" s="122"/>
      <c r="J555" s="122"/>
    </row>
    <row r="556" spans="1:10" ht="28" customHeight="1" x14ac:dyDescent="0.2">
      <c r="A556" s="22" t="str">
        <f>A537</f>
        <v>TC_II</v>
      </c>
    </row>
    <row r="557" spans="1:10" ht="28" customHeight="1" x14ac:dyDescent="0.2">
      <c r="A557" s="22">
        <f>A538+1</f>
        <v>29</v>
      </c>
    </row>
    <row r="558" spans="1:10" ht="28" customHeight="1" x14ac:dyDescent="0.2">
      <c r="A558" s="112" t="s">
        <v>24</v>
      </c>
      <c r="B558" s="112"/>
      <c r="C558" s="112" t="str">
        <f ca="1">INDIRECT(_xlfn.TEXTJOIN("",TRUE,A575,"!",ADDRESS(9+(A576-1)*A572,2)))</f>
        <v/>
      </c>
      <c r="D558" s="112"/>
      <c r="E558" s="112"/>
      <c r="F558" s="112" t="s">
        <v>50</v>
      </c>
      <c r="G558" s="112"/>
      <c r="H558" s="112"/>
      <c r="I558" s="113" t="str">
        <f ca="1">INDIRECT(_xlfn.TEXTJOIN("",TRUE,A575,"!",ADDRESS(9+(A576-1)*A572,9)))</f>
        <v/>
      </c>
      <c r="J558" s="113"/>
    </row>
    <row r="559" spans="1:10" ht="28" customHeight="1" x14ac:dyDescent="0.2">
      <c r="A559" s="112" t="s">
        <v>25</v>
      </c>
      <c r="B559" s="112"/>
      <c r="C559" s="112" t="str">
        <f ca="1">INDIRECT(_xlfn.TEXTJOIN("",TRUE,A575,"!",ADDRESS(9+(A576-1)*A572,5)))</f>
        <v/>
      </c>
      <c r="D559" s="112"/>
      <c r="E559" s="112"/>
      <c r="F559" s="114" t="s">
        <v>51</v>
      </c>
      <c r="G559" s="114"/>
      <c r="H559" s="114"/>
      <c r="I559" s="113" t="str">
        <f ca="1">INDIRECT(_xlfn.TEXTJOIN("",TRUE,A575,"!",ADDRESS(9+(A576-1)*A572,13)))</f>
        <v/>
      </c>
      <c r="J559" s="113"/>
    </row>
    <row r="560" spans="1:10" ht="28" customHeight="1" x14ac:dyDescent="0.2">
      <c r="A560" s="95" t="s">
        <v>28</v>
      </c>
      <c r="B560" s="95"/>
      <c r="C560" s="95" t="s">
        <v>29</v>
      </c>
      <c r="D560" s="95"/>
      <c r="E560" s="95"/>
      <c r="F560" s="95"/>
      <c r="G560" s="95"/>
      <c r="H560" s="15" t="s">
        <v>30</v>
      </c>
      <c r="I560" s="15" t="s">
        <v>9</v>
      </c>
      <c r="J560" s="15" t="s">
        <v>34</v>
      </c>
    </row>
    <row r="561" spans="1:10" ht="28" customHeight="1" x14ac:dyDescent="0.2">
      <c r="A561" s="96" t="str">
        <f ca="1">INDIRECT(_xlfn.TEXTJOIN("",TRUE,A575,"!",ADDRESS(13+(A576-1)*A572,1)))</f>
        <v/>
      </c>
      <c r="B561" s="97"/>
      <c r="C561" s="106" t="str">
        <f ca="1">INDIRECT(_xlfn.TEXTJOIN("",TRUE,A575,"!",ADDRESS(13+(A576-1)*A572,2)))</f>
        <v/>
      </c>
      <c r="D561" s="107"/>
      <c r="E561" s="107"/>
      <c r="F561" s="107"/>
      <c r="G561" s="108"/>
      <c r="H561" s="20" t="str">
        <f ca="1">INDIRECT(_xlfn.TEXTJOIN("",TRUE,A575,"!",ADDRESS(13+(A576-1)*A572,6)))</f>
        <v/>
      </c>
      <c r="I561" s="20" t="str">
        <f ca="1">INDIRECT(_xlfn.TEXTJOIN("",TRUE,A575,"!",ADDRESS(13+(A576-1)*A572,13)))</f>
        <v/>
      </c>
      <c r="J561" s="20" t="str">
        <f ca="1">INDIRECT(_xlfn.TEXTJOIN("",TRUE,A575,"!",ADDRESS(13+(A576-1)*A572,14)))</f>
        <v/>
      </c>
    </row>
    <row r="562" spans="1:10" ht="28" customHeight="1" x14ac:dyDescent="0.2">
      <c r="A562" s="96" t="str">
        <f ca="1">INDIRECT(_xlfn.TEXTJOIN("",TRUE,A575,"!",ADDRESS(14+(A576-1)*A572,1)))</f>
        <v/>
      </c>
      <c r="B562" s="97"/>
      <c r="C562" s="106" t="str">
        <f ca="1">INDIRECT(_xlfn.TEXTJOIN("",TRUE,A575,"!",ADDRESS(14+(A576-1)*A572,2)))</f>
        <v/>
      </c>
      <c r="D562" s="107"/>
      <c r="E562" s="107"/>
      <c r="F562" s="107"/>
      <c r="G562" s="108"/>
      <c r="H562" s="20" t="str">
        <f ca="1">INDIRECT(_xlfn.TEXTJOIN("",TRUE,A575,"!",ADDRESS(14+(A576-1)*A572,6)))</f>
        <v/>
      </c>
      <c r="I562" s="20" t="str">
        <f ca="1">INDIRECT(_xlfn.TEXTJOIN("",TRUE,A575,"!",ADDRESS(14+(A576-1)*A572,13)))</f>
        <v/>
      </c>
      <c r="J562" s="20" t="str">
        <f ca="1">INDIRECT(_xlfn.TEXTJOIN("",TRUE,A575,"!",ADDRESS(14+(A576-1)*A572,14)))</f>
        <v/>
      </c>
    </row>
    <row r="563" spans="1:10" ht="28" customHeight="1" x14ac:dyDescent="0.2">
      <c r="A563" s="96" t="str">
        <f ca="1">INDIRECT(_xlfn.TEXTJOIN("",TRUE,A575,"!",ADDRESS(15+(A576-1)*A572,1)))</f>
        <v/>
      </c>
      <c r="B563" s="97"/>
      <c r="C563" s="106" t="str">
        <f ca="1">INDIRECT(_xlfn.TEXTJOIN("",TRUE,A575,"!",ADDRESS(15+(A576-1)*A572,2)))</f>
        <v/>
      </c>
      <c r="D563" s="107"/>
      <c r="E563" s="107"/>
      <c r="F563" s="107"/>
      <c r="G563" s="108"/>
      <c r="H563" s="20" t="str">
        <f ca="1">INDIRECT(_xlfn.TEXTJOIN("",TRUE,A575,"!",ADDRESS(15+(A576-1)*A572,6)))</f>
        <v/>
      </c>
      <c r="I563" s="20" t="str">
        <f ca="1">INDIRECT(_xlfn.TEXTJOIN("",TRUE,A575,"!",ADDRESS(15+(A576-1)*A572,13)))</f>
        <v/>
      </c>
      <c r="J563" s="20" t="str">
        <f ca="1">INDIRECT(_xlfn.TEXTJOIN("",TRUE,A575,"!",ADDRESS(15+(A576-1)*A572,14)))</f>
        <v/>
      </c>
    </row>
    <row r="564" spans="1:10" ht="28" customHeight="1" x14ac:dyDescent="0.2">
      <c r="A564" s="96" t="str">
        <f ca="1">INDIRECT(_xlfn.TEXTJOIN("",TRUE,A575,"!",ADDRESS(16+(A576-1)*A572,1)))</f>
        <v/>
      </c>
      <c r="B564" s="97"/>
      <c r="C564" s="106" t="str">
        <f ca="1">INDIRECT(_xlfn.TEXTJOIN("",TRUE,A575,"!",ADDRESS(16+(A576-1)*A572,2)))</f>
        <v/>
      </c>
      <c r="D564" s="107"/>
      <c r="E564" s="107"/>
      <c r="F564" s="107"/>
      <c r="G564" s="108"/>
      <c r="H564" s="20" t="str">
        <f ca="1">INDIRECT(_xlfn.TEXTJOIN("",TRUE,A575,"!",ADDRESS(16+(A576-1)*A572,6)))</f>
        <v/>
      </c>
      <c r="I564" s="20" t="str">
        <f ca="1">INDIRECT(_xlfn.TEXTJOIN("",TRUE,A575,"!",ADDRESS(16+(A576-1)*A572,13)))</f>
        <v/>
      </c>
      <c r="J564" s="20" t="str">
        <f ca="1">INDIRECT(_xlfn.TEXTJOIN("",TRUE,A575,"!",ADDRESS(16+(A576-1)*A572,14)))</f>
        <v/>
      </c>
    </row>
    <row r="565" spans="1:10" ht="28" customHeight="1" x14ac:dyDescent="0.2">
      <c r="A565" s="96" t="str">
        <f ca="1">INDIRECT(_xlfn.TEXTJOIN("",TRUE,A575,"!",ADDRESS(17+(A576-1)*A572,1)))</f>
        <v/>
      </c>
      <c r="B565" s="97"/>
      <c r="C565" s="106" t="str">
        <f ca="1">INDIRECT(_xlfn.TEXTJOIN("",TRUE,A575,"!",ADDRESS(17+(A576-1)*A572,2)))</f>
        <v/>
      </c>
      <c r="D565" s="107"/>
      <c r="E565" s="107"/>
      <c r="F565" s="107"/>
      <c r="G565" s="108"/>
      <c r="H565" s="20" t="str">
        <f ca="1">INDIRECT(_xlfn.TEXTJOIN("",TRUE,A575,"!",ADDRESS(17+(A576-1)*A572,6)))</f>
        <v/>
      </c>
      <c r="I565" s="20" t="str">
        <f ca="1">INDIRECT(_xlfn.TEXTJOIN("",TRUE,A575,"!",ADDRESS(17+(A576-1)*A572,13)))</f>
        <v/>
      </c>
      <c r="J565" s="20" t="str">
        <f ca="1">INDIRECT(_xlfn.TEXTJOIN("",TRUE,A575,"!",ADDRESS(17+(A576-1)*A572,14)))</f>
        <v/>
      </c>
    </row>
    <row r="566" spans="1:10" ht="28" customHeight="1" x14ac:dyDescent="0.2">
      <c r="A566" s="96" t="str">
        <f ca="1">INDIRECT(_xlfn.TEXTJOIN("",TRUE,A575,"!",ADDRESS(18+(A576-1)*A572,1)))</f>
        <v/>
      </c>
      <c r="B566" s="97"/>
      <c r="C566" s="106" t="str">
        <f ca="1">INDIRECT(_xlfn.TEXTJOIN("",TRUE,A575,"!",ADDRESS(18+(A576-1)*A572,2)))</f>
        <v/>
      </c>
      <c r="D566" s="107"/>
      <c r="E566" s="107"/>
      <c r="F566" s="107"/>
      <c r="G566" s="108"/>
      <c r="H566" s="20" t="str">
        <f ca="1">INDIRECT(_xlfn.TEXTJOIN("",TRUE,A575,"!",ADDRESS(18+(A576-1)*A572,6)))</f>
        <v/>
      </c>
      <c r="I566" s="20" t="str">
        <f ca="1">INDIRECT(_xlfn.TEXTJOIN("",TRUE,A575,"!",ADDRESS(18+(A576-1)*A572,13)))</f>
        <v/>
      </c>
      <c r="J566" s="20" t="str">
        <f ca="1">INDIRECT(_xlfn.TEXTJOIN("",TRUE,A575,"!",ADDRESS(18+(A576-1)*A572,14)))</f>
        <v/>
      </c>
    </row>
    <row r="567" spans="1:10" ht="28" customHeight="1" x14ac:dyDescent="0.2">
      <c r="A567" s="96" t="str">
        <f ca="1">INDIRECT(_xlfn.TEXTJOIN("",TRUE,A575,"!",ADDRESS(19+(A576-1)*A572,1)))</f>
        <v/>
      </c>
      <c r="B567" s="97"/>
      <c r="C567" s="106" t="str">
        <f ca="1">INDIRECT(_xlfn.TEXTJOIN("",TRUE,A575,"!",ADDRESS(19+(A576-1)*A572,2)))</f>
        <v/>
      </c>
      <c r="D567" s="107"/>
      <c r="E567" s="107"/>
      <c r="F567" s="107"/>
      <c r="G567" s="108"/>
      <c r="H567" s="20" t="str">
        <f ca="1">INDIRECT(_xlfn.TEXTJOIN("",TRUE,A575,"!",ADDRESS(19+(A576-1)*A572,6)))</f>
        <v/>
      </c>
      <c r="I567" s="20" t="str">
        <f ca="1">INDIRECT(_xlfn.TEXTJOIN("",TRUE,A575,"!",ADDRESS(19+(A576-1)*A572,13)))</f>
        <v/>
      </c>
      <c r="J567" s="20" t="str">
        <f ca="1">INDIRECT(_xlfn.TEXTJOIN("",TRUE,A575,"!",ADDRESS(19+(A576-1)*A572,14)))</f>
        <v/>
      </c>
    </row>
    <row r="568" spans="1:10" ht="28" customHeight="1" x14ac:dyDescent="0.2">
      <c r="A568" s="96" t="str">
        <f ca="1">INDIRECT(_xlfn.TEXTJOIN("",TRUE,A575,"!",ADDRESS(20+(A576-1)*A572,1)))</f>
        <v/>
      </c>
      <c r="B568" s="97"/>
      <c r="C568" s="106" t="str">
        <f ca="1">INDIRECT(_xlfn.TEXTJOIN("",TRUE,A575,"!",ADDRESS(20+(A576-1)*A572,2)))</f>
        <v/>
      </c>
      <c r="D568" s="107"/>
      <c r="E568" s="107"/>
      <c r="F568" s="107"/>
      <c r="G568" s="108"/>
      <c r="H568" s="20" t="str">
        <f ca="1">INDIRECT(_xlfn.TEXTJOIN("",TRUE,A575,"!",ADDRESS(20+(A576-1)*A572,6)))</f>
        <v/>
      </c>
      <c r="I568" s="20" t="str">
        <f ca="1">INDIRECT(_xlfn.TEXTJOIN("",TRUE,A575,"!",ADDRESS(20+(A576-1)*A572,13)))</f>
        <v/>
      </c>
      <c r="J568" s="20" t="str">
        <f ca="1">INDIRECT(_xlfn.TEXTJOIN("",TRUE,A575,"!",ADDRESS(20+(A576-1)*A572,14)))</f>
        <v/>
      </c>
    </row>
    <row r="569" spans="1:10" ht="28" customHeight="1" x14ac:dyDescent="0.2">
      <c r="A569" s="96" t="str">
        <f ca="1">INDIRECT(_xlfn.TEXTJOIN("",TRUE,A575,"!",ADDRESS(21+(A576-1)*A572,1)))</f>
        <v/>
      </c>
      <c r="B569" s="97"/>
      <c r="C569" s="106" t="str">
        <f ca="1">INDIRECT(_xlfn.TEXTJOIN("",TRUE,A575,"!",ADDRESS(21+(A576-1)*A572,2)))</f>
        <v/>
      </c>
      <c r="D569" s="107"/>
      <c r="E569" s="107"/>
      <c r="F569" s="107"/>
      <c r="G569" s="108"/>
      <c r="H569" s="20" t="str">
        <f ca="1">INDIRECT(_xlfn.TEXTJOIN("",TRUE,A575,"!",ADDRESS(21+(A576-1)*A572,6)))</f>
        <v/>
      </c>
      <c r="I569" s="20" t="str">
        <f ca="1">INDIRECT(_xlfn.TEXTJOIN("",TRUE,A575,"!",ADDRESS(21+(A576-1)*A572,13)))</f>
        <v/>
      </c>
      <c r="J569" s="20" t="str">
        <f ca="1">INDIRECT(_xlfn.TEXTJOIN("",TRUE,A575,"!",ADDRESS(21+(A576-1)*A572,14)))</f>
        <v/>
      </c>
    </row>
    <row r="570" spans="1:10" ht="28" customHeight="1" x14ac:dyDescent="0.2">
      <c r="A570" s="96" t="str">
        <f ca="1">INDIRECT(_xlfn.TEXTJOIN("",TRUE,A575,"!",ADDRESS(22+(A576-1)*A572,1)))</f>
        <v/>
      </c>
      <c r="B570" s="97"/>
      <c r="C570" s="106" t="str">
        <f ca="1">INDIRECT(_xlfn.TEXTJOIN("",TRUE,A575,"!",ADDRESS(22+(A576-1)*A572,2)))</f>
        <v/>
      </c>
      <c r="D570" s="107"/>
      <c r="E570" s="107"/>
      <c r="F570" s="107"/>
      <c r="G570" s="108"/>
      <c r="H570" s="20" t="str">
        <f ca="1">INDIRECT(_xlfn.TEXTJOIN("",TRUE,A575,"!",ADDRESS(22+(A576-1)*A572,6)))</f>
        <v/>
      </c>
      <c r="I570" s="20" t="str">
        <f ca="1">INDIRECT(_xlfn.TEXTJOIN("",TRUE,A575,"!",ADDRESS(22+(A576-1)*A572,13)))</f>
        <v/>
      </c>
      <c r="J570" s="20" t="str">
        <f ca="1">INDIRECT(_xlfn.TEXTJOIN("",TRUE,A575,"!",ADDRESS(22+(A576-1)*A572,14)))</f>
        <v/>
      </c>
    </row>
    <row r="571" spans="1:10" ht="28" customHeight="1" x14ac:dyDescent="0.2">
      <c r="A571" s="118" t="s">
        <v>52</v>
      </c>
      <c r="B571" s="118"/>
      <c r="C571" s="118"/>
      <c r="D571" s="118"/>
      <c r="E571" s="118"/>
      <c r="F571" s="118"/>
      <c r="G571" s="118"/>
      <c r="H571" s="16">
        <f ca="1">SUM(H561:H570)</f>
        <v>0</v>
      </c>
      <c r="I571" s="16" t="s">
        <v>44</v>
      </c>
      <c r="J571" s="16">
        <f ca="1">SUMPRODUCT(J561:J570,H561:H570)</f>
        <v>0</v>
      </c>
    </row>
    <row r="572" spans="1:10" ht="28" customHeight="1" x14ac:dyDescent="0.2">
      <c r="A572" s="22">
        <f>ROWS(A561:B570)+9</f>
        <v>19</v>
      </c>
      <c r="B572" s="17"/>
      <c r="C572" s="17"/>
      <c r="D572" s="17"/>
      <c r="E572" s="17"/>
      <c r="F572" s="17"/>
      <c r="G572" s="17"/>
      <c r="H572" s="17"/>
      <c r="I572" s="17"/>
      <c r="J572" s="17"/>
    </row>
    <row r="573" spans="1:10" ht="28" customHeight="1" x14ac:dyDescent="0.2">
      <c r="A573" s="120" t="s">
        <v>40</v>
      </c>
      <c r="B573" s="120"/>
      <c r="C573" s="21" t="str">
        <f ca="1">INDIRECT(_xlfn.TEXTJOIN("",TRUE,A575,"!",ADDRESS(5+A576*A572,12)))</f>
        <v/>
      </c>
      <c r="D573" s="120" t="s">
        <v>38</v>
      </c>
      <c r="E573" s="120"/>
      <c r="F573" s="18" t="str">
        <f ca="1">INDIRECT(_xlfn.TEXTJOIN("",TRUE,A575,"!",ADDRESS(5+A576*A572,8)))</f>
        <v/>
      </c>
      <c r="G573" s="120" t="s">
        <v>39</v>
      </c>
      <c r="H573" s="120"/>
      <c r="I573" s="109" t="str">
        <f ca="1">INDIRECT(_xlfn.TEXTJOIN("",TRUE,A575,"!",ADDRESS(5+A576*A572,10)))</f>
        <v/>
      </c>
      <c r="J573" s="109"/>
    </row>
    <row r="574" spans="1:10" ht="28" customHeight="1" x14ac:dyDescent="0.2">
      <c r="A574" s="19" t="s">
        <v>36</v>
      </c>
      <c r="B574" s="95" t="str">
        <f ca="1">INDIRECT(_xlfn.TEXTJOIN("",TRUE,A575,"!",ADDRESS(5+A576*A572,2)))</f>
        <v/>
      </c>
      <c r="C574" s="95"/>
      <c r="D574" s="121" t="s">
        <v>37</v>
      </c>
      <c r="E574" s="121"/>
      <c r="F574" s="122" t="str">
        <f ca="1">INDIRECT(_xlfn.TEXTJOIN("",TRUE,A575,"!",ADDRESS(5+A576*A572,5)))</f>
        <v/>
      </c>
      <c r="G574" s="122"/>
      <c r="H574" s="122"/>
      <c r="I574" s="122"/>
      <c r="J574" s="122"/>
    </row>
    <row r="575" spans="1:10" ht="28" customHeight="1" x14ac:dyDescent="0.2">
      <c r="A575" s="22" t="str">
        <f>A556</f>
        <v>TC_II</v>
      </c>
    </row>
    <row r="576" spans="1:10" ht="28" customHeight="1" x14ac:dyDescent="0.2">
      <c r="A576" s="22">
        <f>A557+1</f>
        <v>30</v>
      </c>
    </row>
    <row r="577" spans="1:10" ht="28" customHeight="1" x14ac:dyDescent="0.2">
      <c r="A577" s="112" t="s">
        <v>24</v>
      </c>
      <c r="B577" s="112"/>
      <c r="C577" s="112" t="str">
        <f ca="1">INDIRECT(_xlfn.TEXTJOIN("",TRUE,A594,"!",ADDRESS(9+(A595-1)*A591,2)))</f>
        <v/>
      </c>
      <c r="D577" s="112"/>
      <c r="E577" s="112"/>
      <c r="F577" s="112" t="s">
        <v>50</v>
      </c>
      <c r="G577" s="112"/>
      <c r="H577" s="112"/>
      <c r="I577" s="113" t="str">
        <f ca="1">INDIRECT(_xlfn.TEXTJOIN("",TRUE,A594,"!",ADDRESS(9+(A595-1)*A591,9)))</f>
        <v/>
      </c>
      <c r="J577" s="113"/>
    </row>
    <row r="578" spans="1:10" ht="28" customHeight="1" x14ac:dyDescent="0.2">
      <c r="A578" s="112" t="s">
        <v>25</v>
      </c>
      <c r="B578" s="112"/>
      <c r="C578" s="112" t="str">
        <f ca="1">INDIRECT(_xlfn.TEXTJOIN("",TRUE,A594,"!",ADDRESS(9+(A595-1)*A591,5)))</f>
        <v/>
      </c>
      <c r="D578" s="112"/>
      <c r="E578" s="112"/>
      <c r="F578" s="114" t="s">
        <v>51</v>
      </c>
      <c r="G578" s="114"/>
      <c r="H578" s="114"/>
      <c r="I578" s="113" t="str">
        <f ca="1">INDIRECT(_xlfn.TEXTJOIN("",TRUE,A594,"!",ADDRESS(9+(A595-1)*A591,13)))</f>
        <v/>
      </c>
      <c r="J578" s="113"/>
    </row>
    <row r="579" spans="1:10" ht="28" customHeight="1" x14ac:dyDescent="0.2">
      <c r="A579" s="95" t="s">
        <v>28</v>
      </c>
      <c r="B579" s="95"/>
      <c r="C579" s="95" t="s">
        <v>29</v>
      </c>
      <c r="D579" s="95"/>
      <c r="E579" s="95"/>
      <c r="F579" s="95"/>
      <c r="G579" s="95"/>
      <c r="H579" s="15" t="s">
        <v>30</v>
      </c>
      <c r="I579" s="15" t="s">
        <v>9</v>
      </c>
      <c r="J579" s="15" t="s">
        <v>34</v>
      </c>
    </row>
    <row r="580" spans="1:10" ht="28" customHeight="1" x14ac:dyDescent="0.2">
      <c r="A580" s="96" t="str">
        <f ca="1">INDIRECT(_xlfn.TEXTJOIN("",TRUE,A594,"!",ADDRESS(13+(A595-1)*A591,1)))</f>
        <v/>
      </c>
      <c r="B580" s="97"/>
      <c r="C580" s="106" t="str">
        <f ca="1">INDIRECT(_xlfn.TEXTJOIN("",TRUE,A594,"!",ADDRESS(13+(A595-1)*A591,2)))</f>
        <v/>
      </c>
      <c r="D580" s="107"/>
      <c r="E580" s="107"/>
      <c r="F580" s="107"/>
      <c r="G580" s="108"/>
      <c r="H580" s="20" t="str">
        <f ca="1">INDIRECT(_xlfn.TEXTJOIN("",TRUE,A594,"!",ADDRESS(13+(A595-1)*A591,6)))</f>
        <v/>
      </c>
      <c r="I580" s="20" t="str">
        <f ca="1">INDIRECT(_xlfn.TEXTJOIN("",TRUE,A594,"!",ADDRESS(13+(A595-1)*A591,13)))</f>
        <v/>
      </c>
      <c r="J580" s="20" t="str">
        <f ca="1">INDIRECT(_xlfn.TEXTJOIN("",TRUE,A594,"!",ADDRESS(13+(A595-1)*A591,14)))</f>
        <v/>
      </c>
    </row>
    <row r="581" spans="1:10" ht="28" customHeight="1" x14ac:dyDescent="0.2">
      <c r="A581" s="96" t="str">
        <f ca="1">INDIRECT(_xlfn.TEXTJOIN("",TRUE,A594,"!",ADDRESS(14+(A595-1)*A591,1)))</f>
        <v/>
      </c>
      <c r="B581" s="97"/>
      <c r="C581" s="106" t="str">
        <f ca="1">INDIRECT(_xlfn.TEXTJOIN("",TRUE,A594,"!",ADDRESS(14+(A595-1)*A591,2)))</f>
        <v/>
      </c>
      <c r="D581" s="107"/>
      <c r="E581" s="107"/>
      <c r="F581" s="107"/>
      <c r="G581" s="108"/>
      <c r="H581" s="20" t="str">
        <f ca="1">INDIRECT(_xlfn.TEXTJOIN("",TRUE,A594,"!",ADDRESS(14+(A595-1)*A591,6)))</f>
        <v/>
      </c>
      <c r="I581" s="20" t="str">
        <f ca="1">INDIRECT(_xlfn.TEXTJOIN("",TRUE,A594,"!",ADDRESS(14+(A595-1)*A591,13)))</f>
        <v/>
      </c>
      <c r="J581" s="20" t="str">
        <f ca="1">INDIRECT(_xlfn.TEXTJOIN("",TRUE,A594,"!",ADDRESS(14+(A595-1)*A591,14)))</f>
        <v/>
      </c>
    </row>
    <row r="582" spans="1:10" ht="28" customHeight="1" x14ac:dyDescent="0.2">
      <c r="A582" s="96" t="str">
        <f ca="1">INDIRECT(_xlfn.TEXTJOIN("",TRUE,A594,"!",ADDRESS(15+(A595-1)*A591,1)))</f>
        <v/>
      </c>
      <c r="B582" s="97"/>
      <c r="C582" s="106" t="str">
        <f ca="1">INDIRECT(_xlfn.TEXTJOIN("",TRUE,A594,"!",ADDRESS(15+(A595-1)*A591,2)))</f>
        <v/>
      </c>
      <c r="D582" s="107"/>
      <c r="E582" s="107"/>
      <c r="F582" s="107"/>
      <c r="G582" s="108"/>
      <c r="H582" s="20" t="str">
        <f ca="1">INDIRECT(_xlfn.TEXTJOIN("",TRUE,A594,"!",ADDRESS(15+(A595-1)*A591,6)))</f>
        <v/>
      </c>
      <c r="I582" s="20" t="str">
        <f ca="1">INDIRECT(_xlfn.TEXTJOIN("",TRUE,A594,"!",ADDRESS(15+(A595-1)*A591,13)))</f>
        <v/>
      </c>
      <c r="J582" s="20" t="str">
        <f ca="1">INDIRECT(_xlfn.TEXTJOIN("",TRUE,A594,"!",ADDRESS(15+(A595-1)*A591,14)))</f>
        <v/>
      </c>
    </row>
    <row r="583" spans="1:10" ht="28" customHeight="1" x14ac:dyDescent="0.2">
      <c r="A583" s="96" t="str">
        <f ca="1">INDIRECT(_xlfn.TEXTJOIN("",TRUE,A594,"!",ADDRESS(16+(A595-1)*A591,1)))</f>
        <v/>
      </c>
      <c r="B583" s="97"/>
      <c r="C583" s="106" t="str">
        <f ca="1">INDIRECT(_xlfn.TEXTJOIN("",TRUE,A594,"!",ADDRESS(16+(A595-1)*A591,2)))</f>
        <v/>
      </c>
      <c r="D583" s="107"/>
      <c r="E583" s="107"/>
      <c r="F583" s="107"/>
      <c r="G583" s="108"/>
      <c r="H583" s="20" t="str">
        <f ca="1">INDIRECT(_xlfn.TEXTJOIN("",TRUE,A594,"!",ADDRESS(16+(A595-1)*A591,6)))</f>
        <v/>
      </c>
      <c r="I583" s="20" t="str">
        <f ca="1">INDIRECT(_xlfn.TEXTJOIN("",TRUE,A594,"!",ADDRESS(16+(A595-1)*A591,13)))</f>
        <v/>
      </c>
      <c r="J583" s="20" t="str">
        <f ca="1">INDIRECT(_xlfn.TEXTJOIN("",TRUE,A594,"!",ADDRESS(16+(A595-1)*A591,14)))</f>
        <v/>
      </c>
    </row>
    <row r="584" spans="1:10" ht="28" customHeight="1" x14ac:dyDescent="0.2">
      <c r="A584" s="96" t="str">
        <f ca="1">INDIRECT(_xlfn.TEXTJOIN("",TRUE,A594,"!",ADDRESS(17+(A595-1)*A591,1)))</f>
        <v/>
      </c>
      <c r="B584" s="97"/>
      <c r="C584" s="106" t="str">
        <f ca="1">INDIRECT(_xlfn.TEXTJOIN("",TRUE,A594,"!",ADDRESS(17+(A595-1)*A591,2)))</f>
        <v/>
      </c>
      <c r="D584" s="107"/>
      <c r="E584" s="107"/>
      <c r="F584" s="107"/>
      <c r="G584" s="108"/>
      <c r="H584" s="20" t="str">
        <f ca="1">INDIRECT(_xlfn.TEXTJOIN("",TRUE,A594,"!",ADDRESS(17+(A595-1)*A591,6)))</f>
        <v/>
      </c>
      <c r="I584" s="20" t="str">
        <f ca="1">INDIRECT(_xlfn.TEXTJOIN("",TRUE,A594,"!",ADDRESS(17+(A595-1)*A591,13)))</f>
        <v/>
      </c>
      <c r="J584" s="20" t="str">
        <f ca="1">INDIRECT(_xlfn.TEXTJOIN("",TRUE,A594,"!",ADDRESS(17+(A595-1)*A591,14)))</f>
        <v/>
      </c>
    </row>
    <row r="585" spans="1:10" ht="28" customHeight="1" x14ac:dyDescent="0.2">
      <c r="A585" s="96" t="str">
        <f ca="1">INDIRECT(_xlfn.TEXTJOIN("",TRUE,A594,"!",ADDRESS(18+(A595-1)*A591,1)))</f>
        <v/>
      </c>
      <c r="B585" s="97"/>
      <c r="C585" s="106" t="str">
        <f ca="1">INDIRECT(_xlfn.TEXTJOIN("",TRUE,A594,"!",ADDRESS(18+(A595-1)*A591,2)))</f>
        <v/>
      </c>
      <c r="D585" s="107"/>
      <c r="E585" s="107"/>
      <c r="F585" s="107"/>
      <c r="G585" s="108"/>
      <c r="H585" s="20" t="str">
        <f ca="1">INDIRECT(_xlfn.TEXTJOIN("",TRUE,A594,"!",ADDRESS(18+(A595-1)*A591,6)))</f>
        <v/>
      </c>
      <c r="I585" s="20" t="str">
        <f ca="1">INDIRECT(_xlfn.TEXTJOIN("",TRUE,A594,"!",ADDRESS(18+(A595-1)*A591,13)))</f>
        <v/>
      </c>
      <c r="J585" s="20" t="str">
        <f ca="1">INDIRECT(_xlfn.TEXTJOIN("",TRUE,A594,"!",ADDRESS(18+(A595-1)*A591,14)))</f>
        <v/>
      </c>
    </row>
    <row r="586" spans="1:10" ht="28" customHeight="1" x14ac:dyDescent="0.2">
      <c r="A586" s="96" t="str">
        <f ca="1">INDIRECT(_xlfn.TEXTJOIN("",TRUE,A594,"!",ADDRESS(19+(A595-1)*A591,1)))</f>
        <v/>
      </c>
      <c r="B586" s="97"/>
      <c r="C586" s="106" t="str">
        <f ca="1">INDIRECT(_xlfn.TEXTJOIN("",TRUE,A594,"!",ADDRESS(19+(A595-1)*A591,2)))</f>
        <v/>
      </c>
      <c r="D586" s="107"/>
      <c r="E586" s="107"/>
      <c r="F586" s="107"/>
      <c r="G586" s="108"/>
      <c r="H586" s="20" t="str">
        <f ca="1">INDIRECT(_xlfn.TEXTJOIN("",TRUE,A594,"!",ADDRESS(19+(A595-1)*A591,6)))</f>
        <v/>
      </c>
      <c r="I586" s="20" t="str">
        <f ca="1">INDIRECT(_xlfn.TEXTJOIN("",TRUE,A594,"!",ADDRESS(19+(A595-1)*A591,13)))</f>
        <v/>
      </c>
      <c r="J586" s="20" t="str">
        <f ca="1">INDIRECT(_xlfn.TEXTJOIN("",TRUE,A594,"!",ADDRESS(19+(A595-1)*A591,14)))</f>
        <v/>
      </c>
    </row>
    <row r="587" spans="1:10" ht="28" customHeight="1" x14ac:dyDescent="0.2">
      <c r="A587" s="96" t="str">
        <f ca="1">INDIRECT(_xlfn.TEXTJOIN("",TRUE,A594,"!",ADDRESS(20+(A595-1)*A591,1)))</f>
        <v/>
      </c>
      <c r="B587" s="97"/>
      <c r="C587" s="106" t="str">
        <f ca="1">INDIRECT(_xlfn.TEXTJOIN("",TRUE,A594,"!",ADDRESS(20+(A595-1)*A591,2)))</f>
        <v/>
      </c>
      <c r="D587" s="107"/>
      <c r="E587" s="107"/>
      <c r="F587" s="107"/>
      <c r="G587" s="108"/>
      <c r="H587" s="20" t="str">
        <f ca="1">INDIRECT(_xlfn.TEXTJOIN("",TRUE,A594,"!",ADDRESS(20+(A595-1)*A591,6)))</f>
        <v/>
      </c>
      <c r="I587" s="20" t="str">
        <f ca="1">INDIRECT(_xlfn.TEXTJOIN("",TRUE,A594,"!",ADDRESS(20+(A595-1)*A591,13)))</f>
        <v/>
      </c>
      <c r="J587" s="20" t="str">
        <f ca="1">INDIRECT(_xlfn.TEXTJOIN("",TRUE,A594,"!",ADDRESS(20+(A595-1)*A591,14)))</f>
        <v/>
      </c>
    </row>
    <row r="588" spans="1:10" ht="28" customHeight="1" x14ac:dyDescent="0.2">
      <c r="A588" s="96" t="str">
        <f ca="1">INDIRECT(_xlfn.TEXTJOIN("",TRUE,A594,"!",ADDRESS(21+(A595-1)*A591,1)))</f>
        <v/>
      </c>
      <c r="B588" s="97"/>
      <c r="C588" s="106" t="str">
        <f ca="1">INDIRECT(_xlfn.TEXTJOIN("",TRUE,A594,"!",ADDRESS(21+(A595-1)*A591,2)))</f>
        <v/>
      </c>
      <c r="D588" s="107"/>
      <c r="E588" s="107"/>
      <c r="F588" s="107"/>
      <c r="G588" s="108"/>
      <c r="H588" s="20" t="str">
        <f ca="1">INDIRECT(_xlfn.TEXTJOIN("",TRUE,A594,"!",ADDRESS(21+(A595-1)*A591,6)))</f>
        <v/>
      </c>
      <c r="I588" s="20" t="str">
        <f ca="1">INDIRECT(_xlfn.TEXTJOIN("",TRUE,A594,"!",ADDRESS(21+(A595-1)*A591,13)))</f>
        <v/>
      </c>
      <c r="J588" s="20" t="str">
        <f ca="1">INDIRECT(_xlfn.TEXTJOIN("",TRUE,A594,"!",ADDRESS(21+(A595-1)*A591,14)))</f>
        <v/>
      </c>
    </row>
    <row r="589" spans="1:10" ht="28" customHeight="1" x14ac:dyDescent="0.2">
      <c r="A589" s="96" t="str">
        <f ca="1">INDIRECT(_xlfn.TEXTJOIN("",TRUE,A594,"!",ADDRESS(22+(A595-1)*A591,1)))</f>
        <v/>
      </c>
      <c r="B589" s="97"/>
      <c r="C589" s="106" t="str">
        <f ca="1">INDIRECT(_xlfn.TEXTJOIN("",TRUE,A594,"!",ADDRESS(22+(A595-1)*A591,2)))</f>
        <v/>
      </c>
      <c r="D589" s="107"/>
      <c r="E589" s="107"/>
      <c r="F589" s="107"/>
      <c r="G589" s="108"/>
      <c r="H589" s="20" t="str">
        <f ca="1">INDIRECT(_xlfn.TEXTJOIN("",TRUE,A594,"!",ADDRESS(22+(A595-1)*A591,6)))</f>
        <v/>
      </c>
      <c r="I589" s="20" t="str">
        <f ca="1">INDIRECT(_xlfn.TEXTJOIN("",TRUE,A594,"!",ADDRESS(22+(A595-1)*A591,13)))</f>
        <v/>
      </c>
      <c r="J589" s="20" t="str">
        <f ca="1">INDIRECT(_xlfn.TEXTJOIN("",TRUE,A594,"!",ADDRESS(22+(A595-1)*A591,14)))</f>
        <v/>
      </c>
    </row>
    <row r="590" spans="1:10" ht="28" customHeight="1" x14ac:dyDescent="0.2">
      <c r="A590" s="118" t="s">
        <v>52</v>
      </c>
      <c r="B590" s="118"/>
      <c r="C590" s="118"/>
      <c r="D590" s="118"/>
      <c r="E590" s="118"/>
      <c r="F590" s="118"/>
      <c r="G590" s="118"/>
      <c r="H590" s="16">
        <f ca="1">SUM(H580:H589)</f>
        <v>0</v>
      </c>
      <c r="I590" s="16" t="s">
        <v>44</v>
      </c>
      <c r="J590" s="16">
        <f ca="1">SUMPRODUCT(J580:J589,H580:H589)</f>
        <v>0</v>
      </c>
    </row>
    <row r="591" spans="1:10" ht="28" customHeight="1" x14ac:dyDescent="0.2">
      <c r="A591" s="22">
        <f>ROWS(A580:B589)+9</f>
        <v>19</v>
      </c>
      <c r="B591" s="17"/>
      <c r="C591" s="17"/>
      <c r="D591" s="17"/>
      <c r="E591" s="17"/>
      <c r="F591" s="17"/>
      <c r="G591" s="17"/>
      <c r="H591" s="17"/>
      <c r="I591" s="17"/>
      <c r="J591" s="17"/>
    </row>
    <row r="592" spans="1:10" ht="28" customHeight="1" x14ac:dyDescent="0.2">
      <c r="A592" s="120" t="s">
        <v>40</v>
      </c>
      <c r="B592" s="120"/>
      <c r="C592" s="21" t="str">
        <f ca="1">INDIRECT(_xlfn.TEXTJOIN("",TRUE,A594,"!",ADDRESS(5+A595*A591,12)))</f>
        <v/>
      </c>
      <c r="D592" s="120" t="s">
        <v>38</v>
      </c>
      <c r="E592" s="120"/>
      <c r="F592" s="18" t="str">
        <f ca="1">INDIRECT(_xlfn.TEXTJOIN("",TRUE,A594,"!",ADDRESS(5+A595*A591,8)))</f>
        <v/>
      </c>
      <c r="G592" s="120" t="s">
        <v>39</v>
      </c>
      <c r="H592" s="120"/>
      <c r="I592" s="109" t="str">
        <f ca="1">INDIRECT(_xlfn.TEXTJOIN("",TRUE,A594,"!",ADDRESS(5+A595*A591,10)))</f>
        <v/>
      </c>
      <c r="J592" s="109"/>
    </row>
    <row r="593" spans="1:10" ht="28" customHeight="1" x14ac:dyDescent="0.2">
      <c r="A593" s="19" t="s">
        <v>36</v>
      </c>
      <c r="B593" s="95" t="str">
        <f ca="1">INDIRECT(_xlfn.TEXTJOIN("",TRUE,A594,"!",ADDRESS(5+A595*A591,2)))</f>
        <v/>
      </c>
      <c r="C593" s="95"/>
      <c r="D593" s="121" t="s">
        <v>37</v>
      </c>
      <c r="E593" s="121"/>
      <c r="F593" s="122" t="str">
        <f ca="1">INDIRECT(_xlfn.TEXTJOIN("",TRUE,A594,"!",ADDRESS(5+A595*A591,5)))</f>
        <v/>
      </c>
      <c r="G593" s="122"/>
      <c r="H593" s="122"/>
      <c r="I593" s="122"/>
      <c r="J593" s="122"/>
    </row>
    <row r="594" spans="1:10" ht="28" customHeight="1" x14ac:dyDescent="0.2">
      <c r="A594" s="22" t="str">
        <f>A575</f>
        <v>TC_II</v>
      </c>
    </row>
    <row r="595" spans="1:10" ht="28" customHeight="1" x14ac:dyDescent="0.2">
      <c r="A595" s="22">
        <f>A576+1</f>
        <v>31</v>
      </c>
    </row>
    <row r="596" spans="1:10" ht="28" customHeight="1" x14ac:dyDescent="0.2">
      <c r="A596" s="112" t="s">
        <v>24</v>
      </c>
      <c r="B596" s="112"/>
      <c r="C596" s="112" t="str">
        <f ca="1">INDIRECT(_xlfn.TEXTJOIN("",TRUE,A613,"!",ADDRESS(9+(A614-1)*A610,2)))</f>
        <v/>
      </c>
      <c r="D596" s="112"/>
      <c r="E596" s="112"/>
      <c r="F596" s="112" t="s">
        <v>50</v>
      </c>
      <c r="G596" s="112"/>
      <c r="H596" s="112"/>
      <c r="I596" s="113" t="str">
        <f ca="1">INDIRECT(_xlfn.TEXTJOIN("",TRUE,A613,"!",ADDRESS(9+(A614-1)*A610,9)))</f>
        <v/>
      </c>
      <c r="J596" s="113"/>
    </row>
    <row r="597" spans="1:10" ht="28" customHeight="1" x14ac:dyDescent="0.2">
      <c r="A597" s="112" t="s">
        <v>25</v>
      </c>
      <c r="B597" s="112"/>
      <c r="C597" s="112" t="str">
        <f ca="1">INDIRECT(_xlfn.TEXTJOIN("",TRUE,A613,"!",ADDRESS(9+(A614-1)*A610,5)))</f>
        <v/>
      </c>
      <c r="D597" s="112"/>
      <c r="E597" s="112"/>
      <c r="F597" s="114" t="s">
        <v>51</v>
      </c>
      <c r="G597" s="114"/>
      <c r="H597" s="114"/>
      <c r="I597" s="113" t="str">
        <f ca="1">INDIRECT(_xlfn.TEXTJOIN("",TRUE,A613,"!",ADDRESS(9+(A614-1)*A610,13)))</f>
        <v/>
      </c>
      <c r="J597" s="113"/>
    </row>
    <row r="598" spans="1:10" ht="28" customHeight="1" x14ac:dyDescent="0.2">
      <c r="A598" s="95" t="s">
        <v>28</v>
      </c>
      <c r="B598" s="95"/>
      <c r="C598" s="95" t="s">
        <v>29</v>
      </c>
      <c r="D598" s="95"/>
      <c r="E598" s="95"/>
      <c r="F598" s="95"/>
      <c r="G598" s="95"/>
      <c r="H598" s="15" t="s">
        <v>30</v>
      </c>
      <c r="I598" s="15" t="s">
        <v>9</v>
      </c>
      <c r="J598" s="15" t="s">
        <v>34</v>
      </c>
    </row>
    <row r="599" spans="1:10" ht="28" customHeight="1" x14ac:dyDescent="0.2">
      <c r="A599" s="96" t="str">
        <f ca="1">INDIRECT(_xlfn.TEXTJOIN("",TRUE,A613,"!",ADDRESS(13+(A614-1)*A610,1)))</f>
        <v/>
      </c>
      <c r="B599" s="97"/>
      <c r="C599" s="106" t="str">
        <f ca="1">INDIRECT(_xlfn.TEXTJOIN("",TRUE,A613,"!",ADDRESS(13+(A614-1)*A610,2)))</f>
        <v/>
      </c>
      <c r="D599" s="107"/>
      <c r="E599" s="107"/>
      <c r="F599" s="107"/>
      <c r="G599" s="108"/>
      <c r="H599" s="20" t="str">
        <f ca="1">INDIRECT(_xlfn.TEXTJOIN("",TRUE,A613,"!",ADDRESS(13+(A614-1)*A610,6)))</f>
        <v/>
      </c>
      <c r="I599" s="20" t="str">
        <f ca="1">INDIRECT(_xlfn.TEXTJOIN("",TRUE,A613,"!",ADDRESS(13+(A614-1)*A610,13)))</f>
        <v/>
      </c>
      <c r="J599" s="20" t="str">
        <f ca="1">INDIRECT(_xlfn.TEXTJOIN("",TRUE,A613,"!",ADDRESS(13+(A614-1)*A610,14)))</f>
        <v/>
      </c>
    </row>
    <row r="600" spans="1:10" ht="28" customHeight="1" x14ac:dyDescent="0.2">
      <c r="A600" s="96" t="str">
        <f ca="1">INDIRECT(_xlfn.TEXTJOIN("",TRUE,A613,"!",ADDRESS(14+(A614-1)*A610,1)))</f>
        <v/>
      </c>
      <c r="B600" s="97"/>
      <c r="C600" s="106" t="str">
        <f ca="1">INDIRECT(_xlfn.TEXTJOIN("",TRUE,A613,"!",ADDRESS(14+(A614-1)*A610,2)))</f>
        <v/>
      </c>
      <c r="D600" s="107"/>
      <c r="E600" s="107"/>
      <c r="F600" s="107"/>
      <c r="G600" s="108"/>
      <c r="H600" s="20" t="str">
        <f ca="1">INDIRECT(_xlfn.TEXTJOIN("",TRUE,A613,"!",ADDRESS(14+(A614-1)*A610,6)))</f>
        <v/>
      </c>
      <c r="I600" s="20" t="str">
        <f ca="1">INDIRECT(_xlfn.TEXTJOIN("",TRUE,A613,"!",ADDRESS(14+(A614-1)*A610,13)))</f>
        <v/>
      </c>
      <c r="J600" s="20" t="str">
        <f ca="1">INDIRECT(_xlfn.TEXTJOIN("",TRUE,A613,"!",ADDRESS(14+(A614-1)*A610,14)))</f>
        <v/>
      </c>
    </row>
    <row r="601" spans="1:10" ht="28" customHeight="1" x14ac:dyDescent="0.2">
      <c r="A601" s="96" t="str">
        <f ca="1">INDIRECT(_xlfn.TEXTJOIN("",TRUE,A613,"!",ADDRESS(15+(A614-1)*A610,1)))</f>
        <v/>
      </c>
      <c r="B601" s="97"/>
      <c r="C601" s="106" t="str">
        <f ca="1">INDIRECT(_xlfn.TEXTJOIN("",TRUE,A613,"!",ADDRESS(15+(A614-1)*A610,2)))</f>
        <v/>
      </c>
      <c r="D601" s="107"/>
      <c r="E601" s="107"/>
      <c r="F601" s="107"/>
      <c r="G601" s="108"/>
      <c r="H601" s="20" t="str">
        <f ca="1">INDIRECT(_xlfn.TEXTJOIN("",TRUE,A613,"!",ADDRESS(15+(A614-1)*A610,6)))</f>
        <v/>
      </c>
      <c r="I601" s="20" t="str">
        <f ca="1">INDIRECT(_xlfn.TEXTJOIN("",TRUE,A613,"!",ADDRESS(15+(A614-1)*A610,13)))</f>
        <v/>
      </c>
      <c r="J601" s="20" t="str">
        <f ca="1">INDIRECT(_xlfn.TEXTJOIN("",TRUE,A613,"!",ADDRESS(15+(A614-1)*A610,14)))</f>
        <v/>
      </c>
    </row>
    <row r="602" spans="1:10" ht="28" customHeight="1" x14ac:dyDescent="0.2">
      <c r="A602" s="96" t="str">
        <f ca="1">INDIRECT(_xlfn.TEXTJOIN("",TRUE,A613,"!",ADDRESS(16+(A614-1)*A610,1)))</f>
        <v/>
      </c>
      <c r="B602" s="97"/>
      <c r="C602" s="106" t="str">
        <f ca="1">INDIRECT(_xlfn.TEXTJOIN("",TRUE,A613,"!",ADDRESS(16+(A614-1)*A610,2)))</f>
        <v/>
      </c>
      <c r="D602" s="107"/>
      <c r="E602" s="107"/>
      <c r="F602" s="107"/>
      <c r="G602" s="108"/>
      <c r="H602" s="20" t="str">
        <f ca="1">INDIRECT(_xlfn.TEXTJOIN("",TRUE,A613,"!",ADDRESS(16+(A614-1)*A610,6)))</f>
        <v/>
      </c>
      <c r="I602" s="20" t="str">
        <f ca="1">INDIRECT(_xlfn.TEXTJOIN("",TRUE,A613,"!",ADDRESS(16+(A614-1)*A610,13)))</f>
        <v/>
      </c>
      <c r="J602" s="20" t="str">
        <f ca="1">INDIRECT(_xlfn.TEXTJOIN("",TRUE,A613,"!",ADDRESS(16+(A614-1)*A610,14)))</f>
        <v/>
      </c>
    </row>
    <row r="603" spans="1:10" ht="28" customHeight="1" x14ac:dyDescent="0.2">
      <c r="A603" s="96" t="str">
        <f ca="1">INDIRECT(_xlfn.TEXTJOIN("",TRUE,A613,"!",ADDRESS(17+(A614-1)*A610,1)))</f>
        <v/>
      </c>
      <c r="B603" s="97"/>
      <c r="C603" s="106" t="str">
        <f ca="1">INDIRECT(_xlfn.TEXTJOIN("",TRUE,A613,"!",ADDRESS(17+(A614-1)*A610,2)))</f>
        <v/>
      </c>
      <c r="D603" s="107"/>
      <c r="E603" s="107"/>
      <c r="F603" s="107"/>
      <c r="G603" s="108"/>
      <c r="H603" s="20" t="str">
        <f ca="1">INDIRECT(_xlfn.TEXTJOIN("",TRUE,A613,"!",ADDRESS(17+(A614-1)*A610,6)))</f>
        <v/>
      </c>
      <c r="I603" s="20" t="str">
        <f ca="1">INDIRECT(_xlfn.TEXTJOIN("",TRUE,A613,"!",ADDRESS(17+(A614-1)*A610,13)))</f>
        <v/>
      </c>
      <c r="J603" s="20" t="str">
        <f ca="1">INDIRECT(_xlfn.TEXTJOIN("",TRUE,A613,"!",ADDRESS(17+(A614-1)*A610,14)))</f>
        <v/>
      </c>
    </row>
    <row r="604" spans="1:10" ht="28" customHeight="1" x14ac:dyDescent="0.2">
      <c r="A604" s="96" t="str">
        <f ca="1">INDIRECT(_xlfn.TEXTJOIN("",TRUE,A613,"!",ADDRESS(18+(A614-1)*A610,1)))</f>
        <v/>
      </c>
      <c r="B604" s="97"/>
      <c r="C604" s="106" t="str">
        <f ca="1">INDIRECT(_xlfn.TEXTJOIN("",TRUE,A613,"!",ADDRESS(18+(A614-1)*A610,2)))</f>
        <v/>
      </c>
      <c r="D604" s="107"/>
      <c r="E604" s="107"/>
      <c r="F604" s="107"/>
      <c r="G604" s="108"/>
      <c r="H604" s="20" t="str">
        <f ca="1">INDIRECT(_xlfn.TEXTJOIN("",TRUE,A613,"!",ADDRESS(18+(A614-1)*A610,6)))</f>
        <v/>
      </c>
      <c r="I604" s="20" t="str">
        <f ca="1">INDIRECT(_xlfn.TEXTJOIN("",TRUE,A613,"!",ADDRESS(18+(A614-1)*A610,13)))</f>
        <v/>
      </c>
      <c r="J604" s="20" t="str">
        <f ca="1">INDIRECT(_xlfn.TEXTJOIN("",TRUE,A613,"!",ADDRESS(18+(A614-1)*A610,14)))</f>
        <v/>
      </c>
    </row>
    <row r="605" spans="1:10" ht="28" customHeight="1" x14ac:dyDescent="0.2">
      <c r="A605" s="96" t="str">
        <f ca="1">INDIRECT(_xlfn.TEXTJOIN("",TRUE,A613,"!",ADDRESS(19+(A614-1)*A610,1)))</f>
        <v/>
      </c>
      <c r="B605" s="97"/>
      <c r="C605" s="106" t="str">
        <f ca="1">INDIRECT(_xlfn.TEXTJOIN("",TRUE,A613,"!",ADDRESS(19+(A614-1)*A610,2)))</f>
        <v/>
      </c>
      <c r="D605" s="107"/>
      <c r="E605" s="107"/>
      <c r="F605" s="107"/>
      <c r="G605" s="108"/>
      <c r="H605" s="20" t="str">
        <f ca="1">INDIRECT(_xlfn.TEXTJOIN("",TRUE,A613,"!",ADDRESS(19+(A614-1)*A610,6)))</f>
        <v/>
      </c>
      <c r="I605" s="20" t="str">
        <f ca="1">INDIRECT(_xlfn.TEXTJOIN("",TRUE,A613,"!",ADDRESS(19+(A614-1)*A610,13)))</f>
        <v/>
      </c>
      <c r="J605" s="20" t="str">
        <f ca="1">INDIRECT(_xlfn.TEXTJOIN("",TRUE,A613,"!",ADDRESS(19+(A614-1)*A610,14)))</f>
        <v/>
      </c>
    </row>
    <row r="606" spans="1:10" ht="28" customHeight="1" x14ac:dyDescent="0.2">
      <c r="A606" s="96" t="str">
        <f ca="1">INDIRECT(_xlfn.TEXTJOIN("",TRUE,A613,"!",ADDRESS(20+(A614-1)*A610,1)))</f>
        <v/>
      </c>
      <c r="B606" s="97"/>
      <c r="C606" s="106" t="str">
        <f ca="1">INDIRECT(_xlfn.TEXTJOIN("",TRUE,A613,"!",ADDRESS(20+(A614-1)*A610,2)))</f>
        <v/>
      </c>
      <c r="D606" s="107"/>
      <c r="E606" s="107"/>
      <c r="F606" s="107"/>
      <c r="G606" s="108"/>
      <c r="H606" s="20" t="str">
        <f ca="1">INDIRECT(_xlfn.TEXTJOIN("",TRUE,A613,"!",ADDRESS(20+(A614-1)*A610,6)))</f>
        <v/>
      </c>
      <c r="I606" s="20" t="str">
        <f ca="1">INDIRECT(_xlfn.TEXTJOIN("",TRUE,A613,"!",ADDRESS(20+(A614-1)*A610,13)))</f>
        <v/>
      </c>
      <c r="J606" s="20" t="str">
        <f ca="1">INDIRECT(_xlfn.TEXTJOIN("",TRUE,A613,"!",ADDRESS(20+(A614-1)*A610,14)))</f>
        <v/>
      </c>
    </row>
    <row r="607" spans="1:10" ht="28" customHeight="1" x14ac:dyDescent="0.2">
      <c r="A607" s="96" t="str">
        <f ca="1">INDIRECT(_xlfn.TEXTJOIN("",TRUE,A613,"!",ADDRESS(21+(A614-1)*A610,1)))</f>
        <v/>
      </c>
      <c r="B607" s="97"/>
      <c r="C607" s="106" t="str">
        <f ca="1">INDIRECT(_xlfn.TEXTJOIN("",TRUE,A613,"!",ADDRESS(21+(A614-1)*A610,2)))</f>
        <v/>
      </c>
      <c r="D607" s="107"/>
      <c r="E607" s="107"/>
      <c r="F607" s="107"/>
      <c r="G607" s="108"/>
      <c r="H607" s="20" t="str">
        <f ca="1">INDIRECT(_xlfn.TEXTJOIN("",TRUE,A613,"!",ADDRESS(21+(A614-1)*A610,6)))</f>
        <v/>
      </c>
      <c r="I607" s="20" t="str">
        <f ca="1">INDIRECT(_xlfn.TEXTJOIN("",TRUE,A613,"!",ADDRESS(21+(A614-1)*A610,13)))</f>
        <v/>
      </c>
      <c r="J607" s="20" t="str">
        <f ca="1">INDIRECT(_xlfn.TEXTJOIN("",TRUE,A613,"!",ADDRESS(21+(A614-1)*A610,14)))</f>
        <v/>
      </c>
    </row>
    <row r="608" spans="1:10" ht="28" customHeight="1" x14ac:dyDescent="0.2">
      <c r="A608" s="96" t="str">
        <f ca="1">INDIRECT(_xlfn.TEXTJOIN("",TRUE,A613,"!",ADDRESS(22+(A614-1)*A610,1)))</f>
        <v/>
      </c>
      <c r="B608" s="97"/>
      <c r="C608" s="106" t="str">
        <f ca="1">INDIRECT(_xlfn.TEXTJOIN("",TRUE,A613,"!",ADDRESS(22+(A614-1)*A610,2)))</f>
        <v/>
      </c>
      <c r="D608" s="107"/>
      <c r="E608" s="107"/>
      <c r="F608" s="107"/>
      <c r="G608" s="108"/>
      <c r="H608" s="20" t="str">
        <f ca="1">INDIRECT(_xlfn.TEXTJOIN("",TRUE,A613,"!",ADDRESS(22+(A614-1)*A610,6)))</f>
        <v/>
      </c>
      <c r="I608" s="20" t="str">
        <f ca="1">INDIRECT(_xlfn.TEXTJOIN("",TRUE,A613,"!",ADDRESS(22+(A614-1)*A610,13)))</f>
        <v/>
      </c>
      <c r="J608" s="20" t="str">
        <f ca="1">INDIRECT(_xlfn.TEXTJOIN("",TRUE,A613,"!",ADDRESS(22+(A614-1)*A610,14)))</f>
        <v/>
      </c>
    </row>
    <row r="609" spans="1:10" ht="28" customHeight="1" x14ac:dyDescent="0.2">
      <c r="A609" s="118" t="s">
        <v>52</v>
      </c>
      <c r="B609" s="118"/>
      <c r="C609" s="118"/>
      <c r="D609" s="118"/>
      <c r="E609" s="118"/>
      <c r="F609" s="118"/>
      <c r="G609" s="118"/>
      <c r="H609" s="16">
        <f ca="1">SUM(H599:H608)</f>
        <v>0</v>
      </c>
      <c r="I609" s="16" t="s">
        <v>44</v>
      </c>
      <c r="J609" s="16">
        <f ca="1">SUMPRODUCT(J599:J608,H599:H608)</f>
        <v>0</v>
      </c>
    </row>
    <row r="610" spans="1:10" ht="28" customHeight="1" x14ac:dyDescent="0.2">
      <c r="A610" s="22">
        <f>ROWS(A599:B608)+9</f>
        <v>19</v>
      </c>
      <c r="B610" s="17"/>
      <c r="C610" s="17"/>
      <c r="D610" s="17"/>
      <c r="E610" s="17"/>
      <c r="F610" s="17"/>
      <c r="G610" s="17"/>
      <c r="H610" s="17"/>
      <c r="I610" s="17"/>
      <c r="J610" s="17"/>
    </row>
    <row r="611" spans="1:10" ht="28" customHeight="1" x14ac:dyDescent="0.2">
      <c r="A611" s="120" t="s">
        <v>40</v>
      </c>
      <c r="B611" s="120"/>
      <c r="C611" s="21" t="str">
        <f ca="1">INDIRECT(_xlfn.TEXTJOIN("",TRUE,A613,"!",ADDRESS(5+A614*A610,12)))</f>
        <v/>
      </c>
      <c r="D611" s="120" t="s">
        <v>38</v>
      </c>
      <c r="E611" s="120"/>
      <c r="F611" s="18" t="str">
        <f ca="1">INDIRECT(_xlfn.TEXTJOIN("",TRUE,A613,"!",ADDRESS(5+A614*A610,8)))</f>
        <v/>
      </c>
      <c r="G611" s="120" t="s">
        <v>39</v>
      </c>
      <c r="H611" s="120"/>
      <c r="I611" s="109" t="str">
        <f ca="1">INDIRECT(_xlfn.TEXTJOIN("",TRUE,A613,"!",ADDRESS(5+A614*A610,10)))</f>
        <v/>
      </c>
      <c r="J611" s="109"/>
    </row>
    <row r="612" spans="1:10" ht="28" customHeight="1" x14ac:dyDescent="0.2">
      <c r="A612" s="19" t="s">
        <v>36</v>
      </c>
      <c r="B612" s="95" t="str">
        <f ca="1">INDIRECT(_xlfn.TEXTJOIN("",TRUE,A613,"!",ADDRESS(5+A614*A610,2)))</f>
        <v/>
      </c>
      <c r="C612" s="95"/>
      <c r="D612" s="121" t="s">
        <v>37</v>
      </c>
      <c r="E612" s="121"/>
      <c r="F612" s="122" t="str">
        <f ca="1">INDIRECT(_xlfn.TEXTJOIN("",TRUE,A613,"!",ADDRESS(5+A614*A610,5)))</f>
        <v/>
      </c>
      <c r="G612" s="122"/>
      <c r="H612" s="122"/>
      <c r="I612" s="122"/>
      <c r="J612" s="122"/>
    </row>
    <row r="613" spans="1:10" ht="28" customHeight="1" x14ac:dyDescent="0.2">
      <c r="A613" s="22" t="str">
        <f>A594</f>
        <v>TC_II</v>
      </c>
    </row>
    <row r="614" spans="1:10" ht="28" customHeight="1" x14ac:dyDescent="0.2">
      <c r="A614" s="22">
        <f>A595+1</f>
        <v>32</v>
      </c>
    </row>
    <row r="615" spans="1:10" ht="28" customHeight="1" x14ac:dyDescent="0.2">
      <c r="A615" s="112" t="s">
        <v>24</v>
      </c>
      <c r="B615" s="112"/>
      <c r="C615" s="112" t="str">
        <f ca="1">INDIRECT(_xlfn.TEXTJOIN("",TRUE,A632,"!",ADDRESS(9+(A633-1)*A629,2)))</f>
        <v/>
      </c>
      <c r="D615" s="112"/>
      <c r="E615" s="112"/>
      <c r="F615" s="112" t="s">
        <v>50</v>
      </c>
      <c r="G615" s="112"/>
      <c r="H615" s="112"/>
      <c r="I615" s="113" t="str">
        <f ca="1">INDIRECT(_xlfn.TEXTJOIN("",TRUE,A632,"!",ADDRESS(9+(A633-1)*A629,9)))</f>
        <v/>
      </c>
      <c r="J615" s="113"/>
    </row>
    <row r="616" spans="1:10" ht="28" customHeight="1" x14ac:dyDescent="0.2">
      <c r="A616" s="112" t="s">
        <v>25</v>
      </c>
      <c r="B616" s="112"/>
      <c r="C616" s="112" t="str">
        <f ca="1">INDIRECT(_xlfn.TEXTJOIN("",TRUE,A632,"!",ADDRESS(9+(A633-1)*A629,5)))</f>
        <v/>
      </c>
      <c r="D616" s="112"/>
      <c r="E616" s="112"/>
      <c r="F616" s="114" t="s">
        <v>51</v>
      </c>
      <c r="G616" s="114"/>
      <c r="H616" s="114"/>
      <c r="I616" s="113" t="str">
        <f ca="1">INDIRECT(_xlfn.TEXTJOIN("",TRUE,A632,"!",ADDRESS(9+(A633-1)*A629,13)))</f>
        <v/>
      </c>
      <c r="J616" s="113"/>
    </row>
    <row r="617" spans="1:10" ht="28" customHeight="1" x14ac:dyDescent="0.2">
      <c r="A617" s="95" t="s">
        <v>28</v>
      </c>
      <c r="B617" s="95"/>
      <c r="C617" s="95" t="s">
        <v>29</v>
      </c>
      <c r="D617" s="95"/>
      <c r="E617" s="95"/>
      <c r="F617" s="95"/>
      <c r="G617" s="95"/>
      <c r="H617" s="15" t="s">
        <v>30</v>
      </c>
      <c r="I617" s="15" t="s">
        <v>9</v>
      </c>
      <c r="J617" s="15" t="s">
        <v>34</v>
      </c>
    </row>
    <row r="618" spans="1:10" ht="28" customHeight="1" x14ac:dyDescent="0.2">
      <c r="A618" s="96" t="str">
        <f ca="1">INDIRECT(_xlfn.TEXTJOIN("",TRUE,A632,"!",ADDRESS(13+(A633-1)*A629,1)))</f>
        <v/>
      </c>
      <c r="B618" s="97"/>
      <c r="C618" s="106" t="str">
        <f ca="1">INDIRECT(_xlfn.TEXTJOIN("",TRUE,A632,"!",ADDRESS(13+(A633-1)*A629,2)))</f>
        <v/>
      </c>
      <c r="D618" s="107"/>
      <c r="E618" s="107"/>
      <c r="F618" s="107"/>
      <c r="G618" s="108"/>
      <c r="H618" s="20" t="str">
        <f ca="1">INDIRECT(_xlfn.TEXTJOIN("",TRUE,A632,"!",ADDRESS(13+(A633-1)*A629,6)))</f>
        <v/>
      </c>
      <c r="I618" s="20" t="str">
        <f ca="1">INDIRECT(_xlfn.TEXTJOIN("",TRUE,A632,"!",ADDRESS(13+(A633-1)*A629,13)))</f>
        <v/>
      </c>
      <c r="J618" s="20" t="str">
        <f ca="1">INDIRECT(_xlfn.TEXTJOIN("",TRUE,A632,"!",ADDRESS(13+(A633-1)*A629,14)))</f>
        <v/>
      </c>
    </row>
    <row r="619" spans="1:10" ht="28" customHeight="1" x14ac:dyDescent="0.2">
      <c r="A619" s="96" t="str">
        <f ca="1">INDIRECT(_xlfn.TEXTJOIN("",TRUE,A632,"!",ADDRESS(14+(A633-1)*A629,1)))</f>
        <v/>
      </c>
      <c r="B619" s="97"/>
      <c r="C619" s="106" t="str">
        <f ca="1">INDIRECT(_xlfn.TEXTJOIN("",TRUE,A632,"!",ADDRESS(14+(A633-1)*A629,2)))</f>
        <v/>
      </c>
      <c r="D619" s="107"/>
      <c r="E619" s="107"/>
      <c r="F619" s="107"/>
      <c r="G619" s="108"/>
      <c r="H619" s="20" t="str">
        <f ca="1">INDIRECT(_xlfn.TEXTJOIN("",TRUE,A632,"!",ADDRESS(14+(A633-1)*A629,6)))</f>
        <v/>
      </c>
      <c r="I619" s="20" t="str">
        <f ca="1">INDIRECT(_xlfn.TEXTJOIN("",TRUE,A632,"!",ADDRESS(14+(A633-1)*A629,13)))</f>
        <v/>
      </c>
      <c r="J619" s="20" t="str">
        <f ca="1">INDIRECT(_xlfn.TEXTJOIN("",TRUE,A632,"!",ADDRESS(14+(A633-1)*A629,14)))</f>
        <v/>
      </c>
    </row>
    <row r="620" spans="1:10" ht="28" customHeight="1" x14ac:dyDescent="0.2">
      <c r="A620" s="96" t="str">
        <f ca="1">INDIRECT(_xlfn.TEXTJOIN("",TRUE,A632,"!",ADDRESS(15+(A633-1)*A629,1)))</f>
        <v/>
      </c>
      <c r="B620" s="97"/>
      <c r="C620" s="106" t="str">
        <f ca="1">INDIRECT(_xlfn.TEXTJOIN("",TRUE,A632,"!",ADDRESS(15+(A633-1)*A629,2)))</f>
        <v/>
      </c>
      <c r="D620" s="107"/>
      <c r="E620" s="107"/>
      <c r="F620" s="107"/>
      <c r="G620" s="108"/>
      <c r="H620" s="20" t="str">
        <f ca="1">INDIRECT(_xlfn.TEXTJOIN("",TRUE,A632,"!",ADDRESS(15+(A633-1)*A629,6)))</f>
        <v/>
      </c>
      <c r="I620" s="20" t="str">
        <f ca="1">INDIRECT(_xlfn.TEXTJOIN("",TRUE,A632,"!",ADDRESS(15+(A633-1)*A629,13)))</f>
        <v/>
      </c>
      <c r="J620" s="20" t="str">
        <f ca="1">INDIRECT(_xlfn.TEXTJOIN("",TRUE,A632,"!",ADDRESS(15+(A633-1)*A629,14)))</f>
        <v/>
      </c>
    </row>
    <row r="621" spans="1:10" ht="28" customHeight="1" x14ac:dyDescent="0.2">
      <c r="A621" s="96" t="str">
        <f ca="1">INDIRECT(_xlfn.TEXTJOIN("",TRUE,A632,"!",ADDRESS(16+(A633-1)*A629,1)))</f>
        <v/>
      </c>
      <c r="B621" s="97"/>
      <c r="C621" s="106" t="str">
        <f ca="1">INDIRECT(_xlfn.TEXTJOIN("",TRUE,A632,"!",ADDRESS(16+(A633-1)*A629,2)))</f>
        <v/>
      </c>
      <c r="D621" s="107"/>
      <c r="E621" s="107"/>
      <c r="F621" s="107"/>
      <c r="G621" s="108"/>
      <c r="H621" s="20" t="str">
        <f ca="1">INDIRECT(_xlfn.TEXTJOIN("",TRUE,A632,"!",ADDRESS(16+(A633-1)*A629,6)))</f>
        <v/>
      </c>
      <c r="I621" s="20" t="str">
        <f ca="1">INDIRECT(_xlfn.TEXTJOIN("",TRUE,A632,"!",ADDRESS(16+(A633-1)*A629,13)))</f>
        <v/>
      </c>
      <c r="J621" s="20" t="str">
        <f ca="1">INDIRECT(_xlfn.TEXTJOIN("",TRUE,A632,"!",ADDRESS(16+(A633-1)*A629,14)))</f>
        <v/>
      </c>
    </row>
    <row r="622" spans="1:10" ht="28" customHeight="1" x14ac:dyDescent="0.2">
      <c r="A622" s="96" t="str">
        <f ca="1">INDIRECT(_xlfn.TEXTJOIN("",TRUE,A632,"!",ADDRESS(17+(A633-1)*A629,1)))</f>
        <v/>
      </c>
      <c r="B622" s="97"/>
      <c r="C622" s="106" t="str">
        <f ca="1">INDIRECT(_xlfn.TEXTJOIN("",TRUE,A632,"!",ADDRESS(17+(A633-1)*A629,2)))</f>
        <v/>
      </c>
      <c r="D622" s="107"/>
      <c r="E622" s="107"/>
      <c r="F622" s="107"/>
      <c r="G622" s="108"/>
      <c r="H622" s="20" t="str">
        <f ca="1">INDIRECT(_xlfn.TEXTJOIN("",TRUE,A632,"!",ADDRESS(17+(A633-1)*A629,6)))</f>
        <v/>
      </c>
      <c r="I622" s="20" t="str">
        <f ca="1">INDIRECT(_xlfn.TEXTJOIN("",TRUE,A632,"!",ADDRESS(17+(A633-1)*A629,13)))</f>
        <v/>
      </c>
      <c r="J622" s="20" t="str">
        <f ca="1">INDIRECT(_xlfn.TEXTJOIN("",TRUE,A632,"!",ADDRESS(17+(A633-1)*A629,14)))</f>
        <v/>
      </c>
    </row>
    <row r="623" spans="1:10" ht="28" customHeight="1" x14ac:dyDescent="0.2">
      <c r="A623" s="96" t="str">
        <f ca="1">INDIRECT(_xlfn.TEXTJOIN("",TRUE,A632,"!",ADDRESS(18+(A633-1)*A629,1)))</f>
        <v/>
      </c>
      <c r="B623" s="97"/>
      <c r="C623" s="106" t="str">
        <f ca="1">INDIRECT(_xlfn.TEXTJOIN("",TRUE,A632,"!",ADDRESS(18+(A633-1)*A629,2)))</f>
        <v/>
      </c>
      <c r="D623" s="107"/>
      <c r="E623" s="107"/>
      <c r="F623" s="107"/>
      <c r="G623" s="108"/>
      <c r="H623" s="20" t="str">
        <f ca="1">INDIRECT(_xlfn.TEXTJOIN("",TRUE,A632,"!",ADDRESS(18+(A633-1)*A629,6)))</f>
        <v/>
      </c>
      <c r="I623" s="20" t="str">
        <f ca="1">INDIRECT(_xlfn.TEXTJOIN("",TRUE,A632,"!",ADDRESS(18+(A633-1)*A629,13)))</f>
        <v/>
      </c>
      <c r="J623" s="20" t="str">
        <f ca="1">INDIRECT(_xlfn.TEXTJOIN("",TRUE,A632,"!",ADDRESS(18+(A633-1)*A629,14)))</f>
        <v/>
      </c>
    </row>
    <row r="624" spans="1:10" ht="28" customHeight="1" x14ac:dyDescent="0.2">
      <c r="A624" s="96" t="str">
        <f ca="1">INDIRECT(_xlfn.TEXTJOIN("",TRUE,A632,"!",ADDRESS(19+(A633-1)*A629,1)))</f>
        <v/>
      </c>
      <c r="B624" s="97"/>
      <c r="C624" s="106" t="str">
        <f ca="1">INDIRECT(_xlfn.TEXTJOIN("",TRUE,A632,"!",ADDRESS(19+(A633-1)*A629,2)))</f>
        <v/>
      </c>
      <c r="D624" s="107"/>
      <c r="E624" s="107"/>
      <c r="F624" s="107"/>
      <c r="G624" s="108"/>
      <c r="H624" s="20" t="str">
        <f ca="1">INDIRECT(_xlfn.TEXTJOIN("",TRUE,A632,"!",ADDRESS(19+(A633-1)*A629,6)))</f>
        <v/>
      </c>
      <c r="I624" s="20" t="str">
        <f ca="1">INDIRECT(_xlfn.TEXTJOIN("",TRUE,A632,"!",ADDRESS(19+(A633-1)*A629,13)))</f>
        <v/>
      </c>
      <c r="J624" s="20" t="str">
        <f ca="1">INDIRECT(_xlfn.TEXTJOIN("",TRUE,A632,"!",ADDRESS(19+(A633-1)*A629,14)))</f>
        <v/>
      </c>
    </row>
    <row r="625" spans="1:10" ht="28" customHeight="1" x14ac:dyDescent="0.2">
      <c r="A625" s="96" t="str">
        <f ca="1">INDIRECT(_xlfn.TEXTJOIN("",TRUE,A632,"!",ADDRESS(20+(A633-1)*A629,1)))</f>
        <v/>
      </c>
      <c r="B625" s="97"/>
      <c r="C625" s="106" t="str">
        <f ca="1">INDIRECT(_xlfn.TEXTJOIN("",TRUE,A632,"!",ADDRESS(20+(A633-1)*A629,2)))</f>
        <v/>
      </c>
      <c r="D625" s="107"/>
      <c r="E625" s="107"/>
      <c r="F625" s="107"/>
      <c r="G625" s="108"/>
      <c r="H625" s="20" t="str">
        <f ca="1">INDIRECT(_xlfn.TEXTJOIN("",TRUE,A632,"!",ADDRESS(20+(A633-1)*A629,6)))</f>
        <v/>
      </c>
      <c r="I625" s="20" t="str">
        <f ca="1">INDIRECT(_xlfn.TEXTJOIN("",TRUE,A632,"!",ADDRESS(20+(A633-1)*A629,13)))</f>
        <v/>
      </c>
      <c r="J625" s="20" t="str">
        <f ca="1">INDIRECT(_xlfn.TEXTJOIN("",TRUE,A632,"!",ADDRESS(20+(A633-1)*A629,14)))</f>
        <v/>
      </c>
    </row>
    <row r="626" spans="1:10" ht="28" customHeight="1" x14ac:dyDescent="0.2">
      <c r="A626" s="96" t="str">
        <f ca="1">INDIRECT(_xlfn.TEXTJOIN("",TRUE,A632,"!",ADDRESS(21+(A633-1)*A629,1)))</f>
        <v/>
      </c>
      <c r="B626" s="97"/>
      <c r="C626" s="106" t="str">
        <f ca="1">INDIRECT(_xlfn.TEXTJOIN("",TRUE,A632,"!",ADDRESS(21+(A633-1)*A629,2)))</f>
        <v/>
      </c>
      <c r="D626" s="107"/>
      <c r="E626" s="107"/>
      <c r="F626" s="107"/>
      <c r="G626" s="108"/>
      <c r="H626" s="20" t="str">
        <f ca="1">INDIRECT(_xlfn.TEXTJOIN("",TRUE,A632,"!",ADDRESS(21+(A633-1)*A629,6)))</f>
        <v/>
      </c>
      <c r="I626" s="20" t="str">
        <f ca="1">INDIRECT(_xlfn.TEXTJOIN("",TRUE,A632,"!",ADDRESS(21+(A633-1)*A629,13)))</f>
        <v/>
      </c>
      <c r="J626" s="20" t="str">
        <f ca="1">INDIRECT(_xlfn.TEXTJOIN("",TRUE,A632,"!",ADDRESS(21+(A633-1)*A629,14)))</f>
        <v/>
      </c>
    </row>
    <row r="627" spans="1:10" ht="28" customHeight="1" x14ac:dyDescent="0.2">
      <c r="A627" s="96" t="str">
        <f ca="1">INDIRECT(_xlfn.TEXTJOIN("",TRUE,A632,"!",ADDRESS(22+(A633-1)*A629,1)))</f>
        <v/>
      </c>
      <c r="B627" s="97"/>
      <c r="C627" s="106" t="str">
        <f ca="1">INDIRECT(_xlfn.TEXTJOIN("",TRUE,A632,"!",ADDRESS(22+(A633-1)*A629,2)))</f>
        <v/>
      </c>
      <c r="D627" s="107"/>
      <c r="E627" s="107"/>
      <c r="F627" s="107"/>
      <c r="G627" s="108"/>
      <c r="H627" s="20" t="str">
        <f ca="1">INDIRECT(_xlfn.TEXTJOIN("",TRUE,A632,"!",ADDRESS(22+(A633-1)*A629,6)))</f>
        <v/>
      </c>
      <c r="I627" s="20" t="str">
        <f ca="1">INDIRECT(_xlfn.TEXTJOIN("",TRUE,A632,"!",ADDRESS(22+(A633-1)*A629,13)))</f>
        <v/>
      </c>
      <c r="J627" s="20" t="str">
        <f ca="1">INDIRECT(_xlfn.TEXTJOIN("",TRUE,A632,"!",ADDRESS(22+(A633-1)*A629,14)))</f>
        <v/>
      </c>
    </row>
    <row r="628" spans="1:10" ht="28" customHeight="1" x14ac:dyDescent="0.2">
      <c r="A628" s="118" t="s">
        <v>52</v>
      </c>
      <c r="B628" s="118"/>
      <c r="C628" s="118"/>
      <c r="D628" s="118"/>
      <c r="E628" s="118"/>
      <c r="F628" s="118"/>
      <c r="G628" s="118"/>
      <c r="H628" s="16">
        <f ca="1">SUM(H618:H627)</f>
        <v>0</v>
      </c>
      <c r="I628" s="16" t="s">
        <v>44</v>
      </c>
      <c r="J628" s="16">
        <f ca="1">SUMPRODUCT(J618:J627,H618:H627)</f>
        <v>0</v>
      </c>
    </row>
    <row r="629" spans="1:10" ht="28" customHeight="1" x14ac:dyDescent="0.2">
      <c r="A629" s="22">
        <f>ROWS(A618:B627)+9</f>
        <v>19</v>
      </c>
      <c r="B629" s="17"/>
      <c r="C629" s="17"/>
      <c r="D629" s="17"/>
      <c r="E629" s="17"/>
      <c r="F629" s="17"/>
      <c r="G629" s="17"/>
      <c r="H629" s="17"/>
      <c r="I629" s="17"/>
      <c r="J629" s="17"/>
    </row>
    <row r="630" spans="1:10" ht="28" customHeight="1" x14ac:dyDescent="0.2">
      <c r="A630" s="120" t="s">
        <v>40</v>
      </c>
      <c r="B630" s="120"/>
      <c r="C630" s="21" t="str">
        <f ca="1">INDIRECT(_xlfn.TEXTJOIN("",TRUE,A632,"!",ADDRESS(5+A633*A629,12)))</f>
        <v/>
      </c>
      <c r="D630" s="120" t="s">
        <v>38</v>
      </c>
      <c r="E630" s="120"/>
      <c r="F630" s="18" t="str">
        <f ca="1">INDIRECT(_xlfn.TEXTJOIN("",TRUE,A632,"!",ADDRESS(5+A633*A629,8)))</f>
        <v/>
      </c>
      <c r="G630" s="120" t="s">
        <v>39</v>
      </c>
      <c r="H630" s="120"/>
      <c r="I630" s="109" t="str">
        <f ca="1">INDIRECT(_xlfn.TEXTJOIN("",TRUE,A632,"!",ADDRESS(5+A633*A629,10)))</f>
        <v/>
      </c>
      <c r="J630" s="109"/>
    </row>
    <row r="631" spans="1:10" ht="28" customHeight="1" x14ac:dyDescent="0.2">
      <c r="A631" s="19" t="s">
        <v>36</v>
      </c>
      <c r="B631" s="95" t="str">
        <f ca="1">INDIRECT(_xlfn.TEXTJOIN("",TRUE,A632,"!",ADDRESS(5+A633*A629,2)))</f>
        <v/>
      </c>
      <c r="C631" s="95"/>
      <c r="D631" s="121" t="s">
        <v>37</v>
      </c>
      <c r="E631" s="121"/>
      <c r="F631" s="122" t="str">
        <f ca="1">INDIRECT(_xlfn.TEXTJOIN("",TRUE,A632,"!",ADDRESS(5+A633*A629,5)))</f>
        <v/>
      </c>
      <c r="G631" s="122"/>
      <c r="H631" s="122"/>
      <c r="I631" s="122"/>
      <c r="J631" s="122"/>
    </row>
    <row r="632" spans="1:10" ht="28" customHeight="1" x14ac:dyDescent="0.2">
      <c r="A632" s="22" t="str">
        <f>A613</f>
        <v>TC_II</v>
      </c>
    </row>
    <row r="633" spans="1:10" ht="28" customHeight="1" x14ac:dyDescent="0.2">
      <c r="A633" s="22">
        <f>A614+1</f>
        <v>33</v>
      </c>
    </row>
    <row r="634" spans="1:10" ht="28" customHeight="1" x14ac:dyDescent="0.2">
      <c r="A634" s="112" t="s">
        <v>24</v>
      </c>
      <c r="B634" s="112"/>
      <c r="C634" s="112" t="str">
        <f ca="1">INDIRECT(_xlfn.TEXTJOIN("",TRUE,A651,"!",ADDRESS(9+(A652-1)*A648,2)))</f>
        <v/>
      </c>
      <c r="D634" s="112"/>
      <c r="E634" s="112"/>
      <c r="F634" s="112" t="s">
        <v>50</v>
      </c>
      <c r="G634" s="112"/>
      <c r="H634" s="112"/>
      <c r="I634" s="113" t="str">
        <f ca="1">INDIRECT(_xlfn.TEXTJOIN("",TRUE,A651,"!",ADDRESS(9+(A652-1)*A648,9)))</f>
        <v/>
      </c>
      <c r="J634" s="113"/>
    </row>
    <row r="635" spans="1:10" ht="28" customHeight="1" x14ac:dyDescent="0.2">
      <c r="A635" s="112" t="s">
        <v>25</v>
      </c>
      <c r="B635" s="112"/>
      <c r="C635" s="112" t="str">
        <f ca="1">INDIRECT(_xlfn.TEXTJOIN("",TRUE,A651,"!",ADDRESS(9+(A652-1)*A648,5)))</f>
        <v/>
      </c>
      <c r="D635" s="112"/>
      <c r="E635" s="112"/>
      <c r="F635" s="114" t="s">
        <v>51</v>
      </c>
      <c r="G635" s="114"/>
      <c r="H635" s="114"/>
      <c r="I635" s="113" t="str">
        <f ca="1">INDIRECT(_xlfn.TEXTJOIN("",TRUE,A651,"!",ADDRESS(9+(A652-1)*A648,13)))</f>
        <v/>
      </c>
      <c r="J635" s="113"/>
    </row>
    <row r="636" spans="1:10" ht="28" customHeight="1" x14ac:dyDescent="0.2">
      <c r="A636" s="95" t="s">
        <v>28</v>
      </c>
      <c r="B636" s="95"/>
      <c r="C636" s="95" t="s">
        <v>29</v>
      </c>
      <c r="D636" s="95"/>
      <c r="E636" s="95"/>
      <c r="F636" s="95"/>
      <c r="G636" s="95"/>
      <c r="H636" s="15" t="s">
        <v>30</v>
      </c>
      <c r="I636" s="15" t="s">
        <v>9</v>
      </c>
      <c r="J636" s="15" t="s">
        <v>34</v>
      </c>
    </row>
    <row r="637" spans="1:10" ht="28" customHeight="1" x14ac:dyDescent="0.2">
      <c r="A637" s="96" t="str">
        <f ca="1">INDIRECT(_xlfn.TEXTJOIN("",TRUE,A651,"!",ADDRESS(13+(A652-1)*A648,1)))</f>
        <v/>
      </c>
      <c r="B637" s="97"/>
      <c r="C637" s="106" t="str">
        <f ca="1">INDIRECT(_xlfn.TEXTJOIN("",TRUE,A651,"!",ADDRESS(13+(A652-1)*A648,2)))</f>
        <v/>
      </c>
      <c r="D637" s="107"/>
      <c r="E637" s="107"/>
      <c r="F637" s="107"/>
      <c r="G637" s="108"/>
      <c r="H637" s="20" t="str">
        <f ca="1">INDIRECT(_xlfn.TEXTJOIN("",TRUE,A651,"!",ADDRESS(13+(A652-1)*A648,6)))</f>
        <v/>
      </c>
      <c r="I637" s="20" t="str">
        <f ca="1">INDIRECT(_xlfn.TEXTJOIN("",TRUE,A651,"!",ADDRESS(13+(A652-1)*A648,13)))</f>
        <v/>
      </c>
      <c r="J637" s="20" t="str">
        <f ca="1">INDIRECT(_xlfn.TEXTJOIN("",TRUE,A651,"!",ADDRESS(13+(A652-1)*A648,14)))</f>
        <v/>
      </c>
    </row>
    <row r="638" spans="1:10" ht="28" customHeight="1" x14ac:dyDescent="0.2">
      <c r="A638" s="96" t="str">
        <f ca="1">INDIRECT(_xlfn.TEXTJOIN("",TRUE,A651,"!",ADDRESS(14+(A652-1)*A648,1)))</f>
        <v/>
      </c>
      <c r="B638" s="97"/>
      <c r="C638" s="106" t="str">
        <f ca="1">INDIRECT(_xlfn.TEXTJOIN("",TRUE,A651,"!",ADDRESS(14+(A652-1)*A648,2)))</f>
        <v/>
      </c>
      <c r="D638" s="107"/>
      <c r="E638" s="107"/>
      <c r="F638" s="107"/>
      <c r="G638" s="108"/>
      <c r="H638" s="20" t="str">
        <f ca="1">INDIRECT(_xlfn.TEXTJOIN("",TRUE,A651,"!",ADDRESS(14+(A652-1)*A648,6)))</f>
        <v/>
      </c>
      <c r="I638" s="20" t="str">
        <f ca="1">INDIRECT(_xlfn.TEXTJOIN("",TRUE,A651,"!",ADDRESS(14+(A652-1)*A648,13)))</f>
        <v/>
      </c>
      <c r="J638" s="20" t="str">
        <f ca="1">INDIRECT(_xlfn.TEXTJOIN("",TRUE,A651,"!",ADDRESS(14+(A652-1)*A648,14)))</f>
        <v/>
      </c>
    </row>
    <row r="639" spans="1:10" ht="28" customHeight="1" x14ac:dyDescent="0.2">
      <c r="A639" s="96" t="str">
        <f ca="1">INDIRECT(_xlfn.TEXTJOIN("",TRUE,A651,"!",ADDRESS(15+(A652-1)*A648,1)))</f>
        <v/>
      </c>
      <c r="B639" s="97"/>
      <c r="C639" s="106" t="str">
        <f ca="1">INDIRECT(_xlfn.TEXTJOIN("",TRUE,A651,"!",ADDRESS(15+(A652-1)*A648,2)))</f>
        <v/>
      </c>
      <c r="D639" s="107"/>
      <c r="E639" s="107"/>
      <c r="F639" s="107"/>
      <c r="G639" s="108"/>
      <c r="H639" s="20" t="str">
        <f ca="1">INDIRECT(_xlfn.TEXTJOIN("",TRUE,A651,"!",ADDRESS(15+(A652-1)*A648,6)))</f>
        <v/>
      </c>
      <c r="I639" s="20" t="str">
        <f ca="1">INDIRECT(_xlfn.TEXTJOIN("",TRUE,A651,"!",ADDRESS(15+(A652-1)*A648,13)))</f>
        <v/>
      </c>
      <c r="J639" s="20" t="str">
        <f ca="1">INDIRECT(_xlfn.TEXTJOIN("",TRUE,A651,"!",ADDRESS(15+(A652-1)*A648,14)))</f>
        <v/>
      </c>
    </row>
    <row r="640" spans="1:10" ht="28" customHeight="1" x14ac:dyDescent="0.2">
      <c r="A640" s="96" t="str">
        <f ca="1">INDIRECT(_xlfn.TEXTJOIN("",TRUE,A651,"!",ADDRESS(16+(A652-1)*A648,1)))</f>
        <v/>
      </c>
      <c r="B640" s="97"/>
      <c r="C640" s="106" t="str">
        <f ca="1">INDIRECT(_xlfn.TEXTJOIN("",TRUE,A651,"!",ADDRESS(16+(A652-1)*A648,2)))</f>
        <v/>
      </c>
      <c r="D640" s="107"/>
      <c r="E640" s="107"/>
      <c r="F640" s="107"/>
      <c r="G640" s="108"/>
      <c r="H640" s="20" t="str">
        <f ca="1">INDIRECT(_xlfn.TEXTJOIN("",TRUE,A651,"!",ADDRESS(16+(A652-1)*A648,6)))</f>
        <v/>
      </c>
      <c r="I640" s="20" t="str">
        <f ca="1">INDIRECT(_xlfn.TEXTJOIN("",TRUE,A651,"!",ADDRESS(16+(A652-1)*A648,13)))</f>
        <v/>
      </c>
      <c r="J640" s="20" t="str">
        <f ca="1">INDIRECT(_xlfn.TEXTJOIN("",TRUE,A651,"!",ADDRESS(16+(A652-1)*A648,14)))</f>
        <v/>
      </c>
    </row>
    <row r="641" spans="1:10" ht="28" customHeight="1" x14ac:dyDescent="0.2">
      <c r="A641" s="96" t="str">
        <f ca="1">INDIRECT(_xlfn.TEXTJOIN("",TRUE,A651,"!",ADDRESS(17+(A652-1)*A648,1)))</f>
        <v/>
      </c>
      <c r="B641" s="97"/>
      <c r="C641" s="106" t="str">
        <f ca="1">INDIRECT(_xlfn.TEXTJOIN("",TRUE,A651,"!",ADDRESS(17+(A652-1)*A648,2)))</f>
        <v/>
      </c>
      <c r="D641" s="107"/>
      <c r="E641" s="107"/>
      <c r="F641" s="107"/>
      <c r="G641" s="108"/>
      <c r="H641" s="20" t="str">
        <f ca="1">INDIRECT(_xlfn.TEXTJOIN("",TRUE,A651,"!",ADDRESS(17+(A652-1)*A648,6)))</f>
        <v/>
      </c>
      <c r="I641" s="20" t="str">
        <f ca="1">INDIRECT(_xlfn.TEXTJOIN("",TRUE,A651,"!",ADDRESS(17+(A652-1)*A648,13)))</f>
        <v/>
      </c>
      <c r="J641" s="20" t="str">
        <f ca="1">INDIRECT(_xlfn.TEXTJOIN("",TRUE,A651,"!",ADDRESS(17+(A652-1)*A648,14)))</f>
        <v/>
      </c>
    </row>
    <row r="642" spans="1:10" ht="28" customHeight="1" x14ac:dyDescent="0.2">
      <c r="A642" s="96" t="str">
        <f ca="1">INDIRECT(_xlfn.TEXTJOIN("",TRUE,A651,"!",ADDRESS(18+(A652-1)*A648,1)))</f>
        <v/>
      </c>
      <c r="B642" s="97"/>
      <c r="C642" s="106" t="str">
        <f ca="1">INDIRECT(_xlfn.TEXTJOIN("",TRUE,A651,"!",ADDRESS(18+(A652-1)*A648,2)))</f>
        <v/>
      </c>
      <c r="D642" s="107"/>
      <c r="E642" s="107"/>
      <c r="F642" s="107"/>
      <c r="G642" s="108"/>
      <c r="H642" s="20" t="str">
        <f ca="1">INDIRECT(_xlfn.TEXTJOIN("",TRUE,A651,"!",ADDRESS(18+(A652-1)*A648,6)))</f>
        <v/>
      </c>
      <c r="I642" s="20" t="str">
        <f ca="1">INDIRECT(_xlfn.TEXTJOIN("",TRUE,A651,"!",ADDRESS(18+(A652-1)*A648,13)))</f>
        <v/>
      </c>
      <c r="J642" s="20" t="str">
        <f ca="1">INDIRECT(_xlfn.TEXTJOIN("",TRUE,A651,"!",ADDRESS(18+(A652-1)*A648,14)))</f>
        <v/>
      </c>
    </row>
    <row r="643" spans="1:10" ht="28" customHeight="1" x14ac:dyDescent="0.2">
      <c r="A643" s="96" t="str">
        <f ca="1">INDIRECT(_xlfn.TEXTJOIN("",TRUE,A651,"!",ADDRESS(19+(A652-1)*A648,1)))</f>
        <v/>
      </c>
      <c r="B643" s="97"/>
      <c r="C643" s="106" t="str">
        <f ca="1">INDIRECT(_xlfn.TEXTJOIN("",TRUE,A651,"!",ADDRESS(19+(A652-1)*A648,2)))</f>
        <v/>
      </c>
      <c r="D643" s="107"/>
      <c r="E643" s="107"/>
      <c r="F643" s="107"/>
      <c r="G643" s="108"/>
      <c r="H643" s="20" t="str">
        <f ca="1">INDIRECT(_xlfn.TEXTJOIN("",TRUE,A651,"!",ADDRESS(19+(A652-1)*A648,6)))</f>
        <v/>
      </c>
      <c r="I643" s="20" t="str">
        <f ca="1">INDIRECT(_xlfn.TEXTJOIN("",TRUE,A651,"!",ADDRESS(19+(A652-1)*A648,13)))</f>
        <v/>
      </c>
      <c r="J643" s="20" t="str">
        <f ca="1">INDIRECT(_xlfn.TEXTJOIN("",TRUE,A651,"!",ADDRESS(19+(A652-1)*A648,14)))</f>
        <v/>
      </c>
    </row>
    <row r="644" spans="1:10" ht="28" customHeight="1" x14ac:dyDescent="0.2">
      <c r="A644" s="96" t="str">
        <f ca="1">INDIRECT(_xlfn.TEXTJOIN("",TRUE,A651,"!",ADDRESS(20+(A652-1)*A648,1)))</f>
        <v/>
      </c>
      <c r="B644" s="97"/>
      <c r="C644" s="106" t="str">
        <f ca="1">INDIRECT(_xlfn.TEXTJOIN("",TRUE,A651,"!",ADDRESS(20+(A652-1)*A648,2)))</f>
        <v/>
      </c>
      <c r="D644" s="107"/>
      <c r="E644" s="107"/>
      <c r="F644" s="107"/>
      <c r="G644" s="108"/>
      <c r="H644" s="20" t="str">
        <f ca="1">INDIRECT(_xlfn.TEXTJOIN("",TRUE,A651,"!",ADDRESS(20+(A652-1)*A648,6)))</f>
        <v/>
      </c>
      <c r="I644" s="20" t="str">
        <f ca="1">INDIRECT(_xlfn.TEXTJOIN("",TRUE,A651,"!",ADDRESS(20+(A652-1)*A648,13)))</f>
        <v/>
      </c>
      <c r="J644" s="20" t="str">
        <f ca="1">INDIRECT(_xlfn.TEXTJOIN("",TRUE,A651,"!",ADDRESS(20+(A652-1)*A648,14)))</f>
        <v/>
      </c>
    </row>
    <row r="645" spans="1:10" ht="28" customHeight="1" x14ac:dyDescent="0.2">
      <c r="A645" s="96" t="str">
        <f ca="1">INDIRECT(_xlfn.TEXTJOIN("",TRUE,A651,"!",ADDRESS(21+(A652-1)*A648,1)))</f>
        <v/>
      </c>
      <c r="B645" s="97"/>
      <c r="C645" s="106" t="str">
        <f ca="1">INDIRECT(_xlfn.TEXTJOIN("",TRUE,A651,"!",ADDRESS(21+(A652-1)*A648,2)))</f>
        <v/>
      </c>
      <c r="D645" s="107"/>
      <c r="E645" s="107"/>
      <c r="F645" s="107"/>
      <c r="G645" s="108"/>
      <c r="H645" s="20" t="str">
        <f ca="1">INDIRECT(_xlfn.TEXTJOIN("",TRUE,A651,"!",ADDRESS(21+(A652-1)*A648,6)))</f>
        <v/>
      </c>
      <c r="I645" s="20" t="str">
        <f ca="1">INDIRECT(_xlfn.TEXTJOIN("",TRUE,A651,"!",ADDRESS(21+(A652-1)*A648,13)))</f>
        <v/>
      </c>
      <c r="J645" s="20" t="str">
        <f ca="1">INDIRECT(_xlfn.TEXTJOIN("",TRUE,A651,"!",ADDRESS(21+(A652-1)*A648,14)))</f>
        <v/>
      </c>
    </row>
    <row r="646" spans="1:10" ht="28" customHeight="1" x14ac:dyDescent="0.2">
      <c r="A646" s="96" t="str">
        <f ca="1">INDIRECT(_xlfn.TEXTJOIN("",TRUE,A651,"!",ADDRESS(22+(A652-1)*A648,1)))</f>
        <v/>
      </c>
      <c r="B646" s="97"/>
      <c r="C646" s="106" t="str">
        <f ca="1">INDIRECT(_xlfn.TEXTJOIN("",TRUE,A651,"!",ADDRESS(22+(A652-1)*A648,2)))</f>
        <v/>
      </c>
      <c r="D646" s="107"/>
      <c r="E646" s="107"/>
      <c r="F646" s="107"/>
      <c r="G646" s="108"/>
      <c r="H646" s="20" t="str">
        <f ca="1">INDIRECT(_xlfn.TEXTJOIN("",TRUE,A651,"!",ADDRESS(22+(A652-1)*A648,6)))</f>
        <v/>
      </c>
      <c r="I646" s="20" t="str">
        <f ca="1">INDIRECT(_xlfn.TEXTJOIN("",TRUE,A651,"!",ADDRESS(22+(A652-1)*A648,13)))</f>
        <v/>
      </c>
      <c r="J646" s="20" t="str">
        <f ca="1">INDIRECT(_xlfn.TEXTJOIN("",TRUE,A651,"!",ADDRESS(22+(A652-1)*A648,14)))</f>
        <v/>
      </c>
    </row>
    <row r="647" spans="1:10" ht="28" customHeight="1" x14ac:dyDescent="0.2">
      <c r="A647" s="118" t="s">
        <v>52</v>
      </c>
      <c r="B647" s="118"/>
      <c r="C647" s="118"/>
      <c r="D647" s="118"/>
      <c r="E647" s="118"/>
      <c r="F647" s="118"/>
      <c r="G647" s="118"/>
      <c r="H647" s="16">
        <f ca="1">SUM(H637:H646)</f>
        <v>0</v>
      </c>
      <c r="I647" s="16" t="s">
        <v>44</v>
      </c>
      <c r="J647" s="16">
        <f ca="1">SUMPRODUCT(J637:J646,H637:H646)</f>
        <v>0</v>
      </c>
    </row>
    <row r="648" spans="1:10" ht="28" customHeight="1" x14ac:dyDescent="0.2">
      <c r="A648" s="22">
        <f>ROWS(A637:B646)+9</f>
        <v>19</v>
      </c>
      <c r="B648" s="17"/>
      <c r="C648" s="17"/>
      <c r="D648" s="17"/>
      <c r="E648" s="17"/>
      <c r="F648" s="17"/>
      <c r="G648" s="17"/>
      <c r="H648" s="17"/>
      <c r="I648" s="17"/>
      <c r="J648" s="17"/>
    </row>
    <row r="649" spans="1:10" ht="28" customHeight="1" x14ac:dyDescent="0.2">
      <c r="A649" s="120" t="s">
        <v>40</v>
      </c>
      <c r="B649" s="120"/>
      <c r="C649" s="21" t="str">
        <f ca="1">INDIRECT(_xlfn.TEXTJOIN("",TRUE,A651,"!",ADDRESS(5+A652*A648,12)))</f>
        <v/>
      </c>
      <c r="D649" s="120" t="s">
        <v>38</v>
      </c>
      <c r="E649" s="120"/>
      <c r="F649" s="18" t="str">
        <f ca="1">INDIRECT(_xlfn.TEXTJOIN("",TRUE,A651,"!",ADDRESS(5+A652*A648,8)))</f>
        <v/>
      </c>
      <c r="G649" s="120" t="s">
        <v>39</v>
      </c>
      <c r="H649" s="120"/>
      <c r="I649" s="109" t="str">
        <f ca="1">INDIRECT(_xlfn.TEXTJOIN("",TRUE,A651,"!",ADDRESS(5+A652*A648,10)))</f>
        <v/>
      </c>
      <c r="J649" s="109"/>
    </row>
    <row r="650" spans="1:10" ht="28" customHeight="1" x14ac:dyDescent="0.2">
      <c r="A650" s="19" t="s">
        <v>36</v>
      </c>
      <c r="B650" s="95" t="str">
        <f ca="1">INDIRECT(_xlfn.TEXTJOIN("",TRUE,A651,"!",ADDRESS(5+A652*A648,2)))</f>
        <v/>
      </c>
      <c r="C650" s="95"/>
      <c r="D650" s="121" t="s">
        <v>37</v>
      </c>
      <c r="E650" s="121"/>
      <c r="F650" s="122" t="str">
        <f ca="1">INDIRECT(_xlfn.TEXTJOIN("",TRUE,A651,"!",ADDRESS(5+A652*A648,5)))</f>
        <v/>
      </c>
      <c r="G650" s="122"/>
      <c r="H650" s="122"/>
      <c r="I650" s="122"/>
      <c r="J650" s="122"/>
    </row>
    <row r="651" spans="1:10" ht="28" customHeight="1" x14ac:dyDescent="0.2">
      <c r="A651" s="22" t="str">
        <f>A632</f>
        <v>TC_II</v>
      </c>
    </row>
    <row r="652" spans="1:10" ht="28" customHeight="1" x14ac:dyDescent="0.2">
      <c r="A652" s="22">
        <f>A633+1</f>
        <v>34</v>
      </c>
    </row>
    <row r="653" spans="1:10" ht="28" customHeight="1" x14ac:dyDescent="0.2">
      <c r="A653" s="112" t="s">
        <v>24</v>
      </c>
      <c r="B653" s="112"/>
      <c r="C653" s="112" t="str">
        <f ca="1">INDIRECT(_xlfn.TEXTJOIN("",TRUE,A670,"!",ADDRESS(9+(A671-1)*A667,2)))</f>
        <v/>
      </c>
      <c r="D653" s="112"/>
      <c r="E653" s="112"/>
      <c r="F653" s="112" t="s">
        <v>50</v>
      </c>
      <c r="G653" s="112"/>
      <c r="H653" s="112"/>
      <c r="I653" s="113" t="str">
        <f ca="1">INDIRECT(_xlfn.TEXTJOIN("",TRUE,A670,"!",ADDRESS(9+(A671-1)*A667,9)))</f>
        <v/>
      </c>
      <c r="J653" s="113"/>
    </row>
    <row r="654" spans="1:10" ht="28" customHeight="1" x14ac:dyDescent="0.2">
      <c r="A654" s="112" t="s">
        <v>25</v>
      </c>
      <c r="B654" s="112"/>
      <c r="C654" s="112" t="str">
        <f ca="1">INDIRECT(_xlfn.TEXTJOIN("",TRUE,A670,"!",ADDRESS(9+(A671-1)*A667,5)))</f>
        <v/>
      </c>
      <c r="D654" s="112"/>
      <c r="E654" s="112"/>
      <c r="F654" s="114" t="s">
        <v>51</v>
      </c>
      <c r="G654" s="114"/>
      <c r="H654" s="114"/>
      <c r="I654" s="113" t="str">
        <f ca="1">INDIRECT(_xlfn.TEXTJOIN("",TRUE,A670,"!",ADDRESS(9+(A671-1)*A667,13)))</f>
        <v/>
      </c>
      <c r="J654" s="113"/>
    </row>
    <row r="655" spans="1:10" ht="28" customHeight="1" x14ac:dyDescent="0.2">
      <c r="A655" s="95" t="s">
        <v>28</v>
      </c>
      <c r="B655" s="95"/>
      <c r="C655" s="95" t="s">
        <v>29</v>
      </c>
      <c r="D655" s="95"/>
      <c r="E655" s="95"/>
      <c r="F655" s="95"/>
      <c r="G655" s="95"/>
      <c r="H655" s="15" t="s">
        <v>30</v>
      </c>
      <c r="I655" s="15" t="s">
        <v>9</v>
      </c>
      <c r="J655" s="15" t="s">
        <v>34</v>
      </c>
    </row>
    <row r="656" spans="1:10" ht="28" customHeight="1" x14ac:dyDescent="0.2">
      <c r="A656" s="96" t="str">
        <f ca="1">INDIRECT(_xlfn.TEXTJOIN("",TRUE,A670,"!",ADDRESS(13+(A671-1)*A667,1)))</f>
        <v/>
      </c>
      <c r="B656" s="97"/>
      <c r="C656" s="106" t="str">
        <f ca="1">INDIRECT(_xlfn.TEXTJOIN("",TRUE,A670,"!",ADDRESS(13+(A671-1)*A667,2)))</f>
        <v/>
      </c>
      <c r="D656" s="107"/>
      <c r="E656" s="107"/>
      <c r="F656" s="107"/>
      <c r="G656" s="108"/>
      <c r="H656" s="20" t="str">
        <f ca="1">INDIRECT(_xlfn.TEXTJOIN("",TRUE,A670,"!",ADDRESS(13+(A671-1)*A667,6)))</f>
        <v/>
      </c>
      <c r="I656" s="20" t="str">
        <f ca="1">INDIRECT(_xlfn.TEXTJOIN("",TRUE,A670,"!",ADDRESS(13+(A671-1)*A667,13)))</f>
        <v/>
      </c>
      <c r="J656" s="20" t="str">
        <f ca="1">INDIRECT(_xlfn.TEXTJOIN("",TRUE,A670,"!",ADDRESS(13+(A671-1)*A667,14)))</f>
        <v/>
      </c>
    </row>
    <row r="657" spans="1:10" ht="28" customHeight="1" x14ac:dyDescent="0.2">
      <c r="A657" s="96" t="str">
        <f ca="1">INDIRECT(_xlfn.TEXTJOIN("",TRUE,A670,"!",ADDRESS(14+(A671-1)*A667,1)))</f>
        <v/>
      </c>
      <c r="B657" s="97"/>
      <c r="C657" s="106" t="str">
        <f ca="1">INDIRECT(_xlfn.TEXTJOIN("",TRUE,A670,"!",ADDRESS(14+(A671-1)*A667,2)))</f>
        <v/>
      </c>
      <c r="D657" s="107"/>
      <c r="E657" s="107"/>
      <c r="F657" s="107"/>
      <c r="G657" s="108"/>
      <c r="H657" s="20" t="str">
        <f ca="1">INDIRECT(_xlfn.TEXTJOIN("",TRUE,A670,"!",ADDRESS(14+(A671-1)*A667,6)))</f>
        <v/>
      </c>
      <c r="I657" s="20" t="str">
        <f ca="1">INDIRECT(_xlfn.TEXTJOIN("",TRUE,A670,"!",ADDRESS(14+(A671-1)*A667,13)))</f>
        <v/>
      </c>
      <c r="J657" s="20" t="str">
        <f ca="1">INDIRECT(_xlfn.TEXTJOIN("",TRUE,A670,"!",ADDRESS(14+(A671-1)*A667,14)))</f>
        <v/>
      </c>
    </row>
    <row r="658" spans="1:10" ht="28" customHeight="1" x14ac:dyDescent="0.2">
      <c r="A658" s="96" t="str">
        <f ca="1">INDIRECT(_xlfn.TEXTJOIN("",TRUE,A670,"!",ADDRESS(15+(A671-1)*A667,1)))</f>
        <v/>
      </c>
      <c r="B658" s="97"/>
      <c r="C658" s="106" t="str">
        <f ca="1">INDIRECT(_xlfn.TEXTJOIN("",TRUE,A670,"!",ADDRESS(15+(A671-1)*A667,2)))</f>
        <v/>
      </c>
      <c r="D658" s="107"/>
      <c r="E658" s="107"/>
      <c r="F658" s="107"/>
      <c r="G658" s="108"/>
      <c r="H658" s="20" t="str">
        <f ca="1">INDIRECT(_xlfn.TEXTJOIN("",TRUE,A670,"!",ADDRESS(15+(A671-1)*A667,6)))</f>
        <v/>
      </c>
      <c r="I658" s="20" t="str">
        <f ca="1">INDIRECT(_xlfn.TEXTJOIN("",TRUE,A670,"!",ADDRESS(15+(A671-1)*A667,13)))</f>
        <v/>
      </c>
      <c r="J658" s="20" t="str">
        <f ca="1">INDIRECT(_xlfn.TEXTJOIN("",TRUE,A670,"!",ADDRESS(15+(A671-1)*A667,14)))</f>
        <v/>
      </c>
    </row>
    <row r="659" spans="1:10" ht="28" customHeight="1" x14ac:dyDescent="0.2">
      <c r="A659" s="96" t="str">
        <f ca="1">INDIRECT(_xlfn.TEXTJOIN("",TRUE,A670,"!",ADDRESS(16+(A671-1)*A667,1)))</f>
        <v/>
      </c>
      <c r="B659" s="97"/>
      <c r="C659" s="106" t="str">
        <f ca="1">INDIRECT(_xlfn.TEXTJOIN("",TRUE,A670,"!",ADDRESS(16+(A671-1)*A667,2)))</f>
        <v/>
      </c>
      <c r="D659" s="107"/>
      <c r="E659" s="107"/>
      <c r="F659" s="107"/>
      <c r="G659" s="108"/>
      <c r="H659" s="20" t="str">
        <f ca="1">INDIRECT(_xlfn.TEXTJOIN("",TRUE,A670,"!",ADDRESS(16+(A671-1)*A667,6)))</f>
        <v/>
      </c>
      <c r="I659" s="20" t="str">
        <f ca="1">INDIRECT(_xlfn.TEXTJOIN("",TRUE,A670,"!",ADDRESS(16+(A671-1)*A667,13)))</f>
        <v/>
      </c>
      <c r="J659" s="20" t="str">
        <f ca="1">INDIRECT(_xlfn.TEXTJOIN("",TRUE,A670,"!",ADDRESS(16+(A671-1)*A667,14)))</f>
        <v/>
      </c>
    </row>
    <row r="660" spans="1:10" ht="28" customHeight="1" x14ac:dyDescent="0.2">
      <c r="A660" s="96" t="str">
        <f ca="1">INDIRECT(_xlfn.TEXTJOIN("",TRUE,A670,"!",ADDRESS(17+(A671-1)*A667,1)))</f>
        <v/>
      </c>
      <c r="B660" s="97"/>
      <c r="C660" s="106" t="str">
        <f ca="1">INDIRECT(_xlfn.TEXTJOIN("",TRUE,A670,"!",ADDRESS(17+(A671-1)*A667,2)))</f>
        <v/>
      </c>
      <c r="D660" s="107"/>
      <c r="E660" s="107"/>
      <c r="F660" s="107"/>
      <c r="G660" s="108"/>
      <c r="H660" s="20" t="str">
        <f ca="1">INDIRECT(_xlfn.TEXTJOIN("",TRUE,A670,"!",ADDRESS(17+(A671-1)*A667,6)))</f>
        <v/>
      </c>
      <c r="I660" s="20" t="str">
        <f ca="1">INDIRECT(_xlfn.TEXTJOIN("",TRUE,A670,"!",ADDRESS(17+(A671-1)*A667,13)))</f>
        <v/>
      </c>
      <c r="J660" s="20" t="str">
        <f ca="1">INDIRECT(_xlfn.TEXTJOIN("",TRUE,A670,"!",ADDRESS(17+(A671-1)*A667,14)))</f>
        <v/>
      </c>
    </row>
    <row r="661" spans="1:10" ht="28" customHeight="1" x14ac:dyDescent="0.2">
      <c r="A661" s="96" t="str">
        <f ca="1">INDIRECT(_xlfn.TEXTJOIN("",TRUE,A670,"!",ADDRESS(18+(A671-1)*A667,1)))</f>
        <v/>
      </c>
      <c r="B661" s="97"/>
      <c r="C661" s="106" t="str">
        <f ca="1">INDIRECT(_xlfn.TEXTJOIN("",TRUE,A670,"!",ADDRESS(18+(A671-1)*A667,2)))</f>
        <v/>
      </c>
      <c r="D661" s="107"/>
      <c r="E661" s="107"/>
      <c r="F661" s="107"/>
      <c r="G661" s="108"/>
      <c r="H661" s="20" t="str">
        <f ca="1">INDIRECT(_xlfn.TEXTJOIN("",TRUE,A670,"!",ADDRESS(18+(A671-1)*A667,6)))</f>
        <v/>
      </c>
      <c r="I661" s="20" t="str">
        <f ca="1">INDIRECT(_xlfn.TEXTJOIN("",TRUE,A670,"!",ADDRESS(18+(A671-1)*A667,13)))</f>
        <v/>
      </c>
      <c r="J661" s="20" t="str">
        <f ca="1">INDIRECT(_xlfn.TEXTJOIN("",TRUE,A670,"!",ADDRESS(18+(A671-1)*A667,14)))</f>
        <v/>
      </c>
    </row>
    <row r="662" spans="1:10" ht="28" customHeight="1" x14ac:dyDescent="0.2">
      <c r="A662" s="96" t="str">
        <f ca="1">INDIRECT(_xlfn.TEXTJOIN("",TRUE,A670,"!",ADDRESS(19+(A671-1)*A667,1)))</f>
        <v/>
      </c>
      <c r="B662" s="97"/>
      <c r="C662" s="106" t="str">
        <f ca="1">INDIRECT(_xlfn.TEXTJOIN("",TRUE,A670,"!",ADDRESS(19+(A671-1)*A667,2)))</f>
        <v/>
      </c>
      <c r="D662" s="107"/>
      <c r="E662" s="107"/>
      <c r="F662" s="107"/>
      <c r="G662" s="108"/>
      <c r="H662" s="20" t="str">
        <f ca="1">INDIRECT(_xlfn.TEXTJOIN("",TRUE,A670,"!",ADDRESS(19+(A671-1)*A667,6)))</f>
        <v/>
      </c>
      <c r="I662" s="20" t="str">
        <f ca="1">INDIRECT(_xlfn.TEXTJOIN("",TRUE,A670,"!",ADDRESS(19+(A671-1)*A667,13)))</f>
        <v/>
      </c>
      <c r="J662" s="20" t="str">
        <f ca="1">INDIRECT(_xlfn.TEXTJOIN("",TRUE,A670,"!",ADDRESS(19+(A671-1)*A667,14)))</f>
        <v/>
      </c>
    </row>
    <row r="663" spans="1:10" ht="28" customHeight="1" x14ac:dyDescent="0.2">
      <c r="A663" s="96" t="str">
        <f ca="1">INDIRECT(_xlfn.TEXTJOIN("",TRUE,A670,"!",ADDRESS(20+(A671-1)*A667,1)))</f>
        <v/>
      </c>
      <c r="B663" s="97"/>
      <c r="C663" s="106" t="str">
        <f ca="1">INDIRECT(_xlfn.TEXTJOIN("",TRUE,A670,"!",ADDRESS(20+(A671-1)*A667,2)))</f>
        <v/>
      </c>
      <c r="D663" s="107"/>
      <c r="E663" s="107"/>
      <c r="F663" s="107"/>
      <c r="G663" s="108"/>
      <c r="H663" s="20" t="str">
        <f ca="1">INDIRECT(_xlfn.TEXTJOIN("",TRUE,A670,"!",ADDRESS(20+(A671-1)*A667,6)))</f>
        <v/>
      </c>
      <c r="I663" s="20" t="str">
        <f ca="1">INDIRECT(_xlfn.TEXTJOIN("",TRUE,A670,"!",ADDRESS(20+(A671-1)*A667,13)))</f>
        <v/>
      </c>
      <c r="J663" s="20" t="str">
        <f ca="1">INDIRECT(_xlfn.TEXTJOIN("",TRUE,A670,"!",ADDRESS(20+(A671-1)*A667,14)))</f>
        <v/>
      </c>
    </row>
    <row r="664" spans="1:10" ht="28" customHeight="1" x14ac:dyDescent="0.2">
      <c r="A664" s="96" t="str">
        <f ca="1">INDIRECT(_xlfn.TEXTJOIN("",TRUE,A670,"!",ADDRESS(21+(A671-1)*A667,1)))</f>
        <v/>
      </c>
      <c r="B664" s="97"/>
      <c r="C664" s="106" t="str">
        <f ca="1">INDIRECT(_xlfn.TEXTJOIN("",TRUE,A670,"!",ADDRESS(21+(A671-1)*A667,2)))</f>
        <v/>
      </c>
      <c r="D664" s="107"/>
      <c r="E664" s="107"/>
      <c r="F664" s="107"/>
      <c r="G664" s="108"/>
      <c r="H664" s="20" t="str">
        <f ca="1">INDIRECT(_xlfn.TEXTJOIN("",TRUE,A670,"!",ADDRESS(21+(A671-1)*A667,6)))</f>
        <v/>
      </c>
      <c r="I664" s="20" t="str">
        <f ca="1">INDIRECT(_xlfn.TEXTJOIN("",TRUE,A670,"!",ADDRESS(21+(A671-1)*A667,13)))</f>
        <v/>
      </c>
      <c r="J664" s="20" t="str">
        <f ca="1">INDIRECT(_xlfn.TEXTJOIN("",TRUE,A670,"!",ADDRESS(21+(A671-1)*A667,14)))</f>
        <v/>
      </c>
    </row>
    <row r="665" spans="1:10" ht="28" customHeight="1" x14ac:dyDescent="0.2">
      <c r="A665" s="96" t="str">
        <f ca="1">INDIRECT(_xlfn.TEXTJOIN("",TRUE,A670,"!",ADDRESS(22+(A671-1)*A667,1)))</f>
        <v/>
      </c>
      <c r="B665" s="97"/>
      <c r="C665" s="106" t="str">
        <f ca="1">INDIRECT(_xlfn.TEXTJOIN("",TRUE,A670,"!",ADDRESS(22+(A671-1)*A667,2)))</f>
        <v/>
      </c>
      <c r="D665" s="107"/>
      <c r="E665" s="107"/>
      <c r="F665" s="107"/>
      <c r="G665" s="108"/>
      <c r="H665" s="20" t="str">
        <f ca="1">INDIRECT(_xlfn.TEXTJOIN("",TRUE,A670,"!",ADDRESS(22+(A671-1)*A667,6)))</f>
        <v/>
      </c>
      <c r="I665" s="20" t="str">
        <f ca="1">INDIRECT(_xlfn.TEXTJOIN("",TRUE,A670,"!",ADDRESS(22+(A671-1)*A667,13)))</f>
        <v/>
      </c>
      <c r="J665" s="20" t="str">
        <f ca="1">INDIRECT(_xlfn.TEXTJOIN("",TRUE,A670,"!",ADDRESS(22+(A671-1)*A667,14)))</f>
        <v/>
      </c>
    </row>
    <row r="666" spans="1:10" ht="28" customHeight="1" x14ac:dyDescent="0.2">
      <c r="A666" s="118" t="s">
        <v>52</v>
      </c>
      <c r="B666" s="118"/>
      <c r="C666" s="118"/>
      <c r="D666" s="118"/>
      <c r="E666" s="118"/>
      <c r="F666" s="118"/>
      <c r="G666" s="118"/>
      <c r="H666" s="16">
        <f ca="1">SUM(H656:H665)</f>
        <v>0</v>
      </c>
      <c r="I666" s="16" t="s">
        <v>44</v>
      </c>
      <c r="J666" s="16">
        <f ca="1">SUMPRODUCT(J656:J665,H656:H665)</f>
        <v>0</v>
      </c>
    </row>
    <row r="667" spans="1:10" ht="28" customHeight="1" x14ac:dyDescent="0.2">
      <c r="A667" s="22">
        <f>ROWS(A656:B665)+9</f>
        <v>19</v>
      </c>
      <c r="B667" s="17"/>
      <c r="C667" s="17"/>
      <c r="D667" s="17"/>
      <c r="E667" s="17"/>
      <c r="F667" s="17"/>
      <c r="G667" s="17"/>
      <c r="H667" s="17"/>
      <c r="I667" s="17"/>
      <c r="J667" s="17"/>
    </row>
    <row r="668" spans="1:10" ht="28" customHeight="1" x14ac:dyDescent="0.2">
      <c r="A668" s="120" t="s">
        <v>40</v>
      </c>
      <c r="B668" s="120"/>
      <c r="C668" s="21" t="str">
        <f ca="1">INDIRECT(_xlfn.TEXTJOIN("",TRUE,A670,"!",ADDRESS(5+A671*A667,12)))</f>
        <v/>
      </c>
      <c r="D668" s="120" t="s">
        <v>38</v>
      </c>
      <c r="E668" s="120"/>
      <c r="F668" s="18" t="str">
        <f ca="1">INDIRECT(_xlfn.TEXTJOIN("",TRUE,A670,"!",ADDRESS(5+A671*A667,8)))</f>
        <v/>
      </c>
      <c r="G668" s="120" t="s">
        <v>39</v>
      </c>
      <c r="H668" s="120"/>
      <c r="I668" s="109" t="str">
        <f ca="1">INDIRECT(_xlfn.TEXTJOIN("",TRUE,A670,"!",ADDRESS(5+A671*A667,10)))</f>
        <v/>
      </c>
      <c r="J668" s="109"/>
    </row>
    <row r="669" spans="1:10" ht="28" customHeight="1" x14ac:dyDescent="0.2">
      <c r="A669" s="19" t="s">
        <v>36</v>
      </c>
      <c r="B669" s="95" t="str">
        <f ca="1">INDIRECT(_xlfn.TEXTJOIN("",TRUE,A670,"!",ADDRESS(5+A671*A667,2)))</f>
        <v/>
      </c>
      <c r="C669" s="95"/>
      <c r="D669" s="121" t="s">
        <v>37</v>
      </c>
      <c r="E669" s="121"/>
      <c r="F669" s="122" t="str">
        <f ca="1">INDIRECT(_xlfn.TEXTJOIN("",TRUE,A670,"!",ADDRESS(5+A671*A667,5)))</f>
        <v/>
      </c>
      <c r="G669" s="122"/>
      <c r="H669" s="122"/>
      <c r="I669" s="122"/>
      <c r="J669" s="122"/>
    </row>
    <row r="670" spans="1:10" ht="28" customHeight="1" x14ac:dyDescent="0.2">
      <c r="A670" s="22" t="str">
        <f>A651</f>
        <v>TC_II</v>
      </c>
    </row>
    <row r="671" spans="1:10" ht="28" customHeight="1" x14ac:dyDescent="0.2">
      <c r="A671" s="22">
        <f>A652+1</f>
        <v>35</v>
      </c>
    </row>
    <row r="672" spans="1:10" ht="28" customHeight="1" x14ac:dyDescent="0.2">
      <c r="A672" s="112" t="s">
        <v>24</v>
      </c>
      <c r="B672" s="112"/>
      <c r="C672" s="112" t="str">
        <f ca="1">INDIRECT(_xlfn.TEXTJOIN("",TRUE,A689,"!",ADDRESS(9+(A690-1)*A686,2)))</f>
        <v/>
      </c>
      <c r="D672" s="112"/>
      <c r="E672" s="112"/>
      <c r="F672" s="112" t="s">
        <v>50</v>
      </c>
      <c r="G672" s="112"/>
      <c r="H672" s="112"/>
      <c r="I672" s="113" t="str">
        <f ca="1">INDIRECT(_xlfn.TEXTJOIN("",TRUE,A689,"!",ADDRESS(9+(A690-1)*A686,9)))</f>
        <v/>
      </c>
      <c r="J672" s="113"/>
    </row>
    <row r="673" spans="1:10" ht="28" customHeight="1" x14ac:dyDescent="0.2">
      <c r="A673" s="112" t="s">
        <v>25</v>
      </c>
      <c r="B673" s="112"/>
      <c r="C673" s="112" t="str">
        <f ca="1">INDIRECT(_xlfn.TEXTJOIN("",TRUE,A689,"!",ADDRESS(9+(A690-1)*A686,5)))</f>
        <v/>
      </c>
      <c r="D673" s="112"/>
      <c r="E673" s="112"/>
      <c r="F673" s="114" t="s">
        <v>51</v>
      </c>
      <c r="G673" s="114"/>
      <c r="H673" s="114"/>
      <c r="I673" s="113" t="str">
        <f ca="1">INDIRECT(_xlfn.TEXTJOIN("",TRUE,A689,"!",ADDRESS(9+(A690-1)*A686,13)))</f>
        <v/>
      </c>
      <c r="J673" s="113"/>
    </row>
    <row r="674" spans="1:10" ht="28" customHeight="1" x14ac:dyDescent="0.2">
      <c r="A674" s="95" t="s">
        <v>28</v>
      </c>
      <c r="B674" s="95"/>
      <c r="C674" s="95" t="s">
        <v>29</v>
      </c>
      <c r="D674" s="95"/>
      <c r="E674" s="95"/>
      <c r="F674" s="95"/>
      <c r="G674" s="95"/>
      <c r="H674" s="15" t="s">
        <v>30</v>
      </c>
      <c r="I674" s="15" t="s">
        <v>9</v>
      </c>
      <c r="J674" s="15" t="s">
        <v>34</v>
      </c>
    </row>
    <row r="675" spans="1:10" ht="28" customHeight="1" x14ac:dyDescent="0.2">
      <c r="A675" s="96" t="str">
        <f ca="1">INDIRECT(_xlfn.TEXTJOIN("",TRUE,A689,"!",ADDRESS(13+(A690-1)*A686,1)))</f>
        <v/>
      </c>
      <c r="B675" s="97"/>
      <c r="C675" s="106" t="str">
        <f ca="1">INDIRECT(_xlfn.TEXTJOIN("",TRUE,A689,"!",ADDRESS(13+(A690-1)*A686,2)))</f>
        <v/>
      </c>
      <c r="D675" s="107"/>
      <c r="E675" s="107"/>
      <c r="F675" s="107"/>
      <c r="G675" s="108"/>
      <c r="H675" s="20" t="str">
        <f ca="1">INDIRECT(_xlfn.TEXTJOIN("",TRUE,A689,"!",ADDRESS(13+(A690-1)*A686,6)))</f>
        <v/>
      </c>
      <c r="I675" s="20" t="str">
        <f ca="1">INDIRECT(_xlfn.TEXTJOIN("",TRUE,A689,"!",ADDRESS(13+(A690-1)*A686,13)))</f>
        <v/>
      </c>
      <c r="J675" s="20" t="str">
        <f ca="1">INDIRECT(_xlfn.TEXTJOIN("",TRUE,A689,"!",ADDRESS(13+(A690-1)*A686,14)))</f>
        <v/>
      </c>
    </row>
    <row r="676" spans="1:10" ht="28" customHeight="1" x14ac:dyDescent="0.2">
      <c r="A676" s="96" t="str">
        <f ca="1">INDIRECT(_xlfn.TEXTJOIN("",TRUE,A689,"!",ADDRESS(14+(A690-1)*A686,1)))</f>
        <v/>
      </c>
      <c r="B676" s="97"/>
      <c r="C676" s="106" t="str">
        <f ca="1">INDIRECT(_xlfn.TEXTJOIN("",TRUE,A689,"!",ADDRESS(14+(A690-1)*A686,2)))</f>
        <v/>
      </c>
      <c r="D676" s="107"/>
      <c r="E676" s="107"/>
      <c r="F676" s="107"/>
      <c r="G676" s="108"/>
      <c r="H676" s="20" t="str">
        <f ca="1">INDIRECT(_xlfn.TEXTJOIN("",TRUE,A689,"!",ADDRESS(14+(A690-1)*A686,6)))</f>
        <v/>
      </c>
      <c r="I676" s="20" t="str">
        <f ca="1">INDIRECT(_xlfn.TEXTJOIN("",TRUE,A689,"!",ADDRESS(14+(A690-1)*A686,13)))</f>
        <v/>
      </c>
      <c r="J676" s="20" t="str">
        <f ca="1">INDIRECT(_xlfn.TEXTJOIN("",TRUE,A689,"!",ADDRESS(14+(A690-1)*A686,14)))</f>
        <v/>
      </c>
    </row>
    <row r="677" spans="1:10" ht="28" customHeight="1" x14ac:dyDescent="0.2">
      <c r="A677" s="96" t="str">
        <f ca="1">INDIRECT(_xlfn.TEXTJOIN("",TRUE,A689,"!",ADDRESS(15+(A690-1)*A686,1)))</f>
        <v/>
      </c>
      <c r="B677" s="97"/>
      <c r="C677" s="106" t="str">
        <f ca="1">INDIRECT(_xlfn.TEXTJOIN("",TRUE,A689,"!",ADDRESS(15+(A690-1)*A686,2)))</f>
        <v/>
      </c>
      <c r="D677" s="107"/>
      <c r="E677" s="107"/>
      <c r="F677" s="107"/>
      <c r="G677" s="108"/>
      <c r="H677" s="20" t="str">
        <f ca="1">INDIRECT(_xlfn.TEXTJOIN("",TRUE,A689,"!",ADDRESS(15+(A690-1)*A686,6)))</f>
        <v/>
      </c>
      <c r="I677" s="20" t="str">
        <f ca="1">INDIRECT(_xlfn.TEXTJOIN("",TRUE,A689,"!",ADDRESS(15+(A690-1)*A686,13)))</f>
        <v/>
      </c>
      <c r="J677" s="20" t="str">
        <f ca="1">INDIRECT(_xlfn.TEXTJOIN("",TRUE,A689,"!",ADDRESS(15+(A690-1)*A686,14)))</f>
        <v/>
      </c>
    </row>
    <row r="678" spans="1:10" ht="28" customHeight="1" x14ac:dyDescent="0.2">
      <c r="A678" s="96" t="str">
        <f ca="1">INDIRECT(_xlfn.TEXTJOIN("",TRUE,A689,"!",ADDRESS(16+(A690-1)*A686,1)))</f>
        <v/>
      </c>
      <c r="B678" s="97"/>
      <c r="C678" s="106" t="str">
        <f ca="1">INDIRECT(_xlfn.TEXTJOIN("",TRUE,A689,"!",ADDRESS(16+(A690-1)*A686,2)))</f>
        <v/>
      </c>
      <c r="D678" s="107"/>
      <c r="E678" s="107"/>
      <c r="F678" s="107"/>
      <c r="G678" s="108"/>
      <c r="H678" s="20" t="str">
        <f ca="1">INDIRECT(_xlfn.TEXTJOIN("",TRUE,A689,"!",ADDRESS(16+(A690-1)*A686,6)))</f>
        <v/>
      </c>
      <c r="I678" s="20" t="str">
        <f ca="1">INDIRECT(_xlfn.TEXTJOIN("",TRUE,A689,"!",ADDRESS(16+(A690-1)*A686,13)))</f>
        <v/>
      </c>
      <c r="J678" s="20" t="str">
        <f ca="1">INDIRECT(_xlfn.TEXTJOIN("",TRUE,A689,"!",ADDRESS(16+(A690-1)*A686,14)))</f>
        <v/>
      </c>
    </row>
    <row r="679" spans="1:10" ht="28" customHeight="1" x14ac:dyDescent="0.2">
      <c r="A679" s="96" t="str">
        <f ca="1">INDIRECT(_xlfn.TEXTJOIN("",TRUE,A689,"!",ADDRESS(17+(A690-1)*A686,1)))</f>
        <v/>
      </c>
      <c r="B679" s="97"/>
      <c r="C679" s="106" t="str">
        <f ca="1">INDIRECT(_xlfn.TEXTJOIN("",TRUE,A689,"!",ADDRESS(17+(A690-1)*A686,2)))</f>
        <v/>
      </c>
      <c r="D679" s="107"/>
      <c r="E679" s="107"/>
      <c r="F679" s="107"/>
      <c r="G679" s="108"/>
      <c r="H679" s="20" t="str">
        <f ca="1">INDIRECT(_xlfn.TEXTJOIN("",TRUE,A689,"!",ADDRESS(17+(A690-1)*A686,6)))</f>
        <v/>
      </c>
      <c r="I679" s="20" t="str">
        <f ca="1">INDIRECT(_xlfn.TEXTJOIN("",TRUE,A689,"!",ADDRESS(17+(A690-1)*A686,13)))</f>
        <v/>
      </c>
      <c r="J679" s="20" t="str">
        <f ca="1">INDIRECT(_xlfn.TEXTJOIN("",TRUE,A689,"!",ADDRESS(17+(A690-1)*A686,14)))</f>
        <v/>
      </c>
    </row>
    <row r="680" spans="1:10" ht="28" customHeight="1" x14ac:dyDescent="0.2">
      <c r="A680" s="96" t="str">
        <f ca="1">INDIRECT(_xlfn.TEXTJOIN("",TRUE,A689,"!",ADDRESS(18+(A690-1)*A686,1)))</f>
        <v/>
      </c>
      <c r="B680" s="97"/>
      <c r="C680" s="106" t="str">
        <f ca="1">INDIRECT(_xlfn.TEXTJOIN("",TRUE,A689,"!",ADDRESS(18+(A690-1)*A686,2)))</f>
        <v/>
      </c>
      <c r="D680" s="107"/>
      <c r="E680" s="107"/>
      <c r="F680" s="107"/>
      <c r="G680" s="108"/>
      <c r="H680" s="20" t="str">
        <f ca="1">INDIRECT(_xlfn.TEXTJOIN("",TRUE,A689,"!",ADDRESS(18+(A690-1)*A686,6)))</f>
        <v/>
      </c>
      <c r="I680" s="20" t="str">
        <f ca="1">INDIRECT(_xlfn.TEXTJOIN("",TRUE,A689,"!",ADDRESS(18+(A690-1)*A686,13)))</f>
        <v/>
      </c>
      <c r="J680" s="20" t="str">
        <f ca="1">INDIRECT(_xlfn.TEXTJOIN("",TRUE,A689,"!",ADDRESS(18+(A690-1)*A686,14)))</f>
        <v/>
      </c>
    </row>
    <row r="681" spans="1:10" ht="28" customHeight="1" x14ac:dyDescent="0.2">
      <c r="A681" s="96" t="str">
        <f ca="1">INDIRECT(_xlfn.TEXTJOIN("",TRUE,A689,"!",ADDRESS(19+(A690-1)*A686,1)))</f>
        <v/>
      </c>
      <c r="B681" s="97"/>
      <c r="C681" s="106" t="str">
        <f ca="1">INDIRECT(_xlfn.TEXTJOIN("",TRUE,A689,"!",ADDRESS(19+(A690-1)*A686,2)))</f>
        <v/>
      </c>
      <c r="D681" s="107"/>
      <c r="E681" s="107"/>
      <c r="F681" s="107"/>
      <c r="G681" s="108"/>
      <c r="H681" s="20" t="str">
        <f ca="1">INDIRECT(_xlfn.TEXTJOIN("",TRUE,A689,"!",ADDRESS(19+(A690-1)*A686,6)))</f>
        <v/>
      </c>
      <c r="I681" s="20" t="str">
        <f ca="1">INDIRECT(_xlfn.TEXTJOIN("",TRUE,A689,"!",ADDRESS(19+(A690-1)*A686,13)))</f>
        <v/>
      </c>
      <c r="J681" s="20" t="str">
        <f ca="1">INDIRECT(_xlfn.TEXTJOIN("",TRUE,A689,"!",ADDRESS(19+(A690-1)*A686,14)))</f>
        <v/>
      </c>
    </row>
    <row r="682" spans="1:10" ht="28" customHeight="1" x14ac:dyDescent="0.2">
      <c r="A682" s="96" t="str">
        <f ca="1">INDIRECT(_xlfn.TEXTJOIN("",TRUE,A689,"!",ADDRESS(20+(A690-1)*A686,1)))</f>
        <v/>
      </c>
      <c r="B682" s="97"/>
      <c r="C682" s="106" t="str">
        <f ca="1">INDIRECT(_xlfn.TEXTJOIN("",TRUE,A689,"!",ADDRESS(20+(A690-1)*A686,2)))</f>
        <v/>
      </c>
      <c r="D682" s="107"/>
      <c r="E682" s="107"/>
      <c r="F682" s="107"/>
      <c r="G682" s="108"/>
      <c r="H682" s="20" t="str">
        <f ca="1">INDIRECT(_xlfn.TEXTJOIN("",TRUE,A689,"!",ADDRESS(20+(A690-1)*A686,6)))</f>
        <v/>
      </c>
      <c r="I682" s="20" t="str">
        <f ca="1">INDIRECT(_xlfn.TEXTJOIN("",TRUE,A689,"!",ADDRESS(20+(A690-1)*A686,13)))</f>
        <v/>
      </c>
      <c r="J682" s="20" t="str">
        <f ca="1">INDIRECT(_xlfn.TEXTJOIN("",TRUE,A689,"!",ADDRESS(20+(A690-1)*A686,14)))</f>
        <v/>
      </c>
    </row>
    <row r="683" spans="1:10" ht="28" customHeight="1" x14ac:dyDescent="0.2">
      <c r="A683" s="96" t="str">
        <f ca="1">INDIRECT(_xlfn.TEXTJOIN("",TRUE,A689,"!",ADDRESS(21+(A690-1)*A686,1)))</f>
        <v/>
      </c>
      <c r="B683" s="97"/>
      <c r="C683" s="106" t="str">
        <f ca="1">INDIRECT(_xlfn.TEXTJOIN("",TRUE,A689,"!",ADDRESS(21+(A690-1)*A686,2)))</f>
        <v/>
      </c>
      <c r="D683" s="107"/>
      <c r="E683" s="107"/>
      <c r="F683" s="107"/>
      <c r="G683" s="108"/>
      <c r="H683" s="20" t="str">
        <f ca="1">INDIRECT(_xlfn.TEXTJOIN("",TRUE,A689,"!",ADDRESS(21+(A690-1)*A686,6)))</f>
        <v/>
      </c>
      <c r="I683" s="20" t="str">
        <f ca="1">INDIRECT(_xlfn.TEXTJOIN("",TRUE,A689,"!",ADDRESS(21+(A690-1)*A686,13)))</f>
        <v/>
      </c>
      <c r="J683" s="20" t="str">
        <f ca="1">INDIRECT(_xlfn.TEXTJOIN("",TRUE,A689,"!",ADDRESS(21+(A690-1)*A686,14)))</f>
        <v/>
      </c>
    </row>
    <row r="684" spans="1:10" ht="28" customHeight="1" x14ac:dyDescent="0.2">
      <c r="A684" s="96" t="str">
        <f ca="1">INDIRECT(_xlfn.TEXTJOIN("",TRUE,A689,"!",ADDRESS(22+(A690-1)*A686,1)))</f>
        <v/>
      </c>
      <c r="B684" s="97"/>
      <c r="C684" s="106" t="str">
        <f ca="1">INDIRECT(_xlfn.TEXTJOIN("",TRUE,A689,"!",ADDRESS(22+(A690-1)*A686,2)))</f>
        <v/>
      </c>
      <c r="D684" s="107"/>
      <c r="E684" s="107"/>
      <c r="F684" s="107"/>
      <c r="G684" s="108"/>
      <c r="H684" s="20" t="str">
        <f ca="1">INDIRECT(_xlfn.TEXTJOIN("",TRUE,A689,"!",ADDRESS(22+(A690-1)*A686,6)))</f>
        <v/>
      </c>
      <c r="I684" s="20" t="str">
        <f ca="1">INDIRECT(_xlfn.TEXTJOIN("",TRUE,A689,"!",ADDRESS(22+(A690-1)*A686,13)))</f>
        <v/>
      </c>
      <c r="J684" s="20" t="str">
        <f ca="1">INDIRECT(_xlfn.TEXTJOIN("",TRUE,A689,"!",ADDRESS(22+(A690-1)*A686,14)))</f>
        <v/>
      </c>
    </row>
    <row r="685" spans="1:10" ht="28" customHeight="1" x14ac:dyDescent="0.2">
      <c r="A685" s="118" t="s">
        <v>52</v>
      </c>
      <c r="B685" s="118"/>
      <c r="C685" s="118"/>
      <c r="D685" s="118"/>
      <c r="E685" s="118"/>
      <c r="F685" s="118"/>
      <c r="G685" s="118"/>
      <c r="H685" s="16">
        <f ca="1">SUM(H675:H684)</f>
        <v>0</v>
      </c>
      <c r="I685" s="16" t="s">
        <v>44</v>
      </c>
      <c r="J685" s="16">
        <f ca="1">SUMPRODUCT(J675:J684,H675:H684)</f>
        <v>0</v>
      </c>
    </row>
    <row r="686" spans="1:10" ht="28" customHeight="1" x14ac:dyDescent="0.2">
      <c r="A686" s="22">
        <f>ROWS(A675:B684)+9</f>
        <v>19</v>
      </c>
      <c r="B686" s="17"/>
      <c r="C686" s="17"/>
      <c r="D686" s="17"/>
      <c r="E686" s="17"/>
      <c r="F686" s="17"/>
      <c r="G686" s="17"/>
      <c r="H686" s="17"/>
      <c r="I686" s="17"/>
      <c r="J686" s="17"/>
    </row>
    <row r="687" spans="1:10" ht="28" customHeight="1" x14ac:dyDescent="0.2">
      <c r="A687" s="120" t="s">
        <v>40</v>
      </c>
      <c r="B687" s="120"/>
      <c r="C687" s="21" t="str">
        <f ca="1">INDIRECT(_xlfn.TEXTJOIN("",TRUE,A689,"!",ADDRESS(5+A690*A686,12)))</f>
        <v/>
      </c>
      <c r="D687" s="120" t="s">
        <v>38</v>
      </c>
      <c r="E687" s="120"/>
      <c r="F687" s="18" t="str">
        <f ca="1">INDIRECT(_xlfn.TEXTJOIN("",TRUE,A689,"!",ADDRESS(5+A690*A686,8)))</f>
        <v/>
      </c>
      <c r="G687" s="120" t="s">
        <v>39</v>
      </c>
      <c r="H687" s="120"/>
      <c r="I687" s="109" t="str">
        <f ca="1">INDIRECT(_xlfn.TEXTJOIN("",TRUE,A689,"!",ADDRESS(5+A690*A686,10)))</f>
        <v/>
      </c>
      <c r="J687" s="109"/>
    </row>
    <row r="688" spans="1:10" ht="28" customHeight="1" x14ac:dyDescent="0.2">
      <c r="A688" s="19" t="s">
        <v>36</v>
      </c>
      <c r="B688" s="95" t="str">
        <f ca="1">INDIRECT(_xlfn.TEXTJOIN("",TRUE,A689,"!",ADDRESS(5+A690*A686,2)))</f>
        <v/>
      </c>
      <c r="C688" s="95"/>
      <c r="D688" s="121" t="s">
        <v>37</v>
      </c>
      <c r="E688" s="121"/>
      <c r="F688" s="122" t="str">
        <f ca="1">INDIRECT(_xlfn.TEXTJOIN("",TRUE,A689,"!",ADDRESS(5+A690*A686,5)))</f>
        <v/>
      </c>
      <c r="G688" s="122"/>
      <c r="H688" s="122"/>
      <c r="I688" s="122"/>
      <c r="J688" s="122"/>
    </row>
    <row r="689" spans="1:10" ht="28" customHeight="1" x14ac:dyDescent="0.2">
      <c r="A689" s="22" t="str">
        <f>A670</f>
        <v>TC_II</v>
      </c>
    </row>
    <row r="690" spans="1:10" ht="28" customHeight="1" x14ac:dyDescent="0.2">
      <c r="A690" s="22">
        <f>A671+1</f>
        <v>36</v>
      </c>
    </row>
    <row r="691" spans="1:10" ht="28" customHeight="1" x14ac:dyDescent="0.2">
      <c r="A691" s="112" t="s">
        <v>24</v>
      </c>
      <c r="B691" s="112"/>
      <c r="C691" s="112" t="str">
        <f ca="1">INDIRECT(_xlfn.TEXTJOIN("",TRUE,A708,"!",ADDRESS(9+(A709-1)*A705,2)))</f>
        <v/>
      </c>
      <c r="D691" s="112"/>
      <c r="E691" s="112"/>
      <c r="F691" s="112" t="s">
        <v>50</v>
      </c>
      <c r="G691" s="112"/>
      <c r="H691" s="112"/>
      <c r="I691" s="113" t="str">
        <f ca="1">INDIRECT(_xlfn.TEXTJOIN("",TRUE,A708,"!",ADDRESS(9+(A709-1)*A705,9)))</f>
        <v/>
      </c>
      <c r="J691" s="113"/>
    </row>
    <row r="692" spans="1:10" ht="28" customHeight="1" x14ac:dyDescent="0.2">
      <c r="A692" s="112" t="s">
        <v>25</v>
      </c>
      <c r="B692" s="112"/>
      <c r="C692" s="112" t="str">
        <f ca="1">INDIRECT(_xlfn.TEXTJOIN("",TRUE,A708,"!",ADDRESS(9+(A709-1)*A705,5)))</f>
        <v/>
      </c>
      <c r="D692" s="112"/>
      <c r="E692" s="112"/>
      <c r="F692" s="114" t="s">
        <v>51</v>
      </c>
      <c r="G692" s="114"/>
      <c r="H692" s="114"/>
      <c r="I692" s="113" t="str">
        <f ca="1">INDIRECT(_xlfn.TEXTJOIN("",TRUE,A708,"!",ADDRESS(9+(A709-1)*A705,13)))</f>
        <v/>
      </c>
      <c r="J692" s="113"/>
    </row>
    <row r="693" spans="1:10" ht="28" customHeight="1" x14ac:dyDescent="0.2">
      <c r="A693" s="95" t="s">
        <v>28</v>
      </c>
      <c r="B693" s="95"/>
      <c r="C693" s="95" t="s">
        <v>29</v>
      </c>
      <c r="D693" s="95"/>
      <c r="E693" s="95"/>
      <c r="F693" s="95"/>
      <c r="G693" s="95"/>
      <c r="H693" s="15" t="s">
        <v>30</v>
      </c>
      <c r="I693" s="15" t="s">
        <v>9</v>
      </c>
      <c r="J693" s="15" t="s">
        <v>34</v>
      </c>
    </row>
    <row r="694" spans="1:10" ht="28" customHeight="1" x14ac:dyDescent="0.2">
      <c r="A694" s="96" t="str">
        <f ca="1">INDIRECT(_xlfn.TEXTJOIN("",TRUE,A708,"!",ADDRESS(13+(A709-1)*A705,1)))</f>
        <v/>
      </c>
      <c r="B694" s="97"/>
      <c r="C694" s="106" t="str">
        <f ca="1">INDIRECT(_xlfn.TEXTJOIN("",TRUE,A708,"!",ADDRESS(13+(A709-1)*A705,2)))</f>
        <v/>
      </c>
      <c r="D694" s="107"/>
      <c r="E694" s="107"/>
      <c r="F694" s="107"/>
      <c r="G694" s="108"/>
      <c r="H694" s="20" t="str">
        <f ca="1">INDIRECT(_xlfn.TEXTJOIN("",TRUE,A708,"!",ADDRESS(13+(A709-1)*A705,6)))</f>
        <v/>
      </c>
      <c r="I694" s="20" t="str">
        <f ca="1">INDIRECT(_xlfn.TEXTJOIN("",TRUE,A708,"!",ADDRESS(13+(A709-1)*A705,13)))</f>
        <v/>
      </c>
      <c r="J694" s="20" t="str">
        <f ca="1">INDIRECT(_xlfn.TEXTJOIN("",TRUE,A708,"!",ADDRESS(13+(A709-1)*A705,14)))</f>
        <v/>
      </c>
    </row>
    <row r="695" spans="1:10" ht="28" customHeight="1" x14ac:dyDescent="0.2">
      <c r="A695" s="96" t="str">
        <f ca="1">INDIRECT(_xlfn.TEXTJOIN("",TRUE,A708,"!",ADDRESS(14+(A709-1)*A705,1)))</f>
        <v/>
      </c>
      <c r="B695" s="97"/>
      <c r="C695" s="106" t="str">
        <f ca="1">INDIRECT(_xlfn.TEXTJOIN("",TRUE,A708,"!",ADDRESS(14+(A709-1)*A705,2)))</f>
        <v/>
      </c>
      <c r="D695" s="107"/>
      <c r="E695" s="107"/>
      <c r="F695" s="107"/>
      <c r="G695" s="108"/>
      <c r="H695" s="20" t="str">
        <f ca="1">INDIRECT(_xlfn.TEXTJOIN("",TRUE,A708,"!",ADDRESS(14+(A709-1)*A705,6)))</f>
        <v/>
      </c>
      <c r="I695" s="20" t="str">
        <f ca="1">INDIRECT(_xlfn.TEXTJOIN("",TRUE,A708,"!",ADDRESS(14+(A709-1)*A705,13)))</f>
        <v/>
      </c>
      <c r="J695" s="20" t="str">
        <f ca="1">INDIRECT(_xlfn.TEXTJOIN("",TRUE,A708,"!",ADDRESS(14+(A709-1)*A705,14)))</f>
        <v/>
      </c>
    </row>
    <row r="696" spans="1:10" ht="28" customHeight="1" x14ac:dyDescent="0.2">
      <c r="A696" s="96" t="str">
        <f ca="1">INDIRECT(_xlfn.TEXTJOIN("",TRUE,A708,"!",ADDRESS(15+(A709-1)*A705,1)))</f>
        <v/>
      </c>
      <c r="B696" s="97"/>
      <c r="C696" s="106" t="str">
        <f ca="1">INDIRECT(_xlfn.TEXTJOIN("",TRUE,A708,"!",ADDRESS(15+(A709-1)*A705,2)))</f>
        <v/>
      </c>
      <c r="D696" s="107"/>
      <c r="E696" s="107"/>
      <c r="F696" s="107"/>
      <c r="G696" s="108"/>
      <c r="H696" s="20" t="str">
        <f ca="1">INDIRECT(_xlfn.TEXTJOIN("",TRUE,A708,"!",ADDRESS(15+(A709-1)*A705,6)))</f>
        <v/>
      </c>
      <c r="I696" s="20" t="str">
        <f ca="1">INDIRECT(_xlfn.TEXTJOIN("",TRUE,A708,"!",ADDRESS(15+(A709-1)*A705,13)))</f>
        <v/>
      </c>
      <c r="J696" s="20" t="str">
        <f ca="1">INDIRECT(_xlfn.TEXTJOIN("",TRUE,A708,"!",ADDRESS(15+(A709-1)*A705,14)))</f>
        <v/>
      </c>
    </row>
    <row r="697" spans="1:10" ht="28" customHeight="1" x14ac:dyDescent="0.2">
      <c r="A697" s="96" t="str">
        <f ca="1">INDIRECT(_xlfn.TEXTJOIN("",TRUE,A708,"!",ADDRESS(16+(A709-1)*A705,1)))</f>
        <v/>
      </c>
      <c r="B697" s="97"/>
      <c r="C697" s="106" t="str">
        <f ca="1">INDIRECT(_xlfn.TEXTJOIN("",TRUE,A708,"!",ADDRESS(16+(A709-1)*A705,2)))</f>
        <v/>
      </c>
      <c r="D697" s="107"/>
      <c r="E697" s="107"/>
      <c r="F697" s="107"/>
      <c r="G697" s="108"/>
      <c r="H697" s="20" t="str">
        <f ca="1">INDIRECT(_xlfn.TEXTJOIN("",TRUE,A708,"!",ADDRESS(16+(A709-1)*A705,6)))</f>
        <v/>
      </c>
      <c r="I697" s="20" t="str">
        <f ca="1">INDIRECT(_xlfn.TEXTJOIN("",TRUE,A708,"!",ADDRESS(16+(A709-1)*A705,13)))</f>
        <v/>
      </c>
      <c r="J697" s="20" t="str">
        <f ca="1">INDIRECT(_xlfn.TEXTJOIN("",TRUE,A708,"!",ADDRESS(16+(A709-1)*A705,14)))</f>
        <v/>
      </c>
    </row>
    <row r="698" spans="1:10" ht="28" customHeight="1" x14ac:dyDescent="0.2">
      <c r="A698" s="96" t="str">
        <f ca="1">INDIRECT(_xlfn.TEXTJOIN("",TRUE,A708,"!",ADDRESS(17+(A709-1)*A705,1)))</f>
        <v/>
      </c>
      <c r="B698" s="97"/>
      <c r="C698" s="106" t="str">
        <f ca="1">INDIRECT(_xlfn.TEXTJOIN("",TRUE,A708,"!",ADDRESS(17+(A709-1)*A705,2)))</f>
        <v/>
      </c>
      <c r="D698" s="107"/>
      <c r="E698" s="107"/>
      <c r="F698" s="107"/>
      <c r="G698" s="108"/>
      <c r="H698" s="20" t="str">
        <f ca="1">INDIRECT(_xlfn.TEXTJOIN("",TRUE,A708,"!",ADDRESS(17+(A709-1)*A705,6)))</f>
        <v/>
      </c>
      <c r="I698" s="20" t="str">
        <f ca="1">INDIRECT(_xlfn.TEXTJOIN("",TRUE,A708,"!",ADDRESS(17+(A709-1)*A705,13)))</f>
        <v/>
      </c>
      <c r="J698" s="20" t="str">
        <f ca="1">INDIRECT(_xlfn.TEXTJOIN("",TRUE,A708,"!",ADDRESS(17+(A709-1)*A705,14)))</f>
        <v/>
      </c>
    </row>
    <row r="699" spans="1:10" ht="28" customHeight="1" x14ac:dyDescent="0.2">
      <c r="A699" s="96" t="str">
        <f ca="1">INDIRECT(_xlfn.TEXTJOIN("",TRUE,A708,"!",ADDRESS(18+(A709-1)*A705,1)))</f>
        <v/>
      </c>
      <c r="B699" s="97"/>
      <c r="C699" s="106" t="str">
        <f ca="1">INDIRECT(_xlfn.TEXTJOIN("",TRUE,A708,"!",ADDRESS(18+(A709-1)*A705,2)))</f>
        <v/>
      </c>
      <c r="D699" s="107"/>
      <c r="E699" s="107"/>
      <c r="F699" s="107"/>
      <c r="G699" s="108"/>
      <c r="H699" s="20" t="str">
        <f ca="1">INDIRECT(_xlfn.TEXTJOIN("",TRUE,A708,"!",ADDRESS(18+(A709-1)*A705,6)))</f>
        <v/>
      </c>
      <c r="I699" s="20" t="str">
        <f ca="1">INDIRECT(_xlfn.TEXTJOIN("",TRUE,A708,"!",ADDRESS(18+(A709-1)*A705,13)))</f>
        <v/>
      </c>
      <c r="J699" s="20" t="str">
        <f ca="1">INDIRECT(_xlfn.TEXTJOIN("",TRUE,A708,"!",ADDRESS(18+(A709-1)*A705,14)))</f>
        <v/>
      </c>
    </row>
    <row r="700" spans="1:10" ht="28" customHeight="1" x14ac:dyDescent="0.2">
      <c r="A700" s="96" t="str">
        <f ca="1">INDIRECT(_xlfn.TEXTJOIN("",TRUE,A708,"!",ADDRESS(19+(A709-1)*A705,1)))</f>
        <v/>
      </c>
      <c r="B700" s="97"/>
      <c r="C700" s="106" t="str">
        <f ca="1">INDIRECT(_xlfn.TEXTJOIN("",TRUE,A708,"!",ADDRESS(19+(A709-1)*A705,2)))</f>
        <v/>
      </c>
      <c r="D700" s="107"/>
      <c r="E700" s="107"/>
      <c r="F700" s="107"/>
      <c r="G700" s="108"/>
      <c r="H700" s="20" t="str">
        <f ca="1">INDIRECT(_xlfn.TEXTJOIN("",TRUE,A708,"!",ADDRESS(19+(A709-1)*A705,6)))</f>
        <v/>
      </c>
      <c r="I700" s="20" t="str">
        <f ca="1">INDIRECT(_xlfn.TEXTJOIN("",TRUE,A708,"!",ADDRESS(19+(A709-1)*A705,13)))</f>
        <v/>
      </c>
      <c r="J700" s="20" t="str">
        <f ca="1">INDIRECT(_xlfn.TEXTJOIN("",TRUE,A708,"!",ADDRESS(19+(A709-1)*A705,14)))</f>
        <v/>
      </c>
    </row>
    <row r="701" spans="1:10" ht="28" customHeight="1" x14ac:dyDescent="0.2">
      <c r="A701" s="96" t="str">
        <f ca="1">INDIRECT(_xlfn.TEXTJOIN("",TRUE,A708,"!",ADDRESS(20+(A709-1)*A705,1)))</f>
        <v/>
      </c>
      <c r="B701" s="97"/>
      <c r="C701" s="106" t="str">
        <f ca="1">INDIRECT(_xlfn.TEXTJOIN("",TRUE,A708,"!",ADDRESS(20+(A709-1)*A705,2)))</f>
        <v/>
      </c>
      <c r="D701" s="107"/>
      <c r="E701" s="107"/>
      <c r="F701" s="107"/>
      <c r="G701" s="108"/>
      <c r="H701" s="20" t="str">
        <f ca="1">INDIRECT(_xlfn.TEXTJOIN("",TRUE,A708,"!",ADDRESS(20+(A709-1)*A705,6)))</f>
        <v/>
      </c>
      <c r="I701" s="20" t="str">
        <f ca="1">INDIRECT(_xlfn.TEXTJOIN("",TRUE,A708,"!",ADDRESS(20+(A709-1)*A705,13)))</f>
        <v/>
      </c>
      <c r="J701" s="20" t="str">
        <f ca="1">INDIRECT(_xlfn.TEXTJOIN("",TRUE,A708,"!",ADDRESS(20+(A709-1)*A705,14)))</f>
        <v/>
      </c>
    </row>
    <row r="702" spans="1:10" ht="28" customHeight="1" x14ac:dyDescent="0.2">
      <c r="A702" s="96" t="str">
        <f ca="1">INDIRECT(_xlfn.TEXTJOIN("",TRUE,A708,"!",ADDRESS(21+(A709-1)*A705,1)))</f>
        <v/>
      </c>
      <c r="B702" s="97"/>
      <c r="C702" s="106" t="str">
        <f ca="1">INDIRECT(_xlfn.TEXTJOIN("",TRUE,A708,"!",ADDRESS(21+(A709-1)*A705,2)))</f>
        <v/>
      </c>
      <c r="D702" s="107"/>
      <c r="E702" s="107"/>
      <c r="F702" s="107"/>
      <c r="G702" s="108"/>
      <c r="H702" s="20" t="str">
        <f ca="1">INDIRECT(_xlfn.TEXTJOIN("",TRUE,A708,"!",ADDRESS(21+(A709-1)*A705,6)))</f>
        <v/>
      </c>
      <c r="I702" s="20" t="str">
        <f ca="1">INDIRECT(_xlfn.TEXTJOIN("",TRUE,A708,"!",ADDRESS(21+(A709-1)*A705,13)))</f>
        <v/>
      </c>
      <c r="J702" s="20" t="str">
        <f ca="1">INDIRECT(_xlfn.TEXTJOIN("",TRUE,A708,"!",ADDRESS(21+(A709-1)*A705,14)))</f>
        <v/>
      </c>
    </row>
    <row r="703" spans="1:10" ht="28" customHeight="1" x14ac:dyDescent="0.2">
      <c r="A703" s="96" t="str">
        <f ca="1">INDIRECT(_xlfn.TEXTJOIN("",TRUE,A708,"!",ADDRESS(22+(A709-1)*A705,1)))</f>
        <v/>
      </c>
      <c r="B703" s="97"/>
      <c r="C703" s="106" t="str">
        <f ca="1">INDIRECT(_xlfn.TEXTJOIN("",TRUE,A708,"!",ADDRESS(22+(A709-1)*A705,2)))</f>
        <v/>
      </c>
      <c r="D703" s="107"/>
      <c r="E703" s="107"/>
      <c r="F703" s="107"/>
      <c r="G703" s="108"/>
      <c r="H703" s="20" t="str">
        <f ca="1">INDIRECT(_xlfn.TEXTJOIN("",TRUE,A708,"!",ADDRESS(22+(A709-1)*A705,6)))</f>
        <v/>
      </c>
      <c r="I703" s="20" t="str">
        <f ca="1">INDIRECT(_xlfn.TEXTJOIN("",TRUE,A708,"!",ADDRESS(22+(A709-1)*A705,13)))</f>
        <v/>
      </c>
      <c r="J703" s="20" t="str">
        <f ca="1">INDIRECT(_xlfn.TEXTJOIN("",TRUE,A708,"!",ADDRESS(22+(A709-1)*A705,14)))</f>
        <v/>
      </c>
    </row>
    <row r="704" spans="1:10" ht="28" customHeight="1" x14ac:dyDescent="0.2">
      <c r="A704" s="118" t="s">
        <v>52</v>
      </c>
      <c r="B704" s="118"/>
      <c r="C704" s="118"/>
      <c r="D704" s="118"/>
      <c r="E704" s="118"/>
      <c r="F704" s="118"/>
      <c r="G704" s="118"/>
      <c r="H704" s="16">
        <f ca="1">SUM(H694:H703)</f>
        <v>0</v>
      </c>
      <c r="I704" s="16" t="s">
        <v>44</v>
      </c>
      <c r="J704" s="16">
        <f ca="1">SUMPRODUCT(J694:J703,H694:H703)</f>
        <v>0</v>
      </c>
    </row>
    <row r="705" spans="1:10" ht="28" customHeight="1" x14ac:dyDescent="0.2">
      <c r="A705" s="22">
        <f>ROWS(A694:B703)+9</f>
        <v>19</v>
      </c>
      <c r="B705" s="17"/>
      <c r="C705" s="17"/>
      <c r="D705" s="17"/>
      <c r="E705" s="17"/>
      <c r="F705" s="17"/>
      <c r="G705" s="17"/>
      <c r="H705" s="17"/>
      <c r="I705" s="17"/>
      <c r="J705" s="17"/>
    </row>
    <row r="706" spans="1:10" ht="28" customHeight="1" x14ac:dyDescent="0.2">
      <c r="A706" s="120" t="s">
        <v>40</v>
      </c>
      <c r="B706" s="120"/>
      <c r="C706" s="21" t="str">
        <f ca="1">INDIRECT(_xlfn.TEXTJOIN("",TRUE,A708,"!",ADDRESS(5+A709*A705,12)))</f>
        <v/>
      </c>
      <c r="D706" s="120" t="s">
        <v>38</v>
      </c>
      <c r="E706" s="120"/>
      <c r="F706" s="18" t="str">
        <f ca="1">INDIRECT(_xlfn.TEXTJOIN("",TRUE,A708,"!",ADDRESS(5+A709*A705,8)))</f>
        <v/>
      </c>
      <c r="G706" s="120" t="s">
        <v>39</v>
      </c>
      <c r="H706" s="120"/>
      <c r="I706" s="109" t="str">
        <f ca="1">INDIRECT(_xlfn.TEXTJOIN("",TRUE,A708,"!",ADDRESS(5+A709*A705,10)))</f>
        <v/>
      </c>
      <c r="J706" s="109"/>
    </row>
    <row r="707" spans="1:10" ht="28" customHeight="1" x14ac:dyDescent="0.2">
      <c r="A707" s="19" t="s">
        <v>36</v>
      </c>
      <c r="B707" s="95" t="str">
        <f ca="1">INDIRECT(_xlfn.TEXTJOIN("",TRUE,A708,"!",ADDRESS(5+A709*A705,2)))</f>
        <v/>
      </c>
      <c r="C707" s="95"/>
      <c r="D707" s="121" t="s">
        <v>37</v>
      </c>
      <c r="E707" s="121"/>
      <c r="F707" s="122" t="str">
        <f ca="1">INDIRECT(_xlfn.TEXTJOIN("",TRUE,A708,"!",ADDRESS(5+A709*A705,5)))</f>
        <v/>
      </c>
      <c r="G707" s="122"/>
      <c r="H707" s="122"/>
      <c r="I707" s="122"/>
      <c r="J707" s="122"/>
    </row>
    <row r="708" spans="1:10" ht="28" customHeight="1" x14ac:dyDescent="0.2">
      <c r="A708" s="22" t="str">
        <f>A689</f>
        <v>TC_II</v>
      </c>
    </row>
    <row r="709" spans="1:10" ht="28" customHeight="1" x14ac:dyDescent="0.2">
      <c r="A709" s="22">
        <f>A690+1</f>
        <v>37</v>
      </c>
    </row>
    <row r="710" spans="1:10" ht="28" customHeight="1" x14ac:dyDescent="0.2">
      <c r="A710" s="112" t="s">
        <v>24</v>
      </c>
      <c r="B710" s="112"/>
      <c r="C710" s="112" t="str">
        <f ca="1">INDIRECT(_xlfn.TEXTJOIN("",TRUE,A727,"!",ADDRESS(9+(A728-1)*A724,2)))</f>
        <v/>
      </c>
      <c r="D710" s="112"/>
      <c r="E710" s="112"/>
      <c r="F710" s="112" t="s">
        <v>50</v>
      </c>
      <c r="G710" s="112"/>
      <c r="H710" s="112"/>
      <c r="I710" s="113" t="str">
        <f ca="1">INDIRECT(_xlfn.TEXTJOIN("",TRUE,A727,"!",ADDRESS(9+(A728-1)*A724,9)))</f>
        <v/>
      </c>
      <c r="J710" s="113"/>
    </row>
    <row r="711" spans="1:10" ht="28" customHeight="1" x14ac:dyDescent="0.2">
      <c r="A711" s="112" t="s">
        <v>25</v>
      </c>
      <c r="B711" s="112"/>
      <c r="C711" s="112" t="str">
        <f ca="1">INDIRECT(_xlfn.TEXTJOIN("",TRUE,A727,"!",ADDRESS(9+(A728-1)*A724,5)))</f>
        <v/>
      </c>
      <c r="D711" s="112"/>
      <c r="E711" s="112"/>
      <c r="F711" s="114" t="s">
        <v>51</v>
      </c>
      <c r="G711" s="114"/>
      <c r="H711" s="114"/>
      <c r="I711" s="113" t="str">
        <f ca="1">INDIRECT(_xlfn.TEXTJOIN("",TRUE,A727,"!",ADDRESS(9+(A728-1)*A724,13)))</f>
        <v/>
      </c>
      <c r="J711" s="113"/>
    </row>
    <row r="712" spans="1:10" ht="28" customHeight="1" x14ac:dyDescent="0.2">
      <c r="A712" s="95" t="s">
        <v>28</v>
      </c>
      <c r="B712" s="95"/>
      <c r="C712" s="95" t="s">
        <v>29</v>
      </c>
      <c r="D712" s="95"/>
      <c r="E712" s="95"/>
      <c r="F712" s="95"/>
      <c r="G712" s="95"/>
      <c r="H712" s="15" t="s">
        <v>30</v>
      </c>
      <c r="I712" s="15" t="s">
        <v>9</v>
      </c>
      <c r="J712" s="15" t="s">
        <v>34</v>
      </c>
    </row>
    <row r="713" spans="1:10" ht="28" customHeight="1" x14ac:dyDescent="0.2">
      <c r="A713" s="96" t="str">
        <f ca="1">INDIRECT(_xlfn.TEXTJOIN("",TRUE,A727,"!",ADDRESS(13+(A728-1)*A724,1)))</f>
        <v/>
      </c>
      <c r="B713" s="97"/>
      <c r="C713" s="106" t="str">
        <f ca="1">INDIRECT(_xlfn.TEXTJOIN("",TRUE,A727,"!",ADDRESS(13+(A728-1)*A724,2)))</f>
        <v/>
      </c>
      <c r="D713" s="107"/>
      <c r="E713" s="107"/>
      <c r="F713" s="107"/>
      <c r="G713" s="108"/>
      <c r="H713" s="20" t="str">
        <f ca="1">INDIRECT(_xlfn.TEXTJOIN("",TRUE,A727,"!",ADDRESS(13+(A728-1)*A724,6)))</f>
        <v/>
      </c>
      <c r="I713" s="20" t="str">
        <f ca="1">INDIRECT(_xlfn.TEXTJOIN("",TRUE,A727,"!",ADDRESS(13+(A728-1)*A724,13)))</f>
        <v/>
      </c>
      <c r="J713" s="20" t="str">
        <f ca="1">INDIRECT(_xlfn.TEXTJOIN("",TRUE,A727,"!",ADDRESS(13+(A728-1)*A724,14)))</f>
        <v/>
      </c>
    </row>
    <row r="714" spans="1:10" ht="28" customHeight="1" x14ac:dyDescent="0.2">
      <c r="A714" s="96" t="str">
        <f ca="1">INDIRECT(_xlfn.TEXTJOIN("",TRUE,A727,"!",ADDRESS(14+(A728-1)*A724,1)))</f>
        <v/>
      </c>
      <c r="B714" s="97"/>
      <c r="C714" s="106" t="str">
        <f ca="1">INDIRECT(_xlfn.TEXTJOIN("",TRUE,A727,"!",ADDRESS(14+(A728-1)*A724,2)))</f>
        <v/>
      </c>
      <c r="D714" s="107"/>
      <c r="E714" s="107"/>
      <c r="F714" s="107"/>
      <c r="G714" s="108"/>
      <c r="H714" s="20" t="str">
        <f ca="1">INDIRECT(_xlfn.TEXTJOIN("",TRUE,A727,"!",ADDRESS(14+(A728-1)*A724,6)))</f>
        <v/>
      </c>
      <c r="I714" s="20" t="str">
        <f ca="1">INDIRECT(_xlfn.TEXTJOIN("",TRUE,A727,"!",ADDRESS(14+(A728-1)*A724,13)))</f>
        <v/>
      </c>
      <c r="J714" s="20" t="str">
        <f ca="1">INDIRECT(_xlfn.TEXTJOIN("",TRUE,A727,"!",ADDRESS(14+(A728-1)*A724,14)))</f>
        <v/>
      </c>
    </row>
    <row r="715" spans="1:10" ht="28" customHeight="1" x14ac:dyDescent="0.2">
      <c r="A715" s="96" t="str">
        <f ca="1">INDIRECT(_xlfn.TEXTJOIN("",TRUE,A727,"!",ADDRESS(15+(A728-1)*A724,1)))</f>
        <v/>
      </c>
      <c r="B715" s="97"/>
      <c r="C715" s="106" t="str">
        <f ca="1">INDIRECT(_xlfn.TEXTJOIN("",TRUE,A727,"!",ADDRESS(15+(A728-1)*A724,2)))</f>
        <v/>
      </c>
      <c r="D715" s="107"/>
      <c r="E715" s="107"/>
      <c r="F715" s="107"/>
      <c r="G715" s="108"/>
      <c r="H715" s="20" t="str">
        <f ca="1">INDIRECT(_xlfn.TEXTJOIN("",TRUE,A727,"!",ADDRESS(15+(A728-1)*A724,6)))</f>
        <v/>
      </c>
      <c r="I715" s="20" t="str">
        <f ca="1">INDIRECT(_xlfn.TEXTJOIN("",TRUE,A727,"!",ADDRESS(15+(A728-1)*A724,13)))</f>
        <v/>
      </c>
      <c r="J715" s="20" t="str">
        <f ca="1">INDIRECT(_xlfn.TEXTJOIN("",TRUE,A727,"!",ADDRESS(15+(A728-1)*A724,14)))</f>
        <v/>
      </c>
    </row>
    <row r="716" spans="1:10" ht="28" customHeight="1" x14ac:dyDescent="0.2">
      <c r="A716" s="96" t="str">
        <f ca="1">INDIRECT(_xlfn.TEXTJOIN("",TRUE,A727,"!",ADDRESS(16+(A728-1)*A724,1)))</f>
        <v/>
      </c>
      <c r="B716" s="97"/>
      <c r="C716" s="106" t="str">
        <f ca="1">INDIRECT(_xlfn.TEXTJOIN("",TRUE,A727,"!",ADDRESS(16+(A728-1)*A724,2)))</f>
        <v/>
      </c>
      <c r="D716" s="107"/>
      <c r="E716" s="107"/>
      <c r="F716" s="107"/>
      <c r="G716" s="108"/>
      <c r="H716" s="20" t="str">
        <f ca="1">INDIRECT(_xlfn.TEXTJOIN("",TRUE,A727,"!",ADDRESS(16+(A728-1)*A724,6)))</f>
        <v/>
      </c>
      <c r="I716" s="20" t="str">
        <f ca="1">INDIRECT(_xlfn.TEXTJOIN("",TRUE,A727,"!",ADDRESS(16+(A728-1)*A724,13)))</f>
        <v/>
      </c>
      <c r="J716" s="20" t="str">
        <f ca="1">INDIRECT(_xlfn.TEXTJOIN("",TRUE,A727,"!",ADDRESS(16+(A728-1)*A724,14)))</f>
        <v/>
      </c>
    </row>
    <row r="717" spans="1:10" ht="28" customHeight="1" x14ac:dyDescent="0.2">
      <c r="A717" s="96" t="str">
        <f ca="1">INDIRECT(_xlfn.TEXTJOIN("",TRUE,A727,"!",ADDRESS(17+(A728-1)*A724,1)))</f>
        <v/>
      </c>
      <c r="B717" s="97"/>
      <c r="C717" s="106" t="str">
        <f ca="1">INDIRECT(_xlfn.TEXTJOIN("",TRUE,A727,"!",ADDRESS(17+(A728-1)*A724,2)))</f>
        <v/>
      </c>
      <c r="D717" s="107"/>
      <c r="E717" s="107"/>
      <c r="F717" s="107"/>
      <c r="G717" s="108"/>
      <c r="H717" s="20" t="str">
        <f ca="1">INDIRECT(_xlfn.TEXTJOIN("",TRUE,A727,"!",ADDRESS(17+(A728-1)*A724,6)))</f>
        <v/>
      </c>
      <c r="I717" s="20" t="str">
        <f ca="1">INDIRECT(_xlfn.TEXTJOIN("",TRUE,A727,"!",ADDRESS(17+(A728-1)*A724,13)))</f>
        <v/>
      </c>
      <c r="J717" s="20" t="str">
        <f ca="1">INDIRECT(_xlfn.TEXTJOIN("",TRUE,A727,"!",ADDRESS(17+(A728-1)*A724,14)))</f>
        <v/>
      </c>
    </row>
    <row r="718" spans="1:10" ht="28" customHeight="1" x14ac:dyDescent="0.2">
      <c r="A718" s="96" t="str">
        <f ca="1">INDIRECT(_xlfn.TEXTJOIN("",TRUE,A727,"!",ADDRESS(18+(A728-1)*A724,1)))</f>
        <v/>
      </c>
      <c r="B718" s="97"/>
      <c r="C718" s="106" t="str">
        <f ca="1">INDIRECT(_xlfn.TEXTJOIN("",TRUE,A727,"!",ADDRESS(18+(A728-1)*A724,2)))</f>
        <v/>
      </c>
      <c r="D718" s="107"/>
      <c r="E718" s="107"/>
      <c r="F718" s="107"/>
      <c r="G718" s="108"/>
      <c r="H718" s="20" t="str">
        <f ca="1">INDIRECT(_xlfn.TEXTJOIN("",TRUE,A727,"!",ADDRESS(18+(A728-1)*A724,6)))</f>
        <v/>
      </c>
      <c r="I718" s="20" t="str">
        <f ca="1">INDIRECT(_xlfn.TEXTJOIN("",TRUE,A727,"!",ADDRESS(18+(A728-1)*A724,13)))</f>
        <v/>
      </c>
      <c r="J718" s="20" t="str">
        <f ca="1">INDIRECT(_xlfn.TEXTJOIN("",TRUE,A727,"!",ADDRESS(18+(A728-1)*A724,14)))</f>
        <v/>
      </c>
    </row>
    <row r="719" spans="1:10" ht="28" customHeight="1" x14ac:dyDescent="0.2">
      <c r="A719" s="96" t="str">
        <f ca="1">INDIRECT(_xlfn.TEXTJOIN("",TRUE,A727,"!",ADDRESS(19+(A728-1)*A724,1)))</f>
        <v/>
      </c>
      <c r="B719" s="97"/>
      <c r="C719" s="106" t="str">
        <f ca="1">INDIRECT(_xlfn.TEXTJOIN("",TRUE,A727,"!",ADDRESS(19+(A728-1)*A724,2)))</f>
        <v/>
      </c>
      <c r="D719" s="107"/>
      <c r="E719" s="107"/>
      <c r="F719" s="107"/>
      <c r="G719" s="108"/>
      <c r="H719" s="20" t="str">
        <f ca="1">INDIRECT(_xlfn.TEXTJOIN("",TRUE,A727,"!",ADDRESS(19+(A728-1)*A724,6)))</f>
        <v/>
      </c>
      <c r="I719" s="20" t="str">
        <f ca="1">INDIRECT(_xlfn.TEXTJOIN("",TRUE,A727,"!",ADDRESS(19+(A728-1)*A724,13)))</f>
        <v/>
      </c>
      <c r="J719" s="20" t="str">
        <f ca="1">INDIRECT(_xlfn.TEXTJOIN("",TRUE,A727,"!",ADDRESS(19+(A728-1)*A724,14)))</f>
        <v/>
      </c>
    </row>
    <row r="720" spans="1:10" ht="28" customHeight="1" x14ac:dyDescent="0.2">
      <c r="A720" s="96" t="str">
        <f ca="1">INDIRECT(_xlfn.TEXTJOIN("",TRUE,A727,"!",ADDRESS(20+(A728-1)*A724,1)))</f>
        <v/>
      </c>
      <c r="B720" s="97"/>
      <c r="C720" s="106" t="str">
        <f ca="1">INDIRECT(_xlfn.TEXTJOIN("",TRUE,A727,"!",ADDRESS(20+(A728-1)*A724,2)))</f>
        <v/>
      </c>
      <c r="D720" s="107"/>
      <c r="E720" s="107"/>
      <c r="F720" s="107"/>
      <c r="G720" s="108"/>
      <c r="H720" s="20" t="str">
        <f ca="1">INDIRECT(_xlfn.TEXTJOIN("",TRUE,A727,"!",ADDRESS(20+(A728-1)*A724,6)))</f>
        <v/>
      </c>
      <c r="I720" s="20" t="str">
        <f ca="1">INDIRECT(_xlfn.TEXTJOIN("",TRUE,A727,"!",ADDRESS(20+(A728-1)*A724,13)))</f>
        <v/>
      </c>
      <c r="J720" s="20" t="str">
        <f ca="1">INDIRECT(_xlfn.TEXTJOIN("",TRUE,A727,"!",ADDRESS(20+(A728-1)*A724,14)))</f>
        <v/>
      </c>
    </row>
    <row r="721" spans="1:10" ht="28" customHeight="1" x14ac:dyDescent="0.2">
      <c r="A721" s="96" t="str">
        <f ca="1">INDIRECT(_xlfn.TEXTJOIN("",TRUE,A727,"!",ADDRESS(21+(A728-1)*A724,1)))</f>
        <v/>
      </c>
      <c r="B721" s="97"/>
      <c r="C721" s="106" t="str">
        <f ca="1">INDIRECT(_xlfn.TEXTJOIN("",TRUE,A727,"!",ADDRESS(21+(A728-1)*A724,2)))</f>
        <v/>
      </c>
      <c r="D721" s="107"/>
      <c r="E721" s="107"/>
      <c r="F721" s="107"/>
      <c r="G721" s="108"/>
      <c r="H721" s="20" t="str">
        <f ca="1">INDIRECT(_xlfn.TEXTJOIN("",TRUE,A727,"!",ADDRESS(21+(A728-1)*A724,6)))</f>
        <v/>
      </c>
      <c r="I721" s="20" t="str">
        <f ca="1">INDIRECT(_xlfn.TEXTJOIN("",TRUE,A727,"!",ADDRESS(21+(A728-1)*A724,13)))</f>
        <v/>
      </c>
      <c r="J721" s="20" t="str">
        <f ca="1">INDIRECT(_xlfn.TEXTJOIN("",TRUE,A727,"!",ADDRESS(21+(A728-1)*A724,14)))</f>
        <v/>
      </c>
    </row>
    <row r="722" spans="1:10" ht="28" customHeight="1" x14ac:dyDescent="0.2">
      <c r="A722" s="96" t="str">
        <f ca="1">INDIRECT(_xlfn.TEXTJOIN("",TRUE,A727,"!",ADDRESS(22+(A728-1)*A724,1)))</f>
        <v/>
      </c>
      <c r="B722" s="97"/>
      <c r="C722" s="106" t="str">
        <f ca="1">INDIRECT(_xlfn.TEXTJOIN("",TRUE,A727,"!",ADDRESS(22+(A728-1)*A724,2)))</f>
        <v/>
      </c>
      <c r="D722" s="107"/>
      <c r="E722" s="107"/>
      <c r="F722" s="107"/>
      <c r="G722" s="108"/>
      <c r="H722" s="20" t="str">
        <f ca="1">INDIRECT(_xlfn.TEXTJOIN("",TRUE,A727,"!",ADDRESS(22+(A728-1)*A724,6)))</f>
        <v/>
      </c>
      <c r="I722" s="20" t="str">
        <f ca="1">INDIRECT(_xlfn.TEXTJOIN("",TRUE,A727,"!",ADDRESS(22+(A728-1)*A724,13)))</f>
        <v/>
      </c>
      <c r="J722" s="20" t="str">
        <f ca="1">INDIRECT(_xlfn.TEXTJOIN("",TRUE,A727,"!",ADDRESS(22+(A728-1)*A724,14)))</f>
        <v/>
      </c>
    </row>
    <row r="723" spans="1:10" ht="28" customHeight="1" x14ac:dyDescent="0.2">
      <c r="A723" s="118" t="s">
        <v>52</v>
      </c>
      <c r="B723" s="118"/>
      <c r="C723" s="118"/>
      <c r="D723" s="118"/>
      <c r="E723" s="118"/>
      <c r="F723" s="118"/>
      <c r="G723" s="118"/>
      <c r="H723" s="16">
        <f ca="1">SUM(H713:H722)</f>
        <v>0</v>
      </c>
      <c r="I723" s="16" t="s">
        <v>44</v>
      </c>
      <c r="J723" s="16">
        <f ca="1">SUMPRODUCT(J713:J722,H713:H722)</f>
        <v>0</v>
      </c>
    </row>
    <row r="724" spans="1:10" ht="28" customHeight="1" x14ac:dyDescent="0.2">
      <c r="A724" s="22">
        <f>ROWS(A713:B722)+9</f>
        <v>19</v>
      </c>
      <c r="B724" s="17"/>
      <c r="C724" s="17"/>
      <c r="D724" s="17"/>
      <c r="E724" s="17"/>
      <c r="F724" s="17"/>
      <c r="G724" s="17"/>
      <c r="H724" s="17"/>
      <c r="I724" s="17"/>
      <c r="J724" s="17"/>
    </row>
    <row r="725" spans="1:10" ht="28" customHeight="1" x14ac:dyDescent="0.2">
      <c r="A725" s="120" t="s">
        <v>40</v>
      </c>
      <c r="B725" s="120"/>
      <c r="C725" s="21" t="str">
        <f ca="1">INDIRECT(_xlfn.TEXTJOIN("",TRUE,A727,"!",ADDRESS(5+A728*A724,12)))</f>
        <v/>
      </c>
      <c r="D725" s="120" t="s">
        <v>38</v>
      </c>
      <c r="E725" s="120"/>
      <c r="F725" s="18" t="str">
        <f ca="1">INDIRECT(_xlfn.TEXTJOIN("",TRUE,A727,"!",ADDRESS(5+A728*A724,8)))</f>
        <v/>
      </c>
      <c r="G725" s="120" t="s">
        <v>39</v>
      </c>
      <c r="H725" s="120"/>
      <c r="I725" s="109" t="str">
        <f ca="1">INDIRECT(_xlfn.TEXTJOIN("",TRUE,A727,"!",ADDRESS(5+A728*A724,10)))</f>
        <v/>
      </c>
      <c r="J725" s="109"/>
    </row>
    <row r="726" spans="1:10" ht="28" customHeight="1" x14ac:dyDescent="0.2">
      <c r="A726" s="19" t="s">
        <v>36</v>
      </c>
      <c r="B726" s="95" t="str">
        <f ca="1">INDIRECT(_xlfn.TEXTJOIN("",TRUE,A727,"!",ADDRESS(5+A728*A724,2)))</f>
        <v/>
      </c>
      <c r="C726" s="95"/>
      <c r="D726" s="121" t="s">
        <v>37</v>
      </c>
      <c r="E726" s="121"/>
      <c r="F726" s="122" t="str">
        <f ca="1">INDIRECT(_xlfn.TEXTJOIN("",TRUE,A727,"!",ADDRESS(5+A728*A724,5)))</f>
        <v/>
      </c>
      <c r="G726" s="122"/>
      <c r="H726" s="122"/>
      <c r="I726" s="122"/>
      <c r="J726" s="122"/>
    </row>
    <row r="727" spans="1:10" ht="28" customHeight="1" x14ac:dyDescent="0.2">
      <c r="A727" s="22" t="str">
        <f>A708</f>
        <v>TC_II</v>
      </c>
    </row>
    <row r="728" spans="1:10" ht="28" customHeight="1" x14ac:dyDescent="0.2">
      <c r="A728" s="22">
        <f>A709+1</f>
        <v>38</v>
      </c>
    </row>
    <row r="729" spans="1:10" ht="28" customHeight="1" x14ac:dyDescent="0.2">
      <c r="A729" s="112" t="s">
        <v>24</v>
      </c>
      <c r="B729" s="112"/>
      <c r="C729" s="112" t="str">
        <f ca="1">INDIRECT(_xlfn.TEXTJOIN("",TRUE,A746,"!",ADDRESS(9+(A747-1)*A743,2)))</f>
        <v/>
      </c>
      <c r="D729" s="112"/>
      <c r="E729" s="112"/>
      <c r="F729" s="112" t="s">
        <v>50</v>
      </c>
      <c r="G729" s="112"/>
      <c r="H729" s="112"/>
      <c r="I729" s="113" t="str">
        <f ca="1">INDIRECT(_xlfn.TEXTJOIN("",TRUE,A746,"!",ADDRESS(9+(A747-1)*A743,9)))</f>
        <v/>
      </c>
      <c r="J729" s="113"/>
    </row>
    <row r="730" spans="1:10" ht="28" customHeight="1" x14ac:dyDescent="0.2">
      <c r="A730" s="112" t="s">
        <v>25</v>
      </c>
      <c r="B730" s="112"/>
      <c r="C730" s="112" t="str">
        <f ca="1">INDIRECT(_xlfn.TEXTJOIN("",TRUE,A746,"!",ADDRESS(9+(A747-1)*A743,5)))</f>
        <v/>
      </c>
      <c r="D730" s="112"/>
      <c r="E730" s="112"/>
      <c r="F730" s="114" t="s">
        <v>51</v>
      </c>
      <c r="G730" s="114"/>
      <c r="H730" s="114"/>
      <c r="I730" s="113" t="str">
        <f ca="1">INDIRECT(_xlfn.TEXTJOIN("",TRUE,A746,"!",ADDRESS(9+(A747-1)*A743,13)))</f>
        <v/>
      </c>
      <c r="J730" s="113"/>
    </row>
    <row r="731" spans="1:10" ht="28" customHeight="1" x14ac:dyDescent="0.2">
      <c r="A731" s="95" t="s">
        <v>28</v>
      </c>
      <c r="B731" s="95"/>
      <c r="C731" s="95" t="s">
        <v>29</v>
      </c>
      <c r="D731" s="95"/>
      <c r="E731" s="95"/>
      <c r="F731" s="95"/>
      <c r="G731" s="95"/>
      <c r="H731" s="15" t="s">
        <v>30</v>
      </c>
      <c r="I731" s="15" t="s">
        <v>9</v>
      </c>
      <c r="J731" s="15" t="s">
        <v>34</v>
      </c>
    </row>
    <row r="732" spans="1:10" ht="28" customHeight="1" x14ac:dyDescent="0.2">
      <c r="A732" s="96" t="str">
        <f ca="1">INDIRECT(_xlfn.TEXTJOIN("",TRUE,A746,"!",ADDRESS(13+(A747-1)*A743,1)))</f>
        <v/>
      </c>
      <c r="B732" s="97"/>
      <c r="C732" s="106" t="str">
        <f ca="1">INDIRECT(_xlfn.TEXTJOIN("",TRUE,A746,"!",ADDRESS(13+(A747-1)*A743,2)))</f>
        <v/>
      </c>
      <c r="D732" s="107"/>
      <c r="E732" s="107"/>
      <c r="F732" s="107"/>
      <c r="G732" s="108"/>
      <c r="H732" s="20" t="str">
        <f ca="1">INDIRECT(_xlfn.TEXTJOIN("",TRUE,A746,"!",ADDRESS(13+(A747-1)*A743,6)))</f>
        <v/>
      </c>
      <c r="I732" s="20" t="str">
        <f ca="1">INDIRECT(_xlfn.TEXTJOIN("",TRUE,A746,"!",ADDRESS(13+(A747-1)*A743,13)))</f>
        <v/>
      </c>
      <c r="J732" s="20" t="str">
        <f ca="1">INDIRECT(_xlfn.TEXTJOIN("",TRUE,A746,"!",ADDRESS(13+(A747-1)*A743,14)))</f>
        <v/>
      </c>
    </row>
    <row r="733" spans="1:10" ht="28" customHeight="1" x14ac:dyDescent="0.2">
      <c r="A733" s="96" t="str">
        <f ca="1">INDIRECT(_xlfn.TEXTJOIN("",TRUE,A746,"!",ADDRESS(14+(A747-1)*A743,1)))</f>
        <v/>
      </c>
      <c r="B733" s="97"/>
      <c r="C733" s="106" t="str">
        <f ca="1">INDIRECT(_xlfn.TEXTJOIN("",TRUE,A746,"!",ADDRESS(14+(A747-1)*A743,2)))</f>
        <v/>
      </c>
      <c r="D733" s="107"/>
      <c r="E733" s="107"/>
      <c r="F733" s="107"/>
      <c r="G733" s="108"/>
      <c r="H733" s="20" t="str">
        <f ca="1">INDIRECT(_xlfn.TEXTJOIN("",TRUE,A746,"!",ADDRESS(14+(A747-1)*A743,6)))</f>
        <v/>
      </c>
      <c r="I733" s="20" t="str">
        <f ca="1">INDIRECT(_xlfn.TEXTJOIN("",TRUE,A746,"!",ADDRESS(14+(A747-1)*A743,13)))</f>
        <v/>
      </c>
      <c r="J733" s="20" t="str">
        <f ca="1">INDIRECT(_xlfn.TEXTJOIN("",TRUE,A746,"!",ADDRESS(14+(A747-1)*A743,14)))</f>
        <v/>
      </c>
    </row>
    <row r="734" spans="1:10" ht="28" customHeight="1" x14ac:dyDescent="0.2">
      <c r="A734" s="96" t="str">
        <f ca="1">INDIRECT(_xlfn.TEXTJOIN("",TRUE,A746,"!",ADDRESS(15+(A747-1)*A743,1)))</f>
        <v/>
      </c>
      <c r="B734" s="97"/>
      <c r="C734" s="106" t="str">
        <f ca="1">INDIRECT(_xlfn.TEXTJOIN("",TRUE,A746,"!",ADDRESS(15+(A747-1)*A743,2)))</f>
        <v/>
      </c>
      <c r="D734" s="107"/>
      <c r="E734" s="107"/>
      <c r="F734" s="107"/>
      <c r="G734" s="108"/>
      <c r="H734" s="20" t="str">
        <f ca="1">INDIRECT(_xlfn.TEXTJOIN("",TRUE,A746,"!",ADDRESS(15+(A747-1)*A743,6)))</f>
        <v/>
      </c>
      <c r="I734" s="20" t="str">
        <f ca="1">INDIRECT(_xlfn.TEXTJOIN("",TRUE,A746,"!",ADDRESS(15+(A747-1)*A743,13)))</f>
        <v/>
      </c>
      <c r="J734" s="20" t="str">
        <f ca="1">INDIRECT(_xlfn.TEXTJOIN("",TRUE,A746,"!",ADDRESS(15+(A747-1)*A743,14)))</f>
        <v/>
      </c>
    </row>
    <row r="735" spans="1:10" ht="28" customHeight="1" x14ac:dyDescent="0.2">
      <c r="A735" s="96" t="str">
        <f ca="1">INDIRECT(_xlfn.TEXTJOIN("",TRUE,A746,"!",ADDRESS(16+(A747-1)*A743,1)))</f>
        <v/>
      </c>
      <c r="B735" s="97"/>
      <c r="C735" s="106" t="str">
        <f ca="1">INDIRECT(_xlfn.TEXTJOIN("",TRUE,A746,"!",ADDRESS(16+(A747-1)*A743,2)))</f>
        <v/>
      </c>
      <c r="D735" s="107"/>
      <c r="E735" s="107"/>
      <c r="F735" s="107"/>
      <c r="G735" s="108"/>
      <c r="H735" s="20" t="str">
        <f ca="1">INDIRECT(_xlfn.TEXTJOIN("",TRUE,A746,"!",ADDRESS(16+(A747-1)*A743,6)))</f>
        <v/>
      </c>
      <c r="I735" s="20" t="str">
        <f ca="1">INDIRECT(_xlfn.TEXTJOIN("",TRUE,A746,"!",ADDRESS(16+(A747-1)*A743,13)))</f>
        <v/>
      </c>
      <c r="J735" s="20" t="str">
        <f ca="1">INDIRECT(_xlfn.TEXTJOIN("",TRUE,A746,"!",ADDRESS(16+(A747-1)*A743,14)))</f>
        <v/>
      </c>
    </row>
    <row r="736" spans="1:10" ht="28" customHeight="1" x14ac:dyDescent="0.2">
      <c r="A736" s="96" t="str">
        <f ca="1">INDIRECT(_xlfn.TEXTJOIN("",TRUE,A746,"!",ADDRESS(17+(A747-1)*A743,1)))</f>
        <v/>
      </c>
      <c r="B736" s="97"/>
      <c r="C736" s="106" t="str">
        <f ca="1">INDIRECT(_xlfn.TEXTJOIN("",TRUE,A746,"!",ADDRESS(17+(A747-1)*A743,2)))</f>
        <v/>
      </c>
      <c r="D736" s="107"/>
      <c r="E736" s="107"/>
      <c r="F736" s="107"/>
      <c r="G736" s="108"/>
      <c r="H736" s="20" t="str">
        <f ca="1">INDIRECT(_xlfn.TEXTJOIN("",TRUE,A746,"!",ADDRESS(17+(A747-1)*A743,6)))</f>
        <v/>
      </c>
      <c r="I736" s="20" t="str">
        <f ca="1">INDIRECT(_xlfn.TEXTJOIN("",TRUE,A746,"!",ADDRESS(17+(A747-1)*A743,13)))</f>
        <v/>
      </c>
      <c r="J736" s="20" t="str">
        <f ca="1">INDIRECT(_xlfn.TEXTJOIN("",TRUE,A746,"!",ADDRESS(17+(A747-1)*A743,14)))</f>
        <v/>
      </c>
    </row>
    <row r="737" spans="1:10" ht="28" customHeight="1" x14ac:dyDescent="0.2">
      <c r="A737" s="96" t="str">
        <f ca="1">INDIRECT(_xlfn.TEXTJOIN("",TRUE,A746,"!",ADDRESS(18+(A747-1)*A743,1)))</f>
        <v/>
      </c>
      <c r="B737" s="97"/>
      <c r="C737" s="106" t="str">
        <f ca="1">INDIRECT(_xlfn.TEXTJOIN("",TRUE,A746,"!",ADDRESS(18+(A747-1)*A743,2)))</f>
        <v/>
      </c>
      <c r="D737" s="107"/>
      <c r="E737" s="107"/>
      <c r="F737" s="107"/>
      <c r="G737" s="108"/>
      <c r="H737" s="20" t="str">
        <f ca="1">INDIRECT(_xlfn.TEXTJOIN("",TRUE,A746,"!",ADDRESS(18+(A747-1)*A743,6)))</f>
        <v/>
      </c>
      <c r="I737" s="20" t="str">
        <f ca="1">INDIRECT(_xlfn.TEXTJOIN("",TRUE,A746,"!",ADDRESS(18+(A747-1)*A743,13)))</f>
        <v/>
      </c>
      <c r="J737" s="20" t="str">
        <f ca="1">INDIRECT(_xlfn.TEXTJOIN("",TRUE,A746,"!",ADDRESS(18+(A747-1)*A743,14)))</f>
        <v/>
      </c>
    </row>
    <row r="738" spans="1:10" ht="28" customHeight="1" x14ac:dyDescent="0.2">
      <c r="A738" s="96" t="str">
        <f ca="1">INDIRECT(_xlfn.TEXTJOIN("",TRUE,A746,"!",ADDRESS(19+(A747-1)*A743,1)))</f>
        <v/>
      </c>
      <c r="B738" s="97"/>
      <c r="C738" s="106" t="str">
        <f ca="1">INDIRECT(_xlfn.TEXTJOIN("",TRUE,A746,"!",ADDRESS(19+(A747-1)*A743,2)))</f>
        <v/>
      </c>
      <c r="D738" s="107"/>
      <c r="E738" s="107"/>
      <c r="F738" s="107"/>
      <c r="G738" s="108"/>
      <c r="H738" s="20" t="str">
        <f ca="1">INDIRECT(_xlfn.TEXTJOIN("",TRUE,A746,"!",ADDRESS(19+(A747-1)*A743,6)))</f>
        <v/>
      </c>
      <c r="I738" s="20" t="str">
        <f ca="1">INDIRECT(_xlfn.TEXTJOIN("",TRUE,A746,"!",ADDRESS(19+(A747-1)*A743,13)))</f>
        <v/>
      </c>
      <c r="J738" s="20" t="str">
        <f ca="1">INDIRECT(_xlfn.TEXTJOIN("",TRUE,A746,"!",ADDRESS(19+(A747-1)*A743,14)))</f>
        <v/>
      </c>
    </row>
    <row r="739" spans="1:10" ht="28" customHeight="1" x14ac:dyDescent="0.2">
      <c r="A739" s="96" t="str">
        <f ca="1">INDIRECT(_xlfn.TEXTJOIN("",TRUE,A746,"!",ADDRESS(20+(A747-1)*A743,1)))</f>
        <v/>
      </c>
      <c r="B739" s="97"/>
      <c r="C739" s="106" t="str">
        <f ca="1">INDIRECT(_xlfn.TEXTJOIN("",TRUE,A746,"!",ADDRESS(20+(A747-1)*A743,2)))</f>
        <v/>
      </c>
      <c r="D739" s="107"/>
      <c r="E739" s="107"/>
      <c r="F739" s="107"/>
      <c r="G739" s="108"/>
      <c r="H739" s="20" t="str">
        <f ca="1">INDIRECT(_xlfn.TEXTJOIN("",TRUE,A746,"!",ADDRESS(20+(A747-1)*A743,6)))</f>
        <v/>
      </c>
      <c r="I739" s="20" t="str">
        <f ca="1">INDIRECT(_xlfn.TEXTJOIN("",TRUE,A746,"!",ADDRESS(20+(A747-1)*A743,13)))</f>
        <v/>
      </c>
      <c r="J739" s="20" t="str">
        <f ca="1">INDIRECT(_xlfn.TEXTJOIN("",TRUE,A746,"!",ADDRESS(20+(A747-1)*A743,14)))</f>
        <v/>
      </c>
    </row>
    <row r="740" spans="1:10" ht="28" customHeight="1" x14ac:dyDescent="0.2">
      <c r="A740" s="96" t="str">
        <f ca="1">INDIRECT(_xlfn.TEXTJOIN("",TRUE,A746,"!",ADDRESS(21+(A747-1)*A743,1)))</f>
        <v/>
      </c>
      <c r="B740" s="97"/>
      <c r="C740" s="106" t="str">
        <f ca="1">INDIRECT(_xlfn.TEXTJOIN("",TRUE,A746,"!",ADDRESS(21+(A747-1)*A743,2)))</f>
        <v/>
      </c>
      <c r="D740" s="107"/>
      <c r="E740" s="107"/>
      <c r="F740" s="107"/>
      <c r="G740" s="108"/>
      <c r="H740" s="20" t="str">
        <f ca="1">INDIRECT(_xlfn.TEXTJOIN("",TRUE,A746,"!",ADDRESS(21+(A747-1)*A743,6)))</f>
        <v/>
      </c>
      <c r="I740" s="20" t="str">
        <f ca="1">INDIRECT(_xlfn.TEXTJOIN("",TRUE,A746,"!",ADDRESS(21+(A747-1)*A743,13)))</f>
        <v/>
      </c>
      <c r="J740" s="20" t="str">
        <f ca="1">INDIRECT(_xlfn.TEXTJOIN("",TRUE,A746,"!",ADDRESS(21+(A747-1)*A743,14)))</f>
        <v/>
      </c>
    </row>
    <row r="741" spans="1:10" ht="28" customHeight="1" x14ac:dyDescent="0.2">
      <c r="A741" s="96" t="str">
        <f ca="1">INDIRECT(_xlfn.TEXTJOIN("",TRUE,A746,"!",ADDRESS(22+(A747-1)*A743,1)))</f>
        <v/>
      </c>
      <c r="B741" s="97"/>
      <c r="C741" s="106" t="str">
        <f ca="1">INDIRECT(_xlfn.TEXTJOIN("",TRUE,A746,"!",ADDRESS(22+(A747-1)*A743,2)))</f>
        <v/>
      </c>
      <c r="D741" s="107"/>
      <c r="E741" s="107"/>
      <c r="F741" s="107"/>
      <c r="G741" s="108"/>
      <c r="H741" s="20" t="str">
        <f ca="1">INDIRECT(_xlfn.TEXTJOIN("",TRUE,A746,"!",ADDRESS(22+(A747-1)*A743,6)))</f>
        <v/>
      </c>
      <c r="I741" s="20" t="str">
        <f ca="1">INDIRECT(_xlfn.TEXTJOIN("",TRUE,A746,"!",ADDRESS(22+(A747-1)*A743,13)))</f>
        <v/>
      </c>
      <c r="J741" s="20" t="str">
        <f ca="1">INDIRECT(_xlfn.TEXTJOIN("",TRUE,A746,"!",ADDRESS(22+(A747-1)*A743,14)))</f>
        <v/>
      </c>
    </row>
    <row r="742" spans="1:10" ht="28" customHeight="1" x14ac:dyDescent="0.2">
      <c r="A742" s="118" t="s">
        <v>52</v>
      </c>
      <c r="B742" s="118"/>
      <c r="C742" s="118"/>
      <c r="D742" s="118"/>
      <c r="E742" s="118"/>
      <c r="F742" s="118"/>
      <c r="G742" s="118"/>
      <c r="H742" s="16">
        <f ca="1">SUM(H732:H741)</f>
        <v>0</v>
      </c>
      <c r="I742" s="16" t="s">
        <v>44</v>
      </c>
      <c r="J742" s="16">
        <f ca="1">SUMPRODUCT(J732:J741,H732:H741)</f>
        <v>0</v>
      </c>
    </row>
    <row r="743" spans="1:10" ht="28" customHeight="1" x14ac:dyDescent="0.2">
      <c r="A743" s="22">
        <f>ROWS(A732:B741)+9</f>
        <v>19</v>
      </c>
      <c r="B743" s="17"/>
      <c r="C743" s="17"/>
      <c r="D743" s="17"/>
      <c r="E743" s="17"/>
      <c r="F743" s="17"/>
      <c r="G743" s="17"/>
      <c r="H743" s="17"/>
      <c r="I743" s="17"/>
      <c r="J743" s="17"/>
    </row>
    <row r="744" spans="1:10" ht="28" customHeight="1" x14ac:dyDescent="0.2">
      <c r="A744" s="120" t="s">
        <v>40</v>
      </c>
      <c r="B744" s="120"/>
      <c r="C744" s="21" t="str">
        <f ca="1">INDIRECT(_xlfn.TEXTJOIN("",TRUE,A746,"!",ADDRESS(5+A747*A743,12)))</f>
        <v/>
      </c>
      <c r="D744" s="120" t="s">
        <v>38</v>
      </c>
      <c r="E744" s="120"/>
      <c r="F744" s="18" t="str">
        <f ca="1">INDIRECT(_xlfn.TEXTJOIN("",TRUE,A746,"!",ADDRESS(5+A747*A743,8)))</f>
        <v/>
      </c>
      <c r="G744" s="120" t="s">
        <v>39</v>
      </c>
      <c r="H744" s="120"/>
      <c r="I744" s="109" t="str">
        <f ca="1">INDIRECT(_xlfn.TEXTJOIN("",TRUE,A746,"!",ADDRESS(5+A747*A743,10)))</f>
        <v/>
      </c>
      <c r="J744" s="109"/>
    </row>
    <row r="745" spans="1:10" ht="28" customHeight="1" x14ac:dyDescent="0.2">
      <c r="A745" s="19" t="s">
        <v>36</v>
      </c>
      <c r="B745" s="95" t="str">
        <f ca="1">INDIRECT(_xlfn.TEXTJOIN("",TRUE,A746,"!",ADDRESS(5+A747*A743,2)))</f>
        <v/>
      </c>
      <c r="C745" s="95"/>
      <c r="D745" s="121" t="s">
        <v>37</v>
      </c>
      <c r="E745" s="121"/>
      <c r="F745" s="122" t="str">
        <f ca="1">INDIRECT(_xlfn.TEXTJOIN("",TRUE,A746,"!",ADDRESS(5+A747*A743,5)))</f>
        <v/>
      </c>
      <c r="G745" s="122"/>
      <c r="H745" s="122"/>
      <c r="I745" s="122"/>
      <c r="J745" s="122"/>
    </row>
    <row r="746" spans="1:10" ht="28" customHeight="1" x14ac:dyDescent="0.2">
      <c r="A746" s="22" t="str">
        <f>A727</f>
        <v>TC_II</v>
      </c>
    </row>
    <row r="747" spans="1:10" ht="28" customHeight="1" x14ac:dyDescent="0.2">
      <c r="A747" s="22">
        <f>A728+1</f>
        <v>39</v>
      </c>
    </row>
    <row r="748" spans="1:10" ht="28" customHeight="1" x14ac:dyDescent="0.2">
      <c r="A748" s="112" t="s">
        <v>24</v>
      </c>
      <c r="B748" s="112"/>
      <c r="C748" s="112" t="str">
        <f ca="1">INDIRECT(_xlfn.TEXTJOIN("",TRUE,A765,"!",ADDRESS(9+(A766-1)*A762,2)))</f>
        <v/>
      </c>
      <c r="D748" s="112"/>
      <c r="E748" s="112"/>
      <c r="F748" s="112" t="s">
        <v>50</v>
      </c>
      <c r="G748" s="112"/>
      <c r="H748" s="112"/>
      <c r="I748" s="113" t="str">
        <f ca="1">INDIRECT(_xlfn.TEXTJOIN("",TRUE,A765,"!",ADDRESS(9+(A766-1)*A762,9)))</f>
        <v/>
      </c>
      <c r="J748" s="113"/>
    </row>
    <row r="749" spans="1:10" ht="28" customHeight="1" x14ac:dyDescent="0.2">
      <c r="A749" s="112" t="s">
        <v>25</v>
      </c>
      <c r="B749" s="112"/>
      <c r="C749" s="112" t="str">
        <f ca="1">INDIRECT(_xlfn.TEXTJOIN("",TRUE,A765,"!",ADDRESS(9+(A766-1)*A762,5)))</f>
        <v/>
      </c>
      <c r="D749" s="112"/>
      <c r="E749" s="112"/>
      <c r="F749" s="114" t="s">
        <v>51</v>
      </c>
      <c r="G749" s="114"/>
      <c r="H749" s="114"/>
      <c r="I749" s="113" t="str">
        <f ca="1">INDIRECT(_xlfn.TEXTJOIN("",TRUE,A765,"!",ADDRESS(9+(A766-1)*A762,13)))</f>
        <v/>
      </c>
      <c r="J749" s="113"/>
    </row>
    <row r="750" spans="1:10" ht="28" customHeight="1" x14ac:dyDescent="0.2">
      <c r="A750" s="95" t="s">
        <v>28</v>
      </c>
      <c r="B750" s="95"/>
      <c r="C750" s="95" t="s">
        <v>29</v>
      </c>
      <c r="D750" s="95"/>
      <c r="E750" s="95"/>
      <c r="F750" s="95"/>
      <c r="G750" s="95"/>
      <c r="H750" s="15" t="s">
        <v>30</v>
      </c>
      <c r="I750" s="15" t="s">
        <v>9</v>
      </c>
      <c r="J750" s="15" t="s">
        <v>34</v>
      </c>
    </row>
    <row r="751" spans="1:10" ht="28" customHeight="1" x14ac:dyDescent="0.2">
      <c r="A751" s="96" t="str">
        <f ca="1">INDIRECT(_xlfn.TEXTJOIN("",TRUE,A765,"!",ADDRESS(13+(A766-1)*A762,1)))</f>
        <v/>
      </c>
      <c r="B751" s="97"/>
      <c r="C751" s="106" t="str">
        <f ca="1">INDIRECT(_xlfn.TEXTJOIN("",TRUE,A765,"!",ADDRESS(13+(A766-1)*A762,2)))</f>
        <v/>
      </c>
      <c r="D751" s="107"/>
      <c r="E751" s="107"/>
      <c r="F751" s="107"/>
      <c r="G751" s="108"/>
      <c r="H751" s="20" t="str">
        <f ca="1">INDIRECT(_xlfn.TEXTJOIN("",TRUE,A765,"!",ADDRESS(13+(A766-1)*A762,6)))</f>
        <v/>
      </c>
      <c r="I751" s="20" t="str">
        <f ca="1">INDIRECT(_xlfn.TEXTJOIN("",TRUE,A765,"!",ADDRESS(13+(A766-1)*A762,13)))</f>
        <v/>
      </c>
      <c r="J751" s="20" t="str">
        <f ca="1">INDIRECT(_xlfn.TEXTJOIN("",TRUE,A765,"!",ADDRESS(13+(A766-1)*A762,14)))</f>
        <v/>
      </c>
    </row>
    <row r="752" spans="1:10" ht="28" customHeight="1" x14ac:dyDescent="0.2">
      <c r="A752" s="96" t="str">
        <f ca="1">INDIRECT(_xlfn.TEXTJOIN("",TRUE,A765,"!",ADDRESS(14+(A766-1)*A762,1)))</f>
        <v/>
      </c>
      <c r="B752" s="97"/>
      <c r="C752" s="106" t="str">
        <f ca="1">INDIRECT(_xlfn.TEXTJOIN("",TRUE,A765,"!",ADDRESS(14+(A766-1)*A762,2)))</f>
        <v/>
      </c>
      <c r="D752" s="107"/>
      <c r="E752" s="107"/>
      <c r="F752" s="107"/>
      <c r="G752" s="108"/>
      <c r="H752" s="20" t="str">
        <f ca="1">INDIRECT(_xlfn.TEXTJOIN("",TRUE,A765,"!",ADDRESS(14+(A766-1)*A762,6)))</f>
        <v/>
      </c>
      <c r="I752" s="20" t="str">
        <f ca="1">INDIRECT(_xlfn.TEXTJOIN("",TRUE,A765,"!",ADDRESS(14+(A766-1)*A762,13)))</f>
        <v/>
      </c>
      <c r="J752" s="20" t="str">
        <f ca="1">INDIRECT(_xlfn.TEXTJOIN("",TRUE,A765,"!",ADDRESS(14+(A766-1)*A762,14)))</f>
        <v/>
      </c>
    </row>
    <row r="753" spans="1:10" ht="28" customHeight="1" x14ac:dyDescent="0.2">
      <c r="A753" s="96" t="str">
        <f ca="1">INDIRECT(_xlfn.TEXTJOIN("",TRUE,A765,"!",ADDRESS(15+(A766-1)*A762,1)))</f>
        <v/>
      </c>
      <c r="B753" s="97"/>
      <c r="C753" s="106" t="str">
        <f ca="1">INDIRECT(_xlfn.TEXTJOIN("",TRUE,A765,"!",ADDRESS(15+(A766-1)*A762,2)))</f>
        <v/>
      </c>
      <c r="D753" s="107"/>
      <c r="E753" s="107"/>
      <c r="F753" s="107"/>
      <c r="G753" s="108"/>
      <c r="H753" s="20" t="str">
        <f ca="1">INDIRECT(_xlfn.TEXTJOIN("",TRUE,A765,"!",ADDRESS(15+(A766-1)*A762,6)))</f>
        <v/>
      </c>
      <c r="I753" s="20" t="str">
        <f ca="1">INDIRECT(_xlfn.TEXTJOIN("",TRUE,A765,"!",ADDRESS(15+(A766-1)*A762,13)))</f>
        <v/>
      </c>
      <c r="J753" s="20" t="str">
        <f ca="1">INDIRECT(_xlfn.TEXTJOIN("",TRUE,A765,"!",ADDRESS(15+(A766-1)*A762,14)))</f>
        <v/>
      </c>
    </row>
    <row r="754" spans="1:10" ht="28" customHeight="1" x14ac:dyDescent="0.2">
      <c r="A754" s="96" t="str">
        <f ca="1">INDIRECT(_xlfn.TEXTJOIN("",TRUE,A765,"!",ADDRESS(16+(A766-1)*A762,1)))</f>
        <v/>
      </c>
      <c r="B754" s="97"/>
      <c r="C754" s="106" t="str">
        <f ca="1">INDIRECT(_xlfn.TEXTJOIN("",TRUE,A765,"!",ADDRESS(16+(A766-1)*A762,2)))</f>
        <v/>
      </c>
      <c r="D754" s="107"/>
      <c r="E754" s="107"/>
      <c r="F754" s="107"/>
      <c r="G754" s="108"/>
      <c r="H754" s="20" t="str">
        <f ca="1">INDIRECT(_xlfn.TEXTJOIN("",TRUE,A765,"!",ADDRESS(16+(A766-1)*A762,6)))</f>
        <v/>
      </c>
      <c r="I754" s="20" t="str">
        <f ca="1">INDIRECT(_xlfn.TEXTJOIN("",TRUE,A765,"!",ADDRESS(16+(A766-1)*A762,13)))</f>
        <v/>
      </c>
      <c r="J754" s="20" t="str">
        <f ca="1">INDIRECT(_xlfn.TEXTJOIN("",TRUE,A765,"!",ADDRESS(16+(A766-1)*A762,14)))</f>
        <v/>
      </c>
    </row>
    <row r="755" spans="1:10" ht="28" customHeight="1" x14ac:dyDescent="0.2">
      <c r="A755" s="96" t="str">
        <f ca="1">INDIRECT(_xlfn.TEXTJOIN("",TRUE,A765,"!",ADDRESS(17+(A766-1)*A762,1)))</f>
        <v/>
      </c>
      <c r="B755" s="97"/>
      <c r="C755" s="106" t="str">
        <f ca="1">INDIRECT(_xlfn.TEXTJOIN("",TRUE,A765,"!",ADDRESS(17+(A766-1)*A762,2)))</f>
        <v/>
      </c>
      <c r="D755" s="107"/>
      <c r="E755" s="107"/>
      <c r="F755" s="107"/>
      <c r="G755" s="108"/>
      <c r="H755" s="20" t="str">
        <f ca="1">INDIRECT(_xlfn.TEXTJOIN("",TRUE,A765,"!",ADDRESS(17+(A766-1)*A762,6)))</f>
        <v/>
      </c>
      <c r="I755" s="20" t="str">
        <f ca="1">INDIRECT(_xlfn.TEXTJOIN("",TRUE,A765,"!",ADDRESS(17+(A766-1)*A762,13)))</f>
        <v/>
      </c>
      <c r="J755" s="20" t="str">
        <f ca="1">INDIRECT(_xlfn.TEXTJOIN("",TRUE,A765,"!",ADDRESS(17+(A766-1)*A762,14)))</f>
        <v/>
      </c>
    </row>
    <row r="756" spans="1:10" ht="28" customHeight="1" x14ac:dyDescent="0.2">
      <c r="A756" s="96" t="str">
        <f ca="1">INDIRECT(_xlfn.TEXTJOIN("",TRUE,A765,"!",ADDRESS(18+(A766-1)*A762,1)))</f>
        <v/>
      </c>
      <c r="B756" s="97"/>
      <c r="C756" s="106" t="str">
        <f ca="1">INDIRECT(_xlfn.TEXTJOIN("",TRUE,A765,"!",ADDRESS(18+(A766-1)*A762,2)))</f>
        <v/>
      </c>
      <c r="D756" s="107"/>
      <c r="E756" s="107"/>
      <c r="F756" s="107"/>
      <c r="G756" s="108"/>
      <c r="H756" s="20" t="str">
        <f ca="1">INDIRECT(_xlfn.TEXTJOIN("",TRUE,A765,"!",ADDRESS(18+(A766-1)*A762,6)))</f>
        <v/>
      </c>
      <c r="I756" s="20" t="str">
        <f ca="1">INDIRECT(_xlfn.TEXTJOIN("",TRUE,A765,"!",ADDRESS(18+(A766-1)*A762,13)))</f>
        <v/>
      </c>
      <c r="J756" s="20" t="str">
        <f ca="1">INDIRECT(_xlfn.TEXTJOIN("",TRUE,A765,"!",ADDRESS(18+(A766-1)*A762,14)))</f>
        <v/>
      </c>
    </row>
    <row r="757" spans="1:10" ht="28" customHeight="1" x14ac:dyDescent="0.2">
      <c r="A757" s="96" t="str">
        <f ca="1">INDIRECT(_xlfn.TEXTJOIN("",TRUE,A765,"!",ADDRESS(19+(A766-1)*A762,1)))</f>
        <v/>
      </c>
      <c r="B757" s="97"/>
      <c r="C757" s="106" t="str">
        <f ca="1">INDIRECT(_xlfn.TEXTJOIN("",TRUE,A765,"!",ADDRESS(19+(A766-1)*A762,2)))</f>
        <v/>
      </c>
      <c r="D757" s="107"/>
      <c r="E757" s="107"/>
      <c r="F757" s="107"/>
      <c r="G757" s="108"/>
      <c r="H757" s="20" t="str">
        <f ca="1">INDIRECT(_xlfn.TEXTJOIN("",TRUE,A765,"!",ADDRESS(19+(A766-1)*A762,6)))</f>
        <v/>
      </c>
      <c r="I757" s="20" t="str">
        <f ca="1">INDIRECT(_xlfn.TEXTJOIN("",TRUE,A765,"!",ADDRESS(19+(A766-1)*A762,13)))</f>
        <v/>
      </c>
      <c r="J757" s="20" t="str">
        <f ca="1">INDIRECT(_xlfn.TEXTJOIN("",TRUE,A765,"!",ADDRESS(19+(A766-1)*A762,14)))</f>
        <v/>
      </c>
    </row>
    <row r="758" spans="1:10" ht="28" customHeight="1" x14ac:dyDescent="0.2">
      <c r="A758" s="96" t="str">
        <f ca="1">INDIRECT(_xlfn.TEXTJOIN("",TRUE,A765,"!",ADDRESS(20+(A766-1)*A762,1)))</f>
        <v/>
      </c>
      <c r="B758" s="97"/>
      <c r="C758" s="106" t="str">
        <f ca="1">INDIRECT(_xlfn.TEXTJOIN("",TRUE,A765,"!",ADDRESS(20+(A766-1)*A762,2)))</f>
        <v/>
      </c>
      <c r="D758" s="107"/>
      <c r="E758" s="107"/>
      <c r="F758" s="107"/>
      <c r="G758" s="108"/>
      <c r="H758" s="20" t="str">
        <f ca="1">INDIRECT(_xlfn.TEXTJOIN("",TRUE,A765,"!",ADDRESS(20+(A766-1)*A762,6)))</f>
        <v/>
      </c>
      <c r="I758" s="20" t="str">
        <f ca="1">INDIRECT(_xlfn.TEXTJOIN("",TRUE,A765,"!",ADDRESS(20+(A766-1)*A762,13)))</f>
        <v/>
      </c>
      <c r="J758" s="20" t="str">
        <f ca="1">INDIRECT(_xlfn.TEXTJOIN("",TRUE,A765,"!",ADDRESS(20+(A766-1)*A762,14)))</f>
        <v/>
      </c>
    </row>
    <row r="759" spans="1:10" ht="28" customHeight="1" x14ac:dyDescent="0.2">
      <c r="A759" s="96" t="str">
        <f ca="1">INDIRECT(_xlfn.TEXTJOIN("",TRUE,A765,"!",ADDRESS(21+(A766-1)*A762,1)))</f>
        <v/>
      </c>
      <c r="B759" s="97"/>
      <c r="C759" s="106" t="str">
        <f ca="1">INDIRECT(_xlfn.TEXTJOIN("",TRUE,A765,"!",ADDRESS(21+(A766-1)*A762,2)))</f>
        <v/>
      </c>
      <c r="D759" s="107"/>
      <c r="E759" s="107"/>
      <c r="F759" s="107"/>
      <c r="G759" s="108"/>
      <c r="H759" s="20" t="str">
        <f ca="1">INDIRECT(_xlfn.TEXTJOIN("",TRUE,A765,"!",ADDRESS(21+(A766-1)*A762,6)))</f>
        <v/>
      </c>
      <c r="I759" s="20" t="str">
        <f ca="1">INDIRECT(_xlfn.TEXTJOIN("",TRUE,A765,"!",ADDRESS(21+(A766-1)*A762,13)))</f>
        <v/>
      </c>
      <c r="J759" s="20" t="str">
        <f ca="1">INDIRECT(_xlfn.TEXTJOIN("",TRUE,A765,"!",ADDRESS(21+(A766-1)*A762,14)))</f>
        <v/>
      </c>
    </row>
    <row r="760" spans="1:10" ht="28" customHeight="1" x14ac:dyDescent="0.2">
      <c r="A760" s="96" t="str">
        <f ca="1">INDIRECT(_xlfn.TEXTJOIN("",TRUE,A765,"!",ADDRESS(22+(A766-1)*A762,1)))</f>
        <v/>
      </c>
      <c r="B760" s="97"/>
      <c r="C760" s="106" t="str">
        <f ca="1">INDIRECT(_xlfn.TEXTJOIN("",TRUE,A765,"!",ADDRESS(22+(A766-1)*A762,2)))</f>
        <v/>
      </c>
      <c r="D760" s="107"/>
      <c r="E760" s="107"/>
      <c r="F760" s="107"/>
      <c r="G760" s="108"/>
      <c r="H760" s="20" t="str">
        <f ca="1">INDIRECT(_xlfn.TEXTJOIN("",TRUE,A765,"!",ADDRESS(22+(A766-1)*A762,6)))</f>
        <v/>
      </c>
      <c r="I760" s="20" t="str">
        <f ca="1">INDIRECT(_xlfn.TEXTJOIN("",TRUE,A765,"!",ADDRESS(22+(A766-1)*A762,13)))</f>
        <v/>
      </c>
      <c r="J760" s="20" t="str">
        <f ca="1">INDIRECT(_xlfn.TEXTJOIN("",TRUE,A765,"!",ADDRESS(22+(A766-1)*A762,14)))</f>
        <v/>
      </c>
    </row>
    <row r="761" spans="1:10" ht="28" customHeight="1" x14ac:dyDescent="0.2">
      <c r="A761" s="118" t="s">
        <v>52</v>
      </c>
      <c r="B761" s="118"/>
      <c r="C761" s="118"/>
      <c r="D761" s="118"/>
      <c r="E761" s="118"/>
      <c r="F761" s="118"/>
      <c r="G761" s="118"/>
      <c r="H761" s="16">
        <f ca="1">SUM(H751:H760)</f>
        <v>0</v>
      </c>
      <c r="I761" s="16" t="s">
        <v>44</v>
      </c>
      <c r="J761" s="16">
        <f ca="1">SUMPRODUCT(J751:J760,H751:H760)</f>
        <v>0</v>
      </c>
    </row>
    <row r="762" spans="1:10" ht="28" customHeight="1" x14ac:dyDescent="0.2">
      <c r="A762" s="22">
        <f>ROWS(A751:B760)+9</f>
        <v>19</v>
      </c>
      <c r="B762" s="17"/>
      <c r="C762" s="17"/>
      <c r="D762" s="17"/>
      <c r="E762" s="17"/>
      <c r="F762" s="17"/>
      <c r="G762" s="17"/>
      <c r="H762" s="17"/>
      <c r="I762" s="17"/>
      <c r="J762" s="17"/>
    </row>
    <row r="763" spans="1:10" ht="28" customHeight="1" x14ac:dyDescent="0.2">
      <c r="A763" s="120" t="s">
        <v>40</v>
      </c>
      <c r="B763" s="120"/>
      <c r="C763" s="21" t="str">
        <f ca="1">INDIRECT(_xlfn.TEXTJOIN("",TRUE,A765,"!",ADDRESS(5+A766*A762,12)))</f>
        <v/>
      </c>
      <c r="D763" s="120" t="s">
        <v>38</v>
      </c>
      <c r="E763" s="120"/>
      <c r="F763" s="18" t="str">
        <f ca="1">INDIRECT(_xlfn.TEXTJOIN("",TRUE,A765,"!",ADDRESS(5+A766*A762,8)))</f>
        <v/>
      </c>
      <c r="G763" s="120" t="s">
        <v>39</v>
      </c>
      <c r="H763" s="120"/>
      <c r="I763" s="109" t="str">
        <f ca="1">INDIRECT(_xlfn.TEXTJOIN("",TRUE,A765,"!",ADDRESS(5+A766*A762,10)))</f>
        <v/>
      </c>
      <c r="J763" s="109"/>
    </row>
    <row r="764" spans="1:10" ht="49" customHeight="1" x14ac:dyDescent="0.2">
      <c r="A764" s="19" t="s">
        <v>36</v>
      </c>
      <c r="B764" s="95" t="str">
        <f ca="1">INDIRECT(_xlfn.TEXTJOIN("",TRUE,A765,"!",ADDRESS(5+A766*A762,2)))</f>
        <v/>
      </c>
      <c r="C764" s="95"/>
      <c r="D764" s="121" t="s">
        <v>37</v>
      </c>
      <c r="E764" s="121"/>
      <c r="F764" s="122" t="str">
        <f ca="1">INDIRECT(_xlfn.TEXTJOIN("",TRUE,A765,"!",ADDRESS(5+A766*A762,5)))</f>
        <v/>
      </c>
      <c r="G764" s="122"/>
      <c r="H764" s="122"/>
      <c r="I764" s="122"/>
      <c r="J764" s="122"/>
    </row>
    <row r="765" spans="1:10" ht="28" customHeight="1" x14ac:dyDescent="0.2">
      <c r="A765" s="22" t="str">
        <f>A746</f>
        <v>TC_II</v>
      </c>
    </row>
    <row r="766" spans="1:10" ht="28" customHeight="1" x14ac:dyDescent="0.2">
      <c r="A766" s="22">
        <f>A747+1</f>
        <v>40</v>
      </c>
    </row>
  </sheetData>
  <mergeCells count="1525"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A28:B28"/>
    <mergeCell ref="C28:G28"/>
    <mergeCell ref="B23:C23"/>
    <mergeCell ref="D23:E23"/>
    <mergeCell ref="F23:J23"/>
    <mergeCell ref="A26:B26"/>
    <mergeCell ref="C26:E26"/>
    <mergeCell ref="F26:H26"/>
    <mergeCell ref="I26:J26"/>
    <mergeCell ref="C17:G17"/>
    <mergeCell ref="A18:B18"/>
    <mergeCell ref="C18:G18"/>
    <mergeCell ref="A20:G20"/>
    <mergeCell ref="A22:B22"/>
    <mergeCell ref="D22:E22"/>
    <mergeCell ref="G22:H22"/>
    <mergeCell ref="I22:J22"/>
    <mergeCell ref="A19:B19"/>
    <mergeCell ref="C19:G19"/>
    <mergeCell ref="A16:B16"/>
    <mergeCell ref="C16:G16"/>
    <mergeCell ref="A17:B17"/>
    <mergeCell ref="A39:G39"/>
    <mergeCell ref="A41:B41"/>
    <mergeCell ref="D41:E41"/>
    <mergeCell ref="G41:H41"/>
    <mergeCell ref="I41:J41"/>
    <mergeCell ref="A38:B38"/>
    <mergeCell ref="C38:G38"/>
    <mergeCell ref="A35:B35"/>
    <mergeCell ref="C35:G35"/>
    <mergeCell ref="A36:B36"/>
    <mergeCell ref="C36:G36"/>
    <mergeCell ref="A37:B37"/>
    <mergeCell ref="C37:G37"/>
    <mergeCell ref="A32:B32"/>
    <mergeCell ref="C32:G32"/>
    <mergeCell ref="A33:B33"/>
    <mergeCell ref="C33:G33"/>
    <mergeCell ref="A34:B34"/>
    <mergeCell ref="C34:G34"/>
    <mergeCell ref="A29:B29"/>
    <mergeCell ref="C29:G29"/>
    <mergeCell ref="A30:B30"/>
    <mergeCell ref="C30:G30"/>
    <mergeCell ref="A31:B31"/>
    <mergeCell ref="C31:G31"/>
    <mergeCell ref="A27:B27"/>
    <mergeCell ref="C27:E27"/>
    <mergeCell ref="F27:H27"/>
    <mergeCell ref="I27:J27"/>
    <mergeCell ref="A48:B48"/>
    <mergeCell ref="C48:G48"/>
    <mergeCell ref="A49:B49"/>
    <mergeCell ref="C49:G49"/>
    <mergeCell ref="A50:B50"/>
    <mergeCell ref="C50:G50"/>
    <mergeCell ref="A46:B46"/>
    <mergeCell ref="C46:E46"/>
    <mergeCell ref="F46:H46"/>
    <mergeCell ref="I46:J46"/>
    <mergeCell ref="A47:B47"/>
    <mergeCell ref="C47:G47"/>
    <mergeCell ref="B42:C42"/>
    <mergeCell ref="D42:E42"/>
    <mergeCell ref="F42:J42"/>
    <mergeCell ref="A45:B45"/>
    <mergeCell ref="C45:E45"/>
    <mergeCell ref="F45:H45"/>
    <mergeCell ref="I45:J45"/>
    <mergeCell ref="A58:G58"/>
    <mergeCell ref="A60:B60"/>
    <mergeCell ref="D60:E60"/>
    <mergeCell ref="G60:H60"/>
    <mergeCell ref="I60:J60"/>
    <mergeCell ref="A57:B57"/>
    <mergeCell ref="C57:G57"/>
    <mergeCell ref="A54:B54"/>
    <mergeCell ref="C54:G54"/>
    <mergeCell ref="A55:B55"/>
    <mergeCell ref="C55:G55"/>
    <mergeCell ref="A56:B56"/>
    <mergeCell ref="C56:G56"/>
    <mergeCell ref="A51:B51"/>
    <mergeCell ref="C51:G51"/>
    <mergeCell ref="A52:B52"/>
    <mergeCell ref="C52:G52"/>
    <mergeCell ref="A53:B53"/>
    <mergeCell ref="C53:G53"/>
    <mergeCell ref="A67:B67"/>
    <mergeCell ref="C67:G67"/>
    <mergeCell ref="A68:B68"/>
    <mergeCell ref="C68:G68"/>
    <mergeCell ref="A69:B69"/>
    <mergeCell ref="C69:G69"/>
    <mergeCell ref="A65:B65"/>
    <mergeCell ref="C65:E65"/>
    <mergeCell ref="F65:H65"/>
    <mergeCell ref="I65:J65"/>
    <mergeCell ref="A66:B66"/>
    <mergeCell ref="C66:G66"/>
    <mergeCell ref="B61:C61"/>
    <mergeCell ref="D61:E61"/>
    <mergeCell ref="F61:J61"/>
    <mergeCell ref="A64:B64"/>
    <mergeCell ref="C64:E64"/>
    <mergeCell ref="F64:H64"/>
    <mergeCell ref="I64:J64"/>
    <mergeCell ref="A77:G77"/>
    <mergeCell ref="A79:B79"/>
    <mergeCell ref="D79:E79"/>
    <mergeCell ref="G79:H79"/>
    <mergeCell ref="I79:J79"/>
    <mergeCell ref="A76:B76"/>
    <mergeCell ref="C76:G76"/>
    <mergeCell ref="A73:B73"/>
    <mergeCell ref="C73:G73"/>
    <mergeCell ref="A74:B74"/>
    <mergeCell ref="C74:G74"/>
    <mergeCell ref="A75:B75"/>
    <mergeCell ref="C75:G75"/>
    <mergeCell ref="A70:B70"/>
    <mergeCell ref="C70:G70"/>
    <mergeCell ref="A71:B71"/>
    <mergeCell ref="C71:G71"/>
    <mergeCell ref="A72:B72"/>
    <mergeCell ref="C72:G72"/>
    <mergeCell ref="A86:B86"/>
    <mergeCell ref="C86:G86"/>
    <mergeCell ref="A87:B87"/>
    <mergeCell ref="C87:G87"/>
    <mergeCell ref="A88:B88"/>
    <mergeCell ref="C88:G88"/>
    <mergeCell ref="A84:B84"/>
    <mergeCell ref="C84:E84"/>
    <mergeCell ref="F84:H84"/>
    <mergeCell ref="I84:J84"/>
    <mergeCell ref="A85:B85"/>
    <mergeCell ref="C85:G85"/>
    <mergeCell ref="B80:C80"/>
    <mergeCell ref="D80:E80"/>
    <mergeCell ref="F80:J80"/>
    <mergeCell ref="A83:B83"/>
    <mergeCell ref="C83:E83"/>
    <mergeCell ref="F83:H83"/>
    <mergeCell ref="I83:J83"/>
    <mergeCell ref="A96:G96"/>
    <mergeCell ref="A98:B98"/>
    <mergeCell ref="D98:E98"/>
    <mergeCell ref="G98:H98"/>
    <mergeCell ref="I98:J98"/>
    <mergeCell ref="A95:B95"/>
    <mergeCell ref="C95:G95"/>
    <mergeCell ref="A92:B92"/>
    <mergeCell ref="C92:G92"/>
    <mergeCell ref="A93:B93"/>
    <mergeCell ref="C93:G93"/>
    <mergeCell ref="A94:B94"/>
    <mergeCell ref="C94:G94"/>
    <mergeCell ref="A89:B89"/>
    <mergeCell ref="C89:G89"/>
    <mergeCell ref="A90:B90"/>
    <mergeCell ref="C90:G90"/>
    <mergeCell ref="A91:B91"/>
    <mergeCell ref="C91:G91"/>
    <mergeCell ref="A105:B105"/>
    <mergeCell ref="C105:G105"/>
    <mergeCell ref="A106:B106"/>
    <mergeCell ref="C106:G106"/>
    <mergeCell ref="A107:B107"/>
    <mergeCell ref="C107:G107"/>
    <mergeCell ref="A103:B103"/>
    <mergeCell ref="C103:E103"/>
    <mergeCell ref="F103:H103"/>
    <mergeCell ref="I103:J103"/>
    <mergeCell ref="A104:B104"/>
    <mergeCell ref="C104:G104"/>
    <mergeCell ref="B99:C99"/>
    <mergeCell ref="D99:E99"/>
    <mergeCell ref="F99:J99"/>
    <mergeCell ref="A102:B102"/>
    <mergeCell ref="C102:E102"/>
    <mergeCell ref="F102:H102"/>
    <mergeCell ref="I102:J102"/>
    <mergeCell ref="A115:G115"/>
    <mergeCell ref="A117:B117"/>
    <mergeCell ref="D117:E117"/>
    <mergeCell ref="G117:H117"/>
    <mergeCell ref="I117:J117"/>
    <mergeCell ref="A114:B114"/>
    <mergeCell ref="C114:G114"/>
    <mergeCell ref="A111:B111"/>
    <mergeCell ref="C111:G111"/>
    <mergeCell ref="A112:B112"/>
    <mergeCell ref="C112:G112"/>
    <mergeCell ref="A113:B113"/>
    <mergeCell ref="C113:G113"/>
    <mergeCell ref="A108:B108"/>
    <mergeCell ref="C108:G108"/>
    <mergeCell ref="A109:B109"/>
    <mergeCell ref="C109:G109"/>
    <mergeCell ref="A110:B110"/>
    <mergeCell ref="C110:G110"/>
    <mergeCell ref="A124:B124"/>
    <mergeCell ref="C124:G124"/>
    <mergeCell ref="A125:B125"/>
    <mergeCell ref="C125:G125"/>
    <mergeCell ref="A126:B126"/>
    <mergeCell ref="C126:G126"/>
    <mergeCell ref="A122:B122"/>
    <mergeCell ref="C122:E122"/>
    <mergeCell ref="F122:H122"/>
    <mergeCell ref="I122:J122"/>
    <mergeCell ref="A123:B123"/>
    <mergeCell ref="C123:G123"/>
    <mergeCell ref="B118:C118"/>
    <mergeCell ref="D118:E118"/>
    <mergeCell ref="F118:J118"/>
    <mergeCell ref="A121:B121"/>
    <mergeCell ref="C121:E121"/>
    <mergeCell ref="F121:H121"/>
    <mergeCell ref="I121:J121"/>
    <mergeCell ref="A134:G134"/>
    <mergeCell ref="A136:B136"/>
    <mergeCell ref="D136:E136"/>
    <mergeCell ref="G136:H136"/>
    <mergeCell ref="I136:J136"/>
    <mergeCell ref="A133:B133"/>
    <mergeCell ref="C133:G133"/>
    <mergeCell ref="A130:B130"/>
    <mergeCell ref="C130:G130"/>
    <mergeCell ref="A131:B131"/>
    <mergeCell ref="C131:G131"/>
    <mergeCell ref="A132:B132"/>
    <mergeCell ref="C132:G132"/>
    <mergeCell ref="A127:B127"/>
    <mergeCell ref="C127:G127"/>
    <mergeCell ref="A128:B128"/>
    <mergeCell ref="C128:G128"/>
    <mergeCell ref="A129:B129"/>
    <mergeCell ref="C129:G129"/>
    <mergeCell ref="A143:B143"/>
    <mergeCell ref="C143:G143"/>
    <mergeCell ref="A144:B144"/>
    <mergeCell ref="C144:G144"/>
    <mergeCell ref="A145:B145"/>
    <mergeCell ref="C145:G145"/>
    <mergeCell ref="A141:B141"/>
    <mergeCell ref="C141:E141"/>
    <mergeCell ref="F141:H141"/>
    <mergeCell ref="I141:J141"/>
    <mergeCell ref="A142:B142"/>
    <mergeCell ref="C142:G142"/>
    <mergeCell ref="B137:C137"/>
    <mergeCell ref="D137:E137"/>
    <mergeCell ref="F137:J137"/>
    <mergeCell ref="A140:B140"/>
    <mergeCell ref="C140:E140"/>
    <mergeCell ref="F140:H140"/>
    <mergeCell ref="I140:J140"/>
    <mergeCell ref="A153:G153"/>
    <mergeCell ref="A155:B155"/>
    <mergeCell ref="D155:E155"/>
    <mergeCell ref="G155:H155"/>
    <mergeCell ref="I155:J155"/>
    <mergeCell ref="A152:B152"/>
    <mergeCell ref="C152:G152"/>
    <mergeCell ref="A149:B149"/>
    <mergeCell ref="C149:G149"/>
    <mergeCell ref="A150:B150"/>
    <mergeCell ref="C150:G150"/>
    <mergeCell ref="A151:B151"/>
    <mergeCell ref="C151:G151"/>
    <mergeCell ref="A146:B146"/>
    <mergeCell ref="C146:G146"/>
    <mergeCell ref="A147:B147"/>
    <mergeCell ref="C147:G147"/>
    <mergeCell ref="A148:B148"/>
    <mergeCell ref="C148:G148"/>
    <mergeCell ref="A162:B162"/>
    <mergeCell ref="C162:G162"/>
    <mergeCell ref="A163:B163"/>
    <mergeCell ref="C163:G163"/>
    <mergeCell ref="A164:B164"/>
    <mergeCell ref="C164:G164"/>
    <mergeCell ref="A160:B160"/>
    <mergeCell ref="C160:E160"/>
    <mergeCell ref="F160:H160"/>
    <mergeCell ref="I160:J160"/>
    <mergeCell ref="A161:B161"/>
    <mergeCell ref="C161:G161"/>
    <mergeCell ref="B156:C156"/>
    <mergeCell ref="D156:E156"/>
    <mergeCell ref="F156:J156"/>
    <mergeCell ref="A159:B159"/>
    <mergeCell ref="C159:E159"/>
    <mergeCell ref="F159:H159"/>
    <mergeCell ref="I159:J159"/>
    <mergeCell ref="A172:G172"/>
    <mergeCell ref="A174:B174"/>
    <mergeCell ref="D174:E174"/>
    <mergeCell ref="G174:H174"/>
    <mergeCell ref="I174:J174"/>
    <mergeCell ref="A171:B171"/>
    <mergeCell ref="C171:G171"/>
    <mergeCell ref="A168:B168"/>
    <mergeCell ref="C168:G168"/>
    <mergeCell ref="A169:B169"/>
    <mergeCell ref="C169:G169"/>
    <mergeCell ref="A170:B170"/>
    <mergeCell ref="C170:G170"/>
    <mergeCell ref="A165:B165"/>
    <mergeCell ref="C165:G165"/>
    <mergeCell ref="A166:B166"/>
    <mergeCell ref="C166:G166"/>
    <mergeCell ref="A167:B167"/>
    <mergeCell ref="C167:G167"/>
    <mergeCell ref="A181:B181"/>
    <mergeCell ref="C181:G181"/>
    <mergeCell ref="A182:B182"/>
    <mergeCell ref="C182:G182"/>
    <mergeCell ref="A183:B183"/>
    <mergeCell ref="C183:G183"/>
    <mergeCell ref="A179:B179"/>
    <mergeCell ref="C179:E179"/>
    <mergeCell ref="F179:H179"/>
    <mergeCell ref="I179:J179"/>
    <mergeCell ref="A180:B180"/>
    <mergeCell ref="C180:G180"/>
    <mergeCell ref="B175:C175"/>
    <mergeCell ref="D175:E175"/>
    <mergeCell ref="F175:J175"/>
    <mergeCell ref="A178:B178"/>
    <mergeCell ref="C178:E178"/>
    <mergeCell ref="F178:H178"/>
    <mergeCell ref="I178:J178"/>
    <mergeCell ref="A191:G191"/>
    <mergeCell ref="A193:B193"/>
    <mergeCell ref="D193:E193"/>
    <mergeCell ref="G193:H193"/>
    <mergeCell ref="I193:J193"/>
    <mergeCell ref="A190:B190"/>
    <mergeCell ref="C190:G190"/>
    <mergeCell ref="A187:B187"/>
    <mergeCell ref="C187:G187"/>
    <mergeCell ref="A188:B188"/>
    <mergeCell ref="C188:G188"/>
    <mergeCell ref="A189:B189"/>
    <mergeCell ref="C189:G189"/>
    <mergeCell ref="A184:B184"/>
    <mergeCell ref="C184:G184"/>
    <mergeCell ref="A185:B185"/>
    <mergeCell ref="C185:G185"/>
    <mergeCell ref="A186:B186"/>
    <mergeCell ref="C186:G186"/>
    <mergeCell ref="A200:B200"/>
    <mergeCell ref="C200:G200"/>
    <mergeCell ref="A201:B201"/>
    <mergeCell ref="C201:G201"/>
    <mergeCell ref="A202:B202"/>
    <mergeCell ref="C202:G202"/>
    <mergeCell ref="A198:B198"/>
    <mergeCell ref="C198:E198"/>
    <mergeCell ref="F198:H198"/>
    <mergeCell ref="I198:J198"/>
    <mergeCell ref="A199:B199"/>
    <mergeCell ref="C199:G199"/>
    <mergeCell ref="B194:C194"/>
    <mergeCell ref="D194:E194"/>
    <mergeCell ref="F194:J194"/>
    <mergeCell ref="A197:B197"/>
    <mergeCell ref="C197:E197"/>
    <mergeCell ref="F197:H197"/>
    <mergeCell ref="I197:J197"/>
    <mergeCell ref="A210:G210"/>
    <mergeCell ref="A212:B212"/>
    <mergeCell ref="D212:E212"/>
    <mergeCell ref="G212:H212"/>
    <mergeCell ref="I212:J212"/>
    <mergeCell ref="A209:B209"/>
    <mergeCell ref="C209:G209"/>
    <mergeCell ref="A206:B206"/>
    <mergeCell ref="C206:G206"/>
    <mergeCell ref="A207:B207"/>
    <mergeCell ref="C207:G207"/>
    <mergeCell ref="A208:B208"/>
    <mergeCell ref="C208:G208"/>
    <mergeCell ref="A203:B203"/>
    <mergeCell ref="C203:G203"/>
    <mergeCell ref="A204:B204"/>
    <mergeCell ref="C204:G204"/>
    <mergeCell ref="A205:B205"/>
    <mergeCell ref="C205:G205"/>
    <mergeCell ref="A219:B219"/>
    <mergeCell ref="C219:G219"/>
    <mergeCell ref="A220:B220"/>
    <mergeCell ref="C220:G220"/>
    <mergeCell ref="A221:B221"/>
    <mergeCell ref="C221:G221"/>
    <mergeCell ref="A217:B217"/>
    <mergeCell ref="C217:E217"/>
    <mergeCell ref="F217:H217"/>
    <mergeCell ref="I217:J217"/>
    <mergeCell ref="A218:B218"/>
    <mergeCell ref="C218:G218"/>
    <mergeCell ref="B213:C213"/>
    <mergeCell ref="D213:E213"/>
    <mergeCell ref="F213:J213"/>
    <mergeCell ref="A216:B216"/>
    <mergeCell ref="C216:E216"/>
    <mergeCell ref="F216:H216"/>
    <mergeCell ref="I216:J216"/>
    <mergeCell ref="A229:G229"/>
    <mergeCell ref="A231:B231"/>
    <mergeCell ref="D231:E231"/>
    <mergeCell ref="G231:H231"/>
    <mergeCell ref="I231:J231"/>
    <mergeCell ref="A228:B228"/>
    <mergeCell ref="C228:G228"/>
    <mergeCell ref="A225:B225"/>
    <mergeCell ref="C225:G225"/>
    <mergeCell ref="A226:B226"/>
    <mergeCell ref="C226:G226"/>
    <mergeCell ref="A227:B227"/>
    <mergeCell ref="C227:G227"/>
    <mergeCell ref="A222:B222"/>
    <mergeCell ref="C222:G222"/>
    <mergeCell ref="A223:B223"/>
    <mergeCell ref="C223:G223"/>
    <mergeCell ref="A224:B224"/>
    <mergeCell ref="C224:G224"/>
    <mergeCell ref="A238:B238"/>
    <mergeCell ref="C238:G238"/>
    <mergeCell ref="A239:B239"/>
    <mergeCell ref="C239:G239"/>
    <mergeCell ref="A240:B240"/>
    <mergeCell ref="C240:G240"/>
    <mergeCell ref="A236:B236"/>
    <mergeCell ref="C236:E236"/>
    <mergeCell ref="F236:H236"/>
    <mergeCell ref="I236:J236"/>
    <mergeCell ref="A237:B237"/>
    <mergeCell ref="C237:G237"/>
    <mergeCell ref="B232:C232"/>
    <mergeCell ref="D232:E232"/>
    <mergeCell ref="F232:J232"/>
    <mergeCell ref="A235:B235"/>
    <mergeCell ref="C235:E235"/>
    <mergeCell ref="F235:H235"/>
    <mergeCell ref="I235:J235"/>
    <mergeCell ref="A248:G248"/>
    <mergeCell ref="A250:B250"/>
    <mergeCell ref="D250:E250"/>
    <mergeCell ref="G250:H250"/>
    <mergeCell ref="I250:J250"/>
    <mergeCell ref="A247:B247"/>
    <mergeCell ref="C247:G247"/>
    <mergeCell ref="A244:B244"/>
    <mergeCell ref="C244:G244"/>
    <mergeCell ref="A245:B245"/>
    <mergeCell ref="C245:G245"/>
    <mergeCell ref="A246:B246"/>
    <mergeCell ref="C246:G246"/>
    <mergeCell ref="A241:B241"/>
    <mergeCell ref="C241:G241"/>
    <mergeCell ref="A242:B242"/>
    <mergeCell ref="C242:G242"/>
    <mergeCell ref="A243:B243"/>
    <mergeCell ref="C243:G243"/>
    <mergeCell ref="A257:B257"/>
    <mergeCell ref="C257:G257"/>
    <mergeCell ref="A258:B258"/>
    <mergeCell ref="C258:G258"/>
    <mergeCell ref="A259:B259"/>
    <mergeCell ref="C259:G259"/>
    <mergeCell ref="A255:B255"/>
    <mergeCell ref="C255:E255"/>
    <mergeCell ref="F255:H255"/>
    <mergeCell ref="I255:J255"/>
    <mergeCell ref="A256:B256"/>
    <mergeCell ref="C256:G256"/>
    <mergeCell ref="B251:C251"/>
    <mergeCell ref="D251:E251"/>
    <mergeCell ref="F251:J251"/>
    <mergeCell ref="A254:B254"/>
    <mergeCell ref="C254:E254"/>
    <mergeCell ref="F254:H254"/>
    <mergeCell ref="I254:J254"/>
    <mergeCell ref="A267:G267"/>
    <mergeCell ref="A269:B269"/>
    <mergeCell ref="D269:E269"/>
    <mergeCell ref="G269:H269"/>
    <mergeCell ref="I269:J269"/>
    <mergeCell ref="A266:B266"/>
    <mergeCell ref="C266:G266"/>
    <mergeCell ref="A263:B263"/>
    <mergeCell ref="C263:G263"/>
    <mergeCell ref="A264:B264"/>
    <mergeCell ref="C264:G264"/>
    <mergeCell ref="A265:B265"/>
    <mergeCell ref="C265:G265"/>
    <mergeCell ref="A260:B260"/>
    <mergeCell ref="C260:G260"/>
    <mergeCell ref="A261:B261"/>
    <mergeCell ref="C261:G261"/>
    <mergeCell ref="A262:B262"/>
    <mergeCell ref="C262:G262"/>
    <mergeCell ref="A276:B276"/>
    <mergeCell ref="C276:G276"/>
    <mergeCell ref="A277:B277"/>
    <mergeCell ref="C277:G277"/>
    <mergeCell ref="A278:B278"/>
    <mergeCell ref="C278:G278"/>
    <mergeCell ref="A274:B274"/>
    <mergeCell ref="C274:E274"/>
    <mergeCell ref="F274:H274"/>
    <mergeCell ref="I274:J274"/>
    <mergeCell ref="A275:B275"/>
    <mergeCell ref="C275:G275"/>
    <mergeCell ref="B270:C270"/>
    <mergeCell ref="D270:E270"/>
    <mergeCell ref="F270:J270"/>
    <mergeCell ref="A273:B273"/>
    <mergeCell ref="C273:E273"/>
    <mergeCell ref="F273:H273"/>
    <mergeCell ref="I273:J273"/>
    <mergeCell ref="A286:G286"/>
    <mergeCell ref="A288:B288"/>
    <mergeCell ref="D288:E288"/>
    <mergeCell ref="G288:H288"/>
    <mergeCell ref="I288:J288"/>
    <mergeCell ref="A285:B285"/>
    <mergeCell ref="C285:G285"/>
    <mergeCell ref="A282:B282"/>
    <mergeCell ref="C282:G282"/>
    <mergeCell ref="A283:B283"/>
    <mergeCell ref="C283:G283"/>
    <mergeCell ref="A284:B284"/>
    <mergeCell ref="C284:G284"/>
    <mergeCell ref="A279:B279"/>
    <mergeCell ref="C279:G279"/>
    <mergeCell ref="A280:B280"/>
    <mergeCell ref="C280:G280"/>
    <mergeCell ref="A281:B281"/>
    <mergeCell ref="C281:G281"/>
    <mergeCell ref="A295:B295"/>
    <mergeCell ref="C295:G295"/>
    <mergeCell ref="A296:B296"/>
    <mergeCell ref="C296:G296"/>
    <mergeCell ref="A297:B297"/>
    <mergeCell ref="C297:G297"/>
    <mergeCell ref="A293:B293"/>
    <mergeCell ref="C293:E293"/>
    <mergeCell ref="F293:H293"/>
    <mergeCell ref="I293:J293"/>
    <mergeCell ref="A294:B294"/>
    <mergeCell ref="C294:G294"/>
    <mergeCell ref="B289:C289"/>
    <mergeCell ref="D289:E289"/>
    <mergeCell ref="F289:J289"/>
    <mergeCell ref="A292:B292"/>
    <mergeCell ref="C292:E292"/>
    <mergeCell ref="F292:H292"/>
    <mergeCell ref="I292:J292"/>
    <mergeCell ref="A305:G305"/>
    <mergeCell ref="A307:B307"/>
    <mergeCell ref="D307:E307"/>
    <mergeCell ref="G307:H307"/>
    <mergeCell ref="I307:J307"/>
    <mergeCell ref="A304:B304"/>
    <mergeCell ref="C304:G304"/>
    <mergeCell ref="A301:B301"/>
    <mergeCell ref="C301:G301"/>
    <mergeCell ref="A302:B302"/>
    <mergeCell ref="C302:G302"/>
    <mergeCell ref="A303:B303"/>
    <mergeCell ref="C303:G303"/>
    <mergeCell ref="A298:B298"/>
    <mergeCell ref="C298:G298"/>
    <mergeCell ref="A299:B299"/>
    <mergeCell ref="C299:G299"/>
    <mergeCell ref="A300:B300"/>
    <mergeCell ref="C300:G300"/>
    <mergeCell ref="A314:B314"/>
    <mergeCell ref="C314:G314"/>
    <mergeCell ref="A315:B315"/>
    <mergeCell ref="C315:G315"/>
    <mergeCell ref="A316:B316"/>
    <mergeCell ref="C316:G316"/>
    <mergeCell ref="A312:B312"/>
    <mergeCell ref="C312:E312"/>
    <mergeCell ref="F312:H312"/>
    <mergeCell ref="I312:J312"/>
    <mergeCell ref="A313:B313"/>
    <mergeCell ref="C313:G313"/>
    <mergeCell ref="B308:C308"/>
    <mergeCell ref="D308:E308"/>
    <mergeCell ref="F308:J308"/>
    <mergeCell ref="A311:B311"/>
    <mergeCell ref="C311:E311"/>
    <mergeCell ref="F311:H311"/>
    <mergeCell ref="I311:J311"/>
    <mergeCell ref="A324:G324"/>
    <mergeCell ref="A326:B326"/>
    <mergeCell ref="D326:E326"/>
    <mergeCell ref="G326:H326"/>
    <mergeCell ref="I326:J326"/>
    <mergeCell ref="A323:B323"/>
    <mergeCell ref="C323:G323"/>
    <mergeCell ref="A320:B320"/>
    <mergeCell ref="C320:G320"/>
    <mergeCell ref="A321:B321"/>
    <mergeCell ref="C321:G321"/>
    <mergeCell ref="A322:B322"/>
    <mergeCell ref="C322:G322"/>
    <mergeCell ref="A317:B317"/>
    <mergeCell ref="C317:G317"/>
    <mergeCell ref="A318:B318"/>
    <mergeCell ref="C318:G318"/>
    <mergeCell ref="A319:B319"/>
    <mergeCell ref="C319:G319"/>
    <mergeCell ref="A333:B333"/>
    <mergeCell ref="C333:G333"/>
    <mergeCell ref="A334:B334"/>
    <mergeCell ref="C334:G334"/>
    <mergeCell ref="A335:B335"/>
    <mergeCell ref="C335:G335"/>
    <mergeCell ref="A331:B331"/>
    <mergeCell ref="C331:E331"/>
    <mergeCell ref="F331:H331"/>
    <mergeCell ref="I331:J331"/>
    <mergeCell ref="A332:B332"/>
    <mergeCell ref="C332:G332"/>
    <mergeCell ref="B327:C327"/>
    <mergeCell ref="D327:E327"/>
    <mergeCell ref="F327:J327"/>
    <mergeCell ref="A330:B330"/>
    <mergeCell ref="C330:E330"/>
    <mergeCell ref="F330:H330"/>
    <mergeCell ref="I330:J330"/>
    <mergeCell ref="A343:G343"/>
    <mergeCell ref="A345:B345"/>
    <mergeCell ref="D345:E345"/>
    <mergeCell ref="G345:H345"/>
    <mergeCell ref="I345:J345"/>
    <mergeCell ref="A342:B342"/>
    <mergeCell ref="C342:G342"/>
    <mergeCell ref="A339:B339"/>
    <mergeCell ref="C339:G339"/>
    <mergeCell ref="A340:B340"/>
    <mergeCell ref="C340:G340"/>
    <mergeCell ref="A341:B341"/>
    <mergeCell ref="C341:G341"/>
    <mergeCell ref="A336:B336"/>
    <mergeCell ref="C336:G336"/>
    <mergeCell ref="A337:B337"/>
    <mergeCell ref="C337:G337"/>
    <mergeCell ref="A338:B338"/>
    <mergeCell ref="C338:G338"/>
    <mergeCell ref="A352:B352"/>
    <mergeCell ref="C352:G352"/>
    <mergeCell ref="A353:B353"/>
    <mergeCell ref="C353:G353"/>
    <mergeCell ref="A354:B354"/>
    <mergeCell ref="C354:G354"/>
    <mergeCell ref="A350:B350"/>
    <mergeCell ref="C350:E350"/>
    <mergeCell ref="F350:H350"/>
    <mergeCell ref="I350:J350"/>
    <mergeCell ref="A351:B351"/>
    <mergeCell ref="C351:G351"/>
    <mergeCell ref="B346:C346"/>
    <mergeCell ref="D346:E346"/>
    <mergeCell ref="F346:J346"/>
    <mergeCell ref="A349:B349"/>
    <mergeCell ref="C349:E349"/>
    <mergeCell ref="F349:H349"/>
    <mergeCell ref="I349:J349"/>
    <mergeCell ref="A362:G362"/>
    <mergeCell ref="A364:B364"/>
    <mergeCell ref="D364:E364"/>
    <mergeCell ref="G364:H364"/>
    <mergeCell ref="I364:J364"/>
    <mergeCell ref="A361:B361"/>
    <mergeCell ref="C361:G361"/>
    <mergeCell ref="A358:B358"/>
    <mergeCell ref="C358:G358"/>
    <mergeCell ref="A359:B359"/>
    <mergeCell ref="C359:G359"/>
    <mergeCell ref="A360:B360"/>
    <mergeCell ref="C360:G360"/>
    <mergeCell ref="A355:B355"/>
    <mergeCell ref="C355:G355"/>
    <mergeCell ref="A356:B356"/>
    <mergeCell ref="C356:G356"/>
    <mergeCell ref="A357:B357"/>
    <mergeCell ref="C357:G357"/>
    <mergeCell ref="A371:B371"/>
    <mergeCell ref="C371:G371"/>
    <mergeCell ref="A372:B372"/>
    <mergeCell ref="C372:G372"/>
    <mergeCell ref="A373:B373"/>
    <mergeCell ref="C373:G373"/>
    <mergeCell ref="A369:B369"/>
    <mergeCell ref="C369:E369"/>
    <mergeCell ref="F369:H369"/>
    <mergeCell ref="I369:J369"/>
    <mergeCell ref="A370:B370"/>
    <mergeCell ref="C370:G370"/>
    <mergeCell ref="B365:C365"/>
    <mergeCell ref="D365:E365"/>
    <mergeCell ref="F365:J365"/>
    <mergeCell ref="A368:B368"/>
    <mergeCell ref="C368:E368"/>
    <mergeCell ref="F368:H368"/>
    <mergeCell ref="I368:J368"/>
    <mergeCell ref="A381:G381"/>
    <mergeCell ref="A383:B383"/>
    <mergeCell ref="D383:E383"/>
    <mergeCell ref="G383:H383"/>
    <mergeCell ref="I383:J383"/>
    <mergeCell ref="A380:B380"/>
    <mergeCell ref="C380:G380"/>
    <mergeCell ref="A377:B377"/>
    <mergeCell ref="C377:G377"/>
    <mergeCell ref="A378:B378"/>
    <mergeCell ref="C378:G378"/>
    <mergeCell ref="A379:B379"/>
    <mergeCell ref="C379:G379"/>
    <mergeCell ref="A374:B374"/>
    <mergeCell ref="C374:G374"/>
    <mergeCell ref="A375:B375"/>
    <mergeCell ref="C375:G375"/>
    <mergeCell ref="A376:B376"/>
    <mergeCell ref="C376:G376"/>
    <mergeCell ref="A390:B390"/>
    <mergeCell ref="C390:G390"/>
    <mergeCell ref="A391:B391"/>
    <mergeCell ref="C391:G391"/>
    <mergeCell ref="A392:B392"/>
    <mergeCell ref="C392:G392"/>
    <mergeCell ref="A388:B388"/>
    <mergeCell ref="C388:E388"/>
    <mergeCell ref="F388:H388"/>
    <mergeCell ref="I388:J388"/>
    <mergeCell ref="A389:B389"/>
    <mergeCell ref="C389:G389"/>
    <mergeCell ref="B384:C384"/>
    <mergeCell ref="D384:E384"/>
    <mergeCell ref="F384:J384"/>
    <mergeCell ref="A387:B387"/>
    <mergeCell ref="C387:E387"/>
    <mergeCell ref="F387:H387"/>
    <mergeCell ref="I387:J387"/>
    <mergeCell ref="A400:G400"/>
    <mergeCell ref="A402:B402"/>
    <mergeCell ref="D402:E402"/>
    <mergeCell ref="G402:H402"/>
    <mergeCell ref="I402:J402"/>
    <mergeCell ref="A399:B399"/>
    <mergeCell ref="C399:G399"/>
    <mergeCell ref="A396:B396"/>
    <mergeCell ref="C396:G396"/>
    <mergeCell ref="A397:B397"/>
    <mergeCell ref="C397:G397"/>
    <mergeCell ref="A398:B398"/>
    <mergeCell ref="C398:G398"/>
    <mergeCell ref="A393:B393"/>
    <mergeCell ref="C393:G393"/>
    <mergeCell ref="A394:B394"/>
    <mergeCell ref="C394:G394"/>
    <mergeCell ref="A395:B395"/>
    <mergeCell ref="C395:G395"/>
    <mergeCell ref="A409:B409"/>
    <mergeCell ref="C409:G409"/>
    <mergeCell ref="A410:B410"/>
    <mergeCell ref="C410:G410"/>
    <mergeCell ref="A411:B411"/>
    <mergeCell ref="C411:G411"/>
    <mergeCell ref="A407:B407"/>
    <mergeCell ref="C407:E407"/>
    <mergeCell ref="F407:H407"/>
    <mergeCell ref="I407:J407"/>
    <mergeCell ref="A408:B408"/>
    <mergeCell ref="C408:G408"/>
    <mergeCell ref="B403:C403"/>
    <mergeCell ref="D403:E403"/>
    <mergeCell ref="F403:J403"/>
    <mergeCell ref="A406:B406"/>
    <mergeCell ref="C406:E406"/>
    <mergeCell ref="F406:H406"/>
    <mergeCell ref="I406:J406"/>
    <mergeCell ref="A419:G419"/>
    <mergeCell ref="A421:B421"/>
    <mergeCell ref="D421:E421"/>
    <mergeCell ref="G421:H421"/>
    <mergeCell ref="I421:J421"/>
    <mergeCell ref="A418:B418"/>
    <mergeCell ref="C418:G418"/>
    <mergeCell ref="A415:B415"/>
    <mergeCell ref="C415:G415"/>
    <mergeCell ref="A416:B416"/>
    <mergeCell ref="C416:G416"/>
    <mergeCell ref="A417:B417"/>
    <mergeCell ref="C417:G417"/>
    <mergeCell ref="A412:B412"/>
    <mergeCell ref="C412:G412"/>
    <mergeCell ref="A413:B413"/>
    <mergeCell ref="C413:G413"/>
    <mergeCell ref="A414:B414"/>
    <mergeCell ref="C414:G414"/>
    <mergeCell ref="A428:B428"/>
    <mergeCell ref="C428:G428"/>
    <mergeCell ref="A429:B429"/>
    <mergeCell ref="C429:G429"/>
    <mergeCell ref="A430:B430"/>
    <mergeCell ref="C430:G430"/>
    <mergeCell ref="A426:B426"/>
    <mergeCell ref="C426:E426"/>
    <mergeCell ref="F426:H426"/>
    <mergeCell ref="I426:J426"/>
    <mergeCell ref="A427:B427"/>
    <mergeCell ref="C427:G427"/>
    <mergeCell ref="B422:C422"/>
    <mergeCell ref="D422:E422"/>
    <mergeCell ref="F422:J422"/>
    <mergeCell ref="A425:B425"/>
    <mergeCell ref="C425:E425"/>
    <mergeCell ref="F425:H425"/>
    <mergeCell ref="I425:J425"/>
    <mergeCell ref="A438:G438"/>
    <mergeCell ref="A440:B440"/>
    <mergeCell ref="D440:E440"/>
    <mergeCell ref="G440:H440"/>
    <mergeCell ref="I440:J440"/>
    <mergeCell ref="A437:B437"/>
    <mergeCell ref="C437:G437"/>
    <mergeCell ref="A434:B434"/>
    <mergeCell ref="C434:G434"/>
    <mergeCell ref="A435:B435"/>
    <mergeCell ref="C435:G435"/>
    <mergeCell ref="A436:B436"/>
    <mergeCell ref="C436:G436"/>
    <mergeCell ref="A431:B431"/>
    <mergeCell ref="C431:G431"/>
    <mergeCell ref="A432:B432"/>
    <mergeCell ref="C432:G432"/>
    <mergeCell ref="A433:B433"/>
    <mergeCell ref="C433:G433"/>
    <mergeCell ref="A447:B447"/>
    <mergeCell ref="C447:G447"/>
    <mergeCell ref="A448:B448"/>
    <mergeCell ref="C448:G448"/>
    <mergeCell ref="A449:B449"/>
    <mergeCell ref="C449:G449"/>
    <mergeCell ref="A445:B445"/>
    <mergeCell ref="C445:E445"/>
    <mergeCell ref="F445:H445"/>
    <mergeCell ref="I445:J445"/>
    <mergeCell ref="A446:B446"/>
    <mergeCell ref="C446:G446"/>
    <mergeCell ref="B441:C441"/>
    <mergeCell ref="D441:E441"/>
    <mergeCell ref="F441:J441"/>
    <mergeCell ref="A444:B444"/>
    <mergeCell ref="C444:E444"/>
    <mergeCell ref="F444:H444"/>
    <mergeCell ref="I444:J444"/>
    <mergeCell ref="A457:G457"/>
    <mergeCell ref="A459:B459"/>
    <mergeCell ref="D459:E459"/>
    <mergeCell ref="G459:H459"/>
    <mergeCell ref="I459:J459"/>
    <mergeCell ref="A456:B456"/>
    <mergeCell ref="C456:G456"/>
    <mergeCell ref="A453:B453"/>
    <mergeCell ref="C453:G453"/>
    <mergeCell ref="A454:B454"/>
    <mergeCell ref="C454:G454"/>
    <mergeCell ref="A455:B455"/>
    <mergeCell ref="C455:G455"/>
    <mergeCell ref="A450:B450"/>
    <mergeCell ref="C450:G450"/>
    <mergeCell ref="A451:B451"/>
    <mergeCell ref="C451:G451"/>
    <mergeCell ref="A452:B452"/>
    <mergeCell ref="C452:G452"/>
    <mergeCell ref="A466:B466"/>
    <mergeCell ref="C466:G466"/>
    <mergeCell ref="A467:B467"/>
    <mergeCell ref="C467:G467"/>
    <mergeCell ref="A468:B468"/>
    <mergeCell ref="C468:G468"/>
    <mergeCell ref="A464:B464"/>
    <mergeCell ref="C464:E464"/>
    <mergeCell ref="F464:H464"/>
    <mergeCell ref="I464:J464"/>
    <mergeCell ref="A465:B465"/>
    <mergeCell ref="C465:G465"/>
    <mergeCell ref="B460:C460"/>
    <mergeCell ref="D460:E460"/>
    <mergeCell ref="F460:J460"/>
    <mergeCell ref="A463:B463"/>
    <mergeCell ref="C463:E463"/>
    <mergeCell ref="F463:H463"/>
    <mergeCell ref="I463:J463"/>
    <mergeCell ref="A476:G476"/>
    <mergeCell ref="A478:B478"/>
    <mergeCell ref="D478:E478"/>
    <mergeCell ref="G478:H478"/>
    <mergeCell ref="I478:J478"/>
    <mergeCell ref="A475:B475"/>
    <mergeCell ref="C475:G475"/>
    <mergeCell ref="A472:B472"/>
    <mergeCell ref="C472:G472"/>
    <mergeCell ref="A473:B473"/>
    <mergeCell ref="C473:G473"/>
    <mergeCell ref="A474:B474"/>
    <mergeCell ref="C474:G474"/>
    <mergeCell ref="A469:B469"/>
    <mergeCell ref="C469:G469"/>
    <mergeCell ref="A470:B470"/>
    <mergeCell ref="C470:G470"/>
    <mergeCell ref="A471:B471"/>
    <mergeCell ref="C471:G471"/>
    <mergeCell ref="A485:B485"/>
    <mergeCell ref="C485:G485"/>
    <mergeCell ref="A486:B486"/>
    <mergeCell ref="C486:G486"/>
    <mergeCell ref="A487:B487"/>
    <mergeCell ref="C487:G487"/>
    <mergeCell ref="A483:B483"/>
    <mergeCell ref="C483:E483"/>
    <mergeCell ref="F483:H483"/>
    <mergeCell ref="I483:J483"/>
    <mergeCell ref="A484:B484"/>
    <mergeCell ref="C484:G484"/>
    <mergeCell ref="B479:C479"/>
    <mergeCell ref="D479:E479"/>
    <mergeCell ref="F479:J479"/>
    <mergeCell ref="A482:B482"/>
    <mergeCell ref="C482:E482"/>
    <mergeCell ref="F482:H482"/>
    <mergeCell ref="I482:J482"/>
    <mergeCell ref="A495:G495"/>
    <mergeCell ref="A497:B497"/>
    <mergeCell ref="D497:E497"/>
    <mergeCell ref="G497:H497"/>
    <mergeCell ref="I497:J497"/>
    <mergeCell ref="A494:B494"/>
    <mergeCell ref="C494:G494"/>
    <mergeCell ref="A491:B491"/>
    <mergeCell ref="C491:G491"/>
    <mergeCell ref="A492:B492"/>
    <mergeCell ref="C492:G492"/>
    <mergeCell ref="A493:B493"/>
    <mergeCell ref="C493:G493"/>
    <mergeCell ref="A488:B488"/>
    <mergeCell ref="C488:G488"/>
    <mergeCell ref="A489:B489"/>
    <mergeCell ref="C489:G489"/>
    <mergeCell ref="A490:B490"/>
    <mergeCell ref="C490:G490"/>
    <mergeCell ref="A504:B504"/>
    <mergeCell ref="C504:G504"/>
    <mergeCell ref="A505:B505"/>
    <mergeCell ref="C505:G505"/>
    <mergeCell ref="A506:B506"/>
    <mergeCell ref="C506:G506"/>
    <mergeCell ref="A502:B502"/>
    <mergeCell ref="C502:E502"/>
    <mergeCell ref="F502:H502"/>
    <mergeCell ref="I502:J502"/>
    <mergeCell ref="A503:B503"/>
    <mergeCell ref="C503:G503"/>
    <mergeCell ref="B498:C498"/>
    <mergeCell ref="D498:E498"/>
    <mergeCell ref="F498:J498"/>
    <mergeCell ref="A501:B501"/>
    <mergeCell ref="C501:E501"/>
    <mergeCell ref="F501:H501"/>
    <mergeCell ref="I501:J501"/>
    <mergeCell ref="A514:G514"/>
    <mergeCell ref="A516:B516"/>
    <mergeCell ref="D516:E516"/>
    <mergeCell ref="G516:H516"/>
    <mergeCell ref="I516:J516"/>
    <mergeCell ref="A513:B513"/>
    <mergeCell ref="C513:G513"/>
    <mergeCell ref="A510:B510"/>
    <mergeCell ref="C510:G510"/>
    <mergeCell ref="A511:B511"/>
    <mergeCell ref="C511:G511"/>
    <mergeCell ref="A512:B512"/>
    <mergeCell ref="C512:G512"/>
    <mergeCell ref="A507:B507"/>
    <mergeCell ref="C507:G507"/>
    <mergeCell ref="A508:B508"/>
    <mergeCell ref="C508:G508"/>
    <mergeCell ref="A509:B509"/>
    <mergeCell ref="C509:G509"/>
    <mergeCell ref="A523:B523"/>
    <mergeCell ref="C523:G523"/>
    <mergeCell ref="A524:B524"/>
    <mergeCell ref="C524:G524"/>
    <mergeCell ref="A525:B525"/>
    <mergeCell ref="C525:G525"/>
    <mergeCell ref="A521:B521"/>
    <mergeCell ref="C521:E521"/>
    <mergeCell ref="F521:H521"/>
    <mergeCell ref="I521:J521"/>
    <mergeCell ref="A522:B522"/>
    <mergeCell ref="C522:G522"/>
    <mergeCell ref="B517:C517"/>
    <mergeCell ref="D517:E517"/>
    <mergeCell ref="F517:J517"/>
    <mergeCell ref="A520:B520"/>
    <mergeCell ref="C520:E520"/>
    <mergeCell ref="F520:H520"/>
    <mergeCell ref="I520:J520"/>
    <mergeCell ref="A533:G533"/>
    <mergeCell ref="A535:B535"/>
    <mergeCell ref="D535:E535"/>
    <mergeCell ref="G535:H535"/>
    <mergeCell ref="I535:J535"/>
    <mergeCell ref="A532:B532"/>
    <mergeCell ref="C532:G532"/>
    <mergeCell ref="A529:B529"/>
    <mergeCell ref="C529:G529"/>
    <mergeCell ref="A530:B530"/>
    <mergeCell ref="C530:G530"/>
    <mergeCell ref="A531:B531"/>
    <mergeCell ref="C531:G531"/>
    <mergeCell ref="A526:B526"/>
    <mergeCell ref="C526:G526"/>
    <mergeCell ref="A527:B527"/>
    <mergeCell ref="C527:G527"/>
    <mergeCell ref="A528:B528"/>
    <mergeCell ref="C528:G528"/>
    <mergeCell ref="A542:B542"/>
    <mergeCell ref="C542:G542"/>
    <mergeCell ref="A543:B543"/>
    <mergeCell ref="C543:G543"/>
    <mergeCell ref="A544:B544"/>
    <mergeCell ref="C544:G544"/>
    <mergeCell ref="A540:B540"/>
    <mergeCell ref="C540:E540"/>
    <mergeCell ref="F540:H540"/>
    <mergeCell ref="I540:J540"/>
    <mergeCell ref="A541:B541"/>
    <mergeCell ref="C541:G541"/>
    <mergeCell ref="B536:C536"/>
    <mergeCell ref="D536:E536"/>
    <mergeCell ref="F536:J536"/>
    <mergeCell ref="A539:B539"/>
    <mergeCell ref="C539:E539"/>
    <mergeCell ref="F539:H539"/>
    <mergeCell ref="I539:J539"/>
    <mergeCell ref="A552:G552"/>
    <mergeCell ref="A554:B554"/>
    <mergeCell ref="D554:E554"/>
    <mergeCell ref="G554:H554"/>
    <mergeCell ref="I554:J554"/>
    <mergeCell ref="A551:B551"/>
    <mergeCell ref="C551:G551"/>
    <mergeCell ref="A548:B548"/>
    <mergeCell ref="C548:G548"/>
    <mergeCell ref="A549:B549"/>
    <mergeCell ref="C549:G549"/>
    <mergeCell ref="A550:B550"/>
    <mergeCell ref="C550:G550"/>
    <mergeCell ref="A545:B545"/>
    <mergeCell ref="C545:G545"/>
    <mergeCell ref="A546:B546"/>
    <mergeCell ref="C546:G546"/>
    <mergeCell ref="A547:B547"/>
    <mergeCell ref="C547:G547"/>
    <mergeCell ref="A561:B561"/>
    <mergeCell ref="C561:G561"/>
    <mergeCell ref="A562:B562"/>
    <mergeCell ref="C562:G562"/>
    <mergeCell ref="A563:B563"/>
    <mergeCell ref="C563:G563"/>
    <mergeCell ref="A559:B559"/>
    <mergeCell ref="C559:E559"/>
    <mergeCell ref="F559:H559"/>
    <mergeCell ref="I559:J559"/>
    <mergeCell ref="A560:B560"/>
    <mergeCell ref="C560:G560"/>
    <mergeCell ref="B555:C555"/>
    <mergeCell ref="D555:E555"/>
    <mergeCell ref="F555:J555"/>
    <mergeCell ref="A558:B558"/>
    <mergeCell ref="C558:E558"/>
    <mergeCell ref="F558:H558"/>
    <mergeCell ref="I558:J558"/>
    <mergeCell ref="A571:G571"/>
    <mergeCell ref="A573:B573"/>
    <mergeCell ref="D573:E573"/>
    <mergeCell ref="G573:H573"/>
    <mergeCell ref="I573:J573"/>
    <mergeCell ref="A570:B570"/>
    <mergeCell ref="C570:G570"/>
    <mergeCell ref="A567:B567"/>
    <mergeCell ref="C567:G567"/>
    <mergeCell ref="A568:B568"/>
    <mergeCell ref="C568:G568"/>
    <mergeCell ref="A569:B569"/>
    <mergeCell ref="C569:G569"/>
    <mergeCell ref="A564:B564"/>
    <mergeCell ref="C564:G564"/>
    <mergeCell ref="A565:B565"/>
    <mergeCell ref="C565:G565"/>
    <mergeCell ref="A566:B566"/>
    <mergeCell ref="C566:G566"/>
    <mergeCell ref="A580:B580"/>
    <mergeCell ref="C580:G580"/>
    <mergeCell ref="A581:B581"/>
    <mergeCell ref="C581:G581"/>
    <mergeCell ref="A582:B582"/>
    <mergeCell ref="C582:G582"/>
    <mergeCell ref="A578:B578"/>
    <mergeCell ref="C578:E578"/>
    <mergeCell ref="F578:H578"/>
    <mergeCell ref="I578:J578"/>
    <mergeCell ref="A579:B579"/>
    <mergeCell ref="C579:G579"/>
    <mergeCell ref="B574:C574"/>
    <mergeCell ref="D574:E574"/>
    <mergeCell ref="F574:J574"/>
    <mergeCell ref="A577:B577"/>
    <mergeCell ref="C577:E577"/>
    <mergeCell ref="F577:H577"/>
    <mergeCell ref="I577:J577"/>
    <mergeCell ref="A590:G590"/>
    <mergeCell ref="A592:B592"/>
    <mergeCell ref="D592:E592"/>
    <mergeCell ref="G592:H592"/>
    <mergeCell ref="I592:J592"/>
    <mergeCell ref="A589:B589"/>
    <mergeCell ref="C589:G589"/>
    <mergeCell ref="A586:B586"/>
    <mergeCell ref="C586:G586"/>
    <mergeCell ref="A587:B587"/>
    <mergeCell ref="C587:G587"/>
    <mergeCell ref="A588:B588"/>
    <mergeCell ref="C588:G588"/>
    <mergeCell ref="A583:B583"/>
    <mergeCell ref="C583:G583"/>
    <mergeCell ref="A584:B584"/>
    <mergeCell ref="C584:G584"/>
    <mergeCell ref="A585:B585"/>
    <mergeCell ref="C585:G585"/>
    <mergeCell ref="A599:B599"/>
    <mergeCell ref="C599:G599"/>
    <mergeCell ref="A600:B600"/>
    <mergeCell ref="C600:G600"/>
    <mergeCell ref="A601:B601"/>
    <mergeCell ref="C601:G601"/>
    <mergeCell ref="A597:B597"/>
    <mergeCell ref="C597:E597"/>
    <mergeCell ref="F597:H597"/>
    <mergeCell ref="I597:J597"/>
    <mergeCell ref="A598:B598"/>
    <mergeCell ref="C598:G598"/>
    <mergeCell ref="B593:C593"/>
    <mergeCell ref="D593:E593"/>
    <mergeCell ref="F593:J593"/>
    <mergeCell ref="A596:B596"/>
    <mergeCell ref="C596:E596"/>
    <mergeCell ref="F596:H596"/>
    <mergeCell ref="I596:J596"/>
    <mergeCell ref="A609:G609"/>
    <mergeCell ref="A611:B611"/>
    <mergeCell ref="D611:E611"/>
    <mergeCell ref="G611:H611"/>
    <mergeCell ref="I611:J611"/>
    <mergeCell ref="A608:B608"/>
    <mergeCell ref="C608:G608"/>
    <mergeCell ref="A605:B605"/>
    <mergeCell ref="C605:G605"/>
    <mergeCell ref="A606:B606"/>
    <mergeCell ref="C606:G606"/>
    <mergeCell ref="A607:B607"/>
    <mergeCell ref="C607:G607"/>
    <mergeCell ref="A602:B602"/>
    <mergeCell ref="C602:G602"/>
    <mergeCell ref="A603:B603"/>
    <mergeCell ref="C603:G603"/>
    <mergeCell ref="A604:B604"/>
    <mergeCell ref="C604:G604"/>
    <mergeCell ref="A618:B618"/>
    <mergeCell ref="C618:G618"/>
    <mergeCell ref="A619:B619"/>
    <mergeCell ref="C619:G619"/>
    <mergeCell ref="A620:B620"/>
    <mergeCell ref="C620:G620"/>
    <mergeCell ref="A616:B616"/>
    <mergeCell ref="C616:E616"/>
    <mergeCell ref="F616:H616"/>
    <mergeCell ref="I616:J616"/>
    <mergeCell ref="A617:B617"/>
    <mergeCell ref="C617:G617"/>
    <mergeCell ref="B612:C612"/>
    <mergeCell ref="D612:E612"/>
    <mergeCell ref="F612:J612"/>
    <mergeCell ref="A615:B615"/>
    <mergeCell ref="C615:E615"/>
    <mergeCell ref="F615:H615"/>
    <mergeCell ref="I615:J615"/>
    <mergeCell ref="A628:G628"/>
    <mergeCell ref="A630:B630"/>
    <mergeCell ref="D630:E630"/>
    <mergeCell ref="G630:H630"/>
    <mergeCell ref="I630:J630"/>
    <mergeCell ref="A627:B627"/>
    <mergeCell ref="C627:G627"/>
    <mergeCell ref="A624:B624"/>
    <mergeCell ref="C624:G624"/>
    <mergeCell ref="A625:B625"/>
    <mergeCell ref="C625:G625"/>
    <mergeCell ref="A626:B626"/>
    <mergeCell ref="C626:G626"/>
    <mergeCell ref="A621:B621"/>
    <mergeCell ref="C621:G621"/>
    <mergeCell ref="A622:B622"/>
    <mergeCell ref="C622:G622"/>
    <mergeCell ref="A623:B623"/>
    <mergeCell ref="C623:G623"/>
    <mergeCell ref="A637:B637"/>
    <mergeCell ref="C637:G637"/>
    <mergeCell ref="A638:B638"/>
    <mergeCell ref="C638:G638"/>
    <mergeCell ref="A639:B639"/>
    <mergeCell ref="C639:G639"/>
    <mergeCell ref="A635:B635"/>
    <mergeCell ref="C635:E635"/>
    <mergeCell ref="F635:H635"/>
    <mergeCell ref="I635:J635"/>
    <mergeCell ref="A636:B636"/>
    <mergeCell ref="C636:G636"/>
    <mergeCell ref="B631:C631"/>
    <mergeCell ref="D631:E631"/>
    <mergeCell ref="F631:J631"/>
    <mergeCell ref="A634:B634"/>
    <mergeCell ref="C634:E634"/>
    <mergeCell ref="F634:H634"/>
    <mergeCell ref="I634:J634"/>
    <mergeCell ref="A647:G647"/>
    <mergeCell ref="A649:B649"/>
    <mergeCell ref="D649:E649"/>
    <mergeCell ref="G649:H649"/>
    <mergeCell ref="I649:J649"/>
    <mergeCell ref="A646:B646"/>
    <mergeCell ref="C646:G646"/>
    <mergeCell ref="A643:B643"/>
    <mergeCell ref="C643:G643"/>
    <mergeCell ref="A644:B644"/>
    <mergeCell ref="C644:G644"/>
    <mergeCell ref="A645:B645"/>
    <mergeCell ref="C645:G645"/>
    <mergeCell ref="A640:B640"/>
    <mergeCell ref="C640:G640"/>
    <mergeCell ref="A641:B641"/>
    <mergeCell ref="C641:G641"/>
    <mergeCell ref="A642:B642"/>
    <mergeCell ref="C642:G642"/>
    <mergeCell ref="A656:B656"/>
    <mergeCell ref="C656:G656"/>
    <mergeCell ref="A657:B657"/>
    <mergeCell ref="C657:G657"/>
    <mergeCell ref="A658:B658"/>
    <mergeCell ref="C658:G658"/>
    <mergeCell ref="A654:B654"/>
    <mergeCell ref="C654:E654"/>
    <mergeCell ref="F654:H654"/>
    <mergeCell ref="I654:J654"/>
    <mergeCell ref="A655:B655"/>
    <mergeCell ref="C655:G655"/>
    <mergeCell ref="B650:C650"/>
    <mergeCell ref="D650:E650"/>
    <mergeCell ref="F650:J650"/>
    <mergeCell ref="A653:B653"/>
    <mergeCell ref="C653:E653"/>
    <mergeCell ref="F653:H653"/>
    <mergeCell ref="I653:J653"/>
    <mergeCell ref="A666:G666"/>
    <mergeCell ref="A668:B668"/>
    <mergeCell ref="D668:E668"/>
    <mergeCell ref="G668:H668"/>
    <mergeCell ref="I668:J668"/>
    <mergeCell ref="A665:B665"/>
    <mergeCell ref="C665:G665"/>
    <mergeCell ref="A662:B662"/>
    <mergeCell ref="C662:G662"/>
    <mergeCell ref="A663:B663"/>
    <mergeCell ref="C663:G663"/>
    <mergeCell ref="A664:B664"/>
    <mergeCell ref="C664:G664"/>
    <mergeCell ref="A659:B659"/>
    <mergeCell ref="C659:G659"/>
    <mergeCell ref="A660:B660"/>
    <mergeCell ref="C660:G660"/>
    <mergeCell ref="A661:B661"/>
    <mergeCell ref="C661:G661"/>
    <mergeCell ref="A675:B675"/>
    <mergeCell ref="C675:G675"/>
    <mergeCell ref="A676:B676"/>
    <mergeCell ref="C676:G676"/>
    <mergeCell ref="A677:B677"/>
    <mergeCell ref="C677:G677"/>
    <mergeCell ref="A673:B673"/>
    <mergeCell ref="C673:E673"/>
    <mergeCell ref="F673:H673"/>
    <mergeCell ref="I673:J673"/>
    <mergeCell ref="A674:B674"/>
    <mergeCell ref="C674:G674"/>
    <mergeCell ref="B669:C669"/>
    <mergeCell ref="D669:E669"/>
    <mergeCell ref="F669:J669"/>
    <mergeCell ref="A672:B672"/>
    <mergeCell ref="C672:E672"/>
    <mergeCell ref="F672:H672"/>
    <mergeCell ref="I672:J672"/>
    <mergeCell ref="A685:G685"/>
    <mergeCell ref="A687:B687"/>
    <mergeCell ref="D687:E687"/>
    <mergeCell ref="G687:H687"/>
    <mergeCell ref="I687:J687"/>
    <mergeCell ref="A684:B684"/>
    <mergeCell ref="C684:G684"/>
    <mergeCell ref="A681:B681"/>
    <mergeCell ref="C681:G681"/>
    <mergeCell ref="A682:B682"/>
    <mergeCell ref="C682:G682"/>
    <mergeCell ref="A683:B683"/>
    <mergeCell ref="C683:G683"/>
    <mergeCell ref="A678:B678"/>
    <mergeCell ref="C678:G678"/>
    <mergeCell ref="A679:B679"/>
    <mergeCell ref="C679:G679"/>
    <mergeCell ref="A680:B680"/>
    <mergeCell ref="C680:G680"/>
    <mergeCell ref="A694:B694"/>
    <mergeCell ref="C694:G694"/>
    <mergeCell ref="A695:B695"/>
    <mergeCell ref="C695:G695"/>
    <mergeCell ref="A696:B696"/>
    <mergeCell ref="C696:G696"/>
    <mergeCell ref="A692:B692"/>
    <mergeCell ref="C692:E692"/>
    <mergeCell ref="F692:H692"/>
    <mergeCell ref="I692:J692"/>
    <mergeCell ref="A693:B693"/>
    <mergeCell ref="C693:G693"/>
    <mergeCell ref="B688:C688"/>
    <mergeCell ref="D688:E688"/>
    <mergeCell ref="F688:J688"/>
    <mergeCell ref="A691:B691"/>
    <mergeCell ref="C691:E691"/>
    <mergeCell ref="F691:H691"/>
    <mergeCell ref="I691:J691"/>
    <mergeCell ref="A704:G704"/>
    <mergeCell ref="A706:B706"/>
    <mergeCell ref="D706:E706"/>
    <mergeCell ref="G706:H706"/>
    <mergeCell ref="I706:J706"/>
    <mergeCell ref="A703:B703"/>
    <mergeCell ref="C703:G703"/>
    <mergeCell ref="A700:B700"/>
    <mergeCell ref="C700:G700"/>
    <mergeCell ref="A701:B701"/>
    <mergeCell ref="C701:G701"/>
    <mergeCell ref="A702:B702"/>
    <mergeCell ref="C702:G702"/>
    <mergeCell ref="A697:B697"/>
    <mergeCell ref="C697:G697"/>
    <mergeCell ref="A698:B698"/>
    <mergeCell ref="C698:G698"/>
    <mergeCell ref="A699:B699"/>
    <mergeCell ref="C699:G699"/>
    <mergeCell ref="A713:B713"/>
    <mergeCell ref="C713:G713"/>
    <mergeCell ref="A714:B714"/>
    <mergeCell ref="C714:G714"/>
    <mergeCell ref="A715:B715"/>
    <mergeCell ref="C715:G715"/>
    <mergeCell ref="A711:B711"/>
    <mergeCell ref="C711:E711"/>
    <mergeCell ref="F711:H711"/>
    <mergeCell ref="I711:J711"/>
    <mergeCell ref="A712:B712"/>
    <mergeCell ref="C712:G712"/>
    <mergeCell ref="B707:C707"/>
    <mergeCell ref="D707:E707"/>
    <mergeCell ref="F707:J707"/>
    <mergeCell ref="A710:B710"/>
    <mergeCell ref="C710:E710"/>
    <mergeCell ref="F710:H710"/>
    <mergeCell ref="I710:J710"/>
    <mergeCell ref="A723:G723"/>
    <mergeCell ref="A725:B725"/>
    <mergeCell ref="D725:E725"/>
    <mergeCell ref="G725:H725"/>
    <mergeCell ref="I725:J725"/>
    <mergeCell ref="A722:B722"/>
    <mergeCell ref="C722:G722"/>
    <mergeCell ref="A719:B719"/>
    <mergeCell ref="C719:G719"/>
    <mergeCell ref="A720:B720"/>
    <mergeCell ref="C720:G720"/>
    <mergeCell ref="A721:B721"/>
    <mergeCell ref="C721:G721"/>
    <mergeCell ref="A716:B716"/>
    <mergeCell ref="C716:G716"/>
    <mergeCell ref="A717:B717"/>
    <mergeCell ref="C717:G717"/>
    <mergeCell ref="A718:B718"/>
    <mergeCell ref="C718:G718"/>
    <mergeCell ref="A732:B732"/>
    <mergeCell ref="C732:G732"/>
    <mergeCell ref="A733:B733"/>
    <mergeCell ref="C733:G733"/>
    <mergeCell ref="A734:B734"/>
    <mergeCell ref="C734:G734"/>
    <mergeCell ref="A730:B730"/>
    <mergeCell ref="C730:E730"/>
    <mergeCell ref="F730:H730"/>
    <mergeCell ref="I730:J730"/>
    <mergeCell ref="A731:B731"/>
    <mergeCell ref="C731:G731"/>
    <mergeCell ref="B726:C726"/>
    <mergeCell ref="D726:E726"/>
    <mergeCell ref="F726:J726"/>
    <mergeCell ref="A729:B729"/>
    <mergeCell ref="C729:E729"/>
    <mergeCell ref="F729:H729"/>
    <mergeCell ref="I729:J729"/>
    <mergeCell ref="A742:G742"/>
    <mergeCell ref="A744:B744"/>
    <mergeCell ref="D744:E744"/>
    <mergeCell ref="G744:H744"/>
    <mergeCell ref="I744:J744"/>
    <mergeCell ref="A741:B741"/>
    <mergeCell ref="C741:G741"/>
    <mergeCell ref="A738:B738"/>
    <mergeCell ref="C738:G738"/>
    <mergeCell ref="A739:B739"/>
    <mergeCell ref="C739:G739"/>
    <mergeCell ref="A740:B740"/>
    <mergeCell ref="C740:G740"/>
    <mergeCell ref="A735:B735"/>
    <mergeCell ref="C735:G735"/>
    <mergeCell ref="A736:B736"/>
    <mergeCell ref="C736:G736"/>
    <mergeCell ref="A737:B737"/>
    <mergeCell ref="C737:G737"/>
    <mergeCell ref="A751:B751"/>
    <mergeCell ref="C751:G751"/>
    <mergeCell ref="A752:B752"/>
    <mergeCell ref="C752:G752"/>
    <mergeCell ref="A753:B753"/>
    <mergeCell ref="C753:G753"/>
    <mergeCell ref="A749:B749"/>
    <mergeCell ref="C749:E749"/>
    <mergeCell ref="F749:H749"/>
    <mergeCell ref="I749:J749"/>
    <mergeCell ref="A750:B750"/>
    <mergeCell ref="C750:G750"/>
    <mergeCell ref="B745:C745"/>
    <mergeCell ref="D745:E745"/>
    <mergeCell ref="F745:J745"/>
    <mergeCell ref="A748:B748"/>
    <mergeCell ref="C748:E748"/>
    <mergeCell ref="F748:H748"/>
    <mergeCell ref="I748:J748"/>
    <mergeCell ref="B764:C764"/>
    <mergeCell ref="D764:E764"/>
    <mergeCell ref="F764:J764"/>
    <mergeCell ref="A761:G761"/>
    <mergeCell ref="A763:B763"/>
    <mergeCell ref="D763:E763"/>
    <mergeCell ref="G763:H763"/>
    <mergeCell ref="I763:J763"/>
    <mergeCell ref="A760:B760"/>
    <mergeCell ref="C760:G760"/>
    <mergeCell ref="A757:B757"/>
    <mergeCell ref="C757:G757"/>
    <mergeCell ref="A758:B758"/>
    <mergeCell ref="C758:G758"/>
    <mergeCell ref="A759:B759"/>
    <mergeCell ref="C759:G759"/>
    <mergeCell ref="A754:B754"/>
    <mergeCell ref="C754:G754"/>
    <mergeCell ref="A755:B755"/>
    <mergeCell ref="C755:G755"/>
    <mergeCell ref="A756:B756"/>
    <mergeCell ref="C756:G756"/>
  </mergeCells>
  <conditionalFormatting sqref="I1:I23 I26:I42 I45:I61 I64:I80 I83:I99 I102:I118 I121:I137 I140:I156 I159:I175 I178:I194 I197:I213 I216:I232 I235:I251 I254:I270 I273:I289 I292:I308 I311:I327 I330:I346 I349:I365 I368:I384 I387:I403 I406:I422 I425:I441 I444:I460 I463:I479 I482:I498 I501:I517 I520:I536 I539:I555 I558:I574 I577:I593 I596:I612 I615:I631 I634:I650 I653:I669 I672:I688 I691:I707 I710:I726 I729:I745 I748:I764">
    <cfRule type="containsText" dxfId="14" priority="199" operator="containsText" text="Dt">
      <formula>NOT(ISERROR(SEARCH("Dt",I1)))</formula>
    </cfRule>
    <cfRule type="containsText" dxfId="13" priority="200" operator="containsText" text="Ab">
      <formula>NOT(ISERROR(SEARCH("Ab",I1)))</formula>
    </cfRule>
    <cfRule type="containsText" dxfId="12" priority="201" operator="containsText" text="F">
      <formula>NOT(ISERROR(SEARCH("F",I1)))</formula>
    </cfRule>
  </conditionalFormatting>
  <printOptions horizontalCentered="1"/>
  <pageMargins left="0.31496062992126" right="0.31496062992126" top="0.85433070899999997" bottom="0.35433070866141703" header="0.36811023599999998" footer="0.31496062992126"/>
  <pageSetup paperSize="9" scale="98" orientation="portrait" r:id="rId1"/>
  <headerFooter>
    <oddHeader>&amp;C&amp;G&amp;R&amp;"Times New Roman,Bold"&amp;12&amp;USl. No.: MCA/2024-26/20&amp;P</oddHeader>
    <oddFooter xml:space="preserve">&amp;L&amp;"Times New Roman,Bold"&amp;12Prepared by                           Checked by
23.08.2025&amp;C&amp;"Times New Roman,Bold"&amp;12                                                  Examination Controller
&amp;R&amp;"Times New Roman,Bold"&amp;12Director
</oddFooter>
  </headerFooter>
  <rowBreaks count="40" manualBreakCount="40">
    <brk id="25" max="16383" man="1"/>
    <brk id="44" max="16383" man="1"/>
    <brk id="63" max="16383" man="1"/>
    <brk id="82" max="16383" man="1"/>
    <brk id="101" max="16383" man="1"/>
    <brk id="120" max="16383" man="1"/>
    <brk id="139" max="16383" man="1"/>
    <brk id="158" max="16383" man="1"/>
    <brk id="177" max="16383" man="1"/>
    <brk id="196" max="16383" man="1"/>
    <brk id="215" max="16383" man="1"/>
    <brk id="234" max="16383" man="1"/>
    <brk id="253" max="16383" man="1"/>
    <brk id="272" max="16383" man="1"/>
    <brk id="291" max="16383" man="1"/>
    <brk id="310" max="16383" man="1"/>
    <brk id="329" max="16383" man="1"/>
    <brk id="348" max="16383" man="1"/>
    <brk id="367" max="16383" man="1"/>
    <brk id="386" max="16383" man="1"/>
    <brk id="405" max="16383" man="1"/>
    <brk id="424" max="16383" man="1"/>
    <brk id="443" max="16383" man="1"/>
    <brk id="462" max="16383" man="1"/>
    <brk id="481" max="16383" man="1"/>
    <brk id="500" max="16383" man="1"/>
    <brk id="519" max="16383" man="1"/>
    <brk id="538" max="16383" man="1"/>
    <brk id="557" max="16383" man="1"/>
    <brk id="576" max="16383" man="1"/>
    <brk id="595" max="16383" man="1"/>
    <brk id="614" max="16383" man="1"/>
    <brk id="633" max="16383" man="1"/>
    <brk id="652" max="16383" man="1"/>
    <brk id="671" max="16383" man="1"/>
    <brk id="690" max="16383" man="1"/>
    <brk id="709" max="16383" man="1"/>
    <brk id="728" max="16383" man="1"/>
    <brk id="747" max="16383" man="1"/>
    <brk id="766" max="16383" man="1"/>
  </rowBreaks>
  <colBreaks count="1" manualBreakCount="1">
    <brk id="10" max="1048575" man="1"/>
  </col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E1AA-2CF3-4BFD-8A67-3AE624603FB8}">
  <dimension ref="A1:J652"/>
  <sheetViews>
    <sheetView view="pageLayout" topLeftCell="A28" zoomScaleNormal="100" workbookViewId="0">
      <selection activeCell="F22" sqref="F22"/>
    </sheetView>
  </sheetViews>
  <sheetFormatPr baseColWidth="10" defaultColWidth="8.83203125" defaultRowHeight="28" customHeight="1" x14ac:dyDescent="0.2"/>
  <sheetData>
    <row r="1" spans="1:10" ht="28" customHeight="1" x14ac:dyDescent="0.2">
      <c r="A1" s="123" t="s">
        <v>151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28" customHeight="1" x14ac:dyDescent="0.2">
      <c r="A2" s="124" t="s">
        <v>20</v>
      </c>
      <c r="B2" s="124"/>
      <c r="C2" s="124"/>
      <c r="D2" s="124"/>
      <c r="E2" s="124"/>
      <c r="F2" s="124"/>
      <c r="G2" s="124"/>
      <c r="H2" s="124"/>
      <c r="I2" s="124"/>
      <c r="J2" s="124"/>
    </row>
    <row r="3" spans="1:10" ht="28" customHeight="1" x14ac:dyDescent="0.2">
      <c r="A3" s="125" t="s">
        <v>152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28" customHeight="1" x14ac:dyDescent="0.2">
      <c r="A4" s="13"/>
      <c r="B4" s="126" t="s">
        <v>49</v>
      </c>
      <c r="C4" s="126"/>
      <c r="D4" s="126"/>
      <c r="E4" s="126"/>
      <c r="F4" s="126"/>
      <c r="G4" s="126"/>
      <c r="H4" s="126"/>
      <c r="I4" s="126"/>
      <c r="J4" s="13"/>
    </row>
    <row r="5" spans="1:10" ht="28" customHeight="1" x14ac:dyDescent="0.2">
      <c r="A5" s="14"/>
      <c r="B5" s="127" t="s">
        <v>245</v>
      </c>
      <c r="C5" s="127"/>
      <c r="D5" s="127"/>
      <c r="E5" s="127"/>
      <c r="F5" s="127"/>
      <c r="G5" s="127"/>
      <c r="H5" s="127"/>
      <c r="I5" s="127"/>
      <c r="J5" s="14"/>
    </row>
    <row r="6" spans="1:10" ht="28" customHeight="1" x14ac:dyDescent="0.2">
      <c r="B6" s="127"/>
      <c r="C6" s="127"/>
      <c r="D6" s="127"/>
      <c r="E6" s="127"/>
      <c r="F6" s="127"/>
      <c r="G6" s="127"/>
      <c r="H6" s="127"/>
      <c r="I6" s="127"/>
      <c r="J6" s="14"/>
    </row>
    <row r="7" spans="1:10" ht="28" customHeight="1" x14ac:dyDescent="0.2">
      <c r="A7" s="112" t="s">
        <v>24</v>
      </c>
      <c r="B7" s="112"/>
      <c r="C7" s="112" t="str">
        <f ca="1">INDIRECT(_xlfn.TEXTJOIN("",TRUE,A22,"!",ADDRESS(9+(A23-1)*A19,2)))</f>
        <v>ALOK NEGI</v>
      </c>
      <c r="D7" s="112"/>
      <c r="E7" s="112"/>
      <c r="F7" s="112" t="s">
        <v>50</v>
      </c>
      <c r="G7" s="112"/>
      <c r="H7" s="112"/>
      <c r="I7" s="113">
        <f ca="1">INDIRECT(_xlfn.TEXTJOIN("",TRUE,A22,"!",ADDRESS(9+(A23-1)*A19,9)))</f>
        <v>240090600001</v>
      </c>
      <c r="J7" s="113"/>
    </row>
    <row r="8" spans="1:10" ht="28" customHeight="1" x14ac:dyDescent="0.2">
      <c r="A8" s="112" t="s">
        <v>25</v>
      </c>
      <c r="B8" s="112"/>
      <c r="C8" s="112" t="str">
        <f ca="1">INDIRECT(_xlfn.TEXTJOIN("",TRUE,A22,"!",ADDRESS(9+(A23-1)*A19,5)))</f>
        <v>PRATAP SINGH NEGI</v>
      </c>
      <c r="D8" s="112"/>
      <c r="E8" s="112"/>
      <c r="F8" s="114" t="s">
        <v>51</v>
      </c>
      <c r="G8" s="114"/>
      <c r="H8" s="114"/>
      <c r="I8" s="113" t="str">
        <f ca="1">INDIRECT(_xlfn.TEXTJOIN("",TRUE,A22,"!",ADDRESS(9+(A23-1)*A19,13)))</f>
        <v>UTU/2406100187</v>
      </c>
      <c r="J8" s="113"/>
    </row>
    <row r="9" spans="1:10" ht="28" customHeight="1" x14ac:dyDescent="0.2">
      <c r="A9" s="95" t="s">
        <v>28</v>
      </c>
      <c r="B9" s="95"/>
      <c r="C9" s="95" t="s">
        <v>29</v>
      </c>
      <c r="D9" s="95"/>
      <c r="E9" s="95"/>
      <c r="F9" s="95"/>
      <c r="G9" s="95"/>
      <c r="H9" s="15" t="s">
        <v>30</v>
      </c>
      <c r="I9" s="15" t="s">
        <v>9</v>
      </c>
      <c r="J9" s="15" t="s">
        <v>34</v>
      </c>
    </row>
    <row r="10" spans="1:10" ht="28" customHeight="1" x14ac:dyDescent="0.2">
      <c r="A10" s="96" t="str">
        <f ca="1">INDIRECT(_xlfn.TEXTJOIN("",TRUE,A22,"!",ADDRESS(13+(A23-1)*A19,1)))</f>
        <v>CAT  014</v>
      </c>
      <c r="B10" s="97"/>
      <c r="C10" s="106" t="str">
        <f ca="1">INDIRECT(_xlfn.TEXTJOIN("",TRUE,A22,"!",ADDRESS(13+(A23-1)*A19,2)))</f>
        <v>Graph Theory</v>
      </c>
      <c r="D10" s="107"/>
      <c r="E10" s="107"/>
      <c r="F10" s="107"/>
      <c r="G10" s="108"/>
      <c r="H10" s="20">
        <f ca="1">INDIRECT(_xlfn.TEXTJOIN("",TRUE,A22,"!",ADDRESS(13+(A23-1)*A19,6)))</f>
        <v>4</v>
      </c>
      <c r="I10" s="20" t="str">
        <f ca="1">INDIRECT(_xlfn.TEXTJOIN("",TRUE,A22,"!",ADDRESS(13+(A23-1)*A19,13)))</f>
        <v>F</v>
      </c>
      <c r="J10" s="20">
        <f ca="1">INDIRECT(_xlfn.TEXTJOIN("",TRUE,A22,"!",ADDRESS(13+(A23-1)*A19,14)))</f>
        <v>0</v>
      </c>
    </row>
    <row r="11" spans="1:10" ht="28" customHeight="1" x14ac:dyDescent="0.2">
      <c r="A11" s="96" t="str">
        <f ca="1">INDIRECT(_xlfn.TEXTJOIN("",TRUE,A22,"!",ADDRESS(14+(A23-1)*A19,1)))</f>
        <v>CAT 015</v>
      </c>
      <c r="B11" s="97"/>
      <c r="C11" s="106" t="str">
        <f ca="1">INDIRECT(_xlfn.TEXTJOIN("",TRUE,A22,"!",ADDRESS(14+(A23-1)*A19,2)))</f>
        <v>Software Engineering</v>
      </c>
      <c r="D11" s="107"/>
      <c r="E11" s="107"/>
      <c r="F11" s="107"/>
      <c r="G11" s="108"/>
      <c r="H11" s="20">
        <f ca="1">INDIRECT(_xlfn.TEXTJOIN("",TRUE,A22,"!",ADDRESS(14+(A23-1)*A19,6)))</f>
        <v>4</v>
      </c>
      <c r="I11" s="20" t="str">
        <f ca="1">INDIRECT(_xlfn.TEXTJOIN("",TRUE,A22,"!",ADDRESS(14+(A23-1)*A19,13)))</f>
        <v>F</v>
      </c>
      <c r="J11" s="20">
        <f ca="1">INDIRECT(_xlfn.TEXTJOIN("",TRUE,A22,"!",ADDRESS(14+(A23-1)*A19,14)))</f>
        <v>0</v>
      </c>
    </row>
    <row r="12" spans="1:10" ht="28" customHeight="1" x14ac:dyDescent="0.2">
      <c r="A12" s="96" t="str">
        <f ca="1">INDIRECT(_xlfn.TEXTJOIN("",TRUE,A22,"!",ADDRESS(15+(A23-1)*A19,1)))</f>
        <v>Enroll No.</v>
      </c>
      <c r="B12" s="97"/>
      <c r="C12" s="106">
        <f ca="1">INDIRECT(_xlfn.TEXTJOIN("",TRUE,A22,"!",ADDRESS(15+(A23-1)*A19,2)))</f>
        <v>0</v>
      </c>
      <c r="D12" s="107"/>
      <c r="E12" s="107"/>
      <c r="F12" s="107"/>
      <c r="G12" s="108"/>
      <c r="H12" s="20">
        <f ca="1">INDIRECT(_xlfn.TEXTJOIN("",TRUE,A22,"!",ADDRESS(15+(A23-1)*A19,6)))</f>
        <v>0</v>
      </c>
      <c r="I12" s="20" t="b">
        <f ca="1">INDIRECT(_xlfn.TEXTJOIN("",TRUE,A22,"!",ADDRESS(15+(A23-1)*A19,13)))</f>
        <v>0</v>
      </c>
      <c r="J12" s="20" t="e">
        <f ca="1">INDIRECT(_xlfn.TEXTJOIN("",TRUE,A22,"!",ADDRESS(15+(A23-1)*A19,14)))</f>
        <v>#N/A</v>
      </c>
    </row>
    <row r="13" spans="1:10" ht="28" customHeight="1" x14ac:dyDescent="0.2">
      <c r="A13" s="96" t="str">
        <f ca="1">INDIRECT(_xlfn.TEXTJOIN("",TRUE,A22,"!",ADDRESS(16+(A23-1)*A19,1)))</f>
        <v>Enroll No.</v>
      </c>
      <c r="B13" s="97"/>
      <c r="C13" s="106">
        <f ca="1">INDIRECT(_xlfn.TEXTJOIN("",TRUE,A22,"!",ADDRESS(16+(A23-1)*A19,2)))</f>
        <v>0</v>
      </c>
      <c r="D13" s="107"/>
      <c r="E13" s="107"/>
      <c r="F13" s="107"/>
      <c r="G13" s="108"/>
      <c r="H13" s="20">
        <f ca="1">INDIRECT(_xlfn.TEXTJOIN("",TRUE,A22,"!",ADDRESS(16+(A23-1)*A19,6)))</f>
        <v>0</v>
      </c>
      <c r="I13" s="20" t="b">
        <f ca="1">INDIRECT(_xlfn.TEXTJOIN("",TRUE,A22,"!",ADDRESS(16+(A23-1)*A19,13)))</f>
        <v>0</v>
      </c>
      <c r="J13" s="20" t="e">
        <f ca="1">INDIRECT(_xlfn.TEXTJOIN("",TRUE,A22,"!",ADDRESS(16+(A23-1)*A19,14)))</f>
        <v>#N/A</v>
      </c>
    </row>
    <row r="14" spans="1:10" ht="28" customHeight="1" x14ac:dyDescent="0.2">
      <c r="A14" s="96" t="str">
        <f ca="1">INDIRECT(_xlfn.TEXTJOIN("",TRUE,A22,"!",ADDRESS(17+(A23-1)*A19,1)))</f>
        <v>AHT 310</v>
      </c>
      <c r="B14" s="97"/>
      <c r="C14" s="106" t="str">
        <f ca="1">INDIRECT(_xlfn.TEXTJOIN("",TRUE,A22,"!",ADDRESS(17+(A23-1)*A19,2)))</f>
        <v>Universal Human Value</v>
      </c>
      <c r="D14" s="107"/>
      <c r="E14" s="107"/>
      <c r="F14" s="107"/>
      <c r="G14" s="108"/>
      <c r="H14" s="20">
        <f ca="1">INDIRECT(_xlfn.TEXTJOIN("",TRUE,A22,"!",ADDRESS(17+(A23-1)*A19,6)))</f>
        <v>3</v>
      </c>
      <c r="I14" s="20" t="str">
        <f ca="1">INDIRECT(_xlfn.TEXTJOIN("",TRUE,A22,"!",ADDRESS(17+(A23-1)*A19,13)))</f>
        <v>F</v>
      </c>
      <c r="J14" s="20">
        <f ca="1">INDIRECT(_xlfn.TEXTJOIN("",TRUE,A22,"!",ADDRESS(17+(A23-1)*A19,14)))</f>
        <v>0</v>
      </c>
    </row>
    <row r="15" spans="1:10" ht="28" customHeight="1" x14ac:dyDescent="0.2">
      <c r="A15" s="96" t="str">
        <f ca="1">INDIRECT(_xlfn.TEXTJOIN("",TRUE,A22,"!",ADDRESS(18+(A23-1)*A19,1)))</f>
        <v>CAP 008</v>
      </c>
      <c r="B15" s="97"/>
      <c r="C15" s="106" t="str">
        <f ca="1">INDIRECT(_xlfn.TEXTJOIN("",TRUE,A22,"!",ADDRESS(18+(A23-1)*A19,2)))</f>
        <v>Software Engineering Lab</v>
      </c>
      <c r="D15" s="107"/>
      <c r="E15" s="107"/>
      <c r="F15" s="107"/>
      <c r="G15" s="108"/>
      <c r="H15" s="20">
        <f ca="1">INDIRECT(_xlfn.TEXTJOIN("",TRUE,A22,"!",ADDRESS(18+(A23-1)*A19,6)))</f>
        <v>1</v>
      </c>
      <c r="I15" s="20" t="str">
        <f ca="1">INDIRECT(_xlfn.TEXTJOIN("",TRUE,A22,"!",ADDRESS(18+(A23-1)*A19,13)))</f>
        <v>F</v>
      </c>
      <c r="J15" s="20">
        <f ca="1">INDIRECT(_xlfn.TEXTJOIN("",TRUE,A22,"!",ADDRESS(18+(A23-1)*A19,14)))</f>
        <v>0</v>
      </c>
    </row>
    <row r="16" spans="1:10" ht="28" customHeight="1" x14ac:dyDescent="0.2">
      <c r="A16" s="96" t="str">
        <f ca="1">INDIRECT(_xlfn.TEXTJOIN("",TRUE,A22,"!",ADDRESS(19+(A23-1)*A19,1)))</f>
        <v>CAP 009</v>
      </c>
      <c r="B16" s="97"/>
      <c r="C16" s="106" t="str">
        <f ca="1">INDIRECT(_xlfn.TEXTJOIN("",TRUE,A22,"!",ADDRESS(19+(A23-1)*A19,2)))</f>
        <v>Seminar</v>
      </c>
      <c r="D16" s="107"/>
      <c r="E16" s="107"/>
      <c r="F16" s="107"/>
      <c r="G16" s="108"/>
      <c r="H16" s="20">
        <f ca="1">INDIRECT(_xlfn.TEXTJOIN("",TRUE,A22,"!",ADDRESS(19+(A23-1)*A19,6)))</f>
        <v>2</v>
      </c>
      <c r="I16" s="20" t="str">
        <f ca="1">INDIRECT(_xlfn.TEXTJOIN("",TRUE,A22,"!",ADDRESS(19+(A23-1)*A19,13)))</f>
        <v>F</v>
      </c>
      <c r="J16" s="20">
        <f ca="1">INDIRECT(_xlfn.TEXTJOIN("",TRUE,A22,"!",ADDRESS(19+(A23-1)*A19,14)))</f>
        <v>0</v>
      </c>
    </row>
    <row r="17" spans="1:10" ht="28" customHeight="1" x14ac:dyDescent="0.2">
      <c r="A17" s="96" t="str">
        <f ca="1">INDIRECT(_xlfn.TEXTJOIN("",TRUE,A22,"!",ADDRESS(20+(A23-1)*A19,1)))</f>
        <v>CAP 010</v>
      </c>
      <c r="B17" s="97"/>
      <c r="C17" s="106" t="str">
        <f ca="1">INDIRECT(_xlfn.TEXTJOIN("",TRUE,A22,"!",ADDRESS(20+(A23-1)*A19,2)))</f>
        <v>Minor Project</v>
      </c>
      <c r="D17" s="107"/>
      <c r="E17" s="107"/>
      <c r="F17" s="107"/>
      <c r="G17" s="108"/>
      <c r="H17" s="20">
        <f ca="1">INDIRECT(_xlfn.TEXTJOIN("",TRUE,A22,"!",ADDRESS(20+(A23-1)*A19,6)))</f>
        <v>2</v>
      </c>
      <c r="I17" s="20" t="str">
        <f ca="1">INDIRECT(_xlfn.TEXTJOIN("",TRUE,A22,"!",ADDRESS(20+(A23-1)*A19,13)))</f>
        <v>F</v>
      </c>
      <c r="J17" s="20">
        <f ca="1">INDIRECT(_xlfn.TEXTJOIN("",TRUE,A22,"!",ADDRESS(20+(A23-1)*A19,14)))</f>
        <v>0</v>
      </c>
    </row>
    <row r="18" spans="1:10" ht="28" customHeight="1" x14ac:dyDescent="0.2">
      <c r="A18" s="118" t="s">
        <v>52</v>
      </c>
      <c r="B18" s="118"/>
      <c r="C18" s="118"/>
      <c r="D18" s="118"/>
      <c r="E18" s="118"/>
      <c r="F18" s="118"/>
      <c r="G18" s="118"/>
      <c r="H18" s="16">
        <f ca="1">SUM(H10:H17)</f>
        <v>16</v>
      </c>
      <c r="I18" s="16" t="s">
        <v>44</v>
      </c>
      <c r="J18" s="16" t="e">
        <f ca="1">SUMPRODUCT(J10:J17,H10:H17)</f>
        <v>#N/A</v>
      </c>
    </row>
    <row r="19" spans="1:10" ht="28" customHeight="1" x14ac:dyDescent="0.2">
      <c r="A19" s="22">
        <f>ROWS(A10:B17)+9</f>
        <v>17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28" customHeight="1" x14ac:dyDescent="0.2">
      <c r="A20" s="120" t="s">
        <v>40</v>
      </c>
      <c r="B20" s="120"/>
      <c r="C20" s="21">
        <f ca="1">INDIRECT(_xlfn.TEXTJOIN("",TRUE,A22,"!",ADDRESS(5+A23*A19,12)))</f>
        <v>0</v>
      </c>
      <c r="D20" s="120" t="s">
        <v>38</v>
      </c>
      <c r="E20" s="120"/>
      <c r="F20" s="18" t="e">
        <f ca="1">INDIRECT(_xlfn.TEXTJOIN("",TRUE,A22,"!",ADDRESS(5+A23*A19,8)))</f>
        <v>#N/A</v>
      </c>
      <c r="G20" s="120" t="s">
        <v>39</v>
      </c>
      <c r="H20" s="120"/>
      <c r="I20" s="109" t="e">
        <f ca="1">INDIRECT(_xlfn.TEXTJOIN("",TRUE,A22,"!",ADDRESS(5+A23*A19,10)))</f>
        <v>#N/A</v>
      </c>
      <c r="J20" s="109"/>
    </row>
    <row r="21" spans="1:10" ht="28" customHeight="1" x14ac:dyDescent="0.2">
      <c r="A21" s="19" t="s">
        <v>36</v>
      </c>
      <c r="B21" s="95" t="e">
        <f ca="1">INDIRECT(_xlfn.TEXTJOIN("",TRUE,A22,"!",ADDRESS(5+A23*A19,2)))</f>
        <v>#N/A</v>
      </c>
      <c r="C21" s="95"/>
      <c r="D21" s="121" t="s">
        <v>37</v>
      </c>
      <c r="E21" s="121"/>
      <c r="F21" s="122" t="e">
        <f ca="1">INDIRECT(_xlfn.TEXTJOIN("",TRUE,A22,"!",ADDRESS(5+A23*A19,5)))</f>
        <v>#N/A</v>
      </c>
      <c r="G21" s="122"/>
      <c r="H21" s="122"/>
      <c r="I21" s="122"/>
      <c r="J21" s="122"/>
    </row>
    <row r="22" spans="1:10" ht="28" customHeight="1" x14ac:dyDescent="0.2">
      <c r="A22" s="22" t="s">
        <v>60</v>
      </c>
    </row>
    <row r="23" spans="1:10" ht="28" customHeight="1" x14ac:dyDescent="0.2">
      <c r="A23" s="22">
        <v>1</v>
      </c>
    </row>
    <row r="24" spans="1:10" ht="28" customHeight="1" x14ac:dyDescent="0.2">
      <c r="A24" s="112" t="s">
        <v>24</v>
      </c>
      <c r="B24" s="112"/>
      <c r="C24" s="112" t="str">
        <f ca="1">INDIRECT(_xlfn.TEXTJOIN("",TRUE,A39,"!",ADDRESS(9+(A40-1)*A36,2)))</f>
        <v>AMAN POKHRIYAL</v>
      </c>
      <c r="D24" s="112"/>
      <c r="E24" s="112"/>
      <c r="F24" s="112" t="s">
        <v>50</v>
      </c>
      <c r="G24" s="112"/>
      <c r="H24" s="112"/>
      <c r="I24" s="113">
        <f ca="1">INDIRECT(_xlfn.TEXTJOIN("",TRUE,A39,"!",ADDRESS(9+(A40-1)*A36,9)))</f>
        <v>240090600002</v>
      </c>
      <c r="J24" s="113"/>
    </row>
    <row r="25" spans="1:10" ht="28" customHeight="1" x14ac:dyDescent="0.2">
      <c r="A25" s="112" t="s">
        <v>25</v>
      </c>
      <c r="B25" s="112"/>
      <c r="C25" s="112" t="str">
        <f ca="1">INDIRECT(_xlfn.TEXTJOIN("",TRUE,A39,"!",ADDRESS(9+(A40-1)*A36,5)))</f>
        <v>VINOD PRASSAD POKHRIYAL</v>
      </c>
      <c r="D25" s="112"/>
      <c r="E25" s="112"/>
      <c r="F25" s="114" t="s">
        <v>51</v>
      </c>
      <c r="G25" s="114"/>
      <c r="H25" s="114"/>
      <c r="I25" s="113" t="str">
        <f ca="1">INDIRECT(_xlfn.TEXTJOIN("",TRUE,A39,"!",ADDRESS(9+(A40-1)*A36,13)))</f>
        <v>UTU/2406100171</v>
      </c>
      <c r="J25" s="113"/>
    </row>
    <row r="26" spans="1:10" ht="28" customHeight="1" x14ac:dyDescent="0.2">
      <c r="A26" s="95" t="s">
        <v>28</v>
      </c>
      <c r="B26" s="95"/>
      <c r="C26" s="95" t="s">
        <v>29</v>
      </c>
      <c r="D26" s="95"/>
      <c r="E26" s="95"/>
      <c r="F26" s="95"/>
      <c r="G26" s="95"/>
      <c r="H26" s="15" t="s">
        <v>30</v>
      </c>
      <c r="I26" s="15" t="s">
        <v>9</v>
      </c>
      <c r="J26" s="15" t="s">
        <v>34</v>
      </c>
    </row>
    <row r="27" spans="1:10" ht="28" customHeight="1" x14ac:dyDescent="0.2">
      <c r="A27" s="96" t="str">
        <f ca="1">INDIRECT(_xlfn.TEXTJOIN("",TRUE,A39,"!",ADDRESS(13+(A40-1)*A36,1)))</f>
        <v>CAT  014</v>
      </c>
      <c r="B27" s="97"/>
      <c r="C27" s="106" t="str">
        <f ca="1">INDIRECT(_xlfn.TEXTJOIN("",TRUE,A39,"!",ADDRESS(13+(A40-1)*A36,2)))</f>
        <v>Graph Theory</v>
      </c>
      <c r="D27" s="107"/>
      <c r="E27" s="107"/>
      <c r="F27" s="107"/>
      <c r="G27" s="108"/>
      <c r="H27" s="20">
        <f ca="1">INDIRECT(_xlfn.TEXTJOIN("",TRUE,A39,"!",ADDRESS(13+(A40-1)*A36,6)))</f>
        <v>4</v>
      </c>
      <c r="I27" s="20" t="str">
        <f ca="1">INDIRECT(_xlfn.TEXTJOIN("",TRUE,A39,"!",ADDRESS(13+(A40-1)*A36,13)))</f>
        <v>F</v>
      </c>
      <c r="J27" s="20">
        <f ca="1">INDIRECT(_xlfn.TEXTJOIN("",TRUE,A39,"!",ADDRESS(13+(A40-1)*A36,14)))</f>
        <v>0</v>
      </c>
    </row>
    <row r="28" spans="1:10" ht="28" customHeight="1" x14ac:dyDescent="0.2">
      <c r="A28" s="96" t="str">
        <f ca="1">INDIRECT(_xlfn.TEXTJOIN("",TRUE,A39,"!",ADDRESS(14+(A40-1)*A36,1)))</f>
        <v>CAT 015</v>
      </c>
      <c r="B28" s="97"/>
      <c r="C28" s="106" t="str">
        <f ca="1">INDIRECT(_xlfn.TEXTJOIN("",TRUE,A39,"!",ADDRESS(14+(A40-1)*A36,2)))</f>
        <v>Software Engineering</v>
      </c>
      <c r="D28" s="107"/>
      <c r="E28" s="107"/>
      <c r="F28" s="107"/>
      <c r="G28" s="108"/>
      <c r="H28" s="20">
        <f ca="1">INDIRECT(_xlfn.TEXTJOIN("",TRUE,A39,"!",ADDRESS(14+(A40-1)*A36,6)))</f>
        <v>4</v>
      </c>
      <c r="I28" s="20" t="str">
        <f ca="1">INDIRECT(_xlfn.TEXTJOIN("",TRUE,A39,"!",ADDRESS(14+(A40-1)*A36,13)))</f>
        <v>F</v>
      </c>
      <c r="J28" s="20">
        <f ca="1">INDIRECT(_xlfn.TEXTJOIN("",TRUE,A39,"!",ADDRESS(14+(A40-1)*A36,14)))</f>
        <v>0</v>
      </c>
    </row>
    <row r="29" spans="1:10" ht="28" customHeight="1" x14ac:dyDescent="0.2">
      <c r="A29" s="96" t="str">
        <f ca="1">INDIRECT(_xlfn.TEXTJOIN("",TRUE,A39,"!",ADDRESS(15+(A40-1)*A36,1)))</f>
        <v>Enroll No.</v>
      </c>
      <c r="B29" s="97"/>
      <c r="C29" s="106">
        <f ca="1">INDIRECT(_xlfn.TEXTJOIN("",TRUE,A39,"!",ADDRESS(15+(A40-1)*A36,2)))</f>
        <v>0</v>
      </c>
      <c r="D29" s="107"/>
      <c r="E29" s="107"/>
      <c r="F29" s="107"/>
      <c r="G29" s="108"/>
      <c r="H29" s="20">
        <f ca="1">INDIRECT(_xlfn.TEXTJOIN("",TRUE,A39,"!",ADDRESS(15+(A40-1)*A36,6)))</f>
        <v>0</v>
      </c>
      <c r="I29" s="20" t="b">
        <f ca="1">INDIRECT(_xlfn.TEXTJOIN("",TRUE,A39,"!",ADDRESS(15+(A40-1)*A36,13)))</f>
        <v>0</v>
      </c>
      <c r="J29" s="20" t="e">
        <f ca="1">INDIRECT(_xlfn.TEXTJOIN("",TRUE,A39,"!",ADDRESS(15+(A40-1)*A36,14)))</f>
        <v>#N/A</v>
      </c>
    </row>
    <row r="30" spans="1:10" ht="28" customHeight="1" x14ac:dyDescent="0.2">
      <c r="A30" s="96" t="str">
        <f ca="1">INDIRECT(_xlfn.TEXTJOIN("",TRUE,A39,"!",ADDRESS(16+(A40-1)*A36,1)))</f>
        <v>Enroll No.</v>
      </c>
      <c r="B30" s="97"/>
      <c r="C30" s="106">
        <f ca="1">INDIRECT(_xlfn.TEXTJOIN("",TRUE,A39,"!",ADDRESS(16+(A40-1)*A36,2)))</f>
        <v>0</v>
      </c>
      <c r="D30" s="107"/>
      <c r="E30" s="107"/>
      <c r="F30" s="107"/>
      <c r="G30" s="108"/>
      <c r="H30" s="20">
        <f ca="1">INDIRECT(_xlfn.TEXTJOIN("",TRUE,A39,"!",ADDRESS(16+(A40-1)*A36,6)))</f>
        <v>0</v>
      </c>
      <c r="I30" s="20" t="b">
        <f ca="1">INDIRECT(_xlfn.TEXTJOIN("",TRUE,A39,"!",ADDRESS(16+(A40-1)*A36,13)))</f>
        <v>0</v>
      </c>
      <c r="J30" s="20" t="e">
        <f ca="1">INDIRECT(_xlfn.TEXTJOIN("",TRUE,A39,"!",ADDRESS(16+(A40-1)*A36,14)))</f>
        <v>#N/A</v>
      </c>
    </row>
    <row r="31" spans="1:10" ht="28" customHeight="1" x14ac:dyDescent="0.2">
      <c r="A31" s="96" t="str">
        <f ca="1">INDIRECT(_xlfn.TEXTJOIN("",TRUE,A39,"!",ADDRESS(17+(A40-1)*A36,1)))</f>
        <v>AHT 310</v>
      </c>
      <c r="B31" s="97"/>
      <c r="C31" s="106" t="str">
        <f ca="1">INDIRECT(_xlfn.TEXTJOIN("",TRUE,A39,"!",ADDRESS(17+(A40-1)*A36,2)))</f>
        <v>Universal Human Value</v>
      </c>
      <c r="D31" s="107"/>
      <c r="E31" s="107"/>
      <c r="F31" s="107"/>
      <c r="G31" s="108"/>
      <c r="H31" s="20">
        <f ca="1">INDIRECT(_xlfn.TEXTJOIN("",TRUE,A39,"!",ADDRESS(17+(A40-1)*A36,6)))</f>
        <v>3</v>
      </c>
      <c r="I31" s="20" t="str">
        <f ca="1">INDIRECT(_xlfn.TEXTJOIN("",TRUE,A39,"!",ADDRESS(17+(A40-1)*A36,13)))</f>
        <v>F</v>
      </c>
      <c r="J31" s="20">
        <f ca="1">INDIRECT(_xlfn.TEXTJOIN("",TRUE,A39,"!",ADDRESS(17+(A40-1)*A36,14)))</f>
        <v>0</v>
      </c>
    </row>
    <row r="32" spans="1:10" ht="28" customHeight="1" x14ac:dyDescent="0.2">
      <c r="A32" s="96" t="str">
        <f ca="1">INDIRECT(_xlfn.TEXTJOIN("",TRUE,A39,"!",ADDRESS(18+(A40-1)*A36,1)))</f>
        <v>CAP 008</v>
      </c>
      <c r="B32" s="97"/>
      <c r="C32" s="106" t="str">
        <f ca="1">INDIRECT(_xlfn.TEXTJOIN("",TRUE,A39,"!",ADDRESS(18+(A40-1)*A36,2)))</f>
        <v>Software Engineering Lab</v>
      </c>
      <c r="D32" s="107"/>
      <c r="E32" s="107"/>
      <c r="F32" s="107"/>
      <c r="G32" s="108"/>
      <c r="H32" s="20">
        <f ca="1">INDIRECT(_xlfn.TEXTJOIN("",TRUE,A39,"!",ADDRESS(18+(A40-1)*A36,6)))</f>
        <v>1</v>
      </c>
      <c r="I32" s="20" t="str">
        <f ca="1">INDIRECT(_xlfn.TEXTJOIN("",TRUE,A39,"!",ADDRESS(18+(A40-1)*A36,13)))</f>
        <v>F</v>
      </c>
      <c r="J32" s="20">
        <f ca="1">INDIRECT(_xlfn.TEXTJOIN("",TRUE,A39,"!",ADDRESS(18+(A40-1)*A36,14)))</f>
        <v>0</v>
      </c>
    </row>
    <row r="33" spans="1:10" ht="28" customHeight="1" x14ac:dyDescent="0.2">
      <c r="A33" s="96" t="str">
        <f ca="1">INDIRECT(_xlfn.TEXTJOIN("",TRUE,A39,"!",ADDRESS(19+(A40-1)*A36,1)))</f>
        <v>CAP 009</v>
      </c>
      <c r="B33" s="97"/>
      <c r="C33" s="106" t="str">
        <f ca="1">INDIRECT(_xlfn.TEXTJOIN("",TRUE,A39,"!",ADDRESS(19+(A40-1)*A36,2)))</f>
        <v>Seminar</v>
      </c>
      <c r="D33" s="107"/>
      <c r="E33" s="107"/>
      <c r="F33" s="107"/>
      <c r="G33" s="108"/>
      <c r="H33" s="20">
        <f ca="1">INDIRECT(_xlfn.TEXTJOIN("",TRUE,A39,"!",ADDRESS(19+(A40-1)*A36,6)))</f>
        <v>2</v>
      </c>
      <c r="I33" s="20" t="str">
        <f ca="1">INDIRECT(_xlfn.TEXTJOIN("",TRUE,A39,"!",ADDRESS(19+(A40-1)*A36,13)))</f>
        <v>F</v>
      </c>
      <c r="J33" s="20">
        <f ca="1">INDIRECT(_xlfn.TEXTJOIN("",TRUE,A39,"!",ADDRESS(19+(A40-1)*A36,14)))</f>
        <v>0</v>
      </c>
    </row>
    <row r="34" spans="1:10" ht="28" customHeight="1" x14ac:dyDescent="0.2">
      <c r="A34" s="96" t="str">
        <f ca="1">INDIRECT(_xlfn.TEXTJOIN("",TRUE,A39,"!",ADDRESS(20+(A40-1)*A36,1)))</f>
        <v>CAP 010</v>
      </c>
      <c r="B34" s="97"/>
      <c r="C34" s="106" t="str">
        <f ca="1">INDIRECT(_xlfn.TEXTJOIN("",TRUE,A39,"!",ADDRESS(20+(A40-1)*A36,2)))</f>
        <v>Minor Project</v>
      </c>
      <c r="D34" s="107"/>
      <c r="E34" s="107"/>
      <c r="F34" s="107"/>
      <c r="G34" s="108"/>
      <c r="H34" s="20">
        <f ca="1">INDIRECT(_xlfn.TEXTJOIN("",TRUE,A39,"!",ADDRESS(20+(A40-1)*A36,6)))</f>
        <v>2</v>
      </c>
      <c r="I34" s="20" t="str">
        <f ca="1">INDIRECT(_xlfn.TEXTJOIN("",TRUE,A39,"!",ADDRESS(20+(A40-1)*A36,13)))</f>
        <v>F</v>
      </c>
      <c r="J34" s="20">
        <f ca="1">INDIRECT(_xlfn.TEXTJOIN("",TRUE,A39,"!",ADDRESS(20+(A40-1)*A36,14)))</f>
        <v>0</v>
      </c>
    </row>
    <row r="35" spans="1:10" ht="28" customHeight="1" x14ac:dyDescent="0.2">
      <c r="A35" s="118" t="s">
        <v>52</v>
      </c>
      <c r="B35" s="118"/>
      <c r="C35" s="118"/>
      <c r="D35" s="118"/>
      <c r="E35" s="118"/>
      <c r="F35" s="118"/>
      <c r="G35" s="118"/>
      <c r="H35" s="16">
        <f ca="1">SUM(H27:H34)</f>
        <v>16</v>
      </c>
      <c r="I35" s="16" t="s">
        <v>44</v>
      </c>
      <c r="J35" s="16" t="e">
        <f ca="1">SUMPRODUCT(J27:J34,H27:H34)</f>
        <v>#N/A</v>
      </c>
    </row>
    <row r="36" spans="1:10" ht="28" customHeight="1" x14ac:dyDescent="0.2">
      <c r="A36" s="22">
        <f>ROWS(A27:B34)+9</f>
        <v>17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0" ht="28" customHeight="1" x14ac:dyDescent="0.2">
      <c r="A37" s="120" t="s">
        <v>40</v>
      </c>
      <c r="B37" s="120"/>
      <c r="C37" s="21">
        <f ca="1">INDIRECT(_xlfn.TEXTJOIN("",TRUE,A39,"!",ADDRESS(5+A40*A36,12)))</f>
        <v>0</v>
      </c>
      <c r="D37" s="120" t="s">
        <v>38</v>
      </c>
      <c r="E37" s="120"/>
      <c r="F37" s="18" t="e">
        <f ca="1">INDIRECT(_xlfn.TEXTJOIN("",TRUE,A39,"!",ADDRESS(5+A40*A36,8)))</f>
        <v>#N/A</v>
      </c>
      <c r="G37" s="120" t="s">
        <v>39</v>
      </c>
      <c r="H37" s="120"/>
      <c r="I37" s="109" t="e">
        <f ca="1">INDIRECT(_xlfn.TEXTJOIN("",TRUE,A39,"!",ADDRESS(5+A40*A36,10)))</f>
        <v>#N/A</v>
      </c>
      <c r="J37" s="109"/>
    </row>
    <row r="38" spans="1:10" ht="28" customHeight="1" x14ac:dyDescent="0.2">
      <c r="A38" s="19" t="s">
        <v>36</v>
      </c>
      <c r="B38" s="95" t="e">
        <f ca="1">INDIRECT(_xlfn.TEXTJOIN("",TRUE,A39,"!",ADDRESS(5+A40*A36,2)))</f>
        <v>#N/A</v>
      </c>
      <c r="C38" s="95"/>
      <c r="D38" s="121" t="s">
        <v>37</v>
      </c>
      <c r="E38" s="121"/>
      <c r="F38" s="122" t="e">
        <f ca="1">INDIRECT(_xlfn.TEXTJOIN("",TRUE,A39,"!",ADDRESS(5+A40*A36,5)))</f>
        <v>#N/A</v>
      </c>
      <c r="G38" s="122"/>
      <c r="H38" s="122"/>
      <c r="I38" s="122"/>
      <c r="J38" s="122"/>
    </row>
    <row r="39" spans="1:10" ht="28" customHeight="1" x14ac:dyDescent="0.2">
      <c r="A39" s="22" t="str">
        <f>A22</f>
        <v>TC_III</v>
      </c>
    </row>
    <row r="40" spans="1:10" ht="28" customHeight="1" x14ac:dyDescent="0.2">
      <c r="A40" s="22">
        <f>A23+1</f>
        <v>2</v>
      </c>
    </row>
    <row r="41" spans="1:10" ht="28" customHeight="1" x14ac:dyDescent="0.2">
      <c r="A41" s="112" t="s">
        <v>24</v>
      </c>
      <c r="B41" s="112"/>
      <c r="C41" s="112" t="str">
        <f ca="1">INDIRECT(_xlfn.TEXTJOIN("",TRUE,A56,"!",ADDRESS(9+(A57-1)*A53,2)))</f>
        <v>ANAS SAIFI</v>
      </c>
      <c r="D41" s="112"/>
      <c r="E41" s="112"/>
      <c r="F41" s="112" t="s">
        <v>50</v>
      </c>
      <c r="G41" s="112"/>
      <c r="H41" s="112"/>
      <c r="I41" s="113">
        <f ca="1">INDIRECT(_xlfn.TEXTJOIN("",TRUE,A56,"!",ADDRESS(9+(A57-1)*A53,9)))</f>
        <v>240090600003</v>
      </c>
      <c r="J41" s="113"/>
    </row>
    <row r="42" spans="1:10" ht="28" customHeight="1" x14ac:dyDescent="0.2">
      <c r="A42" s="112" t="s">
        <v>25</v>
      </c>
      <c r="B42" s="112"/>
      <c r="C42" s="112" t="str">
        <f ca="1">INDIRECT(_xlfn.TEXTJOIN("",TRUE,A56,"!",ADDRESS(9+(A57-1)*A53,5)))</f>
        <v>SALMUDDIN SAIFI</v>
      </c>
      <c r="D42" s="112"/>
      <c r="E42" s="112"/>
      <c r="F42" s="114" t="s">
        <v>51</v>
      </c>
      <c r="G42" s="114"/>
      <c r="H42" s="114"/>
      <c r="I42" s="113" t="str">
        <f ca="1">INDIRECT(_xlfn.TEXTJOIN("",TRUE,A56,"!",ADDRESS(9+(A57-1)*A53,13)))</f>
        <v>UTU/2406100173</v>
      </c>
      <c r="J42" s="113"/>
    </row>
    <row r="43" spans="1:10" ht="28" customHeight="1" x14ac:dyDescent="0.2">
      <c r="A43" s="95" t="s">
        <v>28</v>
      </c>
      <c r="B43" s="95"/>
      <c r="C43" s="95" t="s">
        <v>29</v>
      </c>
      <c r="D43" s="95"/>
      <c r="E43" s="95"/>
      <c r="F43" s="95"/>
      <c r="G43" s="95"/>
      <c r="H43" s="15" t="s">
        <v>30</v>
      </c>
      <c r="I43" s="15" t="s">
        <v>9</v>
      </c>
      <c r="J43" s="15" t="s">
        <v>34</v>
      </c>
    </row>
    <row r="44" spans="1:10" ht="28" customHeight="1" x14ac:dyDescent="0.2">
      <c r="A44" s="96" t="str">
        <f ca="1">INDIRECT(_xlfn.TEXTJOIN("",TRUE,A56,"!",ADDRESS(13+(A57-1)*A53,1)))</f>
        <v>CAT  014</v>
      </c>
      <c r="B44" s="97"/>
      <c r="C44" s="106" t="str">
        <f ca="1">INDIRECT(_xlfn.TEXTJOIN("",TRUE,A56,"!",ADDRESS(13+(A57-1)*A53,2)))</f>
        <v>Graph Theory</v>
      </c>
      <c r="D44" s="107"/>
      <c r="E44" s="107"/>
      <c r="F44" s="107"/>
      <c r="G44" s="108"/>
      <c r="H44" s="20">
        <f ca="1">INDIRECT(_xlfn.TEXTJOIN("",TRUE,A56,"!",ADDRESS(13+(A57-1)*A53,6)))</f>
        <v>4</v>
      </c>
      <c r="I44" s="20" t="str">
        <f ca="1">INDIRECT(_xlfn.TEXTJOIN("",TRUE,A56,"!",ADDRESS(13+(A57-1)*A53,13)))</f>
        <v>F</v>
      </c>
      <c r="J44" s="20">
        <f ca="1">INDIRECT(_xlfn.TEXTJOIN("",TRUE,A56,"!",ADDRESS(13+(A57-1)*A53,14)))</f>
        <v>0</v>
      </c>
    </row>
    <row r="45" spans="1:10" ht="28" customHeight="1" x14ac:dyDescent="0.2">
      <c r="A45" s="96" t="str">
        <f ca="1">INDIRECT(_xlfn.TEXTJOIN("",TRUE,A56,"!",ADDRESS(14+(A57-1)*A53,1)))</f>
        <v>CAT 015</v>
      </c>
      <c r="B45" s="97"/>
      <c r="C45" s="106" t="str">
        <f ca="1">INDIRECT(_xlfn.TEXTJOIN("",TRUE,A56,"!",ADDRESS(14+(A57-1)*A53,2)))</f>
        <v>Software Engineering</v>
      </c>
      <c r="D45" s="107"/>
      <c r="E45" s="107"/>
      <c r="F45" s="107"/>
      <c r="G45" s="108"/>
      <c r="H45" s="20">
        <f ca="1">INDIRECT(_xlfn.TEXTJOIN("",TRUE,A56,"!",ADDRESS(14+(A57-1)*A53,6)))</f>
        <v>4</v>
      </c>
      <c r="I45" s="20" t="str">
        <f ca="1">INDIRECT(_xlfn.TEXTJOIN("",TRUE,A56,"!",ADDRESS(14+(A57-1)*A53,13)))</f>
        <v>F</v>
      </c>
      <c r="J45" s="20">
        <f ca="1">INDIRECT(_xlfn.TEXTJOIN("",TRUE,A56,"!",ADDRESS(14+(A57-1)*A53,14)))</f>
        <v>0</v>
      </c>
    </row>
    <row r="46" spans="1:10" ht="28" customHeight="1" x14ac:dyDescent="0.2">
      <c r="A46" s="96" t="str">
        <f ca="1">INDIRECT(_xlfn.TEXTJOIN("",TRUE,A56,"!",ADDRESS(15+(A57-1)*A53,1)))</f>
        <v>Enroll No.</v>
      </c>
      <c r="B46" s="97"/>
      <c r="C46" s="106">
        <f ca="1">INDIRECT(_xlfn.TEXTJOIN("",TRUE,A56,"!",ADDRESS(15+(A57-1)*A53,2)))</f>
        <v>0</v>
      </c>
      <c r="D46" s="107"/>
      <c r="E46" s="107"/>
      <c r="F46" s="107"/>
      <c r="G46" s="108"/>
      <c r="H46" s="20">
        <f ca="1">INDIRECT(_xlfn.TEXTJOIN("",TRUE,A56,"!",ADDRESS(15+(A57-1)*A53,6)))</f>
        <v>0</v>
      </c>
      <c r="I46" s="20" t="b">
        <f ca="1">INDIRECT(_xlfn.TEXTJOIN("",TRUE,A56,"!",ADDRESS(15+(A57-1)*A53,13)))</f>
        <v>0</v>
      </c>
      <c r="J46" s="20" t="e">
        <f ca="1">INDIRECT(_xlfn.TEXTJOIN("",TRUE,A56,"!",ADDRESS(15+(A57-1)*A53,14)))</f>
        <v>#N/A</v>
      </c>
    </row>
    <row r="47" spans="1:10" ht="28" customHeight="1" x14ac:dyDescent="0.2">
      <c r="A47" s="96" t="str">
        <f ca="1">INDIRECT(_xlfn.TEXTJOIN("",TRUE,A56,"!",ADDRESS(16+(A57-1)*A53,1)))</f>
        <v>Enroll No.</v>
      </c>
      <c r="B47" s="97"/>
      <c r="C47" s="106">
        <f ca="1">INDIRECT(_xlfn.TEXTJOIN("",TRUE,A56,"!",ADDRESS(16+(A57-1)*A53,2)))</f>
        <v>0</v>
      </c>
      <c r="D47" s="107"/>
      <c r="E47" s="107"/>
      <c r="F47" s="107"/>
      <c r="G47" s="108"/>
      <c r="H47" s="20">
        <f ca="1">INDIRECT(_xlfn.TEXTJOIN("",TRUE,A56,"!",ADDRESS(16+(A57-1)*A53,6)))</f>
        <v>0</v>
      </c>
      <c r="I47" s="20" t="b">
        <f ca="1">INDIRECT(_xlfn.TEXTJOIN("",TRUE,A56,"!",ADDRESS(16+(A57-1)*A53,13)))</f>
        <v>0</v>
      </c>
      <c r="J47" s="20" t="e">
        <f ca="1">INDIRECT(_xlfn.TEXTJOIN("",TRUE,A56,"!",ADDRESS(16+(A57-1)*A53,14)))</f>
        <v>#N/A</v>
      </c>
    </row>
    <row r="48" spans="1:10" ht="28" customHeight="1" x14ac:dyDescent="0.2">
      <c r="A48" s="96" t="str">
        <f ca="1">INDIRECT(_xlfn.TEXTJOIN("",TRUE,A56,"!",ADDRESS(17+(A57-1)*A53,1)))</f>
        <v>AHT 310</v>
      </c>
      <c r="B48" s="97"/>
      <c r="C48" s="106" t="str">
        <f ca="1">INDIRECT(_xlfn.TEXTJOIN("",TRUE,A56,"!",ADDRESS(17+(A57-1)*A53,2)))</f>
        <v>Universal Human Value</v>
      </c>
      <c r="D48" s="107"/>
      <c r="E48" s="107"/>
      <c r="F48" s="107"/>
      <c r="G48" s="108"/>
      <c r="H48" s="20">
        <f ca="1">INDIRECT(_xlfn.TEXTJOIN("",TRUE,A56,"!",ADDRESS(17+(A57-1)*A53,6)))</f>
        <v>3</v>
      </c>
      <c r="I48" s="20" t="str">
        <f ca="1">INDIRECT(_xlfn.TEXTJOIN("",TRUE,A56,"!",ADDRESS(17+(A57-1)*A53,13)))</f>
        <v>F</v>
      </c>
      <c r="J48" s="20">
        <f ca="1">INDIRECT(_xlfn.TEXTJOIN("",TRUE,A56,"!",ADDRESS(17+(A57-1)*A53,14)))</f>
        <v>0</v>
      </c>
    </row>
    <row r="49" spans="1:10" ht="28" customHeight="1" x14ac:dyDescent="0.2">
      <c r="A49" s="96" t="str">
        <f ca="1">INDIRECT(_xlfn.TEXTJOIN("",TRUE,A56,"!",ADDRESS(18+(A57-1)*A53,1)))</f>
        <v>CAP 008</v>
      </c>
      <c r="B49" s="97"/>
      <c r="C49" s="106" t="str">
        <f ca="1">INDIRECT(_xlfn.TEXTJOIN("",TRUE,A56,"!",ADDRESS(18+(A57-1)*A53,2)))</f>
        <v>Software Engineering Lab</v>
      </c>
      <c r="D49" s="107"/>
      <c r="E49" s="107"/>
      <c r="F49" s="107"/>
      <c r="G49" s="108"/>
      <c r="H49" s="20">
        <f ca="1">INDIRECT(_xlfn.TEXTJOIN("",TRUE,A56,"!",ADDRESS(18+(A57-1)*A53,6)))</f>
        <v>1</v>
      </c>
      <c r="I49" s="20" t="str">
        <f ca="1">INDIRECT(_xlfn.TEXTJOIN("",TRUE,A56,"!",ADDRESS(18+(A57-1)*A53,13)))</f>
        <v>F</v>
      </c>
      <c r="J49" s="20">
        <f ca="1">INDIRECT(_xlfn.TEXTJOIN("",TRUE,A56,"!",ADDRESS(18+(A57-1)*A53,14)))</f>
        <v>0</v>
      </c>
    </row>
    <row r="50" spans="1:10" ht="28" customHeight="1" x14ac:dyDescent="0.2">
      <c r="A50" s="96" t="str">
        <f ca="1">INDIRECT(_xlfn.TEXTJOIN("",TRUE,A56,"!",ADDRESS(19+(A57-1)*A53,1)))</f>
        <v>CAP 009</v>
      </c>
      <c r="B50" s="97"/>
      <c r="C50" s="106" t="str">
        <f ca="1">INDIRECT(_xlfn.TEXTJOIN("",TRUE,A56,"!",ADDRESS(19+(A57-1)*A53,2)))</f>
        <v>Seminar</v>
      </c>
      <c r="D50" s="107"/>
      <c r="E50" s="107"/>
      <c r="F50" s="107"/>
      <c r="G50" s="108"/>
      <c r="H50" s="20">
        <f ca="1">INDIRECT(_xlfn.TEXTJOIN("",TRUE,A56,"!",ADDRESS(19+(A57-1)*A53,6)))</f>
        <v>2</v>
      </c>
      <c r="I50" s="20" t="str">
        <f ca="1">INDIRECT(_xlfn.TEXTJOIN("",TRUE,A56,"!",ADDRESS(19+(A57-1)*A53,13)))</f>
        <v>F</v>
      </c>
      <c r="J50" s="20">
        <f ca="1">INDIRECT(_xlfn.TEXTJOIN("",TRUE,A56,"!",ADDRESS(19+(A57-1)*A53,14)))</f>
        <v>0</v>
      </c>
    </row>
    <row r="51" spans="1:10" ht="28" customHeight="1" x14ac:dyDescent="0.2">
      <c r="A51" s="96" t="str">
        <f ca="1">INDIRECT(_xlfn.TEXTJOIN("",TRUE,A56,"!",ADDRESS(20+(A57-1)*A53,1)))</f>
        <v>CAP 010</v>
      </c>
      <c r="B51" s="97"/>
      <c r="C51" s="106" t="str">
        <f ca="1">INDIRECT(_xlfn.TEXTJOIN("",TRUE,A56,"!",ADDRESS(20+(A57-1)*A53,2)))</f>
        <v>Minor Project</v>
      </c>
      <c r="D51" s="107"/>
      <c r="E51" s="107"/>
      <c r="F51" s="107"/>
      <c r="G51" s="108"/>
      <c r="H51" s="20">
        <f ca="1">INDIRECT(_xlfn.TEXTJOIN("",TRUE,A56,"!",ADDRESS(20+(A57-1)*A53,6)))</f>
        <v>2</v>
      </c>
      <c r="I51" s="20" t="str">
        <f ca="1">INDIRECT(_xlfn.TEXTJOIN("",TRUE,A56,"!",ADDRESS(20+(A57-1)*A53,13)))</f>
        <v>F</v>
      </c>
      <c r="J51" s="20">
        <f ca="1">INDIRECT(_xlfn.TEXTJOIN("",TRUE,A56,"!",ADDRESS(20+(A57-1)*A53,14)))</f>
        <v>0</v>
      </c>
    </row>
    <row r="52" spans="1:10" ht="28" customHeight="1" x14ac:dyDescent="0.2">
      <c r="A52" s="118" t="s">
        <v>52</v>
      </c>
      <c r="B52" s="118"/>
      <c r="C52" s="118"/>
      <c r="D52" s="118"/>
      <c r="E52" s="118"/>
      <c r="F52" s="118"/>
      <c r="G52" s="118"/>
      <c r="H52" s="16">
        <f ca="1">SUM(H44:H51)</f>
        <v>16</v>
      </c>
      <c r="I52" s="16" t="s">
        <v>44</v>
      </c>
      <c r="J52" s="16" t="e">
        <f ca="1">SUMPRODUCT(J44:J51,H44:H51)</f>
        <v>#N/A</v>
      </c>
    </row>
    <row r="53" spans="1:10" ht="28" customHeight="1" x14ac:dyDescent="0.2">
      <c r="A53" s="22">
        <f>ROWS(A44:B51)+9</f>
        <v>17</v>
      </c>
      <c r="B53" s="17"/>
      <c r="C53" s="17"/>
      <c r="D53" s="17"/>
      <c r="E53" s="17"/>
      <c r="F53" s="17"/>
      <c r="G53" s="17"/>
      <c r="H53" s="17"/>
      <c r="I53" s="17"/>
      <c r="J53" s="17"/>
    </row>
    <row r="54" spans="1:10" ht="28" customHeight="1" x14ac:dyDescent="0.2">
      <c r="A54" s="120" t="s">
        <v>40</v>
      </c>
      <c r="B54" s="120"/>
      <c r="C54" s="21">
        <f ca="1">INDIRECT(_xlfn.TEXTJOIN("",TRUE,A56,"!",ADDRESS(5+A57*A53,12)))</f>
        <v>0</v>
      </c>
      <c r="D54" s="120" t="s">
        <v>38</v>
      </c>
      <c r="E54" s="120"/>
      <c r="F54" s="18" t="e">
        <f ca="1">INDIRECT(_xlfn.TEXTJOIN("",TRUE,A56,"!",ADDRESS(5+A57*A53,8)))</f>
        <v>#N/A</v>
      </c>
      <c r="G54" s="120" t="s">
        <v>39</v>
      </c>
      <c r="H54" s="120"/>
      <c r="I54" s="109" t="e">
        <f ca="1">INDIRECT(_xlfn.TEXTJOIN("",TRUE,A56,"!",ADDRESS(5+A57*A53,10)))</f>
        <v>#N/A</v>
      </c>
      <c r="J54" s="109"/>
    </row>
    <row r="55" spans="1:10" ht="28" customHeight="1" x14ac:dyDescent="0.2">
      <c r="A55" s="19" t="s">
        <v>36</v>
      </c>
      <c r="B55" s="95" t="e">
        <f ca="1">INDIRECT(_xlfn.TEXTJOIN("",TRUE,A56,"!",ADDRESS(5+A57*A53,2)))</f>
        <v>#N/A</v>
      </c>
      <c r="C55" s="95"/>
      <c r="D55" s="121" t="s">
        <v>37</v>
      </c>
      <c r="E55" s="121"/>
      <c r="F55" s="122" t="e">
        <f ca="1">INDIRECT(_xlfn.TEXTJOIN("",TRUE,A56,"!",ADDRESS(5+A57*A53,5)))</f>
        <v>#N/A</v>
      </c>
      <c r="G55" s="122"/>
      <c r="H55" s="122"/>
      <c r="I55" s="122"/>
      <c r="J55" s="122"/>
    </row>
    <row r="56" spans="1:10" ht="28" customHeight="1" x14ac:dyDescent="0.2">
      <c r="A56" s="22" t="str">
        <f>A39</f>
        <v>TC_III</v>
      </c>
    </row>
    <row r="57" spans="1:10" ht="28" customHeight="1" x14ac:dyDescent="0.2">
      <c r="A57" s="22">
        <f>A40+1</f>
        <v>3</v>
      </c>
    </row>
    <row r="58" spans="1:10" ht="28" customHeight="1" x14ac:dyDescent="0.2">
      <c r="A58" s="112" t="s">
        <v>24</v>
      </c>
      <c r="B58" s="112"/>
      <c r="C58" s="112" t="str">
        <f ca="1">INDIRECT(_xlfn.TEXTJOIN("",TRUE,A73,"!",ADDRESS(9+(A74-1)*A70,2)))</f>
        <v>ANJALI GUSAIN</v>
      </c>
      <c r="D58" s="112"/>
      <c r="E58" s="112"/>
      <c r="F58" s="112" t="s">
        <v>50</v>
      </c>
      <c r="G58" s="112"/>
      <c r="H58" s="112"/>
      <c r="I58" s="113">
        <f ca="1">INDIRECT(_xlfn.TEXTJOIN("",TRUE,A73,"!",ADDRESS(9+(A74-1)*A70,9)))</f>
        <v>240090600004</v>
      </c>
      <c r="J58" s="113"/>
    </row>
    <row r="59" spans="1:10" ht="28" customHeight="1" x14ac:dyDescent="0.2">
      <c r="A59" s="112" t="s">
        <v>25</v>
      </c>
      <c r="B59" s="112"/>
      <c r="C59" s="112" t="str">
        <f ca="1">INDIRECT(_xlfn.TEXTJOIN("",TRUE,A73,"!",ADDRESS(9+(A74-1)*A70,5)))</f>
        <v>JAIBEER SINGH GUSAIN</v>
      </c>
      <c r="D59" s="112"/>
      <c r="E59" s="112"/>
      <c r="F59" s="114" t="s">
        <v>51</v>
      </c>
      <c r="G59" s="114"/>
      <c r="H59" s="114"/>
      <c r="I59" s="113" t="str">
        <f ca="1">INDIRECT(_xlfn.TEXTJOIN("",TRUE,A73,"!",ADDRESS(9+(A74-1)*A70,13)))</f>
        <v>UTU/2406100161</v>
      </c>
      <c r="J59" s="113"/>
    </row>
    <row r="60" spans="1:10" ht="28" customHeight="1" x14ac:dyDescent="0.2">
      <c r="A60" s="95" t="s">
        <v>28</v>
      </c>
      <c r="B60" s="95"/>
      <c r="C60" s="95" t="s">
        <v>29</v>
      </c>
      <c r="D60" s="95"/>
      <c r="E60" s="95"/>
      <c r="F60" s="95"/>
      <c r="G60" s="95"/>
      <c r="H60" s="15" t="s">
        <v>30</v>
      </c>
      <c r="I60" s="15" t="s">
        <v>9</v>
      </c>
      <c r="J60" s="15" t="s">
        <v>34</v>
      </c>
    </row>
    <row r="61" spans="1:10" ht="28" customHeight="1" x14ac:dyDescent="0.2">
      <c r="A61" s="96" t="str">
        <f ca="1">INDIRECT(_xlfn.TEXTJOIN("",TRUE,A73,"!",ADDRESS(13+(A74-1)*A70,1)))</f>
        <v>CAT  014</v>
      </c>
      <c r="B61" s="97"/>
      <c r="C61" s="106" t="str">
        <f ca="1">INDIRECT(_xlfn.TEXTJOIN("",TRUE,A73,"!",ADDRESS(13+(A74-1)*A70,2)))</f>
        <v>Graph Theory</v>
      </c>
      <c r="D61" s="107"/>
      <c r="E61" s="107"/>
      <c r="F61" s="107"/>
      <c r="G61" s="108"/>
      <c r="H61" s="20">
        <f ca="1">INDIRECT(_xlfn.TEXTJOIN("",TRUE,A73,"!",ADDRESS(13+(A74-1)*A70,6)))</f>
        <v>4</v>
      </c>
      <c r="I61" s="20" t="str">
        <f ca="1">INDIRECT(_xlfn.TEXTJOIN("",TRUE,A73,"!",ADDRESS(13+(A74-1)*A70,13)))</f>
        <v>F</v>
      </c>
      <c r="J61" s="20">
        <f ca="1">INDIRECT(_xlfn.TEXTJOIN("",TRUE,A73,"!",ADDRESS(13+(A74-1)*A70,14)))</f>
        <v>0</v>
      </c>
    </row>
    <row r="62" spans="1:10" ht="28" customHeight="1" x14ac:dyDescent="0.2">
      <c r="A62" s="96" t="str">
        <f ca="1">INDIRECT(_xlfn.TEXTJOIN("",TRUE,A73,"!",ADDRESS(14+(A74-1)*A70,1)))</f>
        <v>CAT 015</v>
      </c>
      <c r="B62" s="97"/>
      <c r="C62" s="106" t="str">
        <f ca="1">INDIRECT(_xlfn.TEXTJOIN("",TRUE,A73,"!",ADDRESS(14+(A74-1)*A70,2)))</f>
        <v>Software Engineering</v>
      </c>
      <c r="D62" s="107"/>
      <c r="E62" s="107"/>
      <c r="F62" s="107"/>
      <c r="G62" s="108"/>
      <c r="H62" s="20">
        <f ca="1">INDIRECT(_xlfn.TEXTJOIN("",TRUE,A73,"!",ADDRESS(14+(A74-1)*A70,6)))</f>
        <v>4</v>
      </c>
      <c r="I62" s="20" t="str">
        <f ca="1">INDIRECT(_xlfn.TEXTJOIN("",TRUE,A73,"!",ADDRESS(14+(A74-1)*A70,13)))</f>
        <v>F</v>
      </c>
      <c r="J62" s="20">
        <f ca="1">INDIRECT(_xlfn.TEXTJOIN("",TRUE,A73,"!",ADDRESS(14+(A74-1)*A70,14)))</f>
        <v>0</v>
      </c>
    </row>
    <row r="63" spans="1:10" ht="28" customHeight="1" x14ac:dyDescent="0.2">
      <c r="A63" s="96" t="str">
        <f ca="1">INDIRECT(_xlfn.TEXTJOIN("",TRUE,A73,"!",ADDRESS(15+(A74-1)*A70,1)))</f>
        <v>Enroll No.</v>
      </c>
      <c r="B63" s="97"/>
      <c r="C63" s="106">
        <f ca="1">INDIRECT(_xlfn.TEXTJOIN("",TRUE,A73,"!",ADDRESS(15+(A74-1)*A70,2)))</f>
        <v>0</v>
      </c>
      <c r="D63" s="107"/>
      <c r="E63" s="107"/>
      <c r="F63" s="107"/>
      <c r="G63" s="108"/>
      <c r="H63" s="20">
        <f ca="1">INDIRECT(_xlfn.TEXTJOIN("",TRUE,A73,"!",ADDRESS(15+(A74-1)*A70,6)))</f>
        <v>0</v>
      </c>
      <c r="I63" s="20" t="b">
        <f ca="1">INDIRECT(_xlfn.TEXTJOIN("",TRUE,A73,"!",ADDRESS(15+(A74-1)*A70,13)))</f>
        <v>0</v>
      </c>
      <c r="J63" s="20" t="e">
        <f ca="1">INDIRECT(_xlfn.TEXTJOIN("",TRUE,A73,"!",ADDRESS(15+(A74-1)*A70,14)))</f>
        <v>#N/A</v>
      </c>
    </row>
    <row r="64" spans="1:10" ht="28" customHeight="1" x14ac:dyDescent="0.2">
      <c r="A64" s="96" t="str">
        <f ca="1">INDIRECT(_xlfn.TEXTJOIN("",TRUE,A73,"!",ADDRESS(16+(A74-1)*A70,1)))</f>
        <v>Enroll No.</v>
      </c>
      <c r="B64" s="97"/>
      <c r="C64" s="106">
        <f ca="1">INDIRECT(_xlfn.TEXTJOIN("",TRUE,A73,"!",ADDRESS(16+(A74-1)*A70,2)))</f>
        <v>0</v>
      </c>
      <c r="D64" s="107"/>
      <c r="E64" s="107"/>
      <c r="F64" s="107"/>
      <c r="G64" s="108"/>
      <c r="H64" s="20">
        <f ca="1">INDIRECT(_xlfn.TEXTJOIN("",TRUE,A73,"!",ADDRESS(16+(A74-1)*A70,6)))</f>
        <v>0</v>
      </c>
      <c r="I64" s="20" t="b">
        <f ca="1">INDIRECT(_xlfn.TEXTJOIN("",TRUE,A73,"!",ADDRESS(16+(A74-1)*A70,13)))</f>
        <v>0</v>
      </c>
      <c r="J64" s="20" t="e">
        <f ca="1">INDIRECT(_xlfn.TEXTJOIN("",TRUE,A73,"!",ADDRESS(16+(A74-1)*A70,14)))</f>
        <v>#N/A</v>
      </c>
    </row>
    <row r="65" spans="1:10" ht="28" customHeight="1" x14ac:dyDescent="0.2">
      <c r="A65" s="96" t="str">
        <f ca="1">INDIRECT(_xlfn.TEXTJOIN("",TRUE,A73,"!",ADDRESS(17+(A74-1)*A70,1)))</f>
        <v>AHT 310</v>
      </c>
      <c r="B65" s="97"/>
      <c r="C65" s="106" t="str">
        <f ca="1">INDIRECT(_xlfn.TEXTJOIN("",TRUE,A73,"!",ADDRESS(17+(A74-1)*A70,2)))</f>
        <v>Universal Human Value</v>
      </c>
      <c r="D65" s="107"/>
      <c r="E65" s="107"/>
      <c r="F65" s="107"/>
      <c r="G65" s="108"/>
      <c r="H65" s="20">
        <f ca="1">INDIRECT(_xlfn.TEXTJOIN("",TRUE,A73,"!",ADDRESS(17+(A74-1)*A70,6)))</f>
        <v>3</v>
      </c>
      <c r="I65" s="20" t="str">
        <f ca="1">INDIRECT(_xlfn.TEXTJOIN("",TRUE,A73,"!",ADDRESS(17+(A74-1)*A70,13)))</f>
        <v>F</v>
      </c>
      <c r="J65" s="20">
        <f ca="1">INDIRECT(_xlfn.TEXTJOIN("",TRUE,A73,"!",ADDRESS(17+(A74-1)*A70,14)))</f>
        <v>0</v>
      </c>
    </row>
    <row r="66" spans="1:10" ht="28" customHeight="1" x14ac:dyDescent="0.2">
      <c r="A66" s="96" t="str">
        <f ca="1">INDIRECT(_xlfn.TEXTJOIN("",TRUE,A73,"!",ADDRESS(18+(A74-1)*A70,1)))</f>
        <v>CAP 008</v>
      </c>
      <c r="B66" s="97"/>
      <c r="C66" s="106" t="str">
        <f ca="1">INDIRECT(_xlfn.TEXTJOIN("",TRUE,A73,"!",ADDRESS(18+(A74-1)*A70,2)))</f>
        <v>Software Engineering Lab</v>
      </c>
      <c r="D66" s="107"/>
      <c r="E66" s="107"/>
      <c r="F66" s="107"/>
      <c r="G66" s="108"/>
      <c r="H66" s="20">
        <f ca="1">INDIRECT(_xlfn.TEXTJOIN("",TRUE,A73,"!",ADDRESS(18+(A74-1)*A70,6)))</f>
        <v>1</v>
      </c>
      <c r="I66" s="20" t="str">
        <f ca="1">INDIRECT(_xlfn.TEXTJOIN("",TRUE,A73,"!",ADDRESS(18+(A74-1)*A70,13)))</f>
        <v>F</v>
      </c>
      <c r="J66" s="20">
        <f ca="1">INDIRECT(_xlfn.TEXTJOIN("",TRUE,A73,"!",ADDRESS(18+(A74-1)*A70,14)))</f>
        <v>0</v>
      </c>
    </row>
    <row r="67" spans="1:10" ht="28" customHeight="1" x14ac:dyDescent="0.2">
      <c r="A67" s="96" t="str">
        <f ca="1">INDIRECT(_xlfn.TEXTJOIN("",TRUE,A73,"!",ADDRESS(19+(A74-1)*A70,1)))</f>
        <v>CAP 009</v>
      </c>
      <c r="B67" s="97"/>
      <c r="C67" s="106" t="str">
        <f ca="1">INDIRECT(_xlfn.TEXTJOIN("",TRUE,A73,"!",ADDRESS(19+(A74-1)*A70,2)))</f>
        <v>Seminar</v>
      </c>
      <c r="D67" s="107"/>
      <c r="E67" s="107"/>
      <c r="F67" s="107"/>
      <c r="G67" s="108"/>
      <c r="H67" s="20">
        <f ca="1">INDIRECT(_xlfn.TEXTJOIN("",TRUE,A73,"!",ADDRESS(19+(A74-1)*A70,6)))</f>
        <v>2</v>
      </c>
      <c r="I67" s="20" t="str">
        <f ca="1">INDIRECT(_xlfn.TEXTJOIN("",TRUE,A73,"!",ADDRESS(19+(A74-1)*A70,13)))</f>
        <v>F</v>
      </c>
      <c r="J67" s="20">
        <f ca="1">INDIRECT(_xlfn.TEXTJOIN("",TRUE,A73,"!",ADDRESS(19+(A74-1)*A70,14)))</f>
        <v>0</v>
      </c>
    </row>
    <row r="68" spans="1:10" ht="28" customHeight="1" x14ac:dyDescent="0.2">
      <c r="A68" s="96" t="str">
        <f ca="1">INDIRECT(_xlfn.TEXTJOIN("",TRUE,A73,"!",ADDRESS(20+(A74-1)*A70,1)))</f>
        <v>CAP 010</v>
      </c>
      <c r="B68" s="97"/>
      <c r="C68" s="106" t="str">
        <f ca="1">INDIRECT(_xlfn.TEXTJOIN("",TRUE,A73,"!",ADDRESS(20+(A74-1)*A70,2)))</f>
        <v>Minor Project</v>
      </c>
      <c r="D68" s="107"/>
      <c r="E68" s="107"/>
      <c r="F68" s="107"/>
      <c r="G68" s="108"/>
      <c r="H68" s="20">
        <f ca="1">INDIRECT(_xlfn.TEXTJOIN("",TRUE,A73,"!",ADDRESS(20+(A74-1)*A70,6)))</f>
        <v>2</v>
      </c>
      <c r="I68" s="20" t="str">
        <f ca="1">INDIRECT(_xlfn.TEXTJOIN("",TRUE,A73,"!",ADDRESS(20+(A74-1)*A70,13)))</f>
        <v>F</v>
      </c>
      <c r="J68" s="20">
        <f ca="1">INDIRECT(_xlfn.TEXTJOIN("",TRUE,A73,"!",ADDRESS(20+(A74-1)*A70,14)))</f>
        <v>0</v>
      </c>
    </row>
    <row r="69" spans="1:10" ht="28" customHeight="1" x14ac:dyDescent="0.2">
      <c r="A69" s="118" t="s">
        <v>52</v>
      </c>
      <c r="B69" s="118"/>
      <c r="C69" s="118"/>
      <c r="D69" s="118"/>
      <c r="E69" s="118"/>
      <c r="F69" s="118"/>
      <c r="G69" s="118"/>
      <c r="H69" s="16">
        <f ca="1">SUM(H61:H68)</f>
        <v>16</v>
      </c>
      <c r="I69" s="16" t="s">
        <v>44</v>
      </c>
      <c r="J69" s="16" t="e">
        <f ca="1">SUMPRODUCT(J61:J68,H61:H68)</f>
        <v>#N/A</v>
      </c>
    </row>
    <row r="70" spans="1:10" ht="28" customHeight="1" x14ac:dyDescent="0.2">
      <c r="A70" s="22">
        <f>ROWS(A61:B68)+9</f>
        <v>17</v>
      </c>
      <c r="B70" s="17"/>
      <c r="C70" s="17"/>
      <c r="D70" s="17"/>
      <c r="E70" s="17"/>
      <c r="F70" s="17"/>
      <c r="G70" s="17"/>
      <c r="H70" s="17"/>
      <c r="I70" s="17"/>
      <c r="J70" s="17"/>
    </row>
    <row r="71" spans="1:10" ht="28" customHeight="1" x14ac:dyDescent="0.2">
      <c r="A71" s="120" t="s">
        <v>40</v>
      </c>
      <c r="B71" s="120"/>
      <c r="C71" s="21">
        <f ca="1">INDIRECT(_xlfn.TEXTJOIN("",TRUE,A73,"!",ADDRESS(5+A74*A70,12)))</f>
        <v>0</v>
      </c>
      <c r="D71" s="120" t="s">
        <v>38</v>
      </c>
      <c r="E71" s="120"/>
      <c r="F71" s="18" t="e">
        <f ca="1">INDIRECT(_xlfn.TEXTJOIN("",TRUE,A73,"!",ADDRESS(5+A74*A70,8)))</f>
        <v>#N/A</v>
      </c>
      <c r="G71" s="120" t="s">
        <v>39</v>
      </c>
      <c r="H71" s="120"/>
      <c r="I71" s="109" t="e">
        <f ca="1">INDIRECT(_xlfn.TEXTJOIN("",TRUE,A73,"!",ADDRESS(5+A74*A70,10)))</f>
        <v>#N/A</v>
      </c>
      <c r="J71" s="109"/>
    </row>
    <row r="72" spans="1:10" ht="28" customHeight="1" x14ac:dyDescent="0.2">
      <c r="A72" s="19" t="s">
        <v>36</v>
      </c>
      <c r="B72" s="95" t="e">
        <f ca="1">INDIRECT(_xlfn.TEXTJOIN("",TRUE,A73,"!",ADDRESS(5+A74*A70,2)))</f>
        <v>#N/A</v>
      </c>
      <c r="C72" s="95"/>
      <c r="D72" s="121" t="s">
        <v>37</v>
      </c>
      <c r="E72" s="121"/>
      <c r="F72" s="122" t="e">
        <f ca="1">INDIRECT(_xlfn.TEXTJOIN("",TRUE,A73,"!",ADDRESS(5+A74*A70,5)))</f>
        <v>#N/A</v>
      </c>
      <c r="G72" s="122"/>
      <c r="H72" s="122"/>
      <c r="I72" s="122"/>
      <c r="J72" s="122"/>
    </row>
    <row r="73" spans="1:10" ht="28" customHeight="1" x14ac:dyDescent="0.2">
      <c r="A73" s="22" t="str">
        <f>A56</f>
        <v>TC_III</v>
      </c>
    </row>
    <row r="74" spans="1:10" ht="28" customHeight="1" x14ac:dyDescent="0.2">
      <c r="A74" s="22">
        <f>A57+1</f>
        <v>4</v>
      </c>
    </row>
    <row r="75" spans="1:10" ht="28" customHeight="1" x14ac:dyDescent="0.2">
      <c r="A75" s="112" t="s">
        <v>24</v>
      </c>
      <c r="B75" s="112"/>
      <c r="C75" s="112" t="str">
        <f ca="1">INDIRECT(_xlfn.TEXTJOIN("",TRUE,A90,"!",ADDRESS(9+(A91-1)*A87,2)))</f>
        <v>ANJALI PATWAL</v>
      </c>
      <c r="D75" s="112"/>
      <c r="E75" s="112"/>
      <c r="F75" s="112" t="s">
        <v>50</v>
      </c>
      <c r="G75" s="112"/>
      <c r="H75" s="112"/>
      <c r="I75" s="113">
        <f ca="1">INDIRECT(_xlfn.TEXTJOIN("",TRUE,A90,"!",ADDRESS(9+(A91-1)*A87,9)))</f>
        <v>240090600005</v>
      </c>
      <c r="J75" s="113"/>
    </row>
    <row r="76" spans="1:10" ht="28" customHeight="1" x14ac:dyDescent="0.2">
      <c r="A76" s="112" t="s">
        <v>25</v>
      </c>
      <c r="B76" s="112"/>
      <c r="C76" s="112" t="str">
        <f ca="1">INDIRECT(_xlfn.TEXTJOIN("",TRUE,A90,"!",ADDRESS(9+(A91-1)*A87,5)))</f>
        <v>SANJAY SINGH PATWAL</v>
      </c>
      <c r="D76" s="112"/>
      <c r="E76" s="112"/>
      <c r="F76" s="114" t="s">
        <v>51</v>
      </c>
      <c r="G76" s="114"/>
      <c r="H76" s="114"/>
      <c r="I76" s="113" t="str">
        <f ca="1">INDIRECT(_xlfn.TEXTJOIN("",TRUE,A90,"!",ADDRESS(9+(A91-1)*A87,13)))</f>
        <v>UTU/2406100178</v>
      </c>
      <c r="J76" s="113"/>
    </row>
    <row r="77" spans="1:10" ht="28" customHeight="1" x14ac:dyDescent="0.2">
      <c r="A77" s="95" t="s">
        <v>28</v>
      </c>
      <c r="B77" s="95"/>
      <c r="C77" s="95" t="s">
        <v>29</v>
      </c>
      <c r="D77" s="95"/>
      <c r="E77" s="95"/>
      <c r="F77" s="95"/>
      <c r="G77" s="95"/>
      <c r="H77" s="15" t="s">
        <v>30</v>
      </c>
      <c r="I77" s="15" t="s">
        <v>9</v>
      </c>
      <c r="J77" s="15" t="s">
        <v>34</v>
      </c>
    </row>
    <row r="78" spans="1:10" ht="28" customHeight="1" x14ac:dyDescent="0.2">
      <c r="A78" s="96" t="str">
        <f ca="1">INDIRECT(_xlfn.TEXTJOIN("",TRUE,A90,"!",ADDRESS(13+(A91-1)*A87,1)))</f>
        <v>CAT  014</v>
      </c>
      <c r="B78" s="97"/>
      <c r="C78" s="106" t="str">
        <f ca="1">INDIRECT(_xlfn.TEXTJOIN("",TRUE,A90,"!",ADDRESS(13+(A91-1)*A87,2)))</f>
        <v>Graph Theory</v>
      </c>
      <c r="D78" s="107"/>
      <c r="E78" s="107"/>
      <c r="F78" s="107"/>
      <c r="G78" s="108"/>
      <c r="H78" s="20">
        <f ca="1">INDIRECT(_xlfn.TEXTJOIN("",TRUE,A90,"!",ADDRESS(13+(A91-1)*A87,6)))</f>
        <v>4</v>
      </c>
      <c r="I78" s="20" t="str">
        <f ca="1">INDIRECT(_xlfn.TEXTJOIN("",TRUE,A90,"!",ADDRESS(13+(A91-1)*A87,13)))</f>
        <v>F</v>
      </c>
      <c r="J78" s="20">
        <f ca="1">INDIRECT(_xlfn.TEXTJOIN("",TRUE,A90,"!",ADDRESS(13+(A91-1)*A87,14)))</f>
        <v>0</v>
      </c>
    </row>
    <row r="79" spans="1:10" ht="28" customHeight="1" x14ac:dyDescent="0.2">
      <c r="A79" s="96" t="str">
        <f ca="1">INDIRECT(_xlfn.TEXTJOIN("",TRUE,A90,"!",ADDRESS(14+(A91-1)*A87,1)))</f>
        <v>CAT 015</v>
      </c>
      <c r="B79" s="97"/>
      <c r="C79" s="106" t="str">
        <f ca="1">INDIRECT(_xlfn.TEXTJOIN("",TRUE,A90,"!",ADDRESS(14+(A91-1)*A87,2)))</f>
        <v>Software Engineering</v>
      </c>
      <c r="D79" s="107"/>
      <c r="E79" s="107"/>
      <c r="F79" s="107"/>
      <c r="G79" s="108"/>
      <c r="H79" s="20">
        <f ca="1">INDIRECT(_xlfn.TEXTJOIN("",TRUE,A90,"!",ADDRESS(14+(A91-1)*A87,6)))</f>
        <v>4</v>
      </c>
      <c r="I79" s="20" t="str">
        <f ca="1">INDIRECT(_xlfn.TEXTJOIN("",TRUE,A90,"!",ADDRESS(14+(A91-1)*A87,13)))</f>
        <v>F</v>
      </c>
      <c r="J79" s="20">
        <f ca="1">INDIRECT(_xlfn.TEXTJOIN("",TRUE,A90,"!",ADDRESS(14+(A91-1)*A87,14)))</f>
        <v>0</v>
      </c>
    </row>
    <row r="80" spans="1:10" ht="28" customHeight="1" x14ac:dyDescent="0.2">
      <c r="A80" s="96" t="str">
        <f ca="1">INDIRECT(_xlfn.TEXTJOIN("",TRUE,A90,"!",ADDRESS(15+(A91-1)*A87,1)))</f>
        <v>Enroll No.</v>
      </c>
      <c r="B80" s="97"/>
      <c r="C80" s="106">
        <f ca="1">INDIRECT(_xlfn.TEXTJOIN("",TRUE,A90,"!",ADDRESS(15+(A91-1)*A87,2)))</f>
        <v>0</v>
      </c>
      <c r="D80" s="107"/>
      <c r="E80" s="107"/>
      <c r="F80" s="107"/>
      <c r="G80" s="108"/>
      <c r="H80" s="20">
        <f ca="1">INDIRECT(_xlfn.TEXTJOIN("",TRUE,A90,"!",ADDRESS(15+(A91-1)*A87,6)))</f>
        <v>0</v>
      </c>
      <c r="I80" s="20" t="b">
        <f ca="1">INDIRECT(_xlfn.TEXTJOIN("",TRUE,A90,"!",ADDRESS(15+(A91-1)*A87,13)))</f>
        <v>0</v>
      </c>
      <c r="J80" s="20" t="e">
        <f ca="1">INDIRECT(_xlfn.TEXTJOIN("",TRUE,A90,"!",ADDRESS(15+(A91-1)*A87,14)))</f>
        <v>#N/A</v>
      </c>
    </row>
    <row r="81" spans="1:10" ht="28" customHeight="1" x14ac:dyDescent="0.2">
      <c r="A81" s="96" t="str">
        <f ca="1">INDIRECT(_xlfn.TEXTJOIN("",TRUE,A90,"!",ADDRESS(16+(A91-1)*A87,1)))</f>
        <v>Enroll No.</v>
      </c>
      <c r="B81" s="97"/>
      <c r="C81" s="106">
        <f ca="1">INDIRECT(_xlfn.TEXTJOIN("",TRUE,A90,"!",ADDRESS(16+(A91-1)*A87,2)))</f>
        <v>0</v>
      </c>
      <c r="D81" s="107"/>
      <c r="E81" s="107"/>
      <c r="F81" s="107"/>
      <c r="G81" s="108"/>
      <c r="H81" s="20">
        <f ca="1">INDIRECT(_xlfn.TEXTJOIN("",TRUE,A90,"!",ADDRESS(16+(A91-1)*A87,6)))</f>
        <v>0</v>
      </c>
      <c r="I81" s="20" t="b">
        <f ca="1">INDIRECT(_xlfn.TEXTJOIN("",TRUE,A90,"!",ADDRESS(16+(A91-1)*A87,13)))</f>
        <v>0</v>
      </c>
      <c r="J81" s="20" t="e">
        <f ca="1">INDIRECT(_xlfn.TEXTJOIN("",TRUE,A90,"!",ADDRESS(16+(A91-1)*A87,14)))</f>
        <v>#N/A</v>
      </c>
    </row>
    <row r="82" spans="1:10" ht="28" customHeight="1" x14ac:dyDescent="0.2">
      <c r="A82" s="96" t="str">
        <f ca="1">INDIRECT(_xlfn.TEXTJOIN("",TRUE,A90,"!",ADDRESS(17+(A91-1)*A87,1)))</f>
        <v>AHT 310</v>
      </c>
      <c r="B82" s="97"/>
      <c r="C82" s="106" t="str">
        <f ca="1">INDIRECT(_xlfn.TEXTJOIN("",TRUE,A90,"!",ADDRESS(17+(A91-1)*A87,2)))</f>
        <v>Universal Human Value</v>
      </c>
      <c r="D82" s="107"/>
      <c r="E82" s="107"/>
      <c r="F82" s="107"/>
      <c r="G82" s="108"/>
      <c r="H82" s="20">
        <f ca="1">INDIRECT(_xlfn.TEXTJOIN("",TRUE,A90,"!",ADDRESS(17+(A91-1)*A87,6)))</f>
        <v>3</v>
      </c>
      <c r="I82" s="20" t="str">
        <f ca="1">INDIRECT(_xlfn.TEXTJOIN("",TRUE,A90,"!",ADDRESS(17+(A91-1)*A87,13)))</f>
        <v>F</v>
      </c>
      <c r="J82" s="20">
        <f ca="1">INDIRECT(_xlfn.TEXTJOIN("",TRUE,A90,"!",ADDRESS(17+(A91-1)*A87,14)))</f>
        <v>0</v>
      </c>
    </row>
    <row r="83" spans="1:10" ht="28" customHeight="1" x14ac:dyDescent="0.2">
      <c r="A83" s="96" t="str">
        <f ca="1">INDIRECT(_xlfn.TEXTJOIN("",TRUE,A90,"!",ADDRESS(18+(A91-1)*A87,1)))</f>
        <v>CAP 008</v>
      </c>
      <c r="B83" s="97"/>
      <c r="C83" s="106" t="str">
        <f ca="1">INDIRECT(_xlfn.TEXTJOIN("",TRUE,A90,"!",ADDRESS(18+(A91-1)*A87,2)))</f>
        <v>Software Engineering Lab</v>
      </c>
      <c r="D83" s="107"/>
      <c r="E83" s="107"/>
      <c r="F83" s="107"/>
      <c r="G83" s="108"/>
      <c r="H83" s="20">
        <f ca="1">INDIRECT(_xlfn.TEXTJOIN("",TRUE,A90,"!",ADDRESS(18+(A91-1)*A87,6)))</f>
        <v>1</v>
      </c>
      <c r="I83" s="20" t="str">
        <f ca="1">INDIRECT(_xlfn.TEXTJOIN("",TRUE,A90,"!",ADDRESS(18+(A91-1)*A87,13)))</f>
        <v>F</v>
      </c>
      <c r="J83" s="20">
        <f ca="1">INDIRECT(_xlfn.TEXTJOIN("",TRUE,A90,"!",ADDRESS(18+(A91-1)*A87,14)))</f>
        <v>0</v>
      </c>
    </row>
    <row r="84" spans="1:10" ht="28" customHeight="1" x14ac:dyDescent="0.2">
      <c r="A84" s="96" t="str">
        <f ca="1">INDIRECT(_xlfn.TEXTJOIN("",TRUE,A90,"!",ADDRESS(19+(A91-1)*A87,1)))</f>
        <v>CAP 009</v>
      </c>
      <c r="B84" s="97"/>
      <c r="C84" s="106" t="str">
        <f ca="1">INDIRECT(_xlfn.TEXTJOIN("",TRUE,A90,"!",ADDRESS(19+(A91-1)*A87,2)))</f>
        <v>Seminar</v>
      </c>
      <c r="D84" s="107"/>
      <c r="E84" s="107"/>
      <c r="F84" s="107"/>
      <c r="G84" s="108"/>
      <c r="H84" s="20">
        <f ca="1">INDIRECT(_xlfn.TEXTJOIN("",TRUE,A90,"!",ADDRESS(19+(A91-1)*A87,6)))</f>
        <v>2</v>
      </c>
      <c r="I84" s="20" t="str">
        <f ca="1">INDIRECT(_xlfn.TEXTJOIN("",TRUE,A90,"!",ADDRESS(19+(A91-1)*A87,13)))</f>
        <v>F</v>
      </c>
      <c r="J84" s="20">
        <f ca="1">INDIRECT(_xlfn.TEXTJOIN("",TRUE,A90,"!",ADDRESS(19+(A91-1)*A87,14)))</f>
        <v>0</v>
      </c>
    </row>
    <row r="85" spans="1:10" ht="28" customHeight="1" x14ac:dyDescent="0.2">
      <c r="A85" s="96" t="str">
        <f ca="1">INDIRECT(_xlfn.TEXTJOIN("",TRUE,A90,"!",ADDRESS(20+(A91-1)*A87,1)))</f>
        <v>CAP 010</v>
      </c>
      <c r="B85" s="97"/>
      <c r="C85" s="106" t="str">
        <f ca="1">INDIRECT(_xlfn.TEXTJOIN("",TRUE,A90,"!",ADDRESS(20+(A91-1)*A87,2)))</f>
        <v>Minor Project</v>
      </c>
      <c r="D85" s="107"/>
      <c r="E85" s="107"/>
      <c r="F85" s="107"/>
      <c r="G85" s="108"/>
      <c r="H85" s="20">
        <f ca="1">INDIRECT(_xlfn.TEXTJOIN("",TRUE,A90,"!",ADDRESS(20+(A91-1)*A87,6)))</f>
        <v>2</v>
      </c>
      <c r="I85" s="20" t="str">
        <f ca="1">INDIRECT(_xlfn.TEXTJOIN("",TRUE,A90,"!",ADDRESS(20+(A91-1)*A87,13)))</f>
        <v>F</v>
      </c>
      <c r="J85" s="20">
        <f ca="1">INDIRECT(_xlfn.TEXTJOIN("",TRUE,A90,"!",ADDRESS(20+(A91-1)*A87,14)))</f>
        <v>0</v>
      </c>
    </row>
    <row r="86" spans="1:10" ht="28" customHeight="1" x14ac:dyDescent="0.2">
      <c r="A86" s="118" t="s">
        <v>52</v>
      </c>
      <c r="B86" s="118"/>
      <c r="C86" s="118"/>
      <c r="D86" s="118"/>
      <c r="E86" s="118"/>
      <c r="F86" s="118"/>
      <c r="G86" s="118"/>
      <c r="H86" s="16">
        <f ca="1">SUM(H78:H85)</f>
        <v>16</v>
      </c>
      <c r="I86" s="16" t="s">
        <v>44</v>
      </c>
      <c r="J86" s="16" t="e">
        <f ca="1">SUMPRODUCT(J78:J85,H78:H85)</f>
        <v>#N/A</v>
      </c>
    </row>
    <row r="87" spans="1:10" ht="28" customHeight="1" x14ac:dyDescent="0.2">
      <c r="A87" s="22">
        <f>ROWS(A78:B85)+9</f>
        <v>17</v>
      </c>
      <c r="B87" s="17"/>
      <c r="C87" s="17"/>
      <c r="D87" s="17"/>
      <c r="E87" s="17"/>
      <c r="F87" s="17"/>
      <c r="G87" s="17"/>
      <c r="H87" s="17"/>
      <c r="I87" s="17"/>
      <c r="J87" s="17"/>
    </row>
    <row r="88" spans="1:10" ht="28" customHeight="1" x14ac:dyDescent="0.2">
      <c r="A88" s="120" t="s">
        <v>40</v>
      </c>
      <c r="B88" s="120"/>
      <c r="C88" s="21">
        <f ca="1">INDIRECT(_xlfn.TEXTJOIN("",TRUE,A90,"!",ADDRESS(5+A91*A87,12)))</f>
        <v>0</v>
      </c>
      <c r="D88" s="120" t="s">
        <v>38</v>
      </c>
      <c r="E88" s="120"/>
      <c r="F88" s="18" t="e">
        <f ca="1">INDIRECT(_xlfn.TEXTJOIN("",TRUE,A90,"!",ADDRESS(5+A91*A87,8)))</f>
        <v>#N/A</v>
      </c>
      <c r="G88" s="120" t="s">
        <v>39</v>
      </c>
      <c r="H88" s="120"/>
      <c r="I88" s="109" t="e">
        <f ca="1">INDIRECT(_xlfn.TEXTJOIN("",TRUE,A90,"!",ADDRESS(5+A91*A87,10)))</f>
        <v>#N/A</v>
      </c>
      <c r="J88" s="109"/>
    </row>
    <row r="89" spans="1:10" ht="28" customHeight="1" x14ac:dyDescent="0.2">
      <c r="A89" s="19" t="s">
        <v>36</v>
      </c>
      <c r="B89" s="95" t="e">
        <f ca="1">INDIRECT(_xlfn.TEXTJOIN("",TRUE,A90,"!",ADDRESS(5+A91*A87,2)))</f>
        <v>#N/A</v>
      </c>
      <c r="C89" s="95"/>
      <c r="D89" s="121" t="s">
        <v>37</v>
      </c>
      <c r="E89" s="121"/>
      <c r="F89" s="122" t="e">
        <f ca="1">INDIRECT(_xlfn.TEXTJOIN("",TRUE,A90,"!",ADDRESS(5+A91*A87,5)))</f>
        <v>#N/A</v>
      </c>
      <c r="G89" s="122"/>
      <c r="H89" s="122"/>
      <c r="I89" s="122"/>
      <c r="J89" s="122"/>
    </row>
    <row r="90" spans="1:10" ht="28" customHeight="1" x14ac:dyDescent="0.2">
      <c r="A90" s="22" t="str">
        <f>A73</f>
        <v>TC_III</v>
      </c>
    </row>
    <row r="91" spans="1:10" ht="28" customHeight="1" x14ac:dyDescent="0.2">
      <c r="A91" s="22">
        <f>A74+1</f>
        <v>5</v>
      </c>
    </row>
    <row r="92" spans="1:10" ht="28" customHeight="1" x14ac:dyDescent="0.2">
      <c r="A92" s="112" t="s">
        <v>24</v>
      </c>
      <c r="B92" s="112"/>
      <c r="C92" s="112" t="str">
        <f ca="1">INDIRECT(_xlfn.TEXTJOIN("",TRUE,A107,"!",ADDRESS(9+(A108-1)*A104,2)))</f>
        <v>ASMIT BHATT</v>
      </c>
      <c r="D92" s="112"/>
      <c r="E92" s="112"/>
      <c r="F92" s="112" t="s">
        <v>50</v>
      </c>
      <c r="G92" s="112"/>
      <c r="H92" s="112"/>
      <c r="I92" s="113">
        <f ca="1">INDIRECT(_xlfn.TEXTJOIN("",TRUE,A107,"!",ADDRESS(9+(A108-1)*A104,9)))</f>
        <v>240090600006</v>
      </c>
      <c r="J92" s="113"/>
    </row>
    <row r="93" spans="1:10" ht="28" customHeight="1" x14ac:dyDescent="0.2">
      <c r="A93" s="112" t="s">
        <v>25</v>
      </c>
      <c r="B93" s="112"/>
      <c r="C93" s="112" t="str">
        <f ca="1">INDIRECT(_xlfn.TEXTJOIN("",TRUE,A107,"!",ADDRESS(9+(A108-1)*A104,5)))</f>
        <v>JANARDHAN BHATT</v>
      </c>
      <c r="D93" s="112"/>
      <c r="E93" s="112"/>
      <c r="F93" s="114" t="s">
        <v>51</v>
      </c>
      <c r="G93" s="114"/>
      <c r="H93" s="114"/>
      <c r="I93" s="113" t="str">
        <f ca="1">INDIRECT(_xlfn.TEXTJOIN("",TRUE,A107,"!",ADDRESS(9+(A108-1)*A104,13)))</f>
        <v>UTU/2406100179</v>
      </c>
      <c r="J93" s="113"/>
    </row>
    <row r="94" spans="1:10" ht="28" customHeight="1" x14ac:dyDescent="0.2">
      <c r="A94" s="95" t="s">
        <v>28</v>
      </c>
      <c r="B94" s="95"/>
      <c r="C94" s="95" t="s">
        <v>29</v>
      </c>
      <c r="D94" s="95"/>
      <c r="E94" s="95"/>
      <c r="F94" s="95"/>
      <c r="G94" s="95"/>
      <c r="H94" s="15" t="s">
        <v>30</v>
      </c>
      <c r="I94" s="15" t="s">
        <v>9</v>
      </c>
      <c r="J94" s="15" t="s">
        <v>34</v>
      </c>
    </row>
    <row r="95" spans="1:10" ht="28" customHeight="1" x14ac:dyDescent="0.2">
      <c r="A95" s="96" t="str">
        <f ca="1">INDIRECT(_xlfn.TEXTJOIN("",TRUE,A107,"!",ADDRESS(13+(A108-1)*A104,1)))</f>
        <v>CAT  014</v>
      </c>
      <c r="B95" s="97"/>
      <c r="C95" s="106" t="str">
        <f ca="1">INDIRECT(_xlfn.TEXTJOIN("",TRUE,A107,"!",ADDRESS(13+(A108-1)*A104,2)))</f>
        <v>Graph Theory</v>
      </c>
      <c r="D95" s="107"/>
      <c r="E95" s="107"/>
      <c r="F95" s="107"/>
      <c r="G95" s="108"/>
      <c r="H95" s="20">
        <f ca="1">INDIRECT(_xlfn.TEXTJOIN("",TRUE,A107,"!",ADDRESS(13+(A108-1)*A104,6)))</f>
        <v>4</v>
      </c>
      <c r="I95" s="20" t="str">
        <f ca="1">INDIRECT(_xlfn.TEXTJOIN("",TRUE,A107,"!",ADDRESS(13+(A108-1)*A104,13)))</f>
        <v>F</v>
      </c>
      <c r="J95" s="20">
        <f ca="1">INDIRECT(_xlfn.TEXTJOIN("",TRUE,A107,"!",ADDRESS(13+(A108-1)*A104,14)))</f>
        <v>0</v>
      </c>
    </row>
    <row r="96" spans="1:10" ht="28" customHeight="1" x14ac:dyDescent="0.2">
      <c r="A96" s="96" t="str">
        <f ca="1">INDIRECT(_xlfn.TEXTJOIN("",TRUE,A107,"!",ADDRESS(14+(A108-1)*A104,1)))</f>
        <v>CAT 015</v>
      </c>
      <c r="B96" s="97"/>
      <c r="C96" s="106" t="str">
        <f ca="1">INDIRECT(_xlfn.TEXTJOIN("",TRUE,A107,"!",ADDRESS(14+(A108-1)*A104,2)))</f>
        <v>Software Engineering</v>
      </c>
      <c r="D96" s="107"/>
      <c r="E96" s="107"/>
      <c r="F96" s="107"/>
      <c r="G96" s="108"/>
      <c r="H96" s="20">
        <f ca="1">INDIRECT(_xlfn.TEXTJOIN("",TRUE,A107,"!",ADDRESS(14+(A108-1)*A104,6)))</f>
        <v>4</v>
      </c>
      <c r="I96" s="20" t="str">
        <f ca="1">INDIRECT(_xlfn.TEXTJOIN("",TRUE,A107,"!",ADDRESS(14+(A108-1)*A104,13)))</f>
        <v>F</v>
      </c>
      <c r="J96" s="20">
        <f ca="1">INDIRECT(_xlfn.TEXTJOIN("",TRUE,A107,"!",ADDRESS(14+(A108-1)*A104,14)))</f>
        <v>0</v>
      </c>
    </row>
    <row r="97" spans="1:10" ht="28" customHeight="1" x14ac:dyDescent="0.2">
      <c r="A97" s="96" t="str">
        <f ca="1">INDIRECT(_xlfn.TEXTJOIN("",TRUE,A107,"!",ADDRESS(15+(A108-1)*A104,1)))</f>
        <v>Enroll No.</v>
      </c>
      <c r="B97" s="97"/>
      <c r="C97" s="106">
        <f ca="1">INDIRECT(_xlfn.TEXTJOIN("",TRUE,A107,"!",ADDRESS(15+(A108-1)*A104,2)))</f>
        <v>0</v>
      </c>
      <c r="D97" s="107"/>
      <c r="E97" s="107"/>
      <c r="F97" s="107"/>
      <c r="G97" s="108"/>
      <c r="H97" s="20">
        <f ca="1">INDIRECT(_xlfn.TEXTJOIN("",TRUE,A107,"!",ADDRESS(15+(A108-1)*A104,6)))</f>
        <v>0</v>
      </c>
      <c r="I97" s="20" t="b">
        <f ca="1">INDIRECT(_xlfn.TEXTJOIN("",TRUE,A107,"!",ADDRESS(15+(A108-1)*A104,13)))</f>
        <v>0</v>
      </c>
      <c r="J97" s="20" t="e">
        <f ca="1">INDIRECT(_xlfn.TEXTJOIN("",TRUE,A107,"!",ADDRESS(15+(A108-1)*A104,14)))</f>
        <v>#N/A</v>
      </c>
    </row>
    <row r="98" spans="1:10" ht="28" customHeight="1" x14ac:dyDescent="0.2">
      <c r="A98" s="96" t="str">
        <f ca="1">INDIRECT(_xlfn.TEXTJOIN("",TRUE,A107,"!",ADDRESS(16+(A108-1)*A104,1)))</f>
        <v>Enroll No.</v>
      </c>
      <c r="B98" s="97"/>
      <c r="C98" s="106">
        <f ca="1">INDIRECT(_xlfn.TEXTJOIN("",TRUE,A107,"!",ADDRESS(16+(A108-1)*A104,2)))</f>
        <v>0</v>
      </c>
      <c r="D98" s="107"/>
      <c r="E98" s="107"/>
      <c r="F98" s="107"/>
      <c r="G98" s="108"/>
      <c r="H98" s="20">
        <f ca="1">INDIRECT(_xlfn.TEXTJOIN("",TRUE,A107,"!",ADDRESS(16+(A108-1)*A104,6)))</f>
        <v>0</v>
      </c>
      <c r="I98" s="20" t="b">
        <f ca="1">INDIRECT(_xlfn.TEXTJOIN("",TRUE,A107,"!",ADDRESS(16+(A108-1)*A104,13)))</f>
        <v>0</v>
      </c>
      <c r="J98" s="20" t="e">
        <f ca="1">INDIRECT(_xlfn.TEXTJOIN("",TRUE,A107,"!",ADDRESS(16+(A108-1)*A104,14)))</f>
        <v>#N/A</v>
      </c>
    </row>
    <row r="99" spans="1:10" ht="28" customHeight="1" x14ac:dyDescent="0.2">
      <c r="A99" s="96" t="str">
        <f ca="1">INDIRECT(_xlfn.TEXTJOIN("",TRUE,A107,"!",ADDRESS(17+(A108-1)*A104,1)))</f>
        <v>AHT 310</v>
      </c>
      <c r="B99" s="97"/>
      <c r="C99" s="106" t="str">
        <f ca="1">INDIRECT(_xlfn.TEXTJOIN("",TRUE,A107,"!",ADDRESS(17+(A108-1)*A104,2)))</f>
        <v>Universal Human Value</v>
      </c>
      <c r="D99" s="107"/>
      <c r="E99" s="107"/>
      <c r="F99" s="107"/>
      <c r="G99" s="108"/>
      <c r="H99" s="20">
        <f ca="1">INDIRECT(_xlfn.TEXTJOIN("",TRUE,A107,"!",ADDRESS(17+(A108-1)*A104,6)))</f>
        <v>3</v>
      </c>
      <c r="I99" s="20" t="str">
        <f ca="1">INDIRECT(_xlfn.TEXTJOIN("",TRUE,A107,"!",ADDRESS(17+(A108-1)*A104,13)))</f>
        <v>F</v>
      </c>
      <c r="J99" s="20">
        <f ca="1">INDIRECT(_xlfn.TEXTJOIN("",TRUE,A107,"!",ADDRESS(17+(A108-1)*A104,14)))</f>
        <v>0</v>
      </c>
    </row>
    <row r="100" spans="1:10" ht="28" customHeight="1" x14ac:dyDescent="0.2">
      <c r="A100" s="96" t="str">
        <f ca="1">INDIRECT(_xlfn.TEXTJOIN("",TRUE,A107,"!",ADDRESS(18+(A108-1)*A104,1)))</f>
        <v>CAP 008</v>
      </c>
      <c r="B100" s="97"/>
      <c r="C100" s="106" t="str">
        <f ca="1">INDIRECT(_xlfn.TEXTJOIN("",TRUE,A107,"!",ADDRESS(18+(A108-1)*A104,2)))</f>
        <v>Software Engineering Lab</v>
      </c>
      <c r="D100" s="107"/>
      <c r="E100" s="107"/>
      <c r="F100" s="107"/>
      <c r="G100" s="108"/>
      <c r="H100" s="20">
        <f ca="1">INDIRECT(_xlfn.TEXTJOIN("",TRUE,A107,"!",ADDRESS(18+(A108-1)*A104,6)))</f>
        <v>1</v>
      </c>
      <c r="I100" s="20" t="str">
        <f ca="1">INDIRECT(_xlfn.TEXTJOIN("",TRUE,A107,"!",ADDRESS(18+(A108-1)*A104,13)))</f>
        <v>F</v>
      </c>
      <c r="J100" s="20">
        <f ca="1">INDIRECT(_xlfn.TEXTJOIN("",TRUE,A107,"!",ADDRESS(18+(A108-1)*A104,14)))</f>
        <v>0</v>
      </c>
    </row>
    <row r="101" spans="1:10" ht="28" customHeight="1" x14ac:dyDescent="0.2">
      <c r="A101" s="96" t="str">
        <f ca="1">INDIRECT(_xlfn.TEXTJOIN("",TRUE,A107,"!",ADDRESS(19+(A108-1)*A104,1)))</f>
        <v>CAP 009</v>
      </c>
      <c r="B101" s="97"/>
      <c r="C101" s="106" t="str">
        <f ca="1">INDIRECT(_xlfn.TEXTJOIN("",TRUE,A107,"!",ADDRESS(19+(A108-1)*A104,2)))</f>
        <v>Seminar</v>
      </c>
      <c r="D101" s="107"/>
      <c r="E101" s="107"/>
      <c r="F101" s="107"/>
      <c r="G101" s="108"/>
      <c r="H101" s="20">
        <f ca="1">INDIRECT(_xlfn.TEXTJOIN("",TRUE,A107,"!",ADDRESS(19+(A108-1)*A104,6)))</f>
        <v>2</v>
      </c>
      <c r="I101" s="20" t="str">
        <f ca="1">INDIRECT(_xlfn.TEXTJOIN("",TRUE,A107,"!",ADDRESS(19+(A108-1)*A104,13)))</f>
        <v>F</v>
      </c>
      <c r="J101" s="20">
        <f ca="1">INDIRECT(_xlfn.TEXTJOIN("",TRUE,A107,"!",ADDRESS(19+(A108-1)*A104,14)))</f>
        <v>0</v>
      </c>
    </row>
    <row r="102" spans="1:10" ht="28" customHeight="1" x14ac:dyDescent="0.2">
      <c r="A102" s="96" t="str">
        <f ca="1">INDIRECT(_xlfn.TEXTJOIN("",TRUE,A107,"!",ADDRESS(20+(A108-1)*A104,1)))</f>
        <v>CAP 010</v>
      </c>
      <c r="B102" s="97"/>
      <c r="C102" s="106" t="str">
        <f ca="1">INDIRECT(_xlfn.TEXTJOIN("",TRUE,A107,"!",ADDRESS(20+(A108-1)*A104,2)))</f>
        <v>Minor Project</v>
      </c>
      <c r="D102" s="107"/>
      <c r="E102" s="107"/>
      <c r="F102" s="107"/>
      <c r="G102" s="108"/>
      <c r="H102" s="20">
        <f ca="1">INDIRECT(_xlfn.TEXTJOIN("",TRUE,A107,"!",ADDRESS(20+(A108-1)*A104,6)))</f>
        <v>2</v>
      </c>
      <c r="I102" s="20" t="str">
        <f ca="1">INDIRECT(_xlfn.TEXTJOIN("",TRUE,A107,"!",ADDRESS(20+(A108-1)*A104,13)))</f>
        <v>F</v>
      </c>
      <c r="J102" s="20">
        <f ca="1">INDIRECT(_xlfn.TEXTJOIN("",TRUE,A107,"!",ADDRESS(20+(A108-1)*A104,14)))</f>
        <v>0</v>
      </c>
    </row>
    <row r="103" spans="1:10" ht="28" customHeight="1" x14ac:dyDescent="0.2">
      <c r="A103" s="118" t="s">
        <v>52</v>
      </c>
      <c r="B103" s="118"/>
      <c r="C103" s="118"/>
      <c r="D103" s="118"/>
      <c r="E103" s="118"/>
      <c r="F103" s="118"/>
      <c r="G103" s="118"/>
      <c r="H103" s="16">
        <f ca="1">SUM(H95:H102)</f>
        <v>16</v>
      </c>
      <c r="I103" s="16" t="s">
        <v>44</v>
      </c>
      <c r="J103" s="16" t="e">
        <f ca="1">SUMPRODUCT(J95:J102,H95:H102)</f>
        <v>#N/A</v>
      </c>
    </row>
    <row r="104" spans="1:10" ht="28" customHeight="1" x14ac:dyDescent="0.2">
      <c r="A104" s="22">
        <f>ROWS(A95:B102)+9</f>
        <v>17</v>
      </c>
      <c r="B104" s="17"/>
      <c r="C104" s="17"/>
      <c r="D104" s="17"/>
      <c r="E104" s="17"/>
      <c r="F104" s="17"/>
      <c r="G104" s="17"/>
      <c r="H104" s="17"/>
      <c r="I104" s="17"/>
      <c r="J104" s="17"/>
    </row>
    <row r="105" spans="1:10" ht="28" customHeight="1" x14ac:dyDescent="0.2">
      <c r="A105" s="120" t="s">
        <v>40</v>
      </c>
      <c r="B105" s="120"/>
      <c r="C105" s="21">
        <f ca="1">INDIRECT(_xlfn.TEXTJOIN("",TRUE,A107,"!",ADDRESS(5+A108*A104,12)))</f>
        <v>0</v>
      </c>
      <c r="D105" s="120" t="s">
        <v>38</v>
      </c>
      <c r="E105" s="120"/>
      <c r="F105" s="18" t="e">
        <f ca="1">INDIRECT(_xlfn.TEXTJOIN("",TRUE,A107,"!",ADDRESS(5+A108*A104,8)))</f>
        <v>#N/A</v>
      </c>
      <c r="G105" s="120" t="s">
        <v>39</v>
      </c>
      <c r="H105" s="120"/>
      <c r="I105" s="109" t="e">
        <f ca="1">INDIRECT(_xlfn.TEXTJOIN("",TRUE,A107,"!",ADDRESS(5+A108*A104,10)))</f>
        <v>#N/A</v>
      </c>
      <c r="J105" s="109"/>
    </row>
    <row r="106" spans="1:10" ht="28" customHeight="1" x14ac:dyDescent="0.2">
      <c r="A106" s="19" t="s">
        <v>36</v>
      </c>
      <c r="B106" s="95" t="e">
        <f ca="1">INDIRECT(_xlfn.TEXTJOIN("",TRUE,A107,"!",ADDRESS(5+A108*A104,2)))</f>
        <v>#N/A</v>
      </c>
      <c r="C106" s="95"/>
      <c r="D106" s="121" t="s">
        <v>37</v>
      </c>
      <c r="E106" s="121"/>
      <c r="F106" s="122" t="e">
        <f ca="1">INDIRECT(_xlfn.TEXTJOIN("",TRUE,A107,"!",ADDRESS(5+A108*A104,5)))</f>
        <v>#N/A</v>
      </c>
      <c r="G106" s="122"/>
      <c r="H106" s="122"/>
      <c r="I106" s="122"/>
      <c r="J106" s="122"/>
    </row>
    <row r="107" spans="1:10" ht="28" customHeight="1" x14ac:dyDescent="0.2">
      <c r="A107" s="22" t="str">
        <f>A90</f>
        <v>TC_III</v>
      </c>
    </row>
    <row r="108" spans="1:10" ht="28" customHeight="1" x14ac:dyDescent="0.2">
      <c r="A108" s="22">
        <f>A91+1</f>
        <v>6</v>
      </c>
    </row>
    <row r="109" spans="1:10" ht="28" customHeight="1" x14ac:dyDescent="0.2">
      <c r="A109" s="112" t="s">
        <v>24</v>
      </c>
      <c r="B109" s="112"/>
      <c r="C109" s="112" t="str">
        <f ca="1">INDIRECT(_xlfn.TEXTJOIN("",TRUE,A124,"!",ADDRESS(9+(A125-1)*A121,2)))</f>
        <v>AYUSH MAURYA</v>
      </c>
      <c r="D109" s="112"/>
      <c r="E109" s="112"/>
      <c r="F109" s="112" t="s">
        <v>50</v>
      </c>
      <c r="G109" s="112"/>
      <c r="H109" s="112"/>
      <c r="I109" s="113">
        <f ca="1">INDIRECT(_xlfn.TEXTJOIN("",TRUE,A124,"!",ADDRESS(9+(A125-1)*A121,9)))</f>
        <v>240090600007</v>
      </c>
      <c r="J109" s="113"/>
    </row>
    <row r="110" spans="1:10" ht="28" customHeight="1" x14ac:dyDescent="0.2">
      <c r="A110" s="112" t="s">
        <v>25</v>
      </c>
      <c r="B110" s="112"/>
      <c r="C110" s="112" t="str">
        <f ca="1">INDIRECT(_xlfn.TEXTJOIN("",TRUE,A124,"!",ADDRESS(9+(A125-1)*A121,5)))</f>
        <v>BABU RAM</v>
      </c>
      <c r="D110" s="112"/>
      <c r="E110" s="112"/>
      <c r="F110" s="114" t="s">
        <v>51</v>
      </c>
      <c r="G110" s="114"/>
      <c r="H110" s="114"/>
      <c r="I110" s="113" t="str">
        <f ca="1">INDIRECT(_xlfn.TEXTJOIN("",TRUE,A124,"!",ADDRESS(9+(A125-1)*A121,13)))</f>
        <v>UTU/2406100174</v>
      </c>
      <c r="J110" s="113"/>
    </row>
    <row r="111" spans="1:10" ht="28" customHeight="1" x14ac:dyDescent="0.2">
      <c r="A111" s="95" t="s">
        <v>28</v>
      </c>
      <c r="B111" s="95"/>
      <c r="C111" s="95" t="s">
        <v>29</v>
      </c>
      <c r="D111" s="95"/>
      <c r="E111" s="95"/>
      <c r="F111" s="95"/>
      <c r="G111" s="95"/>
      <c r="H111" s="15" t="s">
        <v>30</v>
      </c>
      <c r="I111" s="15" t="s">
        <v>9</v>
      </c>
      <c r="J111" s="15" t="s">
        <v>34</v>
      </c>
    </row>
    <row r="112" spans="1:10" ht="28" customHeight="1" x14ac:dyDescent="0.2">
      <c r="A112" s="96" t="str">
        <f ca="1">INDIRECT(_xlfn.TEXTJOIN("",TRUE,A124,"!",ADDRESS(13+(A125-1)*A121,1)))</f>
        <v>CAT  014</v>
      </c>
      <c r="B112" s="97"/>
      <c r="C112" s="106" t="str">
        <f ca="1">INDIRECT(_xlfn.TEXTJOIN("",TRUE,A124,"!",ADDRESS(13+(A125-1)*A121,2)))</f>
        <v>Graph Theory</v>
      </c>
      <c r="D112" s="107"/>
      <c r="E112" s="107"/>
      <c r="F112" s="107"/>
      <c r="G112" s="108"/>
      <c r="H112" s="20">
        <f ca="1">INDIRECT(_xlfn.TEXTJOIN("",TRUE,A124,"!",ADDRESS(13+(A125-1)*A121,6)))</f>
        <v>4</v>
      </c>
      <c r="I112" s="20" t="str">
        <f ca="1">INDIRECT(_xlfn.TEXTJOIN("",TRUE,A124,"!",ADDRESS(13+(A125-1)*A121,13)))</f>
        <v>F</v>
      </c>
      <c r="J112" s="20">
        <f ca="1">INDIRECT(_xlfn.TEXTJOIN("",TRUE,A124,"!",ADDRESS(13+(A125-1)*A121,14)))</f>
        <v>0</v>
      </c>
    </row>
    <row r="113" spans="1:10" ht="28" customHeight="1" x14ac:dyDescent="0.2">
      <c r="A113" s="96" t="str">
        <f ca="1">INDIRECT(_xlfn.TEXTJOIN("",TRUE,A124,"!",ADDRESS(14+(A125-1)*A121,1)))</f>
        <v>CAT 015</v>
      </c>
      <c r="B113" s="97"/>
      <c r="C113" s="106" t="str">
        <f ca="1">INDIRECT(_xlfn.TEXTJOIN("",TRUE,A124,"!",ADDRESS(14+(A125-1)*A121,2)))</f>
        <v>Software Engineering</v>
      </c>
      <c r="D113" s="107"/>
      <c r="E113" s="107"/>
      <c r="F113" s="107"/>
      <c r="G113" s="108"/>
      <c r="H113" s="20">
        <f ca="1">INDIRECT(_xlfn.TEXTJOIN("",TRUE,A124,"!",ADDRESS(14+(A125-1)*A121,6)))</f>
        <v>4</v>
      </c>
      <c r="I113" s="20" t="str">
        <f ca="1">INDIRECT(_xlfn.TEXTJOIN("",TRUE,A124,"!",ADDRESS(14+(A125-1)*A121,13)))</f>
        <v>F</v>
      </c>
      <c r="J113" s="20">
        <f ca="1">INDIRECT(_xlfn.TEXTJOIN("",TRUE,A124,"!",ADDRESS(14+(A125-1)*A121,14)))</f>
        <v>0</v>
      </c>
    </row>
    <row r="114" spans="1:10" ht="28" customHeight="1" x14ac:dyDescent="0.2">
      <c r="A114" s="96" t="str">
        <f ca="1">INDIRECT(_xlfn.TEXTJOIN("",TRUE,A124,"!",ADDRESS(15+(A125-1)*A121,1)))</f>
        <v>Enroll No.</v>
      </c>
      <c r="B114" s="97"/>
      <c r="C114" s="106">
        <f ca="1">INDIRECT(_xlfn.TEXTJOIN("",TRUE,A124,"!",ADDRESS(15+(A125-1)*A121,2)))</f>
        <v>0</v>
      </c>
      <c r="D114" s="107"/>
      <c r="E114" s="107"/>
      <c r="F114" s="107"/>
      <c r="G114" s="108"/>
      <c r="H114" s="20">
        <f ca="1">INDIRECT(_xlfn.TEXTJOIN("",TRUE,A124,"!",ADDRESS(15+(A125-1)*A121,6)))</f>
        <v>0</v>
      </c>
      <c r="I114" s="20" t="b">
        <f ca="1">INDIRECT(_xlfn.TEXTJOIN("",TRUE,A124,"!",ADDRESS(15+(A125-1)*A121,13)))</f>
        <v>0</v>
      </c>
      <c r="J114" s="20" t="e">
        <f ca="1">INDIRECT(_xlfn.TEXTJOIN("",TRUE,A124,"!",ADDRESS(15+(A125-1)*A121,14)))</f>
        <v>#N/A</v>
      </c>
    </row>
    <row r="115" spans="1:10" ht="28" customHeight="1" x14ac:dyDescent="0.2">
      <c r="A115" s="96" t="str">
        <f ca="1">INDIRECT(_xlfn.TEXTJOIN("",TRUE,A124,"!",ADDRESS(16+(A125-1)*A121,1)))</f>
        <v>Enroll No.</v>
      </c>
      <c r="B115" s="97"/>
      <c r="C115" s="106">
        <f ca="1">INDIRECT(_xlfn.TEXTJOIN("",TRUE,A124,"!",ADDRESS(16+(A125-1)*A121,2)))</f>
        <v>0</v>
      </c>
      <c r="D115" s="107"/>
      <c r="E115" s="107"/>
      <c r="F115" s="107"/>
      <c r="G115" s="108"/>
      <c r="H115" s="20">
        <f ca="1">INDIRECT(_xlfn.TEXTJOIN("",TRUE,A124,"!",ADDRESS(16+(A125-1)*A121,6)))</f>
        <v>0</v>
      </c>
      <c r="I115" s="20" t="b">
        <f ca="1">INDIRECT(_xlfn.TEXTJOIN("",TRUE,A124,"!",ADDRESS(16+(A125-1)*A121,13)))</f>
        <v>0</v>
      </c>
      <c r="J115" s="20" t="e">
        <f ca="1">INDIRECT(_xlfn.TEXTJOIN("",TRUE,A124,"!",ADDRESS(16+(A125-1)*A121,14)))</f>
        <v>#N/A</v>
      </c>
    </row>
    <row r="116" spans="1:10" ht="28" customHeight="1" x14ac:dyDescent="0.2">
      <c r="A116" s="96" t="str">
        <f ca="1">INDIRECT(_xlfn.TEXTJOIN("",TRUE,A124,"!",ADDRESS(17+(A125-1)*A121,1)))</f>
        <v>AHT 310</v>
      </c>
      <c r="B116" s="97"/>
      <c r="C116" s="106" t="str">
        <f ca="1">INDIRECT(_xlfn.TEXTJOIN("",TRUE,A124,"!",ADDRESS(17+(A125-1)*A121,2)))</f>
        <v>Universal Human Value</v>
      </c>
      <c r="D116" s="107"/>
      <c r="E116" s="107"/>
      <c r="F116" s="107"/>
      <c r="G116" s="108"/>
      <c r="H116" s="20">
        <f ca="1">INDIRECT(_xlfn.TEXTJOIN("",TRUE,A124,"!",ADDRESS(17+(A125-1)*A121,6)))</f>
        <v>3</v>
      </c>
      <c r="I116" s="20" t="str">
        <f ca="1">INDIRECT(_xlfn.TEXTJOIN("",TRUE,A124,"!",ADDRESS(17+(A125-1)*A121,13)))</f>
        <v>F</v>
      </c>
      <c r="J116" s="20">
        <f ca="1">INDIRECT(_xlfn.TEXTJOIN("",TRUE,A124,"!",ADDRESS(17+(A125-1)*A121,14)))</f>
        <v>0</v>
      </c>
    </row>
    <row r="117" spans="1:10" ht="28" customHeight="1" x14ac:dyDescent="0.2">
      <c r="A117" s="96" t="str">
        <f ca="1">INDIRECT(_xlfn.TEXTJOIN("",TRUE,A124,"!",ADDRESS(18+(A125-1)*A121,1)))</f>
        <v>CAP 008</v>
      </c>
      <c r="B117" s="97"/>
      <c r="C117" s="106" t="str">
        <f ca="1">INDIRECT(_xlfn.TEXTJOIN("",TRUE,A124,"!",ADDRESS(18+(A125-1)*A121,2)))</f>
        <v>Software Engineering Lab</v>
      </c>
      <c r="D117" s="107"/>
      <c r="E117" s="107"/>
      <c r="F117" s="107"/>
      <c r="G117" s="108"/>
      <c r="H117" s="20">
        <f ca="1">INDIRECT(_xlfn.TEXTJOIN("",TRUE,A124,"!",ADDRESS(18+(A125-1)*A121,6)))</f>
        <v>1</v>
      </c>
      <c r="I117" s="20" t="str">
        <f ca="1">INDIRECT(_xlfn.TEXTJOIN("",TRUE,A124,"!",ADDRESS(18+(A125-1)*A121,13)))</f>
        <v>F</v>
      </c>
      <c r="J117" s="20">
        <f ca="1">INDIRECT(_xlfn.TEXTJOIN("",TRUE,A124,"!",ADDRESS(18+(A125-1)*A121,14)))</f>
        <v>0</v>
      </c>
    </row>
    <row r="118" spans="1:10" ht="28" customHeight="1" x14ac:dyDescent="0.2">
      <c r="A118" s="96" t="str">
        <f ca="1">INDIRECT(_xlfn.TEXTJOIN("",TRUE,A124,"!",ADDRESS(19+(A125-1)*A121,1)))</f>
        <v>CAP 009</v>
      </c>
      <c r="B118" s="97"/>
      <c r="C118" s="106" t="str">
        <f ca="1">INDIRECT(_xlfn.TEXTJOIN("",TRUE,A124,"!",ADDRESS(19+(A125-1)*A121,2)))</f>
        <v>Seminar</v>
      </c>
      <c r="D118" s="107"/>
      <c r="E118" s="107"/>
      <c r="F118" s="107"/>
      <c r="G118" s="108"/>
      <c r="H118" s="20">
        <f ca="1">INDIRECT(_xlfn.TEXTJOIN("",TRUE,A124,"!",ADDRESS(19+(A125-1)*A121,6)))</f>
        <v>2</v>
      </c>
      <c r="I118" s="20" t="str">
        <f ca="1">INDIRECT(_xlfn.TEXTJOIN("",TRUE,A124,"!",ADDRESS(19+(A125-1)*A121,13)))</f>
        <v>F</v>
      </c>
      <c r="J118" s="20">
        <f ca="1">INDIRECT(_xlfn.TEXTJOIN("",TRUE,A124,"!",ADDRESS(19+(A125-1)*A121,14)))</f>
        <v>0</v>
      </c>
    </row>
    <row r="119" spans="1:10" ht="28" customHeight="1" x14ac:dyDescent="0.2">
      <c r="A119" s="96" t="str">
        <f ca="1">INDIRECT(_xlfn.TEXTJOIN("",TRUE,A124,"!",ADDRESS(20+(A125-1)*A121,1)))</f>
        <v>CAP 010</v>
      </c>
      <c r="B119" s="97"/>
      <c r="C119" s="106" t="str">
        <f ca="1">INDIRECT(_xlfn.TEXTJOIN("",TRUE,A124,"!",ADDRESS(20+(A125-1)*A121,2)))</f>
        <v>Minor Project</v>
      </c>
      <c r="D119" s="107"/>
      <c r="E119" s="107"/>
      <c r="F119" s="107"/>
      <c r="G119" s="108"/>
      <c r="H119" s="20">
        <f ca="1">INDIRECT(_xlfn.TEXTJOIN("",TRUE,A124,"!",ADDRESS(20+(A125-1)*A121,6)))</f>
        <v>2</v>
      </c>
      <c r="I119" s="20" t="str">
        <f ca="1">INDIRECT(_xlfn.TEXTJOIN("",TRUE,A124,"!",ADDRESS(20+(A125-1)*A121,13)))</f>
        <v>F</v>
      </c>
      <c r="J119" s="20">
        <f ca="1">INDIRECT(_xlfn.TEXTJOIN("",TRUE,A124,"!",ADDRESS(20+(A125-1)*A121,14)))</f>
        <v>0</v>
      </c>
    </row>
    <row r="120" spans="1:10" ht="28" customHeight="1" x14ac:dyDescent="0.2">
      <c r="A120" s="118" t="s">
        <v>52</v>
      </c>
      <c r="B120" s="118"/>
      <c r="C120" s="118"/>
      <c r="D120" s="118"/>
      <c r="E120" s="118"/>
      <c r="F120" s="118"/>
      <c r="G120" s="118"/>
      <c r="H120" s="16">
        <f ca="1">SUM(H112:H119)</f>
        <v>16</v>
      </c>
      <c r="I120" s="16" t="s">
        <v>44</v>
      </c>
      <c r="J120" s="16" t="e">
        <f ca="1">SUMPRODUCT(J112:J119,H112:H119)</f>
        <v>#N/A</v>
      </c>
    </row>
    <row r="121" spans="1:10" ht="28" customHeight="1" x14ac:dyDescent="0.2">
      <c r="A121" s="22">
        <f>ROWS(A112:B119)+9</f>
        <v>17</v>
      </c>
      <c r="B121" s="17"/>
      <c r="C121" s="17"/>
      <c r="D121" s="17"/>
      <c r="E121" s="17"/>
      <c r="F121" s="17"/>
      <c r="G121" s="17"/>
      <c r="H121" s="17"/>
      <c r="I121" s="17"/>
      <c r="J121" s="17"/>
    </row>
    <row r="122" spans="1:10" ht="28" customHeight="1" x14ac:dyDescent="0.2">
      <c r="A122" s="120" t="s">
        <v>40</v>
      </c>
      <c r="B122" s="120"/>
      <c r="C122" s="21">
        <f ca="1">INDIRECT(_xlfn.TEXTJOIN("",TRUE,A124,"!",ADDRESS(5+A125*A121,12)))</f>
        <v>0</v>
      </c>
      <c r="D122" s="120" t="s">
        <v>38</v>
      </c>
      <c r="E122" s="120"/>
      <c r="F122" s="18" t="e">
        <f ca="1">INDIRECT(_xlfn.TEXTJOIN("",TRUE,A124,"!",ADDRESS(5+A125*A121,8)))</f>
        <v>#N/A</v>
      </c>
      <c r="G122" s="120" t="s">
        <v>39</v>
      </c>
      <c r="H122" s="120"/>
      <c r="I122" s="109" t="e">
        <f ca="1">INDIRECT(_xlfn.TEXTJOIN("",TRUE,A124,"!",ADDRESS(5+A125*A121,10)))</f>
        <v>#N/A</v>
      </c>
      <c r="J122" s="109"/>
    </row>
    <row r="123" spans="1:10" ht="28" customHeight="1" x14ac:dyDescent="0.2">
      <c r="A123" s="19" t="s">
        <v>36</v>
      </c>
      <c r="B123" s="95" t="e">
        <f ca="1">INDIRECT(_xlfn.TEXTJOIN("",TRUE,A124,"!",ADDRESS(5+A125*A121,2)))</f>
        <v>#N/A</v>
      </c>
      <c r="C123" s="95"/>
      <c r="D123" s="121" t="s">
        <v>37</v>
      </c>
      <c r="E123" s="121"/>
      <c r="F123" s="122" t="e">
        <f ca="1">INDIRECT(_xlfn.TEXTJOIN("",TRUE,A124,"!",ADDRESS(5+A125*A121,5)))</f>
        <v>#N/A</v>
      </c>
      <c r="G123" s="122"/>
      <c r="H123" s="122"/>
      <c r="I123" s="122"/>
      <c r="J123" s="122"/>
    </row>
    <row r="124" spans="1:10" ht="28" customHeight="1" x14ac:dyDescent="0.2">
      <c r="A124" s="22" t="str">
        <f>A107</f>
        <v>TC_III</v>
      </c>
    </row>
    <row r="125" spans="1:10" ht="28" customHeight="1" x14ac:dyDescent="0.2">
      <c r="A125" s="22">
        <f>A108+1</f>
        <v>7</v>
      </c>
    </row>
    <row r="126" spans="1:10" ht="28" customHeight="1" x14ac:dyDescent="0.2">
      <c r="A126" s="112" t="s">
        <v>24</v>
      </c>
      <c r="B126" s="112"/>
      <c r="C126" s="112" t="str">
        <f ca="1">INDIRECT(_xlfn.TEXTJOIN("",TRUE,A141,"!",ADDRESS(9+(A142-1)*A138,2)))</f>
        <v>AYUSH RAWAT</v>
      </c>
      <c r="D126" s="112"/>
      <c r="E126" s="112"/>
      <c r="F126" s="112" t="s">
        <v>50</v>
      </c>
      <c r="G126" s="112"/>
      <c r="H126" s="112"/>
      <c r="I126" s="113">
        <f ca="1">INDIRECT(_xlfn.TEXTJOIN("",TRUE,A141,"!",ADDRESS(9+(A142-1)*A138,9)))</f>
        <v>240090600008</v>
      </c>
      <c r="J126" s="113"/>
    </row>
    <row r="127" spans="1:10" ht="28" customHeight="1" x14ac:dyDescent="0.2">
      <c r="A127" s="112" t="s">
        <v>25</v>
      </c>
      <c r="B127" s="112"/>
      <c r="C127" s="112" t="str">
        <f ca="1">INDIRECT(_xlfn.TEXTJOIN("",TRUE,A141,"!",ADDRESS(9+(A142-1)*A138,5)))</f>
        <v>MUKESH RAWAT</v>
      </c>
      <c r="D127" s="112"/>
      <c r="E127" s="112"/>
      <c r="F127" s="114" t="s">
        <v>51</v>
      </c>
      <c r="G127" s="114"/>
      <c r="H127" s="114"/>
      <c r="I127" s="113" t="str">
        <f ca="1">INDIRECT(_xlfn.TEXTJOIN("",TRUE,A141,"!",ADDRESS(9+(A142-1)*A138,13)))</f>
        <v>UTU/2406100183</v>
      </c>
      <c r="J127" s="113"/>
    </row>
    <row r="128" spans="1:10" ht="28" customHeight="1" x14ac:dyDescent="0.2">
      <c r="A128" s="95" t="s">
        <v>28</v>
      </c>
      <c r="B128" s="95"/>
      <c r="C128" s="95" t="s">
        <v>29</v>
      </c>
      <c r="D128" s="95"/>
      <c r="E128" s="95"/>
      <c r="F128" s="95"/>
      <c r="G128" s="95"/>
      <c r="H128" s="15" t="s">
        <v>30</v>
      </c>
      <c r="I128" s="15" t="s">
        <v>9</v>
      </c>
      <c r="J128" s="15" t="s">
        <v>34</v>
      </c>
    </row>
    <row r="129" spans="1:10" ht="28" customHeight="1" x14ac:dyDescent="0.2">
      <c r="A129" s="96" t="str">
        <f ca="1">INDIRECT(_xlfn.TEXTJOIN("",TRUE,A141,"!",ADDRESS(13+(A142-1)*A138,1)))</f>
        <v>CAT  014</v>
      </c>
      <c r="B129" s="97"/>
      <c r="C129" s="106" t="str">
        <f ca="1">INDIRECT(_xlfn.TEXTJOIN("",TRUE,A141,"!",ADDRESS(13+(A142-1)*A138,2)))</f>
        <v>Graph Theory</v>
      </c>
      <c r="D129" s="107"/>
      <c r="E129" s="107"/>
      <c r="F129" s="107"/>
      <c r="G129" s="108"/>
      <c r="H129" s="20">
        <f ca="1">INDIRECT(_xlfn.TEXTJOIN("",TRUE,A141,"!",ADDRESS(13+(A142-1)*A138,6)))</f>
        <v>4</v>
      </c>
      <c r="I129" s="20" t="str">
        <f ca="1">INDIRECT(_xlfn.TEXTJOIN("",TRUE,A141,"!",ADDRESS(13+(A142-1)*A138,13)))</f>
        <v>F</v>
      </c>
      <c r="J129" s="20">
        <f ca="1">INDIRECT(_xlfn.TEXTJOIN("",TRUE,A141,"!",ADDRESS(13+(A142-1)*A138,14)))</f>
        <v>0</v>
      </c>
    </row>
    <row r="130" spans="1:10" ht="28" customHeight="1" x14ac:dyDescent="0.2">
      <c r="A130" s="96" t="str">
        <f ca="1">INDIRECT(_xlfn.TEXTJOIN("",TRUE,A141,"!",ADDRESS(14+(A142-1)*A138,1)))</f>
        <v>CAT 015</v>
      </c>
      <c r="B130" s="97"/>
      <c r="C130" s="106" t="str">
        <f ca="1">INDIRECT(_xlfn.TEXTJOIN("",TRUE,A141,"!",ADDRESS(14+(A142-1)*A138,2)))</f>
        <v>Software Engineering</v>
      </c>
      <c r="D130" s="107"/>
      <c r="E130" s="107"/>
      <c r="F130" s="107"/>
      <c r="G130" s="108"/>
      <c r="H130" s="20">
        <f ca="1">INDIRECT(_xlfn.TEXTJOIN("",TRUE,A141,"!",ADDRESS(14+(A142-1)*A138,6)))</f>
        <v>4</v>
      </c>
      <c r="I130" s="20" t="str">
        <f ca="1">INDIRECT(_xlfn.TEXTJOIN("",TRUE,A141,"!",ADDRESS(14+(A142-1)*A138,13)))</f>
        <v>F</v>
      </c>
      <c r="J130" s="20">
        <f ca="1">INDIRECT(_xlfn.TEXTJOIN("",TRUE,A141,"!",ADDRESS(14+(A142-1)*A138,14)))</f>
        <v>0</v>
      </c>
    </row>
    <row r="131" spans="1:10" ht="28" customHeight="1" x14ac:dyDescent="0.2">
      <c r="A131" s="96" t="str">
        <f ca="1">INDIRECT(_xlfn.TEXTJOIN("",TRUE,A141,"!",ADDRESS(15+(A142-1)*A138,1)))</f>
        <v>Enroll No.</v>
      </c>
      <c r="B131" s="97"/>
      <c r="C131" s="106">
        <f ca="1">INDIRECT(_xlfn.TEXTJOIN("",TRUE,A141,"!",ADDRESS(15+(A142-1)*A138,2)))</f>
        <v>0</v>
      </c>
      <c r="D131" s="107"/>
      <c r="E131" s="107"/>
      <c r="F131" s="107"/>
      <c r="G131" s="108"/>
      <c r="H131" s="20">
        <f ca="1">INDIRECT(_xlfn.TEXTJOIN("",TRUE,A141,"!",ADDRESS(15+(A142-1)*A138,6)))</f>
        <v>0</v>
      </c>
      <c r="I131" s="20" t="b">
        <f ca="1">INDIRECT(_xlfn.TEXTJOIN("",TRUE,A141,"!",ADDRESS(15+(A142-1)*A138,13)))</f>
        <v>0</v>
      </c>
      <c r="J131" s="20" t="e">
        <f ca="1">INDIRECT(_xlfn.TEXTJOIN("",TRUE,A141,"!",ADDRESS(15+(A142-1)*A138,14)))</f>
        <v>#N/A</v>
      </c>
    </row>
    <row r="132" spans="1:10" ht="28" customHeight="1" x14ac:dyDescent="0.2">
      <c r="A132" s="96" t="str">
        <f ca="1">INDIRECT(_xlfn.TEXTJOIN("",TRUE,A141,"!",ADDRESS(16+(A142-1)*A138,1)))</f>
        <v>Enroll No.</v>
      </c>
      <c r="B132" s="97"/>
      <c r="C132" s="106">
        <f ca="1">INDIRECT(_xlfn.TEXTJOIN("",TRUE,A141,"!",ADDRESS(16+(A142-1)*A138,2)))</f>
        <v>0</v>
      </c>
      <c r="D132" s="107"/>
      <c r="E132" s="107"/>
      <c r="F132" s="107"/>
      <c r="G132" s="108"/>
      <c r="H132" s="20">
        <f ca="1">INDIRECT(_xlfn.TEXTJOIN("",TRUE,A141,"!",ADDRESS(16+(A142-1)*A138,6)))</f>
        <v>0</v>
      </c>
      <c r="I132" s="20" t="b">
        <f ca="1">INDIRECT(_xlfn.TEXTJOIN("",TRUE,A141,"!",ADDRESS(16+(A142-1)*A138,13)))</f>
        <v>0</v>
      </c>
      <c r="J132" s="20" t="e">
        <f ca="1">INDIRECT(_xlfn.TEXTJOIN("",TRUE,A141,"!",ADDRESS(16+(A142-1)*A138,14)))</f>
        <v>#N/A</v>
      </c>
    </row>
    <row r="133" spans="1:10" ht="28" customHeight="1" x14ac:dyDescent="0.2">
      <c r="A133" s="96" t="str">
        <f ca="1">INDIRECT(_xlfn.TEXTJOIN("",TRUE,A141,"!",ADDRESS(17+(A142-1)*A138,1)))</f>
        <v>AHT 310</v>
      </c>
      <c r="B133" s="97"/>
      <c r="C133" s="106" t="str">
        <f ca="1">INDIRECT(_xlfn.TEXTJOIN("",TRUE,A141,"!",ADDRESS(17+(A142-1)*A138,2)))</f>
        <v>Universal Human Value</v>
      </c>
      <c r="D133" s="107"/>
      <c r="E133" s="107"/>
      <c r="F133" s="107"/>
      <c r="G133" s="108"/>
      <c r="H133" s="20">
        <f ca="1">INDIRECT(_xlfn.TEXTJOIN("",TRUE,A141,"!",ADDRESS(17+(A142-1)*A138,6)))</f>
        <v>3</v>
      </c>
      <c r="I133" s="20" t="str">
        <f ca="1">INDIRECT(_xlfn.TEXTJOIN("",TRUE,A141,"!",ADDRESS(17+(A142-1)*A138,13)))</f>
        <v>F</v>
      </c>
      <c r="J133" s="20">
        <f ca="1">INDIRECT(_xlfn.TEXTJOIN("",TRUE,A141,"!",ADDRESS(17+(A142-1)*A138,14)))</f>
        <v>0</v>
      </c>
    </row>
    <row r="134" spans="1:10" ht="28" customHeight="1" x14ac:dyDescent="0.2">
      <c r="A134" s="96" t="str">
        <f ca="1">INDIRECT(_xlfn.TEXTJOIN("",TRUE,A141,"!",ADDRESS(18+(A142-1)*A138,1)))</f>
        <v>CAP 008</v>
      </c>
      <c r="B134" s="97"/>
      <c r="C134" s="106" t="str">
        <f ca="1">INDIRECT(_xlfn.TEXTJOIN("",TRUE,A141,"!",ADDRESS(18+(A142-1)*A138,2)))</f>
        <v>Software Engineering Lab</v>
      </c>
      <c r="D134" s="107"/>
      <c r="E134" s="107"/>
      <c r="F134" s="107"/>
      <c r="G134" s="108"/>
      <c r="H134" s="20">
        <f ca="1">INDIRECT(_xlfn.TEXTJOIN("",TRUE,A141,"!",ADDRESS(18+(A142-1)*A138,6)))</f>
        <v>1</v>
      </c>
      <c r="I134" s="20" t="str">
        <f ca="1">INDIRECT(_xlfn.TEXTJOIN("",TRUE,A141,"!",ADDRESS(18+(A142-1)*A138,13)))</f>
        <v>F</v>
      </c>
      <c r="J134" s="20">
        <f ca="1">INDIRECT(_xlfn.TEXTJOIN("",TRUE,A141,"!",ADDRESS(18+(A142-1)*A138,14)))</f>
        <v>0</v>
      </c>
    </row>
    <row r="135" spans="1:10" ht="28" customHeight="1" x14ac:dyDescent="0.2">
      <c r="A135" s="96" t="str">
        <f ca="1">INDIRECT(_xlfn.TEXTJOIN("",TRUE,A141,"!",ADDRESS(19+(A142-1)*A138,1)))</f>
        <v>CAP 009</v>
      </c>
      <c r="B135" s="97"/>
      <c r="C135" s="106" t="str">
        <f ca="1">INDIRECT(_xlfn.TEXTJOIN("",TRUE,A141,"!",ADDRESS(19+(A142-1)*A138,2)))</f>
        <v>Seminar</v>
      </c>
      <c r="D135" s="107"/>
      <c r="E135" s="107"/>
      <c r="F135" s="107"/>
      <c r="G135" s="108"/>
      <c r="H135" s="20">
        <f ca="1">INDIRECT(_xlfn.TEXTJOIN("",TRUE,A141,"!",ADDRESS(19+(A142-1)*A138,6)))</f>
        <v>2</v>
      </c>
      <c r="I135" s="20" t="str">
        <f ca="1">INDIRECT(_xlfn.TEXTJOIN("",TRUE,A141,"!",ADDRESS(19+(A142-1)*A138,13)))</f>
        <v>F</v>
      </c>
      <c r="J135" s="20">
        <f ca="1">INDIRECT(_xlfn.TEXTJOIN("",TRUE,A141,"!",ADDRESS(19+(A142-1)*A138,14)))</f>
        <v>0</v>
      </c>
    </row>
    <row r="136" spans="1:10" ht="28" customHeight="1" x14ac:dyDescent="0.2">
      <c r="A136" s="96" t="str">
        <f ca="1">INDIRECT(_xlfn.TEXTJOIN("",TRUE,A141,"!",ADDRESS(20+(A142-1)*A138,1)))</f>
        <v>CAP 010</v>
      </c>
      <c r="B136" s="97"/>
      <c r="C136" s="106" t="str">
        <f ca="1">INDIRECT(_xlfn.TEXTJOIN("",TRUE,A141,"!",ADDRESS(20+(A142-1)*A138,2)))</f>
        <v>Minor Project</v>
      </c>
      <c r="D136" s="107"/>
      <c r="E136" s="107"/>
      <c r="F136" s="107"/>
      <c r="G136" s="108"/>
      <c r="H136" s="20">
        <f ca="1">INDIRECT(_xlfn.TEXTJOIN("",TRUE,A141,"!",ADDRESS(20+(A142-1)*A138,6)))</f>
        <v>2</v>
      </c>
      <c r="I136" s="20" t="str">
        <f ca="1">INDIRECT(_xlfn.TEXTJOIN("",TRUE,A141,"!",ADDRESS(20+(A142-1)*A138,13)))</f>
        <v>F</v>
      </c>
      <c r="J136" s="20">
        <f ca="1">INDIRECT(_xlfn.TEXTJOIN("",TRUE,A141,"!",ADDRESS(20+(A142-1)*A138,14)))</f>
        <v>0</v>
      </c>
    </row>
    <row r="137" spans="1:10" ht="28" customHeight="1" x14ac:dyDescent="0.2">
      <c r="A137" s="118" t="s">
        <v>52</v>
      </c>
      <c r="B137" s="118"/>
      <c r="C137" s="118"/>
      <c r="D137" s="118"/>
      <c r="E137" s="118"/>
      <c r="F137" s="118"/>
      <c r="G137" s="118"/>
      <c r="H137" s="16">
        <f ca="1">SUM(H129:H136)</f>
        <v>16</v>
      </c>
      <c r="I137" s="16" t="s">
        <v>44</v>
      </c>
      <c r="J137" s="16" t="e">
        <f ca="1">SUMPRODUCT(J129:J136,H129:H136)</f>
        <v>#N/A</v>
      </c>
    </row>
    <row r="138" spans="1:10" ht="28" customHeight="1" x14ac:dyDescent="0.2">
      <c r="A138" s="22">
        <f>ROWS(A129:B136)+9</f>
        <v>17</v>
      </c>
      <c r="B138" s="17"/>
      <c r="C138" s="17"/>
      <c r="D138" s="17"/>
      <c r="E138" s="17"/>
      <c r="F138" s="17"/>
      <c r="G138" s="17"/>
      <c r="H138" s="17"/>
      <c r="I138" s="17"/>
      <c r="J138" s="17"/>
    </row>
    <row r="139" spans="1:10" ht="28" customHeight="1" x14ac:dyDescent="0.2">
      <c r="A139" s="120" t="s">
        <v>40</v>
      </c>
      <c r="B139" s="120"/>
      <c r="C139" s="21">
        <f ca="1">INDIRECT(_xlfn.TEXTJOIN("",TRUE,A141,"!",ADDRESS(5+A142*A138,12)))</f>
        <v>0</v>
      </c>
      <c r="D139" s="120" t="s">
        <v>38</v>
      </c>
      <c r="E139" s="120"/>
      <c r="F139" s="18" t="e">
        <f ca="1">INDIRECT(_xlfn.TEXTJOIN("",TRUE,A141,"!",ADDRESS(5+A142*A138,8)))</f>
        <v>#N/A</v>
      </c>
      <c r="G139" s="120" t="s">
        <v>39</v>
      </c>
      <c r="H139" s="120"/>
      <c r="I139" s="109" t="e">
        <f ca="1">INDIRECT(_xlfn.TEXTJOIN("",TRUE,A141,"!",ADDRESS(5+A142*A138,10)))</f>
        <v>#N/A</v>
      </c>
      <c r="J139" s="109"/>
    </row>
    <row r="140" spans="1:10" ht="28" customHeight="1" x14ac:dyDescent="0.2">
      <c r="A140" s="19" t="s">
        <v>36</v>
      </c>
      <c r="B140" s="95" t="e">
        <f ca="1">INDIRECT(_xlfn.TEXTJOIN("",TRUE,A141,"!",ADDRESS(5+A142*A138,2)))</f>
        <v>#N/A</v>
      </c>
      <c r="C140" s="95"/>
      <c r="D140" s="121" t="s">
        <v>37</v>
      </c>
      <c r="E140" s="121"/>
      <c r="F140" s="122" t="e">
        <f ca="1">INDIRECT(_xlfn.TEXTJOIN("",TRUE,A141,"!",ADDRESS(5+A142*A138,5)))</f>
        <v>#N/A</v>
      </c>
      <c r="G140" s="122"/>
      <c r="H140" s="122"/>
      <c r="I140" s="122"/>
      <c r="J140" s="122"/>
    </row>
    <row r="141" spans="1:10" ht="28" customHeight="1" x14ac:dyDescent="0.2">
      <c r="A141" s="22" t="str">
        <f>A124</f>
        <v>TC_III</v>
      </c>
    </row>
    <row r="142" spans="1:10" ht="28" customHeight="1" x14ac:dyDescent="0.2">
      <c r="A142" s="22">
        <f>A125+1</f>
        <v>8</v>
      </c>
    </row>
    <row r="143" spans="1:10" ht="28" customHeight="1" x14ac:dyDescent="0.2">
      <c r="A143" s="112" t="s">
        <v>24</v>
      </c>
      <c r="B143" s="112"/>
      <c r="C143" s="112" t="str">
        <f ca="1">INDIRECT(_xlfn.TEXTJOIN("",TRUE,A158,"!",ADDRESS(9+(A159-1)*A155,2)))</f>
        <v>CHIRAG KASHYAP</v>
      </c>
      <c r="D143" s="112"/>
      <c r="E143" s="112"/>
      <c r="F143" s="112" t="s">
        <v>50</v>
      </c>
      <c r="G143" s="112"/>
      <c r="H143" s="112"/>
      <c r="I143" s="113">
        <f ca="1">INDIRECT(_xlfn.TEXTJOIN("",TRUE,A158,"!",ADDRESS(9+(A159-1)*A155,9)))</f>
        <v>240090600009</v>
      </c>
      <c r="J143" s="113"/>
    </row>
    <row r="144" spans="1:10" ht="28" customHeight="1" x14ac:dyDescent="0.2">
      <c r="A144" s="112" t="s">
        <v>25</v>
      </c>
      <c r="B144" s="112"/>
      <c r="C144" s="112" t="str">
        <f ca="1">INDIRECT(_xlfn.TEXTJOIN("",TRUE,A158,"!",ADDRESS(9+(A159-1)*A155,5)))</f>
        <v>NARENDRA SINGH</v>
      </c>
      <c r="D144" s="112"/>
      <c r="E144" s="112"/>
      <c r="F144" s="114" t="s">
        <v>51</v>
      </c>
      <c r="G144" s="114"/>
      <c r="H144" s="114"/>
      <c r="I144" s="113" t="str">
        <f ca="1">INDIRECT(_xlfn.TEXTJOIN("",TRUE,A158,"!",ADDRESS(9+(A159-1)*A155,13)))</f>
        <v>UTU/2406100172</v>
      </c>
      <c r="J144" s="113"/>
    </row>
    <row r="145" spans="1:10" ht="28" customHeight="1" x14ac:dyDescent="0.2">
      <c r="A145" s="95" t="s">
        <v>28</v>
      </c>
      <c r="B145" s="95"/>
      <c r="C145" s="95" t="s">
        <v>29</v>
      </c>
      <c r="D145" s="95"/>
      <c r="E145" s="95"/>
      <c r="F145" s="95"/>
      <c r="G145" s="95"/>
      <c r="H145" s="15" t="s">
        <v>30</v>
      </c>
      <c r="I145" s="15" t="s">
        <v>9</v>
      </c>
      <c r="J145" s="15" t="s">
        <v>34</v>
      </c>
    </row>
    <row r="146" spans="1:10" ht="28" customHeight="1" x14ac:dyDescent="0.2">
      <c r="A146" s="96" t="str">
        <f ca="1">INDIRECT(_xlfn.TEXTJOIN("",TRUE,A158,"!",ADDRESS(13+(A159-1)*A155,1)))</f>
        <v>CAT  014</v>
      </c>
      <c r="B146" s="97"/>
      <c r="C146" s="106" t="str">
        <f ca="1">INDIRECT(_xlfn.TEXTJOIN("",TRUE,A158,"!",ADDRESS(13+(A159-1)*A155,2)))</f>
        <v>Graph Theory</v>
      </c>
      <c r="D146" s="107"/>
      <c r="E146" s="107"/>
      <c r="F146" s="107"/>
      <c r="G146" s="108"/>
      <c r="H146" s="20">
        <f ca="1">INDIRECT(_xlfn.TEXTJOIN("",TRUE,A158,"!",ADDRESS(13+(A159-1)*A155,6)))</f>
        <v>4</v>
      </c>
      <c r="I146" s="20" t="str">
        <f ca="1">INDIRECT(_xlfn.TEXTJOIN("",TRUE,A158,"!",ADDRESS(13+(A159-1)*A155,13)))</f>
        <v>F</v>
      </c>
      <c r="J146" s="20">
        <f ca="1">INDIRECT(_xlfn.TEXTJOIN("",TRUE,A158,"!",ADDRESS(13+(A159-1)*A155,14)))</f>
        <v>0</v>
      </c>
    </row>
    <row r="147" spans="1:10" ht="28" customHeight="1" x14ac:dyDescent="0.2">
      <c r="A147" s="96" t="str">
        <f ca="1">INDIRECT(_xlfn.TEXTJOIN("",TRUE,A158,"!",ADDRESS(14+(A159-1)*A155,1)))</f>
        <v>CAT 015</v>
      </c>
      <c r="B147" s="97"/>
      <c r="C147" s="106" t="str">
        <f ca="1">INDIRECT(_xlfn.TEXTJOIN("",TRUE,A158,"!",ADDRESS(14+(A159-1)*A155,2)))</f>
        <v>Software Engineering</v>
      </c>
      <c r="D147" s="107"/>
      <c r="E147" s="107"/>
      <c r="F147" s="107"/>
      <c r="G147" s="108"/>
      <c r="H147" s="20">
        <f ca="1">INDIRECT(_xlfn.TEXTJOIN("",TRUE,A158,"!",ADDRESS(14+(A159-1)*A155,6)))</f>
        <v>4</v>
      </c>
      <c r="I147" s="20" t="str">
        <f ca="1">INDIRECT(_xlfn.TEXTJOIN("",TRUE,A158,"!",ADDRESS(14+(A159-1)*A155,13)))</f>
        <v>F</v>
      </c>
      <c r="J147" s="20">
        <f ca="1">INDIRECT(_xlfn.TEXTJOIN("",TRUE,A158,"!",ADDRESS(14+(A159-1)*A155,14)))</f>
        <v>0</v>
      </c>
    </row>
    <row r="148" spans="1:10" ht="28" customHeight="1" x14ac:dyDescent="0.2">
      <c r="A148" s="96" t="str">
        <f ca="1">INDIRECT(_xlfn.TEXTJOIN("",TRUE,A158,"!",ADDRESS(15+(A159-1)*A155,1)))</f>
        <v>Enroll No.</v>
      </c>
      <c r="B148" s="97"/>
      <c r="C148" s="106">
        <f ca="1">INDIRECT(_xlfn.TEXTJOIN("",TRUE,A158,"!",ADDRESS(15+(A159-1)*A155,2)))</f>
        <v>0</v>
      </c>
      <c r="D148" s="107"/>
      <c r="E148" s="107"/>
      <c r="F148" s="107"/>
      <c r="G148" s="108"/>
      <c r="H148" s="20">
        <f ca="1">INDIRECT(_xlfn.TEXTJOIN("",TRUE,A158,"!",ADDRESS(15+(A159-1)*A155,6)))</f>
        <v>0</v>
      </c>
      <c r="I148" s="20" t="b">
        <f ca="1">INDIRECT(_xlfn.TEXTJOIN("",TRUE,A158,"!",ADDRESS(15+(A159-1)*A155,13)))</f>
        <v>0</v>
      </c>
      <c r="J148" s="20" t="e">
        <f ca="1">INDIRECT(_xlfn.TEXTJOIN("",TRUE,A158,"!",ADDRESS(15+(A159-1)*A155,14)))</f>
        <v>#N/A</v>
      </c>
    </row>
    <row r="149" spans="1:10" ht="28" customHeight="1" x14ac:dyDescent="0.2">
      <c r="A149" s="96" t="str">
        <f ca="1">INDIRECT(_xlfn.TEXTJOIN("",TRUE,A158,"!",ADDRESS(16+(A159-1)*A155,1)))</f>
        <v>Enroll No.</v>
      </c>
      <c r="B149" s="97"/>
      <c r="C149" s="106">
        <f ca="1">INDIRECT(_xlfn.TEXTJOIN("",TRUE,A158,"!",ADDRESS(16+(A159-1)*A155,2)))</f>
        <v>0</v>
      </c>
      <c r="D149" s="107"/>
      <c r="E149" s="107"/>
      <c r="F149" s="107"/>
      <c r="G149" s="108"/>
      <c r="H149" s="20">
        <f ca="1">INDIRECT(_xlfn.TEXTJOIN("",TRUE,A158,"!",ADDRESS(16+(A159-1)*A155,6)))</f>
        <v>0</v>
      </c>
      <c r="I149" s="20" t="b">
        <f ca="1">INDIRECT(_xlfn.TEXTJOIN("",TRUE,A158,"!",ADDRESS(16+(A159-1)*A155,13)))</f>
        <v>0</v>
      </c>
      <c r="J149" s="20" t="e">
        <f ca="1">INDIRECT(_xlfn.TEXTJOIN("",TRUE,A158,"!",ADDRESS(16+(A159-1)*A155,14)))</f>
        <v>#N/A</v>
      </c>
    </row>
    <row r="150" spans="1:10" ht="28" customHeight="1" x14ac:dyDescent="0.2">
      <c r="A150" s="96" t="str">
        <f ca="1">INDIRECT(_xlfn.TEXTJOIN("",TRUE,A158,"!",ADDRESS(17+(A159-1)*A155,1)))</f>
        <v>AHT 310</v>
      </c>
      <c r="B150" s="97"/>
      <c r="C150" s="106" t="str">
        <f ca="1">INDIRECT(_xlfn.TEXTJOIN("",TRUE,A158,"!",ADDRESS(17+(A159-1)*A155,2)))</f>
        <v>Universal Human Value</v>
      </c>
      <c r="D150" s="107"/>
      <c r="E150" s="107"/>
      <c r="F150" s="107"/>
      <c r="G150" s="108"/>
      <c r="H150" s="20">
        <f ca="1">INDIRECT(_xlfn.TEXTJOIN("",TRUE,A158,"!",ADDRESS(17+(A159-1)*A155,6)))</f>
        <v>3</v>
      </c>
      <c r="I150" s="20" t="str">
        <f ca="1">INDIRECT(_xlfn.TEXTJOIN("",TRUE,A158,"!",ADDRESS(17+(A159-1)*A155,13)))</f>
        <v>F</v>
      </c>
      <c r="J150" s="20">
        <f ca="1">INDIRECT(_xlfn.TEXTJOIN("",TRUE,A158,"!",ADDRESS(17+(A159-1)*A155,14)))</f>
        <v>0</v>
      </c>
    </row>
    <row r="151" spans="1:10" ht="28" customHeight="1" x14ac:dyDescent="0.2">
      <c r="A151" s="96" t="str">
        <f ca="1">INDIRECT(_xlfn.TEXTJOIN("",TRUE,A158,"!",ADDRESS(18+(A159-1)*A155,1)))</f>
        <v>CAP 008</v>
      </c>
      <c r="B151" s="97"/>
      <c r="C151" s="106" t="str">
        <f ca="1">INDIRECT(_xlfn.TEXTJOIN("",TRUE,A158,"!",ADDRESS(18+(A159-1)*A155,2)))</f>
        <v>Software Engineering Lab</v>
      </c>
      <c r="D151" s="107"/>
      <c r="E151" s="107"/>
      <c r="F151" s="107"/>
      <c r="G151" s="108"/>
      <c r="H151" s="20">
        <f ca="1">INDIRECT(_xlfn.TEXTJOIN("",TRUE,A158,"!",ADDRESS(18+(A159-1)*A155,6)))</f>
        <v>1</v>
      </c>
      <c r="I151" s="20" t="str">
        <f ca="1">INDIRECT(_xlfn.TEXTJOIN("",TRUE,A158,"!",ADDRESS(18+(A159-1)*A155,13)))</f>
        <v>F</v>
      </c>
      <c r="J151" s="20">
        <f ca="1">INDIRECT(_xlfn.TEXTJOIN("",TRUE,A158,"!",ADDRESS(18+(A159-1)*A155,14)))</f>
        <v>0</v>
      </c>
    </row>
    <row r="152" spans="1:10" ht="28" customHeight="1" x14ac:dyDescent="0.2">
      <c r="A152" s="96" t="str">
        <f ca="1">INDIRECT(_xlfn.TEXTJOIN("",TRUE,A158,"!",ADDRESS(19+(A159-1)*A155,1)))</f>
        <v>CAP 009</v>
      </c>
      <c r="B152" s="97"/>
      <c r="C152" s="106" t="str">
        <f ca="1">INDIRECT(_xlfn.TEXTJOIN("",TRUE,A158,"!",ADDRESS(19+(A159-1)*A155,2)))</f>
        <v>Seminar</v>
      </c>
      <c r="D152" s="107"/>
      <c r="E152" s="107"/>
      <c r="F152" s="107"/>
      <c r="G152" s="108"/>
      <c r="H152" s="20">
        <f ca="1">INDIRECT(_xlfn.TEXTJOIN("",TRUE,A158,"!",ADDRESS(19+(A159-1)*A155,6)))</f>
        <v>2</v>
      </c>
      <c r="I152" s="20" t="str">
        <f ca="1">INDIRECT(_xlfn.TEXTJOIN("",TRUE,A158,"!",ADDRESS(19+(A159-1)*A155,13)))</f>
        <v>F</v>
      </c>
      <c r="J152" s="20">
        <f ca="1">INDIRECT(_xlfn.TEXTJOIN("",TRUE,A158,"!",ADDRESS(19+(A159-1)*A155,14)))</f>
        <v>0</v>
      </c>
    </row>
    <row r="153" spans="1:10" ht="28" customHeight="1" x14ac:dyDescent="0.2">
      <c r="A153" s="96" t="str">
        <f ca="1">INDIRECT(_xlfn.TEXTJOIN("",TRUE,A158,"!",ADDRESS(20+(A159-1)*A155,1)))</f>
        <v>CAP 010</v>
      </c>
      <c r="B153" s="97"/>
      <c r="C153" s="106" t="str">
        <f ca="1">INDIRECT(_xlfn.TEXTJOIN("",TRUE,A158,"!",ADDRESS(20+(A159-1)*A155,2)))</f>
        <v>Minor Project</v>
      </c>
      <c r="D153" s="107"/>
      <c r="E153" s="107"/>
      <c r="F153" s="107"/>
      <c r="G153" s="108"/>
      <c r="H153" s="20">
        <f ca="1">INDIRECT(_xlfn.TEXTJOIN("",TRUE,A158,"!",ADDRESS(20+(A159-1)*A155,6)))</f>
        <v>2</v>
      </c>
      <c r="I153" s="20" t="str">
        <f ca="1">INDIRECT(_xlfn.TEXTJOIN("",TRUE,A158,"!",ADDRESS(20+(A159-1)*A155,13)))</f>
        <v>F</v>
      </c>
      <c r="J153" s="20">
        <f ca="1">INDIRECT(_xlfn.TEXTJOIN("",TRUE,A158,"!",ADDRESS(20+(A159-1)*A155,14)))</f>
        <v>0</v>
      </c>
    </row>
    <row r="154" spans="1:10" ht="28" customHeight="1" x14ac:dyDescent="0.2">
      <c r="A154" s="118" t="s">
        <v>52</v>
      </c>
      <c r="B154" s="118"/>
      <c r="C154" s="118"/>
      <c r="D154" s="118"/>
      <c r="E154" s="118"/>
      <c r="F154" s="118"/>
      <c r="G154" s="118"/>
      <c r="H154" s="16">
        <f ca="1">SUM(H146:H153)</f>
        <v>16</v>
      </c>
      <c r="I154" s="16" t="s">
        <v>44</v>
      </c>
      <c r="J154" s="16" t="e">
        <f ca="1">SUMPRODUCT(J146:J153,H146:H153)</f>
        <v>#N/A</v>
      </c>
    </row>
    <row r="155" spans="1:10" ht="28" customHeight="1" x14ac:dyDescent="0.2">
      <c r="A155" s="22">
        <f>ROWS(A146:B153)+9</f>
        <v>17</v>
      </c>
      <c r="B155" s="17"/>
      <c r="C155" s="17"/>
      <c r="D155" s="17"/>
      <c r="E155" s="17"/>
      <c r="F155" s="17"/>
      <c r="G155" s="17"/>
      <c r="H155" s="17"/>
      <c r="I155" s="17"/>
      <c r="J155" s="17"/>
    </row>
    <row r="156" spans="1:10" ht="28" customHeight="1" x14ac:dyDescent="0.2">
      <c r="A156" s="120" t="s">
        <v>40</v>
      </c>
      <c r="B156" s="120"/>
      <c r="C156" s="21">
        <f ca="1">INDIRECT(_xlfn.TEXTJOIN("",TRUE,A158,"!",ADDRESS(5+A159*A155,12)))</f>
        <v>0</v>
      </c>
      <c r="D156" s="120" t="s">
        <v>38</v>
      </c>
      <c r="E156" s="120"/>
      <c r="F156" s="18" t="e">
        <f ca="1">INDIRECT(_xlfn.TEXTJOIN("",TRUE,A158,"!",ADDRESS(5+A159*A155,8)))</f>
        <v>#N/A</v>
      </c>
      <c r="G156" s="120" t="s">
        <v>39</v>
      </c>
      <c r="H156" s="120"/>
      <c r="I156" s="109" t="e">
        <f ca="1">INDIRECT(_xlfn.TEXTJOIN("",TRUE,A158,"!",ADDRESS(5+A159*A155,10)))</f>
        <v>#N/A</v>
      </c>
      <c r="J156" s="109"/>
    </row>
    <row r="157" spans="1:10" ht="28" customHeight="1" x14ac:dyDescent="0.2">
      <c r="A157" s="19" t="s">
        <v>36</v>
      </c>
      <c r="B157" s="95" t="e">
        <f ca="1">INDIRECT(_xlfn.TEXTJOIN("",TRUE,A158,"!",ADDRESS(5+A159*A155,2)))</f>
        <v>#N/A</v>
      </c>
      <c r="C157" s="95"/>
      <c r="D157" s="121" t="s">
        <v>37</v>
      </c>
      <c r="E157" s="121"/>
      <c r="F157" s="122" t="e">
        <f ca="1">INDIRECT(_xlfn.TEXTJOIN("",TRUE,A158,"!",ADDRESS(5+A159*A155,5)))</f>
        <v>#N/A</v>
      </c>
      <c r="G157" s="122"/>
      <c r="H157" s="122"/>
      <c r="I157" s="122"/>
      <c r="J157" s="122"/>
    </row>
    <row r="158" spans="1:10" ht="28" customHeight="1" x14ac:dyDescent="0.2">
      <c r="A158" s="22" t="str">
        <f>A141</f>
        <v>TC_III</v>
      </c>
    </row>
    <row r="159" spans="1:10" ht="28" customHeight="1" x14ac:dyDescent="0.2">
      <c r="A159" s="22">
        <f>A142+1</f>
        <v>9</v>
      </c>
    </row>
    <row r="160" spans="1:10" ht="28" customHeight="1" x14ac:dyDescent="0.2">
      <c r="A160" s="112" t="s">
        <v>24</v>
      </c>
      <c r="B160" s="112"/>
      <c r="C160" s="112" t="str">
        <f ca="1">INDIRECT(_xlfn.TEXTJOIN("",TRUE,A175,"!",ADDRESS(9+(A176-1)*A172,2)))</f>
        <v>DEVENDRA SINGH RANA</v>
      </c>
      <c r="D160" s="112"/>
      <c r="E160" s="112"/>
      <c r="F160" s="112" t="s">
        <v>50</v>
      </c>
      <c r="G160" s="112"/>
      <c r="H160" s="112"/>
      <c r="I160" s="113">
        <f ca="1">INDIRECT(_xlfn.TEXTJOIN("",TRUE,A175,"!",ADDRESS(9+(A176-1)*A172,9)))</f>
        <v>240090600010</v>
      </c>
      <c r="J160" s="113"/>
    </row>
    <row r="161" spans="1:10" ht="28" customHeight="1" x14ac:dyDescent="0.2">
      <c r="A161" s="112" t="s">
        <v>25</v>
      </c>
      <c r="B161" s="112"/>
      <c r="C161" s="112" t="str">
        <f ca="1">INDIRECT(_xlfn.TEXTJOIN("",TRUE,A175,"!",ADDRESS(9+(A176-1)*A172,5)))</f>
        <v>DHYAN SINGH RANA</v>
      </c>
      <c r="D161" s="112"/>
      <c r="E161" s="112"/>
      <c r="F161" s="114" t="s">
        <v>51</v>
      </c>
      <c r="G161" s="114"/>
      <c r="H161" s="114"/>
      <c r="I161" s="113" t="str">
        <f ca="1">INDIRECT(_xlfn.TEXTJOIN("",TRUE,A175,"!",ADDRESS(9+(A176-1)*A172,13)))</f>
        <v>UTU/2406100181</v>
      </c>
      <c r="J161" s="113"/>
    </row>
    <row r="162" spans="1:10" ht="28" customHeight="1" x14ac:dyDescent="0.2">
      <c r="A162" s="95" t="s">
        <v>28</v>
      </c>
      <c r="B162" s="95"/>
      <c r="C162" s="95" t="s">
        <v>29</v>
      </c>
      <c r="D162" s="95"/>
      <c r="E162" s="95"/>
      <c r="F162" s="95"/>
      <c r="G162" s="95"/>
      <c r="H162" s="15" t="s">
        <v>30</v>
      </c>
      <c r="I162" s="15" t="s">
        <v>9</v>
      </c>
      <c r="J162" s="15" t="s">
        <v>34</v>
      </c>
    </row>
    <row r="163" spans="1:10" ht="28" customHeight="1" x14ac:dyDescent="0.2">
      <c r="A163" s="96" t="str">
        <f ca="1">INDIRECT(_xlfn.TEXTJOIN("",TRUE,A175,"!",ADDRESS(13+(A176-1)*A172,1)))</f>
        <v>CAT  014</v>
      </c>
      <c r="B163" s="97"/>
      <c r="C163" s="106" t="str">
        <f ca="1">INDIRECT(_xlfn.TEXTJOIN("",TRUE,A175,"!",ADDRESS(13+(A176-1)*A172,2)))</f>
        <v>Graph Theory</v>
      </c>
      <c r="D163" s="107"/>
      <c r="E163" s="107"/>
      <c r="F163" s="107"/>
      <c r="G163" s="108"/>
      <c r="H163" s="20">
        <f ca="1">INDIRECT(_xlfn.TEXTJOIN("",TRUE,A175,"!",ADDRESS(13+(A176-1)*A172,6)))</f>
        <v>4</v>
      </c>
      <c r="I163" s="20" t="str">
        <f ca="1">INDIRECT(_xlfn.TEXTJOIN("",TRUE,A175,"!",ADDRESS(13+(A176-1)*A172,13)))</f>
        <v>F</v>
      </c>
      <c r="J163" s="20">
        <f ca="1">INDIRECT(_xlfn.TEXTJOIN("",TRUE,A175,"!",ADDRESS(13+(A176-1)*A172,14)))</f>
        <v>0</v>
      </c>
    </row>
    <row r="164" spans="1:10" ht="28" customHeight="1" x14ac:dyDescent="0.2">
      <c r="A164" s="96" t="str">
        <f ca="1">INDIRECT(_xlfn.TEXTJOIN("",TRUE,A175,"!",ADDRESS(14+(A176-1)*A172,1)))</f>
        <v>CAT 015</v>
      </c>
      <c r="B164" s="97"/>
      <c r="C164" s="106" t="str">
        <f ca="1">INDIRECT(_xlfn.TEXTJOIN("",TRUE,A175,"!",ADDRESS(14+(A176-1)*A172,2)))</f>
        <v>Software Engineering</v>
      </c>
      <c r="D164" s="107"/>
      <c r="E164" s="107"/>
      <c r="F164" s="107"/>
      <c r="G164" s="108"/>
      <c r="H164" s="20">
        <f ca="1">INDIRECT(_xlfn.TEXTJOIN("",TRUE,A175,"!",ADDRESS(14+(A176-1)*A172,6)))</f>
        <v>4</v>
      </c>
      <c r="I164" s="20" t="str">
        <f ca="1">INDIRECT(_xlfn.TEXTJOIN("",TRUE,A175,"!",ADDRESS(14+(A176-1)*A172,13)))</f>
        <v>F</v>
      </c>
      <c r="J164" s="20">
        <f ca="1">INDIRECT(_xlfn.TEXTJOIN("",TRUE,A175,"!",ADDRESS(14+(A176-1)*A172,14)))</f>
        <v>0</v>
      </c>
    </row>
    <row r="165" spans="1:10" ht="28" customHeight="1" x14ac:dyDescent="0.2">
      <c r="A165" s="96" t="str">
        <f ca="1">INDIRECT(_xlfn.TEXTJOIN("",TRUE,A175,"!",ADDRESS(15+(A176-1)*A172,1)))</f>
        <v>Enroll No.</v>
      </c>
      <c r="B165" s="97"/>
      <c r="C165" s="106">
        <f ca="1">INDIRECT(_xlfn.TEXTJOIN("",TRUE,A175,"!",ADDRESS(15+(A176-1)*A172,2)))</f>
        <v>0</v>
      </c>
      <c r="D165" s="107"/>
      <c r="E165" s="107"/>
      <c r="F165" s="107"/>
      <c r="G165" s="108"/>
      <c r="H165" s="20">
        <f ca="1">INDIRECT(_xlfn.TEXTJOIN("",TRUE,A175,"!",ADDRESS(15+(A176-1)*A172,6)))</f>
        <v>0</v>
      </c>
      <c r="I165" s="20" t="b">
        <f ca="1">INDIRECT(_xlfn.TEXTJOIN("",TRUE,A175,"!",ADDRESS(15+(A176-1)*A172,13)))</f>
        <v>0</v>
      </c>
      <c r="J165" s="20" t="e">
        <f ca="1">INDIRECT(_xlfn.TEXTJOIN("",TRUE,A175,"!",ADDRESS(15+(A176-1)*A172,14)))</f>
        <v>#N/A</v>
      </c>
    </row>
    <row r="166" spans="1:10" ht="28" customHeight="1" x14ac:dyDescent="0.2">
      <c r="A166" s="96" t="str">
        <f ca="1">INDIRECT(_xlfn.TEXTJOIN("",TRUE,A175,"!",ADDRESS(16+(A176-1)*A172,1)))</f>
        <v>Enroll No.</v>
      </c>
      <c r="B166" s="97"/>
      <c r="C166" s="106">
        <f ca="1">INDIRECT(_xlfn.TEXTJOIN("",TRUE,A175,"!",ADDRESS(16+(A176-1)*A172,2)))</f>
        <v>0</v>
      </c>
      <c r="D166" s="107"/>
      <c r="E166" s="107"/>
      <c r="F166" s="107"/>
      <c r="G166" s="108"/>
      <c r="H166" s="20">
        <f ca="1">INDIRECT(_xlfn.TEXTJOIN("",TRUE,A175,"!",ADDRESS(16+(A176-1)*A172,6)))</f>
        <v>0</v>
      </c>
      <c r="I166" s="20" t="b">
        <f ca="1">INDIRECT(_xlfn.TEXTJOIN("",TRUE,A175,"!",ADDRESS(16+(A176-1)*A172,13)))</f>
        <v>0</v>
      </c>
      <c r="J166" s="20" t="e">
        <f ca="1">INDIRECT(_xlfn.TEXTJOIN("",TRUE,A175,"!",ADDRESS(16+(A176-1)*A172,14)))</f>
        <v>#N/A</v>
      </c>
    </row>
    <row r="167" spans="1:10" ht="28" customHeight="1" x14ac:dyDescent="0.2">
      <c r="A167" s="96" t="str">
        <f ca="1">INDIRECT(_xlfn.TEXTJOIN("",TRUE,A175,"!",ADDRESS(17+(A176-1)*A172,1)))</f>
        <v>AHT 310</v>
      </c>
      <c r="B167" s="97"/>
      <c r="C167" s="106" t="str">
        <f ca="1">INDIRECT(_xlfn.TEXTJOIN("",TRUE,A175,"!",ADDRESS(17+(A176-1)*A172,2)))</f>
        <v>Universal Human Value</v>
      </c>
      <c r="D167" s="107"/>
      <c r="E167" s="107"/>
      <c r="F167" s="107"/>
      <c r="G167" s="108"/>
      <c r="H167" s="20">
        <f ca="1">INDIRECT(_xlfn.TEXTJOIN("",TRUE,A175,"!",ADDRESS(17+(A176-1)*A172,6)))</f>
        <v>3</v>
      </c>
      <c r="I167" s="20" t="str">
        <f ca="1">INDIRECT(_xlfn.TEXTJOIN("",TRUE,A175,"!",ADDRESS(17+(A176-1)*A172,13)))</f>
        <v>F</v>
      </c>
      <c r="J167" s="20">
        <f ca="1">INDIRECT(_xlfn.TEXTJOIN("",TRUE,A175,"!",ADDRESS(17+(A176-1)*A172,14)))</f>
        <v>0</v>
      </c>
    </row>
    <row r="168" spans="1:10" ht="28" customHeight="1" x14ac:dyDescent="0.2">
      <c r="A168" s="96" t="str">
        <f ca="1">INDIRECT(_xlfn.TEXTJOIN("",TRUE,A175,"!",ADDRESS(18+(A176-1)*A172,1)))</f>
        <v>CAP 008</v>
      </c>
      <c r="B168" s="97"/>
      <c r="C168" s="106" t="str">
        <f ca="1">INDIRECT(_xlfn.TEXTJOIN("",TRUE,A175,"!",ADDRESS(18+(A176-1)*A172,2)))</f>
        <v>Software Engineering Lab</v>
      </c>
      <c r="D168" s="107"/>
      <c r="E168" s="107"/>
      <c r="F168" s="107"/>
      <c r="G168" s="108"/>
      <c r="H168" s="20">
        <f ca="1">INDIRECT(_xlfn.TEXTJOIN("",TRUE,A175,"!",ADDRESS(18+(A176-1)*A172,6)))</f>
        <v>1</v>
      </c>
      <c r="I168" s="20" t="str">
        <f ca="1">INDIRECT(_xlfn.TEXTJOIN("",TRUE,A175,"!",ADDRESS(18+(A176-1)*A172,13)))</f>
        <v>F</v>
      </c>
      <c r="J168" s="20">
        <f ca="1">INDIRECT(_xlfn.TEXTJOIN("",TRUE,A175,"!",ADDRESS(18+(A176-1)*A172,14)))</f>
        <v>0</v>
      </c>
    </row>
    <row r="169" spans="1:10" ht="28" customHeight="1" x14ac:dyDescent="0.2">
      <c r="A169" s="96" t="str">
        <f ca="1">INDIRECT(_xlfn.TEXTJOIN("",TRUE,A175,"!",ADDRESS(19+(A176-1)*A172,1)))</f>
        <v>CAP 009</v>
      </c>
      <c r="B169" s="97"/>
      <c r="C169" s="106" t="str">
        <f ca="1">INDIRECT(_xlfn.TEXTJOIN("",TRUE,A175,"!",ADDRESS(19+(A176-1)*A172,2)))</f>
        <v>Seminar</v>
      </c>
      <c r="D169" s="107"/>
      <c r="E169" s="107"/>
      <c r="F169" s="107"/>
      <c r="G169" s="108"/>
      <c r="H169" s="20">
        <f ca="1">INDIRECT(_xlfn.TEXTJOIN("",TRUE,A175,"!",ADDRESS(19+(A176-1)*A172,6)))</f>
        <v>2</v>
      </c>
      <c r="I169" s="20" t="str">
        <f ca="1">INDIRECT(_xlfn.TEXTJOIN("",TRUE,A175,"!",ADDRESS(19+(A176-1)*A172,13)))</f>
        <v>F</v>
      </c>
      <c r="J169" s="20">
        <f ca="1">INDIRECT(_xlfn.TEXTJOIN("",TRUE,A175,"!",ADDRESS(19+(A176-1)*A172,14)))</f>
        <v>0</v>
      </c>
    </row>
    <row r="170" spans="1:10" ht="28" customHeight="1" x14ac:dyDescent="0.2">
      <c r="A170" s="96" t="str">
        <f ca="1">INDIRECT(_xlfn.TEXTJOIN("",TRUE,A175,"!",ADDRESS(20+(A176-1)*A172,1)))</f>
        <v>CAP 010</v>
      </c>
      <c r="B170" s="97"/>
      <c r="C170" s="106" t="str">
        <f ca="1">INDIRECT(_xlfn.TEXTJOIN("",TRUE,A175,"!",ADDRESS(20+(A176-1)*A172,2)))</f>
        <v>Minor Project</v>
      </c>
      <c r="D170" s="107"/>
      <c r="E170" s="107"/>
      <c r="F170" s="107"/>
      <c r="G170" s="108"/>
      <c r="H170" s="20">
        <f ca="1">INDIRECT(_xlfn.TEXTJOIN("",TRUE,A175,"!",ADDRESS(20+(A176-1)*A172,6)))</f>
        <v>2</v>
      </c>
      <c r="I170" s="20" t="str">
        <f ca="1">INDIRECT(_xlfn.TEXTJOIN("",TRUE,A175,"!",ADDRESS(20+(A176-1)*A172,13)))</f>
        <v>F</v>
      </c>
      <c r="J170" s="20">
        <f ca="1">INDIRECT(_xlfn.TEXTJOIN("",TRUE,A175,"!",ADDRESS(20+(A176-1)*A172,14)))</f>
        <v>0</v>
      </c>
    </row>
    <row r="171" spans="1:10" ht="28" customHeight="1" x14ac:dyDescent="0.2">
      <c r="A171" s="118" t="s">
        <v>52</v>
      </c>
      <c r="B171" s="118"/>
      <c r="C171" s="118"/>
      <c r="D171" s="118"/>
      <c r="E171" s="118"/>
      <c r="F171" s="118"/>
      <c r="G171" s="118"/>
      <c r="H171" s="16">
        <f ca="1">SUM(H163:H170)</f>
        <v>16</v>
      </c>
      <c r="I171" s="16" t="s">
        <v>44</v>
      </c>
      <c r="J171" s="16" t="e">
        <f ca="1">SUMPRODUCT(J163:J170,H163:H170)</f>
        <v>#N/A</v>
      </c>
    </row>
    <row r="172" spans="1:10" ht="28" customHeight="1" x14ac:dyDescent="0.2">
      <c r="A172" s="22">
        <f>ROWS(A163:B170)+9</f>
        <v>17</v>
      </c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0" ht="28" customHeight="1" x14ac:dyDescent="0.2">
      <c r="A173" s="120" t="s">
        <v>40</v>
      </c>
      <c r="B173" s="120"/>
      <c r="C173" s="21">
        <f ca="1">INDIRECT(_xlfn.TEXTJOIN("",TRUE,A175,"!",ADDRESS(5+A176*A172,12)))</f>
        <v>0</v>
      </c>
      <c r="D173" s="120" t="s">
        <v>38</v>
      </c>
      <c r="E173" s="120"/>
      <c r="F173" s="18" t="e">
        <f ca="1">INDIRECT(_xlfn.TEXTJOIN("",TRUE,A175,"!",ADDRESS(5+A176*A172,8)))</f>
        <v>#N/A</v>
      </c>
      <c r="G173" s="120" t="s">
        <v>39</v>
      </c>
      <c r="H173" s="120"/>
      <c r="I173" s="109" t="e">
        <f ca="1">INDIRECT(_xlfn.TEXTJOIN("",TRUE,A175,"!",ADDRESS(5+A176*A172,10)))</f>
        <v>#N/A</v>
      </c>
      <c r="J173" s="109"/>
    </row>
    <row r="174" spans="1:10" ht="28" customHeight="1" x14ac:dyDescent="0.2">
      <c r="A174" s="19" t="s">
        <v>36</v>
      </c>
      <c r="B174" s="95" t="e">
        <f ca="1">INDIRECT(_xlfn.TEXTJOIN("",TRUE,A175,"!",ADDRESS(5+A176*A172,2)))</f>
        <v>#N/A</v>
      </c>
      <c r="C174" s="95"/>
      <c r="D174" s="121" t="s">
        <v>37</v>
      </c>
      <c r="E174" s="121"/>
      <c r="F174" s="122" t="e">
        <f ca="1">INDIRECT(_xlfn.TEXTJOIN("",TRUE,A175,"!",ADDRESS(5+A176*A172,5)))</f>
        <v>#N/A</v>
      </c>
      <c r="G174" s="122"/>
      <c r="H174" s="122"/>
      <c r="I174" s="122"/>
      <c r="J174" s="122"/>
    </row>
    <row r="175" spans="1:10" ht="28" customHeight="1" x14ac:dyDescent="0.2">
      <c r="A175" s="22" t="str">
        <f>A158</f>
        <v>TC_III</v>
      </c>
    </row>
    <row r="176" spans="1:10" ht="28" customHeight="1" x14ac:dyDescent="0.2">
      <c r="A176" s="22">
        <f>A159+1</f>
        <v>10</v>
      </c>
    </row>
    <row r="177" spans="1:10" ht="28" customHeight="1" x14ac:dyDescent="0.2">
      <c r="A177" s="112" t="s">
        <v>24</v>
      </c>
      <c r="B177" s="112"/>
      <c r="C177" s="112" t="str">
        <f ca="1">INDIRECT(_xlfn.TEXTJOIN("",TRUE,A192,"!",ADDRESS(9+(A193-1)*A189,2)))</f>
        <v>DIKSHA PHARTYAL</v>
      </c>
      <c r="D177" s="112"/>
      <c r="E177" s="112"/>
      <c r="F177" s="112" t="s">
        <v>50</v>
      </c>
      <c r="G177" s="112"/>
      <c r="H177" s="112"/>
      <c r="I177" s="113">
        <f ca="1">INDIRECT(_xlfn.TEXTJOIN("",TRUE,A192,"!",ADDRESS(9+(A193-1)*A189,9)))</f>
        <v>240090600011</v>
      </c>
      <c r="J177" s="113"/>
    </row>
    <row r="178" spans="1:10" ht="28" customHeight="1" x14ac:dyDescent="0.2">
      <c r="A178" s="112" t="s">
        <v>25</v>
      </c>
      <c r="B178" s="112"/>
      <c r="C178" s="112" t="str">
        <f ca="1">INDIRECT(_xlfn.TEXTJOIN("",TRUE,A192,"!",ADDRESS(9+(A193-1)*A189,5)))</f>
        <v>UPENDRA SINGH PHARTYAL</v>
      </c>
      <c r="D178" s="112"/>
      <c r="E178" s="112"/>
      <c r="F178" s="114" t="s">
        <v>51</v>
      </c>
      <c r="G178" s="114"/>
      <c r="H178" s="114"/>
      <c r="I178" s="113" t="str">
        <f ca="1">INDIRECT(_xlfn.TEXTJOIN("",TRUE,A192,"!",ADDRESS(9+(A193-1)*A189,13)))</f>
        <v>UTU/2406100185</v>
      </c>
      <c r="J178" s="113"/>
    </row>
    <row r="179" spans="1:10" ht="28" customHeight="1" x14ac:dyDescent="0.2">
      <c r="A179" s="95" t="s">
        <v>28</v>
      </c>
      <c r="B179" s="95"/>
      <c r="C179" s="95" t="s">
        <v>29</v>
      </c>
      <c r="D179" s="95"/>
      <c r="E179" s="95"/>
      <c r="F179" s="95"/>
      <c r="G179" s="95"/>
      <c r="H179" s="15" t="s">
        <v>30</v>
      </c>
      <c r="I179" s="15" t="s">
        <v>9</v>
      </c>
      <c r="J179" s="15" t="s">
        <v>34</v>
      </c>
    </row>
    <row r="180" spans="1:10" ht="28" customHeight="1" x14ac:dyDescent="0.2">
      <c r="A180" s="96" t="str">
        <f ca="1">INDIRECT(_xlfn.TEXTJOIN("",TRUE,A192,"!",ADDRESS(13+(A193-1)*A189,1)))</f>
        <v>CAT  014</v>
      </c>
      <c r="B180" s="97"/>
      <c r="C180" s="106" t="str">
        <f ca="1">INDIRECT(_xlfn.TEXTJOIN("",TRUE,A192,"!",ADDRESS(13+(A193-1)*A189,2)))</f>
        <v>Graph Theory</v>
      </c>
      <c r="D180" s="107"/>
      <c r="E180" s="107"/>
      <c r="F180" s="107"/>
      <c r="G180" s="108"/>
      <c r="H180" s="20">
        <f ca="1">INDIRECT(_xlfn.TEXTJOIN("",TRUE,A192,"!",ADDRESS(13+(A193-1)*A189,6)))</f>
        <v>4</v>
      </c>
      <c r="I180" s="20" t="str">
        <f ca="1">INDIRECT(_xlfn.TEXTJOIN("",TRUE,A192,"!",ADDRESS(13+(A193-1)*A189,13)))</f>
        <v>F</v>
      </c>
      <c r="J180" s="20">
        <f ca="1">INDIRECT(_xlfn.TEXTJOIN("",TRUE,A192,"!",ADDRESS(13+(A193-1)*A189,14)))</f>
        <v>0</v>
      </c>
    </row>
    <row r="181" spans="1:10" ht="28" customHeight="1" x14ac:dyDescent="0.2">
      <c r="A181" s="96" t="str">
        <f ca="1">INDIRECT(_xlfn.TEXTJOIN("",TRUE,A192,"!",ADDRESS(14+(A193-1)*A189,1)))</f>
        <v>CAT 015</v>
      </c>
      <c r="B181" s="97"/>
      <c r="C181" s="106" t="str">
        <f ca="1">INDIRECT(_xlfn.TEXTJOIN("",TRUE,A192,"!",ADDRESS(14+(A193-1)*A189,2)))</f>
        <v>Software Engineering</v>
      </c>
      <c r="D181" s="107"/>
      <c r="E181" s="107"/>
      <c r="F181" s="107"/>
      <c r="G181" s="108"/>
      <c r="H181" s="20">
        <f ca="1">INDIRECT(_xlfn.TEXTJOIN("",TRUE,A192,"!",ADDRESS(14+(A193-1)*A189,6)))</f>
        <v>4</v>
      </c>
      <c r="I181" s="20" t="str">
        <f ca="1">INDIRECT(_xlfn.TEXTJOIN("",TRUE,A192,"!",ADDRESS(14+(A193-1)*A189,13)))</f>
        <v>F</v>
      </c>
      <c r="J181" s="20">
        <f ca="1">INDIRECT(_xlfn.TEXTJOIN("",TRUE,A192,"!",ADDRESS(14+(A193-1)*A189,14)))</f>
        <v>0</v>
      </c>
    </row>
    <row r="182" spans="1:10" ht="28" customHeight="1" x14ac:dyDescent="0.2">
      <c r="A182" s="96" t="str">
        <f ca="1">INDIRECT(_xlfn.TEXTJOIN("",TRUE,A192,"!",ADDRESS(15+(A193-1)*A189,1)))</f>
        <v>Enroll No.</v>
      </c>
      <c r="B182" s="97"/>
      <c r="C182" s="106">
        <f ca="1">INDIRECT(_xlfn.TEXTJOIN("",TRUE,A192,"!",ADDRESS(15+(A193-1)*A189,2)))</f>
        <v>0</v>
      </c>
      <c r="D182" s="107"/>
      <c r="E182" s="107"/>
      <c r="F182" s="107"/>
      <c r="G182" s="108"/>
      <c r="H182" s="20">
        <f ca="1">INDIRECT(_xlfn.TEXTJOIN("",TRUE,A192,"!",ADDRESS(15+(A193-1)*A189,6)))</f>
        <v>0</v>
      </c>
      <c r="I182" s="20" t="b">
        <f ca="1">INDIRECT(_xlfn.TEXTJOIN("",TRUE,A192,"!",ADDRESS(15+(A193-1)*A189,13)))</f>
        <v>0</v>
      </c>
      <c r="J182" s="20" t="e">
        <f ca="1">INDIRECT(_xlfn.TEXTJOIN("",TRUE,A192,"!",ADDRESS(15+(A193-1)*A189,14)))</f>
        <v>#N/A</v>
      </c>
    </row>
    <row r="183" spans="1:10" ht="28" customHeight="1" x14ac:dyDescent="0.2">
      <c r="A183" s="96" t="str">
        <f ca="1">INDIRECT(_xlfn.TEXTJOIN("",TRUE,A192,"!",ADDRESS(16+(A193-1)*A189,1)))</f>
        <v>Enroll No.</v>
      </c>
      <c r="B183" s="97"/>
      <c r="C183" s="106">
        <f ca="1">INDIRECT(_xlfn.TEXTJOIN("",TRUE,A192,"!",ADDRESS(16+(A193-1)*A189,2)))</f>
        <v>0</v>
      </c>
      <c r="D183" s="107"/>
      <c r="E183" s="107"/>
      <c r="F183" s="107"/>
      <c r="G183" s="108"/>
      <c r="H183" s="20">
        <f ca="1">INDIRECT(_xlfn.TEXTJOIN("",TRUE,A192,"!",ADDRESS(16+(A193-1)*A189,6)))</f>
        <v>0</v>
      </c>
      <c r="I183" s="20" t="b">
        <f ca="1">INDIRECT(_xlfn.TEXTJOIN("",TRUE,A192,"!",ADDRESS(16+(A193-1)*A189,13)))</f>
        <v>0</v>
      </c>
      <c r="J183" s="20" t="e">
        <f ca="1">INDIRECT(_xlfn.TEXTJOIN("",TRUE,A192,"!",ADDRESS(16+(A193-1)*A189,14)))</f>
        <v>#N/A</v>
      </c>
    </row>
    <row r="184" spans="1:10" ht="28" customHeight="1" x14ac:dyDescent="0.2">
      <c r="A184" s="96" t="str">
        <f ca="1">INDIRECT(_xlfn.TEXTJOIN("",TRUE,A192,"!",ADDRESS(17+(A193-1)*A189,1)))</f>
        <v>AHT 310</v>
      </c>
      <c r="B184" s="97"/>
      <c r="C184" s="106" t="str">
        <f ca="1">INDIRECT(_xlfn.TEXTJOIN("",TRUE,A192,"!",ADDRESS(17+(A193-1)*A189,2)))</f>
        <v>Universal Human Value</v>
      </c>
      <c r="D184" s="107"/>
      <c r="E184" s="107"/>
      <c r="F184" s="107"/>
      <c r="G184" s="108"/>
      <c r="H184" s="20">
        <f ca="1">INDIRECT(_xlfn.TEXTJOIN("",TRUE,A192,"!",ADDRESS(17+(A193-1)*A189,6)))</f>
        <v>3</v>
      </c>
      <c r="I184" s="20" t="str">
        <f ca="1">INDIRECT(_xlfn.TEXTJOIN("",TRUE,A192,"!",ADDRESS(17+(A193-1)*A189,13)))</f>
        <v>F</v>
      </c>
      <c r="J184" s="20">
        <f ca="1">INDIRECT(_xlfn.TEXTJOIN("",TRUE,A192,"!",ADDRESS(17+(A193-1)*A189,14)))</f>
        <v>0</v>
      </c>
    </row>
    <row r="185" spans="1:10" ht="28" customHeight="1" x14ac:dyDescent="0.2">
      <c r="A185" s="96" t="str">
        <f ca="1">INDIRECT(_xlfn.TEXTJOIN("",TRUE,A192,"!",ADDRESS(18+(A193-1)*A189,1)))</f>
        <v>CAP 008</v>
      </c>
      <c r="B185" s="97"/>
      <c r="C185" s="106" t="str">
        <f ca="1">INDIRECT(_xlfn.TEXTJOIN("",TRUE,A192,"!",ADDRESS(18+(A193-1)*A189,2)))</f>
        <v>Software Engineering Lab</v>
      </c>
      <c r="D185" s="107"/>
      <c r="E185" s="107"/>
      <c r="F185" s="107"/>
      <c r="G185" s="108"/>
      <c r="H185" s="20">
        <f ca="1">INDIRECT(_xlfn.TEXTJOIN("",TRUE,A192,"!",ADDRESS(18+(A193-1)*A189,6)))</f>
        <v>1</v>
      </c>
      <c r="I185" s="20" t="str">
        <f ca="1">INDIRECT(_xlfn.TEXTJOIN("",TRUE,A192,"!",ADDRESS(18+(A193-1)*A189,13)))</f>
        <v>F</v>
      </c>
      <c r="J185" s="20">
        <f ca="1">INDIRECT(_xlfn.TEXTJOIN("",TRUE,A192,"!",ADDRESS(18+(A193-1)*A189,14)))</f>
        <v>0</v>
      </c>
    </row>
    <row r="186" spans="1:10" ht="28" customHeight="1" x14ac:dyDescent="0.2">
      <c r="A186" s="96" t="str">
        <f ca="1">INDIRECT(_xlfn.TEXTJOIN("",TRUE,A192,"!",ADDRESS(19+(A193-1)*A189,1)))</f>
        <v>CAP 009</v>
      </c>
      <c r="B186" s="97"/>
      <c r="C186" s="106" t="str">
        <f ca="1">INDIRECT(_xlfn.TEXTJOIN("",TRUE,A192,"!",ADDRESS(19+(A193-1)*A189,2)))</f>
        <v>Seminar</v>
      </c>
      <c r="D186" s="107"/>
      <c r="E186" s="107"/>
      <c r="F186" s="107"/>
      <c r="G186" s="108"/>
      <c r="H186" s="20">
        <f ca="1">INDIRECT(_xlfn.TEXTJOIN("",TRUE,A192,"!",ADDRESS(19+(A193-1)*A189,6)))</f>
        <v>2</v>
      </c>
      <c r="I186" s="20" t="str">
        <f ca="1">INDIRECT(_xlfn.TEXTJOIN("",TRUE,A192,"!",ADDRESS(19+(A193-1)*A189,13)))</f>
        <v>F</v>
      </c>
      <c r="J186" s="20">
        <f ca="1">INDIRECT(_xlfn.TEXTJOIN("",TRUE,A192,"!",ADDRESS(19+(A193-1)*A189,14)))</f>
        <v>0</v>
      </c>
    </row>
    <row r="187" spans="1:10" ht="28" customHeight="1" x14ac:dyDescent="0.2">
      <c r="A187" s="96" t="str">
        <f ca="1">INDIRECT(_xlfn.TEXTJOIN("",TRUE,A192,"!",ADDRESS(20+(A193-1)*A189,1)))</f>
        <v>CAP 010</v>
      </c>
      <c r="B187" s="97"/>
      <c r="C187" s="106" t="str">
        <f ca="1">INDIRECT(_xlfn.TEXTJOIN("",TRUE,A192,"!",ADDRESS(20+(A193-1)*A189,2)))</f>
        <v>Minor Project</v>
      </c>
      <c r="D187" s="107"/>
      <c r="E187" s="107"/>
      <c r="F187" s="107"/>
      <c r="G187" s="108"/>
      <c r="H187" s="20">
        <f ca="1">INDIRECT(_xlfn.TEXTJOIN("",TRUE,A192,"!",ADDRESS(20+(A193-1)*A189,6)))</f>
        <v>2</v>
      </c>
      <c r="I187" s="20" t="str">
        <f ca="1">INDIRECT(_xlfn.TEXTJOIN("",TRUE,A192,"!",ADDRESS(20+(A193-1)*A189,13)))</f>
        <v>F</v>
      </c>
      <c r="J187" s="20">
        <f ca="1">INDIRECT(_xlfn.TEXTJOIN("",TRUE,A192,"!",ADDRESS(20+(A193-1)*A189,14)))</f>
        <v>0</v>
      </c>
    </row>
    <row r="188" spans="1:10" ht="28" customHeight="1" x14ac:dyDescent="0.2">
      <c r="A188" s="118" t="s">
        <v>52</v>
      </c>
      <c r="B188" s="118"/>
      <c r="C188" s="118"/>
      <c r="D188" s="118"/>
      <c r="E188" s="118"/>
      <c r="F188" s="118"/>
      <c r="G188" s="118"/>
      <c r="H188" s="16">
        <f ca="1">SUM(H180:H187)</f>
        <v>16</v>
      </c>
      <c r="I188" s="16" t="s">
        <v>44</v>
      </c>
      <c r="J188" s="16" t="e">
        <f ca="1">SUMPRODUCT(J180:J187,H180:H187)</f>
        <v>#N/A</v>
      </c>
    </row>
    <row r="189" spans="1:10" ht="28" customHeight="1" x14ac:dyDescent="0.2">
      <c r="A189" s="22">
        <f>ROWS(A180:B187)+9</f>
        <v>17</v>
      </c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1:10" ht="28" customHeight="1" x14ac:dyDescent="0.2">
      <c r="A190" s="120" t="s">
        <v>40</v>
      </c>
      <c r="B190" s="120"/>
      <c r="C190" s="21">
        <f ca="1">INDIRECT(_xlfn.TEXTJOIN("",TRUE,A192,"!",ADDRESS(5+A193*A189,12)))</f>
        <v>0</v>
      </c>
      <c r="D190" s="120" t="s">
        <v>38</v>
      </c>
      <c r="E190" s="120"/>
      <c r="F190" s="18" t="e">
        <f ca="1">INDIRECT(_xlfn.TEXTJOIN("",TRUE,A192,"!",ADDRESS(5+A193*A189,8)))</f>
        <v>#N/A</v>
      </c>
      <c r="G190" s="120" t="s">
        <v>39</v>
      </c>
      <c r="H190" s="120"/>
      <c r="I190" s="109" t="e">
        <f ca="1">INDIRECT(_xlfn.TEXTJOIN("",TRUE,A192,"!",ADDRESS(5+A193*A189,10)))</f>
        <v>#N/A</v>
      </c>
      <c r="J190" s="109"/>
    </row>
    <row r="191" spans="1:10" ht="28" customHeight="1" x14ac:dyDescent="0.2">
      <c r="A191" s="19" t="s">
        <v>36</v>
      </c>
      <c r="B191" s="95" t="e">
        <f ca="1">INDIRECT(_xlfn.TEXTJOIN("",TRUE,A192,"!",ADDRESS(5+A193*A189,2)))</f>
        <v>#N/A</v>
      </c>
      <c r="C191" s="95"/>
      <c r="D191" s="121" t="s">
        <v>37</v>
      </c>
      <c r="E191" s="121"/>
      <c r="F191" s="122" t="e">
        <f ca="1">INDIRECT(_xlfn.TEXTJOIN("",TRUE,A192,"!",ADDRESS(5+A193*A189,5)))</f>
        <v>#N/A</v>
      </c>
      <c r="G191" s="122"/>
      <c r="H191" s="122"/>
      <c r="I191" s="122"/>
      <c r="J191" s="122"/>
    </row>
    <row r="192" spans="1:10" ht="28" customHeight="1" x14ac:dyDescent="0.2">
      <c r="A192" s="22" t="str">
        <f>A175</f>
        <v>TC_III</v>
      </c>
    </row>
    <row r="193" spans="1:10" ht="28" customHeight="1" x14ac:dyDescent="0.2">
      <c r="A193" s="22">
        <f>A176+1</f>
        <v>11</v>
      </c>
    </row>
    <row r="194" spans="1:10" ht="28" customHeight="1" x14ac:dyDescent="0.2">
      <c r="A194" s="112" t="s">
        <v>24</v>
      </c>
      <c r="B194" s="112"/>
      <c r="C194" s="112" t="str">
        <f ca="1">INDIRECT(_xlfn.TEXTJOIN("",TRUE,A209,"!",ADDRESS(9+(A210-1)*A206,2)))</f>
        <v>KAMAL SINGH BISHT</v>
      </c>
      <c r="D194" s="112"/>
      <c r="E194" s="112"/>
      <c r="F194" s="112" t="s">
        <v>50</v>
      </c>
      <c r="G194" s="112"/>
      <c r="H194" s="112"/>
      <c r="I194" s="113">
        <f ca="1">INDIRECT(_xlfn.TEXTJOIN("",TRUE,A209,"!",ADDRESS(9+(A210-1)*A206,9)))</f>
        <v>240090600012</v>
      </c>
      <c r="J194" s="113"/>
    </row>
    <row r="195" spans="1:10" ht="28" customHeight="1" x14ac:dyDescent="0.2">
      <c r="A195" s="112" t="s">
        <v>25</v>
      </c>
      <c r="B195" s="112"/>
      <c r="C195" s="112" t="str">
        <f ca="1">INDIRECT(_xlfn.TEXTJOIN("",TRUE,A209,"!",ADDRESS(9+(A210-1)*A206,5)))</f>
        <v>SHIV SINGH BISHT</v>
      </c>
      <c r="D195" s="112"/>
      <c r="E195" s="112"/>
      <c r="F195" s="114" t="s">
        <v>51</v>
      </c>
      <c r="G195" s="114"/>
      <c r="H195" s="114"/>
      <c r="I195" s="113" t="str">
        <f ca="1">INDIRECT(_xlfn.TEXTJOIN("",TRUE,A209,"!",ADDRESS(9+(A210-1)*A206,13)))</f>
        <v>UTU/2406100182</v>
      </c>
      <c r="J195" s="113"/>
    </row>
    <row r="196" spans="1:10" ht="28" customHeight="1" x14ac:dyDescent="0.2">
      <c r="A196" s="95" t="s">
        <v>28</v>
      </c>
      <c r="B196" s="95"/>
      <c r="C196" s="95" t="s">
        <v>29</v>
      </c>
      <c r="D196" s="95"/>
      <c r="E196" s="95"/>
      <c r="F196" s="95"/>
      <c r="G196" s="95"/>
      <c r="H196" s="15" t="s">
        <v>30</v>
      </c>
      <c r="I196" s="15" t="s">
        <v>9</v>
      </c>
      <c r="J196" s="15" t="s">
        <v>34</v>
      </c>
    </row>
    <row r="197" spans="1:10" ht="28" customHeight="1" x14ac:dyDescent="0.2">
      <c r="A197" s="96" t="str">
        <f ca="1">INDIRECT(_xlfn.TEXTJOIN("",TRUE,A209,"!",ADDRESS(13+(A210-1)*A206,1)))</f>
        <v>CAT  014</v>
      </c>
      <c r="B197" s="97"/>
      <c r="C197" s="106" t="str">
        <f ca="1">INDIRECT(_xlfn.TEXTJOIN("",TRUE,A209,"!",ADDRESS(13+(A210-1)*A206,2)))</f>
        <v>Graph Theory</v>
      </c>
      <c r="D197" s="107"/>
      <c r="E197" s="107"/>
      <c r="F197" s="107"/>
      <c r="G197" s="108"/>
      <c r="H197" s="20">
        <f ca="1">INDIRECT(_xlfn.TEXTJOIN("",TRUE,A209,"!",ADDRESS(13+(A210-1)*A206,6)))</f>
        <v>4</v>
      </c>
      <c r="I197" s="20" t="str">
        <f ca="1">INDIRECT(_xlfn.TEXTJOIN("",TRUE,A209,"!",ADDRESS(13+(A210-1)*A206,13)))</f>
        <v>F</v>
      </c>
      <c r="J197" s="20">
        <f ca="1">INDIRECT(_xlfn.TEXTJOIN("",TRUE,A209,"!",ADDRESS(13+(A210-1)*A206,14)))</f>
        <v>0</v>
      </c>
    </row>
    <row r="198" spans="1:10" ht="28" customHeight="1" x14ac:dyDescent="0.2">
      <c r="A198" s="96" t="str">
        <f ca="1">INDIRECT(_xlfn.TEXTJOIN("",TRUE,A209,"!",ADDRESS(14+(A210-1)*A206,1)))</f>
        <v>CAT 015</v>
      </c>
      <c r="B198" s="97"/>
      <c r="C198" s="106" t="str">
        <f ca="1">INDIRECT(_xlfn.TEXTJOIN("",TRUE,A209,"!",ADDRESS(14+(A210-1)*A206,2)))</f>
        <v>Software Engineering</v>
      </c>
      <c r="D198" s="107"/>
      <c r="E198" s="107"/>
      <c r="F198" s="107"/>
      <c r="G198" s="108"/>
      <c r="H198" s="20">
        <f ca="1">INDIRECT(_xlfn.TEXTJOIN("",TRUE,A209,"!",ADDRESS(14+(A210-1)*A206,6)))</f>
        <v>4</v>
      </c>
      <c r="I198" s="20" t="str">
        <f ca="1">INDIRECT(_xlfn.TEXTJOIN("",TRUE,A209,"!",ADDRESS(14+(A210-1)*A206,13)))</f>
        <v>F</v>
      </c>
      <c r="J198" s="20">
        <f ca="1">INDIRECT(_xlfn.TEXTJOIN("",TRUE,A209,"!",ADDRESS(14+(A210-1)*A206,14)))</f>
        <v>0</v>
      </c>
    </row>
    <row r="199" spans="1:10" ht="28" customHeight="1" x14ac:dyDescent="0.2">
      <c r="A199" s="96" t="str">
        <f ca="1">INDIRECT(_xlfn.TEXTJOIN("",TRUE,A209,"!",ADDRESS(15+(A210-1)*A206,1)))</f>
        <v>Enroll No.</v>
      </c>
      <c r="B199" s="97"/>
      <c r="C199" s="106">
        <f ca="1">INDIRECT(_xlfn.TEXTJOIN("",TRUE,A209,"!",ADDRESS(15+(A210-1)*A206,2)))</f>
        <v>0</v>
      </c>
      <c r="D199" s="107"/>
      <c r="E199" s="107"/>
      <c r="F199" s="107"/>
      <c r="G199" s="108"/>
      <c r="H199" s="20">
        <f ca="1">INDIRECT(_xlfn.TEXTJOIN("",TRUE,A209,"!",ADDRESS(15+(A210-1)*A206,6)))</f>
        <v>0</v>
      </c>
      <c r="I199" s="20" t="b">
        <f ca="1">INDIRECT(_xlfn.TEXTJOIN("",TRUE,A209,"!",ADDRESS(15+(A210-1)*A206,13)))</f>
        <v>0</v>
      </c>
      <c r="J199" s="20" t="e">
        <f ca="1">INDIRECT(_xlfn.TEXTJOIN("",TRUE,A209,"!",ADDRESS(15+(A210-1)*A206,14)))</f>
        <v>#N/A</v>
      </c>
    </row>
    <row r="200" spans="1:10" ht="28" customHeight="1" x14ac:dyDescent="0.2">
      <c r="A200" s="96" t="str">
        <f ca="1">INDIRECT(_xlfn.TEXTJOIN("",TRUE,A209,"!",ADDRESS(16+(A210-1)*A206,1)))</f>
        <v>Enroll No.</v>
      </c>
      <c r="B200" s="97"/>
      <c r="C200" s="106">
        <f ca="1">INDIRECT(_xlfn.TEXTJOIN("",TRUE,A209,"!",ADDRESS(16+(A210-1)*A206,2)))</f>
        <v>0</v>
      </c>
      <c r="D200" s="107"/>
      <c r="E200" s="107"/>
      <c r="F200" s="107"/>
      <c r="G200" s="108"/>
      <c r="H200" s="20">
        <f ca="1">INDIRECT(_xlfn.TEXTJOIN("",TRUE,A209,"!",ADDRESS(16+(A210-1)*A206,6)))</f>
        <v>0</v>
      </c>
      <c r="I200" s="20" t="b">
        <f ca="1">INDIRECT(_xlfn.TEXTJOIN("",TRUE,A209,"!",ADDRESS(16+(A210-1)*A206,13)))</f>
        <v>0</v>
      </c>
      <c r="J200" s="20" t="e">
        <f ca="1">INDIRECT(_xlfn.TEXTJOIN("",TRUE,A209,"!",ADDRESS(16+(A210-1)*A206,14)))</f>
        <v>#N/A</v>
      </c>
    </row>
    <row r="201" spans="1:10" ht="28" customHeight="1" x14ac:dyDescent="0.2">
      <c r="A201" s="96" t="str">
        <f ca="1">INDIRECT(_xlfn.TEXTJOIN("",TRUE,A209,"!",ADDRESS(17+(A210-1)*A206,1)))</f>
        <v>AHT 310</v>
      </c>
      <c r="B201" s="97"/>
      <c r="C201" s="106" t="str">
        <f ca="1">INDIRECT(_xlfn.TEXTJOIN("",TRUE,A209,"!",ADDRESS(17+(A210-1)*A206,2)))</f>
        <v>Universal Human Value</v>
      </c>
      <c r="D201" s="107"/>
      <c r="E201" s="107"/>
      <c r="F201" s="107"/>
      <c r="G201" s="108"/>
      <c r="H201" s="20">
        <f ca="1">INDIRECT(_xlfn.TEXTJOIN("",TRUE,A209,"!",ADDRESS(17+(A210-1)*A206,6)))</f>
        <v>3</v>
      </c>
      <c r="I201" s="20" t="str">
        <f ca="1">INDIRECT(_xlfn.TEXTJOIN("",TRUE,A209,"!",ADDRESS(17+(A210-1)*A206,13)))</f>
        <v>F</v>
      </c>
      <c r="J201" s="20">
        <f ca="1">INDIRECT(_xlfn.TEXTJOIN("",TRUE,A209,"!",ADDRESS(17+(A210-1)*A206,14)))</f>
        <v>0</v>
      </c>
    </row>
    <row r="202" spans="1:10" ht="28" customHeight="1" x14ac:dyDescent="0.2">
      <c r="A202" s="96" t="str">
        <f ca="1">INDIRECT(_xlfn.TEXTJOIN("",TRUE,A209,"!",ADDRESS(18+(A210-1)*A206,1)))</f>
        <v>CAP 008</v>
      </c>
      <c r="B202" s="97"/>
      <c r="C202" s="106" t="str">
        <f ca="1">INDIRECT(_xlfn.TEXTJOIN("",TRUE,A209,"!",ADDRESS(18+(A210-1)*A206,2)))</f>
        <v>Software Engineering Lab</v>
      </c>
      <c r="D202" s="107"/>
      <c r="E202" s="107"/>
      <c r="F202" s="107"/>
      <c r="G202" s="108"/>
      <c r="H202" s="20">
        <f ca="1">INDIRECT(_xlfn.TEXTJOIN("",TRUE,A209,"!",ADDRESS(18+(A210-1)*A206,6)))</f>
        <v>1</v>
      </c>
      <c r="I202" s="20" t="str">
        <f ca="1">INDIRECT(_xlfn.TEXTJOIN("",TRUE,A209,"!",ADDRESS(18+(A210-1)*A206,13)))</f>
        <v>F</v>
      </c>
      <c r="J202" s="20">
        <f ca="1">INDIRECT(_xlfn.TEXTJOIN("",TRUE,A209,"!",ADDRESS(18+(A210-1)*A206,14)))</f>
        <v>0</v>
      </c>
    </row>
    <row r="203" spans="1:10" ht="28" customHeight="1" x14ac:dyDescent="0.2">
      <c r="A203" s="96" t="str">
        <f ca="1">INDIRECT(_xlfn.TEXTJOIN("",TRUE,A209,"!",ADDRESS(19+(A210-1)*A206,1)))</f>
        <v>CAP 009</v>
      </c>
      <c r="B203" s="97"/>
      <c r="C203" s="106" t="str">
        <f ca="1">INDIRECT(_xlfn.TEXTJOIN("",TRUE,A209,"!",ADDRESS(19+(A210-1)*A206,2)))</f>
        <v>Seminar</v>
      </c>
      <c r="D203" s="107"/>
      <c r="E203" s="107"/>
      <c r="F203" s="107"/>
      <c r="G203" s="108"/>
      <c r="H203" s="20">
        <f ca="1">INDIRECT(_xlfn.TEXTJOIN("",TRUE,A209,"!",ADDRESS(19+(A210-1)*A206,6)))</f>
        <v>2</v>
      </c>
      <c r="I203" s="20" t="str">
        <f ca="1">INDIRECT(_xlfn.TEXTJOIN("",TRUE,A209,"!",ADDRESS(19+(A210-1)*A206,13)))</f>
        <v>F</v>
      </c>
      <c r="J203" s="20">
        <f ca="1">INDIRECT(_xlfn.TEXTJOIN("",TRUE,A209,"!",ADDRESS(19+(A210-1)*A206,14)))</f>
        <v>0</v>
      </c>
    </row>
    <row r="204" spans="1:10" ht="28" customHeight="1" x14ac:dyDescent="0.2">
      <c r="A204" s="96" t="str">
        <f ca="1">INDIRECT(_xlfn.TEXTJOIN("",TRUE,A209,"!",ADDRESS(20+(A210-1)*A206,1)))</f>
        <v>CAP 010</v>
      </c>
      <c r="B204" s="97"/>
      <c r="C204" s="106" t="str">
        <f ca="1">INDIRECT(_xlfn.TEXTJOIN("",TRUE,A209,"!",ADDRESS(20+(A210-1)*A206,2)))</f>
        <v>Minor Project</v>
      </c>
      <c r="D204" s="107"/>
      <c r="E204" s="107"/>
      <c r="F204" s="107"/>
      <c r="G204" s="108"/>
      <c r="H204" s="20">
        <f ca="1">INDIRECT(_xlfn.TEXTJOIN("",TRUE,A209,"!",ADDRESS(20+(A210-1)*A206,6)))</f>
        <v>2</v>
      </c>
      <c r="I204" s="20" t="str">
        <f ca="1">INDIRECT(_xlfn.TEXTJOIN("",TRUE,A209,"!",ADDRESS(20+(A210-1)*A206,13)))</f>
        <v>F</v>
      </c>
      <c r="J204" s="20">
        <f ca="1">INDIRECT(_xlfn.TEXTJOIN("",TRUE,A209,"!",ADDRESS(20+(A210-1)*A206,14)))</f>
        <v>0</v>
      </c>
    </row>
    <row r="205" spans="1:10" ht="28" customHeight="1" x14ac:dyDescent="0.2">
      <c r="A205" s="118" t="s">
        <v>52</v>
      </c>
      <c r="B205" s="118"/>
      <c r="C205" s="118"/>
      <c r="D205" s="118"/>
      <c r="E205" s="118"/>
      <c r="F205" s="118"/>
      <c r="G205" s="118"/>
      <c r="H205" s="16">
        <f ca="1">SUM(H197:H204)</f>
        <v>16</v>
      </c>
      <c r="I205" s="16" t="s">
        <v>44</v>
      </c>
      <c r="J205" s="16" t="e">
        <f ca="1">SUMPRODUCT(J197:J204,H197:H204)</f>
        <v>#N/A</v>
      </c>
    </row>
    <row r="206" spans="1:10" ht="28" customHeight="1" x14ac:dyDescent="0.2">
      <c r="A206" s="22">
        <f>ROWS(A197:B204)+9</f>
        <v>17</v>
      </c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1:10" ht="28" customHeight="1" x14ac:dyDescent="0.2">
      <c r="A207" s="120" t="s">
        <v>40</v>
      </c>
      <c r="B207" s="120"/>
      <c r="C207" s="21">
        <f ca="1">INDIRECT(_xlfn.TEXTJOIN("",TRUE,A209,"!",ADDRESS(5+A210*A206,12)))</f>
        <v>0</v>
      </c>
      <c r="D207" s="120" t="s">
        <v>38</v>
      </c>
      <c r="E207" s="120"/>
      <c r="F207" s="18" t="e">
        <f ca="1">INDIRECT(_xlfn.TEXTJOIN("",TRUE,A209,"!",ADDRESS(5+A210*A206,8)))</f>
        <v>#N/A</v>
      </c>
      <c r="G207" s="120" t="s">
        <v>39</v>
      </c>
      <c r="H207" s="120"/>
      <c r="I207" s="109" t="e">
        <f ca="1">INDIRECT(_xlfn.TEXTJOIN("",TRUE,A209,"!",ADDRESS(5+A210*A206,10)))</f>
        <v>#N/A</v>
      </c>
      <c r="J207" s="109"/>
    </row>
    <row r="208" spans="1:10" ht="28" customHeight="1" x14ac:dyDescent="0.2">
      <c r="A208" s="19" t="s">
        <v>36</v>
      </c>
      <c r="B208" s="95" t="e">
        <f ca="1">INDIRECT(_xlfn.TEXTJOIN("",TRUE,A209,"!",ADDRESS(5+A210*A206,2)))</f>
        <v>#N/A</v>
      </c>
      <c r="C208" s="95"/>
      <c r="D208" s="121" t="s">
        <v>37</v>
      </c>
      <c r="E208" s="121"/>
      <c r="F208" s="122" t="e">
        <f ca="1">INDIRECT(_xlfn.TEXTJOIN("",TRUE,A209,"!",ADDRESS(5+A210*A206,5)))</f>
        <v>#N/A</v>
      </c>
      <c r="G208" s="122"/>
      <c r="H208" s="122"/>
      <c r="I208" s="122"/>
      <c r="J208" s="122"/>
    </row>
    <row r="209" spans="1:10" ht="28" customHeight="1" x14ac:dyDescent="0.2">
      <c r="A209" s="22" t="str">
        <f>A192</f>
        <v>TC_III</v>
      </c>
    </row>
    <row r="210" spans="1:10" ht="28" customHeight="1" x14ac:dyDescent="0.2">
      <c r="A210" s="22">
        <f>A193+1</f>
        <v>12</v>
      </c>
    </row>
    <row r="211" spans="1:10" ht="28" customHeight="1" x14ac:dyDescent="0.2">
      <c r="A211" s="112" t="s">
        <v>24</v>
      </c>
      <c r="B211" s="112"/>
      <c r="C211" s="112" t="str">
        <f ca="1">INDIRECT(_xlfn.TEXTJOIN("",TRUE,A226,"!",ADDRESS(9+(A227-1)*A223,2)))</f>
        <v>KRISHNA BHATT</v>
      </c>
      <c r="D211" s="112"/>
      <c r="E211" s="112"/>
      <c r="F211" s="112" t="s">
        <v>50</v>
      </c>
      <c r="G211" s="112"/>
      <c r="H211" s="112"/>
      <c r="I211" s="113">
        <f ca="1">INDIRECT(_xlfn.TEXTJOIN("",TRUE,A226,"!",ADDRESS(9+(A227-1)*A223,9)))</f>
        <v>240090600013</v>
      </c>
      <c r="J211" s="113"/>
    </row>
    <row r="212" spans="1:10" ht="28" customHeight="1" x14ac:dyDescent="0.2">
      <c r="A212" s="112" t="s">
        <v>25</v>
      </c>
      <c r="B212" s="112"/>
      <c r="C212" s="112" t="str">
        <f ca="1">INDIRECT(_xlfn.TEXTJOIN("",TRUE,A226,"!",ADDRESS(9+(A227-1)*A223,5)))</f>
        <v>HARENDRA PRASAD BHATT</v>
      </c>
      <c r="D212" s="112"/>
      <c r="E212" s="112"/>
      <c r="F212" s="114" t="s">
        <v>51</v>
      </c>
      <c r="G212" s="114"/>
      <c r="H212" s="114"/>
      <c r="I212" s="113" t="str">
        <f ca="1">INDIRECT(_xlfn.TEXTJOIN("",TRUE,A226,"!",ADDRESS(9+(A227-1)*A223,13)))</f>
        <v>UTU/2406100175</v>
      </c>
      <c r="J212" s="113"/>
    </row>
    <row r="213" spans="1:10" ht="28" customHeight="1" x14ac:dyDescent="0.2">
      <c r="A213" s="95" t="s">
        <v>28</v>
      </c>
      <c r="B213" s="95"/>
      <c r="C213" s="95" t="s">
        <v>29</v>
      </c>
      <c r="D213" s="95"/>
      <c r="E213" s="95"/>
      <c r="F213" s="95"/>
      <c r="G213" s="95"/>
      <c r="H213" s="15" t="s">
        <v>30</v>
      </c>
      <c r="I213" s="15" t="s">
        <v>9</v>
      </c>
      <c r="J213" s="15" t="s">
        <v>34</v>
      </c>
    </row>
    <row r="214" spans="1:10" ht="28" customHeight="1" x14ac:dyDescent="0.2">
      <c r="A214" s="96" t="str">
        <f ca="1">INDIRECT(_xlfn.TEXTJOIN("",TRUE,A226,"!",ADDRESS(13+(A227-1)*A223,1)))</f>
        <v>CAT  014</v>
      </c>
      <c r="B214" s="97"/>
      <c r="C214" s="106" t="str">
        <f ca="1">INDIRECT(_xlfn.TEXTJOIN("",TRUE,A226,"!",ADDRESS(13+(A227-1)*A223,2)))</f>
        <v>Graph Theory</v>
      </c>
      <c r="D214" s="107"/>
      <c r="E214" s="107"/>
      <c r="F214" s="107"/>
      <c r="G214" s="108"/>
      <c r="H214" s="20">
        <f ca="1">INDIRECT(_xlfn.TEXTJOIN("",TRUE,A226,"!",ADDRESS(13+(A227-1)*A223,6)))</f>
        <v>4</v>
      </c>
      <c r="I214" s="20" t="str">
        <f ca="1">INDIRECT(_xlfn.TEXTJOIN("",TRUE,A226,"!",ADDRESS(13+(A227-1)*A223,13)))</f>
        <v>F</v>
      </c>
      <c r="J214" s="20">
        <f ca="1">INDIRECT(_xlfn.TEXTJOIN("",TRUE,A226,"!",ADDRESS(13+(A227-1)*A223,14)))</f>
        <v>0</v>
      </c>
    </row>
    <row r="215" spans="1:10" ht="28" customHeight="1" x14ac:dyDescent="0.2">
      <c r="A215" s="96" t="str">
        <f ca="1">INDIRECT(_xlfn.TEXTJOIN("",TRUE,A226,"!",ADDRESS(14+(A227-1)*A223,1)))</f>
        <v>CAT 015</v>
      </c>
      <c r="B215" s="97"/>
      <c r="C215" s="106" t="str">
        <f ca="1">INDIRECT(_xlfn.TEXTJOIN("",TRUE,A226,"!",ADDRESS(14+(A227-1)*A223,2)))</f>
        <v>Software Engineering</v>
      </c>
      <c r="D215" s="107"/>
      <c r="E215" s="107"/>
      <c r="F215" s="107"/>
      <c r="G215" s="108"/>
      <c r="H215" s="20">
        <f ca="1">INDIRECT(_xlfn.TEXTJOIN("",TRUE,A226,"!",ADDRESS(14+(A227-1)*A223,6)))</f>
        <v>4</v>
      </c>
      <c r="I215" s="20" t="str">
        <f ca="1">INDIRECT(_xlfn.TEXTJOIN("",TRUE,A226,"!",ADDRESS(14+(A227-1)*A223,13)))</f>
        <v>F</v>
      </c>
      <c r="J215" s="20">
        <f ca="1">INDIRECT(_xlfn.TEXTJOIN("",TRUE,A226,"!",ADDRESS(14+(A227-1)*A223,14)))</f>
        <v>0</v>
      </c>
    </row>
    <row r="216" spans="1:10" ht="28" customHeight="1" x14ac:dyDescent="0.2">
      <c r="A216" s="96" t="str">
        <f ca="1">INDIRECT(_xlfn.TEXTJOIN("",TRUE,A226,"!",ADDRESS(15+(A227-1)*A223,1)))</f>
        <v>Enroll No.</v>
      </c>
      <c r="B216" s="97"/>
      <c r="C216" s="106">
        <f ca="1">INDIRECT(_xlfn.TEXTJOIN("",TRUE,A226,"!",ADDRESS(15+(A227-1)*A223,2)))</f>
        <v>0</v>
      </c>
      <c r="D216" s="107"/>
      <c r="E216" s="107"/>
      <c r="F216" s="107"/>
      <c r="G216" s="108"/>
      <c r="H216" s="20">
        <f ca="1">INDIRECT(_xlfn.TEXTJOIN("",TRUE,A226,"!",ADDRESS(15+(A227-1)*A223,6)))</f>
        <v>0</v>
      </c>
      <c r="I216" s="20" t="b">
        <f ca="1">INDIRECT(_xlfn.TEXTJOIN("",TRUE,A226,"!",ADDRESS(15+(A227-1)*A223,13)))</f>
        <v>0</v>
      </c>
      <c r="J216" s="20" t="e">
        <f ca="1">INDIRECT(_xlfn.TEXTJOIN("",TRUE,A226,"!",ADDRESS(15+(A227-1)*A223,14)))</f>
        <v>#N/A</v>
      </c>
    </row>
    <row r="217" spans="1:10" ht="28" customHeight="1" x14ac:dyDescent="0.2">
      <c r="A217" s="96" t="str">
        <f ca="1">INDIRECT(_xlfn.TEXTJOIN("",TRUE,A226,"!",ADDRESS(16+(A227-1)*A223,1)))</f>
        <v>Enroll No.</v>
      </c>
      <c r="B217" s="97"/>
      <c r="C217" s="106">
        <f ca="1">INDIRECT(_xlfn.TEXTJOIN("",TRUE,A226,"!",ADDRESS(16+(A227-1)*A223,2)))</f>
        <v>0</v>
      </c>
      <c r="D217" s="107"/>
      <c r="E217" s="107"/>
      <c r="F217" s="107"/>
      <c r="G217" s="108"/>
      <c r="H217" s="20">
        <f ca="1">INDIRECT(_xlfn.TEXTJOIN("",TRUE,A226,"!",ADDRESS(16+(A227-1)*A223,6)))</f>
        <v>0</v>
      </c>
      <c r="I217" s="20" t="b">
        <f ca="1">INDIRECT(_xlfn.TEXTJOIN("",TRUE,A226,"!",ADDRESS(16+(A227-1)*A223,13)))</f>
        <v>0</v>
      </c>
      <c r="J217" s="20" t="e">
        <f ca="1">INDIRECT(_xlfn.TEXTJOIN("",TRUE,A226,"!",ADDRESS(16+(A227-1)*A223,14)))</f>
        <v>#N/A</v>
      </c>
    </row>
    <row r="218" spans="1:10" ht="28" customHeight="1" x14ac:dyDescent="0.2">
      <c r="A218" s="96" t="str">
        <f ca="1">INDIRECT(_xlfn.TEXTJOIN("",TRUE,A226,"!",ADDRESS(17+(A227-1)*A223,1)))</f>
        <v>AHT 310</v>
      </c>
      <c r="B218" s="97"/>
      <c r="C218" s="106" t="str">
        <f ca="1">INDIRECT(_xlfn.TEXTJOIN("",TRUE,A226,"!",ADDRESS(17+(A227-1)*A223,2)))</f>
        <v>Universal Human Value</v>
      </c>
      <c r="D218" s="107"/>
      <c r="E218" s="107"/>
      <c r="F218" s="107"/>
      <c r="G218" s="108"/>
      <c r="H218" s="20">
        <f ca="1">INDIRECT(_xlfn.TEXTJOIN("",TRUE,A226,"!",ADDRESS(17+(A227-1)*A223,6)))</f>
        <v>3</v>
      </c>
      <c r="I218" s="20" t="str">
        <f ca="1">INDIRECT(_xlfn.TEXTJOIN("",TRUE,A226,"!",ADDRESS(17+(A227-1)*A223,13)))</f>
        <v>F</v>
      </c>
      <c r="J218" s="20">
        <f ca="1">INDIRECT(_xlfn.TEXTJOIN("",TRUE,A226,"!",ADDRESS(17+(A227-1)*A223,14)))</f>
        <v>0</v>
      </c>
    </row>
    <row r="219" spans="1:10" ht="28" customHeight="1" x14ac:dyDescent="0.2">
      <c r="A219" s="96" t="str">
        <f ca="1">INDIRECT(_xlfn.TEXTJOIN("",TRUE,A226,"!",ADDRESS(18+(A227-1)*A223,1)))</f>
        <v>CAP 008</v>
      </c>
      <c r="B219" s="97"/>
      <c r="C219" s="106" t="str">
        <f ca="1">INDIRECT(_xlfn.TEXTJOIN("",TRUE,A226,"!",ADDRESS(18+(A227-1)*A223,2)))</f>
        <v>Software Engineering Lab</v>
      </c>
      <c r="D219" s="107"/>
      <c r="E219" s="107"/>
      <c r="F219" s="107"/>
      <c r="G219" s="108"/>
      <c r="H219" s="20">
        <f ca="1">INDIRECT(_xlfn.TEXTJOIN("",TRUE,A226,"!",ADDRESS(18+(A227-1)*A223,6)))</f>
        <v>1</v>
      </c>
      <c r="I219" s="20" t="str">
        <f ca="1">INDIRECT(_xlfn.TEXTJOIN("",TRUE,A226,"!",ADDRESS(18+(A227-1)*A223,13)))</f>
        <v>F</v>
      </c>
      <c r="J219" s="20">
        <f ca="1">INDIRECT(_xlfn.TEXTJOIN("",TRUE,A226,"!",ADDRESS(18+(A227-1)*A223,14)))</f>
        <v>0</v>
      </c>
    </row>
    <row r="220" spans="1:10" ht="28" customHeight="1" x14ac:dyDescent="0.2">
      <c r="A220" s="96" t="str">
        <f ca="1">INDIRECT(_xlfn.TEXTJOIN("",TRUE,A226,"!",ADDRESS(19+(A227-1)*A223,1)))</f>
        <v>CAP 009</v>
      </c>
      <c r="B220" s="97"/>
      <c r="C220" s="106" t="str">
        <f ca="1">INDIRECT(_xlfn.TEXTJOIN("",TRUE,A226,"!",ADDRESS(19+(A227-1)*A223,2)))</f>
        <v>Seminar</v>
      </c>
      <c r="D220" s="107"/>
      <c r="E220" s="107"/>
      <c r="F220" s="107"/>
      <c r="G220" s="108"/>
      <c r="H220" s="20">
        <f ca="1">INDIRECT(_xlfn.TEXTJOIN("",TRUE,A226,"!",ADDRESS(19+(A227-1)*A223,6)))</f>
        <v>2</v>
      </c>
      <c r="I220" s="20" t="str">
        <f ca="1">INDIRECT(_xlfn.TEXTJOIN("",TRUE,A226,"!",ADDRESS(19+(A227-1)*A223,13)))</f>
        <v>F</v>
      </c>
      <c r="J220" s="20">
        <f ca="1">INDIRECT(_xlfn.TEXTJOIN("",TRUE,A226,"!",ADDRESS(19+(A227-1)*A223,14)))</f>
        <v>0</v>
      </c>
    </row>
    <row r="221" spans="1:10" ht="28" customHeight="1" x14ac:dyDescent="0.2">
      <c r="A221" s="96" t="str">
        <f ca="1">INDIRECT(_xlfn.TEXTJOIN("",TRUE,A226,"!",ADDRESS(20+(A227-1)*A223,1)))</f>
        <v>CAP 010</v>
      </c>
      <c r="B221" s="97"/>
      <c r="C221" s="106" t="str">
        <f ca="1">INDIRECT(_xlfn.TEXTJOIN("",TRUE,A226,"!",ADDRESS(20+(A227-1)*A223,2)))</f>
        <v>Minor Project</v>
      </c>
      <c r="D221" s="107"/>
      <c r="E221" s="107"/>
      <c r="F221" s="107"/>
      <c r="G221" s="108"/>
      <c r="H221" s="20">
        <f ca="1">INDIRECT(_xlfn.TEXTJOIN("",TRUE,A226,"!",ADDRESS(20+(A227-1)*A223,6)))</f>
        <v>2</v>
      </c>
      <c r="I221" s="20" t="str">
        <f ca="1">INDIRECT(_xlfn.TEXTJOIN("",TRUE,A226,"!",ADDRESS(20+(A227-1)*A223,13)))</f>
        <v>F</v>
      </c>
      <c r="J221" s="20">
        <f ca="1">INDIRECT(_xlfn.TEXTJOIN("",TRUE,A226,"!",ADDRESS(20+(A227-1)*A223,14)))</f>
        <v>0</v>
      </c>
    </row>
    <row r="222" spans="1:10" ht="28" customHeight="1" x14ac:dyDescent="0.2">
      <c r="A222" s="118" t="s">
        <v>52</v>
      </c>
      <c r="B222" s="118"/>
      <c r="C222" s="118"/>
      <c r="D222" s="118"/>
      <c r="E222" s="118"/>
      <c r="F222" s="118"/>
      <c r="G222" s="118"/>
      <c r="H222" s="16">
        <f ca="1">SUM(H214:H221)</f>
        <v>16</v>
      </c>
      <c r="I222" s="16" t="s">
        <v>44</v>
      </c>
      <c r="J222" s="16" t="e">
        <f ca="1">SUMPRODUCT(J214:J221,H214:H221)</f>
        <v>#N/A</v>
      </c>
    </row>
    <row r="223" spans="1:10" ht="28" customHeight="1" x14ac:dyDescent="0.2">
      <c r="A223" s="22">
        <f>ROWS(A214:B221)+9</f>
        <v>17</v>
      </c>
      <c r="B223" s="17"/>
      <c r="C223" s="17"/>
      <c r="D223" s="17"/>
      <c r="E223" s="17"/>
      <c r="F223" s="17"/>
      <c r="G223" s="17"/>
      <c r="H223" s="17"/>
      <c r="I223" s="17"/>
      <c r="J223" s="17"/>
    </row>
    <row r="224" spans="1:10" ht="28" customHeight="1" x14ac:dyDescent="0.2">
      <c r="A224" s="120" t="s">
        <v>40</v>
      </c>
      <c r="B224" s="120"/>
      <c r="C224" s="21">
        <f ca="1">INDIRECT(_xlfn.TEXTJOIN("",TRUE,A226,"!",ADDRESS(5+A227*A223,12)))</f>
        <v>0</v>
      </c>
      <c r="D224" s="120" t="s">
        <v>38</v>
      </c>
      <c r="E224" s="120"/>
      <c r="F224" s="18" t="e">
        <f ca="1">INDIRECT(_xlfn.TEXTJOIN("",TRUE,A226,"!",ADDRESS(5+A227*A223,8)))</f>
        <v>#N/A</v>
      </c>
      <c r="G224" s="120" t="s">
        <v>39</v>
      </c>
      <c r="H224" s="120"/>
      <c r="I224" s="109" t="e">
        <f ca="1">INDIRECT(_xlfn.TEXTJOIN("",TRUE,A226,"!",ADDRESS(5+A227*A223,10)))</f>
        <v>#N/A</v>
      </c>
      <c r="J224" s="109"/>
    </row>
    <row r="225" spans="1:10" ht="28" customHeight="1" x14ac:dyDescent="0.2">
      <c r="A225" s="19" t="s">
        <v>36</v>
      </c>
      <c r="B225" s="95" t="e">
        <f ca="1">INDIRECT(_xlfn.TEXTJOIN("",TRUE,A226,"!",ADDRESS(5+A227*A223,2)))</f>
        <v>#N/A</v>
      </c>
      <c r="C225" s="95"/>
      <c r="D225" s="121" t="s">
        <v>37</v>
      </c>
      <c r="E225" s="121"/>
      <c r="F225" s="122" t="e">
        <f ca="1">INDIRECT(_xlfn.TEXTJOIN("",TRUE,A226,"!",ADDRESS(5+A227*A223,5)))</f>
        <v>#N/A</v>
      </c>
      <c r="G225" s="122"/>
      <c r="H225" s="122"/>
      <c r="I225" s="122"/>
      <c r="J225" s="122"/>
    </row>
    <row r="226" spans="1:10" ht="28" customHeight="1" x14ac:dyDescent="0.2">
      <c r="A226" s="22" t="str">
        <f>A209</f>
        <v>TC_III</v>
      </c>
    </row>
    <row r="227" spans="1:10" ht="28" customHeight="1" x14ac:dyDescent="0.2">
      <c r="A227" s="22">
        <f>A210+1</f>
        <v>13</v>
      </c>
    </row>
    <row r="228" spans="1:10" ht="28" customHeight="1" x14ac:dyDescent="0.2">
      <c r="A228" s="112" t="s">
        <v>24</v>
      </c>
      <c r="B228" s="112"/>
      <c r="C228" s="112" t="str">
        <f ca="1">INDIRECT(_xlfn.TEXTJOIN("",TRUE,A243,"!",ADDRESS(9+(A244-1)*A240,2)))</f>
        <v>MANSI SAINI</v>
      </c>
      <c r="D228" s="112"/>
      <c r="E228" s="112"/>
      <c r="F228" s="112" t="s">
        <v>50</v>
      </c>
      <c r="G228" s="112"/>
      <c r="H228" s="112"/>
      <c r="I228" s="113">
        <f ca="1">INDIRECT(_xlfn.TEXTJOIN("",TRUE,A243,"!",ADDRESS(9+(A244-1)*A240,9)))</f>
        <v>240090600014</v>
      </c>
      <c r="J228" s="113"/>
    </row>
    <row r="229" spans="1:10" ht="28" customHeight="1" x14ac:dyDescent="0.2">
      <c r="A229" s="112" t="s">
        <v>25</v>
      </c>
      <c r="B229" s="112"/>
      <c r="C229" s="112" t="str">
        <f ca="1">INDIRECT(_xlfn.TEXTJOIN("",TRUE,A243,"!",ADDRESS(9+(A244-1)*A240,5)))</f>
        <v>ASHOK KUMAR SAINI</v>
      </c>
      <c r="D229" s="112"/>
      <c r="E229" s="112"/>
      <c r="F229" s="114" t="s">
        <v>51</v>
      </c>
      <c r="G229" s="114"/>
      <c r="H229" s="114"/>
      <c r="I229" s="113" t="str">
        <f ca="1">INDIRECT(_xlfn.TEXTJOIN("",TRUE,A243,"!",ADDRESS(9+(A244-1)*A240,13)))</f>
        <v>UTU/2406100188</v>
      </c>
      <c r="J229" s="113"/>
    </row>
    <row r="230" spans="1:10" ht="28" customHeight="1" x14ac:dyDescent="0.2">
      <c r="A230" s="95" t="s">
        <v>28</v>
      </c>
      <c r="B230" s="95"/>
      <c r="C230" s="95" t="s">
        <v>29</v>
      </c>
      <c r="D230" s="95"/>
      <c r="E230" s="95"/>
      <c r="F230" s="95"/>
      <c r="G230" s="95"/>
      <c r="H230" s="15" t="s">
        <v>30</v>
      </c>
      <c r="I230" s="15" t="s">
        <v>9</v>
      </c>
      <c r="J230" s="15" t="s">
        <v>34</v>
      </c>
    </row>
    <row r="231" spans="1:10" ht="28" customHeight="1" x14ac:dyDescent="0.2">
      <c r="A231" s="96" t="str">
        <f ca="1">INDIRECT(_xlfn.TEXTJOIN("",TRUE,A243,"!",ADDRESS(13+(A244-1)*A240,1)))</f>
        <v>CAT  014</v>
      </c>
      <c r="B231" s="97"/>
      <c r="C231" s="106" t="str">
        <f ca="1">INDIRECT(_xlfn.TEXTJOIN("",TRUE,A243,"!",ADDRESS(13+(A244-1)*A240,2)))</f>
        <v>Graph Theory</v>
      </c>
      <c r="D231" s="107"/>
      <c r="E231" s="107"/>
      <c r="F231" s="107"/>
      <c r="G231" s="108"/>
      <c r="H231" s="20">
        <f ca="1">INDIRECT(_xlfn.TEXTJOIN("",TRUE,A243,"!",ADDRESS(13+(A244-1)*A240,6)))</f>
        <v>4</v>
      </c>
      <c r="I231" s="20" t="str">
        <f ca="1">INDIRECT(_xlfn.TEXTJOIN("",TRUE,A243,"!",ADDRESS(13+(A244-1)*A240,13)))</f>
        <v>F</v>
      </c>
      <c r="J231" s="20">
        <f ca="1">INDIRECT(_xlfn.TEXTJOIN("",TRUE,A243,"!",ADDRESS(13+(A244-1)*A240,14)))</f>
        <v>0</v>
      </c>
    </row>
    <row r="232" spans="1:10" ht="28" customHeight="1" x14ac:dyDescent="0.2">
      <c r="A232" s="96" t="str">
        <f ca="1">INDIRECT(_xlfn.TEXTJOIN("",TRUE,A243,"!",ADDRESS(14+(A244-1)*A240,1)))</f>
        <v>CAT 015</v>
      </c>
      <c r="B232" s="97"/>
      <c r="C232" s="106" t="str">
        <f ca="1">INDIRECT(_xlfn.TEXTJOIN("",TRUE,A243,"!",ADDRESS(14+(A244-1)*A240,2)))</f>
        <v>Software Engineering</v>
      </c>
      <c r="D232" s="107"/>
      <c r="E232" s="107"/>
      <c r="F232" s="107"/>
      <c r="G232" s="108"/>
      <c r="H232" s="20">
        <f ca="1">INDIRECT(_xlfn.TEXTJOIN("",TRUE,A243,"!",ADDRESS(14+(A244-1)*A240,6)))</f>
        <v>4</v>
      </c>
      <c r="I232" s="20" t="str">
        <f ca="1">INDIRECT(_xlfn.TEXTJOIN("",TRUE,A243,"!",ADDRESS(14+(A244-1)*A240,13)))</f>
        <v>F</v>
      </c>
      <c r="J232" s="20">
        <f ca="1">INDIRECT(_xlfn.TEXTJOIN("",TRUE,A243,"!",ADDRESS(14+(A244-1)*A240,14)))</f>
        <v>0</v>
      </c>
    </row>
    <row r="233" spans="1:10" ht="28" customHeight="1" x14ac:dyDescent="0.2">
      <c r="A233" s="96" t="str">
        <f ca="1">INDIRECT(_xlfn.TEXTJOIN("",TRUE,A243,"!",ADDRESS(15+(A244-1)*A240,1)))</f>
        <v>Enroll No.</v>
      </c>
      <c r="B233" s="97"/>
      <c r="C233" s="106">
        <f ca="1">INDIRECT(_xlfn.TEXTJOIN("",TRUE,A243,"!",ADDRESS(15+(A244-1)*A240,2)))</f>
        <v>0</v>
      </c>
      <c r="D233" s="107"/>
      <c r="E233" s="107"/>
      <c r="F233" s="107"/>
      <c r="G233" s="108"/>
      <c r="H233" s="20">
        <f ca="1">INDIRECT(_xlfn.TEXTJOIN("",TRUE,A243,"!",ADDRESS(15+(A244-1)*A240,6)))</f>
        <v>0</v>
      </c>
      <c r="I233" s="20" t="b">
        <f ca="1">INDIRECT(_xlfn.TEXTJOIN("",TRUE,A243,"!",ADDRESS(15+(A244-1)*A240,13)))</f>
        <v>0</v>
      </c>
      <c r="J233" s="20" t="e">
        <f ca="1">INDIRECT(_xlfn.TEXTJOIN("",TRUE,A243,"!",ADDRESS(15+(A244-1)*A240,14)))</f>
        <v>#N/A</v>
      </c>
    </row>
    <row r="234" spans="1:10" ht="28" customHeight="1" x14ac:dyDescent="0.2">
      <c r="A234" s="96" t="str">
        <f ca="1">INDIRECT(_xlfn.TEXTJOIN("",TRUE,A243,"!",ADDRESS(16+(A244-1)*A240,1)))</f>
        <v>Enroll No.</v>
      </c>
      <c r="B234" s="97"/>
      <c r="C234" s="106">
        <f ca="1">INDIRECT(_xlfn.TEXTJOIN("",TRUE,A243,"!",ADDRESS(16+(A244-1)*A240,2)))</f>
        <v>0</v>
      </c>
      <c r="D234" s="107"/>
      <c r="E234" s="107"/>
      <c r="F234" s="107"/>
      <c r="G234" s="108"/>
      <c r="H234" s="20">
        <f ca="1">INDIRECT(_xlfn.TEXTJOIN("",TRUE,A243,"!",ADDRESS(16+(A244-1)*A240,6)))</f>
        <v>0</v>
      </c>
      <c r="I234" s="20" t="b">
        <f ca="1">INDIRECT(_xlfn.TEXTJOIN("",TRUE,A243,"!",ADDRESS(16+(A244-1)*A240,13)))</f>
        <v>0</v>
      </c>
      <c r="J234" s="20" t="e">
        <f ca="1">INDIRECT(_xlfn.TEXTJOIN("",TRUE,A243,"!",ADDRESS(16+(A244-1)*A240,14)))</f>
        <v>#N/A</v>
      </c>
    </row>
    <row r="235" spans="1:10" ht="28" customHeight="1" x14ac:dyDescent="0.2">
      <c r="A235" s="96" t="str">
        <f ca="1">INDIRECT(_xlfn.TEXTJOIN("",TRUE,A243,"!",ADDRESS(17+(A244-1)*A240,1)))</f>
        <v>AHT 310</v>
      </c>
      <c r="B235" s="97"/>
      <c r="C235" s="106" t="str">
        <f ca="1">INDIRECT(_xlfn.TEXTJOIN("",TRUE,A243,"!",ADDRESS(17+(A244-1)*A240,2)))</f>
        <v>Universal Human Value</v>
      </c>
      <c r="D235" s="107"/>
      <c r="E235" s="107"/>
      <c r="F235" s="107"/>
      <c r="G235" s="108"/>
      <c r="H235" s="20">
        <f ca="1">INDIRECT(_xlfn.TEXTJOIN("",TRUE,A243,"!",ADDRESS(17+(A244-1)*A240,6)))</f>
        <v>3</v>
      </c>
      <c r="I235" s="20" t="str">
        <f ca="1">INDIRECT(_xlfn.TEXTJOIN("",TRUE,A243,"!",ADDRESS(17+(A244-1)*A240,13)))</f>
        <v>F</v>
      </c>
      <c r="J235" s="20">
        <f ca="1">INDIRECT(_xlfn.TEXTJOIN("",TRUE,A243,"!",ADDRESS(17+(A244-1)*A240,14)))</f>
        <v>0</v>
      </c>
    </row>
    <row r="236" spans="1:10" ht="28" customHeight="1" x14ac:dyDescent="0.2">
      <c r="A236" s="96" t="str">
        <f ca="1">INDIRECT(_xlfn.TEXTJOIN("",TRUE,A243,"!",ADDRESS(18+(A244-1)*A240,1)))</f>
        <v>CAP 008</v>
      </c>
      <c r="B236" s="97"/>
      <c r="C236" s="106" t="str">
        <f ca="1">INDIRECT(_xlfn.TEXTJOIN("",TRUE,A243,"!",ADDRESS(18+(A244-1)*A240,2)))</f>
        <v>Software Engineering Lab</v>
      </c>
      <c r="D236" s="107"/>
      <c r="E236" s="107"/>
      <c r="F236" s="107"/>
      <c r="G236" s="108"/>
      <c r="H236" s="20">
        <f ca="1">INDIRECT(_xlfn.TEXTJOIN("",TRUE,A243,"!",ADDRESS(18+(A244-1)*A240,6)))</f>
        <v>1</v>
      </c>
      <c r="I236" s="20" t="str">
        <f ca="1">INDIRECT(_xlfn.TEXTJOIN("",TRUE,A243,"!",ADDRESS(18+(A244-1)*A240,13)))</f>
        <v>F</v>
      </c>
      <c r="J236" s="20">
        <f ca="1">INDIRECT(_xlfn.TEXTJOIN("",TRUE,A243,"!",ADDRESS(18+(A244-1)*A240,14)))</f>
        <v>0</v>
      </c>
    </row>
    <row r="237" spans="1:10" ht="28" customHeight="1" x14ac:dyDescent="0.2">
      <c r="A237" s="96" t="str">
        <f ca="1">INDIRECT(_xlfn.TEXTJOIN("",TRUE,A243,"!",ADDRESS(19+(A244-1)*A240,1)))</f>
        <v>CAP 009</v>
      </c>
      <c r="B237" s="97"/>
      <c r="C237" s="106" t="str">
        <f ca="1">INDIRECT(_xlfn.TEXTJOIN("",TRUE,A243,"!",ADDRESS(19+(A244-1)*A240,2)))</f>
        <v>Seminar</v>
      </c>
      <c r="D237" s="107"/>
      <c r="E237" s="107"/>
      <c r="F237" s="107"/>
      <c r="G237" s="108"/>
      <c r="H237" s="20">
        <f ca="1">INDIRECT(_xlfn.TEXTJOIN("",TRUE,A243,"!",ADDRESS(19+(A244-1)*A240,6)))</f>
        <v>2</v>
      </c>
      <c r="I237" s="20" t="str">
        <f ca="1">INDIRECT(_xlfn.TEXTJOIN("",TRUE,A243,"!",ADDRESS(19+(A244-1)*A240,13)))</f>
        <v>F</v>
      </c>
      <c r="J237" s="20">
        <f ca="1">INDIRECT(_xlfn.TEXTJOIN("",TRUE,A243,"!",ADDRESS(19+(A244-1)*A240,14)))</f>
        <v>0</v>
      </c>
    </row>
    <row r="238" spans="1:10" ht="28" customHeight="1" x14ac:dyDescent="0.2">
      <c r="A238" s="96" t="str">
        <f ca="1">INDIRECT(_xlfn.TEXTJOIN("",TRUE,A243,"!",ADDRESS(20+(A244-1)*A240,1)))</f>
        <v>CAP 010</v>
      </c>
      <c r="B238" s="97"/>
      <c r="C238" s="106" t="str">
        <f ca="1">INDIRECT(_xlfn.TEXTJOIN("",TRUE,A243,"!",ADDRESS(20+(A244-1)*A240,2)))</f>
        <v>Minor Project</v>
      </c>
      <c r="D238" s="107"/>
      <c r="E238" s="107"/>
      <c r="F238" s="107"/>
      <c r="G238" s="108"/>
      <c r="H238" s="20">
        <f ca="1">INDIRECT(_xlfn.TEXTJOIN("",TRUE,A243,"!",ADDRESS(20+(A244-1)*A240,6)))</f>
        <v>2</v>
      </c>
      <c r="I238" s="20" t="str">
        <f ca="1">INDIRECT(_xlfn.TEXTJOIN("",TRUE,A243,"!",ADDRESS(20+(A244-1)*A240,13)))</f>
        <v>F</v>
      </c>
      <c r="J238" s="20">
        <f ca="1">INDIRECT(_xlfn.TEXTJOIN("",TRUE,A243,"!",ADDRESS(20+(A244-1)*A240,14)))</f>
        <v>0</v>
      </c>
    </row>
    <row r="239" spans="1:10" ht="28" customHeight="1" x14ac:dyDescent="0.2">
      <c r="A239" s="118" t="s">
        <v>52</v>
      </c>
      <c r="B239" s="118"/>
      <c r="C239" s="118"/>
      <c r="D239" s="118"/>
      <c r="E239" s="118"/>
      <c r="F239" s="118"/>
      <c r="G239" s="118"/>
      <c r="H239" s="16">
        <f ca="1">SUM(H231:H238)</f>
        <v>16</v>
      </c>
      <c r="I239" s="16" t="s">
        <v>44</v>
      </c>
      <c r="J239" s="16" t="e">
        <f ca="1">SUMPRODUCT(J231:J238,H231:H238)</f>
        <v>#N/A</v>
      </c>
    </row>
    <row r="240" spans="1:10" ht="28" customHeight="1" x14ac:dyDescent="0.2">
      <c r="A240" s="22">
        <f>ROWS(A231:B238)+9</f>
        <v>17</v>
      </c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1:10" ht="28" customHeight="1" x14ac:dyDescent="0.2">
      <c r="A241" s="120" t="s">
        <v>40</v>
      </c>
      <c r="B241" s="120"/>
      <c r="C241" s="21">
        <f ca="1">INDIRECT(_xlfn.TEXTJOIN("",TRUE,A243,"!",ADDRESS(5+A244*A240,12)))</f>
        <v>0</v>
      </c>
      <c r="D241" s="120" t="s">
        <v>38</v>
      </c>
      <c r="E241" s="120"/>
      <c r="F241" s="18" t="e">
        <f ca="1">INDIRECT(_xlfn.TEXTJOIN("",TRUE,A243,"!",ADDRESS(5+A244*A240,8)))</f>
        <v>#N/A</v>
      </c>
      <c r="G241" s="120" t="s">
        <v>39</v>
      </c>
      <c r="H241" s="120"/>
      <c r="I241" s="109" t="e">
        <f ca="1">INDIRECT(_xlfn.TEXTJOIN("",TRUE,A243,"!",ADDRESS(5+A244*A240,10)))</f>
        <v>#N/A</v>
      </c>
      <c r="J241" s="109"/>
    </row>
    <row r="242" spans="1:10" ht="28" customHeight="1" x14ac:dyDescent="0.2">
      <c r="A242" s="19" t="s">
        <v>36</v>
      </c>
      <c r="B242" s="95" t="e">
        <f ca="1">INDIRECT(_xlfn.TEXTJOIN("",TRUE,A243,"!",ADDRESS(5+A244*A240,2)))</f>
        <v>#N/A</v>
      </c>
      <c r="C242" s="95"/>
      <c r="D242" s="121" t="s">
        <v>37</v>
      </c>
      <c r="E242" s="121"/>
      <c r="F242" s="122" t="e">
        <f ca="1">INDIRECT(_xlfn.TEXTJOIN("",TRUE,A243,"!",ADDRESS(5+A244*A240,5)))</f>
        <v>#N/A</v>
      </c>
      <c r="G242" s="122"/>
      <c r="H242" s="122"/>
      <c r="I242" s="122"/>
      <c r="J242" s="122"/>
    </row>
    <row r="243" spans="1:10" ht="28" customHeight="1" x14ac:dyDescent="0.2">
      <c r="A243" s="22" t="str">
        <f>A226</f>
        <v>TC_III</v>
      </c>
    </row>
    <row r="244" spans="1:10" ht="28" customHeight="1" x14ac:dyDescent="0.2">
      <c r="A244" s="22">
        <f>A227+1</f>
        <v>14</v>
      </c>
    </row>
    <row r="245" spans="1:10" ht="28" customHeight="1" x14ac:dyDescent="0.2">
      <c r="A245" s="112" t="s">
        <v>24</v>
      </c>
      <c r="B245" s="112"/>
      <c r="C245" s="112" t="str">
        <f ca="1">INDIRECT(_xlfn.TEXTJOIN("",TRUE,A260,"!",ADDRESS(9+(A261-1)*A257,2)))</f>
        <v>MANVI UNIYAL</v>
      </c>
      <c r="D245" s="112"/>
      <c r="E245" s="112"/>
      <c r="F245" s="112" t="s">
        <v>50</v>
      </c>
      <c r="G245" s="112"/>
      <c r="H245" s="112"/>
      <c r="I245" s="113">
        <f ca="1">INDIRECT(_xlfn.TEXTJOIN("",TRUE,A260,"!",ADDRESS(9+(A261-1)*A257,9)))</f>
        <v>240090600015</v>
      </c>
      <c r="J245" s="113"/>
    </row>
    <row r="246" spans="1:10" ht="28" customHeight="1" x14ac:dyDescent="0.2">
      <c r="A246" s="112" t="s">
        <v>25</v>
      </c>
      <c r="B246" s="112"/>
      <c r="C246" s="112" t="str">
        <f ca="1">INDIRECT(_xlfn.TEXTJOIN("",TRUE,A260,"!",ADDRESS(9+(A261-1)*A257,5)))</f>
        <v>MANOJ UNIYAL</v>
      </c>
      <c r="D246" s="112"/>
      <c r="E246" s="112"/>
      <c r="F246" s="114" t="s">
        <v>51</v>
      </c>
      <c r="G246" s="114"/>
      <c r="H246" s="114"/>
      <c r="I246" s="113" t="str">
        <f ca="1">INDIRECT(_xlfn.TEXTJOIN("",TRUE,A260,"!",ADDRESS(9+(A261-1)*A257,13)))</f>
        <v>UTU/2406100177</v>
      </c>
      <c r="J246" s="113"/>
    </row>
    <row r="247" spans="1:10" ht="28" customHeight="1" x14ac:dyDescent="0.2">
      <c r="A247" s="95" t="s">
        <v>28</v>
      </c>
      <c r="B247" s="95"/>
      <c r="C247" s="95" t="s">
        <v>29</v>
      </c>
      <c r="D247" s="95"/>
      <c r="E247" s="95"/>
      <c r="F247" s="95"/>
      <c r="G247" s="95"/>
      <c r="H247" s="15" t="s">
        <v>30</v>
      </c>
      <c r="I247" s="15" t="s">
        <v>9</v>
      </c>
      <c r="J247" s="15" t="s">
        <v>34</v>
      </c>
    </row>
    <row r="248" spans="1:10" ht="28" customHeight="1" x14ac:dyDescent="0.2">
      <c r="A248" s="96" t="str">
        <f ca="1">INDIRECT(_xlfn.TEXTJOIN("",TRUE,A260,"!",ADDRESS(13+(A261-1)*A257,1)))</f>
        <v>CAT  014</v>
      </c>
      <c r="B248" s="97"/>
      <c r="C248" s="106" t="str">
        <f ca="1">INDIRECT(_xlfn.TEXTJOIN("",TRUE,A260,"!",ADDRESS(13+(A261-1)*A257,2)))</f>
        <v>Graph Theory</v>
      </c>
      <c r="D248" s="107"/>
      <c r="E248" s="107"/>
      <c r="F248" s="107"/>
      <c r="G248" s="108"/>
      <c r="H248" s="20">
        <f ca="1">INDIRECT(_xlfn.TEXTJOIN("",TRUE,A260,"!",ADDRESS(13+(A261-1)*A257,6)))</f>
        <v>4</v>
      </c>
      <c r="I248" s="20" t="str">
        <f ca="1">INDIRECT(_xlfn.TEXTJOIN("",TRUE,A260,"!",ADDRESS(13+(A261-1)*A257,13)))</f>
        <v>F</v>
      </c>
      <c r="J248" s="20">
        <f ca="1">INDIRECT(_xlfn.TEXTJOIN("",TRUE,A260,"!",ADDRESS(13+(A261-1)*A257,14)))</f>
        <v>0</v>
      </c>
    </row>
    <row r="249" spans="1:10" ht="28" customHeight="1" x14ac:dyDescent="0.2">
      <c r="A249" s="96" t="str">
        <f ca="1">INDIRECT(_xlfn.TEXTJOIN("",TRUE,A260,"!",ADDRESS(14+(A261-1)*A257,1)))</f>
        <v>CAT 015</v>
      </c>
      <c r="B249" s="97"/>
      <c r="C249" s="106" t="str">
        <f ca="1">INDIRECT(_xlfn.TEXTJOIN("",TRUE,A260,"!",ADDRESS(14+(A261-1)*A257,2)))</f>
        <v>Software Engineering</v>
      </c>
      <c r="D249" s="107"/>
      <c r="E249" s="107"/>
      <c r="F249" s="107"/>
      <c r="G249" s="108"/>
      <c r="H249" s="20">
        <f ca="1">INDIRECT(_xlfn.TEXTJOIN("",TRUE,A260,"!",ADDRESS(14+(A261-1)*A257,6)))</f>
        <v>4</v>
      </c>
      <c r="I249" s="20" t="str">
        <f ca="1">INDIRECT(_xlfn.TEXTJOIN("",TRUE,A260,"!",ADDRESS(14+(A261-1)*A257,13)))</f>
        <v>F</v>
      </c>
      <c r="J249" s="20">
        <f ca="1">INDIRECT(_xlfn.TEXTJOIN("",TRUE,A260,"!",ADDRESS(14+(A261-1)*A257,14)))</f>
        <v>0</v>
      </c>
    </row>
    <row r="250" spans="1:10" ht="28" customHeight="1" x14ac:dyDescent="0.2">
      <c r="A250" s="96" t="str">
        <f ca="1">INDIRECT(_xlfn.TEXTJOIN("",TRUE,A260,"!",ADDRESS(15+(A261-1)*A257,1)))</f>
        <v>Enroll No.</v>
      </c>
      <c r="B250" s="97"/>
      <c r="C250" s="106">
        <f ca="1">INDIRECT(_xlfn.TEXTJOIN("",TRUE,A260,"!",ADDRESS(15+(A261-1)*A257,2)))</f>
        <v>0</v>
      </c>
      <c r="D250" s="107"/>
      <c r="E250" s="107"/>
      <c r="F250" s="107"/>
      <c r="G250" s="108"/>
      <c r="H250" s="20">
        <f ca="1">INDIRECT(_xlfn.TEXTJOIN("",TRUE,A260,"!",ADDRESS(15+(A261-1)*A257,6)))</f>
        <v>0</v>
      </c>
      <c r="I250" s="20" t="b">
        <f ca="1">INDIRECT(_xlfn.TEXTJOIN("",TRUE,A260,"!",ADDRESS(15+(A261-1)*A257,13)))</f>
        <v>0</v>
      </c>
      <c r="J250" s="20" t="e">
        <f ca="1">INDIRECT(_xlfn.TEXTJOIN("",TRUE,A260,"!",ADDRESS(15+(A261-1)*A257,14)))</f>
        <v>#N/A</v>
      </c>
    </row>
    <row r="251" spans="1:10" ht="28" customHeight="1" x14ac:dyDescent="0.2">
      <c r="A251" s="96" t="str">
        <f ca="1">INDIRECT(_xlfn.TEXTJOIN("",TRUE,A260,"!",ADDRESS(16+(A261-1)*A257,1)))</f>
        <v>Enroll No.</v>
      </c>
      <c r="B251" s="97"/>
      <c r="C251" s="106">
        <f ca="1">INDIRECT(_xlfn.TEXTJOIN("",TRUE,A260,"!",ADDRESS(16+(A261-1)*A257,2)))</f>
        <v>0</v>
      </c>
      <c r="D251" s="107"/>
      <c r="E251" s="107"/>
      <c r="F251" s="107"/>
      <c r="G251" s="108"/>
      <c r="H251" s="20">
        <f ca="1">INDIRECT(_xlfn.TEXTJOIN("",TRUE,A260,"!",ADDRESS(16+(A261-1)*A257,6)))</f>
        <v>0</v>
      </c>
      <c r="I251" s="20" t="b">
        <f ca="1">INDIRECT(_xlfn.TEXTJOIN("",TRUE,A260,"!",ADDRESS(16+(A261-1)*A257,13)))</f>
        <v>0</v>
      </c>
      <c r="J251" s="20" t="e">
        <f ca="1">INDIRECT(_xlfn.TEXTJOIN("",TRUE,A260,"!",ADDRESS(16+(A261-1)*A257,14)))</f>
        <v>#N/A</v>
      </c>
    </row>
    <row r="252" spans="1:10" ht="28" customHeight="1" x14ac:dyDescent="0.2">
      <c r="A252" s="96" t="str">
        <f ca="1">INDIRECT(_xlfn.TEXTJOIN("",TRUE,A260,"!",ADDRESS(17+(A261-1)*A257,1)))</f>
        <v>AHT 310</v>
      </c>
      <c r="B252" s="97"/>
      <c r="C252" s="106" t="str">
        <f ca="1">INDIRECT(_xlfn.TEXTJOIN("",TRUE,A260,"!",ADDRESS(17+(A261-1)*A257,2)))</f>
        <v>Universal Human Value</v>
      </c>
      <c r="D252" s="107"/>
      <c r="E252" s="107"/>
      <c r="F252" s="107"/>
      <c r="G252" s="108"/>
      <c r="H252" s="20">
        <f ca="1">INDIRECT(_xlfn.TEXTJOIN("",TRUE,A260,"!",ADDRESS(17+(A261-1)*A257,6)))</f>
        <v>3</v>
      </c>
      <c r="I252" s="20" t="str">
        <f ca="1">INDIRECT(_xlfn.TEXTJOIN("",TRUE,A260,"!",ADDRESS(17+(A261-1)*A257,13)))</f>
        <v>F</v>
      </c>
      <c r="J252" s="20">
        <f ca="1">INDIRECT(_xlfn.TEXTJOIN("",TRUE,A260,"!",ADDRESS(17+(A261-1)*A257,14)))</f>
        <v>0</v>
      </c>
    </row>
    <row r="253" spans="1:10" ht="28" customHeight="1" x14ac:dyDescent="0.2">
      <c r="A253" s="96" t="str">
        <f ca="1">INDIRECT(_xlfn.TEXTJOIN("",TRUE,A260,"!",ADDRESS(18+(A261-1)*A257,1)))</f>
        <v>CAP 008</v>
      </c>
      <c r="B253" s="97"/>
      <c r="C253" s="106" t="str">
        <f ca="1">INDIRECT(_xlfn.TEXTJOIN("",TRUE,A260,"!",ADDRESS(18+(A261-1)*A257,2)))</f>
        <v>Software Engineering Lab</v>
      </c>
      <c r="D253" s="107"/>
      <c r="E253" s="107"/>
      <c r="F253" s="107"/>
      <c r="G253" s="108"/>
      <c r="H253" s="20">
        <f ca="1">INDIRECT(_xlfn.TEXTJOIN("",TRUE,A260,"!",ADDRESS(18+(A261-1)*A257,6)))</f>
        <v>1</v>
      </c>
      <c r="I253" s="20" t="str">
        <f ca="1">INDIRECT(_xlfn.TEXTJOIN("",TRUE,A260,"!",ADDRESS(18+(A261-1)*A257,13)))</f>
        <v>F</v>
      </c>
      <c r="J253" s="20">
        <f ca="1">INDIRECT(_xlfn.TEXTJOIN("",TRUE,A260,"!",ADDRESS(18+(A261-1)*A257,14)))</f>
        <v>0</v>
      </c>
    </row>
    <row r="254" spans="1:10" ht="28" customHeight="1" x14ac:dyDescent="0.2">
      <c r="A254" s="96" t="str">
        <f ca="1">INDIRECT(_xlfn.TEXTJOIN("",TRUE,A260,"!",ADDRESS(19+(A261-1)*A257,1)))</f>
        <v>CAP 009</v>
      </c>
      <c r="B254" s="97"/>
      <c r="C254" s="106" t="str">
        <f ca="1">INDIRECT(_xlfn.TEXTJOIN("",TRUE,A260,"!",ADDRESS(19+(A261-1)*A257,2)))</f>
        <v>Seminar</v>
      </c>
      <c r="D254" s="107"/>
      <c r="E254" s="107"/>
      <c r="F254" s="107"/>
      <c r="G254" s="108"/>
      <c r="H254" s="20">
        <f ca="1">INDIRECT(_xlfn.TEXTJOIN("",TRUE,A260,"!",ADDRESS(19+(A261-1)*A257,6)))</f>
        <v>2</v>
      </c>
      <c r="I254" s="20" t="str">
        <f ca="1">INDIRECT(_xlfn.TEXTJOIN("",TRUE,A260,"!",ADDRESS(19+(A261-1)*A257,13)))</f>
        <v>F</v>
      </c>
      <c r="J254" s="20">
        <f ca="1">INDIRECT(_xlfn.TEXTJOIN("",TRUE,A260,"!",ADDRESS(19+(A261-1)*A257,14)))</f>
        <v>0</v>
      </c>
    </row>
    <row r="255" spans="1:10" ht="28" customHeight="1" x14ac:dyDescent="0.2">
      <c r="A255" s="96" t="str">
        <f ca="1">INDIRECT(_xlfn.TEXTJOIN("",TRUE,A260,"!",ADDRESS(20+(A261-1)*A257,1)))</f>
        <v>CAP 010</v>
      </c>
      <c r="B255" s="97"/>
      <c r="C255" s="106" t="str">
        <f ca="1">INDIRECT(_xlfn.TEXTJOIN("",TRUE,A260,"!",ADDRESS(20+(A261-1)*A257,2)))</f>
        <v>Minor Project</v>
      </c>
      <c r="D255" s="107"/>
      <c r="E255" s="107"/>
      <c r="F255" s="107"/>
      <c r="G255" s="108"/>
      <c r="H255" s="20">
        <f ca="1">INDIRECT(_xlfn.TEXTJOIN("",TRUE,A260,"!",ADDRESS(20+(A261-1)*A257,6)))</f>
        <v>2</v>
      </c>
      <c r="I255" s="20" t="str">
        <f ca="1">INDIRECT(_xlfn.TEXTJOIN("",TRUE,A260,"!",ADDRESS(20+(A261-1)*A257,13)))</f>
        <v>F</v>
      </c>
      <c r="J255" s="20">
        <f ca="1">INDIRECT(_xlfn.TEXTJOIN("",TRUE,A260,"!",ADDRESS(20+(A261-1)*A257,14)))</f>
        <v>0</v>
      </c>
    </row>
    <row r="256" spans="1:10" ht="28" customHeight="1" x14ac:dyDescent="0.2">
      <c r="A256" s="118" t="s">
        <v>52</v>
      </c>
      <c r="B256" s="118"/>
      <c r="C256" s="118"/>
      <c r="D256" s="118"/>
      <c r="E256" s="118"/>
      <c r="F256" s="118"/>
      <c r="G256" s="118"/>
      <c r="H256" s="16">
        <f ca="1">SUM(H248:H255)</f>
        <v>16</v>
      </c>
      <c r="I256" s="16" t="s">
        <v>44</v>
      </c>
      <c r="J256" s="16" t="e">
        <f ca="1">SUMPRODUCT(J248:J255,H248:H255)</f>
        <v>#N/A</v>
      </c>
    </row>
    <row r="257" spans="1:10" ht="28" customHeight="1" x14ac:dyDescent="0.2">
      <c r="A257" s="22">
        <f>ROWS(A248:B255)+9</f>
        <v>17</v>
      </c>
      <c r="B257" s="17"/>
      <c r="C257" s="17"/>
      <c r="D257" s="17"/>
      <c r="E257" s="17"/>
      <c r="F257" s="17"/>
      <c r="G257" s="17"/>
      <c r="H257" s="17"/>
      <c r="I257" s="17"/>
      <c r="J257" s="17"/>
    </row>
    <row r="258" spans="1:10" ht="28" customHeight="1" x14ac:dyDescent="0.2">
      <c r="A258" s="120" t="s">
        <v>40</v>
      </c>
      <c r="B258" s="120"/>
      <c r="C258" s="21">
        <f ca="1">INDIRECT(_xlfn.TEXTJOIN("",TRUE,A260,"!",ADDRESS(5+A261*A257,12)))</f>
        <v>0</v>
      </c>
      <c r="D258" s="120" t="s">
        <v>38</v>
      </c>
      <c r="E258" s="120"/>
      <c r="F258" s="18" t="e">
        <f ca="1">INDIRECT(_xlfn.TEXTJOIN("",TRUE,A260,"!",ADDRESS(5+A261*A257,8)))</f>
        <v>#N/A</v>
      </c>
      <c r="G258" s="120" t="s">
        <v>39</v>
      </c>
      <c r="H258" s="120"/>
      <c r="I258" s="109" t="e">
        <f ca="1">INDIRECT(_xlfn.TEXTJOIN("",TRUE,A260,"!",ADDRESS(5+A261*A257,10)))</f>
        <v>#N/A</v>
      </c>
      <c r="J258" s="109"/>
    </row>
    <row r="259" spans="1:10" ht="28" customHeight="1" x14ac:dyDescent="0.2">
      <c r="A259" s="19" t="s">
        <v>36</v>
      </c>
      <c r="B259" s="95" t="e">
        <f ca="1">INDIRECT(_xlfn.TEXTJOIN("",TRUE,A260,"!",ADDRESS(5+A261*A257,2)))</f>
        <v>#N/A</v>
      </c>
      <c r="C259" s="95"/>
      <c r="D259" s="121" t="s">
        <v>37</v>
      </c>
      <c r="E259" s="121"/>
      <c r="F259" s="122" t="e">
        <f ca="1">INDIRECT(_xlfn.TEXTJOIN("",TRUE,A260,"!",ADDRESS(5+A261*A257,5)))</f>
        <v>#N/A</v>
      </c>
      <c r="G259" s="122"/>
      <c r="H259" s="122"/>
      <c r="I259" s="122"/>
      <c r="J259" s="122"/>
    </row>
    <row r="260" spans="1:10" ht="28" customHeight="1" x14ac:dyDescent="0.2">
      <c r="A260" s="22" t="str">
        <f>A243</f>
        <v>TC_III</v>
      </c>
    </row>
    <row r="261" spans="1:10" ht="28" customHeight="1" x14ac:dyDescent="0.2">
      <c r="A261" s="22">
        <f>A244+1</f>
        <v>15</v>
      </c>
    </row>
    <row r="262" spans="1:10" ht="28" customHeight="1" x14ac:dyDescent="0.2">
      <c r="A262" s="112" t="s">
        <v>24</v>
      </c>
      <c r="B262" s="112"/>
      <c r="C262" s="112" t="str">
        <f ca="1">INDIRECT(_xlfn.TEXTJOIN("",TRUE,A277,"!",ADDRESS(9+(A278-1)*A274,2)))</f>
        <v>NEERAJ JOSHI</v>
      </c>
      <c r="D262" s="112"/>
      <c r="E262" s="112"/>
      <c r="F262" s="112" t="s">
        <v>50</v>
      </c>
      <c r="G262" s="112"/>
      <c r="H262" s="112"/>
      <c r="I262" s="113">
        <f ca="1">INDIRECT(_xlfn.TEXTJOIN("",TRUE,A277,"!",ADDRESS(9+(A278-1)*A274,9)))</f>
        <v>240090600016</v>
      </c>
      <c r="J262" s="113"/>
    </row>
    <row r="263" spans="1:10" ht="28" customHeight="1" x14ac:dyDescent="0.2">
      <c r="A263" s="112" t="s">
        <v>25</v>
      </c>
      <c r="B263" s="112"/>
      <c r="C263" s="112" t="str">
        <f ca="1">INDIRECT(_xlfn.TEXTJOIN("",TRUE,A277,"!",ADDRESS(9+(A278-1)*A274,5)))</f>
        <v>PURAN CHANDRA JOSHI</v>
      </c>
      <c r="D263" s="112"/>
      <c r="E263" s="112"/>
      <c r="F263" s="114" t="s">
        <v>51</v>
      </c>
      <c r="G263" s="114"/>
      <c r="H263" s="114"/>
      <c r="I263" s="113" t="str">
        <f ca="1">INDIRECT(_xlfn.TEXTJOIN("",TRUE,A277,"!",ADDRESS(9+(A278-1)*A274,13)))</f>
        <v>UTU/2406100137</v>
      </c>
      <c r="J263" s="113"/>
    </row>
    <row r="264" spans="1:10" ht="28" customHeight="1" x14ac:dyDescent="0.2">
      <c r="A264" s="95" t="s">
        <v>28</v>
      </c>
      <c r="B264" s="95"/>
      <c r="C264" s="95" t="s">
        <v>29</v>
      </c>
      <c r="D264" s="95"/>
      <c r="E264" s="95"/>
      <c r="F264" s="95"/>
      <c r="G264" s="95"/>
      <c r="H264" s="15" t="s">
        <v>30</v>
      </c>
      <c r="I264" s="15" t="s">
        <v>9</v>
      </c>
      <c r="J264" s="15" t="s">
        <v>34</v>
      </c>
    </row>
    <row r="265" spans="1:10" ht="28" customHeight="1" x14ac:dyDescent="0.2">
      <c r="A265" s="96" t="str">
        <f ca="1">INDIRECT(_xlfn.TEXTJOIN("",TRUE,A277,"!",ADDRESS(13+(A278-1)*A274,1)))</f>
        <v>CAT  014</v>
      </c>
      <c r="B265" s="97"/>
      <c r="C265" s="106" t="str">
        <f ca="1">INDIRECT(_xlfn.TEXTJOIN("",TRUE,A277,"!",ADDRESS(13+(A278-1)*A274,2)))</f>
        <v>Graph Theory</v>
      </c>
      <c r="D265" s="107"/>
      <c r="E265" s="107"/>
      <c r="F265" s="107"/>
      <c r="G265" s="108"/>
      <c r="H265" s="20">
        <f ca="1">INDIRECT(_xlfn.TEXTJOIN("",TRUE,A277,"!",ADDRESS(13+(A278-1)*A274,6)))</f>
        <v>4</v>
      </c>
      <c r="I265" s="20" t="str">
        <f ca="1">INDIRECT(_xlfn.TEXTJOIN("",TRUE,A277,"!",ADDRESS(13+(A278-1)*A274,13)))</f>
        <v>F</v>
      </c>
      <c r="J265" s="20">
        <f ca="1">INDIRECT(_xlfn.TEXTJOIN("",TRUE,A277,"!",ADDRESS(13+(A278-1)*A274,14)))</f>
        <v>0</v>
      </c>
    </row>
    <row r="266" spans="1:10" ht="28" customHeight="1" x14ac:dyDescent="0.2">
      <c r="A266" s="96" t="str">
        <f ca="1">INDIRECT(_xlfn.TEXTJOIN("",TRUE,A277,"!",ADDRESS(14+(A278-1)*A274,1)))</f>
        <v>CAT 015</v>
      </c>
      <c r="B266" s="97"/>
      <c r="C266" s="106" t="str">
        <f ca="1">INDIRECT(_xlfn.TEXTJOIN("",TRUE,A277,"!",ADDRESS(14+(A278-1)*A274,2)))</f>
        <v>Software Engineering</v>
      </c>
      <c r="D266" s="107"/>
      <c r="E266" s="107"/>
      <c r="F266" s="107"/>
      <c r="G266" s="108"/>
      <c r="H266" s="20">
        <f ca="1">INDIRECT(_xlfn.TEXTJOIN("",TRUE,A277,"!",ADDRESS(14+(A278-1)*A274,6)))</f>
        <v>4</v>
      </c>
      <c r="I266" s="20" t="str">
        <f ca="1">INDIRECT(_xlfn.TEXTJOIN("",TRUE,A277,"!",ADDRESS(14+(A278-1)*A274,13)))</f>
        <v>F</v>
      </c>
      <c r="J266" s="20">
        <f ca="1">INDIRECT(_xlfn.TEXTJOIN("",TRUE,A277,"!",ADDRESS(14+(A278-1)*A274,14)))</f>
        <v>0</v>
      </c>
    </row>
    <row r="267" spans="1:10" ht="28" customHeight="1" x14ac:dyDescent="0.2">
      <c r="A267" s="96" t="str">
        <f ca="1">INDIRECT(_xlfn.TEXTJOIN("",TRUE,A277,"!",ADDRESS(15+(A278-1)*A274,1)))</f>
        <v>Enroll No.</v>
      </c>
      <c r="B267" s="97"/>
      <c r="C267" s="106">
        <f ca="1">INDIRECT(_xlfn.TEXTJOIN("",TRUE,A277,"!",ADDRESS(15+(A278-1)*A274,2)))</f>
        <v>0</v>
      </c>
      <c r="D267" s="107"/>
      <c r="E267" s="107"/>
      <c r="F267" s="107"/>
      <c r="G267" s="108"/>
      <c r="H267" s="20">
        <f ca="1">INDIRECT(_xlfn.TEXTJOIN("",TRUE,A277,"!",ADDRESS(15+(A278-1)*A274,6)))</f>
        <v>0</v>
      </c>
      <c r="I267" s="20" t="b">
        <f ca="1">INDIRECT(_xlfn.TEXTJOIN("",TRUE,A277,"!",ADDRESS(15+(A278-1)*A274,13)))</f>
        <v>0</v>
      </c>
      <c r="J267" s="20" t="e">
        <f ca="1">INDIRECT(_xlfn.TEXTJOIN("",TRUE,A277,"!",ADDRESS(15+(A278-1)*A274,14)))</f>
        <v>#N/A</v>
      </c>
    </row>
    <row r="268" spans="1:10" ht="28" customHeight="1" x14ac:dyDescent="0.2">
      <c r="A268" s="96" t="str">
        <f ca="1">INDIRECT(_xlfn.TEXTJOIN("",TRUE,A277,"!",ADDRESS(16+(A278-1)*A274,1)))</f>
        <v>Enroll No.</v>
      </c>
      <c r="B268" s="97"/>
      <c r="C268" s="106">
        <f ca="1">INDIRECT(_xlfn.TEXTJOIN("",TRUE,A277,"!",ADDRESS(16+(A278-1)*A274,2)))</f>
        <v>0</v>
      </c>
      <c r="D268" s="107"/>
      <c r="E268" s="107"/>
      <c r="F268" s="107"/>
      <c r="G268" s="108"/>
      <c r="H268" s="20">
        <f ca="1">INDIRECT(_xlfn.TEXTJOIN("",TRUE,A277,"!",ADDRESS(16+(A278-1)*A274,6)))</f>
        <v>0</v>
      </c>
      <c r="I268" s="20" t="b">
        <f ca="1">INDIRECT(_xlfn.TEXTJOIN("",TRUE,A277,"!",ADDRESS(16+(A278-1)*A274,13)))</f>
        <v>0</v>
      </c>
      <c r="J268" s="20" t="e">
        <f ca="1">INDIRECT(_xlfn.TEXTJOIN("",TRUE,A277,"!",ADDRESS(16+(A278-1)*A274,14)))</f>
        <v>#N/A</v>
      </c>
    </row>
    <row r="269" spans="1:10" ht="28" customHeight="1" x14ac:dyDescent="0.2">
      <c r="A269" s="96" t="str">
        <f ca="1">INDIRECT(_xlfn.TEXTJOIN("",TRUE,A277,"!",ADDRESS(17+(A278-1)*A274,1)))</f>
        <v>AHT 310</v>
      </c>
      <c r="B269" s="97"/>
      <c r="C269" s="106" t="str">
        <f ca="1">INDIRECT(_xlfn.TEXTJOIN("",TRUE,A277,"!",ADDRESS(17+(A278-1)*A274,2)))</f>
        <v>Universal Human Value</v>
      </c>
      <c r="D269" s="107"/>
      <c r="E269" s="107"/>
      <c r="F269" s="107"/>
      <c r="G269" s="108"/>
      <c r="H269" s="20">
        <f ca="1">INDIRECT(_xlfn.TEXTJOIN("",TRUE,A277,"!",ADDRESS(17+(A278-1)*A274,6)))</f>
        <v>3</v>
      </c>
      <c r="I269" s="20" t="str">
        <f ca="1">INDIRECT(_xlfn.TEXTJOIN("",TRUE,A277,"!",ADDRESS(17+(A278-1)*A274,13)))</f>
        <v>F</v>
      </c>
      <c r="J269" s="20">
        <f ca="1">INDIRECT(_xlfn.TEXTJOIN("",TRUE,A277,"!",ADDRESS(17+(A278-1)*A274,14)))</f>
        <v>0</v>
      </c>
    </row>
    <row r="270" spans="1:10" ht="28" customHeight="1" x14ac:dyDescent="0.2">
      <c r="A270" s="96" t="str">
        <f ca="1">INDIRECT(_xlfn.TEXTJOIN("",TRUE,A277,"!",ADDRESS(18+(A278-1)*A274,1)))</f>
        <v>CAP 008</v>
      </c>
      <c r="B270" s="97"/>
      <c r="C270" s="106" t="str">
        <f ca="1">INDIRECT(_xlfn.TEXTJOIN("",TRUE,A277,"!",ADDRESS(18+(A278-1)*A274,2)))</f>
        <v>Software Engineering Lab</v>
      </c>
      <c r="D270" s="107"/>
      <c r="E270" s="107"/>
      <c r="F270" s="107"/>
      <c r="G270" s="108"/>
      <c r="H270" s="20">
        <f ca="1">INDIRECT(_xlfn.TEXTJOIN("",TRUE,A277,"!",ADDRESS(18+(A278-1)*A274,6)))</f>
        <v>1</v>
      </c>
      <c r="I270" s="20" t="str">
        <f ca="1">INDIRECT(_xlfn.TEXTJOIN("",TRUE,A277,"!",ADDRESS(18+(A278-1)*A274,13)))</f>
        <v>F</v>
      </c>
      <c r="J270" s="20">
        <f ca="1">INDIRECT(_xlfn.TEXTJOIN("",TRUE,A277,"!",ADDRESS(18+(A278-1)*A274,14)))</f>
        <v>0</v>
      </c>
    </row>
    <row r="271" spans="1:10" ht="28" customHeight="1" x14ac:dyDescent="0.2">
      <c r="A271" s="96" t="str">
        <f ca="1">INDIRECT(_xlfn.TEXTJOIN("",TRUE,A277,"!",ADDRESS(19+(A278-1)*A274,1)))</f>
        <v>CAP 009</v>
      </c>
      <c r="B271" s="97"/>
      <c r="C271" s="106" t="str">
        <f ca="1">INDIRECT(_xlfn.TEXTJOIN("",TRUE,A277,"!",ADDRESS(19+(A278-1)*A274,2)))</f>
        <v>Seminar</v>
      </c>
      <c r="D271" s="107"/>
      <c r="E271" s="107"/>
      <c r="F271" s="107"/>
      <c r="G271" s="108"/>
      <c r="H271" s="20">
        <f ca="1">INDIRECT(_xlfn.TEXTJOIN("",TRUE,A277,"!",ADDRESS(19+(A278-1)*A274,6)))</f>
        <v>2</v>
      </c>
      <c r="I271" s="20" t="str">
        <f ca="1">INDIRECT(_xlfn.TEXTJOIN("",TRUE,A277,"!",ADDRESS(19+(A278-1)*A274,13)))</f>
        <v>F</v>
      </c>
      <c r="J271" s="20">
        <f ca="1">INDIRECT(_xlfn.TEXTJOIN("",TRUE,A277,"!",ADDRESS(19+(A278-1)*A274,14)))</f>
        <v>0</v>
      </c>
    </row>
    <row r="272" spans="1:10" ht="28" customHeight="1" x14ac:dyDescent="0.2">
      <c r="A272" s="96" t="str">
        <f ca="1">INDIRECT(_xlfn.TEXTJOIN("",TRUE,A277,"!",ADDRESS(20+(A278-1)*A274,1)))</f>
        <v>CAP 010</v>
      </c>
      <c r="B272" s="97"/>
      <c r="C272" s="106" t="str">
        <f ca="1">INDIRECT(_xlfn.TEXTJOIN("",TRUE,A277,"!",ADDRESS(20+(A278-1)*A274,2)))</f>
        <v>Minor Project</v>
      </c>
      <c r="D272" s="107"/>
      <c r="E272" s="107"/>
      <c r="F272" s="107"/>
      <c r="G272" s="108"/>
      <c r="H272" s="20">
        <f ca="1">INDIRECT(_xlfn.TEXTJOIN("",TRUE,A277,"!",ADDRESS(20+(A278-1)*A274,6)))</f>
        <v>2</v>
      </c>
      <c r="I272" s="20" t="str">
        <f ca="1">INDIRECT(_xlfn.TEXTJOIN("",TRUE,A277,"!",ADDRESS(20+(A278-1)*A274,13)))</f>
        <v>F</v>
      </c>
      <c r="J272" s="20">
        <f ca="1">INDIRECT(_xlfn.TEXTJOIN("",TRUE,A277,"!",ADDRESS(20+(A278-1)*A274,14)))</f>
        <v>0</v>
      </c>
    </row>
    <row r="273" spans="1:10" ht="28" customHeight="1" x14ac:dyDescent="0.2">
      <c r="A273" s="118" t="s">
        <v>52</v>
      </c>
      <c r="B273" s="118"/>
      <c r="C273" s="118"/>
      <c r="D273" s="118"/>
      <c r="E273" s="118"/>
      <c r="F273" s="118"/>
      <c r="G273" s="118"/>
      <c r="H273" s="16">
        <f ca="1">SUM(H265:H272)</f>
        <v>16</v>
      </c>
      <c r="I273" s="16" t="s">
        <v>44</v>
      </c>
      <c r="J273" s="16" t="e">
        <f ca="1">SUMPRODUCT(J265:J272,H265:H272)</f>
        <v>#N/A</v>
      </c>
    </row>
    <row r="274" spans="1:10" ht="28" customHeight="1" x14ac:dyDescent="0.2">
      <c r="A274" s="22">
        <f>ROWS(A265:B272)+9</f>
        <v>17</v>
      </c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1:10" ht="28" customHeight="1" x14ac:dyDescent="0.2">
      <c r="A275" s="120" t="s">
        <v>40</v>
      </c>
      <c r="B275" s="120"/>
      <c r="C275" s="21">
        <f ca="1">INDIRECT(_xlfn.TEXTJOIN("",TRUE,A277,"!",ADDRESS(5+A278*A274,12)))</f>
        <v>0</v>
      </c>
      <c r="D275" s="120" t="s">
        <v>38</v>
      </c>
      <c r="E275" s="120"/>
      <c r="F275" s="18" t="e">
        <f ca="1">INDIRECT(_xlfn.TEXTJOIN("",TRUE,A277,"!",ADDRESS(5+A278*A274,8)))</f>
        <v>#N/A</v>
      </c>
      <c r="G275" s="120" t="s">
        <v>39</v>
      </c>
      <c r="H275" s="120"/>
      <c r="I275" s="109" t="e">
        <f ca="1">INDIRECT(_xlfn.TEXTJOIN("",TRUE,A277,"!",ADDRESS(5+A278*A274,10)))</f>
        <v>#N/A</v>
      </c>
      <c r="J275" s="109"/>
    </row>
    <row r="276" spans="1:10" ht="28" customHeight="1" x14ac:dyDescent="0.2">
      <c r="A276" s="19" t="s">
        <v>36</v>
      </c>
      <c r="B276" s="95" t="e">
        <f ca="1">INDIRECT(_xlfn.TEXTJOIN("",TRUE,A277,"!",ADDRESS(5+A278*A274,2)))</f>
        <v>#N/A</v>
      </c>
      <c r="C276" s="95"/>
      <c r="D276" s="121" t="s">
        <v>37</v>
      </c>
      <c r="E276" s="121"/>
      <c r="F276" s="122" t="e">
        <f ca="1">INDIRECT(_xlfn.TEXTJOIN("",TRUE,A277,"!",ADDRESS(5+A278*A274,5)))</f>
        <v>#N/A</v>
      </c>
      <c r="G276" s="122"/>
      <c r="H276" s="122"/>
      <c r="I276" s="122"/>
      <c r="J276" s="122"/>
    </row>
    <row r="277" spans="1:10" ht="28" customHeight="1" x14ac:dyDescent="0.2">
      <c r="A277" s="22" t="str">
        <f>A260</f>
        <v>TC_III</v>
      </c>
    </row>
    <row r="278" spans="1:10" ht="28" customHeight="1" x14ac:dyDescent="0.2">
      <c r="A278" s="22">
        <f>A261+1</f>
        <v>16</v>
      </c>
    </row>
    <row r="279" spans="1:10" ht="28" customHeight="1" x14ac:dyDescent="0.2">
      <c r="A279" s="112" t="s">
        <v>24</v>
      </c>
      <c r="B279" s="112"/>
      <c r="C279" s="112" t="str">
        <f ca="1">INDIRECT(_xlfn.TEXTJOIN("",TRUE,A294,"!",ADDRESS(9+(A295-1)*A291,2)))</f>
        <v>PRIYANSHU BHATT</v>
      </c>
      <c r="D279" s="112"/>
      <c r="E279" s="112"/>
      <c r="F279" s="112" t="s">
        <v>50</v>
      </c>
      <c r="G279" s="112"/>
      <c r="H279" s="112"/>
      <c r="I279" s="113">
        <f ca="1">INDIRECT(_xlfn.TEXTJOIN("",TRUE,A294,"!",ADDRESS(9+(A295-1)*A291,9)))</f>
        <v>240090600017</v>
      </c>
      <c r="J279" s="113"/>
    </row>
    <row r="280" spans="1:10" ht="28" customHeight="1" x14ac:dyDescent="0.2">
      <c r="A280" s="112" t="s">
        <v>25</v>
      </c>
      <c r="B280" s="112"/>
      <c r="C280" s="112" t="str">
        <f ca="1">INDIRECT(_xlfn.TEXTJOIN("",TRUE,A294,"!",ADDRESS(9+(A295-1)*A291,5)))</f>
        <v>DINESH BHATT</v>
      </c>
      <c r="D280" s="112"/>
      <c r="E280" s="112"/>
      <c r="F280" s="114" t="s">
        <v>51</v>
      </c>
      <c r="G280" s="114"/>
      <c r="H280" s="114"/>
      <c r="I280" s="113" t="str">
        <f ca="1">INDIRECT(_xlfn.TEXTJOIN("",TRUE,A294,"!",ADDRESS(9+(A295-1)*A291,13)))</f>
        <v>UTU/2406100180</v>
      </c>
      <c r="J280" s="113"/>
    </row>
    <row r="281" spans="1:10" ht="28" customHeight="1" x14ac:dyDescent="0.2">
      <c r="A281" s="95" t="s">
        <v>28</v>
      </c>
      <c r="B281" s="95"/>
      <c r="C281" s="95" t="s">
        <v>29</v>
      </c>
      <c r="D281" s="95"/>
      <c r="E281" s="95"/>
      <c r="F281" s="95"/>
      <c r="G281" s="95"/>
      <c r="H281" s="15" t="s">
        <v>30</v>
      </c>
      <c r="I281" s="15" t="s">
        <v>9</v>
      </c>
      <c r="J281" s="15" t="s">
        <v>34</v>
      </c>
    </row>
    <row r="282" spans="1:10" ht="28" customHeight="1" x14ac:dyDescent="0.2">
      <c r="A282" s="96" t="str">
        <f ca="1">INDIRECT(_xlfn.TEXTJOIN("",TRUE,A294,"!",ADDRESS(13+(A295-1)*A291,1)))</f>
        <v>CAT  014</v>
      </c>
      <c r="B282" s="97"/>
      <c r="C282" s="106" t="str">
        <f ca="1">INDIRECT(_xlfn.TEXTJOIN("",TRUE,A294,"!",ADDRESS(13+(A295-1)*A291,2)))</f>
        <v>Graph Theory</v>
      </c>
      <c r="D282" s="107"/>
      <c r="E282" s="107"/>
      <c r="F282" s="107"/>
      <c r="G282" s="108"/>
      <c r="H282" s="20">
        <f ca="1">INDIRECT(_xlfn.TEXTJOIN("",TRUE,A294,"!",ADDRESS(13+(A295-1)*A291,6)))</f>
        <v>4</v>
      </c>
      <c r="I282" s="20" t="str">
        <f ca="1">INDIRECT(_xlfn.TEXTJOIN("",TRUE,A294,"!",ADDRESS(13+(A295-1)*A291,13)))</f>
        <v>F</v>
      </c>
      <c r="J282" s="20">
        <f ca="1">INDIRECT(_xlfn.TEXTJOIN("",TRUE,A294,"!",ADDRESS(13+(A295-1)*A291,14)))</f>
        <v>0</v>
      </c>
    </row>
    <row r="283" spans="1:10" ht="28" customHeight="1" x14ac:dyDescent="0.2">
      <c r="A283" s="96" t="str">
        <f ca="1">INDIRECT(_xlfn.TEXTJOIN("",TRUE,A294,"!",ADDRESS(14+(A295-1)*A291,1)))</f>
        <v>CAT 015</v>
      </c>
      <c r="B283" s="97"/>
      <c r="C283" s="106" t="str">
        <f ca="1">INDIRECT(_xlfn.TEXTJOIN("",TRUE,A294,"!",ADDRESS(14+(A295-1)*A291,2)))</f>
        <v>Software Engineering</v>
      </c>
      <c r="D283" s="107"/>
      <c r="E283" s="107"/>
      <c r="F283" s="107"/>
      <c r="G283" s="108"/>
      <c r="H283" s="20">
        <f ca="1">INDIRECT(_xlfn.TEXTJOIN("",TRUE,A294,"!",ADDRESS(14+(A295-1)*A291,6)))</f>
        <v>4</v>
      </c>
      <c r="I283" s="20" t="str">
        <f ca="1">INDIRECT(_xlfn.TEXTJOIN("",TRUE,A294,"!",ADDRESS(14+(A295-1)*A291,13)))</f>
        <v>F</v>
      </c>
      <c r="J283" s="20">
        <f ca="1">INDIRECT(_xlfn.TEXTJOIN("",TRUE,A294,"!",ADDRESS(14+(A295-1)*A291,14)))</f>
        <v>0</v>
      </c>
    </row>
    <row r="284" spans="1:10" ht="28" customHeight="1" x14ac:dyDescent="0.2">
      <c r="A284" s="96" t="str">
        <f ca="1">INDIRECT(_xlfn.TEXTJOIN("",TRUE,A294,"!",ADDRESS(15+(A295-1)*A291,1)))</f>
        <v>Enroll No.</v>
      </c>
      <c r="B284" s="97"/>
      <c r="C284" s="106">
        <f ca="1">INDIRECT(_xlfn.TEXTJOIN("",TRUE,A294,"!",ADDRESS(15+(A295-1)*A291,2)))</f>
        <v>0</v>
      </c>
      <c r="D284" s="107"/>
      <c r="E284" s="107"/>
      <c r="F284" s="107"/>
      <c r="G284" s="108"/>
      <c r="H284" s="20">
        <f ca="1">INDIRECT(_xlfn.TEXTJOIN("",TRUE,A294,"!",ADDRESS(15+(A295-1)*A291,6)))</f>
        <v>0</v>
      </c>
      <c r="I284" s="20" t="b">
        <f ca="1">INDIRECT(_xlfn.TEXTJOIN("",TRUE,A294,"!",ADDRESS(15+(A295-1)*A291,13)))</f>
        <v>0</v>
      </c>
      <c r="J284" s="20" t="e">
        <f ca="1">INDIRECT(_xlfn.TEXTJOIN("",TRUE,A294,"!",ADDRESS(15+(A295-1)*A291,14)))</f>
        <v>#N/A</v>
      </c>
    </row>
    <row r="285" spans="1:10" ht="28" customHeight="1" x14ac:dyDescent="0.2">
      <c r="A285" s="96" t="str">
        <f ca="1">INDIRECT(_xlfn.TEXTJOIN("",TRUE,A294,"!",ADDRESS(16+(A295-1)*A291,1)))</f>
        <v>Enroll No.</v>
      </c>
      <c r="B285" s="97"/>
      <c r="C285" s="106">
        <f ca="1">INDIRECT(_xlfn.TEXTJOIN("",TRUE,A294,"!",ADDRESS(16+(A295-1)*A291,2)))</f>
        <v>0</v>
      </c>
      <c r="D285" s="107"/>
      <c r="E285" s="107"/>
      <c r="F285" s="107"/>
      <c r="G285" s="108"/>
      <c r="H285" s="20">
        <f ca="1">INDIRECT(_xlfn.TEXTJOIN("",TRUE,A294,"!",ADDRESS(16+(A295-1)*A291,6)))</f>
        <v>0</v>
      </c>
      <c r="I285" s="20" t="b">
        <f ca="1">INDIRECT(_xlfn.TEXTJOIN("",TRUE,A294,"!",ADDRESS(16+(A295-1)*A291,13)))</f>
        <v>0</v>
      </c>
      <c r="J285" s="20" t="e">
        <f ca="1">INDIRECT(_xlfn.TEXTJOIN("",TRUE,A294,"!",ADDRESS(16+(A295-1)*A291,14)))</f>
        <v>#N/A</v>
      </c>
    </row>
    <row r="286" spans="1:10" ht="28" customHeight="1" x14ac:dyDescent="0.2">
      <c r="A286" s="96" t="str">
        <f ca="1">INDIRECT(_xlfn.TEXTJOIN("",TRUE,A294,"!",ADDRESS(17+(A295-1)*A291,1)))</f>
        <v>AHT 310</v>
      </c>
      <c r="B286" s="97"/>
      <c r="C286" s="106" t="str">
        <f ca="1">INDIRECT(_xlfn.TEXTJOIN("",TRUE,A294,"!",ADDRESS(17+(A295-1)*A291,2)))</f>
        <v>Universal Human Value</v>
      </c>
      <c r="D286" s="107"/>
      <c r="E286" s="107"/>
      <c r="F286" s="107"/>
      <c r="G286" s="108"/>
      <c r="H286" s="20">
        <f ca="1">INDIRECT(_xlfn.TEXTJOIN("",TRUE,A294,"!",ADDRESS(17+(A295-1)*A291,6)))</f>
        <v>3</v>
      </c>
      <c r="I286" s="20" t="str">
        <f ca="1">INDIRECT(_xlfn.TEXTJOIN("",TRUE,A294,"!",ADDRESS(17+(A295-1)*A291,13)))</f>
        <v>F</v>
      </c>
      <c r="J286" s="20">
        <f ca="1">INDIRECT(_xlfn.TEXTJOIN("",TRUE,A294,"!",ADDRESS(17+(A295-1)*A291,14)))</f>
        <v>0</v>
      </c>
    </row>
    <row r="287" spans="1:10" ht="28" customHeight="1" x14ac:dyDescent="0.2">
      <c r="A287" s="96" t="str">
        <f ca="1">INDIRECT(_xlfn.TEXTJOIN("",TRUE,A294,"!",ADDRESS(18+(A295-1)*A291,1)))</f>
        <v>CAP 008</v>
      </c>
      <c r="B287" s="97"/>
      <c r="C287" s="106" t="str">
        <f ca="1">INDIRECT(_xlfn.TEXTJOIN("",TRUE,A294,"!",ADDRESS(18+(A295-1)*A291,2)))</f>
        <v>Software Engineering Lab</v>
      </c>
      <c r="D287" s="107"/>
      <c r="E287" s="107"/>
      <c r="F287" s="107"/>
      <c r="G287" s="108"/>
      <c r="H287" s="20">
        <f ca="1">INDIRECT(_xlfn.TEXTJOIN("",TRUE,A294,"!",ADDRESS(18+(A295-1)*A291,6)))</f>
        <v>1</v>
      </c>
      <c r="I287" s="20" t="str">
        <f ca="1">INDIRECT(_xlfn.TEXTJOIN("",TRUE,A294,"!",ADDRESS(18+(A295-1)*A291,13)))</f>
        <v>F</v>
      </c>
      <c r="J287" s="20">
        <f ca="1">INDIRECT(_xlfn.TEXTJOIN("",TRUE,A294,"!",ADDRESS(18+(A295-1)*A291,14)))</f>
        <v>0</v>
      </c>
    </row>
    <row r="288" spans="1:10" ht="28" customHeight="1" x14ac:dyDescent="0.2">
      <c r="A288" s="96" t="str">
        <f ca="1">INDIRECT(_xlfn.TEXTJOIN("",TRUE,A294,"!",ADDRESS(19+(A295-1)*A291,1)))</f>
        <v>CAP 009</v>
      </c>
      <c r="B288" s="97"/>
      <c r="C288" s="106" t="str">
        <f ca="1">INDIRECT(_xlfn.TEXTJOIN("",TRUE,A294,"!",ADDRESS(19+(A295-1)*A291,2)))</f>
        <v>Seminar</v>
      </c>
      <c r="D288" s="107"/>
      <c r="E288" s="107"/>
      <c r="F288" s="107"/>
      <c r="G288" s="108"/>
      <c r="H288" s="20">
        <f ca="1">INDIRECT(_xlfn.TEXTJOIN("",TRUE,A294,"!",ADDRESS(19+(A295-1)*A291,6)))</f>
        <v>2</v>
      </c>
      <c r="I288" s="20" t="str">
        <f ca="1">INDIRECT(_xlfn.TEXTJOIN("",TRUE,A294,"!",ADDRESS(19+(A295-1)*A291,13)))</f>
        <v>F</v>
      </c>
      <c r="J288" s="20">
        <f ca="1">INDIRECT(_xlfn.TEXTJOIN("",TRUE,A294,"!",ADDRESS(19+(A295-1)*A291,14)))</f>
        <v>0</v>
      </c>
    </row>
    <row r="289" spans="1:10" ht="28" customHeight="1" x14ac:dyDescent="0.2">
      <c r="A289" s="96" t="str">
        <f ca="1">INDIRECT(_xlfn.TEXTJOIN("",TRUE,A294,"!",ADDRESS(20+(A295-1)*A291,1)))</f>
        <v>CAP 010</v>
      </c>
      <c r="B289" s="97"/>
      <c r="C289" s="106" t="str">
        <f ca="1">INDIRECT(_xlfn.TEXTJOIN("",TRUE,A294,"!",ADDRESS(20+(A295-1)*A291,2)))</f>
        <v>Minor Project</v>
      </c>
      <c r="D289" s="107"/>
      <c r="E289" s="107"/>
      <c r="F289" s="107"/>
      <c r="G289" s="108"/>
      <c r="H289" s="20">
        <f ca="1">INDIRECT(_xlfn.TEXTJOIN("",TRUE,A294,"!",ADDRESS(20+(A295-1)*A291,6)))</f>
        <v>2</v>
      </c>
      <c r="I289" s="20" t="str">
        <f ca="1">INDIRECT(_xlfn.TEXTJOIN("",TRUE,A294,"!",ADDRESS(20+(A295-1)*A291,13)))</f>
        <v>F</v>
      </c>
      <c r="J289" s="20">
        <f ca="1">INDIRECT(_xlfn.TEXTJOIN("",TRUE,A294,"!",ADDRESS(20+(A295-1)*A291,14)))</f>
        <v>0</v>
      </c>
    </row>
    <row r="290" spans="1:10" ht="28" customHeight="1" x14ac:dyDescent="0.2">
      <c r="A290" s="118" t="s">
        <v>52</v>
      </c>
      <c r="B290" s="118"/>
      <c r="C290" s="118"/>
      <c r="D290" s="118"/>
      <c r="E290" s="118"/>
      <c r="F290" s="118"/>
      <c r="G290" s="118"/>
      <c r="H290" s="16">
        <f ca="1">SUM(H282:H289)</f>
        <v>16</v>
      </c>
      <c r="I290" s="16" t="s">
        <v>44</v>
      </c>
      <c r="J290" s="16" t="e">
        <f ca="1">SUMPRODUCT(J282:J289,H282:H289)</f>
        <v>#N/A</v>
      </c>
    </row>
    <row r="291" spans="1:10" ht="28" customHeight="1" x14ac:dyDescent="0.2">
      <c r="A291" s="22">
        <f>ROWS(A282:B289)+9</f>
        <v>17</v>
      </c>
      <c r="B291" s="17"/>
      <c r="C291" s="17"/>
      <c r="D291" s="17"/>
      <c r="E291" s="17"/>
      <c r="F291" s="17"/>
      <c r="G291" s="17"/>
      <c r="H291" s="17"/>
      <c r="I291" s="17"/>
      <c r="J291" s="17"/>
    </row>
    <row r="292" spans="1:10" ht="28" customHeight="1" x14ac:dyDescent="0.2">
      <c r="A292" s="120" t="s">
        <v>40</v>
      </c>
      <c r="B292" s="120"/>
      <c r="C292" s="21">
        <f ca="1">INDIRECT(_xlfn.TEXTJOIN("",TRUE,A294,"!",ADDRESS(5+A295*A291,12)))</f>
        <v>0</v>
      </c>
      <c r="D292" s="120" t="s">
        <v>38</v>
      </c>
      <c r="E292" s="120"/>
      <c r="F292" s="18" t="e">
        <f ca="1">INDIRECT(_xlfn.TEXTJOIN("",TRUE,A294,"!",ADDRESS(5+A295*A291,8)))</f>
        <v>#N/A</v>
      </c>
      <c r="G292" s="120" t="s">
        <v>39</v>
      </c>
      <c r="H292" s="120"/>
      <c r="I292" s="109" t="e">
        <f ca="1">INDIRECT(_xlfn.TEXTJOIN("",TRUE,A294,"!",ADDRESS(5+A295*A291,10)))</f>
        <v>#N/A</v>
      </c>
      <c r="J292" s="109"/>
    </row>
    <row r="293" spans="1:10" ht="28" customHeight="1" x14ac:dyDescent="0.2">
      <c r="A293" s="19" t="s">
        <v>36</v>
      </c>
      <c r="B293" s="95" t="e">
        <f ca="1">INDIRECT(_xlfn.TEXTJOIN("",TRUE,A294,"!",ADDRESS(5+A295*A291,2)))</f>
        <v>#N/A</v>
      </c>
      <c r="C293" s="95"/>
      <c r="D293" s="121" t="s">
        <v>37</v>
      </c>
      <c r="E293" s="121"/>
      <c r="F293" s="122" t="e">
        <f ca="1">INDIRECT(_xlfn.TEXTJOIN("",TRUE,A294,"!",ADDRESS(5+A295*A291,5)))</f>
        <v>#N/A</v>
      </c>
      <c r="G293" s="122"/>
      <c r="H293" s="122"/>
      <c r="I293" s="122"/>
      <c r="J293" s="122"/>
    </row>
    <row r="294" spans="1:10" ht="28" customHeight="1" x14ac:dyDescent="0.2">
      <c r="A294" s="22" t="str">
        <f>A277</f>
        <v>TC_III</v>
      </c>
    </row>
    <row r="295" spans="1:10" ht="28" customHeight="1" x14ac:dyDescent="0.2">
      <c r="A295" s="22">
        <f>A278+1</f>
        <v>17</v>
      </c>
    </row>
    <row r="296" spans="1:10" ht="28" customHeight="1" x14ac:dyDescent="0.2">
      <c r="A296" s="112" t="s">
        <v>24</v>
      </c>
      <c r="B296" s="112"/>
      <c r="C296" s="112" t="str">
        <f ca="1">INDIRECT(_xlfn.TEXTJOIN("",TRUE,A311,"!",ADDRESS(9+(A312-1)*A308,2)))</f>
        <v>PRIYANSHU DHYANI</v>
      </c>
      <c r="D296" s="112"/>
      <c r="E296" s="112"/>
      <c r="F296" s="112" t="s">
        <v>50</v>
      </c>
      <c r="G296" s="112"/>
      <c r="H296" s="112"/>
      <c r="I296" s="113">
        <f ca="1">INDIRECT(_xlfn.TEXTJOIN("",TRUE,A311,"!",ADDRESS(9+(A312-1)*A308,9)))</f>
        <v>240090600018</v>
      </c>
      <c r="J296" s="113"/>
    </row>
    <row r="297" spans="1:10" ht="28" customHeight="1" x14ac:dyDescent="0.2">
      <c r="A297" s="112" t="s">
        <v>25</v>
      </c>
      <c r="B297" s="112"/>
      <c r="C297" s="112" t="str">
        <f ca="1">INDIRECT(_xlfn.TEXTJOIN("",TRUE,A311,"!",ADDRESS(9+(A312-1)*A308,5)))</f>
        <v>RAMESH CHANDRA DHYANI</v>
      </c>
      <c r="D297" s="112"/>
      <c r="E297" s="112"/>
      <c r="F297" s="114" t="s">
        <v>51</v>
      </c>
      <c r="G297" s="114"/>
      <c r="H297" s="114"/>
      <c r="I297" s="113" t="str">
        <f ca="1">INDIRECT(_xlfn.TEXTJOIN("",TRUE,A311,"!",ADDRESS(9+(A312-1)*A308,13)))</f>
        <v>UTU/2406100171</v>
      </c>
      <c r="J297" s="113"/>
    </row>
    <row r="298" spans="1:10" ht="28" customHeight="1" x14ac:dyDescent="0.2">
      <c r="A298" s="95" t="s">
        <v>28</v>
      </c>
      <c r="B298" s="95"/>
      <c r="C298" s="95" t="s">
        <v>29</v>
      </c>
      <c r="D298" s="95"/>
      <c r="E298" s="95"/>
      <c r="F298" s="95"/>
      <c r="G298" s="95"/>
      <c r="H298" s="15" t="s">
        <v>30</v>
      </c>
      <c r="I298" s="15" t="s">
        <v>9</v>
      </c>
      <c r="J298" s="15" t="s">
        <v>34</v>
      </c>
    </row>
    <row r="299" spans="1:10" ht="28" customHeight="1" x14ac:dyDescent="0.2">
      <c r="A299" s="96" t="str">
        <f ca="1">INDIRECT(_xlfn.TEXTJOIN("",TRUE,A311,"!",ADDRESS(13+(A312-1)*A308,1)))</f>
        <v>CAT  014</v>
      </c>
      <c r="B299" s="97"/>
      <c r="C299" s="106" t="str">
        <f ca="1">INDIRECT(_xlfn.TEXTJOIN("",TRUE,A311,"!",ADDRESS(13+(A312-1)*A308,2)))</f>
        <v>Graph Theory</v>
      </c>
      <c r="D299" s="107"/>
      <c r="E299" s="107"/>
      <c r="F299" s="107"/>
      <c r="G299" s="108"/>
      <c r="H299" s="20">
        <f ca="1">INDIRECT(_xlfn.TEXTJOIN("",TRUE,A311,"!",ADDRESS(13+(A312-1)*A308,6)))</f>
        <v>4</v>
      </c>
      <c r="I299" s="20" t="str">
        <f ca="1">INDIRECT(_xlfn.TEXTJOIN("",TRUE,A311,"!",ADDRESS(13+(A312-1)*A308,13)))</f>
        <v>F</v>
      </c>
      <c r="J299" s="20">
        <f ca="1">INDIRECT(_xlfn.TEXTJOIN("",TRUE,A311,"!",ADDRESS(13+(A312-1)*A308,14)))</f>
        <v>0</v>
      </c>
    </row>
    <row r="300" spans="1:10" ht="28" customHeight="1" x14ac:dyDescent="0.2">
      <c r="A300" s="96" t="str">
        <f ca="1">INDIRECT(_xlfn.TEXTJOIN("",TRUE,A311,"!",ADDRESS(14+(A312-1)*A308,1)))</f>
        <v>CAT 015</v>
      </c>
      <c r="B300" s="97"/>
      <c r="C300" s="106" t="str">
        <f ca="1">INDIRECT(_xlfn.TEXTJOIN("",TRUE,A311,"!",ADDRESS(14+(A312-1)*A308,2)))</f>
        <v>Software Engineering</v>
      </c>
      <c r="D300" s="107"/>
      <c r="E300" s="107"/>
      <c r="F300" s="107"/>
      <c r="G300" s="108"/>
      <c r="H300" s="20">
        <f ca="1">INDIRECT(_xlfn.TEXTJOIN("",TRUE,A311,"!",ADDRESS(14+(A312-1)*A308,6)))</f>
        <v>4</v>
      </c>
      <c r="I300" s="20" t="str">
        <f ca="1">INDIRECT(_xlfn.TEXTJOIN("",TRUE,A311,"!",ADDRESS(14+(A312-1)*A308,13)))</f>
        <v>F</v>
      </c>
      <c r="J300" s="20">
        <f ca="1">INDIRECT(_xlfn.TEXTJOIN("",TRUE,A311,"!",ADDRESS(14+(A312-1)*A308,14)))</f>
        <v>0</v>
      </c>
    </row>
    <row r="301" spans="1:10" ht="28" customHeight="1" x14ac:dyDescent="0.2">
      <c r="A301" s="96" t="str">
        <f ca="1">INDIRECT(_xlfn.TEXTJOIN("",TRUE,A311,"!",ADDRESS(15+(A312-1)*A308,1)))</f>
        <v>Enroll No.</v>
      </c>
      <c r="B301" s="97"/>
      <c r="C301" s="106">
        <f ca="1">INDIRECT(_xlfn.TEXTJOIN("",TRUE,A311,"!",ADDRESS(15+(A312-1)*A308,2)))</f>
        <v>0</v>
      </c>
      <c r="D301" s="107"/>
      <c r="E301" s="107"/>
      <c r="F301" s="107"/>
      <c r="G301" s="108"/>
      <c r="H301" s="20">
        <f ca="1">INDIRECT(_xlfn.TEXTJOIN("",TRUE,A311,"!",ADDRESS(15+(A312-1)*A308,6)))</f>
        <v>0</v>
      </c>
      <c r="I301" s="20" t="b">
        <f ca="1">INDIRECT(_xlfn.TEXTJOIN("",TRUE,A311,"!",ADDRESS(15+(A312-1)*A308,13)))</f>
        <v>0</v>
      </c>
      <c r="J301" s="20" t="e">
        <f ca="1">INDIRECT(_xlfn.TEXTJOIN("",TRUE,A311,"!",ADDRESS(15+(A312-1)*A308,14)))</f>
        <v>#N/A</v>
      </c>
    </row>
    <row r="302" spans="1:10" ht="28" customHeight="1" x14ac:dyDescent="0.2">
      <c r="A302" s="96" t="str">
        <f ca="1">INDIRECT(_xlfn.TEXTJOIN("",TRUE,A311,"!",ADDRESS(16+(A312-1)*A308,1)))</f>
        <v>Enroll No.</v>
      </c>
      <c r="B302" s="97"/>
      <c r="C302" s="106">
        <f ca="1">INDIRECT(_xlfn.TEXTJOIN("",TRUE,A311,"!",ADDRESS(16+(A312-1)*A308,2)))</f>
        <v>0</v>
      </c>
      <c r="D302" s="107"/>
      <c r="E302" s="107"/>
      <c r="F302" s="107"/>
      <c r="G302" s="108"/>
      <c r="H302" s="20">
        <f ca="1">INDIRECT(_xlfn.TEXTJOIN("",TRUE,A311,"!",ADDRESS(16+(A312-1)*A308,6)))</f>
        <v>0</v>
      </c>
      <c r="I302" s="20" t="b">
        <f ca="1">INDIRECT(_xlfn.TEXTJOIN("",TRUE,A311,"!",ADDRESS(16+(A312-1)*A308,13)))</f>
        <v>0</v>
      </c>
      <c r="J302" s="20" t="e">
        <f ca="1">INDIRECT(_xlfn.TEXTJOIN("",TRUE,A311,"!",ADDRESS(16+(A312-1)*A308,14)))</f>
        <v>#N/A</v>
      </c>
    </row>
    <row r="303" spans="1:10" ht="28" customHeight="1" x14ac:dyDescent="0.2">
      <c r="A303" s="96" t="str">
        <f ca="1">INDIRECT(_xlfn.TEXTJOIN("",TRUE,A311,"!",ADDRESS(17+(A312-1)*A308,1)))</f>
        <v>AHT 310</v>
      </c>
      <c r="B303" s="97"/>
      <c r="C303" s="106" t="str">
        <f ca="1">INDIRECT(_xlfn.TEXTJOIN("",TRUE,A311,"!",ADDRESS(17+(A312-1)*A308,2)))</f>
        <v>Universal Human Value</v>
      </c>
      <c r="D303" s="107"/>
      <c r="E303" s="107"/>
      <c r="F303" s="107"/>
      <c r="G303" s="108"/>
      <c r="H303" s="20">
        <f ca="1">INDIRECT(_xlfn.TEXTJOIN("",TRUE,A311,"!",ADDRESS(17+(A312-1)*A308,6)))</f>
        <v>3</v>
      </c>
      <c r="I303" s="20" t="str">
        <f ca="1">INDIRECT(_xlfn.TEXTJOIN("",TRUE,A311,"!",ADDRESS(17+(A312-1)*A308,13)))</f>
        <v>F</v>
      </c>
      <c r="J303" s="20">
        <f ca="1">INDIRECT(_xlfn.TEXTJOIN("",TRUE,A311,"!",ADDRESS(17+(A312-1)*A308,14)))</f>
        <v>0</v>
      </c>
    </row>
    <row r="304" spans="1:10" ht="28" customHeight="1" x14ac:dyDescent="0.2">
      <c r="A304" s="96" t="str">
        <f ca="1">INDIRECT(_xlfn.TEXTJOIN("",TRUE,A311,"!",ADDRESS(18+(A312-1)*A308,1)))</f>
        <v>CAP 008</v>
      </c>
      <c r="B304" s="97"/>
      <c r="C304" s="106" t="str">
        <f ca="1">INDIRECT(_xlfn.TEXTJOIN("",TRUE,A311,"!",ADDRESS(18+(A312-1)*A308,2)))</f>
        <v>Software Engineering Lab</v>
      </c>
      <c r="D304" s="107"/>
      <c r="E304" s="107"/>
      <c r="F304" s="107"/>
      <c r="G304" s="108"/>
      <c r="H304" s="20">
        <f ca="1">INDIRECT(_xlfn.TEXTJOIN("",TRUE,A311,"!",ADDRESS(18+(A312-1)*A308,6)))</f>
        <v>1</v>
      </c>
      <c r="I304" s="20" t="str">
        <f ca="1">INDIRECT(_xlfn.TEXTJOIN("",TRUE,A311,"!",ADDRESS(18+(A312-1)*A308,13)))</f>
        <v>F</v>
      </c>
      <c r="J304" s="20">
        <f ca="1">INDIRECT(_xlfn.TEXTJOIN("",TRUE,A311,"!",ADDRESS(18+(A312-1)*A308,14)))</f>
        <v>0</v>
      </c>
    </row>
    <row r="305" spans="1:10" ht="28" customHeight="1" x14ac:dyDescent="0.2">
      <c r="A305" s="96" t="str">
        <f ca="1">INDIRECT(_xlfn.TEXTJOIN("",TRUE,A311,"!",ADDRESS(19+(A312-1)*A308,1)))</f>
        <v>CAP 009</v>
      </c>
      <c r="B305" s="97"/>
      <c r="C305" s="106" t="str">
        <f ca="1">INDIRECT(_xlfn.TEXTJOIN("",TRUE,A311,"!",ADDRESS(19+(A312-1)*A308,2)))</f>
        <v>Seminar</v>
      </c>
      <c r="D305" s="107"/>
      <c r="E305" s="107"/>
      <c r="F305" s="107"/>
      <c r="G305" s="108"/>
      <c r="H305" s="20">
        <f ca="1">INDIRECT(_xlfn.TEXTJOIN("",TRUE,A311,"!",ADDRESS(19+(A312-1)*A308,6)))</f>
        <v>2</v>
      </c>
      <c r="I305" s="20" t="str">
        <f ca="1">INDIRECT(_xlfn.TEXTJOIN("",TRUE,A311,"!",ADDRESS(19+(A312-1)*A308,13)))</f>
        <v>F</v>
      </c>
      <c r="J305" s="20">
        <f ca="1">INDIRECT(_xlfn.TEXTJOIN("",TRUE,A311,"!",ADDRESS(19+(A312-1)*A308,14)))</f>
        <v>0</v>
      </c>
    </row>
    <row r="306" spans="1:10" ht="28" customHeight="1" x14ac:dyDescent="0.2">
      <c r="A306" s="96" t="str">
        <f ca="1">INDIRECT(_xlfn.TEXTJOIN("",TRUE,A311,"!",ADDRESS(20+(A312-1)*A308,1)))</f>
        <v>CAP 010</v>
      </c>
      <c r="B306" s="97"/>
      <c r="C306" s="106" t="str">
        <f ca="1">INDIRECT(_xlfn.TEXTJOIN("",TRUE,A311,"!",ADDRESS(20+(A312-1)*A308,2)))</f>
        <v>Minor Project</v>
      </c>
      <c r="D306" s="107"/>
      <c r="E306" s="107"/>
      <c r="F306" s="107"/>
      <c r="G306" s="108"/>
      <c r="H306" s="20">
        <f ca="1">INDIRECT(_xlfn.TEXTJOIN("",TRUE,A311,"!",ADDRESS(20+(A312-1)*A308,6)))</f>
        <v>2</v>
      </c>
      <c r="I306" s="20" t="str">
        <f ca="1">INDIRECT(_xlfn.TEXTJOIN("",TRUE,A311,"!",ADDRESS(20+(A312-1)*A308,13)))</f>
        <v>F</v>
      </c>
      <c r="J306" s="20">
        <f ca="1">INDIRECT(_xlfn.TEXTJOIN("",TRUE,A311,"!",ADDRESS(20+(A312-1)*A308,14)))</f>
        <v>0</v>
      </c>
    </row>
    <row r="307" spans="1:10" ht="28" customHeight="1" x14ac:dyDescent="0.2">
      <c r="A307" s="118" t="s">
        <v>52</v>
      </c>
      <c r="B307" s="118"/>
      <c r="C307" s="118"/>
      <c r="D307" s="118"/>
      <c r="E307" s="118"/>
      <c r="F307" s="118"/>
      <c r="G307" s="118"/>
      <c r="H307" s="16">
        <f ca="1">SUM(H299:H306)</f>
        <v>16</v>
      </c>
      <c r="I307" s="16" t="s">
        <v>44</v>
      </c>
      <c r="J307" s="16" t="e">
        <f ca="1">SUMPRODUCT(J299:J306,H299:H306)</f>
        <v>#N/A</v>
      </c>
    </row>
    <row r="308" spans="1:10" ht="28" customHeight="1" x14ac:dyDescent="0.2">
      <c r="A308" s="22">
        <f>ROWS(A299:B306)+9</f>
        <v>17</v>
      </c>
      <c r="B308" s="17"/>
      <c r="C308" s="17"/>
      <c r="D308" s="17"/>
      <c r="E308" s="17"/>
      <c r="F308" s="17"/>
      <c r="G308" s="17"/>
      <c r="H308" s="17"/>
      <c r="I308" s="17"/>
      <c r="J308" s="17"/>
    </row>
    <row r="309" spans="1:10" ht="28" customHeight="1" x14ac:dyDescent="0.2">
      <c r="A309" s="120" t="s">
        <v>40</v>
      </c>
      <c r="B309" s="120"/>
      <c r="C309" s="21">
        <f ca="1">INDIRECT(_xlfn.TEXTJOIN("",TRUE,A311,"!",ADDRESS(5+A312*A308,12)))</f>
        <v>0</v>
      </c>
      <c r="D309" s="120" t="s">
        <v>38</v>
      </c>
      <c r="E309" s="120"/>
      <c r="F309" s="18" t="e">
        <f ca="1">INDIRECT(_xlfn.TEXTJOIN("",TRUE,A311,"!",ADDRESS(5+A312*A308,8)))</f>
        <v>#N/A</v>
      </c>
      <c r="G309" s="120" t="s">
        <v>39</v>
      </c>
      <c r="H309" s="120"/>
      <c r="I309" s="109" t="e">
        <f ca="1">INDIRECT(_xlfn.TEXTJOIN("",TRUE,A311,"!",ADDRESS(5+A312*A308,10)))</f>
        <v>#N/A</v>
      </c>
      <c r="J309" s="109"/>
    </row>
    <row r="310" spans="1:10" ht="28" customHeight="1" x14ac:dyDescent="0.2">
      <c r="A310" s="19" t="s">
        <v>36</v>
      </c>
      <c r="B310" s="95" t="e">
        <f ca="1">INDIRECT(_xlfn.TEXTJOIN("",TRUE,A311,"!",ADDRESS(5+A312*A308,2)))</f>
        <v>#N/A</v>
      </c>
      <c r="C310" s="95"/>
      <c r="D310" s="121" t="s">
        <v>37</v>
      </c>
      <c r="E310" s="121"/>
      <c r="F310" s="122" t="e">
        <f ca="1">INDIRECT(_xlfn.TEXTJOIN("",TRUE,A311,"!",ADDRESS(5+A312*A308,5)))</f>
        <v>#N/A</v>
      </c>
      <c r="G310" s="122"/>
      <c r="H310" s="122"/>
      <c r="I310" s="122"/>
      <c r="J310" s="122"/>
    </row>
    <row r="311" spans="1:10" ht="28" customHeight="1" x14ac:dyDescent="0.2">
      <c r="A311" s="22" t="str">
        <f>A294</f>
        <v>TC_III</v>
      </c>
    </row>
    <row r="312" spans="1:10" ht="28" customHeight="1" x14ac:dyDescent="0.2">
      <c r="A312" s="22">
        <f>A295+1</f>
        <v>18</v>
      </c>
    </row>
    <row r="313" spans="1:10" ht="28" customHeight="1" x14ac:dyDescent="0.2">
      <c r="A313" s="112" t="s">
        <v>24</v>
      </c>
      <c r="B313" s="112"/>
      <c r="C313" s="112" t="str">
        <f ca="1">INDIRECT(_xlfn.TEXTJOIN("",TRUE,A328,"!",ADDRESS(9+(A329-1)*A325,2)))</f>
        <v>SEJAL SINGH</v>
      </c>
      <c r="D313" s="112"/>
      <c r="E313" s="112"/>
      <c r="F313" s="112" t="s">
        <v>50</v>
      </c>
      <c r="G313" s="112"/>
      <c r="H313" s="112"/>
      <c r="I313" s="113">
        <f ca="1">INDIRECT(_xlfn.TEXTJOIN("",TRUE,A328,"!",ADDRESS(9+(A329-1)*A325,9)))</f>
        <v>240090600019</v>
      </c>
      <c r="J313" s="113"/>
    </row>
    <row r="314" spans="1:10" ht="28" customHeight="1" x14ac:dyDescent="0.2">
      <c r="A314" s="112" t="s">
        <v>25</v>
      </c>
      <c r="B314" s="112"/>
      <c r="C314" s="112" t="str">
        <f ca="1">INDIRECT(_xlfn.TEXTJOIN("",TRUE,A328,"!",ADDRESS(9+(A329-1)*A325,5)))</f>
        <v>SHEESH RAM SINGH</v>
      </c>
      <c r="D314" s="112"/>
      <c r="E314" s="112"/>
      <c r="F314" s="114" t="s">
        <v>51</v>
      </c>
      <c r="G314" s="114"/>
      <c r="H314" s="114"/>
      <c r="I314" s="113" t="str">
        <f ca="1">INDIRECT(_xlfn.TEXTJOIN("",TRUE,A328,"!",ADDRESS(9+(A329-1)*A325,13)))</f>
        <v>UTU/2406100169</v>
      </c>
      <c r="J314" s="113"/>
    </row>
    <row r="315" spans="1:10" ht="28" customHeight="1" x14ac:dyDescent="0.2">
      <c r="A315" s="95" t="s">
        <v>28</v>
      </c>
      <c r="B315" s="95"/>
      <c r="C315" s="95" t="s">
        <v>29</v>
      </c>
      <c r="D315" s="95"/>
      <c r="E315" s="95"/>
      <c r="F315" s="95"/>
      <c r="G315" s="95"/>
      <c r="H315" s="15" t="s">
        <v>30</v>
      </c>
      <c r="I315" s="15" t="s">
        <v>9</v>
      </c>
      <c r="J315" s="15" t="s">
        <v>34</v>
      </c>
    </row>
    <row r="316" spans="1:10" ht="28" customHeight="1" x14ac:dyDescent="0.2">
      <c r="A316" s="96" t="str">
        <f ca="1">INDIRECT(_xlfn.TEXTJOIN("",TRUE,A328,"!",ADDRESS(13+(A329-1)*A325,1)))</f>
        <v>CAT  014</v>
      </c>
      <c r="B316" s="97"/>
      <c r="C316" s="106" t="str">
        <f ca="1">INDIRECT(_xlfn.TEXTJOIN("",TRUE,A328,"!",ADDRESS(13+(A329-1)*A325,2)))</f>
        <v>Graph Theory</v>
      </c>
      <c r="D316" s="107"/>
      <c r="E316" s="107"/>
      <c r="F316" s="107"/>
      <c r="G316" s="108"/>
      <c r="H316" s="20">
        <f ca="1">INDIRECT(_xlfn.TEXTJOIN("",TRUE,A328,"!",ADDRESS(13+(A329-1)*A325,6)))</f>
        <v>4</v>
      </c>
      <c r="I316" s="20" t="str">
        <f ca="1">INDIRECT(_xlfn.TEXTJOIN("",TRUE,A328,"!",ADDRESS(13+(A329-1)*A325,13)))</f>
        <v>F</v>
      </c>
      <c r="J316" s="20">
        <f ca="1">INDIRECT(_xlfn.TEXTJOIN("",TRUE,A328,"!",ADDRESS(13+(A329-1)*A325,14)))</f>
        <v>0</v>
      </c>
    </row>
    <row r="317" spans="1:10" ht="28" customHeight="1" x14ac:dyDescent="0.2">
      <c r="A317" s="96" t="str">
        <f ca="1">INDIRECT(_xlfn.TEXTJOIN("",TRUE,A328,"!",ADDRESS(14+(A329-1)*A325,1)))</f>
        <v>CAT 015</v>
      </c>
      <c r="B317" s="97"/>
      <c r="C317" s="106" t="str">
        <f ca="1">INDIRECT(_xlfn.TEXTJOIN("",TRUE,A328,"!",ADDRESS(14+(A329-1)*A325,2)))</f>
        <v>Software Engineering</v>
      </c>
      <c r="D317" s="107"/>
      <c r="E317" s="107"/>
      <c r="F317" s="107"/>
      <c r="G317" s="108"/>
      <c r="H317" s="20">
        <f ca="1">INDIRECT(_xlfn.TEXTJOIN("",TRUE,A328,"!",ADDRESS(14+(A329-1)*A325,6)))</f>
        <v>4</v>
      </c>
      <c r="I317" s="20" t="str">
        <f ca="1">INDIRECT(_xlfn.TEXTJOIN("",TRUE,A328,"!",ADDRESS(14+(A329-1)*A325,13)))</f>
        <v>F</v>
      </c>
      <c r="J317" s="20">
        <f ca="1">INDIRECT(_xlfn.TEXTJOIN("",TRUE,A328,"!",ADDRESS(14+(A329-1)*A325,14)))</f>
        <v>0</v>
      </c>
    </row>
    <row r="318" spans="1:10" ht="28" customHeight="1" x14ac:dyDescent="0.2">
      <c r="A318" s="96" t="str">
        <f ca="1">INDIRECT(_xlfn.TEXTJOIN("",TRUE,A328,"!",ADDRESS(15+(A329-1)*A325,1)))</f>
        <v>Enroll No.</v>
      </c>
      <c r="B318" s="97"/>
      <c r="C318" s="106">
        <f ca="1">INDIRECT(_xlfn.TEXTJOIN("",TRUE,A328,"!",ADDRESS(15+(A329-1)*A325,2)))</f>
        <v>0</v>
      </c>
      <c r="D318" s="107"/>
      <c r="E318" s="107"/>
      <c r="F318" s="107"/>
      <c r="G318" s="108"/>
      <c r="H318" s="20">
        <f ca="1">INDIRECT(_xlfn.TEXTJOIN("",TRUE,A328,"!",ADDRESS(15+(A329-1)*A325,6)))</f>
        <v>0</v>
      </c>
      <c r="I318" s="20" t="b">
        <f ca="1">INDIRECT(_xlfn.TEXTJOIN("",TRUE,A328,"!",ADDRESS(15+(A329-1)*A325,13)))</f>
        <v>0</v>
      </c>
      <c r="J318" s="20" t="e">
        <f ca="1">INDIRECT(_xlfn.TEXTJOIN("",TRUE,A328,"!",ADDRESS(15+(A329-1)*A325,14)))</f>
        <v>#N/A</v>
      </c>
    </row>
    <row r="319" spans="1:10" ht="28" customHeight="1" x14ac:dyDescent="0.2">
      <c r="A319" s="96" t="str">
        <f ca="1">INDIRECT(_xlfn.TEXTJOIN("",TRUE,A328,"!",ADDRESS(16+(A329-1)*A325,1)))</f>
        <v>Enroll No.</v>
      </c>
      <c r="B319" s="97"/>
      <c r="C319" s="106">
        <f ca="1">INDIRECT(_xlfn.TEXTJOIN("",TRUE,A328,"!",ADDRESS(16+(A329-1)*A325,2)))</f>
        <v>0</v>
      </c>
      <c r="D319" s="107"/>
      <c r="E319" s="107"/>
      <c r="F319" s="107"/>
      <c r="G319" s="108"/>
      <c r="H319" s="20">
        <f ca="1">INDIRECT(_xlfn.TEXTJOIN("",TRUE,A328,"!",ADDRESS(16+(A329-1)*A325,6)))</f>
        <v>0</v>
      </c>
      <c r="I319" s="20" t="b">
        <f ca="1">INDIRECT(_xlfn.TEXTJOIN("",TRUE,A328,"!",ADDRESS(16+(A329-1)*A325,13)))</f>
        <v>0</v>
      </c>
      <c r="J319" s="20" t="e">
        <f ca="1">INDIRECT(_xlfn.TEXTJOIN("",TRUE,A328,"!",ADDRESS(16+(A329-1)*A325,14)))</f>
        <v>#N/A</v>
      </c>
    </row>
    <row r="320" spans="1:10" ht="28" customHeight="1" x14ac:dyDescent="0.2">
      <c r="A320" s="96" t="str">
        <f ca="1">INDIRECT(_xlfn.TEXTJOIN("",TRUE,A328,"!",ADDRESS(17+(A329-1)*A325,1)))</f>
        <v>AHT 310</v>
      </c>
      <c r="B320" s="97"/>
      <c r="C320" s="106" t="str">
        <f ca="1">INDIRECT(_xlfn.TEXTJOIN("",TRUE,A328,"!",ADDRESS(17+(A329-1)*A325,2)))</f>
        <v>Universal Human Value</v>
      </c>
      <c r="D320" s="107"/>
      <c r="E320" s="107"/>
      <c r="F320" s="107"/>
      <c r="G320" s="108"/>
      <c r="H320" s="20">
        <f ca="1">INDIRECT(_xlfn.TEXTJOIN("",TRUE,A328,"!",ADDRESS(17+(A329-1)*A325,6)))</f>
        <v>3</v>
      </c>
      <c r="I320" s="20" t="str">
        <f ca="1">INDIRECT(_xlfn.TEXTJOIN("",TRUE,A328,"!",ADDRESS(17+(A329-1)*A325,13)))</f>
        <v>F</v>
      </c>
      <c r="J320" s="20">
        <f ca="1">INDIRECT(_xlfn.TEXTJOIN("",TRUE,A328,"!",ADDRESS(17+(A329-1)*A325,14)))</f>
        <v>0</v>
      </c>
    </row>
    <row r="321" spans="1:10" ht="28" customHeight="1" x14ac:dyDescent="0.2">
      <c r="A321" s="96" t="str">
        <f ca="1">INDIRECT(_xlfn.TEXTJOIN("",TRUE,A328,"!",ADDRESS(18+(A329-1)*A325,1)))</f>
        <v>CAP 008</v>
      </c>
      <c r="B321" s="97"/>
      <c r="C321" s="106" t="str">
        <f ca="1">INDIRECT(_xlfn.TEXTJOIN("",TRUE,A328,"!",ADDRESS(18+(A329-1)*A325,2)))</f>
        <v>Software Engineering Lab</v>
      </c>
      <c r="D321" s="107"/>
      <c r="E321" s="107"/>
      <c r="F321" s="107"/>
      <c r="G321" s="108"/>
      <c r="H321" s="20">
        <f ca="1">INDIRECT(_xlfn.TEXTJOIN("",TRUE,A328,"!",ADDRESS(18+(A329-1)*A325,6)))</f>
        <v>1</v>
      </c>
      <c r="I321" s="20" t="str">
        <f ca="1">INDIRECT(_xlfn.TEXTJOIN("",TRUE,A328,"!",ADDRESS(18+(A329-1)*A325,13)))</f>
        <v>F</v>
      </c>
      <c r="J321" s="20">
        <f ca="1">INDIRECT(_xlfn.TEXTJOIN("",TRUE,A328,"!",ADDRESS(18+(A329-1)*A325,14)))</f>
        <v>0</v>
      </c>
    </row>
    <row r="322" spans="1:10" ht="28" customHeight="1" x14ac:dyDescent="0.2">
      <c r="A322" s="96" t="str">
        <f ca="1">INDIRECT(_xlfn.TEXTJOIN("",TRUE,A328,"!",ADDRESS(19+(A329-1)*A325,1)))</f>
        <v>CAP 009</v>
      </c>
      <c r="B322" s="97"/>
      <c r="C322" s="106" t="str">
        <f ca="1">INDIRECT(_xlfn.TEXTJOIN("",TRUE,A328,"!",ADDRESS(19+(A329-1)*A325,2)))</f>
        <v>Seminar</v>
      </c>
      <c r="D322" s="107"/>
      <c r="E322" s="107"/>
      <c r="F322" s="107"/>
      <c r="G322" s="108"/>
      <c r="H322" s="20">
        <f ca="1">INDIRECT(_xlfn.TEXTJOIN("",TRUE,A328,"!",ADDRESS(19+(A329-1)*A325,6)))</f>
        <v>2</v>
      </c>
      <c r="I322" s="20" t="str">
        <f ca="1">INDIRECT(_xlfn.TEXTJOIN("",TRUE,A328,"!",ADDRESS(19+(A329-1)*A325,13)))</f>
        <v>F</v>
      </c>
      <c r="J322" s="20">
        <f ca="1">INDIRECT(_xlfn.TEXTJOIN("",TRUE,A328,"!",ADDRESS(19+(A329-1)*A325,14)))</f>
        <v>0</v>
      </c>
    </row>
    <row r="323" spans="1:10" ht="28" customHeight="1" x14ac:dyDescent="0.2">
      <c r="A323" s="96" t="str">
        <f ca="1">INDIRECT(_xlfn.TEXTJOIN("",TRUE,A328,"!",ADDRESS(20+(A329-1)*A325,1)))</f>
        <v>CAP 010</v>
      </c>
      <c r="B323" s="97"/>
      <c r="C323" s="106" t="str">
        <f ca="1">INDIRECT(_xlfn.TEXTJOIN("",TRUE,A328,"!",ADDRESS(20+(A329-1)*A325,2)))</f>
        <v>Minor Project</v>
      </c>
      <c r="D323" s="107"/>
      <c r="E323" s="107"/>
      <c r="F323" s="107"/>
      <c r="G323" s="108"/>
      <c r="H323" s="20">
        <f ca="1">INDIRECT(_xlfn.TEXTJOIN("",TRUE,A328,"!",ADDRESS(20+(A329-1)*A325,6)))</f>
        <v>2</v>
      </c>
      <c r="I323" s="20" t="str">
        <f ca="1">INDIRECT(_xlfn.TEXTJOIN("",TRUE,A328,"!",ADDRESS(20+(A329-1)*A325,13)))</f>
        <v>F</v>
      </c>
      <c r="J323" s="20">
        <f ca="1">INDIRECT(_xlfn.TEXTJOIN("",TRUE,A328,"!",ADDRESS(20+(A329-1)*A325,14)))</f>
        <v>0</v>
      </c>
    </row>
    <row r="324" spans="1:10" ht="28" customHeight="1" x14ac:dyDescent="0.2">
      <c r="A324" s="118" t="s">
        <v>52</v>
      </c>
      <c r="B324" s="118"/>
      <c r="C324" s="118"/>
      <c r="D324" s="118"/>
      <c r="E324" s="118"/>
      <c r="F324" s="118"/>
      <c r="G324" s="118"/>
      <c r="H324" s="16">
        <f ca="1">SUM(H316:H323)</f>
        <v>16</v>
      </c>
      <c r="I324" s="16" t="s">
        <v>44</v>
      </c>
      <c r="J324" s="16" t="e">
        <f ca="1">SUMPRODUCT(J316:J323,H316:H323)</f>
        <v>#N/A</v>
      </c>
    </row>
    <row r="325" spans="1:10" ht="28" customHeight="1" x14ac:dyDescent="0.2">
      <c r="A325" s="22">
        <f>ROWS(A316:B323)+9</f>
        <v>17</v>
      </c>
      <c r="B325" s="17"/>
      <c r="C325" s="17"/>
      <c r="D325" s="17"/>
      <c r="E325" s="17"/>
      <c r="F325" s="17"/>
      <c r="G325" s="17"/>
      <c r="H325" s="17"/>
      <c r="I325" s="17"/>
      <c r="J325" s="17"/>
    </row>
    <row r="326" spans="1:10" ht="28" customHeight="1" x14ac:dyDescent="0.2">
      <c r="A326" s="120" t="s">
        <v>40</v>
      </c>
      <c r="B326" s="120"/>
      <c r="C326" s="21">
        <f ca="1">INDIRECT(_xlfn.TEXTJOIN("",TRUE,A328,"!",ADDRESS(5+A329*A325,12)))</f>
        <v>0</v>
      </c>
      <c r="D326" s="120" t="s">
        <v>38</v>
      </c>
      <c r="E326" s="120"/>
      <c r="F326" s="18" t="e">
        <f ca="1">INDIRECT(_xlfn.TEXTJOIN("",TRUE,A328,"!",ADDRESS(5+A329*A325,8)))</f>
        <v>#N/A</v>
      </c>
      <c r="G326" s="120" t="s">
        <v>39</v>
      </c>
      <c r="H326" s="120"/>
      <c r="I326" s="109" t="e">
        <f ca="1">INDIRECT(_xlfn.TEXTJOIN("",TRUE,A328,"!",ADDRESS(5+A329*A325,10)))</f>
        <v>#N/A</v>
      </c>
      <c r="J326" s="109"/>
    </row>
    <row r="327" spans="1:10" ht="28" customHeight="1" x14ac:dyDescent="0.2">
      <c r="A327" s="19" t="s">
        <v>36</v>
      </c>
      <c r="B327" s="95" t="e">
        <f ca="1">INDIRECT(_xlfn.TEXTJOIN("",TRUE,A328,"!",ADDRESS(5+A329*A325,2)))</f>
        <v>#N/A</v>
      </c>
      <c r="C327" s="95"/>
      <c r="D327" s="121" t="s">
        <v>37</v>
      </c>
      <c r="E327" s="121"/>
      <c r="F327" s="122" t="e">
        <f ca="1">INDIRECT(_xlfn.TEXTJOIN("",TRUE,A328,"!",ADDRESS(5+A329*A325,5)))</f>
        <v>#N/A</v>
      </c>
      <c r="G327" s="122"/>
      <c r="H327" s="122"/>
      <c r="I327" s="122"/>
      <c r="J327" s="122"/>
    </row>
    <row r="328" spans="1:10" ht="28" customHeight="1" x14ac:dyDescent="0.2">
      <c r="A328" s="22" t="str">
        <f>A311</f>
        <v>TC_III</v>
      </c>
    </row>
    <row r="329" spans="1:10" ht="28" customHeight="1" x14ac:dyDescent="0.2">
      <c r="A329" s="22">
        <f>A312+1</f>
        <v>19</v>
      </c>
    </row>
    <row r="330" spans="1:10" ht="28" customHeight="1" x14ac:dyDescent="0.2">
      <c r="A330" s="112" t="s">
        <v>24</v>
      </c>
      <c r="B330" s="112"/>
      <c r="C330" s="112" t="str">
        <f ca="1">INDIRECT(_xlfn.TEXTJOIN("",TRUE,A345,"!",ADDRESS(9+(A346-1)*A342,2)))</f>
        <v>SHARAD NIJWALA</v>
      </c>
      <c r="D330" s="112"/>
      <c r="E330" s="112"/>
      <c r="F330" s="112" t="s">
        <v>50</v>
      </c>
      <c r="G330" s="112"/>
      <c r="H330" s="112"/>
      <c r="I330" s="113">
        <f ca="1">INDIRECT(_xlfn.TEXTJOIN("",TRUE,A345,"!",ADDRESS(9+(A346-1)*A342,9)))</f>
        <v>240090600020</v>
      </c>
      <c r="J330" s="113"/>
    </row>
    <row r="331" spans="1:10" ht="28" customHeight="1" x14ac:dyDescent="0.2">
      <c r="A331" s="112" t="s">
        <v>25</v>
      </c>
      <c r="B331" s="112"/>
      <c r="C331" s="112" t="str">
        <f ca="1">INDIRECT(_xlfn.TEXTJOIN("",TRUE,A345,"!",ADDRESS(9+(A346-1)*A342,5)))</f>
        <v>VIJAYANT SINGH</v>
      </c>
      <c r="D331" s="112"/>
      <c r="E331" s="112"/>
      <c r="F331" s="114" t="s">
        <v>51</v>
      </c>
      <c r="G331" s="114"/>
      <c r="H331" s="114"/>
      <c r="I331" s="113" t="str">
        <f ca="1">INDIRECT(_xlfn.TEXTJOIN("",TRUE,A345,"!",ADDRESS(9+(A346-1)*A342,13)))</f>
        <v>UTU/2406100196</v>
      </c>
      <c r="J331" s="113"/>
    </row>
    <row r="332" spans="1:10" ht="28" customHeight="1" x14ac:dyDescent="0.2">
      <c r="A332" s="95" t="s">
        <v>28</v>
      </c>
      <c r="B332" s="95"/>
      <c r="C332" s="95" t="s">
        <v>29</v>
      </c>
      <c r="D332" s="95"/>
      <c r="E332" s="95"/>
      <c r="F332" s="95"/>
      <c r="G332" s="95"/>
      <c r="H332" s="15" t="s">
        <v>30</v>
      </c>
      <c r="I332" s="15" t="s">
        <v>9</v>
      </c>
      <c r="J332" s="15" t="s">
        <v>34</v>
      </c>
    </row>
    <row r="333" spans="1:10" ht="28" customHeight="1" x14ac:dyDescent="0.2">
      <c r="A333" s="96" t="str">
        <f ca="1">INDIRECT(_xlfn.TEXTJOIN("",TRUE,A345,"!",ADDRESS(13+(A346-1)*A342,1)))</f>
        <v>CAT  014</v>
      </c>
      <c r="B333" s="97"/>
      <c r="C333" s="106" t="str">
        <f ca="1">INDIRECT(_xlfn.TEXTJOIN("",TRUE,A345,"!",ADDRESS(13+(A346-1)*A342,2)))</f>
        <v>Graph Theory</v>
      </c>
      <c r="D333" s="107"/>
      <c r="E333" s="107"/>
      <c r="F333" s="107"/>
      <c r="G333" s="108"/>
      <c r="H333" s="20">
        <f ca="1">INDIRECT(_xlfn.TEXTJOIN("",TRUE,A345,"!",ADDRESS(13+(A346-1)*A342,6)))</f>
        <v>4</v>
      </c>
      <c r="I333" s="20" t="str">
        <f ca="1">INDIRECT(_xlfn.TEXTJOIN("",TRUE,A345,"!",ADDRESS(13+(A346-1)*A342,13)))</f>
        <v>F</v>
      </c>
      <c r="J333" s="20">
        <f ca="1">INDIRECT(_xlfn.TEXTJOIN("",TRUE,A345,"!",ADDRESS(13+(A346-1)*A342,14)))</f>
        <v>0</v>
      </c>
    </row>
    <row r="334" spans="1:10" ht="28" customHeight="1" x14ac:dyDescent="0.2">
      <c r="A334" s="96" t="str">
        <f ca="1">INDIRECT(_xlfn.TEXTJOIN("",TRUE,A345,"!",ADDRESS(14+(A346-1)*A342,1)))</f>
        <v>CAT 015</v>
      </c>
      <c r="B334" s="97"/>
      <c r="C334" s="106" t="str">
        <f ca="1">INDIRECT(_xlfn.TEXTJOIN("",TRUE,A345,"!",ADDRESS(14+(A346-1)*A342,2)))</f>
        <v>Software Engineering</v>
      </c>
      <c r="D334" s="107"/>
      <c r="E334" s="107"/>
      <c r="F334" s="107"/>
      <c r="G334" s="108"/>
      <c r="H334" s="20">
        <f ca="1">INDIRECT(_xlfn.TEXTJOIN("",TRUE,A345,"!",ADDRESS(14+(A346-1)*A342,6)))</f>
        <v>4</v>
      </c>
      <c r="I334" s="20" t="str">
        <f ca="1">INDIRECT(_xlfn.TEXTJOIN("",TRUE,A345,"!",ADDRESS(14+(A346-1)*A342,13)))</f>
        <v>F</v>
      </c>
      <c r="J334" s="20">
        <f ca="1">INDIRECT(_xlfn.TEXTJOIN("",TRUE,A345,"!",ADDRESS(14+(A346-1)*A342,14)))</f>
        <v>0</v>
      </c>
    </row>
    <row r="335" spans="1:10" ht="28" customHeight="1" x14ac:dyDescent="0.2">
      <c r="A335" s="96" t="str">
        <f ca="1">INDIRECT(_xlfn.TEXTJOIN("",TRUE,A345,"!",ADDRESS(15+(A346-1)*A342,1)))</f>
        <v>Enroll No.</v>
      </c>
      <c r="B335" s="97"/>
      <c r="C335" s="106">
        <f ca="1">INDIRECT(_xlfn.TEXTJOIN("",TRUE,A345,"!",ADDRESS(15+(A346-1)*A342,2)))</f>
        <v>0</v>
      </c>
      <c r="D335" s="107"/>
      <c r="E335" s="107"/>
      <c r="F335" s="107"/>
      <c r="G335" s="108"/>
      <c r="H335" s="20">
        <f ca="1">INDIRECT(_xlfn.TEXTJOIN("",TRUE,A345,"!",ADDRESS(15+(A346-1)*A342,6)))</f>
        <v>0</v>
      </c>
      <c r="I335" s="20" t="b">
        <f ca="1">INDIRECT(_xlfn.TEXTJOIN("",TRUE,A345,"!",ADDRESS(15+(A346-1)*A342,13)))</f>
        <v>0</v>
      </c>
      <c r="J335" s="20" t="e">
        <f ca="1">INDIRECT(_xlfn.TEXTJOIN("",TRUE,A345,"!",ADDRESS(15+(A346-1)*A342,14)))</f>
        <v>#N/A</v>
      </c>
    </row>
    <row r="336" spans="1:10" ht="28" customHeight="1" x14ac:dyDescent="0.2">
      <c r="A336" s="96" t="str">
        <f ca="1">INDIRECT(_xlfn.TEXTJOIN("",TRUE,A345,"!",ADDRESS(16+(A346-1)*A342,1)))</f>
        <v>Enroll No.</v>
      </c>
      <c r="B336" s="97"/>
      <c r="C336" s="106">
        <f ca="1">INDIRECT(_xlfn.TEXTJOIN("",TRUE,A345,"!",ADDRESS(16+(A346-1)*A342,2)))</f>
        <v>0</v>
      </c>
      <c r="D336" s="107"/>
      <c r="E336" s="107"/>
      <c r="F336" s="107"/>
      <c r="G336" s="108"/>
      <c r="H336" s="20">
        <f ca="1">INDIRECT(_xlfn.TEXTJOIN("",TRUE,A345,"!",ADDRESS(16+(A346-1)*A342,6)))</f>
        <v>0</v>
      </c>
      <c r="I336" s="20" t="b">
        <f ca="1">INDIRECT(_xlfn.TEXTJOIN("",TRUE,A345,"!",ADDRESS(16+(A346-1)*A342,13)))</f>
        <v>0</v>
      </c>
      <c r="J336" s="20" t="e">
        <f ca="1">INDIRECT(_xlfn.TEXTJOIN("",TRUE,A345,"!",ADDRESS(16+(A346-1)*A342,14)))</f>
        <v>#N/A</v>
      </c>
    </row>
    <row r="337" spans="1:10" ht="28" customHeight="1" x14ac:dyDescent="0.2">
      <c r="A337" s="96" t="str">
        <f ca="1">INDIRECT(_xlfn.TEXTJOIN("",TRUE,A345,"!",ADDRESS(17+(A346-1)*A342,1)))</f>
        <v>AHT 310</v>
      </c>
      <c r="B337" s="97"/>
      <c r="C337" s="106" t="str">
        <f ca="1">INDIRECT(_xlfn.TEXTJOIN("",TRUE,A345,"!",ADDRESS(17+(A346-1)*A342,2)))</f>
        <v>Universal Human Value</v>
      </c>
      <c r="D337" s="107"/>
      <c r="E337" s="107"/>
      <c r="F337" s="107"/>
      <c r="G337" s="108"/>
      <c r="H337" s="20">
        <f ca="1">INDIRECT(_xlfn.TEXTJOIN("",TRUE,A345,"!",ADDRESS(17+(A346-1)*A342,6)))</f>
        <v>3</v>
      </c>
      <c r="I337" s="20" t="str">
        <f ca="1">INDIRECT(_xlfn.TEXTJOIN("",TRUE,A345,"!",ADDRESS(17+(A346-1)*A342,13)))</f>
        <v>F</v>
      </c>
      <c r="J337" s="20">
        <f ca="1">INDIRECT(_xlfn.TEXTJOIN("",TRUE,A345,"!",ADDRESS(17+(A346-1)*A342,14)))</f>
        <v>0</v>
      </c>
    </row>
    <row r="338" spans="1:10" ht="28" customHeight="1" x14ac:dyDescent="0.2">
      <c r="A338" s="96" t="str">
        <f ca="1">INDIRECT(_xlfn.TEXTJOIN("",TRUE,A345,"!",ADDRESS(18+(A346-1)*A342,1)))</f>
        <v>CAP 008</v>
      </c>
      <c r="B338" s="97"/>
      <c r="C338" s="106" t="str">
        <f ca="1">INDIRECT(_xlfn.TEXTJOIN("",TRUE,A345,"!",ADDRESS(18+(A346-1)*A342,2)))</f>
        <v>Software Engineering Lab</v>
      </c>
      <c r="D338" s="107"/>
      <c r="E338" s="107"/>
      <c r="F338" s="107"/>
      <c r="G338" s="108"/>
      <c r="H338" s="20">
        <f ca="1">INDIRECT(_xlfn.TEXTJOIN("",TRUE,A345,"!",ADDRESS(18+(A346-1)*A342,6)))</f>
        <v>1</v>
      </c>
      <c r="I338" s="20" t="str">
        <f ca="1">INDIRECT(_xlfn.TEXTJOIN("",TRUE,A345,"!",ADDRESS(18+(A346-1)*A342,13)))</f>
        <v>F</v>
      </c>
      <c r="J338" s="20">
        <f ca="1">INDIRECT(_xlfn.TEXTJOIN("",TRUE,A345,"!",ADDRESS(18+(A346-1)*A342,14)))</f>
        <v>0</v>
      </c>
    </row>
    <row r="339" spans="1:10" ht="28" customHeight="1" x14ac:dyDescent="0.2">
      <c r="A339" s="96" t="str">
        <f ca="1">INDIRECT(_xlfn.TEXTJOIN("",TRUE,A345,"!",ADDRESS(19+(A346-1)*A342,1)))</f>
        <v>CAP 009</v>
      </c>
      <c r="B339" s="97"/>
      <c r="C339" s="106" t="str">
        <f ca="1">INDIRECT(_xlfn.TEXTJOIN("",TRUE,A345,"!",ADDRESS(19+(A346-1)*A342,2)))</f>
        <v>Seminar</v>
      </c>
      <c r="D339" s="107"/>
      <c r="E339" s="107"/>
      <c r="F339" s="107"/>
      <c r="G339" s="108"/>
      <c r="H339" s="20">
        <f ca="1">INDIRECT(_xlfn.TEXTJOIN("",TRUE,A345,"!",ADDRESS(19+(A346-1)*A342,6)))</f>
        <v>2</v>
      </c>
      <c r="I339" s="20" t="str">
        <f ca="1">INDIRECT(_xlfn.TEXTJOIN("",TRUE,A345,"!",ADDRESS(19+(A346-1)*A342,13)))</f>
        <v>F</v>
      </c>
      <c r="J339" s="20">
        <f ca="1">INDIRECT(_xlfn.TEXTJOIN("",TRUE,A345,"!",ADDRESS(19+(A346-1)*A342,14)))</f>
        <v>0</v>
      </c>
    </row>
    <row r="340" spans="1:10" ht="28" customHeight="1" x14ac:dyDescent="0.2">
      <c r="A340" s="96" t="str">
        <f ca="1">INDIRECT(_xlfn.TEXTJOIN("",TRUE,A345,"!",ADDRESS(20+(A346-1)*A342,1)))</f>
        <v>CAP 010</v>
      </c>
      <c r="B340" s="97"/>
      <c r="C340" s="106" t="str">
        <f ca="1">INDIRECT(_xlfn.TEXTJOIN("",TRUE,A345,"!",ADDRESS(20+(A346-1)*A342,2)))</f>
        <v>Minor Project</v>
      </c>
      <c r="D340" s="107"/>
      <c r="E340" s="107"/>
      <c r="F340" s="107"/>
      <c r="G340" s="108"/>
      <c r="H340" s="20">
        <f ca="1">INDIRECT(_xlfn.TEXTJOIN("",TRUE,A345,"!",ADDRESS(20+(A346-1)*A342,6)))</f>
        <v>2</v>
      </c>
      <c r="I340" s="20" t="str">
        <f ca="1">INDIRECT(_xlfn.TEXTJOIN("",TRUE,A345,"!",ADDRESS(20+(A346-1)*A342,13)))</f>
        <v>F</v>
      </c>
      <c r="J340" s="20">
        <f ca="1">INDIRECT(_xlfn.TEXTJOIN("",TRUE,A345,"!",ADDRESS(20+(A346-1)*A342,14)))</f>
        <v>0</v>
      </c>
    </row>
    <row r="341" spans="1:10" ht="28" customHeight="1" x14ac:dyDescent="0.2">
      <c r="A341" s="118" t="s">
        <v>52</v>
      </c>
      <c r="B341" s="118"/>
      <c r="C341" s="118"/>
      <c r="D341" s="118"/>
      <c r="E341" s="118"/>
      <c r="F341" s="118"/>
      <c r="G341" s="118"/>
      <c r="H341" s="16">
        <f ca="1">SUM(H333:H340)</f>
        <v>16</v>
      </c>
      <c r="I341" s="16" t="s">
        <v>44</v>
      </c>
      <c r="J341" s="16" t="e">
        <f ca="1">SUMPRODUCT(J333:J340,H333:H340)</f>
        <v>#N/A</v>
      </c>
    </row>
    <row r="342" spans="1:10" ht="28" customHeight="1" x14ac:dyDescent="0.2">
      <c r="A342" s="22">
        <f>ROWS(A333:B340)+9</f>
        <v>17</v>
      </c>
      <c r="B342" s="17"/>
      <c r="C342" s="17"/>
      <c r="D342" s="17"/>
      <c r="E342" s="17"/>
      <c r="F342" s="17"/>
      <c r="G342" s="17"/>
      <c r="H342" s="17"/>
      <c r="I342" s="17"/>
      <c r="J342" s="17"/>
    </row>
    <row r="343" spans="1:10" ht="28" customHeight="1" x14ac:dyDescent="0.2">
      <c r="A343" s="120" t="s">
        <v>40</v>
      </c>
      <c r="B343" s="120"/>
      <c r="C343" s="21">
        <f ca="1">INDIRECT(_xlfn.TEXTJOIN("",TRUE,A345,"!",ADDRESS(5+A346*A342,12)))</f>
        <v>0</v>
      </c>
      <c r="D343" s="120" t="s">
        <v>38</v>
      </c>
      <c r="E343" s="120"/>
      <c r="F343" s="18" t="e">
        <f ca="1">INDIRECT(_xlfn.TEXTJOIN("",TRUE,A345,"!",ADDRESS(5+A346*A342,8)))</f>
        <v>#N/A</v>
      </c>
      <c r="G343" s="120" t="s">
        <v>39</v>
      </c>
      <c r="H343" s="120"/>
      <c r="I343" s="109" t="e">
        <f ca="1">INDIRECT(_xlfn.TEXTJOIN("",TRUE,A345,"!",ADDRESS(5+A346*A342,10)))</f>
        <v>#N/A</v>
      </c>
      <c r="J343" s="109"/>
    </row>
    <row r="344" spans="1:10" ht="28" customHeight="1" x14ac:dyDescent="0.2">
      <c r="A344" s="19" t="s">
        <v>36</v>
      </c>
      <c r="B344" s="95" t="e">
        <f ca="1">INDIRECT(_xlfn.TEXTJOIN("",TRUE,A345,"!",ADDRESS(5+A346*A342,2)))</f>
        <v>#N/A</v>
      </c>
      <c r="C344" s="95"/>
      <c r="D344" s="121" t="s">
        <v>37</v>
      </c>
      <c r="E344" s="121"/>
      <c r="F344" s="122" t="e">
        <f ca="1">INDIRECT(_xlfn.TEXTJOIN("",TRUE,A345,"!",ADDRESS(5+A346*A342,5)))</f>
        <v>#N/A</v>
      </c>
      <c r="G344" s="122"/>
      <c r="H344" s="122"/>
      <c r="I344" s="122"/>
      <c r="J344" s="122"/>
    </row>
    <row r="345" spans="1:10" ht="28" customHeight="1" x14ac:dyDescent="0.2">
      <c r="A345" s="22" t="str">
        <f>A328</f>
        <v>TC_III</v>
      </c>
    </row>
    <row r="346" spans="1:10" ht="28" customHeight="1" x14ac:dyDescent="0.2">
      <c r="A346" s="22">
        <f>A329+1</f>
        <v>20</v>
      </c>
    </row>
    <row r="347" spans="1:10" ht="28" customHeight="1" x14ac:dyDescent="0.2">
      <c r="A347" s="112" t="s">
        <v>24</v>
      </c>
      <c r="B347" s="112"/>
      <c r="C347" s="112" t="str">
        <f ca="1">INDIRECT(_xlfn.TEXTJOIN("",TRUE,A362,"!",ADDRESS(9+(A363-1)*A359,2)))</f>
        <v>SHIKHA</v>
      </c>
      <c r="D347" s="112"/>
      <c r="E347" s="112"/>
      <c r="F347" s="112" t="s">
        <v>50</v>
      </c>
      <c r="G347" s="112"/>
      <c r="H347" s="112"/>
      <c r="I347" s="113">
        <f ca="1">INDIRECT(_xlfn.TEXTJOIN("",TRUE,A362,"!",ADDRESS(9+(A363-1)*A359,9)))</f>
        <v>240090600021</v>
      </c>
      <c r="J347" s="113"/>
    </row>
    <row r="348" spans="1:10" ht="28" customHeight="1" x14ac:dyDescent="0.2">
      <c r="A348" s="112" t="s">
        <v>25</v>
      </c>
      <c r="B348" s="112"/>
      <c r="C348" s="112" t="str">
        <f ca="1">INDIRECT(_xlfn.TEXTJOIN("",TRUE,A362,"!",ADDRESS(9+(A363-1)*A359,5)))</f>
        <v>UPENDRA SINGH SEMWAL</v>
      </c>
      <c r="D348" s="112"/>
      <c r="E348" s="112"/>
      <c r="F348" s="114" t="s">
        <v>51</v>
      </c>
      <c r="G348" s="114"/>
      <c r="H348" s="114"/>
      <c r="I348" s="113" t="str">
        <f ca="1">INDIRECT(_xlfn.TEXTJOIN("",TRUE,A362,"!",ADDRESS(9+(A363-1)*A359,13)))</f>
        <v>UTU/2406100176</v>
      </c>
      <c r="J348" s="113"/>
    </row>
    <row r="349" spans="1:10" ht="28" customHeight="1" x14ac:dyDescent="0.2">
      <c r="A349" s="95" t="s">
        <v>28</v>
      </c>
      <c r="B349" s="95"/>
      <c r="C349" s="95" t="s">
        <v>29</v>
      </c>
      <c r="D349" s="95"/>
      <c r="E349" s="95"/>
      <c r="F349" s="95"/>
      <c r="G349" s="95"/>
      <c r="H349" s="15" t="s">
        <v>30</v>
      </c>
      <c r="I349" s="15" t="s">
        <v>9</v>
      </c>
      <c r="J349" s="15" t="s">
        <v>34</v>
      </c>
    </row>
    <row r="350" spans="1:10" ht="28" customHeight="1" x14ac:dyDescent="0.2">
      <c r="A350" s="96" t="str">
        <f ca="1">INDIRECT(_xlfn.TEXTJOIN("",TRUE,A362,"!",ADDRESS(13+(A363-1)*A359,1)))</f>
        <v>CAT  014</v>
      </c>
      <c r="B350" s="97"/>
      <c r="C350" s="106" t="str">
        <f ca="1">INDIRECT(_xlfn.TEXTJOIN("",TRUE,A362,"!",ADDRESS(13+(A363-1)*A359,2)))</f>
        <v>Graph Theory</v>
      </c>
      <c r="D350" s="107"/>
      <c r="E350" s="107"/>
      <c r="F350" s="107"/>
      <c r="G350" s="108"/>
      <c r="H350" s="20">
        <f ca="1">INDIRECT(_xlfn.TEXTJOIN("",TRUE,A362,"!",ADDRESS(13+(A363-1)*A359,6)))</f>
        <v>4</v>
      </c>
      <c r="I350" s="20" t="str">
        <f ca="1">INDIRECT(_xlfn.TEXTJOIN("",TRUE,A362,"!",ADDRESS(13+(A363-1)*A359,13)))</f>
        <v>F</v>
      </c>
      <c r="J350" s="20">
        <f ca="1">INDIRECT(_xlfn.TEXTJOIN("",TRUE,A362,"!",ADDRESS(13+(A363-1)*A359,14)))</f>
        <v>0</v>
      </c>
    </row>
    <row r="351" spans="1:10" ht="28" customHeight="1" x14ac:dyDescent="0.2">
      <c r="A351" s="96" t="str">
        <f ca="1">INDIRECT(_xlfn.TEXTJOIN("",TRUE,A362,"!",ADDRESS(14+(A363-1)*A359,1)))</f>
        <v>CAT 015</v>
      </c>
      <c r="B351" s="97"/>
      <c r="C351" s="106" t="str">
        <f ca="1">INDIRECT(_xlfn.TEXTJOIN("",TRUE,A362,"!",ADDRESS(14+(A363-1)*A359,2)))</f>
        <v>Software Engineering</v>
      </c>
      <c r="D351" s="107"/>
      <c r="E351" s="107"/>
      <c r="F351" s="107"/>
      <c r="G351" s="108"/>
      <c r="H351" s="20">
        <f ca="1">INDIRECT(_xlfn.TEXTJOIN("",TRUE,A362,"!",ADDRESS(14+(A363-1)*A359,6)))</f>
        <v>4</v>
      </c>
      <c r="I351" s="20" t="str">
        <f ca="1">INDIRECT(_xlfn.TEXTJOIN("",TRUE,A362,"!",ADDRESS(14+(A363-1)*A359,13)))</f>
        <v>F</v>
      </c>
      <c r="J351" s="20">
        <f ca="1">INDIRECT(_xlfn.TEXTJOIN("",TRUE,A362,"!",ADDRESS(14+(A363-1)*A359,14)))</f>
        <v>0</v>
      </c>
    </row>
    <row r="352" spans="1:10" ht="28" customHeight="1" x14ac:dyDescent="0.2">
      <c r="A352" s="96" t="str">
        <f ca="1">INDIRECT(_xlfn.TEXTJOIN("",TRUE,A362,"!",ADDRESS(15+(A363-1)*A359,1)))</f>
        <v>Enroll No.</v>
      </c>
      <c r="B352" s="97"/>
      <c r="C352" s="106">
        <f ca="1">INDIRECT(_xlfn.TEXTJOIN("",TRUE,A362,"!",ADDRESS(15+(A363-1)*A359,2)))</f>
        <v>0</v>
      </c>
      <c r="D352" s="107"/>
      <c r="E352" s="107"/>
      <c r="F352" s="107"/>
      <c r="G352" s="108"/>
      <c r="H352" s="20">
        <f ca="1">INDIRECT(_xlfn.TEXTJOIN("",TRUE,A362,"!",ADDRESS(15+(A363-1)*A359,6)))</f>
        <v>0</v>
      </c>
      <c r="I352" s="20" t="b">
        <f ca="1">INDIRECT(_xlfn.TEXTJOIN("",TRUE,A362,"!",ADDRESS(15+(A363-1)*A359,13)))</f>
        <v>0</v>
      </c>
      <c r="J352" s="20" t="e">
        <f ca="1">INDIRECT(_xlfn.TEXTJOIN("",TRUE,A362,"!",ADDRESS(15+(A363-1)*A359,14)))</f>
        <v>#N/A</v>
      </c>
    </row>
    <row r="353" spans="1:10" ht="28" customHeight="1" x14ac:dyDescent="0.2">
      <c r="A353" s="96" t="str">
        <f ca="1">INDIRECT(_xlfn.TEXTJOIN("",TRUE,A362,"!",ADDRESS(16+(A363-1)*A359,1)))</f>
        <v>Enroll No.</v>
      </c>
      <c r="B353" s="97"/>
      <c r="C353" s="106">
        <f ca="1">INDIRECT(_xlfn.TEXTJOIN("",TRUE,A362,"!",ADDRESS(16+(A363-1)*A359,2)))</f>
        <v>0</v>
      </c>
      <c r="D353" s="107"/>
      <c r="E353" s="107"/>
      <c r="F353" s="107"/>
      <c r="G353" s="108"/>
      <c r="H353" s="20">
        <f ca="1">INDIRECT(_xlfn.TEXTJOIN("",TRUE,A362,"!",ADDRESS(16+(A363-1)*A359,6)))</f>
        <v>0</v>
      </c>
      <c r="I353" s="20" t="b">
        <f ca="1">INDIRECT(_xlfn.TEXTJOIN("",TRUE,A362,"!",ADDRESS(16+(A363-1)*A359,13)))</f>
        <v>0</v>
      </c>
      <c r="J353" s="20" t="e">
        <f ca="1">INDIRECT(_xlfn.TEXTJOIN("",TRUE,A362,"!",ADDRESS(16+(A363-1)*A359,14)))</f>
        <v>#N/A</v>
      </c>
    </row>
    <row r="354" spans="1:10" ht="28" customHeight="1" x14ac:dyDescent="0.2">
      <c r="A354" s="96" t="str">
        <f ca="1">INDIRECT(_xlfn.TEXTJOIN("",TRUE,A362,"!",ADDRESS(17+(A363-1)*A359,1)))</f>
        <v>AHT 310</v>
      </c>
      <c r="B354" s="97"/>
      <c r="C354" s="106" t="str">
        <f ca="1">INDIRECT(_xlfn.TEXTJOIN("",TRUE,A362,"!",ADDRESS(17+(A363-1)*A359,2)))</f>
        <v>Universal Human Value</v>
      </c>
      <c r="D354" s="107"/>
      <c r="E354" s="107"/>
      <c r="F354" s="107"/>
      <c r="G354" s="108"/>
      <c r="H354" s="20">
        <f ca="1">INDIRECT(_xlfn.TEXTJOIN("",TRUE,A362,"!",ADDRESS(17+(A363-1)*A359,6)))</f>
        <v>3</v>
      </c>
      <c r="I354" s="20" t="str">
        <f ca="1">INDIRECT(_xlfn.TEXTJOIN("",TRUE,A362,"!",ADDRESS(17+(A363-1)*A359,13)))</f>
        <v>F</v>
      </c>
      <c r="J354" s="20">
        <f ca="1">INDIRECT(_xlfn.TEXTJOIN("",TRUE,A362,"!",ADDRESS(17+(A363-1)*A359,14)))</f>
        <v>0</v>
      </c>
    </row>
    <row r="355" spans="1:10" ht="28" customHeight="1" x14ac:dyDescent="0.2">
      <c r="A355" s="96" t="str">
        <f ca="1">INDIRECT(_xlfn.TEXTJOIN("",TRUE,A362,"!",ADDRESS(18+(A363-1)*A359,1)))</f>
        <v>CAP 008</v>
      </c>
      <c r="B355" s="97"/>
      <c r="C355" s="106" t="str">
        <f ca="1">INDIRECT(_xlfn.TEXTJOIN("",TRUE,A362,"!",ADDRESS(18+(A363-1)*A359,2)))</f>
        <v>Software Engineering Lab</v>
      </c>
      <c r="D355" s="107"/>
      <c r="E355" s="107"/>
      <c r="F355" s="107"/>
      <c r="G355" s="108"/>
      <c r="H355" s="20">
        <f ca="1">INDIRECT(_xlfn.TEXTJOIN("",TRUE,A362,"!",ADDRESS(18+(A363-1)*A359,6)))</f>
        <v>1</v>
      </c>
      <c r="I355" s="20" t="str">
        <f ca="1">INDIRECT(_xlfn.TEXTJOIN("",TRUE,A362,"!",ADDRESS(18+(A363-1)*A359,13)))</f>
        <v>F</v>
      </c>
      <c r="J355" s="20">
        <f ca="1">INDIRECT(_xlfn.TEXTJOIN("",TRUE,A362,"!",ADDRESS(18+(A363-1)*A359,14)))</f>
        <v>0</v>
      </c>
    </row>
    <row r="356" spans="1:10" ht="28" customHeight="1" x14ac:dyDescent="0.2">
      <c r="A356" s="96" t="str">
        <f ca="1">INDIRECT(_xlfn.TEXTJOIN("",TRUE,A362,"!",ADDRESS(19+(A363-1)*A359,1)))</f>
        <v>CAP 009</v>
      </c>
      <c r="B356" s="97"/>
      <c r="C356" s="106" t="str">
        <f ca="1">INDIRECT(_xlfn.TEXTJOIN("",TRUE,A362,"!",ADDRESS(19+(A363-1)*A359,2)))</f>
        <v>Seminar</v>
      </c>
      <c r="D356" s="107"/>
      <c r="E356" s="107"/>
      <c r="F356" s="107"/>
      <c r="G356" s="108"/>
      <c r="H356" s="20">
        <f ca="1">INDIRECT(_xlfn.TEXTJOIN("",TRUE,A362,"!",ADDRESS(19+(A363-1)*A359,6)))</f>
        <v>2</v>
      </c>
      <c r="I356" s="20" t="str">
        <f ca="1">INDIRECT(_xlfn.TEXTJOIN("",TRUE,A362,"!",ADDRESS(19+(A363-1)*A359,13)))</f>
        <v>F</v>
      </c>
      <c r="J356" s="20">
        <f ca="1">INDIRECT(_xlfn.TEXTJOIN("",TRUE,A362,"!",ADDRESS(19+(A363-1)*A359,14)))</f>
        <v>0</v>
      </c>
    </row>
    <row r="357" spans="1:10" ht="28" customHeight="1" x14ac:dyDescent="0.2">
      <c r="A357" s="96" t="str">
        <f ca="1">INDIRECT(_xlfn.TEXTJOIN("",TRUE,A362,"!",ADDRESS(20+(A363-1)*A359,1)))</f>
        <v>CAP 010</v>
      </c>
      <c r="B357" s="97"/>
      <c r="C357" s="106" t="str">
        <f ca="1">INDIRECT(_xlfn.TEXTJOIN("",TRUE,A362,"!",ADDRESS(20+(A363-1)*A359,2)))</f>
        <v>Minor Project</v>
      </c>
      <c r="D357" s="107"/>
      <c r="E357" s="107"/>
      <c r="F357" s="107"/>
      <c r="G357" s="108"/>
      <c r="H357" s="20">
        <f ca="1">INDIRECT(_xlfn.TEXTJOIN("",TRUE,A362,"!",ADDRESS(20+(A363-1)*A359,6)))</f>
        <v>2</v>
      </c>
      <c r="I357" s="20" t="str">
        <f ca="1">INDIRECT(_xlfn.TEXTJOIN("",TRUE,A362,"!",ADDRESS(20+(A363-1)*A359,13)))</f>
        <v>F</v>
      </c>
      <c r="J357" s="20">
        <f ca="1">INDIRECT(_xlfn.TEXTJOIN("",TRUE,A362,"!",ADDRESS(20+(A363-1)*A359,14)))</f>
        <v>0</v>
      </c>
    </row>
    <row r="358" spans="1:10" ht="28" customHeight="1" x14ac:dyDescent="0.2">
      <c r="A358" s="118" t="s">
        <v>52</v>
      </c>
      <c r="B358" s="118"/>
      <c r="C358" s="118"/>
      <c r="D358" s="118"/>
      <c r="E358" s="118"/>
      <c r="F358" s="118"/>
      <c r="G358" s="118"/>
      <c r="H358" s="16">
        <f ca="1">SUM(H350:H357)</f>
        <v>16</v>
      </c>
      <c r="I358" s="16" t="s">
        <v>44</v>
      </c>
      <c r="J358" s="16" t="e">
        <f ca="1">SUMPRODUCT(J350:J357,H350:H357)</f>
        <v>#N/A</v>
      </c>
    </row>
    <row r="359" spans="1:10" ht="28" customHeight="1" x14ac:dyDescent="0.2">
      <c r="A359" s="22">
        <f>ROWS(A350:B357)+9</f>
        <v>17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8" customHeight="1" x14ac:dyDescent="0.2">
      <c r="A360" s="120" t="s">
        <v>40</v>
      </c>
      <c r="B360" s="120"/>
      <c r="C360" s="21">
        <f ca="1">INDIRECT(_xlfn.TEXTJOIN("",TRUE,A362,"!",ADDRESS(5+A363*A359,12)))</f>
        <v>0</v>
      </c>
      <c r="D360" s="120" t="s">
        <v>38</v>
      </c>
      <c r="E360" s="120"/>
      <c r="F360" s="18" t="e">
        <f ca="1">INDIRECT(_xlfn.TEXTJOIN("",TRUE,A362,"!",ADDRESS(5+A363*A359,8)))</f>
        <v>#N/A</v>
      </c>
      <c r="G360" s="120" t="s">
        <v>39</v>
      </c>
      <c r="H360" s="120"/>
      <c r="I360" s="109" t="e">
        <f ca="1">INDIRECT(_xlfn.TEXTJOIN("",TRUE,A362,"!",ADDRESS(5+A363*A359,10)))</f>
        <v>#N/A</v>
      </c>
      <c r="J360" s="109"/>
    </row>
    <row r="361" spans="1:10" ht="28" customHeight="1" x14ac:dyDescent="0.2">
      <c r="A361" s="19" t="s">
        <v>36</v>
      </c>
      <c r="B361" s="95" t="e">
        <f ca="1">INDIRECT(_xlfn.TEXTJOIN("",TRUE,A362,"!",ADDRESS(5+A363*A359,2)))</f>
        <v>#N/A</v>
      </c>
      <c r="C361" s="95"/>
      <c r="D361" s="121" t="s">
        <v>37</v>
      </c>
      <c r="E361" s="121"/>
      <c r="F361" s="122" t="e">
        <f ca="1">INDIRECT(_xlfn.TEXTJOIN("",TRUE,A362,"!",ADDRESS(5+A363*A359,5)))</f>
        <v>#N/A</v>
      </c>
      <c r="G361" s="122"/>
      <c r="H361" s="122"/>
      <c r="I361" s="122"/>
      <c r="J361" s="122"/>
    </row>
    <row r="362" spans="1:10" ht="28" customHeight="1" x14ac:dyDescent="0.2">
      <c r="A362" s="22" t="str">
        <f>A345</f>
        <v>TC_III</v>
      </c>
    </row>
    <row r="363" spans="1:10" ht="28" customHeight="1" x14ac:dyDescent="0.2">
      <c r="A363" s="22">
        <f>A346+1</f>
        <v>21</v>
      </c>
    </row>
    <row r="364" spans="1:10" ht="28" customHeight="1" x14ac:dyDescent="0.2">
      <c r="A364" s="112" t="s">
        <v>24</v>
      </c>
      <c r="B364" s="112"/>
      <c r="C364" s="112" t="str">
        <f ca="1">INDIRECT(_xlfn.TEXTJOIN("",TRUE,A379,"!",ADDRESS(9+(A380-1)*A376,2)))</f>
        <v>SHIVANI BHATT</v>
      </c>
      <c r="D364" s="112"/>
      <c r="E364" s="112"/>
      <c r="F364" s="112" t="s">
        <v>50</v>
      </c>
      <c r="G364" s="112"/>
      <c r="H364" s="112"/>
      <c r="I364" s="113">
        <f ca="1">INDIRECT(_xlfn.TEXTJOIN("",TRUE,A379,"!",ADDRESS(9+(A380-1)*A376,9)))</f>
        <v>240090600022</v>
      </c>
      <c r="J364" s="113"/>
    </row>
    <row r="365" spans="1:10" ht="28" customHeight="1" x14ac:dyDescent="0.2">
      <c r="A365" s="112" t="s">
        <v>25</v>
      </c>
      <c r="B365" s="112"/>
      <c r="C365" s="112" t="str">
        <f ca="1">INDIRECT(_xlfn.TEXTJOIN("",TRUE,A379,"!",ADDRESS(9+(A380-1)*A376,5)))</f>
        <v>RAVINDRA BHATT</v>
      </c>
      <c r="D365" s="112"/>
      <c r="E365" s="112"/>
      <c r="F365" s="114" t="s">
        <v>51</v>
      </c>
      <c r="G365" s="114"/>
      <c r="H365" s="114"/>
      <c r="I365" s="113" t="str">
        <f ca="1">INDIRECT(_xlfn.TEXTJOIN("",TRUE,A379,"!",ADDRESS(9+(A380-1)*A376,13)))</f>
        <v>UTU/2406100168</v>
      </c>
      <c r="J365" s="113"/>
    </row>
    <row r="366" spans="1:10" ht="28" customHeight="1" x14ac:dyDescent="0.2">
      <c r="A366" s="95" t="s">
        <v>28</v>
      </c>
      <c r="B366" s="95"/>
      <c r="C366" s="95" t="s">
        <v>29</v>
      </c>
      <c r="D366" s="95"/>
      <c r="E366" s="95"/>
      <c r="F366" s="95"/>
      <c r="G366" s="95"/>
      <c r="H366" s="15" t="s">
        <v>30</v>
      </c>
      <c r="I366" s="15" t="s">
        <v>9</v>
      </c>
      <c r="J366" s="15" t="s">
        <v>34</v>
      </c>
    </row>
    <row r="367" spans="1:10" ht="28" customHeight="1" x14ac:dyDescent="0.2">
      <c r="A367" s="96" t="str">
        <f ca="1">INDIRECT(_xlfn.TEXTJOIN("",TRUE,A379,"!",ADDRESS(13+(A380-1)*A376,1)))</f>
        <v>CAT  014</v>
      </c>
      <c r="B367" s="97"/>
      <c r="C367" s="106" t="str">
        <f ca="1">INDIRECT(_xlfn.TEXTJOIN("",TRUE,A379,"!",ADDRESS(13+(A380-1)*A376,2)))</f>
        <v>Graph Theory</v>
      </c>
      <c r="D367" s="107"/>
      <c r="E367" s="107"/>
      <c r="F367" s="107"/>
      <c r="G367" s="108"/>
      <c r="H367" s="20">
        <f ca="1">INDIRECT(_xlfn.TEXTJOIN("",TRUE,A379,"!",ADDRESS(13+(A380-1)*A376,6)))</f>
        <v>4</v>
      </c>
      <c r="I367" s="20" t="str">
        <f ca="1">INDIRECT(_xlfn.TEXTJOIN("",TRUE,A379,"!",ADDRESS(13+(A380-1)*A376,13)))</f>
        <v>F</v>
      </c>
      <c r="J367" s="20">
        <f ca="1">INDIRECT(_xlfn.TEXTJOIN("",TRUE,A379,"!",ADDRESS(13+(A380-1)*A376,14)))</f>
        <v>0</v>
      </c>
    </row>
    <row r="368" spans="1:10" ht="28" customHeight="1" x14ac:dyDescent="0.2">
      <c r="A368" s="96" t="str">
        <f ca="1">INDIRECT(_xlfn.TEXTJOIN("",TRUE,A379,"!",ADDRESS(14+(A380-1)*A376,1)))</f>
        <v>CAT 015</v>
      </c>
      <c r="B368" s="97"/>
      <c r="C368" s="106" t="str">
        <f ca="1">INDIRECT(_xlfn.TEXTJOIN("",TRUE,A379,"!",ADDRESS(14+(A380-1)*A376,2)))</f>
        <v>Software Engineering</v>
      </c>
      <c r="D368" s="107"/>
      <c r="E368" s="107"/>
      <c r="F368" s="107"/>
      <c r="G368" s="108"/>
      <c r="H368" s="20">
        <f ca="1">INDIRECT(_xlfn.TEXTJOIN("",TRUE,A379,"!",ADDRESS(14+(A380-1)*A376,6)))</f>
        <v>4</v>
      </c>
      <c r="I368" s="20" t="str">
        <f ca="1">INDIRECT(_xlfn.TEXTJOIN("",TRUE,A379,"!",ADDRESS(14+(A380-1)*A376,13)))</f>
        <v>F</v>
      </c>
      <c r="J368" s="20">
        <f ca="1">INDIRECT(_xlfn.TEXTJOIN("",TRUE,A379,"!",ADDRESS(14+(A380-1)*A376,14)))</f>
        <v>0</v>
      </c>
    </row>
    <row r="369" spans="1:10" ht="28" customHeight="1" x14ac:dyDescent="0.2">
      <c r="A369" s="96" t="str">
        <f ca="1">INDIRECT(_xlfn.TEXTJOIN("",TRUE,A379,"!",ADDRESS(15+(A380-1)*A376,1)))</f>
        <v>Enroll No.</v>
      </c>
      <c r="B369" s="97"/>
      <c r="C369" s="106">
        <f ca="1">INDIRECT(_xlfn.TEXTJOIN("",TRUE,A379,"!",ADDRESS(15+(A380-1)*A376,2)))</f>
        <v>0</v>
      </c>
      <c r="D369" s="107"/>
      <c r="E369" s="107"/>
      <c r="F369" s="107"/>
      <c r="G369" s="108"/>
      <c r="H369" s="20">
        <f ca="1">INDIRECT(_xlfn.TEXTJOIN("",TRUE,A379,"!",ADDRESS(15+(A380-1)*A376,6)))</f>
        <v>0</v>
      </c>
      <c r="I369" s="20" t="b">
        <f ca="1">INDIRECT(_xlfn.TEXTJOIN("",TRUE,A379,"!",ADDRESS(15+(A380-1)*A376,13)))</f>
        <v>0</v>
      </c>
      <c r="J369" s="20" t="e">
        <f ca="1">INDIRECT(_xlfn.TEXTJOIN("",TRUE,A379,"!",ADDRESS(15+(A380-1)*A376,14)))</f>
        <v>#N/A</v>
      </c>
    </row>
    <row r="370" spans="1:10" ht="28" customHeight="1" x14ac:dyDescent="0.2">
      <c r="A370" s="96" t="str">
        <f ca="1">INDIRECT(_xlfn.TEXTJOIN("",TRUE,A379,"!",ADDRESS(16+(A380-1)*A376,1)))</f>
        <v>Enroll No.</v>
      </c>
      <c r="B370" s="97"/>
      <c r="C370" s="106">
        <f ca="1">INDIRECT(_xlfn.TEXTJOIN("",TRUE,A379,"!",ADDRESS(16+(A380-1)*A376,2)))</f>
        <v>0</v>
      </c>
      <c r="D370" s="107"/>
      <c r="E370" s="107"/>
      <c r="F370" s="107"/>
      <c r="G370" s="108"/>
      <c r="H370" s="20">
        <f ca="1">INDIRECT(_xlfn.TEXTJOIN("",TRUE,A379,"!",ADDRESS(16+(A380-1)*A376,6)))</f>
        <v>0</v>
      </c>
      <c r="I370" s="20" t="b">
        <f ca="1">INDIRECT(_xlfn.TEXTJOIN("",TRUE,A379,"!",ADDRESS(16+(A380-1)*A376,13)))</f>
        <v>0</v>
      </c>
      <c r="J370" s="20" t="e">
        <f ca="1">INDIRECT(_xlfn.TEXTJOIN("",TRUE,A379,"!",ADDRESS(16+(A380-1)*A376,14)))</f>
        <v>#N/A</v>
      </c>
    </row>
    <row r="371" spans="1:10" ht="28" customHeight="1" x14ac:dyDescent="0.2">
      <c r="A371" s="96" t="str">
        <f ca="1">INDIRECT(_xlfn.TEXTJOIN("",TRUE,A379,"!",ADDRESS(17+(A380-1)*A376,1)))</f>
        <v>AHT 310</v>
      </c>
      <c r="B371" s="97"/>
      <c r="C371" s="106" t="str">
        <f ca="1">INDIRECT(_xlfn.TEXTJOIN("",TRUE,A379,"!",ADDRESS(17+(A380-1)*A376,2)))</f>
        <v>Universal Human Value</v>
      </c>
      <c r="D371" s="107"/>
      <c r="E371" s="107"/>
      <c r="F371" s="107"/>
      <c r="G371" s="108"/>
      <c r="H371" s="20">
        <f ca="1">INDIRECT(_xlfn.TEXTJOIN("",TRUE,A379,"!",ADDRESS(17+(A380-1)*A376,6)))</f>
        <v>3</v>
      </c>
      <c r="I371" s="20" t="str">
        <f ca="1">INDIRECT(_xlfn.TEXTJOIN("",TRUE,A379,"!",ADDRESS(17+(A380-1)*A376,13)))</f>
        <v>F</v>
      </c>
      <c r="J371" s="20">
        <f ca="1">INDIRECT(_xlfn.TEXTJOIN("",TRUE,A379,"!",ADDRESS(17+(A380-1)*A376,14)))</f>
        <v>0</v>
      </c>
    </row>
    <row r="372" spans="1:10" ht="28" customHeight="1" x14ac:dyDescent="0.2">
      <c r="A372" s="96" t="str">
        <f ca="1">INDIRECT(_xlfn.TEXTJOIN("",TRUE,A379,"!",ADDRESS(18+(A380-1)*A376,1)))</f>
        <v>CAP 008</v>
      </c>
      <c r="B372" s="97"/>
      <c r="C372" s="106" t="str">
        <f ca="1">INDIRECT(_xlfn.TEXTJOIN("",TRUE,A379,"!",ADDRESS(18+(A380-1)*A376,2)))</f>
        <v>Software Engineering Lab</v>
      </c>
      <c r="D372" s="107"/>
      <c r="E372" s="107"/>
      <c r="F372" s="107"/>
      <c r="G372" s="108"/>
      <c r="H372" s="20">
        <f ca="1">INDIRECT(_xlfn.TEXTJOIN("",TRUE,A379,"!",ADDRESS(18+(A380-1)*A376,6)))</f>
        <v>1</v>
      </c>
      <c r="I372" s="20" t="str">
        <f ca="1">INDIRECT(_xlfn.TEXTJOIN("",TRUE,A379,"!",ADDRESS(18+(A380-1)*A376,13)))</f>
        <v>F</v>
      </c>
      <c r="J372" s="20">
        <f ca="1">INDIRECT(_xlfn.TEXTJOIN("",TRUE,A379,"!",ADDRESS(18+(A380-1)*A376,14)))</f>
        <v>0</v>
      </c>
    </row>
    <row r="373" spans="1:10" ht="28" customHeight="1" x14ac:dyDescent="0.2">
      <c r="A373" s="96" t="str">
        <f ca="1">INDIRECT(_xlfn.TEXTJOIN("",TRUE,A379,"!",ADDRESS(19+(A380-1)*A376,1)))</f>
        <v>CAP 009</v>
      </c>
      <c r="B373" s="97"/>
      <c r="C373" s="106" t="str">
        <f ca="1">INDIRECT(_xlfn.TEXTJOIN("",TRUE,A379,"!",ADDRESS(19+(A380-1)*A376,2)))</f>
        <v>Seminar</v>
      </c>
      <c r="D373" s="107"/>
      <c r="E373" s="107"/>
      <c r="F373" s="107"/>
      <c r="G373" s="108"/>
      <c r="H373" s="20">
        <f ca="1">INDIRECT(_xlfn.TEXTJOIN("",TRUE,A379,"!",ADDRESS(19+(A380-1)*A376,6)))</f>
        <v>2</v>
      </c>
      <c r="I373" s="20" t="str">
        <f ca="1">INDIRECT(_xlfn.TEXTJOIN("",TRUE,A379,"!",ADDRESS(19+(A380-1)*A376,13)))</f>
        <v>F</v>
      </c>
      <c r="J373" s="20">
        <f ca="1">INDIRECT(_xlfn.TEXTJOIN("",TRUE,A379,"!",ADDRESS(19+(A380-1)*A376,14)))</f>
        <v>0</v>
      </c>
    </row>
    <row r="374" spans="1:10" ht="28" customHeight="1" x14ac:dyDescent="0.2">
      <c r="A374" s="96" t="str">
        <f ca="1">INDIRECT(_xlfn.TEXTJOIN("",TRUE,A379,"!",ADDRESS(20+(A380-1)*A376,1)))</f>
        <v>CAP 010</v>
      </c>
      <c r="B374" s="97"/>
      <c r="C374" s="106" t="str">
        <f ca="1">INDIRECT(_xlfn.TEXTJOIN("",TRUE,A379,"!",ADDRESS(20+(A380-1)*A376,2)))</f>
        <v>Minor Project</v>
      </c>
      <c r="D374" s="107"/>
      <c r="E374" s="107"/>
      <c r="F374" s="107"/>
      <c r="G374" s="108"/>
      <c r="H374" s="20">
        <f ca="1">INDIRECT(_xlfn.TEXTJOIN("",TRUE,A379,"!",ADDRESS(20+(A380-1)*A376,6)))</f>
        <v>2</v>
      </c>
      <c r="I374" s="20" t="str">
        <f ca="1">INDIRECT(_xlfn.TEXTJOIN("",TRUE,A379,"!",ADDRESS(20+(A380-1)*A376,13)))</f>
        <v>F</v>
      </c>
      <c r="J374" s="20">
        <f ca="1">INDIRECT(_xlfn.TEXTJOIN("",TRUE,A379,"!",ADDRESS(20+(A380-1)*A376,14)))</f>
        <v>0</v>
      </c>
    </row>
    <row r="375" spans="1:10" ht="28" customHeight="1" x14ac:dyDescent="0.2">
      <c r="A375" s="118" t="s">
        <v>52</v>
      </c>
      <c r="B375" s="118"/>
      <c r="C375" s="118"/>
      <c r="D375" s="118"/>
      <c r="E375" s="118"/>
      <c r="F375" s="118"/>
      <c r="G375" s="118"/>
      <c r="H375" s="16">
        <f ca="1">SUM(H367:H374)</f>
        <v>16</v>
      </c>
      <c r="I375" s="16" t="s">
        <v>44</v>
      </c>
      <c r="J375" s="16" t="e">
        <f ca="1">SUMPRODUCT(J367:J374,H367:H374)</f>
        <v>#N/A</v>
      </c>
    </row>
    <row r="376" spans="1:10" ht="28" customHeight="1" x14ac:dyDescent="0.2">
      <c r="A376" s="22">
        <f>ROWS(A367:B374)+9</f>
        <v>17</v>
      </c>
      <c r="B376" s="17"/>
      <c r="C376" s="17"/>
      <c r="D376" s="17"/>
      <c r="E376" s="17"/>
      <c r="F376" s="17"/>
      <c r="G376" s="17"/>
      <c r="H376" s="17"/>
      <c r="I376" s="17"/>
      <c r="J376" s="17"/>
    </row>
    <row r="377" spans="1:10" ht="28" customHeight="1" x14ac:dyDescent="0.2">
      <c r="A377" s="120" t="s">
        <v>40</v>
      </c>
      <c r="B377" s="120"/>
      <c r="C377" s="21">
        <f ca="1">INDIRECT(_xlfn.TEXTJOIN("",TRUE,A379,"!",ADDRESS(5+A380*A376,12)))</f>
        <v>0</v>
      </c>
      <c r="D377" s="120" t="s">
        <v>38</v>
      </c>
      <c r="E377" s="120"/>
      <c r="F377" s="18" t="e">
        <f ca="1">INDIRECT(_xlfn.TEXTJOIN("",TRUE,A379,"!",ADDRESS(5+A380*A376,8)))</f>
        <v>#N/A</v>
      </c>
      <c r="G377" s="120" t="s">
        <v>39</v>
      </c>
      <c r="H377" s="120"/>
      <c r="I377" s="109" t="e">
        <f ca="1">INDIRECT(_xlfn.TEXTJOIN("",TRUE,A379,"!",ADDRESS(5+A380*A376,10)))</f>
        <v>#N/A</v>
      </c>
      <c r="J377" s="109"/>
    </row>
    <row r="378" spans="1:10" ht="28" customHeight="1" x14ac:dyDescent="0.2">
      <c r="A378" s="19" t="s">
        <v>36</v>
      </c>
      <c r="B378" s="95" t="e">
        <f ca="1">INDIRECT(_xlfn.TEXTJOIN("",TRUE,A379,"!",ADDRESS(5+A380*A376,2)))</f>
        <v>#N/A</v>
      </c>
      <c r="C378" s="95"/>
      <c r="D378" s="121" t="s">
        <v>37</v>
      </c>
      <c r="E378" s="121"/>
      <c r="F378" s="122" t="e">
        <f ca="1">INDIRECT(_xlfn.TEXTJOIN("",TRUE,A379,"!",ADDRESS(5+A380*A376,5)))</f>
        <v>#N/A</v>
      </c>
      <c r="G378" s="122"/>
      <c r="H378" s="122"/>
      <c r="I378" s="122"/>
      <c r="J378" s="122"/>
    </row>
    <row r="379" spans="1:10" ht="28" customHeight="1" x14ac:dyDescent="0.2">
      <c r="A379" s="22" t="str">
        <f>A362</f>
        <v>TC_III</v>
      </c>
    </row>
    <row r="380" spans="1:10" ht="28" customHeight="1" x14ac:dyDescent="0.2">
      <c r="A380" s="22">
        <f>A363+1</f>
        <v>22</v>
      </c>
    </row>
    <row r="381" spans="1:10" ht="28" customHeight="1" x14ac:dyDescent="0.2">
      <c r="A381" s="112" t="s">
        <v>24</v>
      </c>
      <c r="B381" s="112"/>
      <c r="C381" s="112" t="str">
        <f ca="1">INDIRECT(_xlfn.TEXTJOIN("",TRUE,A396,"!",ADDRESS(9+(A397-1)*A393,2)))</f>
        <v>SHRIYANSHU DHYANI</v>
      </c>
      <c r="D381" s="112"/>
      <c r="E381" s="112"/>
      <c r="F381" s="112" t="s">
        <v>50</v>
      </c>
      <c r="G381" s="112"/>
      <c r="H381" s="112"/>
      <c r="I381" s="113">
        <f ca="1">INDIRECT(_xlfn.TEXTJOIN("",TRUE,A396,"!",ADDRESS(9+(A397-1)*A393,9)))</f>
        <v>240090600023</v>
      </c>
      <c r="J381" s="113"/>
    </row>
    <row r="382" spans="1:10" ht="28" customHeight="1" x14ac:dyDescent="0.2">
      <c r="A382" s="112" t="s">
        <v>25</v>
      </c>
      <c r="B382" s="112"/>
      <c r="C382" s="112" t="str">
        <f ca="1">INDIRECT(_xlfn.TEXTJOIN("",TRUE,A396,"!",ADDRESS(9+(A397-1)*A393,5)))</f>
        <v>LUV KUMAR DHYANI</v>
      </c>
      <c r="D382" s="112"/>
      <c r="E382" s="112"/>
      <c r="F382" s="114" t="s">
        <v>51</v>
      </c>
      <c r="G382" s="114"/>
      <c r="H382" s="114"/>
      <c r="I382" s="113" t="str">
        <f ca="1">INDIRECT(_xlfn.TEXTJOIN("",TRUE,A396,"!",ADDRESS(9+(A397-1)*A393,13)))</f>
        <v>UTU/2406100184</v>
      </c>
      <c r="J382" s="113"/>
    </row>
    <row r="383" spans="1:10" ht="28" customHeight="1" x14ac:dyDescent="0.2">
      <c r="A383" s="95" t="s">
        <v>28</v>
      </c>
      <c r="B383" s="95"/>
      <c r="C383" s="95" t="s">
        <v>29</v>
      </c>
      <c r="D383" s="95"/>
      <c r="E383" s="95"/>
      <c r="F383" s="95"/>
      <c r="G383" s="95"/>
      <c r="H383" s="15" t="s">
        <v>30</v>
      </c>
      <c r="I383" s="15" t="s">
        <v>9</v>
      </c>
      <c r="J383" s="15" t="s">
        <v>34</v>
      </c>
    </row>
    <row r="384" spans="1:10" ht="28" customHeight="1" x14ac:dyDescent="0.2">
      <c r="A384" s="96" t="str">
        <f ca="1">INDIRECT(_xlfn.TEXTJOIN("",TRUE,A396,"!",ADDRESS(13+(A397-1)*A393,1)))</f>
        <v>CAT  014</v>
      </c>
      <c r="B384" s="97"/>
      <c r="C384" s="106" t="str">
        <f ca="1">INDIRECT(_xlfn.TEXTJOIN("",TRUE,A396,"!",ADDRESS(13+(A397-1)*A393,2)))</f>
        <v>Graph Theory</v>
      </c>
      <c r="D384" s="107"/>
      <c r="E384" s="107"/>
      <c r="F384" s="107"/>
      <c r="G384" s="108"/>
      <c r="H384" s="20">
        <f ca="1">INDIRECT(_xlfn.TEXTJOIN("",TRUE,A396,"!",ADDRESS(13+(A397-1)*A393,6)))</f>
        <v>4</v>
      </c>
      <c r="I384" s="20" t="str">
        <f ca="1">INDIRECT(_xlfn.TEXTJOIN("",TRUE,A396,"!",ADDRESS(13+(A397-1)*A393,13)))</f>
        <v>F</v>
      </c>
      <c r="J384" s="20">
        <f ca="1">INDIRECT(_xlfn.TEXTJOIN("",TRUE,A396,"!",ADDRESS(13+(A397-1)*A393,14)))</f>
        <v>0</v>
      </c>
    </row>
    <row r="385" spans="1:10" ht="28" customHeight="1" x14ac:dyDescent="0.2">
      <c r="A385" s="96" t="str">
        <f ca="1">INDIRECT(_xlfn.TEXTJOIN("",TRUE,A396,"!",ADDRESS(14+(A397-1)*A393,1)))</f>
        <v>CAT 015</v>
      </c>
      <c r="B385" s="97"/>
      <c r="C385" s="106" t="str">
        <f ca="1">INDIRECT(_xlfn.TEXTJOIN("",TRUE,A396,"!",ADDRESS(14+(A397-1)*A393,2)))</f>
        <v>Software Engineering</v>
      </c>
      <c r="D385" s="107"/>
      <c r="E385" s="107"/>
      <c r="F385" s="107"/>
      <c r="G385" s="108"/>
      <c r="H385" s="20">
        <f ca="1">INDIRECT(_xlfn.TEXTJOIN("",TRUE,A396,"!",ADDRESS(14+(A397-1)*A393,6)))</f>
        <v>4</v>
      </c>
      <c r="I385" s="20" t="str">
        <f ca="1">INDIRECT(_xlfn.TEXTJOIN("",TRUE,A396,"!",ADDRESS(14+(A397-1)*A393,13)))</f>
        <v>F</v>
      </c>
      <c r="J385" s="20">
        <f ca="1">INDIRECT(_xlfn.TEXTJOIN("",TRUE,A396,"!",ADDRESS(14+(A397-1)*A393,14)))</f>
        <v>0</v>
      </c>
    </row>
    <row r="386" spans="1:10" ht="28" customHeight="1" x14ac:dyDescent="0.2">
      <c r="A386" s="96" t="str">
        <f ca="1">INDIRECT(_xlfn.TEXTJOIN("",TRUE,A396,"!",ADDRESS(15+(A397-1)*A393,1)))</f>
        <v>Enroll No.</v>
      </c>
      <c r="B386" s="97"/>
      <c r="C386" s="106">
        <f ca="1">INDIRECT(_xlfn.TEXTJOIN("",TRUE,A396,"!",ADDRESS(15+(A397-1)*A393,2)))</f>
        <v>0</v>
      </c>
      <c r="D386" s="107"/>
      <c r="E386" s="107"/>
      <c r="F386" s="107"/>
      <c r="G386" s="108"/>
      <c r="H386" s="20">
        <f ca="1">INDIRECT(_xlfn.TEXTJOIN("",TRUE,A396,"!",ADDRESS(15+(A397-1)*A393,6)))</f>
        <v>0</v>
      </c>
      <c r="I386" s="20" t="b">
        <f ca="1">INDIRECT(_xlfn.TEXTJOIN("",TRUE,A396,"!",ADDRESS(15+(A397-1)*A393,13)))</f>
        <v>0</v>
      </c>
      <c r="J386" s="20" t="e">
        <f ca="1">INDIRECT(_xlfn.TEXTJOIN("",TRUE,A396,"!",ADDRESS(15+(A397-1)*A393,14)))</f>
        <v>#N/A</v>
      </c>
    </row>
    <row r="387" spans="1:10" ht="28" customHeight="1" x14ac:dyDescent="0.2">
      <c r="A387" s="96" t="str">
        <f ca="1">INDIRECT(_xlfn.TEXTJOIN("",TRUE,A396,"!",ADDRESS(16+(A397-1)*A393,1)))</f>
        <v>Enroll No.</v>
      </c>
      <c r="B387" s="97"/>
      <c r="C387" s="106">
        <f ca="1">INDIRECT(_xlfn.TEXTJOIN("",TRUE,A396,"!",ADDRESS(16+(A397-1)*A393,2)))</f>
        <v>0</v>
      </c>
      <c r="D387" s="107"/>
      <c r="E387" s="107"/>
      <c r="F387" s="107"/>
      <c r="G387" s="108"/>
      <c r="H387" s="20">
        <f ca="1">INDIRECT(_xlfn.TEXTJOIN("",TRUE,A396,"!",ADDRESS(16+(A397-1)*A393,6)))</f>
        <v>0</v>
      </c>
      <c r="I387" s="20" t="b">
        <f ca="1">INDIRECT(_xlfn.TEXTJOIN("",TRUE,A396,"!",ADDRESS(16+(A397-1)*A393,13)))</f>
        <v>0</v>
      </c>
      <c r="J387" s="20" t="e">
        <f ca="1">INDIRECT(_xlfn.TEXTJOIN("",TRUE,A396,"!",ADDRESS(16+(A397-1)*A393,14)))</f>
        <v>#N/A</v>
      </c>
    </row>
    <row r="388" spans="1:10" ht="28" customHeight="1" x14ac:dyDescent="0.2">
      <c r="A388" s="96" t="str">
        <f ca="1">INDIRECT(_xlfn.TEXTJOIN("",TRUE,A396,"!",ADDRESS(17+(A397-1)*A393,1)))</f>
        <v>AHT 310</v>
      </c>
      <c r="B388" s="97"/>
      <c r="C388" s="106" t="str">
        <f ca="1">INDIRECT(_xlfn.TEXTJOIN("",TRUE,A396,"!",ADDRESS(17+(A397-1)*A393,2)))</f>
        <v>Universal Human Value</v>
      </c>
      <c r="D388" s="107"/>
      <c r="E388" s="107"/>
      <c r="F388" s="107"/>
      <c r="G388" s="108"/>
      <c r="H388" s="20">
        <f ca="1">INDIRECT(_xlfn.TEXTJOIN("",TRUE,A396,"!",ADDRESS(17+(A397-1)*A393,6)))</f>
        <v>3</v>
      </c>
      <c r="I388" s="20" t="str">
        <f ca="1">INDIRECT(_xlfn.TEXTJOIN("",TRUE,A396,"!",ADDRESS(17+(A397-1)*A393,13)))</f>
        <v>F</v>
      </c>
      <c r="J388" s="20">
        <f ca="1">INDIRECT(_xlfn.TEXTJOIN("",TRUE,A396,"!",ADDRESS(17+(A397-1)*A393,14)))</f>
        <v>0</v>
      </c>
    </row>
    <row r="389" spans="1:10" ht="28" customHeight="1" x14ac:dyDescent="0.2">
      <c r="A389" s="96" t="str">
        <f ca="1">INDIRECT(_xlfn.TEXTJOIN("",TRUE,A396,"!",ADDRESS(18+(A397-1)*A393,1)))</f>
        <v>CAP 008</v>
      </c>
      <c r="B389" s="97"/>
      <c r="C389" s="106" t="str">
        <f ca="1">INDIRECT(_xlfn.TEXTJOIN("",TRUE,A396,"!",ADDRESS(18+(A397-1)*A393,2)))</f>
        <v>Software Engineering Lab</v>
      </c>
      <c r="D389" s="107"/>
      <c r="E389" s="107"/>
      <c r="F389" s="107"/>
      <c r="G389" s="108"/>
      <c r="H389" s="20">
        <f ca="1">INDIRECT(_xlfn.TEXTJOIN("",TRUE,A396,"!",ADDRESS(18+(A397-1)*A393,6)))</f>
        <v>1</v>
      </c>
      <c r="I389" s="20" t="str">
        <f ca="1">INDIRECT(_xlfn.TEXTJOIN("",TRUE,A396,"!",ADDRESS(18+(A397-1)*A393,13)))</f>
        <v>F</v>
      </c>
      <c r="J389" s="20">
        <f ca="1">INDIRECT(_xlfn.TEXTJOIN("",TRUE,A396,"!",ADDRESS(18+(A397-1)*A393,14)))</f>
        <v>0</v>
      </c>
    </row>
    <row r="390" spans="1:10" ht="28" customHeight="1" x14ac:dyDescent="0.2">
      <c r="A390" s="96" t="str">
        <f ca="1">INDIRECT(_xlfn.TEXTJOIN("",TRUE,A396,"!",ADDRESS(19+(A397-1)*A393,1)))</f>
        <v>CAP 009</v>
      </c>
      <c r="B390" s="97"/>
      <c r="C390" s="106" t="str">
        <f ca="1">INDIRECT(_xlfn.TEXTJOIN("",TRUE,A396,"!",ADDRESS(19+(A397-1)*A393,2)))</f>
        <v>Seminar</v>
      </c>
      <c r="D390" s="107"/>
      <c r="E390" s="107"/>
      <c r="F390" s="107"/>
      <c r="G390" s="108"/>
      <c r="H390" s="20">
        <f ca="1">INDIRECT(_xlfn.TEXTJOIN("",TRUE,A396,"!",ADDRESS(19+(A397-1)*A393,6)))</f>
        <v>2</v>
      </c>
      <c r="I390" s="20" t="str">
        <f ca="1">INDIRECT(_xlfn.TEXTJOIN("",TRUE,A396,"!",ADDRESS(19+(A397-1)*A393,13)))</f>
        <v>F</v>
      </c>
      <c r="J390" s="20">
        <f ca="1">INDIRECT(_xlfn.TEXTJOIN("",TRUE,A396,"!",ADDRESS(19+(A397-1)*A393,14)))</f>
        <v>0</v>
      </c>
    </row>
    <row r="391" spans="1:10" ht="28" customHeight="1" x14ac:dyDescent="0.2">
      <c r="A391" s="96" t="str">
        <f ca="1">INDIRECT(_xlfn.TEXTJOIN("",TRUE,A396,"!",ADDRESS(20+(A397-1)*A393,1)))</f>
        <v>CAP 010</v>
      </c>
      <c r="B391" s="97"/>
      <c r="C391" s="106" t="str">
        <f ca="1">INDIRECT(_xlfn.TEXTJOIN("",TRUE,A396,"!",ADDRESS(20+(A397-1)*A393,2)))</f>
        <v>Minor Project</v>
      </c>
      <c r="D391" s="107"/>
      <c r="E391" s="107"/>
      <c r="F391" s="107"/>
      <c r="G391" s="108"/>
      <c r="H391" s="20">
        <f ca="1">INDIRECT(_xlfn.TEXTJOIN("",TRUE,A396,"!",ADDRESS(20+(A397-1)*A393,6)))</f>
        <v>2</v>
      </c>
      <c r="I391" s="20" t="str">
        <f ca="1">INDIRECT(_xlfn.TEXTJOIN("",TRUE,A396,"!",ADDRESS(20+(A397-1)*A393,13)))</f>
        <v>F</v>
      </c>
      <c r="J391" s="20">
        <f ca="1">INDIRECT(_xlfn.TEXTJOIN("",TRUE,A396,"!",ADDRESS(20+(A397-1)*A393,14)))</f>
        <v>0</v>
      </c>
    </row>
    <row r="392" spans="1:10" ht="28" customHeight="1" x14ac:dyDescent="0.2">
      <c r="A392" s="118" t="s">
        <v>52</v>
      </c>
      <c r="B392" s="118"/>
      <c r="C392" s="118"/>
      <c r="D392" s="118"/>
      <c r="E392" s="118"/>
      <c r="F392" s="118"/>
      <c r="G392" s="118"/>
      <c r="H392" s="16">
        <f ca="1">SUM(H384:H391)</f>
        <v>16</v>
      </c>
      <c r="I392" s="16" t="s">
        <v>44</v>
      </c>
      <c r="J392" s="16" t="e">
        <f ca="1">SUMPRODUCT(J384:J391,H384:H391)</f>
        <v>#N/A</v>
      </c>
    </row>
    <row r="393" spans="1:10" ht="28" customHeight="1" x14ac:dyDescent="0.2">
      <c r="A393" s="22">
        <f>ROWS(A384:B391)+9</f>
        <v>17</v>
      </c>
      <c r="B393" s="17"/>
      <c r="C393" s="17"/>
      <c r="D393" s="17"/>
      <c r="E393" s="17"/>
      <c r="F393" s="17"/>
      <c r="G393" s="17"/>
      <c r="H393" s="17"/>
      <c r="I393" s="17"/>
      <c r="J393" s="17"/>
    </row>
    <row r="394" spans="1:10" ht="28" customHeight="1" x14ac:dyDescent="0.2">
      <c r="A394" s="120" t="s">
        <v>40</v>
      </c>
      <c r="B394" s="120"/>
      <c r="C394" s="21">
        <f ca="1">INDIRECT(_xlfn.TEXTJOIN("",TRUE,A396,"!",ADDRESS(5+A397*A393,12)))</f>
        <v>0</v>
      </c>
      <c r="D394" s="120" t="s">
        <v>38</v>
      </c>
      <c r="E394" s="120"/>
      <c r="F394" s="18" t="e">
        <f ca="1">INDIRECT(_xlfn.TEXTJOIN("",TRUE,A396,"!",ADDRESS(5+A397*A393,8)))</f>
        <v>#N/A</v>
      </c>
      <c r="G394" s="120" t="s">
        <v>39</v>
      </c>
      <c r="H394" s="120"/>
      <c r="I394" s="109" t="e">
        <f ca="1">INDIRECT(_xlfn.TEXTJOIN("",TRUE,A396,"!",ADDRESS(5+A397*A393,10)))</f>
        <v>#N/A</v>
      </c>
      <c r="J394" s="109"/>
    </row>
    <row r="395" spans="1:10" ht="28" customHeight="1" x14ac:dyDescent="0.2">
      <c r="A395" s="19" t="s">
        <v>36</v>
      </c>
      <c r="B395" s="95" t="e">
        <f ca="1">INDIRECT(_xlfn.TEXTJOIN("",TRUE,A396,"!",ADDRESS(5+A397*A393,2)))</f>
        <v>#N/A</v>
      </c>
      <c r="C395" s="95"/>
      <c r="D395" s="121" t="s">
        <v>37</v>
      </c>
      <c r="E395" s="121"/>
      <c r="F395" s="122" t="e">
        <f ca="1">INDIRECT(_xlfn.TEXTJOIN("",TRUE,A396,"!",ADDRESS(5+A397*A393,5)))</f>
        <v>#N/A</v>
      </c>
      <c r="G395" s="122"/>
      <c r="H395" s="122"/>
      <c r="I395" s="122"/>
      <c r="J395" s="122"/>
    </row>
    <row r="396" spans="1:10" ht="28" customHeight="1" x14ac:dyDescent="0.2">
      <c r="A396" s="22" t="str">
        <f>A379</f>
        <v>TC_III</v>
      </c>
    </row>
    <row r="397" spans="1:10" ht="28" customHeight="1" x14ac:dyDescent="0.2">
      <c r="A397" s="22">
        <f>A380+1</f>
        <v>23</v>
      </c>
    </row>
    <row r="398" spans="1:10" ht="28" customHeight="1" x14ac:dyDescent="0.2">
      <c r="A398" s="112" t="s">
        <v>24</v>
      </c>
      <c r="B398" s="112"/>
      <c r="C398" s="112" t="str">
        <f ca="1">INDIRECT(_xlfn.TEXTJOIN("",TRUE,A413,"!",ADDRESS(9+(A414-1)*A410,2)))</f>
        <v>SIDDHARTH PATWAL</v>
      </c>
      <c r="D398" s="112"/>
      <c r="E398" s="112"/>
      <c r="F398" s="112" t="s">
        <v>50</v>
      </c>
      <c r="G398" s="112"/>
      <c r="H398" s="112"/>
      <c r="I398" s="113">
        <f ca="1">INDIRECT(_xlfn.TEXTJOIN("",TRUE,A413,"!",ADDRESS(9+(A414-1)*A410,9)))</f>
        <v>240090600024</v>
      </c>
      <c r="J398" s="113"/>
    </row>
    <row r="399" spans="1:10" ht="28" customHeight="1" x14ac:dyDescent="0.2">
      <c r="A399" s="112" t="s">
        <v>25</v>
      </c>
      <c r="B399" s="112"/>
      <c r="C399" s="112" t="str">
        <f ca="1">INDIRECT(_xlfn.TEXTJOIN("",TRUE,A413,"!",ADDRESS(9+(A414-1)*A410,5)))</f>
        <v>MANOJ PATWAL</v>
      </c>
      <c r="D399" s="112"/>
      <c r="E399" s="112"/>
      <c r="F399" s="114" t="s">
        <v>51</v>
      </c>
      <c r="G399" s="114"/>
      <c r="H399" s="114"/>
      <c r="I399" s="113" t="str">
        <f ca="1">INDIRECT(_xlfn.TEXTJOIN("",TRUE,A413,"!",ADDRESS(9+(A414-1)*A410,13)))</f>
        <v>UTU/2406100190</v>
      </c>
      <c r="J399" s="113"/>
    </row>
    <row r="400" spans="1:10" ht="28" customHeight="1" x14ac:dyDescent="0.2">
      <c r="A400" s="95" t="s">
        <v>28</v>
      </c>
      <c r="B400" s="95"/>
      <c r="C400" s="95" t="s">
        <v>29</v>
      </c>
      <c r="D400" s="95"/>
      <c r="E400" s="95"/>
      <c r="F400" s="95"/>
      <c r="G400" s="95"/>
      <c r="H400" s="15" t="s">
        <v>30</v>
      </c>
      <c r="I400" s="15" t="s">
        <v>9</v>
      </c>
      <c r="J400" s="15" t="s">
        <v>34</v>
      </c>
    </row>
    <row r="401" spans="1:10" ht="28" customHeight="1" x14ac:dyDescent="0.2">
      <c r="A401" s="96" t="str">
        <f ca="1">INDIRECT(_xlfn.TEXTJOIN("",TRUE,A413,"!",ADDRESS(13+(A414-1)*A410,1)))</f>
        <v>CAT  014</v>
      </c>
      <c r="B401" s="97"/>
      <c r="C401" s="106" t="str">
        <f ca="1">INDIRECT(_xlfn.TEXTJOIN("",TRUE,A413,"!",ADDRESS(13+(A414-1)*A410,2)))</f>
        <v>Graph Theory</v>
      </c>
      <c r="D401" s="107"/>
      <c r="E401" s="107"/>
      <c r="F401" s="107"/>
      <c r="G401" s="108"/>
      <c r="H401" s="20">
        <f ca="1">INDIRECT(_xlfn.TEXTJOIN("",TRUE,A413,"!",ADDRESS(13+(A414-1)*A410,6)))</f>
        <v>4</v>
      </c>
      <c r="I401" s="20" t="str">
        <f ca="1">INDIRECT(_xlfn.TEXTJOIN("",TRUE,A413,"!",ADDRESS(13+(A414-1)*A410,13)))</f>
        <v>F</v>
      </c>
      <c r="J401" s="20">
        <f ca="1">INDIRECT(_xlfn.TEXTJOIN("",TRUE,A413,"!",ADDRESS(13+(A414-1)*A410,14)))</f>
        <v>0</v>
      </c>
    </row>
    <row r="402" spans="1:10" ht="28" customHeight="1" x14ac:dyDescent="0.2">
      <c r="A402" s="96" t="str">
        <f ca="1">INDIRECT(_xlfn.TEXTJOIN("",TRUE,A413,"!",ADDRESS(14+(A414-1)*A410,1)))</f>
        <v>CAT 015</v>
      </c>
      <c r="B402" s="97"/>
      <c r="C402" s="106" t="str">
        <f ca="1">INDIRECT(_xlfn.TEXTJOIN("",TRUE,A413,"!",ADDRESS(14+(A414-1)*A410,2)))</f>
        <v>Software Engineering</v>
      </c>
      <c r="D402" s="107"/>
      <c r="E402" s="107"/>
      <c r="F402" s="107"/>
      <c r="G402" s="108"/>
      <c r="H402" s="20">
        <f ca="1">INDIRECT(_xlfn.TEXTJOIN("",TRUE,A413,"!",ADDRESS(14+(A414-1)*A410,6)))</f>
        <v>4</v>
      </c>
      <c r="I402" s="20" t="str">
        <f ca="1">INDIRECT(_xlfn.TEXTJOIN("",TRUE,A413,"!",ADDRESS(14+(A414-1)*A410,13)))</f>
        <v>F</v>
      </c>
      <c r="J402" s="20">
        <f ca="1">INDIRECT(_xlfn.TEXTJOIN("",TRUE,A413,"!",ADDRESS(14+(A414-1)*A410,14)))</f>
        <v>0</v>
      </c>
    </row>
    <row r="403" spans="1:10" ht="28" customHeight="1" x14ac:dyDescent="0.2">
      <c r="A403" s="96" t="str">
        <f ca="1">INDIRECT(_xlfn.TEXTJOIN("",TRUE,A413,"!",ADDRESS(15+(A414-1)*A410,1)))</f>
        <v>Enroll No.</v>
      </c>
      <c r="B403" s="97"/>
      <c r="C403" s="106">
        <f ca="1">INDIRECT(_xlfn.TEXTJOIN("",TRUE,A413,"!",ADDRESS(15+(A414-1)*A410,2)))</f>
        <v>0</v>
      </c>
      <c r="D403" s="107"/>
      <c r="E403" s="107"/>
      <c r="F403" s="107"/>
      <c r="G403" s="108"/>
      <c r="H403" s="20">
        <f ca="1">INDIRECT(_xlfn.TEXTJOIN("",TRUE,A413,"!",ADDRESS(15+(A414-1)*A410,6)))</f>
        <v>0</v>
      </c>
      <c r="I403" s="20" t="b">
        <f ca="1">INDIRECT(_xlfn.TEXTJOIN("",TRUE,A413,"!",ADDRESS(15+(A414-1)*A410,13)))</f>
        <v>0</v>
      </c>
      <c r="J403" s="20" t="e">
        <f ca="1">INDIRECT(_xlfn.TEXTJOIN("",TRUE,A413,"!",ADDRESS(15+(A414-1)*A410,14)))</f>
        <v>#N/A</v>
      </c>
    </row>
    <row r="404" spans="1:10" ht="28" customHeight="1" x14ac:dyDescent="0.2">
      <c r="A404" s="96" t="str">
        <f ca="1">INDIRECT(_xlfn.TEXTJOIN("",TRUE,A413,"!",ADDRESS(16+(A414-1)*A410,1)))</f>
        <v>Enroll No.</v>
      </c>
      <c r="B404" s="97"/>
      <c r="C404" s="106">
        <f ca="1">INDIRECT(_xlfn.TEXTJOIN("",TRUE,A413,"!",ADDRESS(16+(A414-1)*A410,2)))</f>
        <v>0</v>
      </c>
      <c r="D404" s="107"/>
      <c r="E404" s="107"/>
      <c r="F404" s="107"/>
      <c r="G404" s="108"/>
      <c r="H404" s="20">
        <f ca="1">INDIRECT(_xlfn.TEXTJOIN("",TRUE,A413,"!",ADDRESS(16+(A414-1)*A410,6)))</f>
        <v>0</v>
      </c>
      <c r="I404" s="20" t="b">
        <f ca="1">INDIRECT(_xlfn.TEXTJOIN("",TRUE,A413,"!",ADDRESS(16+(A414-1)*A410,13)))</f>
        <v>0</v>
      </c>
      <c r="J404" s="20" t="e">
        <f ca="1">INDIRECT(_xlfn.TEXTJOIN("",TRUE,A413,"!",ADDRESS(16+(A414-1)*A410,14)))</f>
        <v>#N/A</v>
      </c>
    </row>
    <row r="405" spans="1:10" ht="28" customHeight="1" x14ac:dyDescent="0.2">
      <c r="A405" s="96" t="str">
        <f ca="1">INDIRECT(_xlfn.TEXTJOIN("",TRUE,A413,"!",ADDRESS(17+(A414-1)*A410,1)))</f>
        <v>AHT 310</v>
      </c>
      <c r="B405" s="97"/>
      <c r="C405" s="106" t="str">
        <f ca="1">INDIRECT(_xlfn.TEXTJOIN("",TRUE,A413,"!",ADDRESS(17+(A414-1)*A410,2)))</f>
        <v>Universal Human Value</v>
      </c>
      <c r="D405" s="107"/>
      <c r="E405" s="107"/>
      <c r="F405" s="107"/>
      <c r="G405" s="108"/>
      <c r="H405" s="20">
        <f ca="1">INDIRECT(_xlfn.TEXTJOIN("",TRUE,A413,"!",ADDRESS(17+(A414-1)*A410,6)))</f>
        <v>3</v>
      </c>
      <c r="I405" s="20" t="str">
        <f ca="1">INDIRECT(_xlfn.TEXTJOIN("",TRUE,A413,"!",ADDRESS(17+(A414-1)*A410,13)))</f>
        <v>F</v>
      </c>
      <c r="J405" s="20">
        <f ca="1">INDIRECT(_xlfn.TEXTJOIN("",TRUE,A413,"!",ADDRESS(17+(A414-1)*A410,14)))</f>
        <v>0</v>
      </c>
    </row>
    <row r="406" spans="1:10" ht="28" customHeight="1" x14ac:dyDescent="0.2">
      <c r="A406" s="96" t="str">
        <f ca="1">INDIRECT(_xlfn.TEXTJOIN("",TRUE,A413,"!",ADDRESS(18+(A414-1)*A410,1)))</f>
        <v>CAP 008</v>
      </c>
      <c r="B406" s="97"/>
      <c r="C406" s="106" t="str">
        <f ca="1">INDIRECT(_xlfn.TEXTJOIN("",TRUE,A413,"!",ADDRESS(18+(A414-1)*A410,2)))</f>
        <v>Software Engineering Lab</v>
      </c>
      <c r="D406" s="107"/>
      <c r="E406" s="107"/>
      <c r="F406" s="107"/>
      <c r="G406" s="108"/>
      <c r="H406" s="20">
        <f ca="1">INDIRECT(_xlfn.TEXTJOIN("",TRUE,A413,"!",ADDRESS(18+(A414-1)*A410,6)))</f>
        <v>1</v>
      </c>
      <c r="I406" s="20" t="str">
        <f ca="1">INDIRECT(_xlfn.TEXTJOIN("",TRUE,A413,"!",ADDRESS(18+(A414-1)*A410,13)))</f>
        <v>F</v>
      </c>
      <c r="J406" s="20">
        <f ca="1">INDIRECT(_xlfn.TEXTJOIN("",TRUE,A413,"!",ADDRESS(18+(A414-1)*A410,14)))</f>
        <v>0</v>
      </c>
    </row>
    <row r="407" spans="1:10" ht="28" customHeight="1" x14ac:dyDescent="0.2">
      <c r="A407" s="96" t="str">
        <f ca="1">INDIRECT(_xlfn.TEXTJOIN("",TRUE,A413,"!",ADDRESS(19+(A414-1)*A410,1)))</f>
        <v>CAP 009</v>
      </c>
      <c r="B407" s="97"/>
      <c r="C407" s="106" t="str">
        <f ca="1">INDIRECT(_xlfn.TEXTJOIN("",TRUE,A413,"!",ADDRESS(19+(A414-1)*A410,2)))</f>
        <v>Seminar</v>
      </c>
      <c r="D407" s="107"/>
      <c r="E407" s="107"/>
      <c r="F407" s="107"/>
      <c r="G407" s="108"/>
      <c r="H407" s="20">
        <f ca="1">INDIRECT(_xlfn.TEXTJOIN("",TRUE,A413,"!",ADDRESS(19+(A414-1)*A410,6)))</f>
        <v>2</v>
      </c>
      <c r="I407" s="20" t="str">
        <f ca="1">INDIRECT(_xlfn.TEXTJOIN("",TRUE,A413,"!",ADDRESS(19+(A414-1)*A410,13)))</f>
        <v>F</v>
      </c>
      <c r="J407" s="20">
        <f ca="1">INDIRECT(_xlfn.TEXTJOIN("",TRUE,A413,"!",ADDRESS(19+(A414-1)*A410,14)))</f>
        <v>0</v>
      </c>
    </row>
    <row r="408" spans="1:10" ht="28" customHeight="1" x14ac:dyDescent="0.2">
      <c r="A408" s="96" t="str">
        <f ca="1">INDIRECT(_xlfn.TEXTJOIN("",TRUE,A413,"!",ADDRESS(20+(A414-1)*A410,1)))</f>
        <v>CAP 010</v>
      </c>
      <c r="B408" s="97"/>
      <c r="C408" s="106" t="str">
        <f ca="1">INDIRECT(_xlfn.TEXTJOIN("",TRUE,A413,"!",ADDRESS(20+(A414-1)*A410,2)))</f>
        <v>Minor Project</v>
      </c>
      <c r="D408" s="107"/>
      <c r="E408" s="107"/>
      <c r="F408" s="107"/>
      <c r="G408" s="108"/>
      <c r="H408" s="20">
        <f ca="1">INDIRECT(_xlfn.TEXTJOIN("",TRUE,A413,"!",ADDRESS(20+(A414-1)*A410,6)))</f>
        <v>2</v>
      </c>
      <c r="I408" s="20" t="str">
        <f ca="1">INDIRECT(_xlfn.TEXTJOIN("",TRUE,A413,"!",ADDRESS(20+(A414-1)*A410,13)))</f>
        <v>F</v>
      </c>
      <c r="J408" s="20">
        <f ca="1">INDIRECT(_xlfn.TEXTJOIN("",TRUE,A413,"!",ADDRESS(20+(A414-1)*A410,14)))</f>
        <v>0</v>
      </c>
    </row>
    <row r="409" spans="1:10" ht="28" customHeight="1" x14ac:dyDescent="0.2">
      <c r="A409" s="118" t="s">
        <v>52</v>
      </c>
      <c r="B409" s="118"/>
      <c r="C409" s="118"/>
      <c r="D409" s="118"/>
      <c r="E409" s="118"/>
      <c r="F409" s="118"/>
      <c r="G409" s="118"/>
      <c r="H409" s="16">
        <f ca="1">SUM(H401:H408)</f>
        <v>16</v>
      </c>
      <c r="I409" s="16" t="s">
        <v>44</v>
      </c>
      <c r="J409" s="16" t="e">
        <f ca="1">SUMPRODUCT(J401:J408,H401:H408)</f>
        <v>#N/A</v>
      </c>
    </row>
    <row r="410" spans="1:10" ht="28" customHeight="1" x14ac:dyDescent="0.2">
      <c r="A410" s="22">
        <f>ROWS(A401:B408)+9</f>
        <v>17</v>
      </c>
      <c r="B410" s="17"/>
      <c r="C410" s="17"/>
      <c r="D410" s="17"/>
      <c r="E410" s="17"/>
      <c r="F410" s="17"/>
      <c r="G410" s="17"/>
      <c r="H410" s="17"/>
      <c r="I410" s="17"/>
      <c r="J410" s="17"/>
    </row>
    <row r="411" spans="1:10" ht="28" customHeight="1" x14ac:dyDescent="0.2">
      <c r="A411" s="120" t="s">
        <v>40</v>
      </c>
      <c r="B411" s="120"/>
      <c r="C411" s="21">
        <f ca="1">INDIRECT(_xlfn.TEXTJOIN("",TRUE,A413,"!",ADDRESS(5+A414*A410,12)))</f>
        <v>0</v>
      </c>
      <c r="D411" s="120" t="s">
        <v>38</v>
      </c>
      <c r="E411" s="120"/>
      <c r="F411" s="18" t="e">
        <f ca="1">INDIRECT(_xlfn.TEXTJOIN("",TRUE,A413,"!",ADDRESS(5+A414*A410,8)))</f>
        <v>#N/A</v>
      </c>
      <c r="G411" s="120" t="s">
        <v>39</v>
      </c>
      <c r="H411" s="120"/>
      <c r="I411" s="109" t="e">
        <f ca="1">INDIRECT(_xlfn.TEXTJOIN("",TRUE,A413,"!",ADDRESS(5+A414*A410,10)))</f>
        <v>#N/A</v>
      </c>
      <c r="J411" s="109"/>
    </row>
    <row r="412" spans="1:10" ht="28" customHeight="1" x14ac:dyDescent="0.2">
      <c r="A412" s="19" t="s">
        <v>36</v>
      </c>
      <c r="B412" s="95" t="e">
        <f ca="1">INDIRECT(_xlfn.TEXTJOIN("",TRUE,A413,"!",ADDRESS(5+A414*A410,2)))</f>
        <v>#N/A</v>
      </c>
      <c r="C412" s="95"/>
      <c r="D412" s="121" t="s">
        <v>37</v>
      </c>
      <c r="E412" s="121"/>
      <c r="F412" s="122" t="e">
        <f ca="1">INDIRECT(_xlfn.TEXTJOIN("",TRUE,A413,"!",ADDRESS(5+A414*A410,5)))</f>
        <v>#N/A</v>
      </c>
      <c r="G412" s="122"/>
      <c r="H412" s="122"/>
      <c r="I412" s="122"/>
      <c r="J412" s="122"/>
    </row>
    <row r="413" spans="1:10" ht="28" customHeight="1" x14ac:dyDescent="0.2">
      <c r="A413" s="22" t="str">
        <f>A396</f>
        <v>TC_III</v>
      </c>
    </row>
    <row r="414" spans="1:10" ht="28" customHeight="1" x14ac:dyDescent="0.2">
      <c r="A414" s="22">
        <f>A397+1</f>
        <v>24</v>
      </c>
    </row>
    <row r="415" spans="1:10" ht="28" customHeight="1" x14ac:dyDescent="0.2">
      <c r="A415" s="112" t="s">
        <v>24</v>
      </c>
      <c r="B415" s="112"/>
      <c r="C415" s="112" t="str">
        <f ca="1">INDIRECT(_xlfn.TEXTJOIN("",TRUE,A430,"!",ADDRESS(9+(A431-1)*A427,2)))</f>
        <v>SURAJ SINGH BISHT</v>
      </c>
      <c r="D415" s="112"/>
      <c r="E415" s="112"/>
      <c r="F415" s="112" t="s">
        <v>50</v>
      </c>
      <c r="G415" s="112"/>
      <c r="H415" s="112"/>
      <c r="I415" s="113">
        <f ca="1">INDIRECT(_xlfn.TEXTJOIN("",TRUE,A430,"!",ADDRESS(9+(A431-1)*A427,9)))</f>
        <v>240090600025</v>
      </c>
      <c r="J415" s="113"/>
    </row>
    <row r="416" spans="1:10" ht="28" customHeight="1" x14ac:dyDescent="0.2">
      <c r="A416" s="112" t="s">
        <v>25</v>
      </c>
      <c r="B416" s="112"/>
      <c r="C416" s="112" t="str">
        <f ca="1">INDIRECT(_xlfn.TEXTJOIN("",TRUE,A430,"!",ADDRESS(9+(A431-1)*A427,5)))</f>
        <v>KHUSHAL SINGH</v>
      </c>
      <c r="D416" s="112"/>
      <c r="E416" s="112"/>
      <c r="F416" s="114" t="s">
        <v>51</v>
      </c>
      <c r="G416" s="114"/>
      <c r="H416" s="114"/>
      <c r="I416" s="113" t="str">
        <f ca="1">INDIRECT(_xlfn.TEXTJOIN("",TRUE,A430,"!",ADDRESS(9+(A431-1)*A427,13)))</f>
        <v>UTU/2406100189</v>
      </c>
      <c r="J416" s="113"/>
    </row>
    <row r="417" spans="1:10" ht="28" customHeight="1" x14ac:dyDescent="0.2">
      <c r="A417" s="95" t="s">
        <v>28</v>
      </c>
      <c r="B417" s="95"/>
      <c r="C417" s="95" t="s">
        <v>29</v>
      </c>
      <c r="D417" s="95"/>
      <c r="E417" s="95"/>
      <c r="F417" s="95"/>
      <c r="G417" s="95"/>
      <c r="H417" s="15" t="s">
        <v>30</v>
      </c>
      <c r="I417" s="15" t="s">
        <v>9</v>
      </c>
      <c r="J417" s="15" t="s">
        <v>34</v>
      </c>
    </row>
    <row r="418" spans="1:10" ht="28" customHeight="1" x14ac:dyDescent="0.2">
      <c r="A418" s="96" t="str">
        <f ca="1">INDIRECT(_xlfn.TEXTJOIN("",TRUE,A430,"!",ADDRESS(13+(A431-1)*A427,1)))</f>
        <v>CAT  014</v>
      </c>
      <c r="B418" s="97"/>
      <c r="C418" s="106" t="str">
        <f ca="1">INDIRECT(_xlfn.TEXTJOIN("",TRUE,A430,"!",ADDRESS(13+(A431-1)*A427,2)))</f>
        <v>Graph Theory</v>
      </c>
      <c r="D418" s="107"/>
      <c r="E418" s="107"/>
      <c r="F418" s="107"/>
      <c r="G418" s="108"/>
      <c r="H418" s="20">
        <f ca="1">INDIRECT(_xlfn.TEXTJOIN("",TRUE,A430,"!",ADDRESS(13+(A431-1)*A427,6)))</f>
        <v>4</v>
      </c>
      <c r="I418" s="20" t="str">
        <f ca="1">INDIRECT(_xlfn.TEXTJOIN("",TRUE,A430,"!",ADDRESS(13+(A431-1)*A427,13)))</f>
        <v>F</v>
      </c>
      <c r="J418" s="20">
        <f ca="1">INDIRECT(_xlfn.TEXTJOIN("",TRUE,A430,"!",ADDRESS(13+(A431-1)*A427,14)))</f>
        <v>0</v>
      </c>
    </row>
    <row r="419" spans="1:10" ht="28" customHeight="1" x14ac:dyDescent="0.2">
      <c r="A419" s="96" t="str">
        <f ca="1">INDIRECT(_xlfn.TEXTJOIN("",TRUE,A430,"!",ADDRESS(14+(A431-1)*A427,1)))</f>
        <v>CAT 015</v>
      </c>
      <c r="B419" s="97"/>
      <c r="C419" s="106" t="str">
        <f ca="1">INDIRECT(_xlfn.TEXTJOIN("",TRUE,A430,"!",ADDRESS(14+(A431-1)*A427,2)))</f>
        <v>Software Engineering</v>
      </c>
      <c r="D419" s="107"/>
      <c r="E419" s="107"/>
      <c r="F419" s="107"/>
      <c r="G419" s="108"/>
      <c r="H419" s="20">
        <f ca="1">INDIRECT(_xlfn.TEXTJOIN("",TRUE,A430,"!",ADDRESS(14+(A431-1)*A427,6)))</f>
        <v>4</v>
      </c>
      <c r="I419" s="20" t="str">
        <f ca="1">INDIRECT(_xlfn.TEXTJOIN("",TRUE,A430,"!",ADDRESS(14+(A431-1)*A427,13)))</f>
        <v>F</v>
      </c>
      <c r="J419" s="20">
        <f ca="1">INDIRECT(_xlfn.TEXTJOIN("",TRUE,A430,"!",ADDRESS(14+(A431-1)*A427,14)))</f>
        <v>0</v>
      </c>
    </row>
    <row r="420" spans="1:10" ht="28" customHeight="1" x14ac:dyDescent="0.2">
      <c r="A420" s="96" t="str">
        <f ca="1">INDIRECT(_xlfn.TEXTJOIN("",TRUE,A430,"!",ADDRESS(15+(A431-1)*A427,1)))</f>
        <v>Enroll No.</v>
      </c>
      <c r="B420" s="97"/>
      <c r="C420" s="106">
        <f ca="1">INDIRECT(_xlfn.TEXTJOIN("",TRUE,A430,"!",ADDRESS(15+(A431-1)*A427,2)))</f>
        <v>0</v>
      </c>
      <c r="D420" s="107"/>
      <c r="E420" s="107"/>
      <c r="F420" s="107"/>
      <c r="G420" s="108"/>
      <c r="H420" s="20">
        <f ca="1">INDIRECT(_xlfn.TEXTJOIN("",TRUE,A430,"!",ADDRESS(15+(A431-1)*A427,6)))</f>
        <v>0</v>
      </c>
      <c r="I420" s="20" t="b">
        <f ca="1">INDIRECT(_xlfn.TEXTJOIN("",TRUE,A430,"!",ADDRESS(15+(A431-1)*A427,13)))</f>
        <v>0</v>
      </c>
      <c r="J420" s="20" t="e">
        <f ca="1">INDIRECT(_xlfn.TEXTJOIN("",TRUE,A430,"!",ADDRESS(15+(A431-1)*A427,14)))</f>
        <v>#N/A</v>
      </c>
    </row>
    <row r="421" spans="1:10" ht="28" customHeight="1" x14ac:dyDescent="0.2">
      <c r="A421" s="96" t="str">
        <f ca="1">INDIRECT(_xlfn.TEXTJOIN("",TRUE,A430,"!",ADDRESS(16+(A431-1)*A427,1)))</f>
        <v>Enroll No.</v>
      </c>
      <c r="B421" s="97"/>
      <c r="C421" s="106">
        <f ca="1">INDIRECT(_xlfn.TEXTJOIN("",TRUE,A430,"!",ADDRESS(16+(A431-1)*A427,2)))</f>
        <v>0</v>
      </c>
      <c r="D421" s="107"/>
      <c r="E421" s="107"/>
      <c r="F421" s="107"/>
      <c r="G421" s="108"/>
      <c r="H421" s="20">
        <f ca="1">INDIRECT(_xlfn.TEXTJOIN("",TRUE,A430,"!",ADDRESS(16+(A431-1)*A427,6)))</f>
        <v>0</v>
      </c>
      <c r="I421" s="20" t="b">
        <f ca="1">INDIRECT(_xlfn.TEXTJOIN("",TRUE,A430,"!",ADDRESS(16+(A431-1)*A427,13)))</f>
        <v>0</v>
      </c>
      <c r="J421" s="20" t="e">
        <f ca="1">INDIRECT(_xlfn.TEXTJOIN("",TRUE,A430,"!",ADDRESS(16+(A431-1)*A427,14)))</f>
        <v>#N/A</v>
      </c>
    </row>
    <row r="422" spans="1:10" ht="28" customHeight="1" x14ac:dyDescent="0.2">
      <c r="A422" s="96" t="str">
        <f ca="1">INDIRECT(_xlfn.TEXTJOIN("",TRUE,A430,"!",ADDRESS(17+(A431-1)*A427,1)))</f>
        <v>AHT 310</v>
      </c>
      <c r="B422" s="97"/>
      <c r="C422" s="106" t="str">
        <f ca="1">INDIRECT(_xlfn.TEXTJOIN("",TRUE,A430,"!",ADDRESS(17+(A431-1)*A427,2)))</f>
        <v>Universal Human Value</v>
      </c>
      <c r="D422" s="107"/>
      <c r="E422" s="107"/>
      <c r="F422" s="107"/>
      <c r="G422" s="108"/>
      <c r="H422" s="20">
        <f ca="1">INDIRECT(_xlfn.TEXTJOIN("",TRUE,A430,"!",ADDRESS(17+(A431-1)*A427,6)))</f>
        <v>3</v>
      </c>
      <c r="I422" s="20" t="str">
        <f ca="1">INDIRECT(_xlfn.TEXTJOIN("",TRUE,A430,"!",ADDRESS(17+(A431-1)*A427,13)))</f>
        <v>F</v>
      </c>
      <c r="J422" s="20">
        <f ca="1">INDIRECT(_xlfn.TEXTJOIN("",TRUE,A430,"!",ADDRESS(17+(A431-1)*A427,14)))</f>
        <v>0</v>
      </c>
    </row>
    <row r="423" spans="1:10" ht="28" customHeight="1" x14ac:dyDescent="0.2">
      <c r="A423" s="96" t="str">
        <f ca="1">INDIRECT(_xlfn.TEXTJOIN("",TRUE,A430,"!",ADDRESS(18+(A431-1)*A427,1)))</f>
        <v>CAP 008</v>
      </c>
      <c r="B423" s="97"/>
      <c r="C423" s="106" t="str">
        <f ca="1">INDIRECT(_xlfn.TEXTJOIN("",TRUE,A430,"!",ADDRESS(18+(A431-1)*A427,2)))</f>
        <v>Software Engineering Lab</v>
      </c>
      <c r="D423" s="107"/>
      <c r="E423" s="107"/>
      <c r="F423" s="107"/>
      <c r="G423" s="108"/>
      <c r="H423" s="20">
        <f ca="1">INDIRECT(_xlfn.TEXTJOIN("",TRUE,A430,"!",ADDRESS(18+(A431-1)*A427,6)))</f>
        <v>1</v>
      </c>
      <c r="I423" s="20" t="str">
        <f ca="1">INDIRECT(_xlfn.TEXTJOIN("",TRUE,A430,"!",ADDRESS(18+(A431-1)*A427,13)))</f>
        <v>F</v>
      </c>
      <c r="J423" s="20">
        <f ca="1">INDIRECT(_xlfn.TEXTJOIN("",TRUE,A430,"!",ADDRESS(18+(A431-1)*A427,14)))</f>
        <v>0</v>
      </c>
    </row>
    <row r="424" spans="1:10" ht="28" customHeight="1" x14ac:dyDescent="0.2">
      <c r="A424" s="96" t="str">
        <f ca="1">INDIRECT(_xlfn.TEXTJOIN("",TRUE,A430,"!",ADDRESS(19+(A431-1)*A427,1)))</f>
        <v>CAP 009</v>
      </c>
      <c r="B424" s="97"/>
      <c r="C424" s="106" t="str">
        <f ca="1">INDIRECT(_xlfn.TEXTJOIN("",TRUE,A430,"!",ADDRESS(19+(A431-1)*A427,2)))</f>
        <v>Seminar</v>
      </c>
      <c r="D424" s="107"/>
      <c r="E424" s="107"/>
      <c r="F424" s="107"/>
      <c r="G424" s="108"/>
      <c r="H424" s="20">
        <f ca="1">INDIRECT(_xlfn.TEXTJOIN("",TRUE,A430,"!",ADDRESS(19+(A431-1)*A427,6)))</f>
        <v>2</v>
      </c>
      <c r="I424" s="20" t="str">
        <f ca="1">INDIRECT(_xlfn.TEXTJOIN("",TRUE,A430,"!",ADDRESS(19+(A431-1)*A427,13)))</f>
        <v>F</v>
      </c>
      <c r="J424" s="20">
        <f ca="1">INDIRECT(_xlfn.TEXTJOIN("",TRUE,A430,"!",ADDRESS(19+(A431-1)*A427,14)))</f>
        <v>0</v>
      </c>
    </row>
    <row r="425" spans="1:10" ht="28" customHeight="1" x14ac:dyDescent="0.2">
      <c r="A425" s="96" t="str">
        <f ca="1">INDIRECT(_xlfn.TEXTJOIN("",TRUE,A430,"!",ADDRESS(20+(A431-1)*A427,1)))</f>
        <v>CAP 010</v>
      </c>
      <c r="B425" s="97"/>
      <c r="C425" s="106" t="str">
        <f ca="1">INDIRECT(_xlfn.TEXTJOIN("",TRUE,A430,"!",ADDRESS(20+(A431-1)*A427,2)))</f>
        <v>Minor Project</v>
      </c>
      <c r="D425" s="107"/>
      <c r="E425" s="107"/>
      <c r="F425" s="107"/>
      <c r="G425" s="108"/>
      <c r="H425" s="20">
        <f ca="1">INDIRECT(_xlfn.TEXTJOIN("",TRUE,A430,"!",ADDRESS(20+(A431-1)*A427,6)))</f>
        <v>2</v>
      </c>
      <c r="I425" s="20" t="str">
        <f ca="1">INDIRECT(_xlfn.TEXTJOIN("",TRUE,A430,"!",ADDRESS(20+(A431-1)*A427,13)))</f>
        <v>F</v>
      </c>
      <c r="J425" s="20">
        <f ca="1">INDIRECT(_xlfn.TEXTJOIN("",TRUE,A430,"!",ADDRESS(20+(A431-1)*A427,14)))</f>
        <v>0</v>
      </c>
    </row>
    <row r="426" spans="1:10" ht="28" customHeight="1" x14ac:dyDescent="0.2">
      <c r="A426" s="118" t="s">
        <v>52</v>
      </c>
      <c r="B426" s="118"/>
      <c r="C426" s="118"/>
      <c r="D426" s="118"/>
      <c r="E426" s="118"/>
      <c r="F426" s="118"/>
      <c r="G426" s="118"/>
      <c r="H426" s="16">
        <f ca="1">SUM(H418:H425)</f>
        <v>16</v>
      </c>
      <c r="I426" s="16" t="s">
        <v>44</v>
      </c>
      <c r="J426" s="16" t="e">
        <f ca="1">SUMPRODUCT(J418:J425,H418:H425)</f>
        <v>#N/A</v>
      </c>
    </row>
    <row r="427" spans="1:10" ht="28" customHeight="1" x14ac:dyDescent="0.2">
      <c r="A427" s="22">
        <f>ROWS(A418:B425)+9</f>
        <v>17</v>
      </c>
      <c r="B427" s="17"/>
      <c r="C427" s="17"/>
      <c r="D427" s="17"/>
      <c r="E427" s="17"/>
      <c r="F427" s="17"/>
      <c r="G427" s="17"/>
      <c r="H427" s="17"/>
      <c r="I427" s="17"/>
      <c r="J427" s="17"/>
    </row>
    <row r="428" spans="1:10" ht="28" customHeight="1" x14ac:dyDescent="0.2">
      <c r="A428" s="120" t="s">
        <v>40</v>
      </c>
      <c r="B428" s="120"/>
      <c r="C428" s="21">
        <f ca="1">INDIRECT(_xlfn.TEXTJOIN("",TRUE,A430,"!",ADDRESS(5+A431*A427,12)))</f>
        <v>0</v>
      </c>
      <c r="D428" s="120" t="s">
        <v>38</v>
      </c>
      <c r="E428" s="120"/>
      <c r="F428" s="18" t="e">
        <f ca="1">INDIRECT(_xlfn.TEXTJOIN("",TRUE,A430,"!",ADDRESS(5+A431*A427,8)))</f>
        <v>#N/A</v>
      </c>
      <c r="G428" s="120" t="s">
        <v>39</v>
      </c>
      <c r="H428" s="120"/>
      <c r="I428" s="109" t="e">
        <f ca="1">INDIRECT(_xlfn.TEXTJOIN("",TRUE,A430,"!",ADDRESS(5+A431*A427,10)))</f>
        <v>#N/A</v>
      </c>
      <c r="J428" s="109"/>
    </row>
    <row r="429" spans="1:10" ht="28" customHeight="1" x14ac:dyDescent="0.2">
      <c r="A429" s="19" t="s">
        <v>36</v>
      </c>
      <c r="B429" s="95" t="e">
        <f ca="1">INDIRECT(_xlfn.TEXTJOIN("",TRUE,A430,"!",ADDRESS(5+A431*A427,2)))</f>
        <v>#N/A</v>
      </c>
      <c r="C429" s="95"/>
      <c r="D429" s="121" t="s">
        <v>37</v>
      </c>
      <c r="E429" s="121"/>
      <c r="F429" s="122" t="e">
        <f ca="1">INDIRECT(_xlfn.TEXTJOIN("",TRUE,A430,"!",ADDRESS(5+A431*A427,5)))</f>
        <v>#N/A</v>
      </c>
      <c r="G429" s="122"/>
      <c r="H429" s="122"/>
      <c r="I429" s="122"/>
      <c r="J429" s="122"/>
    </row>
    <row r="430" spans="1:10" ht="28" customHeight="1" x14ac:dyDescent="0.2">
      <c r="A430" s="22" t="str">
        <f>A413</f>
        <v>TC_III</v>
      </c>
    </row>
    <row r="431" spans="1:10" ht="28" customHeight="1" x14ac:dyDescent="0.2">
      <c r="A431" s="22">
        <f>A414+1</f>
        <v>25</v>
      </c>
    </row>
    <row r="432" spans="1:10" ht="28" customHeight="1" x14ac:dyDescent="0.2">
      <c r="A432" s="112" t="s">
        <v>24</v>
      </c>
      <c r="B432" s="112"/>
      <c r="C432" s="112" t="str">
        <f ca="1">INDIRECT(_xlfn.TEXTJOIN("",TRUE,A447,"!",ADDRESS(9+(A448-1)*A444,2)))</f>
        <v/>
      </c>
      <c r="D432" s="112"/>
      <c r="E432" s="112"/>
      <c r="F432" s="112" t="s">
        <v>50</v>
      </c>
      <c r="G432" s="112"/>
      <c r="H432" s="112"/>
      <c r="I432" s="113" t="str">
        <f ca="1">INDIRECT(_xlfn.TEXTJOIN("",TRUE,A447,"!",ADDRESS(9+(A448-1)*A444,9)))</f>
        <v/>
      </c>
      <c r="J432" s="113"/>
    </row>
    <row r="433" spans="1:10" ht="28" customHeight="1" x14ac:dyDescent="0.2">
      <c r="A433" s="112" t="s">
        <v>25</v>
      </c>
      <c r="B433" s="112"/>
      <c r="C433" s="112" t="str">
        <f ca="1">INDIRECT(_xlfn.TEXTJOIN("",TRUE,A447,"!",ADDRESS(9+(A448-1)*A444,5)))</f>
        <v/>
      </c>
      <c r="D433" s="112"/>
      <c r="E433" s="112"/>
      <c r="F433" s="114" t="s">
        <v>51</v>
      </c>
      <c r="G433" s="114"/>
      <c r="H433" s="114"/>
      <c r="I433" s="113" t="str">
        <f ca="1">INDIRECT(_xlfn.TEXTJOIN("",TRUE,A447,"!",ADDRESS(9+(A448-1)*A444,13)))</f>
        <v/>
      </c>
      <c r="J433" s="113"/>
    </row>
    <row r="434" spans="1:10" ht="28" customHeight="1" x14ac:dyDescent="0.2">
      <c r="A434" s="95" t="s">
        <v>28</v>
      </c>
      <c r="B434" s="95"/>
      <c r="C434" s="95" t="s">
        <v>29</v>
      </c>
      <c r="D434" s="95"/>
      <c r="E434" s="95"/>
      <c r="F434" s="95"/>
      <c r="G434" s="95"/>
      <c r="H434" s="15" t="s">
        <v>30</v>
      </c>
      <c r="I434" s="15" t="s">
        <v>9</v>
      </c>
      <c r="J434" s="15" t="s">
        <v>34</v>
      </c>
    </row>
    <row r="435" spans="1:10" ht="28" customHeight="1" x14ac:dyDescent="0.2">
      <c r="A435" s="96" t="str">
        <f ca="1">INDIRECT(_xlfn.TEXTJOIN("",TRUE,A447,"!",ADDRESS(13+(A448-1)*A444,1)))</f>
        <v/>
      </c>
      <c r="B435" s="97"/>
      <c r="C435" s="106" t="str">
        <f ca="1">INDIRECT(_xlfn.TEXTJOIN("",TRUE,A447,"!",ADDRESS(13+(A448-1)*A444,2)))</f>
        <v/>
      </c>
      <c r="D435" s="107"/>
      <c r="E435" s="107"/>
      <c r="F435" s="107"/>
      <c r="G435" s="108"/>
      <c r="H435" s="20" t="str">
        <f ca="1">INDIRECT(_xlfn.TEXTJOIN("",TRUE,A447,"!",ADDRESS(13+(A448-1)*A444,6)))</f>
        <v/>
      </c>
      <c r="I435" s="20" t="str">
        <f ca="1">INDIRECT(_xlfn.TEXTJOIN("",TRUE,A447,"!",ADDRESS(13+(A448-1)*A444,13)))</f>
        <v/>
      </c>
      <c r="J435" s="20" t="str">
        <f ca="1">INDIRECT(_xlfn.TEXTJOIN("",TRUE,A447,"!",ADDRESS(13+(A448-1)*A444,14)))</f>
        <v/>
      </c>
    </row>
    <row r="436" spans="1:10" ht="28" customHeight="1" x14ac:dyDescent="0.2">
      <c r="A436" s="96" t="str">
        <f ca="1">INDIRECT(_xlfn.TEXTJOIN("",TRUE,A447,"!",ADDRESS(14+(A448-1)*A444,1)))</f>
        <v/>
      </c>
      <c r="B436" s="97"/>
      <c r="C436" s="106" t="str">
        <f ca="1">INDIRECT(_xlfn.TEXTJOIN("",TRUE,A447,"!",ADDRESS(14+(A448-1)*A444,2)))</f>
        <v/>
      </c>
      <c r="D436" s="107"/>
      <c r="E436" s="107"/>
      <c r="F436" s="107"/>
      <c r="G436" s="108"/>
      <c r="H436" s="20" t="str">
        <f ca="1">INDIRECT(_xlfn.TEXTJOIN("",TRUE,A447,"!",ADDRESS(14+(A448-1)*A444,6)))</f>
        <v/>
      </c>
      <c r="I436" s="20" t="str">
        <f ca="1">INDIRECT(_xlfn.TEXTJOIN("",TRUE,A447,"!",ADDRESS(14+(A448-1)*A444,13)))</f>
        <v/>
      </c>
      <c r="J436" s="20" t="str">
        <f ca="1">INDIRECT(_xlfn.TEXTJOIN("",TRUE,A447,"!",ADDRESS(14+(A448-1)*A444,14)))</f>
        <v/>
      </c>
    </row>
    <row r="437" spans="1:10" ht="28" customHeight="1" x14ac:dyDescent="0.2">
      <c r="A437" s="96" t="str">
        <f ca="1">INDIRECT(_xlfn.TEXTJOIN("",TRUE,A447,"!",ADDRESS(15+(A448-1)*A444,1)))</f>
        <v/>
      </c>
      <c r="B437" s="97"/>
      <c r="C437" s="106" t="str">
        <f ca="1">INDIRECT(_xlfn.TEXTJOIN("",TRUE,A447,"!",ADDRESS(15+(A448-1)*A444,2)))</f>
        <v/>
      </c>
      <c r="D437" s="107"/>
      <c r="E437" s="107"/>
      <c r="F437" s="107"/>
      <c r="G437" s="108"/>
      <c r="H437" s="20" t="str">
        <f ca="1">INDIRECT(_xlfn.TEXTJOIN("",TRUE,A447,"!",ADDRESS(15+(A448-1)*A444,6)))</f>
        <v/>
      </c>
      <c r="I437" s="20" t="str">
        <f ca="1">INDIRECT(_xlfn.TEXTJOIN("",TRUE,A447,"!",ADDRESS(15+(A448-1)*A444,13)))</f>
        <v/>
      </c>
      <c r="J437" s="20" t="str">
        <f ca="1">INDIRECT(_xlfn.TEXTJOIN("",TRUE,A447,"!",ADDRESS(15+(A448-1)*A444,14)))</f>
        <v/>
      </c>
    </row>
    <row r="438" spans="1:10" ht="28" customHeight="1" x14ac:dyDescent="0.2">
      <c r="A438" s="96" t="str">
        <f ca="1">INDIRECT(_xlfn.TEXTJOIN("",TRUE,A447,"!",ADDRESS(16+(A448-1)*A444,1)))</f>
        <v/>
      </c>
      <c r="B438" s="97"/>
      <c r="C438" s="106" t="str">
        <f ca="1">INDIRECT(_xlfn.TEXTJOIN("",TRUE,A447,"!",ADDRESS(16+(A448-1)*A444,2)))</f>
        <v/>
      </c>
      <c r="D438" s="107"/>
      <c r="E438" s="107"/>
      <c r="F438" s="107"/>
      <c r="G438" s="108"/>
      <c r="H438" s="20" t="str">
        <f ca="1">INDIRECT(_xlfn.TEXTJOIN("",TRUE,A447,"!",ADDRESS(16+(A448-1)*A444,6)))</f>
        <v/>
      </c>
      <c r="I438" s="20" t="str">
        <f ca="1">INDIRECT(_xlfn.TEXTJOIN("",TRUE,A447,"!",ADDRESS(16+(A448-1)*A444,13)))</f>
        <v/>
      </c>
      <c r="J438" s="20" t="str">
        <f ca="1">INDIRECT(_xlfn.TEXTJOIN("",TRUE,A447,"!",ADDRESS(16+(A448-1)*A444,14)))</f>
        <v/>
      </c>
    </row>
    <row r="439" spans="1:10" ht="28" customHeight="1" x14ac:dyDescent="0.2">
      <c r="A439" s="96" t="str">
        <f ca="1">INDIRECT(_xlfn.TEXTJOIN("",TRUE,A447,"!",ADDRESS(17+(A448-1)*A444,1)))</f>
        <v/>
      </c>
      <c r="B439" s="97"/>
      <c r="C439" s="106" t="str">
        <f ca="1">INDIRECT(_xlfn.TEXTJOIN("",TRUE,A447,"!",ADDRESS(17+(A448-1)*A444,2)))</f>
        <v/>
      </c>
      <c r="D439" s="107"/>
      <c r="E439" s="107"/>
      <c r="F439" s="107"/>
      <c r="G439" s="108"/>
      <c r="H439" s="20" t="str">
        <f ca="1">INDIRECT(_xlfn.TEXTJOIN("",TRUE,A447,"!",ADDRESS(17+(A448-1)*A444,6)))</f>
        <v/>
      </c>
      <c r="I439" s="20" t="str">
        <f ca="1">INDIRECT(_xlfn.TEXTJOIN("",TRUE,A447,"!",ADDRESS(17+(A448-1)*A444,13)))</f>
        <v/>
      </c>
      <c r="J439" s="20" t="str">
        <f ca="1">INDIRECT(_xlfn.TEXTJOIN("",TRUE,A447,"!",ADDRESS(17+(A448-1)*A444,14)))</f>
        <v/>
      </c>
    </row>
    <row r="440" spans="1:10" ht="28" customHeight="1" x14ac:dyDescent="0.2">
      <c r="A440" s="96" t="str">
        <f ca="1">INDIRECT(_xlfn.TEXTJOIN("",TRUE,A447,"!",ADDRESS(18+(A448-1)*A444,1)))</f>
        <v/>
      </c>
      <c r="B440" s="97"/>
      <c r="C440" s="106" t="str">
        <f ca="1">INDIRECT(_xlfn.TEXTJOIN("",TRUE,A447,"!",ADDRESS(18+(A448-1)*A444,2)))</f>
        <v/>
      </c>
      <c r="D440" s="107"/>
      <c r="E440" s="107"/>
      <c r="F440" s="107"/>
      <c r="G440" s="108"/>
      <c r="H440" s="20" t="str">
        <f ca="1">INDIRECT(_xlfn.TEXTJOIN("",TRUE,A447,"!",ADDRESS(18+(A448-1)*A444,6)))</f>
        <v/>
      </c>
      <c r="I440" s="20" t="str">
        <f ca="1">INDIRECT(_xlfn.TEXTJOIN("",TRUE,A447,"!",ADDRESS(18+(A448-1)*A444,13)))</f>
        <v/>
      </c>
      <c r="J440" s="20" t="str">
        <f ca="1">INDIRECT(_xlfn.TEXTJOIN("",TRUE,A447,"!",ADDRESS(18+(A448-1)*A444,14)))</f>
        <v/>
      </c>
    </row>
    <row r="441" spans="1:10" ht="28" customHeight="1" x14ac:dyDescent="0.2">
      <c r="A441" s="96" t="str">
        <f ca="1">INDIRECT(_xlfn.TEXTJOIN("",TRUE,A447,"!",ADDRESS(19+(A448-1)*A444,1)))</f>
        <v/>
      </c>
      <c r="B441" s="97"/>
      <c r="C441" s="106" t="str">
        <f ca="1">INDIRECT(_xlfn.TEXTJOIN("",TRUE,A447,"!",ADDRESS(19+(A448-1)*A444,2)))</f>
        <v/>
      </c>
      <c r="D441" s="107"/>
      <c r="E441" s="107"/>
      <c r="F441" s="107"/>
      <c r="G441" s="108"/>
      <c r="H441" s="20" t="str">
        <f ca="1">INDIRECT(_xlfn.TEXTJOIN("",TRUE,A447,"!",ADDRESS(19+(A448-1)*A444,6)))</f>
        <v/>
      </c>
      <c r="I441" s="20" t="str">
        <f ca="1">INDIRECT(_xlfn.TEXTJOIN("",TRUE,A447,"!",ADDRESS(19+(A448-1)*A444,13)))</f>
        <v/>
      </c>
      <c r="J441" s="20" t="str">
        <f ca="1">INDIRECT(_xlfn.TEXTJOIN("",TRUE,A447,"!",ADDRESS(19+(A448-1)*A444,14)))</f>
        <v/>
      </c>
    </row>
    <row r="442" spans="1:10" ht="28" customHeight="1" x14ac:dyDescent="0.2">
      <c r="A442" s="96" t="str">
        <f ca="1">INDIRECT(_xlfn.TEXTJOIN("",TRUE,A447,"!",ADDRESS(20+(A448-1)*A444,1)))</f>
        <v/>
      </c>
      <c r="B442" s="97"/>
      <c r="C442" s="106" t="str">
        <f ca="1">INDIRECT(_xlfn.TEXTJOIN("",TRUE,A447,"!",ADDRESS(20+(A448-1)*A444,2)))</f>
        <v/>
      </c>
      <c r="D442" s="107"/>
      <c r="E442" s="107"/>
      <c r="F442" s="107"/>
      <c r="G442" s="108"/>
      <c r="H442" s="20" t="str">
        <f ca="1">INDIRECT(_xlfn.TEXTJOIN("",TRUE,A447,"!",ADDRESS(20+(A448-1)*A444,6)))</f>
        <v/>
      </c>
      <c r="I442" s="20" t="str">
        <f ca="1">INDIRECT(_xlfn.TEXTJOIN("",TRUE,A447,"!",ADDRESS(20+(A448-1)*A444,13)))</f>
        <v/>
      </c>
      <c r="J442" s="20" t="str">
        <f ca="1">INDIRECT(_xlfn.TEXTJOIN("",TRUE,A447,"!",ADDRESS(20+(A448-1)*A444,14)))</f>
        <v/>
      </c>
    </row>
    <row r="443" spans="1:10" ht="28" customHeight="1" x14ac:dyDescent="0.2">
      <c r="A443" s="118" t="s">
        <v>52</v>
      </c>
      <c r="B443" s="118"/>
      <c r="C443" s="118"/>
      <c r="D443" s="118"/>
      <c r="E443" s="118"/>
      <c r="F443" s="118"/>
      <c r="G443" s="118"/>
      <c r="H443" s="16">
        <f ca="1">SUM(H435:H442)</f>
        <v>0</v>
      </c>
      <c r="I443" s="16" t="s">
        <v>44</v>
      </c>
      <c r="J443" s="16">
        <f ca="1">SUMPRODUCT(J435:J442,H435:H442)</f>
        <v>0</v>
      </c>
    </row>
    <row r="444" spans="1:10" ht="28" customHeight="1" x14ac:dyDescent="0.2">
      <c r="A444" s="22">
        <f>ROWS(A435:B442)+9</f>
        <v>17</v>
      </c>
      <c r="B444" s="17"/>
      <c r="C444" s="17"/>
      <c r="D444" s="17"/>
      <c r="E444" s="17"/>
      <c r="F444" s="17"/>
      <c r="G444" s="17"/>
      <c r="H444" s="17"/>
      <c r="I444" s="17"/>
      <c r="J444" s="17"/>
    </row>
    <row r="445" spans="1:10" ht="28" customHeight="1" x14ac:dyDescent="0.2">
      <c r="A445" s="120" t="s">
        <v>40</v>
      </c>
      <c r="B445" s="120"/>
      <c r="C445" s="21" t="str">
        <f ca="1">INDIRECT(_xlfn.TEXTJOIN("",TRUE,A447,"!",ADDRESS(5+A448*A444,12)))</f>
        <v/>
      </c>
      <c r="D445" s="120" t="s">
        <v>38</v>
      </c>
      <c r="E445" s="120"/>
      <c r="F445" s="18" t="str">
        <f ca="1">INDIRECT(_xlfn.TEXTJOIN("",TRUE,A447,"!",ADDRESS(5+A448*A444,8)))</f>
        <v/>
      </c>
      <c r="G445" s="120" t="s">
        <v>39</v>
      </c>
      <c r="H445" s="120"/>
      <c r="I445" s="109" t="str">
        <f ca="1">INDIRECT(_xlfn.TEXTJOIN("",TRUE,A447,"!",ADDRESS(5+A448*A444,10)))</f>
        <v/>
      </c>
      <c r="J445" s="109"/>
    </row>
    <row r="446" spans="1:10" ht="28" customHeight="1" x14ac:dyDescent="0.2">
      <c r="A446" s="19" t="s">
        <v>36</v>
      </c>
      <c r="B446" s="95" t="str">
        <f ca="1">INDIRECT(_xlfn.TEXTJOIN("",TRUE,A447,"!",ADDRESS(5+A448*A444,2)))</f>
        <v/>
      </c>
      <c r="C446" s="95"/>
      <c r="D446" s="121" t="s">
        <v>37</v>
      </c>
      <c r="E446" s="121"/>
      <c r="F446" s="122" t="str">
        <f ca="1">INDIRECT(_xlfn.TEXTJOIN("",TRUE,A447,"!",ADDRESS(5+A448*A444,5)))</f>
        <v/>
      </c>
      <c r="G446" s="122"/>
      <c r="H446" s="122"/>
      <c r="I446" s="122"/>
      <c r="J446" s="122"/>
    </row>
    <row r="447" spans="1:10" ht="28" customHeight="1" x14ac:dyDescent="0.2">
      <c r="A447" s="22" t="str">
        <f>A430</f>
        <v>TC_III</v>
      </c>
    </row>
    <row r="448" spans="1:10" ht="28" customHeight="1" x14ac:dyDescent="0.2">
      <c r="A448" s="22">
        <f>A431+1</f>
        <v>26</v>
      </c>
    </row>
    <row r="449" spans="1:10" ht="28" customHeight="1" x14ac:dyDescent="0.2">
      <c r="A449" s="112" t="s">
        <v>24</v>
      </c>
      <c r="B449" s="112"/>
      <c r="C449" s="112" t="str">
        <f ca="1">INDIRECT(_xlfn.TEXTJOIN("",TRUE,A464,"!",ADDRESS(9+(A465-1)*A461,2)))</f>
        <v/>
      </c>
      <c r="D449" s="112"/>
      <c r="E449" s="112"/>
      <c r="F449" s="112" t="s">
        <v>50</v>
      </c>
      <c r="G449" s="112"/>
      <c r="H449" s="112"/>
      <c r="I449" s="113" t="str">
        <f ca="1">INDIRECT(_xlfn.TEXTJOIN("",TRUE,A464,"!",ADDRESS(9+(A465-1)*A461,9)))</f>
        <v/>
      </c>
      <c r="J449" s="113"/>
    </row>
    <row r="450" spans="1:10" ht="28" customHeight="1" x14ac:dyDescent="0.2">
      <c r="A450" s="112" t="s">
        <v>25</v>
      </c>
      <c r="B450" s="112"/>
      <c r="C450" s="112" t="str">
        <f ca="1">INDIRECT(_xlfn.TEXTJOIN("",TRUE,A464,"!",ADDRESS(9+(A465-1)*A461,5)))</f>
        <v/>
      </c>
      <c r="D450" s="112"/>
      <c r="E450" s="112"/>
      <c r="F450" s="114" t="s">
        <v>51</v>
      </c>
      <c r="G450" s="114"/>
      <c r="H450" s="114"/>
      <c r="I450" s="113" t="str">
        <f ca="1">INDIRECT(_xlfn.TEXTJOIN("",TRUE,A464,"!",ADDRESS(9+(A465-1)*A461,13)))</f>
        <v/>
      </c>
      <c r="J450" s="113"/>
    </row>
    <row r="451" spans="1:10" ht="28" customHeight="1" x14ac:dyDescent="0.2">
      <c r="A451" s="95" t="s">
        <v>28</v>
      </c>
      <c r="B451" s="95"/>
      <c r="C451" s="95" t="s">
        <v>29</v>
      </c>
      <c r="D451" s="95"/>
      <c r="E451" s="95"/>
      <c r="F451" s="95"/>
      <c r="G451" s="95"/>
      <c r="H451" s="15" t="s">
        <v>30</v>
      </c>
      <c r="I451" s="15" t="s">
        <v>9</v>
      </c>
      <c r="J451" s="15" t="s">
        <v>34</v>
      </c>
    </row>
    <row r="452" spans="1:10" ht="28" customHeight="1" x14ac:dyDescent="0.2">
      <c r="A452" s="96" t="str">
        <f ca="1">INDIRECT(_xlfn.TEXTJOIN("",TRUE,A464,"!",ADDRESS(13+(A465-1)*A461,1)))</f>
        <v/>
      </c>
      <c r="B452" s="97"/>
      <c r="C452" s="106" t="str">
        <f ca="1">INDIRECT(_xlfn.TEXTJOIN("",TRUE,A464,"!",ADDRESS(13+(A465-1)*A461,2)))</f>
        <v/>
      </c>
      <c r="D452" s="107"/>
      <c r="E452" s="107"/>
      <c r="F452" s="107"/>
      <c r="G452" s="108"/>
      <c r="H452" s="20" t="str">
        <f ca="1">INDIRECT(_xlfn.TEXTJOIN("",TRUE,A464,"!",ADDRESS(13+(A465-1)*A461,6)))</f>
        <v/>
      </c>
      <c r="I452" s="20" t="str">
        <f ca="1">INDIRECT(_xlfn.TEXTJOIN("",TRUE,A464,"!",ADDRESS(13+(A465-1)*A461,13)))</f>
        <v/>
      </c>
      <c r="J452" s="20" t="str">
        <f ca="1">INDIRECT(_xlfn.TEXTJOIN("",TRUE,A464,"!",ADDRESS(13+(A465-1)*A461,14)))</f>
        <v/>
      </c>
    </row>
    <row r="453" spans="1:10" ht="28" customHeight="1" x14ac:dyDescent="0.2">
      <c r="A453" s="96" t="str">
        <f ca="1">INDIRECT(_xlfn.TEXTJOIN("",TRUE,A464,"!",ADDRESS(14+(A465-1)*A461,1)))</f>
        <v/>
      </c>
      <c r="B453" s="97"/>
      <c r="C453" s="106" t="str">
        <f ca="1">INDIRECT(_xlfn.TEXTJOIN("",TRUE,A464,"!",ADDRESS(14+(A465-1)*A461,2)))</f>
        <v/>
      </c>
      <c r="D453" s="107"/>
      <c r="E453" s="107"/>
      <c r="F453" s="107"/>
      <c r="G453" s="108"/>
      <c r="H453" s="20" t="str">
        <f ca="1">INDIRECT(_xlfn.TEXTJOIN("",TRUE,A464,"!",ADDRESS(14+(A465-1)*A461,6)))</f>
        <v/>
      </c>
      <c r="I453" s="20" t="str">
        <f ca="1">INDIRECT(_xlfn.TEXTJOIN("",TRUE,A464,"!",ADDRESS(14+(A465-1)*A461,13)))</f>
        <v/>
      </c>
      <c r="J453" s="20" t="str">
        <f ca="1">INDIRECT(_xlfn.TEXTJOIN("",TRUE,A464,"!",ADDRESS(14+(A465-1)*A461,14)))</f>
        <v/>
      </c>
    </row>
    <row r="454" spans="1:10" ht="28" customHeight="1" x14ac:dyDescent="0.2">
      <c r="A454" s="96" t="str">
        <f ca="1">INDIRECT(_xlfn.TEXTJOIN("",TRUE,A464,"!",ADDRESS(15+(A465-1)*A461,1)))</f>
        <v/>
      </c>
      <c r="B454" s="97"/>
      <c r="C454" s="106" t="str">
        <f ca="1">INDIRECT(_xlfn.TEXTJOIN("",TRUE,A464,"!",ADDRESS(15+(A465-1)*A461,2)))</f>
        <v/>
      </c>
      <c r="D454" s="107"/>
      <c r="E454" s="107"/>
      <c r="F454" s="107"/>
      <c r="G454" s="108"/>
      <c r="H454" s="20" t="str">
        <f ca="1">INDIRECT(_xlfn.TEXTJOIN("",TRUE,A464,"!",ADDRESS(15+(A465-1)*A461,6)))</f>
        <v/>
      </c>
      <c r="I454" s="20" t="str">
        <f ca="1">INDIRECT(_xlfn.TEXTJOIN("",TRUE,A464,"!",ADDRESS(15+(A465-1)*A461,13)))</f>
        <v/>
      </c>
      <c r="J454" s="20" t="str">
        <f ca="1">INDIRECT(_xlfn.TEXTJOIN("",TRUE,A464,"!",ADDRESS(15+(A465-1)*A461,14)))</f>
        <v/>
      </c>
    </row>
    <row r="455" spans="1:10" ht="28" customHeight="1" x14ac:dyDescent="0.2">
      <c r="A455" s="96" t="str">
        <f ca="1">INDIRECT(_xlfn.TEXTJOIN("",TRUE,A464,"!",ADDRESS(16+(A465-1)*A461,1)))</f>
        <v/>
      </c>
      <c r="B455" s="97"/>
      <c r="C455" s="106" t="str">
        <f ca="1">INDIRECT(_xlfn.TEXTJOIN("",TRUE,A464,"!",ADDRESS(16+(A465-1)*A461,2)))</f>
        <v/>
      </c>
      <c r="D455" s="107"/>
      <c r="E455" s="107"/>
      <c r="F455" s="107"/>
      <c r="G455" s="108"/>
      <c r="H455" s="20" t="str">
        <f ca="1">INDIRECT(_xlfn.TEXTJOIN("",TRUE,A464,"!",ADDRESS(16+(A465-1)*A461,6)))</f>
        <v/>
      </c>
      <c r="I455" s="20" t="str">
        <f ca="1">INDIRECT(_xlfn.TEXTJOIN("",TRUE,A464,"!",ADDRESS(16+(A465-1)*A461,13)))</f>
        <v/>
      </c>
      <c r="J455" s="20" t="str">
        <f ca="1">INDIRECT(_xlfn.TEXTJOIN("",TRUE,A464,"!",ADDRESS(16+(A465-1)*A461,14)))</f>
        <v/>
      </c>
    </row>
    <row r="456" spans="1:10" ht="28" customHeight="1" x14ac:dyDescent="0.2">
      <c r="A456" s="96" t="str">
        <f ca="1">INDIRECT(_xlfn.TEXTJOIN("",TRUE,A464,"!",ADDRESS(17+(A465-1)*A461,1)))</f>
        <v/>
      </c>
      <c r="B456" s="97"/>
      <c r="C456" s="106" t="str">
        <f ca="1">INDIRECT(_xlfn.TEXTJOIN("",TRUE,A464,"!",ADDRESS(17+(A465-1)*A461,2)))</f>
        <v/>
      </c>
      <c r="D456" s="107"/>
      <c r="E456" s="107"/>
      <c r="F456" s="107"/>
      <c r="G456" s="108"/>
      <c r="H456" s="20" t="str">
        <f ca="1">INDIRECT(_xlfn.TEXTJOIN("",TRUE,A464,"!",ADDRESS(17+(A465-1)*A461,6)))</f>
        <v/>
      </c>
      <c r="I456" s="20" t="str">
        <f ca="1">INDIRECT(_xlfn.TEXTJOIN("",TRUE,A464,"!",ADDRESS(17+(A465-1)*A461,13)))</f>
        <v/>
      </c>
      <c r="J456" s="20" t="str">
        <f ca="1">INDIRECT(_xlfn.TEXTJOIN("",TRUE,A464,"!",ADDRESS(17+(A465-1)*A461,14)))</f>
        <v/>
      </c>
    </row>
    <row r="457" spans="1:10" ht="28" customHeight="1" x14ac:dyDescent="0.2">
      <c r="A457" s="96" t="str">
        <f ca="1">INDIRECT(_xlfn.TEXTJOIN("",TRUE,A464,"!",ADDRESS(18+(A465-1)*A461,1)))</f>
        <v/>
      </c>
      <c r="B457" s="97"/>
      <c r="C457" s="106" t="str">
        <f ca="1">INDIRECT(_xlfn.TEXTJOIN("",TRUE,A464,"!",ADDRESS(18+(A465-1)*A461,2)))</f>
        <v/>
      </c>
      <c r="D457" s="107"/>
      <c r="E457" s="107"/>
      <c r="F457" s="107"/>
      <c r="G457" s="108"/>
      <c r="H457" s="20" t="str">
        <f ca="1">INDIRECT(_xlfn.TEXTJOIN("",TRUE,A464,"!",ADDRESS(18+(A465-1)*A461,6)))</f>
        <v/>
      </c>
      <c r="I457" s="20" t="str">
        <f ca="1">INDIRECT(_xlfn.TEXTJOIN("",TRUE,A464,"!",ADDRESS(18+(A465-1)*A461,13)))</f>
        <v/>
      </c>
      <c r="J457" s="20" t="str">
        <f ca="1">INDIRECT(_xlfn.TEXTJOIN("",TRUE,A464,"!",ADDRESS(18+(A465-1)*A461,14)))</f>
        <v/>
      </c>
    </row>
    <row r="458" spans="1:10" ht="28" customHeight="1" x14ac:dyDescent="0.2">
      <c r="A458" s="96" t="str">
        <f ca="1">INDIRECT(_xlfn.TEXTJOIN("",TRUE,A464,"!",ADDRESS(19+(A465-1)*A461,1)))</f>
        <v/>
      </c>
      <c r="B458" s="97"/>
      <c r="C458" s="106" t="str">
        <f ca="1">INDIRECT(_xlfn.TEXTJOIN("",TRUE,A464,"!",ADDRESS(19+(A465-1)*A461,2)))</f>
        <v/>
      </c>
      <c r="D458" s="107"/>
      <c r="E458" s="107"/>
      <c r="F458" s="107"/>
      <c r="G458" s="108"/>
      <c r="H458" s="20" t="str">
        <f ca="1">INDIRECT(_xlfn.TEXTJOIN("",TRUE,A464,"!",ADDRESS(19+(A465-1)*A461,6)))</f>
        <v/>
      </c>
      <c r="I458" s="20" t="str">
        <f ca="1">INDIRECT(_xlfn.TEXTJOIN("",TRUE,A464,"!",ADDRESS(19+(A465-1)*A461,13)))</f>
        <v/>
      </c>
      <c r="J458" s="20" t="str">
        <f ca="1">INDIRECT(_xlfn.TEXTJOIN("",TRUE,A464,"!",ADDRESS(19+(A465-1)*A461,14)))</f>
        <v/>
      </c>
    </row>
    <row r="459" spans="1:10" ht="28" customHeight="1" x14ac:dyDescent="0.2">
      <c r="A459" s="96" t="str">
        <f ca="1">INDIRECT(_xlfn.TEXTJOIN("",TRUE,A464,"!",ADDRESS(20+(A465-1)*A461,1)))</f>
        <v/>
      </c>
      <c r="B459" s="97"/>
      <c r="C459" s="106" t="str">
        <f ca="1">INDIRECT(_xlfn.TEXTJOIN("",TRUE,A464,"!",ADDRESS(20+(A465-1)*A461,2)))</f>
        <v/>
      </c>
      <c r="D459" s="107"/>
      <c r="E459" s="107"/>
      <c r="F459" s="107"/>
      <c r="G459" s="108"/>
      <c r="H459" s="20" t="str">
        <f ca="1">INDIRECT(_xlfn.TEXTJOIN("",TRUE,A464,"!",ADDRESS(20+(A465-1)*A461,6)))</f>
        <v/>
      </c>
      <c r="I459" s="20" t="str">
        <f ca="1">INDIRECT(_xlfn.TEXTJOIN("",TRUE,A464,"!",ADDRESS(20+(A465-1)*A461,13)))</f>
        <v/>
      </c>
      <c r="J459" s="20" t="str">
        <f ca="1">INDIRECT(_xlfn.TEXTJOIN("",TRUE,A464,"!",ADDRESS(20+(A465-1)*A461,14)))</f>
        <v/>
      </c>
    </row>
    <row r="460" spans="1:10" ht="28" customHeight="1" x14ac:dyDescent="0.2">
      <c r="A460" s="118" t="s">
        <v>52</v>
      </c>
      <c r="B460" s="118"/>
      <c r="C460" s="118"/>
      <c r="D460" s="118"/>
      <c r="E460" s="118"/>
      <c r="F460" s="118"/>
      <c r="G460" s="118"/>
      <c r="H460" s="16">
        <f ca="1">SUM(H452:H459)</f>
        <v>0</v>
      </c>
      <c r="I460" s="16" t="s">
        <v>44</v>
      </c>
      <c r="J460" s="16">
        <f ca="1">SUMPRODUCT(J452:J459,H452:H459)</f>
        <v>0</v>
      </c>
    </row>
    <row r="461" spans="1:10" ht="28" customHeight="1" x14ac:dyDescent="0.2">
      <c r="A461" s="22">
        <f>ROWS(A452:B459)+9</f>
        <v>17</v>
      </c>
      <c r="B461" s="17"/>
      <c r="C461" s="17"/>
      <c r="D461" s="17"/>
      <c r="E461" s="17"/>
      <c r="F461" s="17"/>
      <c r="G461" s="17"/>
      <c r="H461" s="17"/>
      <c r="I461" s="17"/>
      <c r="J461" s="17"/>
    </row>
    <row r="462" spans="1:10" ht="28" customHeight="1" x14ac:dyDescent="0.2">
      <c r="A462" s="120" t="s">
        <v>40</v>
      </c>
      <c r="B462" s="120"/>
      <c r="C462" s="21" t="str">
        <f ca="1">INDIRECT(_xlfn.TEXTJOIN("",TRUE,A464,"!",ADDRESS(5+A465*A461,12)))</f>
        <v/>
      </c>
      <c r="D462" s="120" t="s">
        <v>38</v>
      </c>
      <c r="E462" s="120"/>
      <c r="F462" s="18" t="str">
        <f ca="1">INDIRECT(_xlfn.TEXTJOIN("",TRUE,A464,"!",ADDRESS(5+A465*A461,8)))</f>
        <v/>
      </c>
      <c r="G462" s="120" t="s">
        <v>39</v>
      </c>
      <c r="H462" s="120"/>
      <c r="I462" s="109" t="str">
        <f ca="1">INDIRECT(_xlfn.TEXTJOIN("",TRUE,A464,"!",ADDRESS(5+A465*A461,10)))</f>
        <v/>
      </c>
      <c r="J462" s="109"/>
    </row>
    <row r="463" spans="1:10" ht="28" customHeight="1" x14ac:dyDescent="0.2">
      <c r="A463" s="19" t="s">
        <v>36</v>
      </c>
      <c r="B463" s="95" t="str">
        <f ca="1">INDIRECT(_xlfn.TEXTJOIN("",TRUE,A464,"!",ADDRESS(5+A465*A461,2)))</f>
        <v/>
      </c>
      <c r="C463" s="95"/>
      <c r="D463" s="121" t="s">
        <v>37</v>
      </c>
      <c r="E463" s="121"/>
      <c r="F463" s="122" t="str">
        <f ca="1">INDIRECT(_xlfn.TEXTJOIN("",TRUE,A464,"!",ADDRESS(5+A465*A461,5)))</f>
        <v/>
      </c>
      <c r="G463" s="122"/>
      <c r="H463" s="122"/>
      <c r="I463" s="122"/>
      <c r="J463" s="122"/>
    </row>
    <row r="464" spans="1:10" ht="28" customHeight="1" x14ac:dyDescent="0.2">
      <c r="A464" s="22" t="str">
        <f>A447</f>
        <v>TC_III</v>
      </c>
    </row>
    <row r="465" spans="1:10" ht="28" customHeight="1" x14ac:dyDescent="0.2">
      <c r="A465" s="22">
        <f>A448+1</f>
        <v>27</v>
      </c>
    </row>
    <row r="466" spans="1:10" ht="28" customHeight="1" x14ac:dyDescent="0.2">
      <c r="A466" s="112" t="s">
        <v>24</v>
      </c>
      <c r="B466" s="112"/>
      <c r="C466" s="112" t="str">
        <f ca="1">INDIRECT(_xlfn.TEXTJOIN("",TRUE,A481,"!",ADDRESS(9+(A482-1)*A478,2)))</f>
        <v/>
      </c>
      <c r="D466" s="112"/>
      <c r="E466" s="112"/>
      <c r="F466" s="112" t="s">
        <v>50</v>
      </c>
      <c r="G466" s="112"/>
      <c r="H466" s="112"/>
      <c r="I466" s="113" t="str">
        <f ca="1">INDIRECT(_xlfn.TEXTJOIN("",TRUE,A481,"!",ADDRESS(9+(A482-1)*A478,9)))</f>
        <v/>
      </c>
      <c r="J466" s="113"/>
    </row>
    <row r="467" spans="1:10" ht="28" customHeight="1" x14ac:dyDescent="0.2">
      <c r="A467" s="112" t="s">
        <v>25</v>
      </c>
      <c r="B467" s="112"/>
      <c r="C467" s="112" t="str">
        <f ca="1">INDIRECT(_xlfn.TEXTJOIN("",TRUE,A481,"!",ADDRESS(9+(A482-1)*A478,5)))</f>
        <v/>
      </c>
      <c r="D467" s="112"/>
      <c r="E467" s="112"/>
      <c r="F467" s="114" t="s">
        <v>51</v>
      </c>
      <c r="G467" s="114"/>
      <c r="H467" s="114"/>
      <c r="I467" s="113" t="str">
        <f ca="1">INDIRECT(_xlfn.TEXTJOIN("",TRUE,A481,"!",ADDRESS(9+(A482-1)*A478,13)))</f>
        <v/>
      </c>
      <c r="J467" s="113"/>
    </row>
    <row r="468" spans="1:10" ht="28" customHeight="1" x14ac:dyDescent="0.2">
      <c r="A468" s="95" t="s">
        <v>28</v>
      </c>
      <c r="B468" s="95"/>
      <c r="C468" s="95" t="s">
        <v>29</v>
      </c>
      <c r="D468" s="95"/>
      <c r="E468" s="95"/>
      <c r="F468" s="95"/>
      <c r="G468" s="95"/>
      <c r="H468" s="15" t="s">
        <v>30</v>
      </c>
      <c r="I468" s="15" t="s">
        <v>9</v>
      </c>
      <c r="J468" s="15" t="s">
        <v>34</v>
      </c>
    </row>
    <row r="469" spans="1:10" ht="28" customHeight="1" x14ac:dyDescent="0.2">
      <c r="A469" s="96" t="str">
        <f ca="1">INDIRECT(_xlfn.TEXTJOIN("",TRUE,A481,"!",ADDRESS(13+(A482-1)*A478,1)))</f>
        <v/>
      </c>
      <c r="B469" s="97"/>
      <c r="C469" s="106" t="str">
        <f ca="1">INDIRECT(_xlfn.TEXTJOIN("",TRUE,A481,"!",ADDRESS(13+(A482-1)*A478,2)))</f>
        <v/>
      </c>
      <c r="D469" s="107"/>
      <c r="E469" s="107"/>
      <c r="F469" s="107"/>
      <c r="G469" s="108"/>
      <c r="H469" s="20" t="str">
        <f ca="1">INDIRECT(_xlfn.TEXTJOIN("",TRUE,A481,"!",ADDRESS(13+(A482-1)*A478,6)))</f>
        <v/>
      </c>
      <c r="I469" s="20" t="str">
        <f ca="1">INDIRECT(_xlfn.TEXTJOIN("",TRUE,A481,"!",ADDRESS(13+(A482-1)*A478,13)))</f>
        <v/>
      </c>
      <c r="J469" s="20" t="str">
        <f ca="1">INDIRECT(_xlfn.TEXTJOIN("",TRUE,A481,"!",ADDRESS(13+(A482-1)*A478,14)))</f>
        <v/>
      </c>
    </row>
    <row r="470" spans="1:10" ht="28" customHeight="1" x14ac:dyDescent="0.2">
      <c r="A470" s="96" t="str">
        <f ca="1">INDIRECT(_xlfn.TEXTJOIN("",TRUE,A481,"!",ADDRESS(14+(A482-1)*A478,1)))</f>
        <v/>
      </c>
      <c r="B470" s="97"/>
      <c r="C470" s="106" t="str">
        <f ca="1">INDIRECT(_xlfn.TEXTJOIN("",TRUE,A481,"!",ADDRESS(14+(A482-1)*A478,2)))</f>
        <v/>
      </c>
      <c r="D470" s="107"/>
      <c r="E470" s="107"/>
      <c r="F470" s="107"/>
      <c r="G470" s="108"/>
      <c r="H470" s="20" t="str">
        <f ca="1">INDIRECT(_xlfn.TEXTJOIN("",TRUE,A481,"!",ADDRESS(14+(A482-1)*A478,6)))</f>
        <v/>
      </c>
      <c r="I470" s="20" t="str">
        <f ca="1">INDIRECT(_xlfn.TEXTJOIN("",TRUE,A481,"!",ADDRESS(14+(A482-1)*A478,13)))</f>
        <v/>
      </c>
      <c r="J470" s="20" t="str">
        <f ca="1">INDIRECT(_xlfn.TEXTJOIN("",TRUE,A481,"!",ADDRESS(14+(A482-1)*A478,14)))</f>
        <v/>
      </c>
    </row>
    <row r="471" spans="1:10" ht="28" customHeight="1" x14ac:dyDescent="0.2">
      <c r="A471" s="96" t="str">
        <f ca="1">INDIRECT(_xlfn.TEXTJOIN("",TRUE,A481,"!",ADDRESS(15+(A482-1)*A478,1)))</f>
        <v/>
      </c>
      <c r="B471" s="97"/>
      <c r="C471" s="106" t="str">
        <f ca="1">INDIRECT(_xlfn.TEXTJOIN("",TRUE,A481,"!",ADDRESS(15+(A482-1)*A478,2)))</f>
        <v/>
      </c>
      <c r="D471" s="107"/>
      <c r="E471" s="107"/>
      <c r="F471" s="107"/>
      <c r="G471" s="108"/>
      <c r="H471" s="20" t="str">
        <f ca="1">INDIRECT(_xlfn.TEXTJOIN("",TRUE,A481,"!",ADDRESS(15+(A482-1)*A478,6)))</f>
        <v/>
      </c>
      <c r="I471" s="20" t="str">
        <f ca="1">INDIRECT(_xlfn.TEXTJOIN("",TRUE,A481,"!",ADDRESS(15+(A482-1)*A478,13)))</f>
        <v/>
      </c>
      <c r="J471" s="20" t="str">
        <f ca="1">INDIRECT(_xlfn.TEXTJOIN("",TRUE,A481,"!",ADDRESS(15+(A482-1)*A478,14)))</f>
        <v/>
      </c>
    </row>
    <row r="472" spans="1:10" ht="28" customHeight="1" x14ac:dyDescent="0.2">
      <c r="A472" s="96" t="str">
        <f ca="1">INDIRECT(_xlfn.TEXTJOIN("",TRUE,A481,"!",ADDRESS(16+(A482-1)*A478,1)))</f>
        <v/>
      </c>
      <c r="B472" s="97"/>
      <c r="C472" s="106" t="str">
        <f ca="1">INDIRECT(_xlfn.TEXTJOIN("",TRUE,A481,"!",ADDRESS(16+(A482-1)*A478,2)))</f>
        <v/>
      </c>
      <c r="D472" s="107"/>
      <c r="E472" s="107"/>
      <c r="F472" s="107"/>
      <c r="G472" s="108"/>
      <c r="H472" s="20" t="str">
        <f ca="1">INDIRECT(_xlfn.TEXTJOIN("",TRUE,A481,"!",ADDRESS(16+(A482-1)*A478,6)))</f>
        <v/>
      </c>
      <c r="I472" s="20" t="str">
        <f ca="1">INDIRECT(_xlfn.TEXTJOIN("",TRUE,A481,"!",ADDRESS(16+(A482-1)*A478,13)))</f>
        <v/>
      </c>
      <c r="J472" s="20" t="str">
        <f ca="1">INDIRECT(_xlfn.TEXTJOIN("",TRUE,A481,"!",ADDRESS(16+(A482-1)*A478,14)))</f>
        <v/>
      </c>
    </row>
    <row r="473" spans="1:10" ht="28" customHeight="1" x14ac:dyDescent="0.2">
      <c r="A473" s="96" t="str">
        <f ca="1">INDIRECT(_xlfn.TEXTJOIN("",TRUE,A481,"!",ADDRESS(17+(A482-1)*A478,1)))</f>
        <v/>
      </c>
      <c r="B473" s="97"/>
      <c r="C473" s="106" t="str">
        <f ca="1">INDIRECT(_xlfn.TEXTJOIN("",TRUE,A481,"!",ADDRESS(17+(A482-1)*A478,2)))</f>
        <v/>
      </c>
      <c r="D473" s="107"/>
      <c r="E473" s="107"/>
      <c r="F473" s="107"/>
      <c r="G473" s="108"/>
      <c r="H473" s="20" t="str">
        <f ca="1">INDIRECT(_xlfn.TEXTJOIN("",TRUE,A481,"!",ADDRESS(17+(A482-1)*A478,6)))</f>
        <v/>
      </c>
      <c r="I473" s="20" t="str">
        <f ca="1">INDIRECT(_xlfn.TEXTJOIN("",TRUE,A481,"!",ADDRESS(17+(A482-1)*A478,13)))</f>
        <v/>
      </c>
      <c r="J473" s="20" t="str">
        <f ca="1">INDIRECT(_xlfn.TEXTJOIN("",TRUE,A481,"!",ADDRESS(17+(A482-1)*A478,14)))</f>
        <v/>
      </c>
    </row>
    <row r="474" spans="1:10" ht="28" customHeight="1" x14ac:dyDescent="0.2">
      <c r="A474" s="96" t="str">
        <f ca="1">INDIRECT(_xlfn.TEXTJOIN("",TRUE,A481,"!",ADDRESS(18+(A482-1)*A478,1)))</f>
        <v/>
      </c>
      <c r="B474" s="97"/>
      <c r="C474" s="106" t="str">
        <f ca="1">INDIRECT(_xlfn.TEXTJOIN("",TRUE,A481,"!",ADDRESS(18+(A482-1)*A478,2)))</f>
        <v/>
      </c>
      <c r="D474" s="107"/>
      <c r="E474" s="107"/>
      <c r="F474" s="107"/>
      <c r="G474" s="108"/>
      <c r="H474" s="20" t="str">
        <f ca="1">INDIRECT(_xlfn.TEXTJOIN("",TRUE,A481,"!",ADDRESS(18+(A482-1)*A478,6)))</f>
        <v/>
      </c>
      <c r="I474" s="20" t="str">
        <f ca="1">INDIRECT(_xlfn.TEXTJOIN("",TRUE,A481,"!",ADDRESS(18+(A482-1)*A478,13)))</f>
        <v/>
      </c>
      <c r="J474" s="20" t="str">
        <f ca="1">INDIRECT(_xlfn.TEXTJOIN("",TRUE,A481,"!",ADDRESS(18+(A482-1)*A478,14)))</f>
        <v/>
      </c>
    </row>
    <row r="475" spans="1:10" ht="28" customHeight="1" x14ac:dyDescent="0.2">
      <c r="A475" s="96" t="str">
        <f ca="1">INDIRECT(_xlfn.TEXTJOIN("",TRUE,A481,"!",ADDRESS(19+(A482-1)*A478,1)))</f>
        <v/>
      </c>
      <c r="B475" s="97"/>
      <c r="C475" s="106" t="str">
        <f ca="1">INDIRECT(_xlfn.TEXTJOIN("",TRUE,A481,"!",ADDRESS(19+(A482-1)*A478,2)))</f>
        <v/>
      </c>
      <c r="D475" s="107"/>
      <c r="E475" s="107"/>
      <c r="F475" s="107"/>
      <c r="G475" s="108"/>
      <c r="H475" s="20" t="str">
        <f ca="1">INDIRECT(_xlfn.TEXTJOIN("",TRUE,A481,"!",ADDRESS(19+(A482-1)*A478,6)))</f>
        <v/>
      </c>
      <c r="I475" s="20" t="str">
        <f ca="1">INDIRECT(_xlfn.TEXTJOIN("",TRUE,A481,"!",ADDRESS(19+(A482-1)*A478,13)))</f>
        <v/>
      </c>
      <c r="J475" s="20" t="str">
        <f ca="1">INDIRECT(_xlfn.TEXTJOIN("",TRUE,A481,"!",ADDRESS(19+(A482-1)*A478,14)))</f>
        <v/>
      </c>
    </row>
    <row r="476" spans="1:10" ht="28" customHeight="1" x14ac:dyDescent="0.2">
      <c r="A476" s="96" t="str">
        <f ca="1">INDIRECT(_xlfn.TEXTJOIN("",TRUE,A481,"!",ADDRESS(20+(A482-1)*A478,1)))</f>
        <v/>
      </c>
      <c r="B476" s="97"/>
      <c r="C476" s="106" t="str">
        <f ca="1">INDIRECT(_xlfn.TEXTJOIN("",TRUE,A481,"!",ADDRESS(20+(A482-1)*A478,2)))</f>
        <v/>
      </c>
      <c r="D476" s="107"/>
      <c r="E476" s="107"/>
      <c r="F476" s="107"/>
      <c r="G476" s="108"/>
      <c r="H476" s="20" t="str">
        <f ca="1">INDIRECT(_xlfn.TEXTJOIN("",TRUE,A481,"!",ADDRESS(20+(A482-1)*A478,6)))</f>
        <v/>
      </c>
      <c r="I476" s="20" t="str">
        <f ca="1">INDIRECT(_xlfn.TEXTJOIN("",TRUE,A481,"!",ADDRESS(20+(A482-1)*A478,13)))</f>
        <v/>
      </c>
      <c r="J476" s="20" t="str">
        <f ca="1">INDIRECT(_xlfn.TEXTJOIN("",TRUE,A481,"!",ADDRESS(20+(A482-1)*A478,14)))</f>
        <v/>
      </c>
    </row>
    <row r="477" spans="1:10" ht="28" customHeight="1" x14ac:dyDescent="0.2">
      <c r="A477" s="118" t="s">
        <v>52</v>
      </c>
      <c r="B477" s="118"/>
      <c r="C477" s="118"/>
      <c r="D477" s="118"/>
      <c r="E477" s="118"/>
      <c r="F477" s="118"/>
      <c r="G477" s="118"/>
      <c r="H477" s="16">
        <f ca="1">SUM(H469:H476)</f>
        <v>0</v>
      </c>
      <c r="I477" s="16" t="s">
        <v>44</v>
      </c>
      <c r="J477" s="16">
        <f ca="1">SUMPRODUCT(J469:J476,H469:H476)</f>
        <v>0</v>
      </c>
    </row>
    <row r="478" spans="1:10" ht="28" customHeight="1" x14ac:dyDescent="0.2">
      <c r="A478" s="22">
        <f>ROWS(A469:B476)+9</f>
        <v>17</v>
      </c>
      <c r="B478" s="17"/>
      <c r="C478" s="17"/>
      <c r="D478" s="17"/>
      <c r="E478" s="17"/>
      <c r="F478" s="17"/>
      <c r="G478" s="17"/>
      <c r="H478" s="17"/>
      <c r="I478" s="17"/>
      <c r="J478" s="17"/>
    </row>
    <row r="479" spans="1:10" ht="28" customHeight="1" x14ac:dyDescent="0.2">
      <c r="A479" s="120" t="s">
        <v>40</v>
      </c>
      <c r="B479" s="120"/>
      <c r="C479" s="21" t="str">
        <f ca="1">INDIRECT(_xlfn.TEXTJOIN("",TRUE,A481,"!",ADDRESS(5+A482*A478,12)))</f>
        <v/>
      </c>
      <c r="D479" s="120" t="s">
        <v>38</v>
      </c>
      <c r="E479" s="120"/>
      <c r="F479" s="18" t="str">
        <f ca="1">INDIRECT(_xlfn.TEXTJOIN("",TRUE,A481,"!",ADDRESS(5+A482*A478,8)))</f>
        <v/>
      </c>
      <c r="G479" s="120" t="s">
        <v>39</v>
      </c>
      <c r="H479" s="120"/>
      <c r="I479" s="109" t="str">
        <f ca="1">INDIRECT(_xlfn.TEXTJOIN("",TRUE,A481,"!",ADDRESS(5+A482*A478,10)))</f>
        <v/>
      </c>
      <c r="J479" s="109"/>
    </row>
    <row r="480" spans="1:10" ht="28" customHeight="1" x14ac:dyDescent="0.2">
      <c r="A480" s="19" t="s">
        <v>36</v>
      </c>
      <c r="B480" s="95" t="str">
        <f ca="1">INDIRECT(_xlfn.TEXTJOIN("",TRUE,A481,"!",ADDRESS(5+A482*A478,2)))</f>
        <v/>
      </c>
      <c r="C480" s="95"/>
      <c r="D480" s="121" t="s">
        <v>37</v>
      </c>
      <c r="E480" s="121"/>
      <c r="F480" s="122" t="str">
        <f ca="1">INDIRECT(_xlfn.TEXTJOIN("",TRUE,A481,"!",ADDRESS(5+A482*A478,5)))</f>
        <v/>
      </c>
      <c r="G480" s="122"/>
      <c r="H480" s="122"/>
      <c r="I480" s="122"/>
      <c r="J480" s="122"/>
    </row>
    <row r="481" spans="1:10" ht="28" customHeight="1" x14ac:dyDescent="0.2">
      <c r="A481" s="22" t="str">
        <f>A464</f>
        <v>TC_III</v>
      </c>
    </row>
    <row r="482" spans="1:10" ht="28" customHeight="1" x14ac:dyDescent="0.2">
      <c r="A482" s="22">
        <f>A465+1</f>
        <v>28</v>
      </c>
    </row>
    <row r="483" spans="1:10" ht="28" customHeight="1" x14ac:dyDescent="0.2">
      <c r="A483" s="112" t="s">
        <v>24</v>
      </c>
      <c r="B483" s="112"/>
      <c r="C483" s="112" t="str">
        <f ca="1">INDIRECT(_xlfn.TEXTJOIN("",TRUE,A498,"!",ADDRESS(9+(A499-1)*A495,2)))</f>
        <v/>
      </c>
      <c r="D483" s="112"/>
      <c r="E483" s="112"/>
      <c r="F483" s="112" t="s">
        <v>50</v>
      </c>
      <c r="G483" s="112"/>
      <c r="H483" s="112"/>
      <c r="I483" s="113" t="str">
        <f ca="1">INDIRECT(_xlfn.TEXTJOIN("",TRUE,A498,"!",ADDRESS(9+(A499-1)*A495,9)))</f>
        <v/>
      </c>
      <c r="J483" s="113"/>
    </row>
    <row r="484" spans="1:10" ht="28" customHeight="1" x14ac:dyDescent="0.2">
      <c r="A484" s="112" t="s">
        <v>25</v>
      </c>
      <c r="B484" s="112"/>
      <c r="C484" s="112" t="str">
        <f ca="1">INDIRECT(_xlfn.TEXTJOIN("",TRUE,A498,"!",ADDRESS(9+(A499-1)*A495,5)))</f>
        <v/>
      </c>
      <c r="D484" s="112"/>
      <c r="E484" s="112"/>
      <c r="F484" s="114" t="s">
        <v>51</v>
      </c>
      <c r="G484" s="114"/>
      <c r="H484" s="114"/>
      <c r="I484" s="113" t="str">
        <f ca="1">INDIRECT(_xlfn.TEXTJOIN("",TRUE,A498,"!",ADDRESS(9+(A499-1)*A495,13)))</f>
        <v/>
      </c>
      <c r="J484" s="113"/>
    </row>
    <row r="485" spans="1:10" ht="28" customHeight="1" x14ac:dyDescent="0.2">
      <c r="A485" s="95" t="s">
        <v>28</v>
      </c>
      <c r="B485" s="95"/>
      <c r="C485" s="95" t="s">
        <v>29</v>
      </c>
      <c r="D485" s="95"/>
      <c r="E485" s="95"/>
      <c r="F485" s="95"/>
      <c r="G485" s="95"/>
      <c r="H485" s="15" t="s">
        <v>30</v>
      </c>
      <c r="I485" s="15" t="s">
        <v>9</v>
      </c>
      <c r="J485" s="15" t="s">
        <v>34</v>
      </c>
    </row>
    <row r="486" spans="1:10" ht="28" customHeight="1" x14ac:dyDescent="0.2">
      <c r="A486" s="96" t="str">
        <f ca="1">INDIRECT(_xlfn.TEXTJOIN("",TRUE,A498,"!",ADDRESS(13+(A499-1)*A495,1)))</f>
        <v/>
      </c>
      <c r="B486" s="97"/>
      <c r="C486" s="106" t="str">
        <f ca="1">INDIRECT(_xlfn.TEXTJOIN("",TRUE,A498,"!",ADDRESS(13+(A499-1)*A495,2)))</f>
        <v/>
      </c>
      <c r="D486" s="107"/>
      <c r="E486" s="107"/>
      <c r="F486" s="107"/>
      <c r="G486" s="108"/>
      <c r="H486" s="20" t="str">
        <f ca="1">INDIRECT(_xlfn.TEXTJOIN("",TRUE,A498,"!",ADDRESS(13+(A499-1)*A495,6)))</f>
        <v/>
      </c>
      <c r="I486" s="20" t="str">
        <f ca="1">INDIRECT(_xlfn.TEXTJOIN("",TRUE,A498,"!",ADDRESS(13+(A499-1)*A495,13)))</f>
        <v/>
      </c>
      <c r="J486" s="20" t="str">
        <f ca="1">INDIRECT(_xlfn.TEXTJOIN("",TRUE,A498,"!",ADDRESS(13+(A499-1)*A495,14)))</f>
        <v/>
      </c>
    </row>
    <row r="487" spans="1:10" ht="28" customHeight="1" x14ac:dyDescent="0.2">
      <c r="A487" s="96" t="str">
        <f ca="1">INDIRECT(_xlfn.TEXTJOIN("",TRUE,A498,"!",ADDRESS(14+(A499-1)*A495,1)))</f>
        <v/>
      </c>
      <c r="B487" s="97"/>
      <c r="C487" s="106" t="str">
        <f ca="1">INDIRECT(_xlfn.TEXTJOIN("",TRUE,A498,"!",ADDRESS(14+(A499-1)*A495,2)))</f>
        <v/>
      </c>
      <c r="D487" s="107"/>
      <c r="E487" s="107"/>
      <c r="F487" s="107"/>
      <c r="G487" s="108"/>
      <c r="H487" s="20" t="str">
        <f ca="1">INDIRECT(_xlfn.TEXTJOIN("",TRUE,A498,"!",ADDRESS(14+(A499-1)*A495,6)))</f>
        <v/>
      </c>
      <c r="I487" s="20" t="str">
        <f ca="1">INDIRECT(_xlfn.TEXTJOIN("",TRUE,A498,"!",ADDRESS(14+(A499-1)*A495,13)))</f>
        <v/>
      </c>
      <c r="J487" s="20" t="str">
        <f ca="1">INDIRECT(_xlfn.TEXTJOIN("",TRUE,A498,"!",ADDRESS(14+(A499-1)*A495,14)))</f>
        <v/>
      </c>
    </row>
    <row r="488" spans="1:10" ht="28" customHeight="1" x14ac:dyDescent="0.2">
      <c r="A488" s="96" t="str">
        <f ca="1">INDIRECT(_xlfn.TEXTJOIN("",TRUE,A498,"!",ADDRESS(15+(A499-1)*A495,1)))</f>
        <v/>
      </c>
      <c r="B488" s="97"/>
      <c r="C488" s="106" t="str">
        <f ca="1">INDIRECT(_xlfn.TEXTJOIN("",TRUE,A498,"!",ADDRESS(15+(A499-1)*A495,2)))</f>
        <v/>
      </c>
      <c r="D488" s="107"/>
      <c r="E488" s="107"/>
      <c r="F488" s="107"/>
      <c r="G488" s="108"/>
      <c r="H488" s="20" t="str">
        <f ca="1">INDIRECT(_xlfn.TEXTJOIN("",TRUE,A498,"!",ADDRESS(15+(A499-1)*A495,6)))</f>
        <v/>
      </c>
      <c r="I488" s="20" t="str">
        <f ca="1">INDIRECT(_xlfn.TEXTJOIN("",TRUE,A498,"!",ADDRESS(15+(A499-1)*A495,13)))</f>
        <v/>
      </c>
      <c r="J488" s="20" t="str">
        <f ca="1">INDIRECT(_xlfn.TEXTJOIN("",TRUE,A498,"!",ADDRESS(15+(A499-1)*A495,14)))</f>
        <v/>
      </c>
    </row>
    <row r="489" spans="1:10" ht="28" customHeight="1" x14ac:dyDescent="0.2">
      <c r="A489" s="96" t="str">
        <f ca="1">INDIRECT(_xlfn.TEXTJOIN("",TRUE,A498,"!",ADDRESS(16+(A499-1)*A495,1)))</f>
        <v/>
      </c>
      <c r="B489" s="97"/>
      <c r="C489" s="106" t="str">
        <f ca="1">INDIRECT(_xlfn.TEXTJOIN("",TRUE,A498,"!",ADDRESS(16+(A499-1)*A495,2)))</f>
        <v/>
      </c>
      <c r="D489" s="107"/>
      <c r="E489" s="107"/>
      <c r="F489" s="107"/>
      <c r="G489" s="108"/>
      <c r="H489" s="20" t="str">
        <f ca="1">INDIRECT(_xlfn.TEXTJOIN("",TRUE,A498,"!",ADDRESS(16+(A499-1)*A495,6)))</f>
        <v/>
      </c>
      <c r="I489" s="20" t="str">
        <f ca="1">INDIRECT(_xlfn.TEXTJOIN("",TRUE,A498,"!",ADDRESS(16+(A499-1)*A495,13)))</f>
        <v/>
      </c>
      <c r="J489" s="20" t="str">
        <f ca="1">INDIRECT(_xlfn.TEXTJOIN("",TRUE,A498,"!",ADDRESS(16+(A499-1)*A495,14)))</f>
        <v/>
      </c>
    </row>
    <row r="490" spans="1:10" ht="28" customHeight="1" x14ac:dyDescent="0.2">
      <c r="A490" s="96" t="str">
        <f ca="1">INDIRECT(_xlfn.TEXTJOIN("",TRUE,A498,"!",ADDRESS(17+(A499-1)*A495,1)))</f>
        <v/>
      </c>
      <c r="B490" s="97"/>
      <c r="C490" s="106" t="str">
        <f ca="1">INDIRECT(_xlfn.TEXTJOIN("",TRUE,A498,"!",ADDRESS(17+(A499-1)*A495,2)))</f>
        <v/>
      </c>
      <c r="D490" s="107"/>
      <c r="E490" s="107"/>
      <c r="F490" s="107"/>
      <c r="G490" s="108"/>
      <c r="H490" s="20" t="str">
        <f ca="1">INDIRECT(_xlfn.TEXTJOIN("",TRUE,A498,"!",ADDRESS(17+(A499-1)*A495,6)))</f>
        <v/>
      </c>
      <c r="I490" s="20" t="str">
        <f ca="1">INDIRECT(_xlfn.TEXTJOIN("",TRUE,A498,"!",ADDRESS(17+(A499-1)*A495,13)))</f>
        <v/>
      </c>
      <c r="J490" s="20" t="str">
        <f ca="1">INDIRECT(_xlfn.TEXTJOIN("",TRUE,A498,"!",ADDRESS(17+(A499-1)*A495,14)))</f>
        <v/>
      </c>
    </row>
    <row r="491" spans="1:10" ht="28" customHeight="1" x14ac:dyDescent="0.2">
      <c r="A491" s="96" t="str">
        <f ca="1">INDIRECT(_xlfn.TEXTJOIN("",TRUE,A498,"!",ADDRESS(18+(A499-1)*A495,1)))</f>
        <v/>
      </c>
      <c r="B491" s="97"/>
      <c r="C491" s="106" t="str">
        <f ca="1">INDIRECT(_xlfn.TEXTJOIN("",TRUE,A498,"!",ADDRESS(18+(A499-1)*A495,2)))</f>
        <v/>
      </c>
      <c r="D491" s="107"/>
      <c r="E491" s="107"/>
      <c r="F491" s="107"/>
      <c r="G491" s="108"/>
      <c r="H491" s="20" t="str">
        <f ca="1">INDIRECT(_xlfn.TEXTJOIN("",TRUE,A498,"!",ADDRESS(18+(A499-1)*A495,6)))</f>
        <v/>
      </c>
      <c r="I491" s="20" t="str">
        <f ca="1">INDIRECT(_xlfn.TEXTJOIN("",TRUE,A498,"!",ADDRESS(18+(A499-1)*A495,13)))</f>
        <v/>
      </c>
      <c r="J491" s="20" t="str">
        <f ca="1">INDIRECT(_xlfn.TEXTJOIN("",TRUE,A498,"!",ADDRESS(18+(A499-1)*A495,14)))</f>
        <v/>
      </c>
    </row>
    <row r="492" spans="1:10" ht="28" customHeight="1" x14ac:dyDescent="0.2">
      <c r="A492" s="96" t="str">
        <f ca="1">INDIRECT(_xlfn.TEXTJOIN("",TRUE,A498,"!",ADDRESS(19+(A499-1)*A495,1)))</f>
        <v/>
      </c>
      <c r="B492" s="97"/>
      <c r="C492" s="106" t="str">
        <f ca="1">INDIRECT(_xlfn.TEXTJOIN("",TRUE,A498,"!",ADDRESS(19+(A499-1)*A495,2)))</f>
        <v/>
      </c>
      <c r="D492" s="107"/>
      <c r="E492" s="107"/>
      <c r="F492" s="107"/>
      <c r="G492" s="108"/>
      <c r="H492" s="20" t="str">
        <f ca="1">INDIRECT(_xlfn.TEXTJOIN("",TRUE,A498,"!",ADDRESS(19+(A499-1)*A495,6)))</f>
        <v/>
      </c>
      <c r="I492" s="20" t="str">
        <f ca="1">INDIRECT(_xlfn.TEXTJOIN("",TRUE,A498,"!",ADDRESS(19+(A499-1)*A495,13)))</f>
        <v/>
      </c>
      <c r="J492" s="20" t="str">
        <f ca="1">INDIRECT(_xlfn.TEXTJOIN("",TRUE,A498,"!",ADDRESS(19+(A499-1)*A495,14)))</f>
        <v/>
      </c>
    </row>
    <row r="493" spans="1:10" ht="28" customHeight="1" x14ac:dyDescent="0.2">
      <c r="A493" s="96" t="str">
        <f ca="1">INDIRECT(_xlfn.TEXTJOIN("",TRUE,A498,"!",ADDRESS(20+(A499-1)*A495,1)))</f>
        <v/>
      </c>
      <c r="B493" s="97"/>
      <c r="C493" s="106" t="str">
        <f ca="1">INDIRECT(_xlfn.TEXTJOIN("",TRUE,A498,"!",ADDRESS(20+(A499-1)*A495,2)))</f>
        <v/>
      </c>
      <c r="D493" s="107"/>
      <c r="E493" s="107"/>
      <c r="F493" s="107"/>
      <c r="G493" s="108"/>
      <c r="H493" s="20" t="str">
        <f ca="1">INDIRECT(_xlfn.TEXTJOIN("",TRUE,A498,"!",ADDRESS(20+(A499-1)*A495,6)))</f>
        <v/>
      </c>
      <c r="I493" s="20" t="str">
        <f ca="1">INDIRECT(_xlfn.TEXTJOIN("",TRUE,A498,"!",ADDRESS(20+(A499-1)*A495,13)))</f>
        <v/>
      </c>
      <c r="J493" s="20" t="str">
        <f ca="1">INDIRECT(_xlfn.TEXTJOIN("",TRUE,A498,"!",ADDRESS(20+(A499-1)*A495,14)))</f>
        <v/>
      </c>
    </row>
    <row r="494" spans="1:10" ht="28" customHeight="1" x14ac:dyDescent="0.2">
      <c r="A494" s="118" t="s">
        <v>52</v>
      </c>
      <c r="B494" s="118"/>
      <c r="C494" s="118"/>
      <c r="D494" s="118"/>
      <c r="E494" s="118"/>
      <c r="F494" s="118"/>
      <c r="G494" s="118"/>
      <c r="H494" s="16">
        <f ca="1">SUM(H486:H493)</f>
        <v>0</v>
      </c>
      <c r="I494" s="16" t="s">
        <v>44</v>
      </c>
      <c r="J494" s="16">
        <f ca="1">SUMPRODUCT(J486:J493,H486:H493)</f>
        <v>0</v>
      </c>
    </row>
    <row r="495" spans="1:10" ht="28" customHeight="1" x14ac:dyDescent="0.2">
      <c r="A495" s="22">
        <f>ROWS(A486:B493)+9</f>
        <v>17</v>
      </c>
      <c r="B495" s="17"/>
      <c r="C495" s="17"/>
      <c r="D495" s="17"/>
      <c r="E495" s="17"/>
      <c r="F495" s="17"/>
      <c r="G495" s="17"/>
      <c r="H495" s="17"/>
      <c r="I495" s="17"/>
      <c r="J495" s="17"/>
    </row>
    <row r="496" spans="1:10" ht="28" customHeight="1" x14ac:dyDescent="0.2">
      <c r="A496" s="120" t="s">
        <v>40</v>
      </c>
      <c r="B496" s="120"/>
      <c r="C496" s="21" t="str">
        <f ca="1">INDIRECT(_xlfn.TEXTJOIN("",TRUE,A498,"!",ADDRESS(5+A499*A495,12)))</f>
        <v/>
      </c>
      <c r="D496" s="120" t="s">
        <v>38</v>
      </c>
      <c r="E496" s="120"/>
      <c r="F496" s="18" t="str">
        <f ca="1">INDIRECT(_xlfn.TEXTJOIN("",TRUE,A498,"!",ADDRESS(5+A499*A495,8)))</f>
        <v/>
      </c>
      <c r="G496" s="120" t="s">
        <v>39</v>
      </c>
      <c r="H496" s="120"/>
      <c r="I496" s="109" t="str">
        <f ca="1">INDIRECT(_xlfn.TEXTJOIN("",TRUE,A498,"!",ADDRESS(5+A499*A495,10)))</f>
        <v/>
      </c>
      <c r="J496" s="109"/>
    </row>
    <row r="497" spans="1:10" ht="28" customHeight="1" x14ac:dyDescent="0.2">
      <c r="A497" s="19" t="s">
        <v>36</v>
      </c>
      <c r="B497" s="95" t="str">
        <f ca="1">INDIRECT(_xlfn.TEXTJOIN("",TRUE,A498,"!",ADDRESS(5+A499*A495,2)))</f>
        <v/>
      </c>
      <c r="C497" s="95"/>
      <c r="D497" s="121" t="s">
        <v>37</v>
      </c>
      <c r="E497" s="121"/>
      <c r="F497" s="122" t="str">
        <f ca="1">INDIRECT(_xlfn.TEXTJOIN("",TRUE,A498,"!",ADDRESS(5+A499*A495,5)))</f>
        <v/>
      </c>
      <c r="G497" s="122"/>
      <c r="H497" s="122"/>
      <c r="I497" s="122"/>
      <c r="J497" s="122"/>
    </row>
    <row r="498" spans="1:10" ht="28" customHeight="1" x14ac:dyDescent="0.2">
      <c r="A498" s="22" t="str">
        <f>A481</f>
        <v>TC_III</v>
      </c>
    </row>
    <row r="499" spans="1:10" ht="28" customHeight="1" x14ac:dyDescent="0.2">
      <c r="A499" s="22">
        <f>A482+1</f>
        <v>29</v>
      </c>
    </row>
    <row r="500" spans="1:10" ht="28" customHeight="1" x14ac:dyDescent="0.2">
      <c r="A500" s="112" t="s">
        <v>24</v>
      </c>
      <c r="B500" s="112"/>
      <c r="C500" s="112" t="str">
        <f ca="1">INDIRECT(_xlfn.TEXTJOIN("",TRUE,A515,"!",ADDRESS(9+(A516-1)*A512,2)))</f>
        <v/>
      </c>
      <c r="D500" s="112"/>
      <c r="E500" s="112"/>
      <c r="F500" s="112" t="s">
        <v>50</v>
      </c>
      <c r="G500" s="112"/>
      <c r="H500" s="112"/>
      <c r="I500" s="113" t="str">
        <f ca="1">INDIRECT(_xlfn.TEXTJOIN("",TRUE,A515,"!",ADDRESS(9+(A516-1)*A512,9)))</f>
        <v/>
      </c>
      <c r="J500" s="113"/>
    </row>
    <row r="501" spans="1:10" ht="28" customHeight="1" x14ac:dyDescent="0.2">
      <c r="A501" s="112" t="s">
        <v>25</v>
      </c>
      <c r="B501" s="112"/>
      <c r="C501" s="112" t="str">
        <f ca="1">INDIRECT(_xlfn.TEXTJOIN("",TRUE,A515,"!",ADDRESS(9+(A516-1)*A512,5)))</f>
        <v/>
      </c>
      <c r="D501" s="112"/>
      <c r="E501" s="112"/>
      <c r="F501" s="114" t="s">
        <v>51</v>
      </c>
      <c r="G501" s="114"/>
      <c r="H501" s="114"/>
      <c r="I501" s="113" t="str">
        <f ca="1">INDIRECT(_xlfn.TEXTJOIN("",TRUE,A515,"!",ADDRESS(9+(A516-1)*A512,13)))</f>
        <v/>
      </c>
      <c r="J501" s="113"/>
    </row>
    <row r="502" spans="1:10" ht="28" customHeight="1" x14ac:dyDescent="0.2">
      <c r="A502" s="95" t="s">
        <v>28</v>
      </c>
      <c r="B502" s="95"/>
      <c r="C502" s="95" t="s">
        <v>29</v>
      </c>
      <c r="D502" s="95"/>
      <c r="E502" s="95"/>
      <c r="F502" s="95"/>
      <c r="G502" s="95"/>
      <c r="H502" s="15" t="s">
        <v>30</v>
      </c>
      <c r="I502" s="15" t="s">
        <v>9</v>
      </c>
      <c r="J502" s="15" t="s">
        <v>34</v>
      </c>
    </row>
    <row r="503" spans="1:10" ht="28" customHeight="1" x14ac:dyDescent="0.2">
      <c r="A503" s="96" t="str">
        <f ca="1">INDIRECT(_xlfn.TEXTJOIN("",TRUE,A515,"!",ADDRESS(13+(A516-1)*A512,1)))</f>
        <v/>
      </c>
      <c r="B503" s="97"/>
      <c r="C503" s="106" t="str">
        <f ca="1">INDIRECT(_xlfn.TEXTJOIN("",TRUE,A515,"!",ADDRESS(13+(A516-1)*A512,2)))</f>
        <v/>
      </c>
      <c r="D503" s="107"/>
      <c r="E503" s="107"/>
      <c r="F503" s="107"/>
      <c r="G503" s="108"/>
      <c r="H503" s="20" t="str">
        <f ca="1">INDIRECT(_xlfn.TEXTJOIN("",TRUE,A515,"!",ADDRESS(13+(A516-1)*A512,6)))</f>
        <v/>
      </c>
      <c r="I503" s="20" t="str">
        <f ca="1">INDIRECT(_xlfn.TEXTJOIN("",TRUE,A515,"!",ADDRESS(13+(A516-1)*A512,13)))</f>
        <v/>
      </c>
      <c r="J503" s="20" t="str">
        <f ca="1">INDIRECT(_xlfn.TEXTJOIN("",TRUE,A515,"!",ADDRESS(13+(A516-1)*A512,14)))</f>
        <v/>
      </c>
    </row>
    <row r="504" spans="1:10" ht="28" customHeight="1" x14ac:dyDescent="0.2">
      <c r="A504" s="96" t="str">
        <f ca="1">INDIRECT(_xlfn.TEXTJOIN("",TRUE,A515,"!",ADDRESS(14+(A516-1)*A512,1)))</f>
        <v/>
      </c>
      <c r="B504" s="97"/>
      <c r="C504" s="106" t="str">
        <f ca="1">INDIRECT(_xlfn.TEXTJOIN("",TRUE,A515,"!",ADDRESS(14+(A516-1)*A512,2)))</f>
        <v/>
      </c>
      <c r="D504" s="107"/>
      <c r="E504" s="107"/>
      <c r="F504" s="107"/>
      <c r="G504" s="108"/>
      <c r="H504" s="20" t="str">
        <f ca="1">INDIRECT(_xlfn.TEXTJOIN("",TRUE,A515,"!",ADDRESS(14+(A516-1)*A512,6)))</f>
        <v/>
      </c>
      <c r="I504" s="20" t="str">
        <f ca="1">INDIRECT(_xlfn.TEXTJOIN("",TRUE,A515,"!",ADDRESS(14+(A516-1)*A512,13)))</f>
        <v/>
      </c>
      <c r="J504" s="20" t="str">
        <f ca="1">INDIRECT(_xlfn.TEXTJOIN("",TRUE,A515,"!",ADDRESS(14+(A516-1)*A512,14)))</f>
        <v/>
      </c>
    </row>
    <row r="505" spans="1:10" ht="28" customHeight="1" x14ac:dyDescent="0.2">
      <c r="A505" s="96" t="str">
        <f ca="1">INDIRECT(_xlfn.TEXTJOIN("",TRUE,A515,"!",ADDRESS(15+(A516-1)*A512,1)))</f>
        <v/>
      </c>
      <c r="B505" s="97"/>
      <c r="C505" s="106" t="str">
        <f ca="1">INDIRECT(_xlfn.TEXTJOIN("",TRUE,A515,"!",ADDRESS(15+(A516-1)*A512,2)))</f>
        <v/>
      </c>
      <c r="D505" s="107"/>
      <c r="E505" s="107"/>
      <c r="F505" s="107"/>
      <c r="G505" s="108"/>
      <c r="H505" s="20" t="str">
        <f ca="1">INDIRECT(_xlfn.TEXTJOIN("",TRUE,A515,"!",ADDRESS(15+(A516-1)*A512,6)))</f>
        <v/>
      </c>
      <c r="I505" s="20" t="str">
        <f ca="1">INDIRECT(_xlfn.TEXTJOIN("",TRUE,A515,"!",ADDRESS(15+(A516-1)*A512,13)))</f>
        <v/>
      </c>
      <c r="J505" s="20" t="str">
        <f ca="1">INDIRECT(_xlfn.TEXTJOIN("",TRUE,A515,"!",ADDRESS(15+(A516-1)*A512,14)))</f>
        <v/>
      </c>
    </row>
    <row r="506" spans="1:10" ht="28" customHeight="1" x14ac:dyDescent="0.2">
      <c r="A506" s="96" t="str">
        <f ca="1">INDIRECT(_xlfn.TEXTJOIN("",TRUE,A515,"!",ADDRESS(16+(A516-1)*A512,1)))</f>
        <v/>
      </c>
      <c r="B506" s="97"/>
      <c r="C506" s="106" t="str">
        <f ca="1">INDIRECT(_xlfn.TEXTJOIN("",TRUE,A515,"!",ADDRESS(16+(A516-1)*A512,2)))</f>
        <v/>
      </c>
      <c r="D506" s="107"/>
      <c r="E506" s="107"/>
      <c r="F506" s="107"/>
      <c r="G506" s="108"/>
      <c r="H506" s="20" t="str">
        <f ca="1">INDIRECT(_xlfn.TEXTJOIN("",TRUE,A515,"!",ADDRESS(16+(A516-1)*A512,6)))</f>
        <v/>
      </c>
      <c r="I506" s="20" t="str">
        <f ca="1">INDIRECT(_xlfn.TEXTJOIN("",TRUE,A515,"!",ADDRESS(16+(A516-1)*A512,13)))</f>
        <v/>
      </c>
      <c r="J506" s="20" t="str">
        <f ca="1">INDIRECT(_xlfn.TEXTJOIN("",TRUE,A515,"!",ADDRESS(16+(A516-1)*A512,14)))</f>
        <v/>
      </c>
    </row>
    <row r="507" spans="1:10" ht="28" customHeight="1" x14ac:dyDescent="0.2">
      <c r="A507" s="96" t="str">
        <f ca="1">INDIRECT(_xlfn.TEXTJOIN("",TRUE,A515,"!",ADDRESS(17+(A516-1)*A512,1)))</f>
        <v/>
      </c>
      <c r="B507" s="97"/>
      <c r="C507" s="106" t="str">
        <f ca="1">INDIRECT(_xlfn.TEXTJOIN("",TRUE,A515,"!",ADDRESS(17+(A516-1)*A512,2)))</f>
        <v/>
      </c>
      <c r="D507" s="107"/>
      <c r="E507" s="107"/>
      <c r="F507" s="107"/>
      <c r="G507" s="108"/>
      <c r="H507" s="20" t="str">
        <f ca="1">INDIRECT(_xlfn.TEXTJOIN("",TRUE,A515,"!",ADDRESS(17+(A516-1)*A512,6)))</f>
        <v/>
      </c>
      <c r="I507" s="20" t="str">
        <f ca="1">INDIRECT(_xlfn.TEXTJOIN("",TRUE,A515,"!",ADDRESS(17+(A516-1)*A512,13)))</f>
        <v/>
      </c>
      <c r="J507" s="20" t="str">
        <f ca="1">INDIRECT(_xlfn.TEXTJOIN("",TRUE,A515,"!",ADDRESS(17+(A516-1)*A512,14)))</f>
        <v/>
      </c>
    </row>
    <row r="508" spans="1:10" ht="28" customHeight="1" x14ac:dyDescent="0.2">
      <c r="A508" s="96" t="str">
        <f ca="1">INDIRECT(_xlfn.TEXTJOIN("",TRUE,A515,"!",ADDRESS(18+(A516-1)*A512,1)))</f>
        <v/>
      </c>
      <c r="B508" s="97"/>
      <c r="C508" s="106" t="str">
        <f ca="1">INDIRECT(_xlfn.TEXTJOIN("",TRUE,A515,"!",ADDRESS(18+(A516-1)*A512,2)))</f>
        <v/>
      </c>
      <c r="D508" s="107"/>
      <c r="E508" s="107"/>
      <c r="F508" s="107"/>
      <c r="G508" s="108"/>
      <c r="H508" s="20" t="str">
        <f ca="1">INDIRECT(_xlfn.TEXTJOIN("",TRUE,A515,"!",ADDRESS(18+(A516-1)*A512,6)))</f>
        <v/>
      </c>
      <c r="I508" s="20" t="str">
        <f ca="1">INDIRECT(_xlfn.TEXTJOIN("",TRUE,A515,"!",ADDRESS(18+(A516-1)*A512,13)))</f>
        <v/>
      </c>
      <c r="J508" s="20" t="str">
        <f ca="1">INDIRECT(_xlfn.TEXTJOIN("",TRUE,A515,"!",ADDRESS(18+(A516-1)*A512,14)))</f>
        <v/>
      </c>
    </row>
    <row r="509" spans="1:10" ht="28" customHeight="1" x14ac:dyDescent="0.2">
      <c r="A509" s="96" t="str">
        <f ca="1">INDIRECT(_xlfn.TEXTJOIN("",TRUE,A515,"!",ADDRESS(19+(A516-1)*A512,1)))</f>
        <v/>
      </c>
      <c r="B509" s="97"/>
      <c r="C509" s="106" t="str">
        <f ca="1">INDIRECT(_xlfn.TEXTJOIN("",TRUE,A515,"!",ADDRESS(19+(A516-1)*A512,2)))</f>
        <v/>
      </c>
      <c r="D509" s="107"/>
      <c r="E509" s="107"/>
      <c r="F509" s="107"/>
      <c r="G509" s="108"/>
      <c r="H509" s="20" t="str">
        <f ca="1">INDIRECT(_xlfn.TEXTJOIN("",TRUE,A515,"!",ADDRESS(19+(A516-1)*A512,6)))</f>
        <v/>
      </c>
      <c r="I509" s="20" t="str">
        <f ca="1">INDIRECT(_xlfn.TEXTJOIN("",TRUE,A515,"!",ADDRESS(19+(A516-1)*A512,13)))</f>
        <v/>
      </c>
      <c r="J509" s="20" t="str">
        <f ca="1">INDIRECT(_xlfn.TEXTJOIN("",TRUE,A515,"!",ADDRESS(19+(A516-1)*A512,14)))</f>
        <v/>
      </c>
    </row>
    <row r="510" spans="1:10" ht="28" customHeight="1" x14ac:dyDescent="0.2">
      <c r="A510" s="96" t="str">
        <f ca="1">INDIRECT(_xlfn.TEXTJOIN("",TRUE,A515,"!",ADDRESS(20+(A516-1)*A512,1)))</f>
        <v/>
      </c>
      <c r="B510" s="97"/>
      <c r="C510" s="106" t="str">
        <f ca="1">INDIRECT(_xlfn.TEXTJOIN("",TRUE,A515,"!",ADDRESS(20+(A516-1)*A512,2)))</f>
        <v/>
      </c>
      <c r="D510" s="107"/>
      <c r="E510" s="107"/>
      <c r="F510" s="107"/>
      <c r="G510" s="108"/>
      <c r="H510" s="20" t="str">
        <f ca="1">INDIRECT(_xlfn.TEXTJOIN("",TRUE,A515,"!",ADDRESS(20+(A516-1)*A512,6)))</f>
        <v/>
      </c>
      <c r="I510" s="20" t="str">
        <f ca="1">INDIRECT(_xlfn.TEXTJOIN("",TRUE,A515,"!",ADDRESS(20+(A516-1)*A512,13)))</f>
        <v/>
      </c>
      <c r="J510" s="20" t="str">
        <f ca="1">INDIRECT(_xlfn.TEXTJOIN("",TRUE,A515,"!",ADDRESS(20+(A516-1)*A512,14)))</f>
        <v/>
      </c>
    </row>
    <row r="511" spans="1:10" ht="28" customHeight="1" x14ac:dyDescent="0.2">
      <c r="A511" s="118" t="s">
        <v>52</v>
      </c>
      <c r="B511" s="118"/>
      <c r="C511" s="118"/>
      <c r="D511" s="118"/>
      <c r="E511" s="118"/>
      <c r="F511" s="118"/>
      <c r="G511" s="118"/>
      <c r="H511" s="16">
        <f ca="1">SUM(H503:H510)</f>
        <v>0</v>
      </c>
      <c r="I511" s="16" t="s">
        <v>44</v>
      </c>
      <c r="J511" s="16">
        <f ca="1">SUMPRODUCT(J503:J510,H503:H510)</f>
        <v>0</v>
      </c>
    </row>
    <row r="512" spans="1:10" ht="28" customHeight="1" x14ac:dyDescent="0.2">
      <c r="A512" s="22">
        <f>ROWS(A503:B510)+9</f>
        <v>17</v>
      </c>
      <c r="B512" s="17"/>
      <c r="C512" s="17"/>
      <c r="D512" s="17"/>
      <c r="E512" s="17"/>
      <c r="F512" s="17"/>
      <c r="G512" s="17"/>
      <c r="H512" s="17"/>
      <c r="I512" s="17"/>
      <c r="J512" s="17"/>
    </row>
    <row r="513" spans="1:10" ht="28" customHeight="1" x14ac:dyDescent="0.2">
      <c r="A513" s="120" t="s">
        <v>40</v>
      </c>
      <c r="B513" s="120"/>
      <c r="C513" s="21" t="str">
        <f ca="1">INDIRECT(_xlfn.TEXTJOIN("",TRUE,A515,"!",ADDRESS(5+A516*A512,12)))</f>
        <v/>
      </c>
      <c r="D513" s="120" t="s">
        <v>38</v>
      </c>
      <c r="E513" s="120"/>
      <c r="F513" s="18" t="str">
        <f ca="1">INDIRECT(_xlfn.TEXTJOIN("",TRUE,A515,"!",ADDRESS(5+A516*A512,8)))</f>
        <v/>
      </c>
      <c r="G513" s="120" t="s">
        <v>39</v>
      </c>
      <c r="H513" s="120"/>
      <c r="I513" s="109" t="str">
        <f ca="1">INDIRECT(_xlfn.TEXTJOIN("",TRUE,A515,"!",ADDRESS(5+A516*A512,10)))</f>
        <v/>
      </c>
      <c r="J513" s="109"/>
    </row>
    <row r="514" spans="1:10" ht="28" customHeight="1" x14ac:dyDescent="0.2">
      <c r="A514" s="19" t="s">
        <v>36</v>
      </c>
      <c r="B514" s="95" t="str">
        <f ca="1">INDIRECT(_xlfn.TEXTJOIN("",TRUE,A515,"!",ADDRESS(5+A516*A512,2)))</f>
        <v/>
      </c>
      <c r="C514" s="95"/>
      <c r="D514" s="121" t="s">
        <v>37</v>
      </c>
      <c r="E514" s="121"/>
      <c r="F514" s="122" t="str">
        <f ca="1">INDIRECT(_xlfn.TEXTJOIN("",TRUE,A515,"!",ADDRESS(5+A516*A512,5)))</f>
        <v/>
      </c>
      <c r="G514" s="122"/>
      <c r="H514" s="122"/>
      <c r="I514" s="122"/>
      <c r="J514" s="122"/>
    </row>
    <row r="515" spans="1:10" ht="28" customHeight="1" x14ac:dyDescent="0.2">
      <c r="A515" s="22" t="str">
        <f>A498</f>
        <v>TC_III</v>
      </c>
    </row>
    <row r="516" spans="1:10" ht="28" customHeight="1" x14ac:dyDescent="0.2">
      <c r="A516" s="22">
        <f>A499+1</f>
        <v>30</v>
      </c>
    </row>
    <row r="517" spans="1:10" ht="28" customHeight="1" x14ac:dyDescent="0.2">
      <c r="A517" s="112" t="s">
        <v>24</v>
      </c>
      <c r="B517" s="112"/>
      <c r="C517" s="112" t="str">
        <f ca="1">INDIRECT(_xlfn.TEXTJOIN("",TRUE,A532,"!",ADDRESS(9+(A533-1)*A529,2)))</f>
        <v/>
      </c>
      <c r="D517" s="112"/>
      <c r="E517" s="112"/>
      <c r="F517" s="112" t="s">
        <v>50</v>
      </c>
      <c r="G517" s="112"/>
      <c r="H517" s="112"/>
      <c r="I517" s="113" t="str">
        <f ca="1">INDIRECT(_xlfn.TEXTJOIN("",TRUE,A532,"!",ADDRESS(9+(A533-1)*A529,9)))</f>
        <v/>
      </c>
      <c r="J517" s="113"/>
    </row>
    <row r="518" spans="1:10" ht="28" customHeight="1" x14ac:dyDescent="0.2">
      <c r="A518" s="112" t="s">
        <v>25</v>
      </c>
      <c r="B518" s="112"/>
      <c r="C518" s="112" t="str">
        <f ca="1">INDIRECT(_xlfn.TEXTJOIN("",TRUE,A532,"!",ADDRESS(9+(A533-1)*A529,5)))</f>
        <v/>
      </c>
      <c r="D518" s="112"/>
      <c r="E518" s="112"/>
      <c r="F518" s="114" t="s">
        <v>51</v>
      </c>
      <c r="G518" s="114"/>
      <c r="H518" s="114"/>
      <c r="I518" s="113" t="str">
        <f ca="1">INDIRECT(_xlfn.TEXTJOIN("",TRUE,A532,"!",ADDRESS(9+(A533-1)*A529,13)))</f>
        <v/>
      </c>
      <c r="J518" s="113"/>
    </row>
    <row r="519" spans="1:10" ht="28" customHeight="1" x14ac:dyDescent="0.2">
      <c r="A519" s="95" t="s">
        <v>28</v>
      </c>
      <c r="B519" s="95"/>
      <c r="C519" s="95" t="s">
        <v>29</v>
      </c>
      <c r="D519" s="95"/>
      <c r="E519" s="95"/>
      <c r="F519" s="95"/>
      <c r="G519" s="95"/>
      <c r="H519" s="15" t="s">
        <v>30</v>
      </c>
      <c r="I519" s="15" t="s">
        <v>9</v>
      </c>
      <c r="J519" s="15" t="s">
        <v>34</v>
      </c>
    </row>
    <row r="520" spans="1:10" ht="28" customHeight="1" x14ac:dyDescent="0.2">
      <c r="A520" s="96" t="str">
        <f ca="1">INDIRECT(_xlfn.TEXTJOIN("",TRUE,A532,"!",ADDRESS(13+(A533-1)*A529,1)))</f>
        <v/>
      </c>
      <c r="B520" s="97"/>
      <c r="C520" s="106" t="str">
        <f ca="1">INDIRECT(_xlfn.TEXTJOIN("",TRUE,A532,"!",ADDRESS(13+(A533-1)*A529,2)))</f>
        <v/>
      </c>
      <c r="D520" s="107"/>
      <c r="E520" s="107"/>
      <c r="F520" s="107"/>
      <c r="G520" s="108"/>
      <c r="H520" s="20" t="str">
        <f ca="1">INDIRECT(_xlfn.TEXTJOIN("",TRUE,A532,"!",ADDRESS(13+(A533-1)*A529,6)))</f>
        <v/>
      </c>
      <c r="I520" s="20" t="str">
        <f ca="1">INDIRECT(_xlfn.TEXTJOIN("",TRUE,A532,"!",ADDRESS(13+(A533-1)*A529,13)))</f>
        <v/>
      </c>
      <c r="J520" s="20" t="str">
        <f ca="1">INDIRECT(_xlfn.TEXTJOIN("",TRUE,A532,"!",ADDRESS(13+(A533-1)*A529,14)))</f>
        <v/>
      </c>
    </row>
    <row r="521" spans="1:10" ht="28" customHeight="1" x14ac:dyDescent="0.2">
      <c r="A521" s="96" t="str">
        <f ca="1">INDIRECT(_xlfn.TEXTJOIN("",TRUE,A532,"!",ADDRESS(14+(A533-1)*A529,1)))</f>
        <v/>
      </c>
      <c r="B521" s="97"/>
      <c r="C521" s="106" t="str">
        <f ca="1">INDIRECT(_xlfn.TEXTJOIN("",TRUE,A532,"!",ADDRESS(14+(A533-1)*A529,2)))</f>
        <v/>
      </c>
      <c r="D521" s="107"/>
      <c r="E521" s="107"/>
      <c r="F521" s="107"/>
      <c r="G521" s="108"/>
      <c r="H521" s="20" t="str">
        <f ca="1">INDIRECT(_xlfn.TEXTJOIN("",TRUE,A532,"!",ADDRESS(14+(A533-1)*A529,6)))</f>
        <v/>
      </c>
      <c r="I521" s="20" t="str">
        <f ca="1">INDIRECT(_xlfn.TEXTJOIN("",TRUE,A532,"!",ADDRESS(14+(A533-1)*A529,13)))</f>
        <v/>
      </c>
      <c r="J521" s="20" t="str">
        <f ca="1">INDIRECT(_xlfn.TEXTJOIN("",TRUE,A532,"!",ADDRESS(14+(A533-1)*A529,14)))</f>
        <v/>
      </c>
    </row>
    <row r="522" spans="1:10" ht="28" customHeight="1" x14ac:dyDescent="0.2">
      <c r="A522" s="96" t="str">
        <f ca="1">INDIRECT(_xlfn.TEXTJOIN("",TRUE,A532,"!",ADDRESS(15+(A533-1)*A529,1)))</f>
        <v/>
      </c>
      <c r="B522" s="97"/>
      <c r="C522" s="106" t="str">
        <f ca="1">INDIRECT(_xlfn.TEXTJOIN("",TRUE,A532,"!",ADDRESS(15+(A533-1)*A529,2)))</f>
        <v/>
      </c>
      <c r="D522" s="107"/>
      <c r="E522" s="107"/>
      <c r="F522" s="107"/>
      <c r="G522" s="108"/>
      <c r="H522" s="20" t="str">
        <f ca="1">INDIRECT(_xlfn.TEXTJOIN("",TRUE,A532,"!",ADDRESS(15+(A533-1)*A529,6)))</f>
        <v/>
      </c>
      <c r="I522" s="20" t="str">
        <f ca="1">INDIRECT(_xlfn.TEXTJOIN("",TRUE,A532,"!",ADDRESS(15+(A533-1)*A529,13)))</f>
        <v/>
      </c>
      <c r="J522" s="20" t="str">
        <f ca="1">INDIRECT(_xlfn.TEXTJOIN("",TRUE,A532,"!",ADDRESS(15+(A533-1)*A529,14)))</f>
        <v/>
      </c>
    </row>
    <row r="523" spans="1:10" ht="28" customHeight="1" x14ac:dyDescent="0.2">
      <c r="A523" s="96" t="str">
        <f ca="1">INDIRECT(_xlfn.TEXTJOIN("",TRUE,A532,"!",ADDRESS(16+(A533-1)*A529,1)))</f>
        <v/>
      </c>
      <c r="B523" s="97"/>
      <c r="C523" s="106" t="str">
        <f ca="1">INDIRECT(_xlfn.TEXTJOIN("",TRUE,A532,"!",ADDRESS(16+(A533-1)*A529,2)))</f>
        <v/>
      </c>
      <c r="D523" s="107"/>
      <c r="E523" s="107"/>
      <c r="F523" s="107"/>
      <c r="G523" s="108"/>
      <c r="H523" s="20" t="str">
        <f ca="1">INDIRECT(_xlfn.TEXTJOIN("",TRUE,A532,"!",ADDRESS(16+(A533-1)*A529,6)))</f>
        <v/>
      </c>
      <c r="I523" s="20" t="str">
        <f ca="1">INDIRECT(_xlfn.TEXTJOIN("",TRUE,A532,"!",ADDRESS(16+(A533-1)*A529,13)))</f>
        <v/>
      </c>
      <c r="J523" s="20" t="str">
        <f ca="1">INDIRECT(_xlfn.TEXTJOIN("",TRUE,A532,"!",ADDRESS(16+(A533-1)*A529,14)))</f>
        <v/>
      </c>
    </row>
    <row r="524" spans="1:10" ht="28" customHeight="1" x14ac:dyDescent="0.2">
      <c r="A524" s="96" t="str">
        <f ca="1">INDIRECT(_xlfn.TEXTJOIN("",TRUE,A532,"!",ADDRESS(17+(A533-1)*A529,1)))</f>
        <v/>
      </c>
      <c r="B524" s="97"/>
      <c r="C524" s="106" t="str">
        <f ca="1">INDIRECT(_xlfn.TEXTJOIN("",TRUE,A532,"!",ADDRESS(17+(A533-1)*A529,2)))</f>
        <v/>
      </c>
      <c r="D524" s="107"/>
      <c r="E524" s="107"/>
      <c r="F524" s="107"/>
      <c r="G524" s="108"/>
      <c r="H524" s="20" t="str">
        <f ca="1">INDIRECT(_xlfn.TEXTJOIN("",TRUE,A532,"!",ADDRESS(17+(A533-1)*A529,6)))</f>
        <v/>
      </c>
      <c r="I524" s="20" t="str">
        <f ca="1">INDIRECT(_xlfn.TEXTJOIN("",TRUE,A532,"!",ADDRESS(17+(A533-1)*A529,13)))</f>
        <v/>
      </c>
      <c r="J524" s="20" t="str">
        <f ca="1">INDIRECT(_xlfn.TEXTJOIN("",TRUE,A532,"!",ADDRESS(17+(A533-1)*A529,14)))</f>
        <v/>
      </c>
    </row>
    <row r="525" spans="1:10" ht="28" customHeight="1" x14ac:dyDescent="0.2">
      <c r="A525" s="96" t="str">
        <f ca="1">INDIRECT(_xlfn.TEXTJOIN("",TRUE,A532,"!",ADDRESS(18+(A533-1)*A529,1)))</f>
        <v/>
      </c>
      <c r="B525" s="97"/>
      <c r="C525" s="106" t="str">
        <f ca="1">INDIRECT(_xlfn.TEXTJOIN("",TRUE,A532,"!",ADDRESS(18+(A533-1)*A529,2)))</f>
        <v/>
      </c>
      <c r="D525" s="107"/>
      <c r="E525" s="107"/>
      <c r="F525" s="107"/>
      <c r="G525" s="108"/>
      <c r="H525" s="20" t="str">
        <f ca="1">INDIRECT(_xlfn.TEXTJOIN("",TRUE,A532,"!",ADDRESS(18+(A533-1)*A529,6)))</f>
        <v/>
      </c>
      <c r="I525" s="20" t="str">
        <f ca="1">INDIRECT(_xlfn.TEXTJOIN("",TRUE,A532,"!",ADDRESS(18+(A533-1)*A529,13)))</f>
        <v/>
      </c>
      <c r="J525" s="20" t="str">
        <f ca="1">INDIRECT(_xlfn.TEXTJOIN("",TRUE,A532,"!",ADDRESS(18+(A533-1)*A529,14)))</f>
        <v/>
      </c>
    </row>
    <row r="526" spans="1:10" ht="28" customHeight="1" x14ac:dyDescent="0.2">
      <c r="A526" s="96" t="str">
        <f ca="1">INDIRECT(_xlfn.TEXTJOIN("",TRUE,A532,"!",ADDRESS(19+(A533-1)*A529,1)))</f>
        <v/>
      </c>
      <c r="B526" s="97"/>
      <c r="C526" s="106" t="str">
        <f ca="1">INDIRECT(_xlfn.TEXTJOIN("",TRUE,A532,"!",ADDRESS(19+(A533-1)*A529,2)))</f>
        <v/>
      </c>
      <c r="D526" s="107"/>
      <c r="E526" s="107"/>
      <c r="F526" s="107"/>
      <c r="G526" s="108"/>
      <c r="H526" s="20" t="str">
        <f ca="1">INDIRECT(_xlfn.TEXTJOIN("",TRUE,A532,"!",ADDRESS(19+(A533-1)*A529,6)))</f>
        <v/>
      </c>
      <c r="I526" s="20" t="str">
        <f ca="1">INDIRECT(_xlfn.TEXTJOIN("",TRUE,A532,"!",ADDRESS(19+(A533-1)*A529,13)))</f>
        <v/>
      </c>
      <c r="J526" s="20" t="str">
        <f ca="1">INDIRECT(_xlfn.TEXTJOIN("",TRUE,A532,"!",ADDRESS(19+(A533-1)*A529,14)))</f>
        <v/>
      </c>
    </row>
    <row r="527" spans="1:10" ht="28" customHeight="1" x14ac:dyDescent="0.2">
      <c r="A527" s="96" t="str">
        <f ca="1">INDIRECT(_xlfn.TEXTJOIN("",TRUE,A532,"!",ADDRESS(20+(A533-1)*A529,1)))</f>
        <v/>
      </c>
      <c r="B527" s="97"/>
      <c r="C527" s="106" t="str">
        <f ca="1">INDIRECT(_xlfn.TEXTJOIN("",TRUE,A532,"!",ADDRESS(20+(A533-1)*A529,2)))</f>
        <v/>
      </c>
      <c r="D527" s="107"/>
      <c r="E527" s="107"/>
      <c r="F527" s="107"/>
      <c r="G527" s="108"/>
      <c r="H527" s="20" t="str">
        <f ca="1">INDIRECT(_xlfn.TEXTJOIN("",TRUE,A532,"!",ADDRESS(20+(A533-1)*A529,6)))</f>
        <v/>
      </c>
      <c r="I527" s="20" t="str">
        <f ca="1">INDIRECT(_xlfn.TEXTJOIN("",TRUE,A532,"!",ADDRESS(20+(A533-1)*A529,13)))</f>
        <v/>
      </c>
      <c r="J527" s="20" t="str">
        <f ca="1">INDIRECT(_xlfn.TEXTJOIN("",TRUE,A532,"!",ADDRESS(20+(A533-1)*A529,14)))</f>
        <v/>
      </c>
    </row>
    <row r="528" spans="1:10" ht="28" customHeight="1" x14ac:dyDescent="0.2">
      <c r="A528" s="118" t="s">
        <v>52</v>
      </c>
      <c r="B528" s="118"/>
      <c r="C528" s="118"/>
      <c r="D528" s="118"/>
      <c r="E528" s="118"/>
      <c r="F528" s="118"/>
      <c r="G528" s="118"/>
      <c r="H528" s="16">
        <f ca="1">SUM(H520:H527)</f>
        <v>0</v>
      </c>
      <c r="I528" s="16" t="s">
        <v>44</v>
      </c>
      <c r="J528" s="16">
        <f ca="1">SUMPRODUCT(J520:J527,H520:H527)</f>
        <v>0</v>
      </c>
    </row>
    <row r="529" spans="1:10" ht="28" customHeight="1" x14ac:dyDescent="0.2">
      <c r="A529" s="22">
        <f>ROWS(A520:B527)+9</f>
        <v>17</v>
      </c>
      <c r="B529" s="17"/>
      <c r="C529" s="17"/>
      <c r="D529" s="17"/>
      <c r="E529" s="17"/>
      <c r="F529" s="17"/>
      <c r="G529" s="17"/>
      <c r="H529" s="17"/>
      <c r="I529" s="17"/>
      <c r="J529" s="17"/>
    </row>
    <row r="530" spans="1:10" ht="28" customHeight="1" x14ac:dyDescent="0.2">
      <c r="A530" s="120" t="s">
        <v>40</v>
      </c>
      <c r="B530" s="120"/>
      <c r="C530" s="21" t="str">
        <f ca="1">INDIRECT(_xlfn.TEXTJOIN("",TRUE,A532,"!",ADDRESS(5+A533*A529,12)))</f>
        <v/>
      </c>
      <c r="D530" s="120" t="s">
        <v>38</v>
      </c>
      <c r="E530" s="120"/>
      <c r="F530" s="18" t="str">
        <f ca="1">INDIRECT(_xlfn.TEXTJOIN("",TRUE,A532,"!",ADDRESS(5+A533*A529,8)))</f>
        <v/>
      </c>
      <c r="G530" s="120" t="s">
        <v>39</v>
      </c>
      <c r="H530" s="120"/>
      <c r="I530" s="109" t="str">
        <f ca="1">INDIRECT(_xlfn.TEXTJOIN("",TRUE,A532,"!",ADDRESS(5+A533*A529,10)))</f>
        <v/>
      </c>
      <c r="J530" s="109"/>
    </row>
    <row r="531" spans="1:10" ht="28" customHeight="1" x14ac:dyDescent="0.2">
      <c r="A531" s="19" t="s">
        <v>36</v>
      </c>
      <c r="B531" s="95" t="str">
        <f ca="1">INDIRECT(_xlfn.TEXTJOIN("",TRUE,A532,"!",ADDRESS(5+A533*A529,2)))</f>
        <v/>
      </c>
      <c r="C531" s="95"/>
      <c r="D531" s="121" t="s">
        <v>37</v>
      </c>
      <c r="E531" s="121"/>
      <c r="F531" s="122" t="str">
        <f ca="1">INDIRECT(_xlfn.TEXTJOIN("",TRUE,A532,"!",ADDRESS(5+A533*A529,5)))</f>
        <v/>
      </c>
      <c r="G531" s="122"/>
      <c r="H531" s="122"/>
      <c r="I531" s="122"/>
      <c r="J531" s="122"/>
    </row>
    <row r="532" spans="1:10" ht="28" customHeight="1" x14ac:dyDescent="0.2">
      <c r="A532" s="22" t="str">
        <f>A515</f>
        <v>TC_III</v>
      </c>
    </row>
    <row r="533" spans="1:10" ht="28" customHeight="1" x14ac:dyDescent="0.2">
      <c r="A533" s="22">
        <f>A516+1</f>
        <v>31</v>
      </c>
    </row>
    <row r="534" spans="1:10" ht="28" customHeight="1" x14ac:dyDescent="0.2">
      <c r="A534" s="112" t="s">
        <v>24</v>
      </c>
      <c r="B534" s="112"/>
      <c r="C534" s="112" t="str">
        <f ca="1">INDIRECT(_xlfn.TEXTJOIN("",TRUE,A549,"!",ADDRESS(9+(A550-1)*A546,2)))</f>
        <v/>
      </c>
      <c r="D534" s="112"/>
      <c r="E534" s="112"/>
      <c r="F534" s="112" t="s">
        <v>50</v>
      </c>
      <c r="G534" s="112"/>
      <c r="H534" s="112"/>
      <c r="I534" s="113" t="str">
        <f ca="1">INDIRECT(_xlfn.TEXTJOIN("",TRUE,A549,"!",ADDRESS(9+(A550-1)*A546,9)))</f>
        <v/>
      </c>
      <c r="J534" s="113"/>
    </row>
    <row r="535" spans="1:10" ht="28" customHeight="1" x14ac:dyDescent="0.2">
      <c r="A535" s="112" t="s">
        <v>25</v>
      </c>
      <c r="B535" s="112"/>
      <c r="C535" s="112" t="str">
        <f ca="1">INDIRECT(_xlfn.TEXTJOIN("",TRUE,A549,"!",ADDRESS(9+(A550-1)*A546,5)))</f>
        <v/>
      </c>
      <c r="D535" s="112"/>
      <c r="E535" s="112"/>
      <c r="F535" s="114" t="s">
        <v>51</v>
      </c>
      <c r="G535" s="114"/>
      <c r="H535" s="114"/>
      <c r="I535" s="113" t="str">
        <f ca="1">INDIRECT(_xlfn.TEXTJOIN("",TRUE,A549,"!",ADDRESS(9+(A550-1)*A546,13)))</f>
        <v/>
      </c>
      <c r="J535" s="113"/>
    </row>
    <row r="536" spans="1:10" ht="28" customHeight="1" x14ac:dyDescent="0.2">
      <c r="A536" s="95" t="s">
        <v>28</v>
      </c>
      <c r="B536" s="95"/>
      <c r="C536" s="95" t="s">
        <v>29</v>
      </c>
      <c r="D536" s="95"/>
      <c r="E536" s="95"/>
      <c r="F536" s="95"/>
      <c r="G536" s="95"/>
      <c r="H536" s="15" t="s">
        <v>30</v>
      </c>
      <c r="I536" s="15" t="s">
        <v>9</v>
      </c>
      <c r="J536" s="15" t="s">
        <v>34</v>
      </c>
    </row>
    <row r="537" spans="1:10" ht="28" customHeight="1" x14ac:dyDescent="0.2">
      <c r="A537" s="96" t="str">
        <f ca="1">INDIRECT(_xlfn.TEXTJOIN("",TRUE,A549,"!",ADDRESS(13+(A550-1)*A546,1)))</f>
        <v/>
      </c>
      <c r="B537" s="97"/>
      <c r="C537" s="106" t="str">
        <f ca="1">INDIRECT(_xlfn.TEXTJOIN("",TRUE,A549,"!",ADDRESS(13+(A550-1)*A546,2)))</f>
        <v/>
      </c>
      <c r="D537" s="107"/>
      <c r="E537" s="107"/>
      <c r="F537" s="107"/>
      <c r="G537" s="108"/>
      <c r="H537" s="20" t="str">
        <f ca="1">INDIRECT(_xlfn.TEXTJOIN("",TRUE,A549,"!",ADDRESS(13+(A550-1)*A546,6)))</f>
        <v/>
      </c>
      <c r="I537" s="20" t="str">
        <f ca="1">INDIRECT(_xlfn.TEXTJOIN("",TRUE,A549,"!",ADDRESS(13+(A550-1)*A546,13)))</f>
        <v/>
      </c>
      <c r="J537" s="20" t="str">
        <f ca="1">INDIRECT(_xlfn.TEXTJOIN("",TRUE,A549,"!",ADDRESS(13+(A550-1)*A546,14)))</f>
        <v/>
      </c>
    </row>
    <row r="538" spans="1:10" ht="28" customHeight="1" x14ac:dyDescent="0.2">
      <c r="A538" s="96" t="str">
        <f ca="1">INDIRECT(_xlfn.TEXTJOIN("",TRUE,A549,"!",ADDRESS(14+(A550-1)*A546,1)))</f>
        <v/>
      </c>
      <c r="B538" s="97"/>
      <c r="C538" s="106" t="str">
        <f ca="1">INDIRECT(_xlfn.TEXTJOIN("",TRUE,A549,"!",ADDRESS(14+(A550-1)*A546,2)))</f>
        <v/>
      </c>
      <c r="D538" s="107"/>
      <c r="E538" s="107"/>
      <c r="F538" s="107"/>
      <c r="G538" s="108"/>
      <c r="H538" s="20" t="str">
        <f ca="1">INDIRECT(_xlfn.TEXTJOIN("",TRUE,A549,"!",ADDRESS(14+(A550-1)*A546,6)))</f>
        <v/>
      </c>
      <c r="I538" s="20" t="str">
        <f ca="1">INDIRECT(_xlfn.TEXTJOIN("",TRUE,A549,"!",ADDRESS(14+(A550-1)*A546,13)))</f>
        <v/>
      </c>
      <c r="J538" s="20" t="str">
        <f ca="1">INDIRECT(_xlfn.TEXTJOIN("",TRUE,A549,"!",ADDRESS(14+(A550-1)*A546,14)))</f>
        <v/>
      </c>
    </row>
    <row r="539" spans="1:10" ht="28" customHeight="1" x14ac:dyDescent="0.2">
      <c r="A539" s="96" t="str">
        <f ca="1">INDIRECT(_xlfn.TEXTJOIN("",TRUE,A549,"!",ADDRESS(15+(A550-1)*A546,1)))</f>
        <v/>
      </c>
      <c r="B539" s="97"/>
      <c r="C539" s="106" t="str">
        <f ca="1">INDIRECT(_xlfn.TEXTJOIN("",TRUE,A549,"!",ADDRESS(15+(A550-1)*A546,2)))</f>
        <v/>
      </c>
      <c r="D539" s="107"/>
      <c r="E539" s="107"/>
      <c r="F539" s="107"/>
      <c r="G539" s="108"/>
      <c r="H539" s="20" t="str">
        <f ca="1">INDIRECT(_xlfn.TEXTJOIN("",TRUE,A549,"!",ADDRESS(15+(A550-1)*A546,6)))</f>
        <v/>
      </c>
      <c r="I539" s="20" t="str">
        <f ca="1">INDIRECT(_xlfn.TEXTJOIN("",TRUE,A549,"!",ADDRESS(15+(A550-1)*A546,13)))</f>
        <v/>
      </c>
      <c r="J539" s="20" t="str">
        <f ca="1">INDIRECT(_xlfn.TEXTJOIN("",TRUE,A549,"!",ADDRESS(15+(A550-1)*A546,14)))</f>
        <v/>
      </c>
    </row>
    <row r="540" spans="1:10" ht="28" customHeight="1" x14ac:dyDescent="0.2">
      <c r="A540" s="96" t="str">
        <f ca="1">INDIRECT(_xlfn.TEXTJOIN("",TRUE,A549,"!",ADDRESS(16+(A550-1)*A546,1)))</f>
        <v/>
      </c>
      <c r="B540" s="97"/>
      <c r="C540" s="106" t="str">
        <f ca="1">INDIRECT(_xlfn.TEXTJOIN("",TRUE,A549,"!",ADDRESS(16+(A550-1)*A546,2)))</f>
        <v/>
      </c>
      <c r="D540" s="107"/>
      <c r="E540" s="107"/>
      <c r="F540" s="107"/>
      <c r="G540" s="108"/>
      <c r="H540" s="20" t="str">
        <f ca="1">INDIRECT(_xlfn.TEXTJOIN("",TRUE,A549,"!",ADDRESS(16+(A550-1)*A546,6)))</f>
        <v/>
      </c>
      <c r="I540" s="20" t="str">
        <f ca="1">INDIRECT(_xlfn.TEXTJOIN("",TRUE,A549,"!",ADDRESS(16+(A550-1)*A546,13)))</f>
        <v/>
      </c>
      <c r="J540" s="20" t="str">
        <f ca="1">INDIRECT(_xlfn.TEXTJOIN("",TRUE,A549,"!",ADDRESS(16+(A550-1)*A546,14)))</f>
        <v/>
      </c>
    </row>
    <row r="541" spans="1:10" ht="28" customHeight="1" x14ac:dyDescent="0.2">
      <c r="A541" s="96" t="str">
        <f ca="1">INDIRECT(_xlfn.TEXTJOIN("",TRUE,A549,"!",ADDRESS(17+(A550-1)*A546,1)))</f>
        <v/>
      </c>
      <c r="B541" s="97"/>
      <c r="C541" s="106" t="str">
        <f ca="1">INDIRECT(_xlfn.TEXTJOIN("",TRUE,A549,"!",ADDRESS(17+(A550-1)*A546,2)))</f>
        <v/>
      </c>
      <c r="D541" s="107"/>
      <c r="E541" s="107"/>
      <c r="F541" s="107"/>
      <c r="G541" s="108"/>
      <c r="H541" s="20" t="str">
        <f ca="1">INDIRECT(_xlfn.TEXTJOIN("",TRUE,A549,"!",ADDRESS(17+(A550-1)*A546,6)))</f>
        <v/>
      </c>
      <c r="I541" s="20" t="str">
        <f ca="1">INDIRECT(_xlfn.TEXTJOIN("",TRUE,A549,"!",ADDRESS(17+(A550-1)*A546,13)))</f>
        <v/>
      </c>
      <c r="J541" s="20" t="str">
        <f ca="1">INDIRECT(_xlfn.TEXTJOIN("",TRUE,A549,"!",ADDRESS(17+(A550-1)*A546,14)))</f>
        <v/>
      </c>
    </row>
    <row r="542" spans="1:10" ht="28" customHeight="1" x14ac:dyDescent="0.2">
      <c r="A542" s="96" t="str">
        <f ca="1">INDIRECT(_xlfn.TEXTJOIN("",TRUE,A549,"!",ADDRESS(18+(A550-1)*A546,1)))</f>
        <v/>
      </c>
      <c r="B542" s="97"/>
      <c r="C542" s="106" t="str">
        <f ca="1">INDIRECT(_xlfn.TEXTJOIN("",TRUE,A549,"!",ADDRESS(18+(A550-1)*A546,2)))</f>
        <v/>
      </c>
      <c r="D542" s="107"/>
      <c r="E542" s="107"/>
      <c r="F542" s="107"/>
      <c r="G542" s="108"/>
      <c r="H542" s="20" t="str">
        <f ca="1">INDIRECT(_xlfn.TEXTJOIN("",TRUE,A549,"!",ADDRESS(18+(A550-1)*A546,6)))</f>
        <v/>
      </c>
      <c r="I542" s="20" t="str">
        <f ca="1">INDIRECT(_xlfn.TEXTJOIN("",TRUE,A549,"!",ADDRESS(18+(A550-1)*A546,13)))</f>
        <v/>
      </c>
      <c r="J542" s="20" t="str">
        <f ca="1">INDIRECT(_xlfn.TEXTJOIN("",TRUE,A549,"!",ADDRESS(18+(A550-1)*A546,14)))</f>
        <v/>
      </c>
    </row>
    <row r="543" spans="1:10" ht="28" customHeight="1" x14ac:dyDescent="0.2">
      <c r="A543" s="96" t="str">
        <f ca="1">INDIRECT(_xlfn.TEXTJOIN("",TRUE,A549,"!",ADDRESS(19+(A550-1)*A546,1)))</f>
        <v/>
      </c>
      <c r="B543" s="97"/>
      <c r="C543" s="106" t="str">
        <f ca="1">INDIRECT(_xlfn.TEXTJOIN("",TRUE,A549,"!",ADDRESS(19+(A550-1)*A546,2)))</f>
        <v/>
      </c>
      <c r="D543" s="107"/>
      <c r="E543" s="107"/>
      <c r="F543" s="107"/>
      <c r="G543" s="108"/>
      <c r="H543" s="20" t="str">
        <f ca="1">INDIRECT(_xlfn.TEXTJOIN("",TRUE,A549,"!",ADDRESS(19+(A550-1)*A546,6)))</f>
        <v/>
      </c>
      <c r="I543" s="20" t="str">
        <f ca="1">INDIRECT(_xlfn.TEXTJOIN("",TRUE,A549,"!",ADDRESS(19+(A550-1)*A546,13)))</f>
        <v/>
      </c>
      <c r="J543" s="20" t="str">
        <f ca="1">INDIRECT(_xlfn.TEXTJOIN("",TRUE,A549,"!",ADDRESS(19+(A550-1)*A546,14)))</f>
        <v/>
      </c>
    </row>
    <row r="544" spans="1:10" ht="28" customHeight="1" x14ac:dyDescent="0.2">
      <c r="A544" s="96" t="str">
        <f ca="1">INDIRECT(_xlfn.TEXTJOIN("",TRUE,A549,"!",ADDRESS(20+(A550-1)*A546,1)))</f>
        <v/>
      </c>
      <c r="B544" s="97"/>
      <c r="C544" s="106" t="str">
        <f ca="1">INDIRECT(_xlfn.TEXTJOIN("",TRUE,A549,"!",ADDRESS(20+(A550-1)*A546,2)))</f>
        <v/>
      </c>
      <c r="D544" s="107"/>
      <c r="E544" s="107"/>
      <c r="F544" s="107"/>
      <c r="G544" s="108"/>
      <c r="H544" s="20" t="str">
        <f ca="1">INDIRECT(_xlfn.TEXTJOIN("",TRUE,A549,"!",ADDRESS(20+(A550-1)*A546,6)))</f>
        <v/>
      </c>
      <c r="I544" s="20" t="str">
        <f ca="1">INDIRECT(_xlfn.TEXTJOIN("",TRUE,A549,"!",ADDRESS(20+(A550-1)*A546,13)))</f>
        <v/>
      </c>
      <c r="J544" s="20" t="str">
        <f ca="1">INDIRECT(_xlfn.TEXTJOIN("",TRUE,A549,"!",ADDRESS(20+(A550-1)*A546,14)))</f>
        <v/>
      </c>
    </row>
    <row r="545" spans="1:10" ht="28" customHeight="1" x14ac:dyDescent="0.2">
      <c r="A545" s="118" t="s">
        <v>52</v>
      </c>
      <c r="B545" s="118"/>
      <c r="C545" s="118"/>
      <c r="D545" s="118"/>
      <c r="E545" s="118"/>
      <c r="F545" s="118"/>
      <c r="G545" s="118"/>
      <c r="H545" s="16">
        <f ca="1">SUM(H537:H544)</f>
        <v>0</v>
      </c>
      <c r="I545" s="16" t="s">
        <v>44</v>
      </c>
      <c r="J545" s="16">
        <f ca="1">SUMPRODUCT(J537:J544,H537:H544)</f>
        <v>0</v>
      </c>
    </row>
    <row r="546" spans="1:10" ht="28" customHeight="1" x14ac:dyDescent="0.2">
      <c r="A546" s="22">
        <f>ROWS(A537:B544)+9</f>
        <v>17</v>
      </c>
      <c r="B546" s="17"/>
      <c r="C546" s="17"/>
      <c r="D546" s="17"/>
      <c r="E546" s="17"/>
      <c r="F546" s="17"/>
      <c r="G546" s="17"/>
      <c r="H546" s="17"/>
      <c r="I546" s="17"/>
      <c r="J546" s="17"/>
    </row>
    <row r="547" spans="1:10" ht="28" customHeight="1" x14ac:dyDescent="0.2">
      <c r="A547" s="120" t="s">
        <v>40</v>
      </c>
      <c r="B547" s="120"/>
      <c r="C547" s="21" t="str">
        <f ca="1">INDIRECT(_xlfn.TEXTJOIN("",TRUE,A549,"!",ADDRESS(5+A550*A546,12)))</f>
        <v/>
      </c>
      <c r="D547" s="120" t="s">
        <v>38</v>
      </c>
      <c r="E547" s="120"/>
      <c r="F547" s="18" t="str">
        <f ca="1">INDIRECT(_xlfn.TEXTJOIN("",TRUE,A549,"!",ADDRESS(5+A550*A546,8)))</f>
        <v/>
      </c>
      <c r="G547" s="120" t="s">
        <v>39</v>
      </c>
      <c r="H547" s="120"/>
      <c r="I547" s="109" t="str">
        <f ca="1">INDIRECT(_xlfn.TEXTJOIN("",TRUE,A549,"!",ADDRESS(5+A550*A546,10)))</f>
        <v/>
      </c>
      <c r="J547" s="109"/>
    </row>
    <row r="548" spans="1:10" ht="28" customHeight="1" x14ac:dyDescent="0.2">
      <c r="A548" s="19" t="s">
        <v>36</v>
      </c>
      <c r="B548" s="95" t="str">
        <f ca="1">INDIRECT(_xlfn.TEXTJOIN("",TRUE,A549,"!",ADDRESS(5+A550*A546,2)))</f>
        <v/>
      </c>
      <c r="C548" s="95"/>
      <c r="D548" s="121" t="s">
        <v>37</v>
      </c>
      <c r="E548" s="121"/>
      <c r="F548" s="122" t="str">
        <f ca="1">INDIRECT(_xlfn.TEXTJOIN("",TRUE,A549,"!",ADDRESS(5+A550*A546,5)))</f>
        <v/>
      </c>
      <c r="G548" s="122"/>
      <c r="H548" s="122"/>
      <c r="I548" s="122"/>
      <c r="J548" s="122"/>
    </row>
    <row r="549" spans="1:10" ht="28" customHeight="1" x14ac:dyDescent="0.2">
      <c r="A549" s="22" t="str">
        <f>A532</f>
        <v>TC_III</v>
      </c>
    </row>
    <row r="550" spans="1:10" ht="28" customHeight="1" x14ac:dyDescent="0.2">
      <c r="A550" s="22">
        <f>A533+1</f>
        <v>32</v>
      </c>
    </row>
    <row r="551" spans="1:10" ht="28" customHeight="1" x14ac:dyDescent="0.2">
      <c r="A551" s="112" t="s">
        <v>24</v>
      </c>
      <c r="B551" s="112"/>
      <c r="C551" s="112" t="str">
        <f ca="1">INDIRECT(_xlfn.TEXTJOIN("",TRUE,A566,"!",ADDRESS(9+(A567-1)*A563,2)))</f>
        <v/>
      </c>
      <c r="D551" s="112"/>
      <c r="E551" s="112"/>
      <c r="F551" s="112" t="s">
        <v>50</v>
      </c>
      <c r="G551" s="112"/>
      <c r="H551" s="112"/>
      <c r="I551" s="113" t="str">
        <f ca="1">INDIRECT(_xlfn.TEXTJOIN("",TRUE,A566,"!",ADDRESS(9+(A567-1)*A563,9)))</f>
        <v/>
      </c>
      <c r="J551" s="113"/>
    </row>
    <row r="552" spans="1:10" ht="28" customHeight="1" x14ac:dyDescent="0.2">
      <c r="A552" s="112" t="s">
        <v>25</v>
      </c>
      <c r="B552" s="112"/>
      <c r="C552" s="112" t="str">
        <f ca="1">INDIRECT(_xlfn.TEXTJOIN("",TRUE,A566,"!",ADDRESS(9+(A567-1)*A563,5)))</f>
        <v/>
      </c>
      <c r="D552" s="112"/>
      <c r="E552" s="112"/>
      <c r="F552" s="114" t="s">
        <v>51</v>
      </c>
      <c r="G552" s="114"/>
      <c r="H552" s="114"/>
      <c r="I552" s="113" t="str">
        <f ca="1">INDIRECT(_xlfn.TEXTJOIN("",TRUE,A566,"!",ADDRESS(9+(A567-1)*A563,13)))</f>
        <v/>
      </c>
      <c r="J552" s="113"/>
    </row>
    <row r="553" spans="1:10" ht="28" customHeight="1" x14ac:dyDescent="0.2">
      <c r="A553" s="95" t="s">
        <v>28</v>
      </c>
      <c r="B553" s="95"/>
      <c r="C553" s="95" t="s">
        <v>29</v>
      </c>
      <c r="D553" s="95"/>
      <c r="E553" s="95"/>
      <c r="F553" s="95"/>
      <c r="G553" s="95"/>
      <c r="H553" s="15" t="s">
        <v>30</v>
      </c>
      <c r="I553" s="15" t="s">
        <v>9</v>
      </c>
      <c r="J553" s="15" t="s">
        <v>34</v>
      </c>
    </row>
    <row r="554" spans="1:10" ht="28" customHeight="1" x14ac:dyDescent="0.2">
      <c r="A554" s="96" t="str">
        <f ca="1">INDIRECT(_xlfn.TEXTJOIN("",TRUE,A566,"!",ADDRESS(13+(A567-1)*A563,1)))</f>
        <v/>
      </c>
      <c r="B554" s="97"/>
      <c r="C554" s="106" t="str">
        <f ca="1">INDIRECT(_xlfn.TEXTJOIN("",TRUE,A566,"!",ADDRESS(13+(A567-1)*A563,2)))</f>
        <v/>
      </c>
      <c r="D554" s="107"/>
      <c r="E554" s="107"/>
      <c r="F554" s="107"/>
      <c r="G554" s="108"/>
      <c r="H554" s="20" t="str">
        <f ca="1">INDIRECT(_xlfn.TEXTJOIN("",TRUE,A566,"!",ADDRESS(13+(A567-1)*A563,6)))</f>
        <v/>
      </c>
      <c r="I554" s="20" t="str">
        <f ca="1">INDIRECT(_xlfn.TEXTJOIN("",TRUE,A566,"!",ADDRESS(13+(A567-1)*A563,13)))</f>
        <v/>
      </c>
      <c r="J554" s="20" t="str">
        <f ca="1">INDIRECT(_xlfn.TEXTJOIN("",TRUE,A566,"!",ADDRESS(13+(A567-1)*A563,14)))</f>
        <v/>
      </c>
    </row>
    <row r="555" spans="1:10" ht="28" customHeight="1" x14ac:dyDescent="0.2">
      <c r="A555" s="96" t="str">
        <f ca="1">INDIRECT(_xlfn.TEXTJOIN("",TRUE,A566,"!",ADDRESS(14+(A567-1)*A563,1)))</f>
        <v/>
      </c>
      <c r="B555" s="97"/>
      <c r="C555" s="106" t="str">
        <f ca="1">INDIRECT(_xlfn.TEXTJOIN("",TRUE,A566,"!",ADDRESS(14+(A567-1)*A563,2)))</f>
        <v/>
      </c>
      <c r="D555" s="107"/>
      <c r="E555" s="107"/>
      <c r="F555" s="107"/>
      <c r="G555" s="108"/>
      <c r="H555" s="20" t="str">
        <f ca="1">INDIRECT(_xlfn.TEXTJOIN("",TRUE,A566,"!",ADDRESS(14+(A567-1)*A563,6)))</f>
        <v/>
      </c>
      <c r="I555" s="20" t="str">
        <f ca="1">INDIRECT(_xlfn.TEXTJOIN("",TRUE,A566,"!",ADDRESS(14+(A567-1)*A563,13)))</f>
        <v/>
      </c>
      <c r="J555" s="20" t="str">
        <f ca="1">INDIRECT(_xlfn.TEXTJOIN("",TRUE,A566,"!",ADDRESS(14+(A567-1)*A563,14)))</f>
        <v/>
      </c>
    </row>
    <row r="556" spans="1:10" ht="28" customHeight="1" x14ac:dyDescent="0.2">
      <c r="A556" s="96" t="str">
        <f ca="1">INDIRECT(_xlfn.TEXTJOIN("",TRUE,A566,"!",ADDRESS(15+(A567-1)*A563,1)))</f>
        <v/>
      </c>
      <c r="B556" s="97"/>
      <c r="C556" s="106" t="str">
        <f ca="1">INDIRECT(_xlfn.TEXTJOIN("",TRUE,A566,"!",ADDRESS(15+(A567-1)*A563,2)))</f>
        <v/>
      </c>
      <c r="D556" s="107"/>
      <c r="E556" s="107"/>
      <c r="F556" s="107"/>
      <c r="G556" s="108"/>
      <c r="H556" s="20" t="str">
        <f ca="1">INDIRECT(_xlfn.TEXTJOIN("",TRUE,A566,"!",ADDRESS(15+(A567-1)*A563,6)))</f>
        <v/>
      </c>
      <c r="I556" s="20" t="str">
        <f ca="1">INDIRECT(_xlfn.TEXTJOIN("",TRUE,A566,"!",ADDRESS(15+(A567-1)*A563,13)))</f>
        <v/>
      </c>
      <c r="J556" s="20" t="str">
        <f ca="1">INDIRECT(_xlfn.TEXTJOIN("",TRUE,A566,"!",ADDRESS(15+(A567-1)*A563,14)))</f>
        <v/>
      </c>
    </row>
    <row r="557" spans="1:10" ht="28" customHeight="1" x14ac:dyDescent="0.2">
      <c r="A557" s="96" t="str">
        <f ca="1">INDIRECT(_xlfn.TEXTJOIN("",TRUE,A566,"!",ADDRESS(16+(A567-1)*A563,1)))</f>
        <v/>
      </c>
      <c r="B557" s="97"/>
      <c r="C557" s="106" t="str">
        <f ca="1">INDIRECT(_xlfn.TEXTJOIN("",TRUE,A566,"!",ADDRESS(16+(A567-1)*A563,2)))</f>
        <v/>
      </c>
      <c r="D557" s="107"/>
      <c r="E557" s="107"/>
      <c r="F557" s="107"/>
      <c r="G557" s="108"/>
      <c r="H557" s="20" t="str">
        <f ca="1">INDIRECT(_xlfn.TEXTJOIN("",TRUE,A566,"!",ADDRESS(16+(A567-1)*A563,6)))</f>
        <v/>
      </c>
      <c r="I557" s="20" t="str">
        <f ca="1">INDIRECT(_xlfn.TEXTJOIN("",TRUE,A566,"!",ADDRESS(16+(A567-1)*A563,13)))</f>
        <v/>
      </c>
      <c r="J557" s="20" t="str">
        <f ca="1">INDIRECT(_xlfn.TEXTJOIN("",TRUE,A566,"!",ADDRESS(16+(A567-1)*A563,14)))</f>
        <v/>
      </c>
    </row>
    <row r="558" spans="1:10" ht="28" customHeight="1" x14ac:dyDescent="0.2">
      <c r="A558" s="96" t="str">
        <f ca="1">INDIRECT(_xlfn.TEXTJOIN("",TRUE,A566,"!",ADDRESS(17+(A567-1)*A563,1)))</f>
        <v/>
      </c>
      <c r="B558" s="97"/>
      <c r="C558" s="106" t="str">
        <f ca="1">INDIRECT(_xlfn.TEXTJOIN("",TRUE,A566,"!",ADDRESS(17+(A567-1)*A563,2)))</f>
        <v/>
      </c>
      <c r="D558" s="107"/>
      <c r="E558" s="107"/>
      <c r="F558" s="107"/>
      <c r="G558" s="108"/>
      <c r="H558" s="20" t="str">
        <f ca="1">INDIRECT(_xlfn.TEXTJOIN("",TRUE,A566,"!",ADDRESS(17+(A567-1)*A563,6)))</f>
        <v/>
      </c>
      <c r="I558" s="20" t="str">
        <f ca="1">INDIRECT(_xlfn.TEXTJOIN("",TRUE,A566,"!",ADDRESS(17+(A567-1)*A563,13)))</f>
        <v/>
      </c>
      <c r="J558" s="20" t="str">
        <f ca="1">INDIRECT(_xlfn.TEXTJOIN("",TRUE,A566,"!",ADDRESS(17+(A567-1)*A563,14)))</f>
        <v/>
      </c>
    </row>
    <row r="559" spans="1:10" ht="28" customHeight="1" x14ac:dyDescent="0.2">
      <c r="A559" s="96" t="str">
        <f ca="1">INDIRECT(_xlfn.TEXTJOIN("",TRUE,A566,"!",ADDRESS(18+(A567-1)*A563,1)))</f>
        <v/>
      </c>
      <c r="B559" s="97"/>
      <c r="C559" s="106" t="str">
        <f ca="1">INDIRECT(_xlfn.TEXTJOIN("",TRUE,A566,"!",ADDRESS(18+(A567-1)*A563,2)))</f>
        <v/>
      </c>
      <c r="D559" s="107"/>
      <c r="E559" s="107"/>
      <c r="F559" s="107"/>
      <c r="G559" s="108"/>
      <c r="H559" s="20" t="str">
        <f ca="1">INDIRECT(_xlfn.TEXTJOIN("",TRUE,A566,"!",ADDRESS(18+(A567-1)*A563,6)))</f>
        <v/>
      </c>
      <c r="I559" s="20" t="str">
        <f ca="1">INDIRECT(_xlfn.TEXTJOIN("",TRUE,A566,"!",ADDRESS(18+(A567-1)*A563,13)))</f>
        <v/>
      </c>
      <c r="J559" s="20" t="str">
        <f ca="1">INDIRECT(_xlfn.TEXTJOIN("",TRUE,A566,"!",ADDRESS(18+(A567-1)*A563,14)))</f>
        <v/>
      </c>
    </row>
    <row r="560" spans="1:10" ht="28" customHeight="1" x14ac:dyDescent="0.2">
      <c r="A560" s="96" t="str">
        <f ca="1">INDIRECT(_xlfn.TEXTJOIN("",TRUE,A566,"!",ADDRESS(19+(A567-1)*A563,1)))</f>
        <v/>
      </c>
      <c r="B560" s="97"/>
      <c r="C560" s="106" t="str">
        <f ca="1">INDIRECT(_xlfn.TEXTJOIN("",TRUE,A566,"!",ADDRESS(19+(A567-1)*A563,2)))</f>
        <v/>
      </c>
      <c r="D560" s="107"/>
      <c r="E560" s="107"/>
      <c r="F560" s="107"/>
      <c r="G560" s="108"/>
      <c r="H560" s="20" t="str">
        <f ca="1">INDIRECT(_xlfn.TEXTJOIN("",TRUE,A566,"!",ADDRESS(19+(A567-1)*A563,6)))</f>
        <v/>
      </c>
      <c r="I560" s="20" t="str">
        <f ca="1">INDIRECT(_xlfn.TEXTJOIN("",TRUE,A566,"!",ADDRESS(19+(A567-1)*A563,13)))</f>
        <v/>
      </c>
      <c r="J560" s="20" t="str">
        <f ca="1">INDIRECT(_xlfn.TEXTJOIN("",TRUE,A566,"!",ADDRESS(19+(A567-1)*A563,14)))</f>
        <v/>
      </c>
    </row>
    <row r="561" spans="1:10" ht="28" customHeight="1" x14ac:dyDescent="0.2">
      <c r="A561" s="96" t="str">
        <f ca="1">INDIRECT(_xlfn.TEXTJOIN("",TRUE,A566,"!",ADDRESS(20+(A567-1)*A563,1)))</f>
        <v/>
      </c>
      <c r="B561" s="97"/>
      <c r="C561" s="106" t="str">
        <f ca="1">INDIRECT(_xlfn.TEXTJOIN("",TRUE,A566,"!",ADDRESS(20+(A567-1)*A563,2)))</f>
        <v/>
      </c>
      <c r="D561" s="107"/>
      <c r="E561" s="107"/>
      <c r="F561" s="107"/>
      <c r="G561" s="108"/>
      <c r="H561" s="20" t="str">
        <f ca="1">INDIRECT(_xlfn.TEXTJOIN("",TRUE,A566,"!",ADDRESS(20+(A567-1)*A563,6)))</f>
        <v/>
      </c>
      <c r="I561" s="20" t="str">
        <f ca="1">INDIRECT(_xlfn.TEXTJOIN("",TRUE,A566,"!",ADDRESS(20+(A567-1)*A563,13)))</f>
        <v/>
      </c>
      <c r="J561" s="20" t="str">
        <f ca="1">INDIRECT(_xlfn.TEXTJOIN("",TRUE,A566,"!",ADDRESS(20+(A567-1)*A563,14)))</f>
        <v/>
      </c>
    </row>
    <row r="562" spans="1:10" ht="28" customHeight="1" x14ac:dyDescent="0.2">
      <c r="A562" s="118" t="s">
        <v>52</v>
      </c>
      <c r="B562" s="118"/>
      <c r="C562" s="118"/>
      <c r="D562" s="118"/>
      <c r="E562" s="118"/>
      <c r="F562" s="118"/>
      <c r="G562" s="118"/>
      <c r="H562" s="16">
        <f ca="1">SUM(H554:H561)</f>
        <v>0</v>
      </c>
      <c r="I562" s="16" t="s">
        <v>44</v>
      </c>
      <c r="J562" s="16">
        <f ca="1">SUMPRODUCT(J554:J561,H554:H561)</f>
        <v>0</v>
      </c>
    </row>
    <row r="563" spans="1:10" ht="28" customHeight="1" x14ac:dyDescent="0.2">
      <c r="A563" s="22">
        <f>ROWS(A554:B561)+9</f>
        <v>17</v>
      </c>
      <c r="B563" s="17"/>
      <c r="C563" s="17"/>
      <c r="D563" s="17"/>
      <c r="E563" s="17"/>
      <c r="F563" s="17"/>
      <c r="G563" s="17"/>
      <c r="H563" s="17"/>
      <c r="I563" s="17"/>
      <c r="J563" s="17"/>
    </row>
    <row r="564" spans="1:10" ht="28" customHeight="1" x14ac:dyDescent="0.2">
      <c r="A564" s="120" t="s">
        <v>40</v>
      </c>
      <c r="B564" s="120"/>
      <c r="C564" s="21" t="str">
        <f ca="1">INDIRECT(_xlfn.TEXTJOIN("",TRUE,A566,"!",ADDRESS(5+A567*A563,12)))</f>
        <v/>
      </c>
      <c r="D564" s="120" t="s">
        <v>38</v>
      </c>
      <c r="E564" s="120"/>
      <c r="F564" s="18" t="str">
        <f ca="1">INDIRECT(_xlfn.TEXTJOIN("",TRUE,A566,"!",ADDRESS(5+A567*A563,8)))</f>
        <v/>
      </c>
      <c r="G564" s="120" t="s">
        <v>39</v>
      </c>
      <c r="H564" s="120"/>
      <c r="I564" s="109" t="str">
        <f ca="1">INDIRECT(_xlfn.TEXTJOIN("",TRUE,A566,"!",ADDRESS(5+A567*A563,10)))</f>
        <v/>
      </c>
      <c r="J564" s="109"/>
    </row>
    <row r="565" spans="1:10" ht="28" customHeight="1" x14ac:dyDescent="0.2">
      <c r="A565" s="19" t="s">
        <v>36</v>
      </c>
      <c r="B565" s="95" t="str">
        <f ca="1">INDIRECT(_xlfn.TEXTJOIN("",TRUE,A566,"!",ADDRESS(5+A567*A563,2)))</f>
        <v/>
      </c>
      <c r="C565" s="95"/>
      <c r="D565" s="121" t="s">
        <v>37</v>
      </c>
      <c r="E565" s="121"/>
      <c r="F565" s="122" t="str">
        <f ca="1">INDIRECT(_xlfn.TEXTJOIN("",TRUE,A566,"!",ADDRESS(5+A567*A563,5)))</f>
        <v/>
      </c>
      <c r="G565" s="122"/>
      <c r="H565" s="122"/>
      <c r="I565" s="122"/>
      <c r="J565" s="122"/>
    </row>
    <row r="566" spans="1:10" ht="28" customHeight="1" x14ac:dyDescent="0.2">
      <c r="A566" s="22" t="str">
        <f>A549</f>
        <v>TC_III</v>
      </c>
    </row>
    <row r="567" spans="1:10" ht="28" customHeight="1" x14ac:dyDescent="0.2">
      <c r="A567" s="22">
        <f>A550+1</f>
        <v>33</v>
      </c>
    </row>
    <row r="568" spans="1:10" ht="28" customHeight="1" x14ac:dyDescent="0.2">
      <c r="A568" s="112" t="s">
        <v>24</v>
      </c>
      <c r="B568" s="112"/>
      <c r="C568" s="112" t="str">
        <f ca="1">INDIRECT(_xlfn.TEXTJOIN("",TRUE,A583,"!",ADDRESS(9+(A584-1)*A580,2)))</f>
        <v/>
      </c>
      <c r="D568" s="112"/>
      <c r="E568" s="112"/>
      <c r="F568" s="112" t="s">
        <v>50</v>
      </c>
      <c r="G568" s="112"/>
      <c r="H568" s="112"/>
      <c r="I568" s="113" t="str">
        <f ca="1">INDIRECT(_xlfn.TEXTJOIN("",TRUE,A583,"!",ADDRESS(9+(A584-1)*A580,9)))</f>
        <v/>
      </c>
      <c r="J568" s="113"/>
    </row>
    <row r="569" spans="1:10" ht="28" customHeight="1" x14ac:dyDescent="0.2">
      <c r="A569" s="112" t="s">
        <v>25</v>
      </c>
      <c r="B569" s="112"/>
      <c r="C569" s="112" t="str">
        <f ca="1">INDIRECT(_xlfn.TEXTJOIN("",TRUE,A583,"!",ADDRESS(9+(A584-1)*A580,5)))</f>
        <v/>
      </c>
      <c r="D569" s="112"/>
      <c r="E569" s="112"/>
      <c r="F569" s="114" t="s">
        <v>51</v>
      </c>
      <c r="G569" s="114"/>
      <c r="H569" s="114"/>
      <c r="I569" s="113" t="str">
        <f ca="1">INDIRECT(_xlfn.TEXTJOIN("",TRUE,A583,"!",ADDRESS(9+(A584-1)*A580,13)))</f>
        <v/>
      </c>
      <c r="J569" s="113"/>
    </row>
    <row r="570" spans="1:10" ht="28" customHeight="1" x14ac:dyDescent="0.2">
      <c r="A570" s="95" t="s">
        <v>28</v>
      </c>
      <c r="B570" s="95"/>
      <c r="C570" s="95" t="s">
        <v>29</v>
      </c>
      <c r="D570" s="95"/>
      <c r="E570" s="95"/>
      <c r="F570" s="95"/>
      <c r="G570" s="95"/>
      <c r="H570" s="15" t="s">
        <v>30</v>
      </c>
      <c r="I570" s="15" t="s">
        <v>9</v>
      </c>
      <c r="J570" s="15" t="s">
        <v>34</v>
      </c>
    </row>
    <row r="571" spans="1:10" ht="28" customHeight="1" x14ac:dyDescent="0.2">
      <c r="A571" s="96" t="str">
        <f ca="1">INDIRECT(_xlfn.TEXTJOIN("",TRUE,A583,"!",ADDRESS(13+(A584-1)*A580,1)))</f>
        <v/>
      </c>
      <c r="B571" s="97"/>
      <c r="C571" s="106" t="str">
        <f ca="1">INDIRECT(_xlfn.TEXTJOIN("",TRUE,A583,"!",ADDRESS(13+(A584-1)*A580,2)))</f>
        <v/>
      </c>
      <c r="D571" s="107"/>
      <c r="E571" s="107"/>
      <c r="F571" s="107"/>
      <c r="G571" s="108"/>
      <c r="H571" s="20" t="str">
        <f ca="1">INDIRECT(_xlfn.TEXTJOIN("",TRUE,A583,"!",ADDRESS(13+(A584-1)*A580,6)))</f>
        <v/>
      </c>
      <c r="I571" s="20" t="str">
        <f ca="1">INDIRECT(_xlfn.TEXTJOIN("",TRUE,A583,"!",ADDRESS(13+(A584-1)*A580,13)))</f>
        <v/>
      </c>
      <c r="J571" s="20" t="str">
        <f ca="1">INDIRECT(_xlfn.TEXTJOIN("",TRUE,A583,"!",ADDRESS(13+(A584-1)*A580,14)))</f>
        <v/>
      </c>
    </row>
    <row r="572" spans="1:10" ht="28" customHeight="1" x14ac:dyDescent="0.2">
      <c r="A572" s="96" t="str">
        <f ca="1">INDIRECT(_xlfn.TEXTJOIN("",TRUE,A583,"!",ADDRESS(14+(A584-1)*A580,1)))</f>
        <v/>
      </c>
      <c r="B572" s="97"/>
      <c r="C572" s="106" t="str">
        <f ca="1">INDIRECT(_xlfn.TEXTJOIN("",TRUE,A583,"!",ADDRESS(14+(A584-1)*A580,2)))</f>
        <v/>
      </c>
      <c r="D572" s="107"/>
      <c r="E572" s="107"/>
      <c r="F572" s="107"/>
      <c r="G572" s="108"/>
      <c r="H572" s="20" t="str">
        <f ca="1">INDIRECT(_xlfn.TEXTJOIN("",TRUE,A583,"!",ADDRESS(14+(A584-1)*A580,6)))</f>
        <v/>
      </c>
      <c r="I572" s="20" t="str">
        <f ca="1">INDIRECT(_xlfn.TEXTJOIN("",TRUE,A583,"!",ADDRESS(14+(A584-1)*A580,13)))</f>
        <v/>
      </c>
      <c r="J572" s="20" t="str">
        <f ca="1">INDIRECT(_xlfn.TEXTJOIN("",TRUE,A583,"!",ADDRESS(14+(A584-1)*A580,14)))</f>
        <v/>
      </c>
    </row>
    <row r="573" spans="1:10" ht="28" customHeight="1" x14ac:dyDescent="0.2">
      <c r="A573" s="96" t="str">
        <f ca="1">INDIRECT(_xlfn.TEXTJOIN("",TRUE,A583,"!",ADDRESS(15+(A584-1)*A580,1)))</f>
        <v/>
      </c>
      <c r="B573" s="97"/>
      <c r="C573" s="106" t="str">
        <f ca="1">INDIRECT(_xlfn.TEXTJOIN("",TRUE,A583,"!",ADDRESS(15+(A584-1)*A580,2)))</f>
        <v/>
      </c>
      <c r="D573" s="107"/>
      <c r="E573" s="107"/>
      <c r="F573" s="107"/>
      <c r="G573" s="108"/>
      <c r="H573" s="20" t="str">
        <f ca="1">INDIRECT(_xlfn.TEXTJOIN("",TRUE,A583,"!",ADDRESS(15+(A584-1)*A580,6)))</f>
        <v/>
      </c>
      <c r="I573" s="20" t="str">
        <f ca="1">INDIRECT(_xlfn.TEXTJOIN("",TRUE,A583,"!",ADDRESS(15+(A584-1)*A580,13)))</f>
        <v/>
      </c>
      <c r="J573" s="20" t="str">
        <f ca="1">INDIRECT(_xlfn.TEXTJOIN("",TRUE,A583,"!",ADDRESS(15+(A584-1)*A580,14)))</f>
        <v/>
      </c>
    </row>
    <row r="574" spans="1:10" ht="28" customHeight="1" x14ac:dyDescent="0.2">
      <c r="A574" s="96" t="str">
        <f ca="1">INDIRECT(_xlfn.TEXTJOIN("",TRUE,A583,"!",ADDRESS(16+(A584-1)*A580,1)))</f>
        <v/>
      </c>
      <c r="B574" s="97"/>
      <c r="C574" s="106" t="str">
        <f ca="1">INDIRECT(_xlfn.TEXTJOIN("",TRUE,A583,"!",ADDRESS(16+(A584-1)*A580,2)))</f>
        <v/>
      </c>
      <c r="D574" s="107"/>
      <c r="E574" s="107"/>
      <c r="F574" s="107"/>
      <c r="G574" s="108"/>
      <c r="H574" s="20" t="str">
        <f ca="1">INDIRECT(_xlfn.TEXTJOIN("",TRUE,A583,"!",ADDRESS(16+(A584-1)*A580,6)))</f>
        <v/>
      </c>
      <c r="I574" s="20" t="str">
        <f ca="1">INDIRECT(_xlfn.TEXTJOIN("",TRUE,A583,"!",ADDRESS(16+(A584-1)*A580,13)))</f>
        <v/>
      </c>
      <c r="J574" s="20" t="str">
        <f ca="1">INDIRECT(_xlfn.TEXTJOIN("",TRUE,A583,"!",ADDRESS(16+(A584-1)*A580,14)))</f>
        <v/>
      </c>
    </row>
    <row r="575" spans="1:10" ht="28" customHeight="1" x14ac:dyDescent="0.2">
      <c r="A575" s="96" t="str">
        <f ca="1">INDIRECT(_xlfn.TEXTJOIN("",TRUE,A583,"!",ADDRESS(17+(A584-1)*A580,1)))</f>
        <v/>
      </c>
      <c r="B575" s="97"/>
      <c r="C575" s="106" t="str">
        <f ca="1">INDIRECT(_xlfn.TEXTJOIN("",TRUE,A583,"!",ADDRESS(17+(A584-1)*A580,2)))</f>
        <v/>
      </c>
      <c r="D575" s="107"/>
      <c r="E575" s="107"/>
      <c r="F575" s="107"/>
      <c r="G575" s="108"/>
      <c r="H575" s="20" t="str">
        <f ca="1">INDIRECT(_xlfn.TEXTJOIN("",TRUE,A583,"!",ADDRESS(17+(A584-1)*A580,6)))</f>
        <v/>
      </c>
      <c r="I575" s="20" t="str">
        <f ca="1">INDIRECT(_xlfn.TEXTJOIN("",TRUE,A583,"!",ADDRESS(17+(A584-1)*A580,13)))</f>
        <v/>
      </c>
      <c r="J575" s="20" t="str">
        <f ca="1">INDIRECT(_xlfn.TEXTJOIN("",TRUE,A583,"!",ADDRESS(17+(A584-1)*A580,14)))</f>
        <v/>
      </c>
    </row>
    <row r="576" spans="1:10" ht="28" customHeight="1" x14ac:dyDescent="0.2">
      <c r="A576" s="96" t="str">
        <f ca="1">INDIRECT(_xlfn.TEXTJOIN("",TRUE,A583,"!",ADDRESS(18+(A584-1)*A580,1)))</f>
        <v/>
      </c>
      <c r="B576" s="97"/>
      <c r="C576" s="106" t="str">
        <f ca="1">INDIRECT(_xlfn.TEXTJOIN("",TRUE,A583,"!",ADDRESS(18+(A584-1)*A580,2)))</f>
        <v/>
      </c>
      <c r="D576" s="107"/>
      <c r="E576" s="107"/>
      <c r="F576" s="107"/>
      <c r="G576" s="108"/>
      <c r="H576" s="20" t="str">
        <f ca="1">INDIRECT(_xlfn.TEXTJOIN("",TRUE,A583,"!",ADDRESS(18+(A584-1)*A580,6)))</f>
        <v/>
      </c>
      <c r="I576" s="20" t="str">
        <f ca="1">INDIRECT(_xlfn.TEXTJOIN("",TRUE,A583,"!",ADDRESS(18+(A584-1)*A580,13)))</f>
        <v/>
      </c>
      <c r="J576" s="20" t="str">
        <f ca="1">INDIRECT(_xlfn.TEXTJOIN("",TRUE,A583,"!",ADDRESS(18+(A584-1)*A580,14)))</f>
        <v/>
      </c>
    </row>
    <row r="577" spans="1:10" ht="28" customHeight="1" x14ac:dyDescent="0.2">
      <c r="A577" s="96" t="str">
        <f ca="1">INDIRECT(_xlfn.TEXTJOIN("",TRUE,A583,"!",ADDRESS(19+(A584-1)*A580,1)))</f>
        <v/>
      </c>
      <c r="B577" s="97"/>
      <c r="C577" s="106" t="str">
        <f ca="1">INDIRECT(_xlfn.TEXTJOIN("",TRUE,A583,"!",ADDRESS(19+(A584-1)*A580,2)))</f>
        <v/>
      </c>
      <c r="D577" s="107"/>
      <c r="E577" s="107"/>
      <c r="F577" s="107"/>
      <c r="G577" s="108"/>
      <c r="H577" s="20" t="str">
        <f ca="1">INDIRECT(_xlfn.TEXTJOIN("",TRUE,A583,"!",ADDRESS(19+(A584-1)*A580,6)))</f>
        <v/>
      </c>
      <c r="I577" s="20" t="str">
        <f ca="1">INDIRECT(_xlfn.TEXTJOIN("",TRUE,A583,"!",ADDRESS(19+(A584-1)*A580,13)))</f>
        <v/>
      </c>
      <c r="J577" s="20" t="str">
        <f ca="1">INDIRECT(_xlfn.TEXTJOIN("",TRUE,A583,"!",ADDRESS(19+(A584-1)*A580,14)))</f>
        <v/>
      </c>
    </row>
    <row r="578" spans="1:10" ht="28" customHeight="1" x14ac:dyDescent="0.2">
      <c r="A578" s="96" t="str">
        <f ca="1">INDIRECT(_xlfn.TEXTJOIN("",TRUE,A583,"!",ADDRESS(20+(A584-1)*A580,1)))</f>
        <v/>
      </c>
      <c r="B578" s="97"/>
      <c r="C578" s="106" t="str">
        <f ca="1">INDIRECT(_xlfn.TEXTJOIN("",TRUE,A583,"!",ADDRESS(20+(A584-1)*A580,2)))</f>
        <v/>
      </c>
      <c r="D578" s="107"/>
      <c r="E578" s="107"/>
      <c r="F578" s="107"/>
      <c r="G578" s="108"/>
      <c r="H578" s="20" t="str">
        <f ca="1">INDIRECT(_xlfn.TEXTJOIN("",TRUE,A583,"!",ADDRESS(20+(A584-1)*A580,6)))</f>
        <v/>
      </c>
      <c r="I578" s="20" t="str">
        <f ca="1">INDIRECT(_xlfn.TEXTJOIN("",TRUE,A583,"!",ADDRESS(20+(A584-1)*A580,13)))</f>
        <v/>
      </c>
      <c r="J578" s="20" t="str">
        <f ca="1">INDIRECT(_xlfn.TEXTJOIN("",TRUE,A583,"!",ADDRESS(20+(A584-1)*A580,14)))</f>
        <v/>
      </c>
    </row>
    <row r="579" spans="1:10" ht="28" customHeight="1" x14ac:dyDescent="0.2">
      <c r="A579" s="118" t="s">
        <v>52</v>
      </c>
      <c r="B579" s="118"/>
      <c r="C579" s="118"/>
      <c r="D579" s="118"/>
      <c r="E579" s="118"/>
      <c r="F579" s="118"/>
      <c r="G579" s="118"/>
      <c r="H579" s="16">
        <f ca="1">SUM(H571:H578)</f>
        <v>0</v>
      </c>
      <c r="I579" s="16" t="s">
        <v>44</v>
      </c>
      <c r="J579" s="16">
        <f ca="1">SUMPRODUCT(J571:J578,H571:H578)</f>
        <v>0</v>
      </c>
    </row>
    <row r="580" spans="1:10" ht="28" customHeight="1" x14ac:dyDescent="0.2">
      <c r="A580" s="22">
        <f>ROWS(A571:B578)+9</f>
        <v>17</v>
      </c>
      <c r="B580" s="17"/>
      <c r="C580" s="17"/>
      <c r="D580" s="17"/>
      <c r="E580" s="17"/>
      <c r="F580" s="17"/>
      <c r="G580" s="17"/>
      <c r="H580" s="17"/>
      <c r="I580" s="17"/>
      <c r="J580" s="17"/>
    </row>
    <row r="581" spans="1:10" ht="28" customHeight="1" x14ac:dyDescent="0.2">
      <c r="A581" s="120" t="s">
        <v>40</v>
      </c>
      <c r="B581" s="120"/>
      <c r="C581" s="21" t="str">
        <f ca="1">INDIRECT(_xlfn.TEXTJOIN("",TRUE,A583,"!",ADDRESS(5+A584*A580,12)))</f>
        <v/>
      </c>
      <c r="D581" s="120" t="s">
        <v>38</v>
      </c>
      <c r="E581" s="120"/>
      <c r="F581" s="18" t="str">
        <f ca="1">INDIRECT(_xlfn.TEXTJOIN("",TRUE,A583,"!",ADDRESS(5+A584*A580,8)))</f>
        <v/>
      </c>
      <c r="G581" s="120" t="s">
        <v>39</v>
      </c>
      <c r="H581" s="120"/>
      <c r="I581" s="109" t="str">
        <f ca="1">INDIRECT(_xlfn.TEXTJOIN("",TRUE,A583,"!",ADDRESS(5+A584*A580,10)))</f>
        <v/>
      </c>
      <c r="J581" s="109"/>
    </row>
    <row r="582" spans="1:10" ht="28" customHeight="1" x14ac:dyDescent="0.2">
      <c r="A582" s="19" t="s">
        <v>36</v>
      </c>
      <c r="B582" s="95" t="str">
        <f ca="1">INDIRECT(_xlfn.TEXTJOIN("",TRUE,A583,"!",ADDRESS(5+A584*A580,2)))</f>
        <v/>
      </c>
      <c r="C582" s="95"/>
      <c r="D582" s="121" t="s">
        <v>37</v>
      </c>
      <c r="E582" s="121"/>
      <c r="F582" s="122" t="str">
        <f ca="1">INDIRECT(_xlfn.TEXTJOIN("",TRUE,A583,"!",ADDRESS(5+A584*A580,5)))</f>
        <v/>
      </c>
      <c r="G582" s="122"/>
      <c r="H582" s="122"/>
      <c r="I582" s="122"/>
      <c r="J582" s="122"/>
    </row>
    <row r="583" spans="1:10" ht="28" customHeight="1" x14ac:dyDescent="0.2">
      <c r="A583" s="22" t="str">
        <f>A566</f>
        <v>TC_III</v>
      </c>
    </row>
    <row r="584" spans="1:10" ht="28" customHeight="1" x14ac:dyDescent="0.2">
      <c r="A584" s="22">
        <f>A567+1</f>
        <v>34</v>
      </c>
    </row>
    <row r="585" spans="1:10" ht="28" customHeight="1" x14ac:dyDescent="0.2">
      <c r="A585" s="112" t="s">
        <v>24</v>
      </c>
      <c r="B585" s="112"/>
      <c r="C585" s="112" t="str">
        <f ca="1">INDIRECT(_xlfn.TEXTJOIN("",TRUE,A600,"!",ADDRESS(9+(A601-1)*A597,2)))</f>
        <v/>
      </c>
      <c r="D585" s="112"/>
      <c r="E585" s="112"/>
      <c r="F585" s="112" t="s">
        <v>50</v>
      </c>
      <c r="G585" s="112"/>
      <c r="H585" s="112"/>
      <c r="I585" s="113" t="str">
        <f ca="1">INDIRECT(_xlfn.TEXTJOIN("",TRUE,A600,"!",ADDRESS(9+(A601-1)*A597,9)))</f>
        <v/>
      </c>
      <c r="J585" s="113"/>
    </row>
    <row r="586" spans="1:10" ht="28" customHeight="1" x14ac:dyDescent="0.2">
      <c r="A586" s="112" t="s">
        <v>25</v>
      </c>
      <c r="B586" s="112"/>
      <c r="C586" s="112" t="str">
        <f ca="1">INDIRECT(_xlfn.TEXTJOIN("",TRUE,A600,"!",ADDRESS(9+(A601-1)*A597,5)))</f>
        <v/>
      </c>
      <c r="D586" s="112"/>
      <c r="E586" s="112"/>
      <c r="F586" s="114" t="s">
        <v>51</v>
      </c>
      <c r="G586" s="114"/>
      <c r="H586" s="114"/>
      <c r="I586" s="113" t="str">
        <f ca="1">INDIRECT(_xlfn.TEXTJOIN("",TRUE,A600,"!",ADDRESS(9+(A601-1)*A597,13)))</f>
        <v/>
      </c>
      <c r="J586" s="113"/>
    </row>
    <row r="587" spans="1:10" ht="28" customHeight="1" x14ac:dyDescent="0.2">
      <c r="A587" s="95" t="s">
        <v>28</v>
      </c>
      <c r="B587" s="95"/>
      <c r="C587" s="95" t="s">
        <v>29</v>
      </c>
      <c r="D587" s="95"/>
      <c r="E587" s="95"/>
      <c r="F587" s="95"/>
      <c r="G587" s="95"/>
      <c r="H587" s="15" t="s">
        <v>30</v>
      </c>
      <c r="I587" s="15" t="s">
        <v>9</v>
      </c>
      <c r="J587" s="15" t="s">
        <v>34</v>
      </c>
    </row>
    <row r="588" spans="1:10" ht="28" customHeight="1" x14ac:dyDescent="0.2">
      <c r="A588" s="96" t="str">
        <f ca="1">INDIRECT(_xlfn.TEXTJOIN("",TRUE,A600,"!",ADDRESS(13+(A601-1)*A597,1)))</f>
        <v/>
      </c>
      <c r="B588" s="97"/>
      <c r="C588" s="106" t="str">
        <f ca="1">INDIRECT(_xlfn.TEXTJOIN("",TRUE,A600,"!",ADDRESS(13+(A601-1)*A597,2)))</f>
        <v/>
      </c>
      <c r="D588" s="107"/>
      <c r="E588" s="107"/>
      <c r="F588" s="107"/>
      <c r="G588" s="108"/>
      <c r="H588" s="20" t="str">
        <f ca="1">INDIRECT(_xlfn.TEXTJOIN("",TRUE,A600,"!",ADDRESS(13+(A601-1)*A597,6)))</f>
        <v/>
      </c>
      <c r="I588" s="20" t="str">
        <f ca="1">INDIRECT(_xlfn.TEXTJOIN("",TRUE,A600,"!",ADDRESS(13+(A601-1)*A597,13)))</f>
        <v/>
      </c>
      <c r="J588" s="20" t="str">
        <f ca="1">INDIRECT(_xlfn.TEXTJOIN("",TRUE,A600,"!",ADDRESS(13+(A601-1)*A597,14)))</f>
        <v/>
      </c>
    </row>
    <row r="589" spans="1:10" ht="28" customHeight="1" x14ac:dyDescent="0.2">
      <c r="A589" s="96" t="str">
        <f ca="1">INDIRECT(_xlfn.TEXTJOIN("",TRUE,A600,"!",ADDRESS(14+(A601-1)*A597,1)))</f>
        <v/>
      </c>
      <c r="B589" s="97"/>
      <c r="C589" s="106" t="str">
        <f ca="1">INDIRECT(_xlfn.TEXTJOIN("",TRUE,A600,"!",ADDRESS(14+(A601-1)*A597,2)))</f>
        <v/>
      </c>
      <c r="D589" s="107"/>
      <c r="E589" s="107"/>
      <c r="F589" s="107"/>
      <c r="G589" s="108"/>
      <c r="H589" s="20" t="str">
        <f ca="1">INDIRECT(_xlfn.TEXTJOIN("",TRUE,A600,"!",ADDRESS(14+(A601-1)*A597,6)))</f>
        <v/>
      </c>
      <c r="I589" s="20" t="str">
        <f ca="1">INDIRECT(_xlfn.TEXTJOIN("",TRUE,A600,"!",ADDRESS(14+(A601-1)*A597,13)))</f>
        <v/>
      </c>
      <c r="J589" s="20" t="str">
        <f ca="1">INDIRECT(_xlfn.TEXTJOIN("",TRUE,A600,"!",ADDRESS(14+(A601-1)*A597,14)))</f>
        <v/>
      </c>
    </row>
    <row r="590" spans="1:10" ht="28" customHeight="1" x14ac:dyDescent="0.2">
      <c r="A590" s="96" t="str">
        <f ca="1">INDIRECT(_xlfn.TEXTJOIN("",TRUE,A600,"!",ADDRESS(15+(A601-1)*A597,1)))</f>
        <v/>
      </c>
      <c r="B590" s="97"/>
      <c r="C590" s="106" t="str">
        <f ca="1">INDIRECT(_xlfn.TEXTJOIN("",TRUE,A600,"!",ADDRESS(15+(A601-1)*A597,2)))</f>
        <v/>
      </c>
      <c r="D590" s="107"/>
      <c r="E590" s="107"/>
      <c r="F590" s="107"/>
      <c r="G590" s="108"/>
      <c r="H590" s="20" t="str">
        <f ca="1">INDIRECT(_xlfn.TEXTJOIN("",TRUE,A600,"!",ADDRESS(15+(A601-1)*A597,6)))</f>
        <v/>
      </c>
      <c r="I590" s="20" t="str">
        <f ca="1">INDIRECT(_xlfn.TEXTJOIN("",TRUE,A600,"!",ADDRESS(15+(A601-1)*A597,13)))</f>
        <v/>
      </c>
      <c r="J590" s="20" t="str">
        <f ca="1">INDIRECT(_xlfn.TEXTJOIN("",TRUE,A600,"!",ADDRESS(15+(A601-1)*A597,14)))</f>
        <v/>
      </c>
    </row>
    <row r="591" spans="1:10" ht="28" customHeight="1" x14ac:dyDescent="0.2">
      <c r="A591" s="96" t="str">
        <f ca="1">INDIRECT(_xlfn.TEXTJOIN("",TRUE,A600,"!",ADDRESS(16+(A601-1)*A597,1)))</f>
        <v/>
      </c>
      <c r="B591" s="97"/>
      <c r="C591" s="106" t="str">
        <f ca="1">INDIRECT(_xlfn.TEXTJOIN("",TRUE,A600,"!",ADDRESS(16+(A601-1)*A597,2)))</f>
        <v/>
      </c>
      <c r="D591" s="107"/>
      <c r="E591" s="107"/>
      <c r="F591" s="107"/>
      <c r="G591" s="108"/>
      <c r="H591" s="20" t="str">
        <f ca="1">INDIRECT(_xlfn.TEXTJOIN("",TRUE,A600,"!",ADDRESS(16+(A601-1)*A597,6)))</f>
        <v/>
      </c>
      <c r="I591" s="20" t="str">
        <f ca="1">INDIRECT(_xlfn.TEXTJOIN("",TRUE,A600,"!",ADDRESS(16+(A601-1)*A597,13)))</f>
        <v/>
      </c>
      <c r="J591" s="20" t="str">
        <f ca="1">INDIRECT(_xlfn.TEXTJOIN("",TRUE,A600,"!",ADDRESS(16+(A601-1)*A597,14)))</f>
        <v/>
      </c>
    </row>
    <row r="592" spans="1:10" ht="28" customHeight="1" x14ac:dyDescent="0.2">
      <c r="A592" s="96" t="str">
        <f ca="1">INDIRECT(_xlfn.TEXTJOIN("",TRUE,A600,"!",ADDRESS(17+(A601-1)*A597,1)))</f>
        <v/>
      </c>
      <c r="B592" s="97"/>
      <c r="C592" s="106" t="str">
        <f ca="1">INDIRECT(_xlfn.TEXTJOIN("",TRUE,A600,"!",ADDRESS(17+(A601-1)*A597,2)))</f>
        <v/>
      </c>
      <c r="D592" s="107"/>
      <c r="E592" s="107"/>
      <c r="F592" s="107"/>
      <c r="G592" s="108"/>
      <c r="H592" s="20" t="str">
        <f ca="1">INDIRECT(_xlfn.TEXTJOIN("",TRUE,A600,"!",ADDRESS(17+(A601-1)*A597,6)))</f>
        <v/>
      </c>
      <c r="I592" s="20" t="str">
        <f ca="1">INDIRECT(_xlfn.TEXTJOIN("",TRUE,A600,"!",ADDRESS(17+(A601-1)*A597,13)))</f>
        <v/>
      </c>
      <c r="J592" s="20" t="str">
        <f ca="1">INDIRECT(_xlfn.TEXTJOIN("",TRUE,A600,"!",ADDRESS(17+(A601-1)*A597,14)))</f>
        <v/>
      </c>
    </row>
    <row r="593" spans="1:10" ht="28" customHeight="1" x14ac:dyDescent="0.2">
      <c r="A593" s="96" t="str">
        <f ca="1">INDIRECT(_xlfn.TEXTJOIN("",TRUE,A600,"!",ADDRESS(18+(A601-1)*A597,1)))</f>
        <v/>
      </c>
      <c r="B593" s="97"/>
      <c r="C593" s="106" t="str">
        <f ca="1">INDIRECT(_xlfn.TEXTJOIN("",TRUE,A600,"!",ADDRESS(18+(A601-1)*A597,2)))</f>
        <v/>
      </c>
      <c r="D593" s="107"/>
      <c r="E593" s="107"/>
      <c r="F593" s="107"/>
      <c r="G593" s="108"/>
      <c r="H593" s="20" t="str">
        <f ca="1">INDIRECT(_xlfn.TEXTJOIN("",TRUE,A600,"!",ADDRESS(18+(A601-1)*A597,6)))</f>
        <v/>
      </c>
      <c r="I593" s="20" t="str">
        <f ca="1">INDIRECT(_xlfn.TEXTJOIN("",TRUE,A600,"!",ADDRESS(18+(A601-1)*A597,13)))</f>
        <v/>
      </c>
      <c r="J593" s="20" t="str">
        <f ca="1">INDIRECT(_xlfn.TEXTJOIN("",TRUE,A600,"!",ADDRESS(18+(A601-1)*A597,14)))</f>
        <v/>
      </c>
    </row>
    <row r="594" spans="1:10" ht="28" customHeight="1" x14ac:dyDescent="0.2">
      <c r="A594" s="96" t="str">
        <f ca="1">INDIRECT(_xlfn.TEXTJOIN("",TRUE,A600,"!",ADDRESS(19+(A601-1)*A597,1)))</f>
        <v/>
      </c>
      <c r="B594" s="97"/>
      <c r="C594" s="106" t="str">
        <f ca="1">INDIRECT(_xlfn.TEXTJOIN("",TRUE,A600,"!",ADDRESS(19+(A601-1)*A597,2)))</f>
        <v/>
      </c>
      <c r="D594" s="107"/>
      <c r="E594" s="107"/>
      <c r="F594" s="107"/>
      <c r="G594" s="108"/>
      <c r="H594" s="20" t="str">
        <f ca="1">INDIRECT(_xlfn.TEXTJOIN("",TRUE,A600,"!",ADDRESS(19+(A601-1)*A597,6)))</f>
        <v/>
      </c>
      <c r="I594" s="20" t="str">
        <f ca="1">INDIRECT(_xlfn.TEXTJOIN("",TRUE,A600,"!",ADDRESS(19+(A601-1)*A597,13)))</f>
        <v/>
      </c>
      <c r="J594" s="20" t="str">
        <f ca="1">INDIRECT(_xlfn.TEXTJOIN("",TRUE,A600,"!",ADDRESS(19+(A601-1)*A597,14)))</f>
        <v/>
      </c>
    </row>
    <row r="595" spans="1:10" ht="28" customHeight="1" x14ac:dyDescent="0.2">
      <c r="A595" s="96" t="str">
        <f ca="1">INDIRECT(_xlfn.TEXTJOIN("",TRUE,A600,"!",ADDRESS(20+(A601-1)*A597,1)))</f>
        <v/>
      </c>
      <c r="B595" s="97"/>
      <c r="C595" s="106" t="str">
        <f ca="1">INDIRECT(_xlfn.TEXTJOIN("",TRUE,A600,"!",ADDRESS(20+(A601-1)*A597,2)))</f>
        <v/>
      </c>
      <c r="D595" s="107"/>
      <c r="E595" s="107"/>
      <c r="F595" s="107"/>
      <c r="G595" s="108"/>
      <c r="H595" s="20" t="str">
        <f ca="1">INDIRECT(_xlfn.TEXTJOIN("",TRUE,A600,"!",ADDRESS(20+(A601-1)*A597,6)))</f>
        <v/>
      </c>
      <c r="I595" s="20" t="str">
        <f ca="1">INDIRECT(_xlfn.TEXTJOIN("",TRUE,A600,"!",ADDRESS(20+(A601-1)*A597,13)))</f>
        <v/>
      </c>
      <c r="J595" s="20" t="str">
        <f ca="1">INDIRECT(_xlfn.TEXTJOIN("",TRUE,A600,"!",ADDRESS(20+(A601-1)*A597,14)))</f>
        <v/>
      </c>
    </row>
    <row r="596" spans="1:10" ht="28" customHeight="1" x14ac:dyDescent="0.2">
      <c r="A596" s="118" t="s">
        <v>52</v>
      </c>
      <c r="B596" s="118"/>
      <c r="C596" s="118"/>
      <c r="D596" s="118"/>
      <c r="E596" s="118"/>
      <c r="F596" s="118"/>
      <c r="G596" s="118"/>
      <c r="H596" s="16">
        <f ca="1">SUM(H588:H595)</f>
        <v>0</v>
      </c>
      <c r="I596" s="16" t="s">
        <v>44</v>
      </c>
      <c r="J596" s="16">
        <f ca="1">SUMPRODUCT(J588:J595,H588:H595)</f>
        <v>0</v>
      </c>
    </row>
    <row r="597" spans="1:10" ht="28" customHeight="1" x14ac:dyDescent="0.2">
      <c r="A597" s="22">
        <f>ROWS(A588:B595)+9</f>
        <v>17</v>
      </c>
      <c r="B597" s="17"/>
      <c r="C597" s="17"/>
      <c r="D597" s="17"/>
      <c r="E597" s="17"/>
      <c r="F597" s="17"/>
      <c r="G597" s="17"/>
      <c r="H597" s="17"/>
      <c r="I597" s="17"/>
      <c r="J597" s="17"/>
    </row>
    <row r="598" spans="1:10" ht="28" customHeight="1" x14ac:dyDescent="0.2">
      <c r="A598" s="120" t="s">
        <v>40</v>
      </c>
      <c r="B598" s="120"/>
      <c r="C598" s="21" t="str">
        <f ca="1">INDIRECT(_xlfn.TEXTJOIN("",TRUE,A600,"!",ADDRESS(5+A601*A597,12)))</f>
        <v/>
      </c>
      <c r="D598" s="120" t="s">
        <v>38</v>
      </c>
      <c r="E598" s="120"/>
      <c r="F598" s="18" t="str">
        <f ca="1">INDIRECT(_xlfn.TEXTJOIN("",TRUE,A600,"!",ADDRESS(5+A601*A597,8)))</f>
        <v/>
      </c>
      <c r="G598" s="120" t="s">
        <v>39</v>
      </c>
      <c r="H598" s="120"/>
      <c r="I598" s="109" t="str">
        <f ca="1">INDIRECT(_xlfn.TEXTJOIN("",TRUE,A600,"!",ADDRESS(5+A601*A597,10)))</f>
        <v/>
      </c>
      <c r="J598" s="109"/>
    </row>
    <row r="599" spans="1:10" ht="28" customHeight="1" x14ac:dyDescent="0.2">
      <c r="A599" s="19" t="s">
        <v>36</v>
      </c>
      <c r="B599" s="95" t="str">
        <f ca="1">INDIRECT(_xlfn.TEXTJOIN("",TRUE,A600,"!",ADDRESS(5+A601*A597,2)))</f>
        <v/>
      </c>
      <c r="C599" s="95"/>
      <c r="D599" s="121" t="s">
        <v>37</v>
      </c>
      <c r="E599" s="121"/>
      <c r="F599" s="122" t="str">
        <f ca="1">INDIRECT(_xlfn.TEXTJOIN("",TRUE,A600,"!",ADDRESS(5+A601*A597,5)))</f>
        <v/>
      </c>
      <c r="G599" s="122"/>
      <c r="H599" s="122"/>
      <c r="I599" s="122"/>
      <c r="J599" s="122"/>
    </row>
    <row r="600" spans="1:10" ht="28" customHeight="1" x14ac:dyDescent="0.2">
      <c r="A600" s="22" t="str">
        <f>A583</f>
        <v>TC_III</v>
      </c>
    </row>
    <row r="601" spans="1:10" ht="28" customHeight="1" x14ac:dyDescent="0.2">
      <c r="A601" s="22">
        <f>A584+1</f>
        <v>35</v>
      </c>
    </row>
    <row r="602" spans="1:10" ht="28" customHeight="1" x14ac:dyDescent="0.2">
      <c r="A602" s="112" t="s">
        <v>24</v>
      </c>
      <c r="B602" s="112"/>
      <c r="C602" s="112" t="str">
        <f ca="1">INDIRECT(_xlfn.TEXTJOIN("",TRUE,A617,"!",ADDRESS(9+(A618-1)*A614,2)))</f>
        <v/>
      </c>
      <c r="D602" s="112"/>
      <c r="E602" s="112"/>
      <c r="F602" s="112" t="s">
        <v>50</v>
      </c>
      <c r="G602" s="112"/>
      <c r="H602" s="112"/>
      <c r="I602" s="113" t="str">
        <f ca="1">INDIRECT(_xlfn.TEXTJOIN("",TRUE,A617,"!",ADDRESS(9+(A618-1)*A614,9)))</f>
        <v/>
      </c>
      <c r="J602" s="113"/>
    </row>
    <row r="603" spans="1:10" ht="28" customHeight="1" x14ac:dyDescent="0.2">
      <c r="A603" s="112" t="s">
        <v>25</v>
      </c>
      <c r="B603" s="112"/>
      <c r="C603" s="112" t="str">
        <f ca="1">INDIRECT(_xlfn.TEXTJOIN("",TRUE,A617,"!",ADDRESS(9+(A618-1)*A614,5)))</f>
        <v/>
      </c>
      <c r="D603" s="112"/>
      <c r="E603" s="112"/>
      <c r="F603" s="114" t="s">
        <v>51</v>
      </c>
      <c r="G603" s="114"/>
      <c r="H603" s="114"/>
      <c r="I603" s="113" t="str">
        <f ca="1">INDIRECT(_xlfn.TEXTJOIN("",TRUE,A617,"!",ADDRESS(9+(A618-1)*A614,13)))</f>
        <v/>
      </c>
      <c r="J603" s="113"/>
    </row>
    <row r="604" spans="1:10" ht="28" customHeight="1" x14ac:dyDescent="0.2">
      <c r="A604" s="95" t="s">
        <v>28</v>
      </c>
      <c r="B604" s="95"/>
      <c r="C604" s="95" t="s">
        <v>29</v>
      </c>
      <c r="D604" s="95"/>
      <c r="E604" s="95"/>
      <c r="F604" s="95"/>
      <c r="G604" s="95"/>
      <c r="H604" s="15" t="s">
        <v>30</v>
      </c>
      <c r="I604" s="15" t="s">
        <v>9</v>
      </c>
      <c r="J604" s="15" t="s">
        <v>34</v>
      </c>
    </row>
    <row r="605" spans="1:10" ht="28" customHeight="1" x14ac:dyDescent="0.2">
      <c r="A605" s="96" t="str">
        <f ca="1">INDIRECT(_xlfn.TEXTJOIN("",TRUE,A617,"!",ADDRESS(13+(A618-1)*A614,1)))</f>
        <v/>
      </c>
      <c r="B605" s="97"/>
      <c r="C605" s="106" t="str">
        <f ca="1">INDIRECT(_xlfn.TEXTJOIN("",TRUE,A617,"!",ADDRESS(13+(A618-1)*A614,2)))</f>
        <v/>
      </c>
      <c r="D605" s="107"/>
      <c r="E605" s="107"/>
      <c r="F605" s="107"/>
      <c r="G605" s="108"/>
      <c r="H605" s="20" t="str">
        <f ca="1">INDIRECT(_xlfn.TEXTJOIN("",TRUE,A617,"!",ADDRESS(13+(A618-1)*A614,6)))</f>
        <v/>
      </c>
      <c r="I605" s="20" t="str">
        <f ca="1">INDIRECT(_xlfn.TEXTJOIN("",TRUE,A617,"!",ADDRESS(13+(A618-1)*A614,13)))</f>
        <v/>
      </c>
      <c r="J605" s="20" t="str">
        <f ca="1">INDIRECT(_xlfn.TEXTJOIN("",TRUE,A617,"!",ADDRESS(13+(A618-1)*A614,14)))</f>
        <v/>
      </c>
    </row>
    <row r="606" spans="1:10" ht="28" customHeight="1" x14ac:dyDescent="0.2">
      <c r="A606" s="96" t="str">
        <f ca="1">INDIRECT(_xlfn.TEXTJOIN("",TRUE,A617,"!",ADDRESS(14+(A618-1)*A614,1)))</f>
        <v/>
      </c>
      <c r="B606" s="97"/>
      <c r="C606" s="106" t="str">
        <f ca="1">INDIRECT(_xlfn.TEXTJOIN("",TRUE,A617,"!",ADDRESS(14+(A618-1)*A614,2)))</f>
        <v/>
      </c>
      <c r="D606" s="107"/>
      <c r="E606" s="107"/>
      <c r="F606" s="107"/>
      <c r="G606" s="108"/>
      <c r="H606" s="20" t="str">
        <f ca="1">INDIRECT(_xlfn.TEXTJOIN("",TRUE,A617,"!",ADDRESS(14+(A618-1)*A614,6)))</f>
        <v/>
      </c>
      <c r="I606" s="20" t="str">
        <f ca="1">INDIRECT(_xlfn.TEXTJOIN("",TRUE,A617,"!",ADDRESS(14+(A618-1)*A614,13)))</f>
        <v/>
      </c>
      <c r="J606" s="20" t="str">
        <f ca="1">INDIRECT(_xlfn.TEXTJOIN("",TRUE,A617,"!",ADDRESS(14+(A618-1)*A614,14)))</f>
        <v/>
      </c>
    </row>
    <row r="607" spans="1:10" ht="28" customHeight="1" x14ac:dyDescent="0.2">
      <c r="A607" s="96" t="str">
        <f ca="1">INDIRECT(_xlfn.TEXTJOIN("",TRUE,A617,"!",ADDRESS(15+(A618-1)*A614,1)))</f>
        <v/>
      </c>
      <c r="B607" s="97"/>
      <c r="C607" s="106" t="str">
        <f ca="1">INDIRECT(_xlfn.TEXTJOIN("",TRUE,A617,"!",ADDRESS(15+(A618-1)*A614,2)))</f>
        <v/>
      </c>
      <c r="D607" s="107"/>
      <c r="E607" s="107"/>
      <c r="F607" s="107"/>
      <c r="G607" s="108"/>
      <c r="H607" s="20" t="str">
        <f ca="1">INDIRECT(_xlfn.TEXTJOIN("",TRUE,A617,"!",ADDRESS(15+(A618-1)*A614,6)))</f>
        <v/>
      </c>
      <c r="I607" s="20" t="str">
        <f ca="1">INDIRECT(_xlfn.TEXTJOIN("",TRUE,A617,"!",ADDRESS(15+(A618-1)*A614,13)))</f>
        <v/>
      </c>
      <c r="J607" s="20" t="str">
        <f ca="1">INDIRECT(_xlfn.TEXTJOIN("",TRUE,A617,"!",ADDRESS(15+(A618-1)*A614,14)))</f>
        <v/>
      </c>
    </row>
    <row r="608" spans="1:10" ht="28" customHeight="1" x14ac:dyDescent="0.2">
      <c r="A608" s="96" t="str">
        <f ca="1">INDIRECT(_xlfn.TEXTJOIN("",TRUE,A617,"!",ADDRESS(16+(A618-1)*A614,1)))</f>
        <v/>
      </c>
      <c r="B608" s="97"/>
      <c r="C608" s="106" t="str">
        <f ca="1">INDIRECT(_xlfn.TEXTJOIN("",TRUE,A617,"!",ADDRESS(16+(A618-1)*A614,2)))</f>
        <v/>
      </c>
      <c r="D608" s="107"/>
      <c r="E608" s="107"/>
      <c r="F608" s="107"/>
      <c r="G608" s="108"/>
      <c r="H608" s="20" t="str">
        <f ca="1">INDIRECT(_xlfn.TEXTJOIN("",TRUE,A617,"!",ADDRESS(16+(A618-1)*A614,6)))</f>
        <v/>
      </c>
      <c r="I608" s="20" t="str">
        <f ca="1">INDIRECT(_xlfn.TEXTJOIN("",TRUE,A617,"!",ADDRESS(16+(A618-1)*A614,13)))</f>
        <v/>
      </c>
      <c r="J608" s="20" t="str">
        <f ca="1">INDIRECT(_xlfn.TEXTJOIN("",TRUE,A617,"!",ADDRESS(16+(A618-1)*A614,14)))</f>
        <v/>
      </c>
    </row>
    <row r="609" spans="1:10" ht="28" customHeight="1" x14ac:dyDescent="0.2">
      <c r="A609" s="96" t="str">
        <f ca="1">INDIRECT(_xlfn.TEXTJOIN("",TRUE,A617,"!",ADDRESS(17+(A618-1)*A614,1)))</f>
        <v/>
      </c>
      <c r="B609" s="97"/>
      <c r="C609" s="106" t="str">
        <f ca="1">INDIRECT(_xlfn.TEXTJOIN("",TRUE,A617,"!",ADDRESS(17+(A618-1)*A614,2)))</f>
        <v/>
      </c>
      <c r="D609" s="107"/>
      <c r="E609" s="107"/>
      <c r="F609" s="107"/>
      <c r="G609" s="108"/>
      <c r="H609" s="20" t="str">
        <f ca="1">INDIRECT(_xlfn.TEXTJOIN("",TRUE,A617,"!",ADDRESS(17+(A618-1)*A614,6)))</f>
        <v/>
      </c>
      <c r="I609" s="20" t="str">
        <f ca="1">INDIRECT(_xlfn.TEXTJOIN("",TRUE,A617,"!",ADDRESS(17+(A618-1)*A614,13)))</f>
        <v/>
      </c>
      <c r="J609" s="20" t="str">
        <f ca="1">INDIRECT(_xlfn.TEXTJOIN("",TRUE,A617,"!",ADDRESS(17+(A618-1)*A614,14)))</f>
        <v/>
      </c>
    </row>
    <row r="610" spans="1:10" ht="28" customHeight="1" x14ac:dyDescent="0.2">
      <c r="A610" s="96" t="str">
        <f ca="1">INDIRECT(_xlfn.TEXTJOIN("",TRUE,A617,"!",ADDRESS(18+(A618-1)*A614,1)))</f>
        <v/>
      </c>
      <c r="B610" s="97"/>
      <c r="C610" s="106" t="str">
        <f ca="1">INDIRECT(_xlfn.TEXTJOIN("",TRUE,A617,"!",ADDRESS(18+(A618-1)*A614,2)))</f>
        <v/>
      </c>
      <c r="D610" s="107"/>
      <c r="E610" s="107"/>
      <c r="F610" s="107"/>
      <c r="G610" s="108"/>
      <c r="H610" s="20" t="str">
        <f ca="1">INDIRECT(_xlfn.TEXTJOIN("",TRUE,A617,"!",ADDRESS(18+(A618-1)*A614,6)))</f>
        <v/>
      </c>
      <c r="I610" s="20" t="str">
        <f ca="1">INDIRECT(_xlfn.TEXTJOIN("",TRUE,A617,"!",ADDRESS(18+(A618-1)*A614,13)))</f>
        <v/>
      </c>
      <c r="J610" s="20" t="str">
        <f ca="1">INDIRECT(_xlfn.TEXTJOIN("",TRUE,A617,"!",ADDRESS(18+(A618-1)*A614,14)))</f>
        <v/>
      </c>
    </row>
    <row r="611" spans="1:10" ht="28" customHeight="1" x14ac:dyDescent="0.2">
      <c r="A611" s="96" t="str">
        <f ca="1">INDIRECT(_xlfn.TEXTJOIN("",TRUE,A617,"!",ADDRESS(19+(A618-1)*A614,1)))</f>
        <v/>
      </c>
      <c r="B611" s="97"/>
      <c r="C611" s="106" t="str">
        <f ca="1">INDIRECT(_xlfn.TEXTJOIN("",TRUE,A617,"!",ADDRESS(19+(A618-1)*A614,2)))</f>
        <v/>
      </c>
      <c r="D611" s="107"/>
      <c r="E611" s="107"/>
      <c r="F611" s="107"/>
      <c r="G611" s="108"/>
      <c r="H611" s="20" t="str">
        <f ca="1">INDIRECT(_xlfn.TEXTJOIN("",TRUE,A617,"!",ADDRESS(19+(A618-1)*A614,6)))</f>
        <v/>
      </c>
      <c r="I611" s="20" t="str">
        <f ca="1">INDIRECT(_xlfn.TEXTJOIN("",TRUE,A617,"!",ADDRESS(19+(A618-1)*A614,13)))</f>
        <v/>
      </c>
      <c r="J611" s="20" t="str">
        <f ca="1">INDIRECT(_xlfn.TEXTJOIN("",TRUE,A617,"!",ADDRESS(19+(A618-1)*A614,14)))</f>
        <v/>
      </c>
    </row>
    <row r="612" spans="1:10" ht="28" customHeight="1" x14ac:dyDescent="0.2">
      <c r="A612" s="96" t="str">
        <f ca="1">INDIRECT(_xlfn.TEXTJOIN("",TRUE,A617,"!",ADDRESS(20+(A618-1)*A614,1)))</f>
        <v/>
      </c>
      <c r="B612" s="97"/>
      <c r="C612" s="106" t="str">
        <f ca="1">INDIRECT(_xlfn.TEXTJOIN("",TRUE,A617,"!",ADDRESS(20+(A618-1)*A614,2)))</f>
        <v/>
      </c>
      <c r="D612" s="107"/>
      <c r="E612" s="107"/>
      <c r="F612" s="107"/>
      <c r="G612" s="108"/>
      <c r="H612" s="20" t="str">
        <f ca="1">INDIRECT(_xlfn.TEXTJOIN("",TRUE,A617,"!",ADDRESS(20+(A618-1)*A614,6)))</f>
        <v/>
      </c>
      <c r="I612" s="20" t="str">
        <f ca="1">INDIRECT(_xlfn.TEXTJOIN("",TRUE,A617,"!",ADDRESS(20+(A618-1)*A614,13)))</f>
        <v/>
      </c>
      <c r="J612" s="20" t="str">
        <f ca="1">INDIRECT(_xlfn.TEXTJOIN("",TRUE,A617,"!",ADDRESS(20+(A618-1)*A614,14)))</f>
        <v/>
      </c>
    </row>
    <row r="613" spans="1:10" ht="28" customHeight="1" x14ac:dyDescent="0.2">
      <c r="A613" s="118" t="s">
        <v>52</v>
      </c>
      <c r="B613" s="118"/>
      <c r="C613" s="118"/>
      <c r="D613" s="118"/>
      <c r="E613" s="118"/>
      <c r="F613" s="118"/>
      <c r="G613" s="118"/>
      <c r="H613" s="16">
        <f ca="1">SUM(H605:H612)</f>
        <v>0</v>
      </c>
      <c r="I613" s="16" t="s">
        <v>44</v>
      </c>
      <c r="J613" s="16">
        <f ca="1">SUMPRODUCT(J605:J612,H605:H612)</f>
        <v>0</v>
      </c>
    </row>
    <row r="614" spans="1:10" ht="28" customHeight="1" x14ac:dyDescent="0.2">
      <c r="A614" s="22">
        <f>ROWS(A605:B612)+9</f>
        <v>17</v>
      </c>
      <c r="B614" s="17"/>
      <c r="C614" s="17"/>
      <c r="D614" s="17"/>
      <c r="E614" s="17"/>
      <c r="F614" s="17"/>
      <c r="G614" s="17"/>
      <c r="H614" s="17"/>
      <c r="I614" s="17"/>
      <c r="J614" s="17"/>
    </row>
    <row r="615" spans="1:10" ht="28" customHeight="1" x14ac:dyDescent="0.2">
      <c r="A615" s="120" t="s">
        <v>40</v>
      </c>
      <c r="B615" s="120"/>
      <c r="C615" s="21" t="str">
        <f ca="1">INDIRECT(_xlfn.TEXTJOIN("",TRUE,A617,"!",ADDRESS(5+A618*A614,12)))</f>
        <v/>
      </c>
      <c r="D615" s="120" t="s">
        <v>38</v>
      </c>
      <c r="E615" s="120"/>
      <c r="F615" s="18" t="str">
        <f ca="1">INDIRECT(_xlfn.TEXTJOIN("",TRUE,A617,"!",ADDRESS(5+A618*A614,8)))</f>
        <v/>
      </c>
      <c r="G615" s="120" t="s">
        <v>39</v>
      </c>
      <c r="H615" s="120"/>
      <c r="I615" s="109" t="str">
        <f ca="1">INDIRECT(_xlfn.TEXTJOIN("",TRUE,A617,"!",ADDRESS(5+A618*A614,10)))</f>
        <v/>
      </c>
      <c r="J615" s="109"/>
    </row>
    <row r="616" spans="1:10" ht="28" customHeight="1" x14ac:dyDescent="0.2">
      <c r="A616" s="19" t="s">
        <v>36</v>
      </c>
      <c r="B616" s="95" t="str">
        <f ca="1">INDIRECT(_xlfn.TEXTJOIN("",TRUE,A617,"!",ADDRESS(5+A618*A614,2)))</f>
        <v/>
      </c>
      <c r="C616" s="95"/>
      <c r="D616" s="121" t="s">
        <v>37</v>
      </c>
      <c r="E616" s="121"/>
      <c r="F616" s="122" t="str">
        <f ca="1">INDIRECT(_xlfn.TEXTJOIN("",TRUE,A617,"!",ADDRESS(5+A618*A614,5)))</f>
        <v/>
      </c>
      <c r="G616" s="122"/>
      <c r="H616" s="122"/>
      <c r="I616" s="122"/>
      <c r="J616" s="122"/>
    </row>
    <row r="617" spans="1:10" ht="28" customHeight="1" x14ac:dyDescent="0.2">
      <c r="A617" s="22" t="str">
        <f>A600</f>
        <v>TC_III</v>
      </c>
    </row>
    <row r="618" spans="1:10" ht="28" customHeight="1" x14ac:dyDescent="0.2">
      <c r="A618" s="22">
        <f>A601+1</f>
        <v>36</v>
      </c>
    </row>
    <row r="619" spans="1:10" ht="28" customHeight="1" x14ac:dyDescent="0.2">
      <c r="A619" s="112" t="s">
        <v>24</v>
      </c>
      <c r="B619" s="112"/>
      <c r="C619" s="112" t="str">
        <f ca="1">INDIRECT(_xlfn.TEXTJOIN("",TRUE,A634,"!",ADDRESS(9+(A635-1)*A631,2)))</f>
        <v/>
      </c>
      <c r="D619" s="112"/>
      <c r="E619" s="112"/>
      <c r="F619" s="112" t="s">
        <v>50</v>
      </c>
      <c r="G619" s="112"/>
      <c r="H619" s="112"/>
      <c r="I619" s="113" t="str">
        <f ca="1">INDIRECT(_xlfn.TEXTJOIN("",TRUE,A634,"!",ADDRESS(9+(A635-1)*A631,9)))</f>
        <v/>
      </c>
      <c r="J619" s="113"/>
    </row>
    <row r="620" spans="1:10" ht="28" customHeight="1" x14ac:dyDescent="0.2">
      <c r="A620" s="112" t="s">
        <v>25</v>
      </c>
      <c r="B620" s="112"/>
      <c r="C620" s="112" t="str">
        <f ca="1">INDIRECT(_xlfn.TEXTJOIN("",TRUE,A634,"!",ADDRESS(9+(A635-1)*A631,5)))</f>
        <v/>
      </c>
      <c r="D620" s="112"/>
      <c r="E620" s="112"/>
      <c r="F620" s="114" t="s">
        <v>51</v>
      </c>
      <c r="G620" s="114"/>
      <c r="H620" s="114"/>
      <c r="I620" s="113" t="str">
        <f ca="1">INDIRECT(_xlfn.TEXTJOIN("",TRUE,A634,"!",ADDRESS(9+(A635-1)*A631,13)))</f>
        <v/>
      </c>
      <c r="J620" s="113"/>
    </row>
    <row r="621" spans="1:10" ht="28" customHeight="1" x14ac:dyDescent="0.2">
      <c r="A621" s="95" t="s">
        <v>28</v>
      </c>
      <c r="B621" s="95"/>
      <c r="C621" s="95" t="s">
        <v>29</v>
      </c>
      <c r="D621" s="95"/>
      <c r="E621" s="95"/>
      <c r="F621" s="95"/>
      <c r="G621" s="95"/>
      <c r="H621" s="15" t="s">
        <v>30</v>
      </c>
      <c r="I621" s="15" t="s">
        <v>9</v>
      </c>
      <c r="J621" s="15" t="s">
        <v>34</v>
      </c>
    </row>
    <row r="622" spans="1:10" ht="28" customHeight="1" x14ac:dyDescent="0.2">
      <c r="A622" s="96" t="str">
        <f ca="1">INDIRECT(_xlfn.TEXTJOIN("",TRUE,A634,"!",ADDRESS(13+(A635-1)*A631,1)))</f>
        <v/>
      </c>
      <c r="B622" s="97"/>
      <c r="C622" s="106" t="str">
        <f ca="1">INDIRECT(_xlfn.TEXTJOIN("",TRUE,A634,"!",ADDRESS(13+(A635-1)*A631,2)))</f>
        <v/>
      </c>
      <c r="D622" s="107"/>
      <c r="E622" s="107"/>
      <c r="F622" s="107"/>
      <c r="G622" s="108"/>
      <c r="H622" s="20" t="str">
        <f ca="1">INDIRECT(_xlfn.TEXTJOIN("",TRUE,A634,"!",ADDRESS(13+(A635-1)*A631,6)))</f>
        <v/>
      </c>
      <c r="I622" s="20" t="str">
        <f ca="1">INDIRECT(_xlfn.TEXTJOIN("",TRUE,A634,"!",ADDRESS(13+(A635-1)*A631,13)))</f>
        <v/>
      </c>
      <c r="J622" s="20" t="str">
        <f ca="1">INDIRECT(_xlfn.TEXTJOIN("",TRUE,A634,"!",ADDRESS(13+(A635-1)*A631,14)))</f>
        <v/>
      </c>
    </row>
    <row r="623" spans="1:10" ht="28" customHeight="1" x14ac:dyDescent="0.2">
      <c r="A623" s="96" t="str">
        <f ca="1">INDIRECT(_xlfn.TEXTJOIN("",TRUE,A634,"!",ADDRESS(14+(A635-1)*A631,1)))</f>
        <v/>
      </c>
      <c r="B623" s="97"/>
      <c r="C623" s="106" t="str">
        <f ca="1">INDIRECT(_xlfn.TEXTJOIN("",TRUE,A634,"!",ADDRESS(14+(A635-1)*A631,2)))</f>
        <v/>
      </c>
      <c r="D623" s="107"/>
      <c r="E623" s="107"/>
      <c r="F623" s="107"/>
      <c r="G623" s="108"/>
      <c r="H623" s="20" t="str">
        <f ca="1">INDIRECT(_xlfn.TEXTJOIN("",TRUE,A634,"!",ADDRESS(14+(A635-1)*A631,6)))</f>
        <v/>
      </c>
      <c r="I623" s="20" t="str">
        <f ca="1">INDIRECT(_xlfn.TEXTJOIN("",TRUE,A634,"!",ADDRESS(14+(A635-1)*A631,13)))</f>
        <v/>
      </c>
      <c r="J623" s="20" t="str">
        <f ca="1">INDIRECT(_xlfn.TEXTJOIN("",TRUE,A634,"!",ADDRESS(14+(A635-1)*A631,14)))</f>
        <v/>
      </c>
    </row>
    <row r="624" spans="1:10" ht="28" customHeight="1" x14ac:dyDescent="0.2">
      <c r="A624" s="96" t="str">
        <f ca="1">INDIRECT(_xlfn.TEXTJOIN("",TRUE,A634,"!",ADDRESS(15+(A635-1)*A631,1)))</f>
        <v/>
      </c>
      <c r="B624" s="97"/>
      <c r="C624" s="106" t="str">
        <f ca="1">INDIRECT(_xlfn.TEXTJOIN("",TRUE,A634,"!",ADDRESS(15+(A635-1)*A631,2)))</f>
        <v/>
      </c>
      <c r="D624" s="107"/>
      <c r="E624" s="107"/>
      <c r="F624" s="107"/>
      <c r="G624" s="108"/>
      <c r="H624" s="20" t="str">
        <f ca="1">INDIRECT(_xlfn.TEXTJOIN("",TRUE,A634,"!",ADDRESS(15+(A635-1)*A631,6)))</f>
        <v/>
      </c>
      <c r="I624" s="20" t="str">
        <f ca="1">INDIRECT(_xlfn.TEXTJOIN("",TRUE,A634,"!",ADDRESS(15+(A635-1)*A631,13)))</f>
        <v/>
      </c>
      <c r="J624" s="20" t="str">
        <f ca="1">INDIRECT(_xlfn.TEXTJOIN("",TRUE,A634,"!",ADDRESS(15+(A635-1)*A631,14)))</f>
        <v/>
      </c>
    </row>
    <row r="625" spans="1:10" ht="28" customHeight="1" x14ac:dyDescent="0.2">
      <c r="A625" s="96" t="str">
        <f ca="1">INDIRECT(_xlfn.TEXTJOIN("",TRUE,A634,"!",ADDRESS(16+(A635-1)*A631,1)))</f>
        <v/>
      </c>
      <c r="B625" s="97"/>
      <c r="C625" s="106" t="str">
        <f ca="1">INDIRECT(_xlfn.TEXTJOIN("",TRUE,A634,"!",ADDRESS(16+(A635-1)*A631,2)))</f>
        <v/>
      </c>
      <c r="D625" s="107"/>
      <c r="E625" s="107"/>
      <c r="F625" s="107"/>
      <c r="G625" s="108"/>
      <c r="H625" s="20" t="str">
        <f ca="1">INDIRECT(_xlfn.TEXTJOIN("",TRUE,A634,"!",ADDRESS(16+(A635-1)*A631,6)))</f>
        <v/>
      </c>
      <c r="I625" s="20" t="str">
        <f ca="1">INDIRECT(_xlfn.TEXTJOIN("",TRUE,A634,"!",ADDRESS(16+(A635-1)*A631,13)))</f>
        <v/>
      </c>
      <c r="J625" s="20" t="str">
        <f ca="1">INDIRECT(_xlfn.TEXTJOIN("",TRUE,A634,"!",ADDRESS(16+(A635-1)*A631,14)))</f>
        <v/>
      </c>
    </row>
    <row r="626" spans="1:10" ht="28" customHeight="1" x14ac:dyDescent="0.2">
      <c r="A626" s="96" t="str">
        <f ca="1">INDIRECT(_xlfn.TEXTJOIN("",TRUE,A634,"!",ADDRESS(17+(A635-1)*A631,1)))</f>
        <v/>
      </c>
      <c r="B626" s="97"/>
      <c r="C626" s="106" t="str">
        <f ca="1">INDIRECT(_xlfn.TEXTJOIN("",TRUE,A634,"!",ADDRESS(17+(A635-1)*A631,2)))</f>
        <v/>
      </c>
      <c r="D626" s="107"/>
      <c r="E626" s="107"/>
      <c r="F626" s="107"/>
      <c r="G626" s="108"/>
      <c r="H626" s="20" t="str">
        <f ca="1">INDIRECT(_xlfn.TEXTJOIN("",TRUE,A634,"!",ADDRESS(17+(A635-1)*A631,6)))</f>
        <v/>
      </c>
      <c r="I626" s="20" t="str">
        <f ca="1">INDIRECT(_xlfn.TEXTJOIN("",TRUE,A634,"!",ADDRESS(17+(A635-1)*A631,13)))</f>
        <v/>
      </c>
      <c r="J626" s="20" t="str">
        <f ca="1">INDIRECT(_xlfn.TEXTJOIN("",TRUE,A634,"!",ADDRESS(17+(A635-1)*A631,14)))</f>
        <v/>
      </c>
    </row>
    <row r="627" spans="1:10" ht="28" customHeight="1" x14ac:dyDescent="0.2">
      <c r="A627" s="96" t="str">
        <f ca="1">INDIRECT(_xlfn.TEXTJOIN("",TRUE,A634,"!",ADDRESS(18+(A635-1)*A631,1)))</f>
        <v/>
      </c>
      <c r="B627" s="97"/>
      <c r="C627" s="106" t="str">
        <f ca="1">INDIRECT(_xlfn.TEXTJOIN("",TRUE,A634,"!",ADDRESS(18+(A635-1)*A631,2)))</f>
        <v/>
      </c>
      <c r="D627" s="107"/>
      <c r="E627" s="107"/>
      <c r="F627" s="107"/>
      <c r="G627" s="108"/>
      <c r="H627" s="20" t="str">
        <f ca="1">INDIRECT(_xlfn.TEXTJOIN("",TRUE,A634,"!",ADDRESS(18+(A635-1)*A631,6)))</f>
        <v/>
      </c>
      <c r="I627" s="20" t="str">
        <f ca="1">INDIRECT(_xlfn.TEXTJOIN("",TRUE,A634,"!",ADDRESS(18+(A635-1)*A631,13)))</f>
        <v/>
      </c>
      <c r="J627" s="20" t="str">
        <f ca="1">INDIRECT(_xlfn.TEXTJOIN("",TRUE,A634,"!",ADDRESS(18+(A635-1)*A631,14)))</f>
        <v/>
      </c>
    </row>
    <row r="628" spans="1:10" ht="28" customHeight="1" x14ac:dyDescent="0.2">
      <c r="A628" s="96" t="str">
        <f ca="1">INDIRECT(_xlfn.TEXTJOIN("",TRUE,A634,"!",ADDRESS(19+(A635-1)*A631,1)))</f>
        <v/>
      </c>
      <c r="B628" s="97"/>
      <c r="C628" s="106" t="str">
        <f ca="1">INDIRECT(_xlfn.TEXTJOIN("",TRUE,A634,"!",ADDRESS(19+(A635-1)*A631,2)))</f>
        <v/>
      </c>
      <c r="D628" s="107"/>
      <c r="E628" s="107"/>
      <c r="F628" s="107"/>
      <c r="G628" s="108"/>
      <c r="H628" s="20" t="str">
        <f ca="1">INDIRECT(_xlfn.TEXTJOIN("",TRUE,A634,"!",ADDRESS(19+(A635-1)*A631,6)))</f>
        <v/>
      </c>
      <c r="I628" s="20" t="str">
        <f ca="1">INDIRECT(_xlfn.TEXTJOIN("",TRUE,A634,"!",ADDRESS(19+(A635-1)*A631,13)))</f>
        <v/>
      </c>
      <c r="J628" s="20" t="str">
        <f ca="1">INDIRECT(_xlfn.TEXTJOIN("",TRUE,A634,"!",ADDRESS(19+(A635-1)*A631,14)))</f>
        <v/>
      </c>
    </row>
    <row r="629" spans="1:10" ht="28" customHeight="1" x14ac:dyDescent="0.2">
      <c r="A629" s="96" t="str">
        <f ca="1">INDIRECT(_xlfn.TEXTJOIN("",TRUE,A634,"!",ADDRESS(20+(A635-1)*A631,1)))</f>
        <v/>
      </c>
      <c r="B629" s="97"/>
      <c r="C629" s="106" t="str">
        <f ca="1">INDIRECT(_xlfn.TEXTJOIN("",TRUE,A634,"!",ADDRESS(20+(A635-1)*A631,2)))</f>
        <v/>
      </c>
      <c r="D629" s="107"/>
      <c r="E629" s="107"/>
      <c r="F629" s="107"/>
      <c r="G629" s="108"/>
      <c r="H629" s="20" t="str">
        <f ca="1">INDIRECT(_xlfn.TEXTJOIN("",TRUE,A634,"!",ADDRESS(20+(A635-1)*A631,6)))</f>
        <v/>
      </c>
      <c r="I629" s="20" t="str">
        <f ca="1">INDIRECT(_xlfn.TEXTJOIN("",TRUE,A634,"!",ADDRESS(20+(A635-1)*A631,13)))</f>
        <v/>
      </c>
      <c r="J629" s="20" t="str">
        <f ca="1">INDIRECT(_xlfn.TEXTJOIN("",TRUE,A634,"!",ADDRESS(20+(A635-1)*A631,14)))</f>
        <v/>
      </c>
    </row>
    <row r="630" spans="1:10" ht="28" customHeight="1" x14ac:dyDescent="0.2">
      <c r="A630" s="118" t="s">
        <v>52</v>
      </c>
      <c r="B630" s="118"/>
      <c r="C630" s="118"/>
      <c r="D630" s="118"/>
      <c r="E630" s="118"/>
      <c r="F630" s="118"/>
      <c r="G630" s="118"/>
      <c r="H630" s="16">
        <f ca="1">SUM(H622:H629)</f>
        <v>0</v>
      </c>
      <c r="I630" s="16" t="s">
        <v>44</v>
      </c>
      <c r="J630" s="16">
        <f ca="1">SUMPRODUCT(J622:J629,H622:H629)</f>
        <v>0</v>
      </c>
    </row>
    <row r="631" spans="1:10" ht="28" customHeight="1" x14ac:dyDescent="0.2">
      <c r="A631" s="22">
        <f>ROWS(A622:B629)+9</f>
        <v>17</v>
      </c>
      <c r="B631" s="17"/>
      <c r="C631" s="17"/>
      <c r="D631" s="17"/>
      <c r="E631" s="17"/>
      <c r="F631" s="17"/>
      <c r="G631" s="17"/>
      <c r="H631" s="17"/>
      <c r="I631" s="17"/>
      <c r="J631" s="17"/>
    </row>
    <row r="632" spans="1:10" ht="28" customHeight="1" x14ac:dyDescent="0.2">
      <c r="A632" s="120" t="s">
        <v>40</v>
      </c>
      <c r="B632" s="120"/>
      <c r="C632" s="21" t="str">
        <f ca="1">INDIRECT(_xlfn.TEXTJOIN("",TRUE,A634,"!",ADDRESS(5+A635*A631,12)))</f>
        <v/>
      </c>
      <c r="D632" s="120" t="s">
        <v>38</v>
      </c>
      <c r="E632" s="120"/>
      <c r="F632" s="18" t="str">
        <f ca="1">INDIRECT(_xlfn.TEXTJOIN("",TRUE,A634,"!",ADDRESS(5+A635*A631,8)))</f>
        <v/>
      </c>
      <c r="G632" s="120" t="s">
        <v>39</v>
      </c>
      <c r="H632" s="120"/>
      <c r="I632" s="109" t="str">
        <f ca="1">INDIRECT(_xlfn.TEXTJOIN("",TRUE,A634,"!",ADDRESS(5+A635*A631,10)))</f>
        <v/>
      </c>
      <c r="J632" s="109"/>
    </row>
    <row r="633" spans="1:10" ht="28" customHeight="1" x14ac:dyDescent="0.2">
      <c r="A633" s="19" t="s">
        <v>36</v>
      </c>
      <c r="B633" s="95" t="str">
        <f ca="1">INDIRECT(_xlfn.TEXTJOIN("",TRUE,A634,"!",ADDRESS(5+A635*A631,2)))</f>
        <v/>
      </c>
      <c r="C633" s="95"/>
      <c r="D633" s="121" t="s">
        <v>37</v>
      </c>
      <c r="E633" s="121"/>
      <c r="F633" s="122" t="str">
        <f ca="1">INDIRECT(_xlfn.TEXTJOIN("",TRUE,A634,"!",ADDRESS(5+A635*A631,5)))</f>
        <v/>
      </c>
      <c r="G633" s="122"/>
      <c r="H633" s="122"/>
      <c r="I633" s="122"/>
      <c r="J633" s="122"/>
    </row>
    <row r="634" spans="1:10" ht="28" customHeight="1" x14ac:dyDescent="0.2">
      <c r="A634" s="22" t="str">
        <f>A617</f>
        <v>TC_III</v>
      </c>
    </row>
    <row r="635" spans="1:10" ht="28" customHeight="1" x14ac:dyDescent="0.2">
      <c r="A635" s="22">
        <f>A618+1</f>
        <v>37</v>
      </c>
    </row>
    <row r="636" spans="1:10" ht="28" customHeight="1" x14ac:dyDescent="0.2">
      <c r="A636" s="112" t="s">
        <v>24</v>
      </c>
      <c r="B636" s="112"/>
      <c r="C636" s="112" t="str">
        <f ca="1">INDIRECT(_xlfn.TEXTJOIN("",TRUE,A651,"!",ADDRESS(9+(A652-1)*A648,2)))</f>
        <v/>
      </c>
      <c r="D636" s="112"/>
      <c r="E636" s="112"/>
      <c r="F636" s="112" t="s">
        <v>50</v>
      </c>
      <c r="G636" s="112"/>
      <c r="H636" s="112"/>
      <c r="I636" s="113" t="str">
        <f ca="1">INDIRECT(_xlfn.TEXTJOIN("",TRUE,A651,"!",ADDRESS(9+(A652-1)*A648,9)))</f>
        <v/>
      </c>
      <c r="J636" s="113"/>
    </row>
    <row r="637" spans="1:10" ht="28" customHeight="1" x14ac:dyDescent="0.2">
      <c r="A637" s="112" t="s">
        <v>25</v>
      </c>
      <c r="B637" s="112"/>
      <c r="C637" s="112" t="str">
        <f ca="1">INDIRECT(_xlfn.TEXTJOIN("",TRUE,A651,"!",ADDRESS(9+(A652-1)*A648,5)))</f>
        <v/>
      </c>
      <c r="D637" s="112"/>
      <c r="E637" s="112"/>
      <c r="F637" s="114" t="s">
        <v>51</v>
      </c>
      <c r="G637" s="114"/>
      <c r="H637" s="114"/>
      <c r="I637" s="113" t="str">
        <f ca="1">INDIRECT(_xlfn.TEXTJOIN("",TRUE,A651,"!",ADDRESS(9+(A652-1)*A648,13)))</f>
        <v/>
      </c>
      <c r="J637" s="113"/>
    </row>
    <row r="638" spans="1:10" ht="28" customHeight="1" x14ac:dyDescent="0.2">
      <c r="A638" s="95" t="s">
        <v>28</v>
      </c>
      <c r="B638" s="95"/>
      <c r="C638" s="95" t="s">
        <v>29</v>
      </c>
      <c r="D638" s="95"/>
      <c r="E638" s="95"/>
      <c r="F638" s="95"/>
      <c r="G638" s="95"/>
      <c r="H638" s="15" t="s">
        <v>30</v>
      </c>
      <c r="I638" s="15" t="s">
        <v>9</v>
      </c>
      <c r="J638" s="15" t="s">
        <v>34</v>
      </c>
    </row>
    <row r="639" spans="1:10" ht="28" customHeight="1" x14ac:dyDescent="0.2">
      <c r="A639" s="96" t="str">
        <f ca="1">INDIRECT(_xlfn.TEXTJOIN("",TRUE,A651,"!",ADDRESS(13+(A652-1)*A648,1)))</f>
        <v/>
      </c>
      <c r="B639" s="97"/>
      <c r="C639" s="106" t="str">
        <f ca="1">INDIRECT(_xlfn.TEXTJOIN("",TRUE,A651,"!",ADDRESS(13+(A652-1)*A648,2)))</f>
        <v/>
      </c>
      <c r="D639" s="107"/>
      <c r="E639" s="107"/>
      <c r="F639" s="107"/>
      <c r="G639" s="108"/>
      <c r="H639" s="20" t="str">
        <f ca="1">INDIRECT(_xlfn.TEXTJOIN("",TRUE,A651,"!",ADDRESS(13+(A652-1)*A648,6)))</f>
        <v/>
      </c>
      <c r="I639" s="20" t="str">
        <f ca="1">INDIRECT(_xlfn.TEXTJOIN("",TRUE,A651,"!",ADDRESS(13+(A652-1)*A648,13)))</f>
        <v/>
      </c>
      <c r="J639" s="20" t="str">
        <f ca="1">INDIRECT(_xlfn.TEXTJOIN("",TRUE,A651,"!",ADDRESS(13+(A652-1)*A648,14)))</f>
        <v/>
      </c>
    </row>
    <row r="640" spans="1:10" ht="28" customHeight="1" x14ac:dyDescent="0.2">
      <c r="A640" s="96" t="str">
        <f ca="1">INDIRECT(_xlfn.TEXTJOIN("",TRUE,A651,"!",ADDRESS(14+(A652-1)*A648,1)))</f>
        <v/>
      </c>
      <c r="B640" s="97"/>
      <c r="C640" s="106" t="str">
        <f ca="1">INDIRECT(_xlfn.TEXTJOIN("",TRUE,A651,"!",ADDRESS(14+(A652-1)*A648,2)))</f>
        <v/>
      </c>
      <c r="D640" s="107"/>
      <c r="E640" s="107"/>
      <c r="F640" s="107"/>
      <c r="G640" s="108"/>
      <c r="H640" s="20" t="str">
        <f ca="1">INDIRECT(_xlfn.TEXTJOIN("",TRUE,A651,"!",ADDRESS(14+(A652-1)*A648,6)))</f>
        <v/>
      </c>
      <c r="I640" s="20" t="str">
        <f ca="1">INDIRECT(_xlfn.TEXTJOIN("",TRUE,A651,"!",ADDRESS(14+(A652-1)*A648,13)))</f>
        <v/>
      </c>
      <c r="J640" s="20" t="str">
        <f ca="1">INDIRECT(_xlfn.TEXTJOIN("",TRUE,A651,"!",ADDRESS(14+(A652-1)*A648,14)))</f>
        <v/>
      </c>
    </row>
    <row r="641" spans="1:10" ht="28" customHeight="1" x14ac:dyDescent="0.2">
      <c r="A641" s="96" t="str">
        <f ca="1">INDIRECT(_xlfn.TEXTJOIN("",TRUE,A651,"!",ADDRESS(15+(A652-1)*A648,1)))</f>
        <v/>
      </c>
      <c r="B641" s="97"/>
      <c r="C641" s="106" t="str">
        <f ca="1">INDIRECT(_xlfn.TEXTJOIN("",TRUE,A651,"!",ADDRESS(15+(A652-1)*A648,2)))</f>
        <v/>
      </c>
      <c r="D641" s="107"/>
      <c r="E641" s="107"/>
      <c r="F641" s="107"/>
      <c r="G641" s="108"/>
      <c r="H641" s="20" t="str">
        <f ca="1">INDIRECT(_xlfn.TEXTJOIN("",TRUE,A651,"!",ADDRESS(15+(A652-1)*A648,6)))</f>
        <v/>
      </c>
      <c r="I641" s="20" t="str">
        <f ca="1">INDIRECT(_xlfn.TEXTJOIN("",TRUE,A651,"!",ADDRESS(15+(A652-1)*A648,13)))</f>
        <v/>
      </c>
      <c r="J641" s="20" t="str">
        <f ca="1">INDIRECT(_xlfn.TEXTJOIN("",TRUE,A651,"!",ADDRESS(15+(A652-1)*A648,14)))</f>
        <v/>
      </c>
    </row>
    <row r="642" spans="1:10" ht="28" customHeight="1" x14ac:dyDescent="0.2">
      <c r="A642" s="96" t="str">
        <f ca="1">INDIRECT(_xlfn.TEXTJOIN("",TRUE,A651,"!",ADDRESS(16+(A652-1)*A648,1)))</f>
        <v/>
      </c>
      <c r="B642" s="97"/>
      <c r="C642" s="106" t="str">
        <f ca="1">INDIRECT(_xlfn.TEXTJOIN("",TRUE,A651,"!",ADDRESS(16+(A652-1)*A648,2)))</f>
        <v/>
      </c>
      <c r="D642" s="107"/>
      <c r="E642" s="107"/>
      <c r="F642" s="107"/>
      <c r="G642" s="108"/>
      <c r="H642" s="20" t="str">
        <f ca="1">INDIRECT(_xlfn.TEXTJOIN("",TRUE,A651,"!",ADDRESS(16+(A652-1)*A648,6)))</f>
        <v/>
      </c>
      <c r="I642" s="20" t="str">
        <f ca="1">INDIRECT(_xlfn.TEXTJOIN("",TRUE,A651,"!",ADDRESS(16+(A652-1)*A648,13)))</f>
        <v/>
      </c>
      <c r="J642" s="20" t="str">
        <f ca="1">INDIRECT(_xlfn.TEXTJOIN("",TRUE,A651,"!",ADDRESS(16+(A652-1)*A648,14)))</f>
        <v/>
      </c>
    </row>
    <row r="643" spans="1:10" ht="28" customHeight="1" x14ac:dyDescent="0.2">
      <c r="A643" s="96" t="str">
        <f ca="1">INDIRECT(_xlfn.TEXTJOIN("",TRUE,A651,"!",ADDRESS(17+(A652-1)*A648,1)))</f>
        <v/>
      </c>
      <c r="B643" s="97"/>
      <c r="C643" s="106" t="str">
        <f ca="1">INDIRECT(_xlfn.TEXTJOIN("",TRUE,A651,"!",ADDRESS(17+(A652-1)*A648,2)))</f>
        <v/>
      </c>
      <c r="D643" s="107"/>
      <c r="E643" s="107"/>
      <c r="F643" s="107"/>
      <c r="G643" s="108"/>
      <c r="H643" s="20" t="str">
        <f ca="1">INDIRECT(_xlfn.TEXTJOIN("",TRUE,A651,"!",ADDRESS(17+(A652-1)*A648,6)))</f>
        <v/>
      </c>
      <c r="I643" s="20" t="str">
        <f ca="1">INDIRECT(_xlfn.TEXTJOIN("",TRUE,A651,"!",ADDRESS(17+(A652-1)*A648,13)))</f>
        <v/>
      </c>
      <c r="J643" s="20" t="str">
        <f ca="1">INDIRECT(_xlfn.TEXTJOIN("",TRUE,A651,"!",ADDRESS(17+(A652-1)*A648,14)))</f>
        <v/>
      </c>
    </row>
    <row r="644" spans="1:10" ht="28" customHeight="1" x14ac:dyDescent="0.2">
      <c r="A644" s="96" t="str">
        <f ca="1">INDIRECT(_xlfn.TEXTJOIN("",TRUE,A651,"!",ADDRESS(18+(A652-1)*A648,1)))</f>
        <v/>
      </c>
      <c r="B644" s="97"/>
      <c r="C644" s="106" t="str">
        <f ca="1">INDIRECT(_xlfn.TEXTJOIN("",TRUE,A651,"!",ADDRESS(18+(A652-1)*A648,2)))</f>
        <v/>
      </c>
      <c r="D644" s="107"/>
      <c r="E644" s="107"/>
      <c r="F644" s="107"/>
      <c r="G644" s="108"/>
      <c r="H644" s="20" t="str">
        <f ca="1">INDIRECT(_xlfn.TEXTJOIN("",TRUE,A651,"!",ADDRESS(18+(A652-1)*A648,6)))</f>
        <v/>
      </c>
      <c r="I644" s="20" t="str">
        <f ca="1">INDIRECT(_xlfn.TEXTJOIN("",TRUE,A651,"!",ADDRESS(18+(A652-1)*A648,13)))</f>
        <v/>
      </c>
      <c r="J644" s="20" t="str">
        <f ca="1">INDIRECT(_xlfn.TEXTJOIN("",TRUE,A651,"!",ADDRESS(18+(A652-1)*A648,14)))</f>
        <v/>
      </c>
    </row>
    <row r="645" spans="1:10" ht="28" customHeight="1" x14ac:dyDescent="0.2">
      <c r="A645" s="96" t="str">
        <f ca="1">INDIRECT(_xlfn.TEXTJOIN("",TRUE,A651,"!",ADDRESS(19+(A652-1)*A648,1)))</f>
        <v/>
      </c>
      <c r="B645" s="97"/>
      <c r="C645" s="106" t="str">
        <f ca="1">INDIRECT(_xlfn.TEXTJOIN("",TRUE,A651,"!",ADDRESS(19+(A652-1)*A648,2)))</f>
        <v/>
      </c>
      <c r="D645" s="107"/>
      <c r="E645" s="107"/>
      <c r="F645" s="107"/>
      <c r="G645" s="108"/>
      <c r="H645" s="20" t="str">
        <f ca="1">INDIRECT(_xlfn.TEXTJOIN("",TRUE,A651,"!",ADDRESS(19+(A652-1)*A648,6)))</f>
        <v/>
      </c>
      <c r="I645" s="20" t="str">
        <f ca="1">INDIRECT(_xlfn.TEXTJOIN("",TRUE,A651,"!",ADDRESS(19+(A652-1)*A648,13)))</f>
        <v/>
      </c>
      <c r="J645" s="20" t="str">
        <f ca="1">INDIRECT(_xlfn.TEXTJOIN("",TRUE,A651,"!",ADDRESS(19+(A652-1)*A648,14)))</f>
        <v/>
      </c>
    </row>
    <row r="646" spans="1:10" ht="28" customHeight="1" x14ac:dyDescent="0.2">
      <c r="A646" s="96" t="str">
        <f ca="1">INDIRECT(_xlfn.TEXTJOIN("",TRUE,A651,"!",ADDRESS(20+(A652-1)*A648,1)))</f>
        <v/>
      </c>
      <c r="B646" s="97"/>
      <c r="C646" s="106" t="str">
        <f ca="1">INDIRECT(_xlfn.TEXTJOIN("",TRUE,A651,"!",ADDRESS(20+(A652-1)*A648,2)))</f>
        <v/>
      </c>
      <c r="D646" s="107"/>
      <c r="E646" s="107"/>
      <c r="F646" s="107"/>
      <c r="G646" s="108"/>
      <c r="H646" s="20" t="str">
        <f ca="1">INDIRECT(_xlfn.TEXTJOIN("",TRUE,A651,"!",ADDRESS(20+(A652-1)*A648,6)))</f>
        <v/>
      </c>
      <c r="I646" s="20" t="str">
        <f ca="1">INDIRECT(_xlfn.TEXTJOIN("",TRUE,A651,"!",ADDRESS(20+(A652-1)*A648,13)))</f>
        <v/>
      </c>
      <c r="J646" s="20" t="str">
        <f ca="1">INDIRECT(_xlfn.TEXTJOIN("",TRUE,A651,"!",ADDRESS(20+(A652-1)*A648,14)))</f>
        <v/>
      </c>
    </row>
    <row r="647" spans="1:10" ht="28" customHeight="1" x14ac:dyDescent="0.2">
      <c r="A647" s="118" t="s">
        <v>52</v>
      </c>
      <c r="B647" s="118"/>
      <c r="C647" s="118"/>
      <c r="D647" s="118"/>
      <c r="E647" s="118"/>
      <c r="F647" s="118"/>
      <c r="G647" s="118"/>
      <c r="H647" s="16">
        <f ca="1">SUM(H639:H646)</f>
        <v>0</v>
      </c>
      <c r="I647" s="16" t="s">
        <v>44</v>
      </c>
      <c r="J647" s="16">
        <f ca="1">SUMPRODUCT(J639:J646,H639:H646)</f>
        <v>0</v>
      </c>
    </row>
    <row r="648" spans="1:10" ht="28" customHeight="1" x14ac:dyDescent="0.2">
      <c r="A648" s="22">
        <f>ROWS(A639:B646)+9</f>
        <v>17</v>
      </c>
      <c r="B648" s="17"/>
      <c r="C648" s="17"/>
      <c r="D648" s="17"/>
      <c r="E648" s="17"/>
      <c r="F648" s="17"/>
      <c r="G648" s="17"/>
      <c r="H648" s="17"/>
      <c r="I648" s="17"/>
      <c r="J648" s="17"/>
    </row>
    <row r="649" spans="1:10" ht="28" customHeight="1" x14ac:dyDescent="0.2">
      <c r="A649" s="120" t="s">
        <v>40</v>
      </c>
      <c r="B649" s="120"/>
      <c r="C649" s="21" t="str">
        <f ca="1">INDIRECT(_xlfn.TEXTJOIN("",TRUE,A651,"!",ADDRESS(5+A652*A648,12)))</f>
        <v/>
      </c>
      <c r="D649" s="120" t="s">
        <v>38</v>
      </c>
      <c r="E649" s="120"/>
      <c r="F649" s="18" t="str">
        <f ca="1">INDIRECT(_xlfn.TEXTJOIN("",TRUE,A651,"!",ADDRESS(5+A652*A648,8)))</f>
        <v/>
      </c>
      <c r="G649" s="120" t="s">
        <v>39</v>
      </c>
      <c r="H649" s="120"/>
      <c r="I649" s="109" t="str">
        <f ca="1">INDIRECT(_xlfn.TEXTJOIN("",TRUE,A651,"!",ADDRESS(5+A652*A648,10)))</f>
        <v/>
      </c>
      <c r="J649" s="109"/>
    </row>
    <row r="650" spans="1:10" ht="28" customHeight="1" x14ac:dyDescent="0.2">
      <c r="A650" s="19" t="s">
        <v>36</v>
      </c>
      <c r="B650" s="95" t="str">
        <f ca="1">INDIRECT(_xlfn.TEXTJOIN("",TRUE,A651,"!",ADDRESS(5+A652*A648,2)))</f>
        <v/>
      </c>
      <c r="C650" s="95"/>
      <c r="D650" s="121" t="s">
        <v>37</v>
      </c>
      <c r="E650" s="121"/>
      <c r="F650" s="122" t="str">
        <f ca="1">INDIRECT(_xlfn.TEXTJOIN("",TRUE,A651,"!",ADDRESS(5+A652*A648,5)))</f>
        <v/>
      </c>
      <c r="G650" s="122"/>
      <c r="H650" s="122"/>
      <c r="I650" s="122"/>
      <c r="J650" s="122"/>
    </row>
    <row r="651" spans="1:10" ht="28" customHeight="1" x14ac:dyDescent="0.2">
      <c r="A651" s="22" t="str">
        <f>A634</f>
        <v>TC_III</v>
      </c>
    </row>
    <row r="652" spans="1:10" ht="28" customHeight="1" x14ac:dyDescent="0.2">
      <c r="A652" s="22">
        <f>A635+1</f>
        <v>38</v>
      </c>
    </row>
  </sheetData>
  <mergeCells count="1297">
    <mergeCell ref="A24:B24"/>
    <mergeCell ref="C24:E24"/>
    <mergeCell ref="F24:H24"/>
    <mergeCell ref="I24:J24"/>
    <mergeCell ref="A18:G18"/>
    <mergeCell ref="A20:B20"/>
    <mergeCell ref="D20:E20"/>
    <mergeCell ref="G20:H20"/>
    <mergeCell ref="I20:J20"/>
    <mergeCell ref="A8:B8"/>
    <mergeCell ref="C8:E8"/>
    <mergeCell ref="F8:H8"/>
    <mergeCell ref="I8:J8"/>
    <mergeCell ref="A9:B9"/>
    <mergeCell ref="C9:G9"/>
    <mergeCell ref="A17:B17"/>
    <mergeCell ref="C17:G17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6:B16"/>
    <mergeCell ref="C16:G16"/>
    <mergeCell ref="A13:B13"/>
    <mergeCell ref="C13:G13"/>
    <mergeCell ref="A14:B14"/>
    <mergeCell ref="C14:G14"/>
    <mergeCell ref="A15:B15"/>
    <mergeCell ref="C15:G15"/>
    <mergeCell ref="A10:B10"/>
    <mergeCell ref="C10:G10"/>
    <mergeCell ref="A11:B11"/>
    <mergeCell ref="C11:G11"/>
    <mergeCell ref="A12:B12"/>
    <mergeCell ref="C12:G12"/>
    <mergeCell ref="I37:J37"/>
    <mergeCell ref="A33:B33"/>
    <mergeCell ref="C33:G33"/>
    <mergeCell ref="A34:B34"/>
    <mergeCell ref="C34:G34"/>
    <mergeCell ref="A30:B30"/>
    <mergeCell ref="C30:G30"/>
    <mergeCell ref="A31:B31"/>
    <mergeCell ref="C31:G31"/>
    <mergeCell ref="A32:B32"/>
    <mergeCell ref="C32:G32"/>
    <mergeCell ref="A27:B27"/>
    <mergeCell ref="C27:G27"/>
    <mergeCell ref="A28:B28"/>
    <mergeCell ref="C28:G28"/>
    <mergeCell ref="A29:B29"/>
    <mergeCell ref="C29:G29"/>
    <mergeCell ref="A25:B25"/>
    <mergeCell ref="C25:E25"/>
    <mergeCell ref="F25:H25"/>
    <mergeCell ref="I25:J25"/>
    <mergeCell ref="A26:B26"/>
    <mergeCell ref="C26:G26"/>
    <mergeCell ref="B21:C21"/>
    <mergeCell ref="D21:E21"/>
    <mergeCell ref="F21:J21"/>
    <mergeCell ref="A44:B44"/>
    <mergeCell ref="C44:G44"/>
    <mergeCell ref="A45:B45"/>
    <mergeCell ref="C45:G45"/>
    <mergeCell ref="A46:B46"/>
    <mergeCell ref="C46:G46"/>
    <mergeCell ref="A42:B42"/>
    <mergeCell ref="C42:E42"/>
    <mergeCell ref="F42:H42"/>
    <mergeCell ref="I42:J42"/>
    <mergeCell ref="A43:B43"/>
    <mergeCell ref="C43:G43"/>
    <mergeCell ref="B38:C38"/>
    <mergeCell ref="D38:E38"/>
    <mergeCell ref="F38:J38"/>
    <mergeCell ref="A41:B41"/>
    <mergeCell ref="C41:E41"/>
    <mergeCell ref="F41:H41"/>
    <mergeCell ref="I41:J41"/>
    <mergeCell ref="A35:G35"/>
    <mergeCell ref="A37:B37"/>
    <mergeCell ref="D37:E37"/>
    <mergeCell ref="G37:H37"/>
    <mergeCell ref="A64:B64"/>
    <mergeCell ref="C64:G64"/>
    <mergeCell ref="A60:B60"/>
    <mergeCell ref="A61:B61"/>
    <mergeCell ref="C61:G61"/>
    <mergeCell ref="C60:G60"/>
    <mergeCell ref="A49:B49"/>
    <mergeCell ref="C49:G49"/>
    <mergeCell ref="B55:C55"/>
    <mergeCell ref="F55:J55"/>
    <mergeCell ref="A59:B59"/>
    <mergeCell ref="C59:E59"/>
    <mergeCell ref="F59:H59"/>
    <mergeCell ref="I59:J59"/>
    <mergeCell ref="D55:E55"/>
    <mergeCell ref="A54:B54"/>
    <mergeCell ref="D54:E54"/>
    <mergeCell ref="G54:H54"/>
    <mergeCell ref="I54:J54"/>
    <mergeCell ref="C83:G83"/>
    <mergeCell ref="A84:B84"/>
    <mergeCell ref="C84:G84"/>
    <mergeCell ref="A85:B85"/>
    <mergeCell ref="C85:G85"/>
    <mergeCell ref="I92:J92"/>
    <mergeCell ref="B89:C89"/>
    <mergeCell ref="D89:E89"/>
    <mergeCell ref="F89:J89"/>
    <mergeCell ref="I75:J75"/>
    <mergeCell ref="A76:B76"/>
    <mergeCell ref="C76:E76"/>
    <mergeCell ref="F76:H76"/>
    <mergeCell ref="I76:J76"/>
    <mergeCell ref="C77:G77"/>
    <mergeCell ref="A68:B68"/>
    <mergeCell ref="C68:G68"/>
    <mergeCell ref="A69:G69"/>
    <mergeCell ref="A71:B71"/>
    <mergeCell ref="D71:E71"/>
    <mergeCell ref="G71:H71"/>
    <mergeCell ref="I71:J71"/>
    <mergeCell ref="I126:J126"/>
    <mergeCell ref="A122:B122"/>
    <mergeCell ref="A119:B119"/>
    <mergeCell ref="C119:G119"/>
    <mergeCell ref="A116:B116"/>
    <mergeCell ref="C116:G116"/>
    <mergeCell ref="A117:B117"/>
    <mergeCell ref="C117:G117"/>
    <mergeCell ref="A118:B118"/>
    <mergeCell ref="C118:G118"/>
    <mergeCell ref="A101:B101"/>
    <mergeCell ref="C101:G101"/>
    <mergeCell ref="A102:B102"/>
    <mergeCell ref="C102:G102"/>
    <mergeCell ref="A98:B98"/>
    <mergeCell ref="C98:G98"/>
    <mergeCell ref="A99:B99"/>
    <mergeCell ref="C99:G99"/>
    <mergeCell ref="A100:B100"/>
    <mergeCell ref="C100:G100"/>
    <mergeCell ref="F109:H109"/>
    <mergeCell ref="A111:B111"/>
    <mergeCell ref="C111:G111"/>
    <mergeCell ref="I105:J105"/>
    <mergeCell ref="A114:B114"/>
    <mergeCell ref="C114:G114"/>
    <mergeCell ref="A113:B113"/>
    <mergeCell ref="A112:B112"/>
    <mergeCell ref="C112:G112"/>
    <mergeCell ref="C113:G113"/>
    <mergeCell ref="A109:B109"/>
    <mergeCell ref="I109:J109"/>
    <mergeCell ref="B174:C174"/>
    <mergeCell ref="D174:E174"/>
    <mergeCell ref="F174:J174"/>
    <mergeCell ref="A170:B170"/>
    <mergeCell ref="C170:G170"/>
    <mergeCell ref="A168:B168"/>
    <mergeCell ref="A169:B169"/>
    <mergeCell ref="C169:G169"/>
    <mergeCell ref="I122:J122"/>
    <mergeCell ref="B123:C123"/>
    <mergeCell ref="D123:E123"/>
    <mergeCell ref="F123:J123"/>
    <mergeCell ref="A149:B149"/>
    <mergeCell ref="A147:B147"/>
    <mergeCell ref="C147:G147"/>
    <mergeCell ref="A148:B148"/>
    <mergeCell ref="A145:B145"/>
    <mergeCell ref="A143:B143"/>
    <mergeCell ref="C143:E143"/>
    <mergeCell ref="F143:H143"/>
    <mergeCell ref="I143:J143"/>
    <mergeCell ref="A139:B139"/>
    <mergeCell ref="A134:B134"/>
    <mergeCell ref="C134:G134"/>
    <mergeCell ref="A135:B135"/>
    <mergeCell ref="C135:G135"/>
    <mergeCell ref="A136:B136"/>
    <mergeCell ref="C136:G136"/>
    <mergeCell ref="A144:B144"/>
    <mergeCell ref="C144:E144"/>
    <mergeCell ref="F144:H144"/>
    <mergeCell ref="I144:J144"/>
    <mergeCell ref="A222:G222"/>
    <mergeCell ref="A200:B200"/>
    <mergeCell ref="C200:G200"/>
    <mergeCell ref="A201:B201"/>
    <mergeCell ref="A199:B199"/>
    <mergeCell ref="A194:B194"/>
    <mergeCell ref="A195:B195"/>
    <mergeCell ref="A196:B196"/>
    <mergeCell ref="C196:G196"/>
    <mergeCell ref="C195:E195"/>
    <mergeCell ref="F195:H195"/>
    <mergeCell ref="A190:B190"/>
    <mergeCell ref="A188:G188"/>
    <mergeCell ref="D190:E190"/>
    <mergeCell ref="G190:H190"/>
    <mergeCell ref="C177:E177"/>
    <mergeCell ref="F177:H177"/>
    <mergeCell ref="A230:B230"/>
    <mergeCell ref="C230:G230"/>
    <mergeCell ref="A231:B231"/>
    <mergeCell ref="C231:G231"/>
    <mergeCell ref="A232:B232"/>
    <mergeCell ref="C232:G232"/>
    <mergeCell ref="A228:B228"/>
    <mergeCell ref="A229:B229"/>
    <mergeCell ref="C229:E229"/>
    <mergeCell ref="F229:H229"/>
    <mergeCell ref="I241:J241"/>
    <mergeCell ref="B242:C242"/>
    <mergeCell ref="D242:E242"/>
    <mergeCell ref="F242:J242"/>
    <mergeCell ref="C245:E245"/>
    <mergeCell ref="F245:H245"/>
    <mergeCell ref="I245:J245"/>
    <mergeCell ref="C237:G237"/>
    <mergeCell ref="A238:B238"/>
    <mergeCell ref="C238:G238"/>
    <mergeCell ref="I229:J229"/>
    <mergeCell ref="A233:B233"/>
    <mergeCell ref="C233:G233"/>
    <mergeCell ref="A234:B234"/>
    <mergeCell ref="C234:G234"/>
    <mergeCell ref="C235:G235"/>
    <mergeCell ref="A245:B245"/>
    <mergeCell ref="A241:B241"/>
    <mergeCell ref="A239:G239"/>
    <mergeCell ref="D241:E241"/>
    <mergeCell ref="G241:H241"/>
    <mergeCell ref="A236:B236"/>
    <mergeCell ref="A280:B280"/>
    <mergeCell ref="C280:E280"/>
    <mergeCell ref="F280:H280"/>
    <mergeCell ref="C268:G268"/>
    <mergeCell ref="A263:B263"/>
    <mergeCell ref="A264:B264"/>
    <mergeCell ref="C264:G264"/>
    <mergeCell ref="A265:B265"/>
    <mergeCell ref="C265:G265"/>
    <mergeCell ref="C263:E263"/>
    <mergeCell ref="F263:H263"/>
    <mergeCell ref="A262:B262"/>
    <mergeCell ref="A258:B258"/>
    <mergeCell ref="D258:E258"/>
    <mergeCell ref="G258:H258"/>
    <mergeCell ref="A254:B254"/>
    <mergeCell ref="C254:G254"/>
    <mergeCell ref="A255:B255"/>
    <mergeCell ref="C279:E279"/>
    <mergeCell ref="F279:H279"/>
    <mergeCell ref="B259:C259"/>
    <mergeCell ref="D259:E259"/>
    <mergeCell ref="F259:J259"/>
    <mergeCell ref="C262:E262"/>
    <mergeCell ref="F262:H262"/>
    <mergeCell ref="I262:J262"/>
    <mergeCell ref="C255:G255"/>
    <mergeCell ref="A256:G256"/>
    <mergeCell ref="I275:J275"/>
    <mergeCell ref="B276:C276"/>
    <mergeCell ref="D276:E276"/>
    <mergeCell ref="F276:J276"/>
    <mergeCell ref="A299:B299"/>
    <mergeCell ref="C299:G299"/>
    <mergeCell ref="A300:B300"/>
    <mergeCell ref="C300:G300"/>
    <mergeCell ref="A301:B301"/>
    <mergeCell ref="C301:G301"/>
    <mergeCell ref="A289:B289"/>
    <mergeCell ref="A284:B284"/>
    <mergeCell ref="C284:G284"/>
    <mergeCell ref="A285:B285"/>
    <mergeCell ref="C285:G285"/>
    <mergeCell ref="A286:B286"/>
    <mergeCell ref="C286:G286"/>
    <mergeCell ref="A281:B281"/>
    <mergeCell ref="C281:G281"/>
    <mergeCell ref="A282:B282"/>
    <mergeCell ref="C282:G282"/>
    <mergeCell ref="A283:B283"/>
    <mergeCell ref="C283:G283"/>
    <mergeCell ref="C320:G320"/>
    <mergeCell ref="A321:B321"/>
    <mergeCell ref="C321:G321"/>
    <mergeCell ref="A314:B314"/>
    <mergeCell ref="A315:B315"/>
    <mergeCell ref="C315:G315"/>
    <mergeCell ref="A316:B316"/>
    <mergeCell ref="C316:G316"/>
    <mergeCell ref="A313:B313"/>
    <mergeCell ref="C313:E313"/>
    <mergeCell ref="F313:H313"/>
    <mergeCell ref="A309:B309"/>
    <mergeCell ref="I309:J309"/>
    <mergeCell ref="A306:B306"/>
    <mergeCell ref="C306:G306"/>
    <mergeCell ref="I313:J313"/>
    <mergeCell ref="C314:E314"/>
    <mergeCell ref="F314:H314"/>
    <mergeCell ref="I314:J314"/>
    <mergeCell ref="A307:G307"/>
    <mergeCell ref="D309:E309"/>
    <mergeCell ref="G309:H309"/>
    <mergeCell ref="B310:C310"/>
    <mergeCell ref="D310:E310"/>
    <mergeCell ref="F310:J310"/>
    <mergeCell ref="C336:G336"/>
    <mergeCell ref="A337:B337"/>
    <mergeCell ref="C337:G337"/>
    <mergeCell ref="A332:B332"/>
    <mergeCell ref="C332:G332"/>
    <mergeCell ref="A333:B333"/>
    <mergeCell ref="C333:G333"/>
    <mergeCell ref="A334:B334"/>
    <mergeCell ref="C334:G334"/>
    <mergeCell ref="A330:B330"/>
    <mergeCell ref="A331:B331"/>
    <mergeCell ref="C330:E330"/>
    <mergeCell ref="F330:H330"/>
    <mergeCell ref="A326:B326"/>
    <mergeCell ref="A322:B322"/>
    <mergeCell ref="C322:G322"/>
    <mergeCell ref="A317:B317"/>
    <mergeCell ref="C317:G317"/>
    <mergeCell ref="A318:B318"/>
    <mergeCell ref="C318:G318"/>
    <mergeCell ref="A319:B319"/>
    <mergeCell ref="C319:G319"/>
    <mergeCell ref="A324:G324"/>
    <mergeCell ref="D326:E326"/>
    <mergeCell ref="G326:H326"/>
    <mergeCell ref="B327:C327"/>
    <mergeCell ref="D327:E327"/>
    <mergeCell ref="F327:J327"/>
    <mergeCell ref="A323:B323"/>
    <mergeCell ref="C323:G323"/>
    <mergeCell ref="I326:J326"/>
    <mergeCell ref="A320:B320"/>
    <mergeCell ref="F365:H365"/>
    <mergeCell ref="A364:B364"/>
    <mergeCell ref="A360:B360"/>
    <mergeCell ref="D360:E360"/>
    <mergeCell ref="G360:H360"/>
    <mergeCell ref="A358:G358"/>
    <mergeCell ref="A356:B356"/>
    <mergeCell ref="C356:G356"/>
    <mergeCell ref="A357:B357"/>
    <mergeCell ref="C357:G357"/>
    <mergeCell ref="A341:G341"/>
    <mergeCell ref="A343:B343"/>
    <mergeCell ref="D343:E343"/>
    <mergeCell ref="C348:E348"/>
    <mergeCell ref="A338:B338"/>
    <mergeCell ref="C338:G338"/>
    <mergeCell ref="A339:B339"/>
    <mergeCell ref="C339:G339"/>
    <mergeCell ref="A340:B340"/>
    <mergeCell ref="C340:G340"/>
    <mergeCell ref="G343:H343"/>
    <mergeCell ref="A383:B383"/>
    <mergeCell ref="C383:G383"/>
    <mergeCell ref="A384:B384"/>
    <mergeCell ref="C384:G384"/>
    <mergeCell ref="A385:B385"/>
    <mergeCell ref="C385:G385"/>
    <mergeCell ref="A381:B381"/>
    <mergeCell ref="C381:E381"/>
    <mergeCell ref="F381:H381"/>
    <mergeCell ref="I381:J381"/>
    <mergeCell ref="A382:B382"/>
    <mergeCell ref="C382:E382"/>
    <mergeCell ref="F382:H382"/>
    <mergeCell ref="I382:J382"/>
    <mergeCell ref="D377:E377"/>
    <mergeCell ref="B378:C378"/>
    <mergeCell ref="D378:E378"/>
    <mergeCell ref="F378:J378"/>
    <mergeCell ref="A389:B389"/>
    <mergeCell ref="C389:G389"/>
    <mergeCell ref="A390:B390"/>
    <mergeCell ref="C390:G390"/>
    <mergeCell ref="A391:B391"/>
    <mergeCell ref="C391:G391"/>
    <mergeCell ref="A386:B386"/>
    <mergeCell ref="C386:G386"/>
    <mergeCell ref="A387:B387"/>
    <mergeCell ref="C387:G387"/>
    <mergeCell ref="A388:B388"/>
    <mergeCell ref="C388:G388"/>
    <mergeCell ref="C403:G403"/>
    <mergeCell ref="A399:B399"/>
    <mergeCell ref="C399:E399"/>
    <mergeCell ref="F399:H399"/>
    <mergeCell ref="I399:J399"/>
    <mergeCell ref="A400:B400"/>
    <mergeCell ref="C400:G400"/>
    <mergeCell ref="B395:C395"/>
    <mergeCell ref="D395:E395"/>
    <mergeCell ref="F395:J395"/>
    <mergeCell ref="A398:B398"/>
    <mergeCell ref="C398:E398"/>
    <mergeCell ref="F398:H398"/>
    <mergeCell ref="I398:J398"/>
    <mergeCell ref="A392:G392"/>
    <mergeCell ref="A394:B394"/>
    <mergeCell ref="D394:E394"/>
    <mergeCell ref="G394:H394"/>
    <mergeCell ref="I394:J394"/>
    <mergeCell ref="A416:B416"/>
    <mergeCell ref="C416:E416"/>
    <mergeCell ref="F416:H416"/>
    <mergeCell ref="I416:J416"/>
    <mergeCell ref="A415:B415"/>
    <mergeCell ref="C415:E415"/>
    <mergeCell ref="F415:H415"/>
    <mergeCell ref="D412:E412"/>
    <mergeCell ref="B412:C412"/>
    <mergeCell ref="F412:J412"/>
    <mergeCell ref="A407:B407"/>
    <mergeCell ref="C407:G407"/>
    <mergeCell ref="A408:B408"/>
    <mergeCell ref="C408:G408"/>
    <mergeCell ref="A409:G409"/>
    <mergeCell ref="A411:B411"/>
    <mergeCell ref="D411:E411"/>
    <mergeCell ref="G411:H411"/>
    <mergeCell ref="I411:J411"/>
    <mergeCell ref="F429:J429"/>
    <mergeCell ref="A425:B425"/>
    <mergeCell ref="C425:G425"/>
    <mergeCell ref="A422:B422"/>
    <mergeCell ref="C422:G422"/>
    <mergeCell ref="A423:B423"/>
    <mergeCell ref="C423:G423"/>
    <mergeCell ref="A424:B424"/>
    <mergeCell ref="C424:G424"/>
    <mergeCell ref="A419:B419"/>
    <mergeCell ref="C419:G419"/>
    <mergeCell ref="A420:B420"/>
    <mergeCell ref="C420:G420"/>
    <mergeCell ref="A421:B421"/>
    <mergeCell ref="C421:G421"/>
    <mergeCell ref="A417:B417"/>
    <mergeCell ref="A418:B418"/>
    <mergeCell ref="C418:G418"/>
    <mergeCell ref="B429:C429"/>
    <mergeCell ref="D429:E429"/>
    <mergeCell ref="A454:B454"/>
    <mergeCell ref="C454:G454"/>
    <mergeCell ref="A452:B452"/>
    <mergeCell ref="A449:B449"/>
    <mergeCell ref="C449:E449"/>
    <mergeCell ref="F449:H449"/>
    <mergeCell ref="I445:J445"/>
    <mergeCell ref="A445:B445"/>
    <mergeCell ref="C439:G439"/>
    <mergeCell ref="A435:B435"/>
    <mergeCell ref="A436:B436"/>
    <mergeCell ref="C436:G436"/>
    <mergeCell ref="C435:G435"/>
    <mergeCell ref="A434:B434"/>
    <mergeCell ref="A432:B432"/>
    <mergeCell ref="C432:E432"/>
    <mergeCell ref="F432:H432"/>
    <mergeCell ref="A441:B441"/>
    <mergeCell ref="C441:G441"/>
    <mergeCell ref="A442:B442"/>
    <mergeCell ref="C442:G442"/>
    <mergeCell ref="A437:B437"/>
    <mergeCell ref="C437:G437"/>
    <mergeCell ref="A438:B438"/>
    <mergeCell ref="C438:G438"/>
    <mergeCell ref="A439:B439"/>
    <mergeCell ref="A476:B476"/>
    <mergeCell ref="C476:G476"/>
    <mergeCell ref="A473:B473"/>
    <mergeCell ref="C473:G473"/>
    <mergeCell ref="A474:B474"/>
    <mergeCell ref="C474:G474"/>
    <mergeCell ref="A475:B475"/>
    <mergeCell ref="C475:G475"/>
    <mergeCell ref="A471:B471"/>
    <mergeCell ref="A472:B472"/>
    <mergeCell ref="C472:G472"/>
    <mergeCell ref="C471:G471"/>
    <mergeCell ref="A470:B470"/>
    <mergeCell ref="A469:B469"/>
    <mergeCell ref="C469:G469"/>
    <mergeCell ref="C470:G470"/>
    <mergeCell ref="A466:B466"/>
    <mergeCell ref="F466:H466"/>
    <mergeCell ref="A467:B467"/>
    <mergeCell ref="C467:E467"/>
    <mergeCell ref="F467:H467"/>
    <mergeCell ref="C466:E466"/>
    <mergeCell ref="A500:B500"/>
    <mergeCell ref="C500:E500"/>
    <mergeCell ref="F500:H500"/>
    <mergeCell ref="I500:J500"/>
    <mergeCell ref="A496:B496"/>
    <mergeCell ref="A488:B488"/>
    <mergeCell ref="A487:B487"/>
    <mergeCell ref="C487:G487"/>
    <mergeCell ref="C488:G488"/>
    <mergeCell ref="A494:G494"/>
    <mergeCell ref="D496:E496"/>
    <mergeCell ref="G496:H496"/>
    <mergeCell ref="I496:J496"/>
    <mergeCell ref="B497:C497"/>
    <mergeCell ref="D497:E497"/>
    <mergeCell ref="F497:J497"/>
    <mergeCell ref="A492:B492"/>
    <mergeCell ref="C492:G492"/>
    <mergeCell ref="A493:B493"/>
    <mergeCell ref="C493:G493"/>
    <mergeCell ref="A524:B524"/>
    <mergeCell ref="A522:B522"/>
    <mergeCell ref="C522:G522"/>
    <mergeCell ref="A523:B523"/>
    <mergeCell ref="I517:J517"/>
    <mergeCell ref="A520:B520"/>
    <mergeCell ref="C517:E517"/>
    <mergeCell ref="F517:H517"/>
    <mergeCell ref="A518:B518"/>
    <mergeCell ref="C518:E518"/>
    <mergeCell ref="A517:B517"/>
    <mergeCell ref="F518:H518"/>
    <mergeCell ref="I518:J518"/>
    <mergeCell ref="A519:B519"/>
    <mergeCell ref="C519:G519"/>
    <mergeCell ref="C520:G520"/>
    <mergeCell ref="A521:B521"/>
    <mergeCell ref="C521:G521"/>
    <mergeCell ref="A562:G562"/>
    <mergeCell ref="A561:B561"/>
    <mergeCell ref="A560:B560"/>
    <mergeCell ref="A557:B557"/>
    <mergeCell ref="C557:G557"/>
    <mergeCell ref="A558:B558"/>
    <mergeCell ref="A556:B556"/>
    <mergeCell ref="A551:B551"/>
    <mergeCell ref="A552:B552"/>
    <mergeCell ref="A553:B553"/>
    <mergeCell ref="C553:G553"/>
    <mergeCell ref="C552:E552"/>
    <mergeCell ref="F552:H552"/>
    <mergeCell ref="A547:B547"/>
    <mergeCell ref="A545:G545"/>
    <mergeCell ref="D547:E547"/>
    <mergeCell ref="G547:H547"/>
    <mergeCell ref="A579:G579"/>
    <mergeCell ref="A578:B578"/>
    <mergeCell ref="A575:B575"/>
    <mergeCell ref="C575:G575"/>
    <mergeCell ref="A576:B576"/>
    <mergeCell ref="A574:B574"/>
    <mergeCell ref="A569:B569"/>
    <mergeCell ref="A570:B570"/>
    <mergeCell ref="C570:G570"/>
    <mergeCell ref="A571:B571"/>
    <mergeCell ref="C571:G571"/>
    <mergeCell ref="C569:E569"/>
    <mergeCell ref="F569:H569"/>
    <mergeCell ref="C576:G576"/>
    <mergeCell ref="A577:B577"/>
    <mergeCell ref="C577:G577"/>
    <mergeCell ref="C578:G578"/>
    <mergeCell ref="D649:E649"/>
    <mergeCell ref="G649:H649"/>
    <mergeCell ref="I649:J649"/>
    <mergeCell ref="A630:G630"/>
    <mergeCell ref="B650:C650"/>
    <mergeCell ref="D650:E650"/>
    <mergeCell ref="F650:J650"/>
    <mergeCell ref="A649:B649"/>
    <mergeCell ref="A647:G647"/>
    <mergeCell ref="I637:J637"/>
    <mergeCell ref="C603:E603"/>
    <mergeCell ref="F603:H603"/>
    <mergeCell ref="A598:B598"/>
    <mergeCell ref="A596:G596"/>
    <mergeCell ref="D598:E598"/>
    <mergeCell ref="G598:H598"/>
    <mergeCell ref="A593:B593"/>
    <mergeCell ref="C593:G593"/>
    <mergeCell ref="A594:B594"/>
    <mergeCell ref="C594:G594"/>
    <mergeCell ref="A595:B595"/>
    <mergeCell ref="C595:G595"/>
    <mergeCell ref="A629:B629"/>
    <mergeCell ref="C629:G629"/>
    <mergeCell ref="A628:B628"/>
    <mergeCell ref="A623:B623"/>
    <mergeCell ref="C623:G623"/>
    <mergeCell ref="A624:B624"/>
    <mergeCell ref="A602:B602"/>
    <mergeCell ref="A603:B603"/>
    <mergeCell ref="A604:B604"/>
    <mergeCell ref="C604:G604"/>
    <mergeCell ref="A47:B47"/>
    <mergeCell ref="C47:G47"/>
    <mergeCell ref="A48:B48"/>
    <mergeCell ref="C48:G48"/>
    <mergeCell ref="A78:B78"/>
    <mergeCell ref="A79:B79"/>
    <mergeCell ref="C79:G79"/>
    <mergeCell ref="C78:G78"/>
    <mergeCell ref="A77:B77"/>
    <mergeCell ref="A75:B75"/>
    <mergeCell ref="B72:C72"/>
    <mergeCell ref="D72:E72"/>
    <mergeCell ref="F72:J72"/>
    <mergeCell ref="A65:B65"/>
    <mergeCell ref="C65:G65"/>
    <mergeCell ref="A66:B66"/>
    <mergeCell ref="C66:G66"/>
    <mergeCell ref="A67:B67"/>
    <mergeCell ref="C67:G67"/>
    <mergeCell ref="A50:B50"/>
    <mergeCell ref="C50:G50"/>
    <mergeCell ref="A51:B51"/>
    <mergeCell ref="C51:G51"/>
    <mergeCell ref="A58:B58"/>
    <mergeCell ref="C58:E58"/>
    <mergeCell ref="F58:H58"/>
    <mergeCell ref="I58:J58"/>
    <mergeCell ref="A52:G52"/>
    <mergeCell ref="A62:B62"/>
    <mergeCell ref="C62:G62"/>
    <mergeCell ref="A63:B63"/>
    <mergeCell ref="C63:G63"/>
    <mergeCell ref="A110:B110"/>
    <mergeCell ref="C110:E110"/>
    <mergeCell ref="F110:H110"/>
    <mergeCell ref="I110:J110"/>
    <mergeCell ref="A86:G86"/>
    <mergeCell ref="D88:E88"/>
    <mergeCell ref="A96:B96"/>
    <mergeCell ref="A97:B97"/>
    <mergeCell ref="C97:G97"/>
    <mergeCell ref="A95:B95"/>
    <mergeCell ref="G88:H88"/>
    <mergeCell ref="C75:E75"/>
    <mergeCell ref="F75:H75"/>
    <mergeCell ref="C95:G95"/>
    <mergeCell ref="C96:G96"/>
    <mergeCell ref="A103:G103"/>
    <mergeCell ref="D105:E105"/>
    <mergeCell ref="G105:H105"/>
    <mergeCell ref="A93:B93"/>
    <mergeCell ref="C93:E93"/>
    <mergeCell ref="F93:H93"/>
    <mergeCell ref="I93:J93"/>
    <mergeCell ref="A94:B94"/>
    <mergeCell ref="C94:G94"/>
    <mergeCell ref="B106:C106"/>
    <mergeCell ref="D106:E106"/>
    <mergeCell ref="A92:B92"/>
    <mergeCell ref="C92:E92"/>
    <mergeCell ref="F92:H92"/>
    <mergeCell ref="I88:J88"/>
    <mergeCell ref="A88:B88"/>
    <mergeCell ref="A83:B83"/>
    <mergeCell ref="A120:G120"/>
    <mergeCell ref="D122:E122"/>
    <mergeCell ref="G122:H122"/>
    <mergeCell ref="A115:B115"/>
    <mergeCell ref="C115:G115"/>
    <mergeCell ref="A132:B132"/>
    <mergeCell ref="A133:B133"/>
    <mergeCell ref="C133:G133"/>
    <mergeCell ref="C132:G132"/>
    <mergeCell ref="A131:B131"/>
    <mergeCell ref="A130:B130"/>
    <mergeCell ref="C130:G130"/>
    <mergeCell ref="C131:G131"/>
    <mergeCell ref="A127:B127"/>
    <mergeCell ref="A80:B80"/>
    <mergeCell ref="C80:G80"/>
    <mergeCell ref="A81:B81"/>
    <mergeCell ref="C81:G81"/>
    <mergeCell ref="A82:B82"/>
    <mergeCell ref="C82:G82"/>
    <mergeCell ref="A126:B126"/>
    <mergeCell ref="C126:E126"/>
    <mergeCell ref="F126:H126"/>
    <mergeCell ref="F106:J106"/>
    <mergeCell ref="C109:E109"/>
    <mergeCell ref="A105:B105"/>
    <mergeCell ref="I127:J127"/>
    <mergeCell ref="C127:E127"/>
    <mergeCell ref="F127:H127"/>
    <mergeCell ref="A128:B128"/>
    <mergeCell ref="C128:G128"/>
    <mergeCell ref="A129:B129"/>
    <mergeCell ref="C166:G166"/>
    <mergeCell ref="C146:G146"/>
    <mergeCell ref="A137:G137"/>
    <mergeCell ref="D139:E139"/>
    <mergeCell ref="C161:E161"/>
    <mergeCell ref="A160:B160"/>
    <mergeCell ref="A156:B156"/>
    <mergeCell ref="B157:C157"/>
    <mergeCell ref="D157:E157"/>
    <mergeCell ref="F157:J157"/>
    <mergeCell ref="A152:B152"/>
    <mergeCell ref="A153:B153"/>
    <mergeCell ref="C153:G153"/>
    <mergeCell ref="A150:B150"/>
    <mergeCell ref="A151:B151"/>
    <mergeCell ref="C151:G151"/>
    <mergeCell ref="G139:H139"/>
    <mergeCell ref="I139:J139"/>
    <mergeCell ref="B140:C140"/>
    <mergeCell ref="D140:E140"/>
    <mergeCell ref="F140:J140"/>
    <mergeCell ref="C152:G152"/>
    <mergeCell ref="C129:G129"/>
    <mergeCell ref="C145:G145"/>
    <mergeCell ref="A146:B146"/>
    <mergeCell ref="C167:G167"/>
    <mergeCell ref="C168:G168"/>
    <mergeCell ref="A171:G171"/>
    <mergeCell ref="D173:E173"/>
    <mergeCell ref="G173:H173"/>
    <mergeCell ref="I173:J173"/>
    <mergeCell ref="F161:H161"/>
    <mergeCell ref="I161:J161"/>
    <mergeCell ref="A162:B162"/>
    <mergeCell ref="C162:G162"/>
    <mergeCell ref="C163:G163"/>
    <mergeCell ref="A164:B164"/>
    <mergeCell ref="C164:G164"/>
    <mergeCell ref="C148:G148"/>
    <mergeCell ref="C149:G149"/>
    <mergeCell ref="C150:G150"/>
    <mergeCell ref="A154:G154"/>
    <mergeCell ref="D156:E156"/>
    <mergeCell ref="G156:H156"/>
    <mergeCell ref="I156:J156"/>
    <mergeCell ref="A167:B167"/>
    <mergeCell ref="A165:B165"/>
    <mergeCell ref="C165:G165"/>
    <mergeCell ref="A166:B166"/>
    <mergeCell ref="I160:J160"/>
    <mergeCell ref="A163:B163"/>
    <mergeCell ref="C160:E160"/>
    <mergeCell ref="F160:H160"/>
    <mergeCell ref="A161:B161"/>
    <mergeCell ref="A173:B173"/>
    <mergeCell ref="I190:J190"/>
    <mergeCell ref="B191:C191"/>
    <mergeCell ref="D191:E191"/>
    <mergeCell ref="F191:J191"/>
    <mergeCell ref="C194:E194"/>
    <mergeCell ref="F194:H194"/>
    <mergeCell ref="I194:J194"/>
    <mergeCell ref="C183:G183"/>
    <mergeCell ref="A184:B184"/>
    <mergeCell ref="C184:G184"/>
    <mergeCell ref="C185:G185"/>
    <mergeCell ref="C186:G186"/>
    <mergeCell ref="I177:J177"/>
    <mergeCell ref="C178:E178"/>
    <mergeCell ref="F178:H178"/>
    <mergeCell ref="A179:B179"/>
    <mergeCell ref="C179:G179"/>
    <mergeCell ref="A180:B180"/>
    <mergeCell ref="C180:G180"/>
    <mergeCell ref="A186:B186"/>
    <mergeCell ref="A187:B187"/>
    <mergeCell ref="C187:G187"/>
    <mergeCell ref="A185:B185"/>
    <mergeCell ref="A182:B182"/>
    <mergeCell ref="C182:G182"/>
    <mergeCell ref="A183:B183"/>
    <mergeCell ref="I178:J178"/>
    <mergeCell ref="A181:B181"/>
    <mergeCell ref="C181:G181"/>
    <mergeCell ref="A177:B177"/>
    <mergeCell ref="A178:B178"/>
    <mergeCell ref="I207:J207"/>
    <mergeCell ref="B208:C208"/>
    <mergeCell ref="D208:E208"/>
    <mergeCell ref="F208:J208"/>
    <mergeCell ref="C211:E211"/>
    <mergeCell ref="F211:H211"/>
    <mergeCell ref="I211:J211"/>
    <mergeCell ref="C201:G201"/>
    <mergeCell ref="A202:B202"/>
    <mergeCell ref="C202:G202"/>
    <mergeCell ref="C203:G203"/>
    <mergeCell ref="C204:G204"/>
    <mergeCell ref="I195:J195"/>
    <mergeCell ref="A197:B197"/>
    <mergeCell ref="C197:G197"/>
    <mergeCell ref="A198:B198"/>
    <mergeCell ref="C198:G198"/>
    <mergeCell ref="C199:G199"/>
    <mergeCell ref="A211:B211"/>
    <mergeCell ref="A207:B207"/>
    <mergeCell ref="D207:E207"/>
    <mergeCell ref="G207:H207"/>
    <mergeCell ref="A205:G205"/>
    <mergeCell ref="A204:B204"/>
    <mergeCell ref="A203:B203"/>
    <mergeCell ref="I224:J224"/>
    <mergeCell ref="B225:C225"/>
    <mergeCell ref="D225:E225"/>
    <mergeCell ref="F225:J225"/>
    <mergeCell ref="C228:E228"/>
    <mergeCell ref="F228:H228"/>
    <mergeCell ref="I228:J228"/>
    <mergeCell ref="C219:G219"/>
    <mergeCell ref="A220:B220"/>
    <mergeCell ref="C220:G220"/>
    <mergeCell ref="C221:G221"/>
    <mergeCell ref="I212:J212"/>
    <mergeCell ref="A215:B215"/>
    <mergeCell ref="C215:G215"/>
    <mergeCell ref="A216:B216"/>
    <mergeCell ref="C216:G216"/>
    <mergeCell ref="C217:G217"/>
    <mergeCell ref="A221:B221"/>
    <mergeCell ref="A218:B218"/>
    <mergeCell ref="C218:G218"/>
    <mergeCell ref="A219:B219"/>
    <mergeCell ref="A217:B217"/>
    <mergeCell ref="A212:B212"/>
    <mergeCell ref="A213:B213"/>
    <mergeCell ref="C213:G213"/>
    <mergeCell ref="A214:B214"/>
    <mergeCell ref="C214:G214"/>
    <mergeCell ref="C212:E212"/>
    <mergeCell ref="F212:H212"/>
    <mergeCell ref="A224:B224"/>
    <mergeCell ref="D224:E224"/>
    <mergeCell ref="G224:H224"/>
    <mergeCell ref="C236:G236"/>
    <mergeCell ref="A237:B237"/>
    <mergeCell ref="A235:B235"/>
    <mergeCell ref="I246:J246"/>
    <mergeCell ref="A251:B251"/>
    <mergeCell ref="C251:G251"/>
    <mergeCell ref="A252:B252"/>
    <mergeCell ref="C252:G252"/>
    <mergeCell ref="C253:G253"/>
    <mergeCell ref="A253:B253"/>
    <mergeCell ref="A248:B248"/>
    <mergeCell ref="C248:G248"/>
    <mergeCell ref="A249:B249"/>
    <mergeCell ref="C249:G249"/>
    <mergeCell ref="A250:B250"/>
    <mergeCell ref="C250:G250"/>
    <mergeCell ref="A246:B246"/>
    <mergeCell ref="A247:B247"/>
    <mergeCell ref="C247:G247"/>
    <mergeCell ref="C246:E246"/>
    <mergeCell ref="F246:H246"/>
    <mergeCell ref="I258:J258"/>
    <mergeCell ref="I279:J279"/>
    <mergeCell ref="A273:G273"/>
    <mergeCell ref="D275:E275"/>
    <mergeCell ref="G275:H275"/>
    <mergeCell ref="I263:J263"/>
    <mergeCell ref="A269:B269"/>
    <mergeCell ref="C269:G269"/>
    <mergeCell ref="A270:B270"/>
    <mergeCell ref="C270:G270"/>
    <mergeCell ref="C271:G271"/>
    <mergeCell ref="A275:B275"/>
    <mergeCell ref="A272:B272"/>
    <mergeCell ref="C272:G272"/>
    <mergeCell ref="A271:B271"/>
    <mergeCell ref="A266:B266"/>
    <mergeCell ref="C266:G266"/>
    <mergeCell ref="A267:B267"/>
    <mergeCell ref="C267:G267"/>
    <mergeCell ref="A268:B268"/>
    <mergeCell ref="A279:B279"/>
    <mergeCell ref="I296:J296"/>
    <mergeCell ref="C297:E297"/>
    <mergeCell ref="F297:H297"/>
    <mergeCell ref="I297:J297"/>
    <mergeCell ref="A305:B305"/>
    <mergeCell ref="C305:G305"/>
    <mergeCell ref="A290:G290"/>
    <mergeCell ref="D292:E292"/>
    <mergeCell ref="G292:H292"/>
    <mergeCell ref="I292:J292"/>
    <mergeCell ref="I280:J280"/>
    <mergeCell ref="A287:B287"/>
    <mergeCell ref="C287:G287"/>
    <mergeCell ref="A288:B288"/>
    <mergeCell ref="C288:G288"/>
    <mergeCell ref="C289:G289"/>
    <mergeCell ref="A296:B296"/>
    <mergeCell ref="A297:B297"/>
    <mergeCell ref="A298:B298"/>
    <mergeCell ref="C298:G298"/>
    <mergeCell ref="C296:E296"/>
    <mergeCell ref="F296:H296"/>
    <mergeCell ref="B293:C293"/>
    <mergeCell ref="D293:E293"/>
    <mergeCell ref="F293:J293"/>
    <mergeCell ref="A292:B292"/>
    <mergeCell ref="A302:B302"/>
    <mergeCell ref="C302:G302"/>
    <mergeCell ref="A303:B303"/>
    <mergeCell ref="C303:G303"/>
    <mergeCell ref="A304:B304"/>
    <mergeCell ref="C304:G304"/>
    <mergeCell ref="I343:J343"/>
    <mergeCell ref="B344:C344"/>
    <mergeCell ref="D344:E344"/>
    <mergeCell ref="F344:J344"/>
    <mergeCell ref="C347:E347"/>
    <mergeCell ref="F347:H347"/>
    <mergeCell ref="I347:J347"/>
    <mergeCell ref="I330:J330"/>
    <mergeCell ref="C331:E331"/>
    <mergeCell ref="F331:H331"/>
    <mergeCell ref="I331:J331"/>
    <mergeCell ref="A353:B353"/>
    <mergeCell ref="C353:G353"/>
    <mergeCell ref="A354:B354"/>
    <mergeCell ref="C354:G354"/>
    <mergeCell ref="A355:B355"/>
    <mergeCell ref="C355:G355"/>
    <mergeCell ref="A350:B350"/>
    <mergeCell ref="C350:G350"/>
    <mergeCell ref="A351:B351"/>
    <mergeCell ref="C351:G351"/>
    <mergeCell ref="A352:B352"/>
    <mergeCell ref="C352:G352"/>
    <mergeCell ref="A347:B347"/>
    <mergeCell ref="A348:B348"/>
    <mergeCell ref="A349:B349"/>
    <mergeCell ref="C349:G349"/>
    <mergeCell ref="F348:H348"/>
    <mergeCell ref="I348:J348"/>
    <mergeCell ref="A335:B335"/>
    <mergeCell ref="C335:G335"/>
    <mergeCell ref="A336:B336"/>
    <mergeCell ref="I365:J365"/>
    <mergeCell ref="A375:G375"/>
    <mergeCell ref="A377:B377"/>
    <mergeCell ref="G377:H377"/>
    <mergeCell ref="I377:J377"/>
    <mergeCell ref="I360:J360"/>
    <mergeCell ref="B361:C361"/>
    <mergeCell ref="D361:E361"/>
    <mergeCell ref="F361:J361"/>
    <mergeCell ref="C364:E364"/>
    <mergeCell ref="F364:H364"/>
    <mergeCell ref="I364:J364"/>
    <mergeCell ref="A374:B374"/>
    <mergeCell ref="C374:G374"/>
    <mergeCell ref="A371:B371"/>
    <mergeCell ref="C371:G371"/>
    <mergeCell ref="A372:B372"/>
    <mergeCell ref="C372:G372"/>
    <mergeCell ref="A373:B373"/>
    <mergeCell ref="C373:G373"/>
    <mergeCell ref="A368:B368"/>
    <mergeCell ref="C368:G368"/>
    <mergeCell ref="A369:B369"/>
    <mergeCell ref="C369:G369"/>
    <mergeCell ref="A370:B370"/>
    <mergeCell ref="C370:G370"/>
    <mergeCell ref="A365:B365"/>
    <mergeCell ref="A366:B366"/>
    <mergeCell ref="C366:G366"/>
    <mergeCell ref="A367:B367"/>
    <mergeCell ref="C367:G367"/>
    <mergeCell ref="C365:E365"/>
    <mergeCell ref="A405:B405"/>
    <mergeCell ref="C405:G405"/>
    <mergeCell ref="A406:B406"/>
    <mergeCell ref="C406:G406"/>
    <mergeCell ref="A401:B401"/>
    <mergeCell ref="C401:G401"/>
    <mergeCell ref="A402:B402"/>
    <mergeCell ref="C402:G402"/>
    <mergeCell ref="A403:B403"/>
    <mergeCell ref="A404:B404"/>
    <mergeCell ref="C404:G404"/>
    <mergeCell ref="A443:G443"/>
    <mergeCell ref="D445:E445"/>
    <mergeCell ref="G445:H445"/>
    <mergeCell ref="B446:C446"/>
    <mergeCell ref="D446:E446"/>
    <mergeCell ref="F446:J446"/>
    <mergeCell ref="I432:J432"/>
    <mergeCell ref="A433:B433"/>
    <mergeCell ref="C433:E433"/>
    <mergeCell ref="F433:H433"/>
    <mergeCell ref="I433:J433"/>
    <mergeCell ref="C434:G434"/>
    <mergeCell ref="I415:J415"/>
    <mergeCell ref="C417:G417"/>
    <mergeCell ref="A426:G426"/>
    <mergeCell ref="A428:B428"/>
    <mergeCell ref="D428:E428"/>
    <mergeCell ref="G428:H428"/>
    <mergeCell ref="I428:J428"/>
    <mergeCell ref="A440:B440"/>
    <mergeCell ref="C440:G440"/>
    <mergeCell ref="I467:J467"/>
    <mergeCell ref="A468:B468"/>
    <mergeCell ref="C468:G468"/>
    <mergeCell ref="C452:G452"/>
    <mergeCell ref="C453:G453"/>
    <mergeCell ref="A460:G460"/>
    <mergeCell ref="D462:E462"/>
    <mergeCell ref="G462:H462"/>
    <mergeCell ref="I462:J462"/>
    <mergeCell ref="I449:J449"/>
    <mergeCell ref="A450:B450"/>
    <mergeCell ref="C450:E450"/>
    <mergeCell ref="F450:H450"/>
    <mergeCell ref="I450:J450"/>
    <mergeCell ref="A451:B451"/>
    <mergeCell ref="C451:G451"/>
    <mergeCell ref="A462:B462"/>
    <mergeCell ref="I466:J466"/>
    <mergeCell ref="B463:C463"/>
    <mergeCell ref="A458:B458"/>
    <mergeCell ref="C458:G458"/>
    <mergeCell ref="A459:B459"/>
    <mergeCell ref="C459:G459"/>
    <mergeCell ref="D463:E463"/>
    <mergeCell ref="F463:J463"/>
    <mergeCell ref="A455:B455"/>
    <mergeCell ref="C455:G455"/>
    <mergeCell ref="A456:B456"/>
    <mergeCell ref="C456:G456"/>
    <mergeCell ref="A457:B457"/>
    <mergeCell ref="C457:G457"/>
    <mergeCell ref="A453:B453"/>
    <mergeCell ref="C484:E484"/>
    <mergeCell ref="F484:H484"/>
    <mergeCell ref="A485:B485"/>
    <mergeCell ref="C485:G485"/>
    <mergeCell ref="A486:B486"/>
    <mergeCell ref="C486:G486"/>
    <mergeCell ref="A477:G477"/>
    <mergeCell ref="D479:E479"/>
    <mergeCell ref="G479:H479"/>
    <mergeCell ref="I479:J479"/>
    <mergeCell ref="B480:C480"/>
    <mergeCell ref="D480:E480"/>
    <mergeCell ref="F480:J480"/>
    <mergeCell ref="A491:B491"/>
    <mergeCell ref="A484:B484"/>
    <mergeCell ref="I484:J484"/>
    <mergeCell ref="A483:B483"/>
    <mergeCell ref="C483:E483"/>
    <mergeCell ref="F483:H483"/>
    <mergeCell ref="I483:J483"/>
    <mergeCell ref="A479:B479"/>
    <mergeCell ref="C491:G491"/>
    <mergeCell ref="A489:B489"/>
    <mergeCell ref="A490:B490"/>
    <mergeCell ref="C490:G490"/>
    <mergeCell ref="C489:G489"/>
    <mergeCell ref="C507:G507"/>
    <mergeCell ref="A511:G511"/>
    <mergeCell ref="D513:E513"/>
    <mergeCell ref="G513:H513"/>
    <mergeCell ref="I513:J513"/>
    <mergeCell ref="A501:B501"/>
    <mergeCell ref="C501:E501"/>
    <mergeCell ref="F501:H501"/>
    <mergeCell ref="I501:J501"/>
    <mergeCell ref="C502:G502"/>
    <mergeCell ref="A503:B503"/>
    <mergeCell ref="C503:G503"/>
    <mergeCell ref="A513:B513"/>
    <mergeCell ref="B514:C514"/>
    <mergeCell ref="A509:B509"/>
    <mergeCell ref="C509:G509"/>
    <mergeCell ref="A510:B510"/>
    <mergeCell ref="C510:G510"/>
    <mergeCell ref="D514:E514"/>
    <mergeCell ref="F514:J514"/>
    <mergeCell ref="A507:B507"/>
    <mergeCell ref="A508:B508"/>
    <mergeCell ref="C508:G508"/>
    <mergeCell ref="A506:B506"/>
    <mergeCell ref="A504:B504"/>
    <mergeCell ref="C504:G504"/>
    <mergeCell ref="A505:B505"/>
    <mergeCell ref="A502:B502"/>
    <mergeCell ref="C505:G505"/>
    <mergeCell ref="C506:G506"/>
    <mergeCell ref="I534:J534"/>
    <mergeCell ref="C535:E535"/>
    <mergeCell ref="F535:H535"/>
    <mergeCell ref="A536:B536"/>
    <mergeCell ref="C536:G536"/>
    <mergeCell ref="A537:B537"/>
    <mergeCell ref="C537:G537"/>
    <mergeCell ref="C523:G523"/>
    <mergeCell ref="C524:G524"/>
    <mergeCell ref="C525:G525"/>
    <mergeCell ref="A528:G528"/>
    <mergeCell ref="D530:E530"/>
    <mergeCell ref="G530:H530"/>
    <mergeCell ref="I530:J530"/>
    <mergeCell ref="C539:G539"/>
    <mergeCell ref="A540:B540"/>
    <mergeCell ref="I535:J535"/>
    <mergeCell ref="A538:B538"/>
    <mergeCell ref="C538:G538"/>
    <mergeCell ref="A534:B534"/>
    <mergeCell ref="A535:B535"/>
    <mergeCell ref="C534:E534"/>
    <mergeCell ref="F534:H534"/>
    <mergeCell ref="A530:B530"/>
    <mergeCell ref="B531:C531"/>
    <mergeCell ref="D531:E531"/>
    <mergeCell ref="F531:J531"/>
    <mergeCell ref="A527:B527"/>
    <mergeCell ref="C527:G527"/>
    <mergeCell ref="A525:B525"/>
    <mergeCell ref="A526:B526"/>
    <mergeCell ref="C526:G526"/>
    <mergeCell ref="A544:B544"/>
    <mergeCell ref="C544:G544"/>
    <mergeCell ref="A542:B542"/>
    <mergeCell ref="A539:B539"/>
    <mergeCell ref="C558:G558"/>
    <mergeCell ref="A559:B559"/>
    <mergeCell ref="C559:G559"/>
    <mergeCell ref="C560:G560"/>
    <mergeCell ref="C561:G561"/>
    <mergeCell ref="I552:J552"/>
    <mergeCell ref="A554:B554"/>
    <mergeCell ref="C554:G554"/>
    <mergeCell ref="A555:B555"/>
    <mergeCell ref="C555:G555"/>
    <mergeCell ref="C556:G556"/>
    <mergeCell ref="I547:J547"/>
    <mergeCell ref="B548:C548"/>
    <mergeCell ref="D548:E548"/>
    <mergeCell ref="F548:J548"/>
    <mergeCell ref="C551:E551"/>
    <mergeCell ref="F551:H551"/>
    <mergeCell ref="I551:J551"/>
    <mergeCell ref="C540:G540"/>
    <mergeCell ref="A541:B541"/>
    <mergeCell ref="C541:G541"/>
    <mergeCell ref="C542:G542"/>
    <mergeCell ref="C543:G543"/>
    <mergeCell ref="A543:B543"/>
    <mergeCell ref="I569:J569"/>
    <mergeCell ref="A572:B572"/>
    <mergeCell ref="C572:G572"/>
    <mergeCell ref="A573:B573"/>
    <mergeCell ref="C573:G573"/>
    <mergeCell ref="C574:G574"/>
    <mergeCell ref="I564:J564"/>
    <mergeCell ref="B565:C565"/>
    <mergeCell ref="D565:E565"/>
    <mergeCell ref="F565:J565"/>
    <mergeCell ref="C568:E568"/>
    <mergeCell ref="F568:H568"/>
    <mergeCell ref="I568:J568"/>
    <mergeCell ref="A568:B568"/>
    <mergeCell ref="A564:B564"/>
    <mergeCell ref="D564:E564"/>
    <mergeCell ref="G564:H564"/>
    <mergeCell ref="I586:J586"/>
    <mergeCell ref="A590:B590"/>
    <mergeCell ref="C590:G590"/>
    <mergeCell ref="A591:B591"/>
    <mergeCell ref="C591:G591"/>
    <mergeCell ref="C592:G592"/>
    <mergeCell ref="I581:J581"/>
    <mergeCell ref="B582:C582"/>
    <mergeCell ref="D582:E582"/>
    <mergeCell ref="F582:J582"/>
    <mergeCell ref="C585:E585"/>
    <mergeCell ref="F585:H585"/>
    <mergeCell ref="I585:J585"/>
    <mergeCell ref="A592:B592"/>
    <mergeCell ref="A587:B587"/>
    <mergeCell ref="C587:G587"/>
    <mergeCell ref="A588:B588"/>
    <mergeCell ref="C588:G588"/>
    <mergeCell ref="A589:B589"/>
    <mergeCell ref="C589:G589"/>
    <mergeCell ref="A585:B585"/>
    <mergeCell ref="A586:B586"/>
    <mergeCell ref="C586:E586"/>
    <mergeCell ref="F586:H586"/>
    <mergeCell ref="A581:B581"/>
    <mergeCell ref="D581:E581"/>
    <mergeCell ref="G581:H581"/>
    <mergeCell ref="C612:G612"/>
    <mergeCell ref="A613:G613"/>
    <mergeCell ref="I603:J603"/>
    <mergeCell ref="A608:B608"/>
    <mergeCell ref="C608:G608"/>
    <mergeCell ref="A609:B609"/>
    <mergeCell ref="C609:G609"/>
    <mergeCell ref="C610:G610"/>
    <mergeCell ref="I598:J598"/>
    <mergeCell ref="B599:C599"/>
    <mergeCell ref="D599:E599"/>
    <mergeCell ref="F599:J599"/>
    <mergeCell ref="C602:E602"/>
    <mergeCell ref="F602:H602"/>
    <mergeCell ref="I602:J602"/>
    <mergeCell ref="A611:B611"/>
    <mergeCell ref="C611:G611"/>
    <mergeCell ref="A612:B612"/>
    <mergeCell ref="A610:B610"/>
    <mergeCell ref="A605:B605"/>
    <mergeCell ref="C605:G605"/>
    <mergeCell ref="A606:B606"/>
    <mergeCell ref="C606:G606"/>
    <mergeCell ref="A607:B607"/>
    <mergeCell ref="C607:G607"/>
    <mergeCell ref="I620:J620"/>
    <mergeCell ref="A626:B626"/>
    <mergeCell ref="C626:G626"/>
    <mergeCell ref="A627:B627"/>
    <mergeCell ref="C627:G627"/>
    <mergeCell ref="C628:G628"/>
    <mergeCell ref="I615:J615"/>
    <mergeCell ref="B616:C616"/>
    <mergeCell ref="D616:E616"/>
    <mergeCell ref="F616:J616"/>
    <mergeCell ref="C619:E619"/>
    <mergeCell ref="F619:H619"/>
    <mergeCell ref="I619:J619"/>
    <mergeCell ref="A620:B620"/>
    <mergeCell ref="A621:B621"/>
    <mergeCell ref="C621:G621"/>
    <mergeCell ref="A622:B622"/>
    <mergeCell ref="C622:G622"/>
    <mergeCell ref="C620:E620"/>
    <mergeCell ref="F620:H620"/>
    <mergeCell ref="A619:B619"/>
    <mergeCell ref="A615:B615"/>
    <mergeCell ref="D615:E615"/>
    <mergeCell ref="G615:H615"/>
    <mergeCell ref="C624:G624"/>
    <mergeCell ref="A625:B625"/>
    <mergeCell ref="C625:G625"/>
    <mergeCell ref="A644:B644"/>
    <mergeCell ref="C644:G644"/>
    <mergeCell ref="A645:B645"/>
    <mergeCell ref="C645:G645"/>
    <mergeCell ref="C646:G646"/>
    <mergeCell ref="I632:J632"/>
    <mergeCell ref="B633:C633"/>
    <mergeCell ref="D633:E633"/>
    <mergeCell ref="F633:J633"/>
    <mergeCell ref="C636:E636"/>
    <mergeCell ref="F636:H636"/>
    <mergeCell ref="I636:J636"/>
    <mergeCell ref="A646:B646"/>
    <mergeCell ref="A641:B641"/>
    <mergeCell ref="C641:G641"/>
    <mergeCell ref="A642:B642"/>
    <mergeCell ref="C642:G642"/>
    <mergeCell ref="A643:B643"/>
    <mergeCell ref="C643:G643"/>
    <mergeCell ref="A638:B638"/>
    <mergeCell ref="C638:G638"/>
    <mergeCell ref="A639:B639"/>
    <mergeCell ref="C639:G639"/>
    <mergeCell ref="A640:B640"/>
    <mergeCell ref="C640:G640"/>
    <mergeCell ref="A636:B636"/>
    <mergeCell ref="A637:B637"/>
    <mergeCell ref="C637:E637"/>
    <mergeCell ref="F637:H637"/>
    <mergeCell ref="A632:B632"/>
    <mergeCell ref="D632:E632"/>
    <mergeCell ref="G632:H632"/>
  </mergeCells>
  <conditionalFormatting sqref="I1:I21">
    <cfRule type="containsText" dxfId="11" priority="1" operator="containsText" text="Dt">
      <formula>NOT(ISERROR(SEARCH("Dt",I1)))</formula>
    </cfRule>
    <cfRule type="containsText" dxfId="10" priority="2" operator="containsText" text="Ab">
      <formula>NOT(ISERROR(SEARCH("Ab",I1)))</formula>
    </cfRule>
    <cfRule type="containsText" dxfId="9" priority="3" operator="containsText" text="F">
      <formula>NOT(ISERROR(SEARCH("F",I1)))</formula>
    </cfRule>
  </conditionalFormatting>
  <conditionalFormatting sqref="I24:I38 I41:I55 I58:I72 I75:I89 I92:I106 I109:I123 I126:I140 I143:I157 I160:I174 I177:I191 I194:I208 I211:I225 I228:I242 I245:I259 I262:I276 I279:I293 I296:I310 I313:I327 I330:I344 I347:I361 I364:I378 I381:I395 I398:I412 I415:I429 I432:I446 I449:I463 I466:I480 I483:I497 I500:I514 I517:I531 I534:I548 I551:I565 I568:I582 I585:I599 I602:I616 I619:I633 I636:I650">
    <cfRule type="containsText" dxfId="8" priority="406" operator="containsText" text="Dt">
      <formula>NOT(ISERROR(SEARCH("Dt",I24)))</formula>
    </cfRule>
    <cfRule type="containsText" dxfId="7" priority="407" operator="containsText" text="Ab">
      <formula>NOT(ISERROR(SEARCH("Ab",I24)))</formula>
    </cfRule>
    <cfRule type="containsText" dxfId="6" priority="408" operator="containsText" text="F">
      <formula>NOT(ISERROR(SEARCH("F",I24)))</formula>
    </cfRule>
  </conditionalFormatting>
  <printOptions horizontalCentered="1"/>
  <pageMargins left="0.31496062992125984" right="0.31496062992125984" top="0.35433070866141736" bottom="0.76041666666666663" header="0.11811023622047245" footer="0.31496062992125984"/>
  <pageSetup paperSize="9" orientation="portrait" r:id="rId1"/>
  <headerFooter>
    <oddHeader>&amp;C&amp;G</oddHeader>
    <oddFooter xml:space="preserve">&amp;L&amp;"Times New Roman,Bold"&amp;12Prepared by                           Checked by
03.02.2026&amp;C&amp;"Times New Roman,Bold"&amp;12                                                  Examination Controller
&amp;R&amp;"Times New Roman,Bold"&amp;12Director
</oddFooter>
  </headerFooter>
  <rowBreaks count="37" manualBreakCount="37">
    <brk id="23" max="16383" man="1"/>
    <brk id="40" max="16383" man="1"/>
    <brk id="57" max="16383" man="1"/>
    <brk id="74" max="16383" man="1"/>
    <brk id="91" max="16383" man="1"/>
    <brk id="108" max="16383" man="1"/>
    <brk id="125" max="16383" man="1"/>
    <brk id="142" max="16383" man="1"/>
    <brk id="159" max="16383" man="1"/>
    <brk id="176" max="16383" man="1"/>
    <brk id="193" max="16383" man="1"/>
    <brk id="210" max="16383" man="1"/>
    <brk id="227" max="16383" man="1"/>
    <brk id="244" max="16383" man="1"/>
    <brk id="261" max="16383" man="1"/>
    <brk id="278" max="16383" man="1"/>
    <brk id="295" max="16383" man="1"/>
    <brk id="312" max="16383" man="1"/>
    <brk id="329" max="16383" man="1"/>
    <brk id="346" max="16383" man="1"/>
    <brk id="363" max="16383" man="1"/>
    <brk id="380" max="16383" man="1"/>
    <brk id="397" max="16383" man="1"/>
    <brk id="414" max="16383" man="1"/>
    <brk id="431" max="16383" man="1"/>
    <brk id="448" max="16383" man="1"/>
    <brk id="465" max="16383" man="1"/>
    <brk id="482" max="16383" man="1"/>
    <brk id="499" max="16383" man="1"/>
    <brk id="516" max="16383" man="1"/>
    <brk id="533" max="16383" man="1"/>
    <brk id="550" max="16383" man="1"/>
    <brk id="567" max="16383" man="1"/>
    <brk id="584" max="16383" man="1"/>
    <brk id="601" max="16383" man="1"/>
    <brk id="618" max="16383" man="1"/>
    <brk id="635" max="16383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40E5-849E-474F-AF7C-547578C1B777}">
  <dimension ref="A1:J630"/>
  <sheetViews>
    <sheetView topLeftCell="A616" zoomScaleNormal="100" workbookViewId="0">
      <selection activeCell="C613" sqref="C613"/>
    </sheetView>
  </sheetViews>
  <sheetFormatPr baseColWidth="10" defaultColWidth="8.83203125" defaultRowHeight="28" customHeight="1" x14ac:dyDescent="0.2"/>
  <cols>
    <col min="7" max="7" width="15.83203125" customWidth="1"/>
  </cols>
  <sheetData>
    <row r="1" spans="1:10" ht="28" customHeight="1" x14ac:dyDescent="0.2">
      <c r="A1" s="123" t="s">
        <v>153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28" customHeight="1" x14ac:dyDescent="0.2">
      <c r="A2" s="124" t="s">
        <v>20</v>
      </c>
      <c r="B2" s="124"/>
      <c r="C2" s="124"/>
      <c r="D2" s="124"/>
      <c r="E2" s="124"/>
      <c r="F2" s="124"/>
      <c r="G2" s="124"/>
      <c r="H2" s="124"/>
      <c r="I2" s="124"/>
      <c r="J2" s="124"/>
    </row>
    <row r="3" spans="1:10" ht="28" customHeight="1" x14ac:dyDescent="0.2">
      <c r="A3" s="125" t="s">
        <v>150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28" customHeight="1" x14ac:dyDescent="0.2">
      <c r="A4" s="13"/>
      <c r="B4" s="126" t="s">
        <v>49</v>
      </c>
      <c r="C4" s="126"/>
      <c r="D4" s="126"/>
      <c r="E4" s="126"/>
      <c r="F4" s="126"/>
      <c r="G4" s="126"/>
      <c r="H4" s="126"/>
      <c r="I4" s="126"/>
      <c r="J4" s="13"/>
    </row>
    <row r="5" spans="1:10" ht="28" customHeight="1" x14ac:dyDescent="0.2">
      <c r="A5" s="14"/>
      <c r="B5" s="127" t="s">
        <v>166</v>
      </c>
      <c r="C5" s="127"/>
      <c r="D5" s="127"/>
      <c r="E5" s="127"/>
      <c r="F5" s="127"/>
      <c r="G5" s="127"/>
      <c r="H5" s="127"/>
      <c r="I5" s="127"/>
      <c r="J5" s="14"/>
    </row>
    <row r="6" spans="1:10" ht="28" customHeight="1" x14ac:dyDescent="0.2">
      <c r="B6" s="127"/>
      <c r="C6" s="127"/>
      <c r="D6" s="127"/>
      <c r="E6" s="127"/>
      <c r="F6" s="127"/>
      <c r="G6" s="127"/>
      <c r="H6" s="127"/>
      <c r="I6" s="127"/>
      <c r="J6" s="14"/>
    </row>
    <row r="7" spans="1:10" ht="28" customHeight="1" x14ac:dyDescent="0.2">
      <c r="A7" s="112" t="s">
        <v>24</v>
      </c>
      <c r="B7" s="112"/>
      <c r="C7" s="112" t="str">
        <f ca="1">INDIRECT(_xlfn.TEXTJOIN("",TRUE,A21,"!",ADDRESS(9+(A22-1)*A18,2)))</f>
        <v>ALOK NEGI</v>
      </c>
      <c r="D7" s="112"/>
      <c r="E7" s="112"/>
      <c r="F7" s="112" t="s">
        <v>50</v>
      </c>
      <c r="G7" s="112"/>
      <c r="H7" s="112"/>
      <c r="I7" s="113">
        <f ca="1">INDIRECT(_xlfn.TEXTJOIN("",TRUE,A21,"!",ADDRESS(9+(A22-1)*A18,9)))</f>
        <v>240090600001</v>
      </c>
      <c r="J7" s="113"/>
    </row>
    <row r="8" spans="1:10" ht="28" customHeight="1" x14ac:dyDescent="0.2">
      <c r="A8" s="112" t="s">
        <v>25</v>
      </c>
      <c r="B8" s="112"/>
      <c r="C8" s="112" t="str">
        <f ca="1">INDIRECT(_xlfn.TEXTJOIN("",TRUE,A21,"!",ADDRESS(9+(A22-1)*A18,5)))</f>
        <v>PRATAP SINGH NEGI</v>
      </c>
      <c r="D8" s="112"/>
      <c r="E8" s="112"/>
      <c r="F8" s="114" t="s">
        <v>51</v>
      </c>
      <c r="G8" s="114"/>
      <c r="H8" s="114"/>
      <c r="I8" s="113" t="str">
        <f ca="1">INDIRECT(_xlfn.TEXTJOIN("",TRUE,A21,"!",ADDRESS(9+(A22-1)*A18,13)))</f>
        <v>UTU/2406100187</v>
      </c>
      <c r="J8" s="113"/>
    </row>
    <row r="9" spans="1:10" ht="28" customHeight="1" x14ac:dyDescent="0.2">
      <c r="A9" s="95" t="s">
        <v>28</v>
      </c>
      <c r="B9" s="95"/>
      <c r="C9" s="95" t="s">
        <v>29</v>
      </c>
      <c r="D9" s="95"/>
      <c r="E9" s="95"/>
      <c r="F9" s="95"/>
      <c r="G9" s="95"/>
      <c r="H9" s="15" t="s">
        <v>30</v>
      </c>
      <c r="I9" s="15" t="s">
        <v>9</v>
      </c>
      <c r="J9" s="15" t="s">
        <v>34</v>
      </c>
    </row>
    <row r="10" spans="1:10" ht="28" customHeight="1" x14ac:dyDescent="0.2">
      <c r="A10" s="96" t="str">
        <f ca="1">INDIRECT(_xlfn.TEXTJOIN("",TRUE,A21,"!",ADDRESS(13+(A22-1)*A18,1)))</f>
        <v>CAT 022</v>
      </c>
      <c r="B10" s="97"/>
      <c r="C10" s="106" t="str">
        <f ca="1">INDIRECT(_xlfn.TEXTJOIN("",TRUE,A21,"!",ADDRESS(13+(A22-1)*A18,2)))</f>
        <v>Network Security</v>
      </c>
      <c r="D10" s="107"/>
      <c r="E10" s="107"/>
      <c r="F10" s="107"/>
      <c r="G10" s="108"/>
      <c r="H10" s="20">
        <f ca="1">INDIRECT(_xlfn.TEXTJOIN("",TRUE,A21,"!",ADDRESS(13+(A22-1)*A18,6)))</f>
        <v>4</v>
      </c>
      <c r="I10" s="20" t="str">
        <f ca="1">INDIRECT(_xlfn.TEXTJOIN("",TRUE,A21,"!",ADDRESS(13+(A22-1)*A18,13)))</f>
        <v>F</v>
      </c>
      <c r="J10" s="20">
        <f ca="1">INDIRECT(_xlfn.TEXTJOIN("",TRUE,A21,"!",ADDRESS(13+(A22-1)*A18,14)))</f>
        <v>0</v>
      </c>
    </row>
    <row r="11" spans="1:10" ht="28" customHeight="1" x14ac:dyDescent="0.2">
      <c r="A11" s="96" t="str">
        <f ca="1">INDIRECT(_xlfn.TEXTJOIN("",TRUE,A21,"!",ADDRESS(14+(A22-1)*A18,1)))</f>
        <v>Enroll No.</v>
      </c>
      <c r="B11" s="97"/>
      <c r="C11" s="106">
        <f ca="1">INDIRECT(_xlfn.TEXTJOIN("",TRUE,A21,"!",ADDRESS(14+(A22-1)*A18,2)))</f>
        <v>0</v>
      </c>
      <c r="D11" s="107"/>
      <c r="E11" s="107"/>
      <c r="F11" s="107"/>
      <c r="G11" s="108"/>
      <c r="H11" s="20">
        <f ca="1">INDIRECT(_xlfn.TEXTJOIN("",TRUE,A21,"!",ADDRESS(14+(A22-1)*A18,6)))</f>
        <v>0</v>
      </c>
      <c r="I11" s="20" t="b">
        <f ca="1">INDIRECT(_xlfn.TEXTJOIN("",TRUE,A21,"!",ADDRESS(14+(A22-1)*A18,13)))</f>
        <v>0</v>
      </c>
      <c r="J11" s="20" t="e">
        <f ca="1">INDIRECT(_xlfn.TEXTJOIN("",TRUE,A21,"!",ADDRESS(14+(A22-1)*A18,14)))</f>
        <v>#N/A</v>
      </c>
    </row>
    <row r="12" spans="1:10" ht="28" customHeight="1" x14ac:dyDescent="0.2">
      <c r="A12" s="96" t="str">
        <f ca="1">INDIRECT(_xlfn.TEXTJOIN("",TRUE,A21,"!",ADDRESS(15+(A22-1)*A18,1)))</f>
        <v>CAT 030</v>
      </c>
      <c r="B12" s="97"/>
      <c r="C12" s="106" t="str">
        <f ca="1">INDIRECT(_xlfn.TEXTJOIN("",TRUE,A21,"!",ADDRESS(15+(A22-1)*A18,2)))</f>
        <v>Software Testing &amp; Quality Assurance</v>
      </c>
      <c r="D12" s="107"/>
      <c r="E12" s="107"/>
      <c r="F12" s="107"/>
      <c r="G12" s="108"/>
      <c r="H12" s="20">
        <f ca="1">INDIRECT(_xlfn.TEXTJOIN("",TRUE,A21,"!",ADDRESS(15+(A22-1)*A18,6)))</f>
        <v>4</v>
      </c>
      <c r="I12" s="20" t="str">
        <f ca="1">INDIRECT(_xlfn.TEXTJOIN("",TRUE,A21,"!",ADDRESS(15+(A22-1)*A18,13)))</f>
        <v>F</v>
      </c>
      <c r="J12" s="20">
        <f ca="1">INDIRECT(_xlfn.TEXTJOIN("",TRUE,A21,"!",ADDRESS(15+(A22-1)*A18,14)))</f>
        <v>0</v>
      </c>
    </row>
    <row r="13" spans="1:10" ht="28" customHeight="1" x14ac:dyDescent="0.2">
      <c r="A13" s="96" t="str">
        <f ca="1">INDIRECT(_xlfn.TEXTJOIN("",TRUE,A21,"!",ADDRESS(16+(A22-1)*A18,1)))</f>
        <v>Enroll No.</v>
      </c>
      <c r="B13" s="97"/>
      <c r="C13" s="106">
        <f ca="1">INDIRECT(_xlfn.TEXTJOIN("",TRUE,A21,"!",ADDRESS(16+(A22-1)*A18,2)))</f>
        <v>0</v>
      </c>
      <c r="D13" s="107"/>
      <c r="E13" s="107"/>
      <c r="F13" s="107"/>
      <c r="G13" s="108"/>
      <c r="H13" s="20">
        <f ca="1">INDIRECT(_xlfn.TEXTJOIN("",TRUE,A21,"!",ADDRESS(16+(A22-1)*A18,6)))</f>
        <v>0</v>
      </c>
      <c r="I13" s="20" t="b">
        <f ca="1">INDIRECT(_xlfn.TEXTJOIN("",TRUE,A21,"!",ADDRESS(16+(A22-1)*A18,13)))</f>
        <v>0</v>
      </c>
      <c r="J13" s="20" t="e">
        <f ca="1">INDIRECT(_xlfn.TEXTJOIN("",TRUE,A21,"!",ADDRESS(16+(A22-1)*A18,14)))</f>
        <v>#N/A</v>
      </c>
    </row>
    <row r="14" spans="1:10" ht="28" customHeight="1" x14ac:dyDescent="0.2">
      <c r="A14" s="96" t="str">
        <f ca="1">INDIRECT(_xlfn.TEXTJOIN("",TRUE,A21,"!",ADDRESS(17+(A22-1)*A18,1)))</f>
        <v>CAP 011</v>
      </c>
      <c r="B14" s="97"/>
      <c r="C14" s="106" t="str">
        <f ca="1">INDIRECT(_xlfn.TEXTJOIN("",TRUE,A21,"!",ADDRESS(17+(A22-1)*A18,2)))</f>
        <v>Network Security Lab</v>
      </c>
      <c r="D14" s="107"/>
      <c r="E14" s="107"/>
      <c r="F14" s="107"/>
      <c r="G14" s="108"/>
      <c r="H14" s="20">
        <f ca="1">INDIRECT(_xlfn.TEXTJOIN("",TRUE,A21,"!",ADDRESS(17+(A22-1)*A18,6)))</f>
        <v>1</v>
      </c>
      <c r="I14" s="20" t="str">
        <f ca="1">INDIRECT(_xlfn.TEXTJOIN("",TRUE,A21,"!",ADDRESS(17+(A22-1)*A18,13)))</f>
        <v>F</v>
      </c>
      <c r="J14" s="20">
        <f ca="1">INDIRECT(_xlfn.TEXTJOIN("",TRUE,A21,"!",ADDRESS(17+(A22-1)*A18,14)))</f>
        <v>0</v>
      </c>
    </row>
    <row r="15" spans="1:10" ht="28" customHeight="1" x14ac:dyDescent="0.2">
      <c r="A15" s="96" t="str">
        <f ca="1">INDIRECT(_xlfn.TEXTJOIN("",TRUE,A21,"!",ADDRESS(18+(A22-1)*A18,1)))</f>
        <v>Enroll No.</v>
      </c>
      <c r="B15" s="97"/>
      <c r="C15" s="106">
        <f ca="1">INDIRECT(_xlfn.TEXTJOIN("",TRUE,A21,"!",ADDRESS(18+(A22-1)*A18,2)))</f>
        <v>0</v>
      </c>
      <c r="D15" s="107"/>
      <c r="E15" s="107"/>
      <c r="F15" s="107"/>
      <c r="G15" s="108"/>
      <c r="H15" s="20">
        <f ca="1">INDIRECT(_xlfn.TEXTJOIN("",TRUE,A21,"!",ADDRESS(18+(A22-1)*A18,6)))</f>
        <v>0</v>
      </c>
      <c r="I15" s="20" t="b">
        <f ca="1">INDIRECT(_xlfn.TEXTJOIN("",TRUE,A21,"!",ADDRESS(18+(A22-1)*A18,13)))</f>
        <v>0</v>
      </c>
      <c r="J15" s="20" t="e">
        <f ca="1">INDIRECT(_xlfn.TEXTJOIN("",TRUE,A21,"!",ADDRESS(18+(A22-1)*A18,14)))</f>
        <v>#N/A</v>
      </c>
    </row>
    <row r="16" spans="1:10" ht="28" customHeight="1" x14ac:dyDescent="0.2">
      <c r="A16" s="96" t="str">
        <f ca="1">INDIRECT(_xlfn.TEXTJOIN("",TRUE,A21,"!",ADDRESS(19+(A22-1)*A18,1)))</f>
        <v>CAP 013</v>
      </c>
      <c r="B16" s="97"/>
      <c r="C16" s="106" t="str">
        <f ca="1">INDIRECT(_xlfn.TEXTJOIN("",TRUE,A21,"!",ADDRESS(19+(A22-1)*A18,2)))</f>
        <v>Major Project</v>
      </c>
      <c r="D16" s="107"/>
      <c r="E16" s="107"/>
      <c r="F16" s="107"/>
      <c r="G16" s="108"/>
      <c r="H16" s="20">
        <f ca="1">INDIRECT(_xlfn.TEXTJOIN("",TRUE,A21,"!",ADDRESS(19+(A22-1)*A18,6)))</f>
        <v>6</v>
      </c>
      <c r="I16" s="20" t="str">
        <f ca="1">INDIRECT(_xlfn.TEXTJOIN("",TRUE,A21,"!",ADDRESS(19+(A22-1)*A18,13)))</f>
        <v>F</v>
      </c>
      <c r="J16" s="20">
        <f ca="1">INDIRECT(_xlfn.TEXTJOIN("",TRUE,A21,"!",ADDRESS(19+(A22-1)*A18,14)))</f>
        <v>0</v>
      </c>
    </row>
    <row r="17" spans="1:10" ht="28" customHeight="1" x14ac:dyDescent="0.2">
      <c r="A17" s="118" t="s">
        <v>52</v>
      </c>
      <c r="B17" s="118"/>
      <c r="C17" s="118"/>
      <c r="D17" s="118"/>
      <c r="E17" s="118"/>
      <c r="F17" s="118"/>
      <c r="G17" s="118"/>
      <c r="H17" s="16">
        <f ca="1">SUM(H10:H16)</f>
        <v>15</v>
      </c>
      <c r="I17" s="16" t="s">
        <v>44</v>
      </c>
      <c r="J17" s="16" t="e">
        <f ca="1">SUMPRODUCT(J10:J16,H10:H16)</f>
        <v>#N/A</v>
      </c>
    </row>
    <row r="18" spans="1:10" ht="28" customHeight="1" x14ac:dyDescent="0.2">
      <c r="A18" s="22">
        <f>ROWS(A10:B16)+9</f>
        <v>16</v>
      </c>
      <c r="B18" s="17"/>
      <c r="C18" s="17"/>
      <c r="D18" s="17"/>
      <c r="E18" s="17"/>
      <c r="F18" s="17"/>
      <c r="G18" s="17"/>
      <c r="H18" s="17"/>
      <c r="I18" s="17"/>
      <c r="J18" s="17"/>
    </row>
    <row r="19" spans="1:10" ht="28" customHeight="1" x14ac:dyDescent="0.2">
      <c r="A19" s="120" t="s">
        <v>40</v>
      </c>
      <c r="B19" s="120"/>
      <c r="C19" s="21">
        <f ca="1">INDIRECT(_xlfn.TEXTJOIN("",TRUE,A21,"!",ADDRESS(5+A22*A18,12)))</f>
        <v>0</v>
      </c>
      <c r="D19" s="120" t="s">
        <v>38</v>
      </c>
      <c r="E19" s="120"/>
      <c r="F19" s="18" t="e">
        <f ca="1">INDIRECT(_xlfn.TEXTJOIN("",TRUE,A21,"!",ADDRESS(5+A22*A18,8)))</f>
        <v>#N/A</v>
      </c>
      <c r="G19" s="120" t="s">
        <v>39</v>
      </c>
      <c r="H19" s="120"/>
      <c r="I19" s="109" t="e">
        <f ca="1">INDIRECT(_xlfn.TEXTJOIN("",TRUE,A21,"!",ADDRESS(5+A22*A18,10)))</f>
        <v>#N/A</v>
      </c>
      <c r="J19" s="109"/>
    </row>
    <row r="20" spans="1:10" ht="28" customHeight="1" x14ac:dyDescent="0.2">
      <c r="A20" s="19" t="s">
        <v>36</v>
      </c>
      <c r="B20" s="95" t="e">
        <f ca="1">INDIRECT(_xlfn.TEXTJOIN("",TRUE,A21,"!",ADDRESS(5+A22*A18,2)))</f>
        <v>#N/A</v>
      </c>
      <c r="C20" s="95"/>
      <c r="D20" s="121" t="s">
        <v>37</v>
      </c>
      <c r="E20" s="121"/>
      <c r="F20" s="122" t="e">
        <f ca="1">INDIRECT(_xlfn.TEXTJOIN("",TRUE,A21,"!",ADDRESS(5+A22*A18,5)))</f>
        <v>#N/A</v>
      </c>
      <c r="G20" s="122"/>
      <c r="H20" s="122"/>
      <c r="I20" s="122"/>
      <c r="J20" s="122"/>
    </row>
    <row r="21" spans="1:10" ht="28" customHeight="1" x14ac:dyDescent="0.2">
      <c r="A21" s="22" t="s">
        <v>133</v>
      </c>
    </row>
    <row r="22" spans="1:10" ht="28" customHeight="1" x14ac:dyDescent="0.2">
      <c r="A22" s="22">
        <v>1</v>
      </c>
    </row>
    <row r="23" spans="1:10" ht="28" customHeight="1" x14ac:dyDescent="0.2">
      <c r="A23" s="112" t="s">
        <v>24</v>
      </c>
      <c r="B23" s="112"/>
      <c r="C23" s="112" t="str">
        <f ca="1">INDIRECT(_xlfn.TEXTJOIN("",TRUE,A37,"!",ADDRESS(9+(A38-1)*A34,2)))</f>
        <v>AMAN POKHRIYAL</v>
      </c>
      <c r="D23" s="112"/>
      <c r="E23" s="112"/>
      <c r="F23" s="112" t="s">
        <v>50</v>
      </c>
      <c r="G23" s="112"/>
      <c r="H23" s="112"/>
      <c r="I23" s="113">
        <f ca="1">INDIRECT(_xlfn.TEXTJOIN("",TRUE,A37,"!",ADDRESS(9+(A38-1)*A34,9)))</f>
        <v>240090600002</v>
      </c>
      <c r="J23" s="113"/>
    </row>
    <row r="24" spans="1:10" ht="28" customHeight="1" x14ac:dyDescent="0.2">
      <c r="A24" s="112" t="s">
        <v>25</v>
      </c>
      <c r="B24" s="112"/>
      <c r="C24" s="112" t="str">
        <f ca="1">INDIRECT(_xlfn.TEXTJOIN("",TRUE,A37,"!",ADDRESS(9+(A38-1)*A34,5)))</f>
        <v>VINOD PRASSAD POKHRIYAL</v>
      </c>
      <c r="D24" s="112"/>
      <c r="E24" s="112"/>
      <c r="F24" s="114" t="s">
        <v>51</v>
      </c>
      <c r="G24" s="114"/>
      <c r="H24" s="114"/>
      <c r="I24" s="113" t="str">
        <f ca="1">INDIRECT(_xlfn.TEXTJOIN("",TRUE,A37,"!",ADDRESS(9+(A38-1)*A34,13)))</f>
        <v>UTU/2406100171</v>
      </c>
      <c r="J24" s="113"/>
    </row>
    <row r="25" spans="1:10" ht="28" customHeight="1" x14ac:dyDescent="0.2">
      <c r="A25" s="95" t="s">
        <v>28</v>
      </c>
      <c r="B25" s="95"/>
      <c r="C25" s="95" t="s">
        <v>29</v>
      </c>
      <c r="D25" s="95"/>
      <c r="E25" s="95"/>
      <c r="F25" s="95"/>
      <c r="G25" s="95"/>
      <c r="H25" s="15" t="s">
        <v>30</v>
      </c>
      <c r="I25" s="15" t="s">
        <v>9</v>
      </c>
      <c r="J25" s="15" t="s">
        <v>34</v>
      </c>
    </row>
    <row r="26" spans="1:10" ht="28" customHeight="1" x14ac:dyDescent="0.2">
      <c r="A26" s="96" t="str">
        <f ca="1">INDIRECT(_xlfn.TEXTJOIN("",TRUE,A37,"!",ADDRESS(13+(A38-1)*A34,1)))</f>
        <v>CAT 022</v>
      </c>
      <c r="B26" s="97"/>
      <c r="C26" s="106" t="str">
        <f ca="1">INDIRECT(_xlfn.TEXTJOIN("",TRUE,A37,"!",ADDRESS(13+(A38-1)*A34,2)))</f>
        <v>Network Security</v>
      </c>
      <c r="D26" s="107"/>
      <c r="E26" s="107"/>
      <c r="F26" s="107"/>
      <c r="G26" s="108"/>
      <c r="H26" s="20">
        <f ca="1">INDIRECT(_xlfn.TEXTJOIN("",TRUE,A37,"!",ADDRESS(13+(A38-1)*A34,6)))</f>
        <v>4</v>
      </c>
      <c r="I26" s="20" t="str">
        <f ca="1">INDIRECT(_xlfn.TEXTJOIN("",TRUE,A37,"!",ADDRESS(13+(A38-1)*A34,13)))</f>
        <v>F</v>
      </c>
      <c r="J26" s="20">
        <f ca="1">INDIRECT(_xlfn.TEXTJOIN("",TRUE,A37,"!",ADDRESS(13+(A38-1)*A34,14)))</f>
        <v>0</v>
      </c>
    </row>
    <row r="27" spans="1:10" ht="28" customHeight="1" x14ac:dyDescent="0.2">
      <c r="A27" s="96" t="str">
        <f ca="1">INDIRECT(_xlfn.TEXTJOIN("",TRUE,A37,"!",ADDRESS(14+(A38-1)*A34,1)))</f>
        <v>Enroll No.</v>
      </c>
      <c r="B27" s="97"/>
      <c r="C27" s="106">
        <f ca="1">INDIRECT(_xlfn.TEXTJOIN("",TRUE,A37,"!",ADDRESS(14+(A38-1)*A34,2)))</f>
        <v>0</v>
      </c>
      <c r="D27" s="107"/>
      <c r="E27" s="107"/>
      <c r="F27" s="107"/>
      <c r="G27" s="108"/>
      <c r="H27" s="20">
        <f ca="1">INDIRECT(_xlfn.TEXTJOIN("",TRUE,A37,"!",ADDRESS(14+(A38-1)*A34,6)))</f>
        <v>0</v>
      </c>
      <c r="I27" s="20" t="b">
        <f ca="1">INDIRECT(_xlfn.TEXTJOIN("",TRUE,A37,"!",ADDRESS(14+(A38-1)*A34,13)))</f>
        <v>0</v>
      </c>
      <c r="J27" s="20" t="e">
        <f ca="1">INDIRECT(_xlfn.TEXTJOIN("",TRUE,A37,"!",ADDRESS(14+(A38-1)*A34,14)))</f>
        <v>#N/A</v>
      </c>
    </row>
    <row r="28" spans="1:10" ht="28" customHeight="1" x14ac:dyDescent="0.2">
      <c r="A28" s="96" t="str">
        <f ca="1">INDIRECT(_xlfn.TEXTJOIN("",TRUE,A37,"!",ADDRESS(15+(A38-1)*A34,1)))</f>
        <v>CAT 030</v>
      </c>
      <c r="B28" s="97"/>
      <c r="C28" s="106" t="str">
        <f ca="1">INDIRECT(_xlfn.TEXTJOIN("",TRUE,A37,"!",ADDRESS(15+(A38-1)*A34,2)))</f>
        <v>Software Testing &amp; Quality Assurance</v>
      </c>
      <c r="D28" s="107"/>
      <c r="E28" s="107"/>
      <c r="F28" s="107"/>
      <c r="G28" s="108"/>
      <c r="H28" s="20">
        <f ca="1">INDIRECT(_xlfn.TEXTJOIN("",TRUE,A37,"!",ADDRESS(15+(A38-1)*A34,6)))</f>
        <v>4</v>
      </c>
      <c r="I28" s="20" t="str">
        <f ca="1">INDIRECT(_xlfn.TEXTJOIN("",TRUE,A37,"!",ADDRESS(15+(A38-1)*A34,13)))</f>
        <v>F</v>
      </c>
      <c r="J28" s="20">
        <f ca="1">INDIRECT(_xlfn.TEXTJOIN("",TRUE,A37,"!",ADDRESS(15+(A38-1)*A34,14)))</f>
        <v>0</v>
      </c>
    </row>
    <row r="29" spans="1:10" ht="28" customHeight="1" x14ac:dyDescent="0.2">
      <c r="A29" s="96" t="str">
        <f ca="1">INDIRECT(_xlfn.TEXTJOIN("",TRUE,A37,"!",ADDRESS(16+(A38-1)*A34,1)))</f>
        <v>Enroll No.</v>
      </c>
      <c r="B29" s="97"/>
      <c r="C29" s="106">
        <f ca="1">INDIRECT(_xlfn.TEXTJOIN("",TRUE,A37,"!",ADDRESS(16+(A38-1)*A34,2)))</f>
        <v>0</v>
      </c>
      <c r="D29" s="107"/>
      <c r="E29" s="107"/>
      <c r="F29" s="107"/>
      <c r="G29" s="108"/>
      <c r="H29" s="20">
        <f ca="1">INDIRECT(_xlfn.TEXTJOIN("",TRUE,A37,"!",ADDRESS(16+(A38-1)*A34,6)))</f>
        <v>0</v>
      </c>
      <c r="I29" s="20" t="b">
        <f ca="1">INDIRECT(_xlfn.TEXTJOIN("",TRUE,A37,"!",ADDRESS(16+(A38-1)*A34,13)))</f>
        <v>0</v>
      </c>
      <c r="J29" s="20" t="e">
        <f ca="1">INDIRECT(_xlfn.TEXTJOIN("",TRUE,A37,"!",ADDRESS(16+(A38-1)*A34,14)))</f>
        <v>#N/A</v>
      </c>
    </row>
    <row r="30" spans="1:10" ht="28" customHeight="1" x14ac:dyDescent="0.2">
      <c r="A30" s="96" t="str">
        <f ca="1">INDIRECT(_xlfn.TEXTJOIN("",TRUE,A37,"!",ADDRESS(17+(A38-1)*A34,1)))</f>
        <v>CAP 011</v>
      </c>
      <c r="B30" s="97"/>
      <c r="C30" s="106" t="str">
        <f ca="1">INDIRECT(_xlfn.TEXTJOIN("",TRUE,A37,"!",ADDRESS(17+(A38-1)*A34,2)))</f>
        <v>Network Security Lab</v>
      </c>
      <c r="D30" s="107"/>
      <c r="E30" s="107"/>
      <c r="F30" s="107"/>
      <c r="G30" s="108"/>
      <c r="H30" s="20">
        <f ca="1">INDIRECT(_xlfn.TEXTJOIN("",TRUE,A37,"!",ADDRESS(17+(A38-1)*A34,6)))</f>
        <v>1</v>
      </c>
      <c r="I30" s="20" t="str">
        <f ca="1">INDIRECT(_xlfn.TEXTJOIN("",TRUE,A37,"!",ADDRESS(17+(A38-1)*A34,13)))</f>
        <v>F</v>
      </c>
      <c r="J30" s="20">
        <f ca="1">INDIRECT(_xlfn.TEXTJOIN("",TRUE,A37,"!",ADDRESS(17+(A38-1)*A34,14)))</f>
        <v>0</v>
      </c>
    </row>
    <row r="31" spans="1:10" ht="28" customHeight="1" x14ac:dyDescent="0.2">
      <c r="A31" s="96" t="str">
        <f ca="1">INDIRECT(_xlfn.TEXTJOIN("",TRUE,A37,"!",ADDRESS(18+(A38-1)*A34,1)))</f>
        <v>Enroll No.</v>
      </c>
      <c r="B31" s="97"/>
      <c r="C31" s="106">
        <f ca="1">INDIRECT(_xlfn.TEXTJOIN("",TRUE,A37,"!",ADDRESS(18+(A38-1)*A34,2)))</f>
        <v>0</v>
      </c>
      <c r="D31" s="107"/>
      <c r="E31" s="107"/>
      <c r="F31" s="107"/>
      <c r="G31" s="108"/>
      <c r="H31" s="20">
        <f ca="1">INDIRECT(_xlfn.TEXTJOIN("",TRUE,A37,"!",ADDRESS(18+(A38-1)*A34,6)))</f>
        <v>0</v>
      </c>
      <c r="I31" s="20" t="b">
        <f ca="1">INDIRECT(_xlfn.TEXTJOIN("",TRUE,A37,"!",ADDRESS(18+(A38-1)*A34,13)))</f>
        <v>0</v>
      </c>
      <c r="J31" s="20" t="e">
        <f ca="1">INDIRECT(_xlfn.TEXTJOIN("",TRUE,A37,"!",ADDRESS(18+(A38-1)*A34,14)))</f>
        <v>#N/A</v>
      </c>
    </row>
    <row r="32" spans="1:10" ht="28" customHeight="1" x14ac:dyDescent="0.2">
      <c r="A32" s="96" t="str">
        <f ca="1">INDIRECT(_xlfn.TEXTJOIN("",TRUE,A37,"!",ADDRESS(19+(A38-1)*A34,1)))</f>
        <v>CAP 013</v>
      </c>
      <c r="B32" s="97"/>
      <c r="C32" s="106" t="str">
        <f ca="1">INDIRECT(_xlfn.TEXTJOIN("",TRUE,A37,"!",ADDRESS(19+(A38-1)*A34,2)))</f>
        <v>Major Project</v>
      </c>
      <c r="D32" s="107"/>
      <c r="E32" s="107"/>
      <c r="F32" s="107"/>
      <c r="G32" s="108"/>
      <c r="H32" s="20">
        <f ca="1">INDIRECT(_xlfn.TEXTJOIN("",TRUE,A37,"!",ADDRESS(19+(A38-1)*A34,6)))</f>
        <v>6</v>
      </c>
      <c r="I32" s="20" t="str">
        <f ca="1">INDIRECT(_xlfn.TEXTJOIN("",TRUE,A37,"!",ADDRESS(19+(A38-1)*A34,13)))</f>
        <v>F</v>
      </c>
      <c r="J32" s="20">
        <f ca="1">INDIRECT(_xlfn.TEXTJOIN("",TRUE,A37,"!",ADDRESS(19+(A38-1)*A34,14)))</f>
        <v>0</v>
      </c>
    </row>
    <row r="33" spans="1:10" ht="28" customHeight="1" x14ac:dyDescent="0.2">
      <c r="A33" s="118" t="s">
        <v>52</v>
      </c>
      <c r="B33" s="118"/>
      <c r="C33" s="118"/>
      <c r="D33" s="118"/>
      <c r="E33" s="118"/>
      <c r="F33" s="118"/>
      <c r="G33" s="118"/>
      <c r="H33" s="16">
        <f ca="1">SUM(H26:H32)</f>
        <v>15</v>
      </c>
      <c r="I33" s="16" t="s">
        <v>44</v>
      </c>
      <c r="J33" s="16" t="e">
        <f ca="1">SUMPRODUCT(J26:J32,H26:H32)</f>
        <v>#N/A</v>
      </c>
    </row>
    <row r="34" spans="1:10" ht="28" customHeight="1" x14ac:dyDescent="0.2">
      <c r="A34" s="22">
        <f>ROWS(A26:B32)+9</f>
        <v>16</v>
      </c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28" customHeight="1" x14ac:dyDescent="0.2">
      <c r="A35" s="120" t="s">
        <v>40</v>
      </c>
      <c r="B35" s="120"/>
      <c r="C35" s="21">
        <f ca="1">INDIRECT(_xlfn.TEXTJOIN("",TRUE,A37,"!",ADDRESS(5+A38*A34,12)))</f>
        <v>0</v>
      </c>
      <c r="D35" s="120" t="s">
        <v>38</v>
      </c>
      <c r="E35" s="120"/>
      <c r="F35" s="18" t="e">
        <f ca="1">INDIRECT(_xlfn.TEXTJOIN("",TRUE,A37,"!",ADDRESS(5+A38*A34,8)))</f>
        <v>#N/A</v>
      </c>
      <c r="G35" s="120" t="s">
        <v>39</v>
      </c>
      <c r="H35" s="120"/>
      <c r="I35" s="109" t="e">
        <f ca="1">INDIRECT(_xlfn.TEXTJOIN("",TRUE,A37,"!",ADDRESS(5+A38*A34,10)))</f>
        <v>#N/A</v>
      </c>
      <c r="J35" s="109"/>
    </row>
    <row r="36" spans="1:10" ht="28" customHeight="1" x14ac:dyDescent="0.2">
      <c r="A36" s="19" t="s">
        <v>36</v>
      </c>
      <c r="B36" s="95" t="e">
        <f ca="1">INDIRECT(_xlfn.TEXTJOIN("",TRUE,A37,"!",ADDRESS(5+A38*A34,2)))</f>
        <v>#N/A</v>
      </c>
      <c r="C36" s="95"/>
      <c r="D36" s="121" t="s">
        <v>37</v>
      </c>
      <c r="E36" s="121"/>
      <c r="F36" s="122" t="e">
        <f ca="1">INDIRECT(_xlfn.TEXTJOIN("",TRUE,A37,"!",ADDRESS(5+A38*A34,5)))</f>
        <v>#N/A</v>
      </c>
      <c r="G36" s="122"/>
      <c r="H36" s="122"/>
      <c r="I36" s="122"/>
      <c r="J36" s="122"/>
    </row>
    <row r="37" spans="1:10" ht="28" customHeight="1" x14ac:dyDescent="0.2">
      <c r="A37" s="22" t="str">
        <f>A21</f>
        <v>TC_IV</v>
      </c>
    </row>
    <row r="38" spans="1:10" ht="28" customHeight="1" x14ac:dyDescent="0.2">
      <c r="A38" s="22">
        <f>A22+1</f>
        <v>2</v>
      </c>
    </row>
    <row r="39" spans="1:10" ht="28" customHeight="1" x14ac:dyDescent="0.2">
      <c r="A39" s="112" t="s">
        <v>24</v>
      </c>
      <c r="B39" s="112"/>
      <c r="C39" s="112" t="str">
        <f ca="1">INDIRECT(_xlfn.TEXTJOIN("",TRUE,A53,"!",ADDRESS(9+(A54-1)*A50,2)))</f>
        <v>ANAS SAIFI</v>
      </c>
      <c r="D39" s="112"/>
      <c r="E39" s="112"/>
      <c r="F39" s="112" t="s">
        <v>50</v>
      </c>
      <c r="G39" s="112"/>
      <c r="H39" s="112"/>
      <c r="I39" s="113">
        <f ca="1">INDIRECT(_xlfn.TEXTJOIN("",TRUE,A53,"!",ADDRESS(9+(A54-1)*A50,9)))</f>
        <v>240090600003</v>
      </c>
      <c r="J39" s="113"/>
    </row>
    <row r="40" spans="1:10" ht="28" customHeight="1" x14ac:dyDescent="0.2">
      <c r="A40" s="112" t="s">
        <v>25</v>
      </c>
      <c r="B40" s="112"/>
      <c r="C40" s="112" t="str">
        <f ca="1">INDIRECT(_xlfn.TEXTJOIN("",TRUE,A53,"!",ADDRESS(9+(A54-1)*A50,5)))</f>
        <v>SALMUDDIN SAIFI</v>
      </c>
      <c r="D40" s="112"/>
      <c r="E40" s="112"/>
      <c r="F40" s="114" t="s">
        <v>51</v>
      </c>
      <c r="G40" s="114"/>
      <c r="H40" s="114"/>
      <c r="I40" s="113" t="str">
        <f ca="1">INDIRECT(_xlfn.TEXTJOIN("",TRUE,A53,"!",ADDRESS(9+(A54-1)*A50,13)))</f>
        <v>UTU/2406100173</v>
      </c>
      <c r="J40" s="113"/>
    </row>
    <row r="41" spans="1:10" ht="28" customHeight="1" x14ac:dyDescent="0.2">
      <c r="A41" s="95" t="s">
        <v>28</v>
      </c>
      <c r="B41" s="95"/>
      <c r="C41" s="95" t="s">
        <v>29</v>
      </c>
      <c r="D41" s="95"/>
      <c r="E41" s="95"/>
      <c r="F41" s="95"/>
      <c r="G41" s="95"/>
      <c r="H41" s="15" t="s">
        <v>30</v>
      </c>
      <c r="I41" s="15" t="s">
        <v>9</v>
      </c>
      <c r="J41" s="15" t="s">
        <v>34</v>
      </c>
    </row>
    <row r="42" spans="1:10" ht="28" customHeight="1" x14ac:dyDescent="0.2">
      <c r="A42" s="96" t="str">
        <f ca="1">INDIRECT(_xlfn.TEXTJOIN("",TRUE,A53,"!",ADDRESS(13+(A54-1)*A50,1)))</f>
        <v>CAT 022</v>
      </c>
      <c r="B42" s="97"/>
      <c r="C42" s="106" t="str">
        <f ca="1">INDIRECT(_xlfn.TEXTJOIN("",TRUE,A53,"!",ADDRESS(13+(A54-1)*A50,2)))</f>
        <v>Network Security</v>
      </c>
      <c r="D42" s="107"/>
      <c r="E42" s="107"/>
      <c r="F42" s="107"/>
      <c r="G42" s="108"/>
      <c r="H42" s="20">
        <f ca="1">INDIRECT(_xlfn.TEXTJOIN("",TRUE,A53,"!",ADDRESS(13+(A54-1)*A50,6)))</f>
        <v>4</v>
      </c>
      <c r="I42" s="20" t="str">
        <f ca="1">INDIRECT(_xlfn.TEXTJOIN("",TRUE,A53,"!",ADDRESS(13+(A54-1)*A50,13)))</f>
        <v>F</v>
      </c>
      <c r="J42" s="20">
        <f ca="1">INDIRECT(_xlfn.TEXTJOIN("",TRUE,A53,"!",ADDRESS(13+(A54-1)*A50,14)))</f>
        <v>0</v>
      </c>
    </row>
    <row r="43" spans="1:10" ht="28" customHeight="1" x14ac:dyDescent="0.2">
      <c r="A43" s="96" t="str">
        <f ca="1">INDIRECT(_xlfn.TEXTJOIN("",TRUE,A53,"!",ADDRESS(14+(A54-1)*A50,1)))</f>
        <v>Enroll No.</v>
      </c>
      <c r="B43" s="97"/>
      <c r="C43" s="106">
        <f ca="1">INDIRECT(_xlfn.TEXTJOIN("",TRUE,A53,"!",ADDRESS(14+(A54-1)*A50,2)))</f>
        <v>0</v>
      </c>
      <c r="D43" s="107"/>
      <c r="E43" s="107"/>
      <c r="F43" s="107"/>
      <c r="G43" s="108"/>
      <c r="H43" s="20">
        <f ca="1">INDIRECT(_xlfn.TEXTJOIN("",TRUE,A53,"!",ADDRESS(14+(A54-1)*A50,6)))</f>
        <v>0</v>
      </c>
      <c r="I43" s="20" t="b">
        <f ca="1">INDIRECT(_xlfn.TEXTJOIN("",TRUE,A53,"!",ADDRESS(14+(A54-1)*A50,13)))</f>
        <v>0</v>
      </c>
      <c r="J43" s="20" t="e">
        <f ca="1">INDIRECT(_xlfn.TEXTJOIN("",TRUE,A53,"!",ADDRESS(14+(A54-1)*A50,14)))</f>
        <v>#N/A</v>
      </c>
    </row>
    <row r="44" spans="1:10" ht="28" customHeight="1" x14ac:dyDescent="0.2">
      <c r="A44" s="96" t="str">
        <f ca="1">INDIRECT(_xlfn.TEXTJOIN("",TRUE,A53,"!",ADDRESS(15+(A54-1)*A50,1)))</f>
        <v>CAT 030</v>
      </c>
      <c r="B44" s="97"/>
      <c r="C44" s="106" t="str">
        <f ca="1">INDIRECT(_xlfn.TEXTJOIN("",TRUE,A53,"!",ADDRESS(15+(A54-1)*A50,2)))</f>
        <v>Software Testing &amp; Quality Assurance</v>
      </c>
      <c r="D44" s="107"/>
      <c r="E44" s="107"/>
      <c r="F44" s="107"/>
      <c r="G44" s="108"/>
      <c r="H44" s="20">
        <f ca="1">INDIRECT(_xlfn.TEXTJOIN("",TRUE,A53,"!",ADDRESS(15+(A54-1)*A50,6)))</f>
        <v>4</v>
      </c>
      <c r="I44" s="20" t="str">
        <f ca="1">INDIRECT(_xlfn.TEXTJOIN("",TRUE,A53,"!",ADDRESS(15+(A54-1)*A50,13)))</f>
        <v>F</v>
      </c>
      <c r="J44" s="20">
        <f ca="1">INDIRECT(_xlfn.TEXTJOIN("",TRUE,A53,"!",ADDRESS(15+(A54-1)*A50,14)))</f>
        <v>0</v>
      </c>
    </row>
    <row r="45" spans="1:10" ht="28" customHeight="1" x14ac:dyDescent="0.2">
      <c r="A45" s="96" t="str">
        <f ca="1">INDIRECT(_xlfn.TEXTJOIN("",TRUE,A53,"!",ADDRESS(16+(A54-1)*A50,1)))</f>
        <v>Enroll No.</v>
      </c>
      <c r="B45" s="97"/>
      <c r="C45" s="106">
        <f ca="1">INDIRECT(_xlfn.TEXTJOIN("",TRUE,A53,"!",ADDRESS(16+(A54-1)*A50,2)))</f>
        <v>0</v>
      </c>
      <c r="D45" s="107"/>
      <c r="E45" s="107"/>
      <c r="F45" s="107"/>
      <c r="G45" s="108"/>
      <c r="H45" s="20">
        <f ca="1">INDIRECT(_xlfn.TEXTJOIN("",TRUE,A53,"!",ADDRESS(16+(A54-1)*A50,6)))</f>
        <v>0</v>
      </c>
      <c r="I45" s="20" t="b">
        <f ca="1">INDIRECT(_xlfn.TEXTJOIN("",TRUE,A53,"!",ADDRESS(16+(A54-1)*A50,13)))</f>
        <v>0</v>
      </c>
      <c r="J45" s="20" t="e">
        <f ca="1">INDIRECT(_xlfn.TEXTJOIN("",TRUE,A53,"!",ADDRESS(16+(A54-1)*A50,14)))</f>
        <v>#N/A</v>
      </c>
    </row>
    <row r="46" spans="1:10" ht="28" customHeight="1" x14ac:dyDescent="0.2">
      <c r="A46" s="96" t="str">
        <f ca="1">INDIRECT(_xlfn.TEXTJOIN("",TRUE,A53,"!",ADDRESS(17+(A54-1)*A50,1)))</f>
        <v>CAP 011</v>
      </c>
      <c r="B46" s="97"/>
      <c r="C46" s="106" t="str">
        <f ca="1">INDIRECT(_xlfn.TEXTJOIN("",TRUE,A53,"!",ADDRESS(17+(A54-1)*A50,2)))</f>
        <v>Network Security Lab</v>
      </c>
      <c r="D46" s="107"/>
      <c r="E46" s="107"/>
      <c r="F46" s="107"/>
      <c r="G46" s="108"/>
      <c r="H46" s="20">
        <f ca="1">INDIRECT(_xlfn.TEXTJOIN("",TRUE,A53,"!",ADDRESS(17+(A54-1)*A50,6)))</f>
        <v>1</v>
      </c>
      <c r="I46" s="20" t="str">
        <f ca="1">INDIRECT(_xlfn.TEXTJOIN("",TRUE,A53,"!",ADDRESS(17+(A54-1)*A50,13)))</f>
        <v>F</v>
      </c>
      <c r="J46" s="20">
        <f ca="1">INDIRECT(_xlfn.TEXTJOIN("",TRUE,A53,"!",ADDRESS(17+(A54-1)*A50,14)))</f>
        <v>0</v>
      </c>
    </row>
    <row r="47" spans="1:10" ht="28" customHeight="1" x14ac:dyDescent="0.2">
      <c r="A47" s="96" t="str">
        <f ca="1">INDIRECT(_xlfn.TEXTJOIN("",TRUE,A53,"!",ADDRESS(18+(A54-1)*A50,1)))</f>
        <v>Enroll No.</v>
      </c>
      <c r="B47" s="97"/>
      <c r="C47" s="106">
        <f ca="1">INDIRECT(_xlfn.TEXTJOIN("",TRUE,A53,"!",ADDRESS(18+(A54-1)*A50,2)))</f>
        <v>0</v>
      </c>
      <c r="D47" s="107"/>
      <c r="E47" s="107"/>
      <c r="F47" s="107"/>
      <c r="G47" s="108"/>
      <c r="H47" s="20">
        <f ca="1">INDIRECT(_xlfn.TEXTJOIN("",TRUE,A53,"!",ADDRESS(18+(A54-1)*A50,6)))</f>
        <v>0</v>
      </c>
      <c r="I47" s="20" t="b">
        <f ca="1">INDIRECT(_xlfn.TEXTJOIN("",TRUE,A53,"!",ADDRESS(18+(A54-1)*A50,13)))</f>
        <v>0</v>
      </c>
      <c r="J47" s="20" t="e">
        <f ca="1">INDIRECT(_xlfn.TEXTJOIN("",TRUE,A53,"!",ADDRESS(18+(A54-1)*A50,14)))</f>
        <v>#N/A</v>
      </c>
    </row>
    <row r="48" spans="1:10" ht="28" customHeight="1" x14ac:dyDescent="0.2">
      <c r="A48" s="96" t="str">
        <f ca="1">INDIRECT(_xlfn.TEXTJOIN("",TRUE,A53,"!",ADDRESS(19+(A54-1)*A50,1)))</f>
        <v>CAP 013</v>
      </c>
      <c r="B48" s="97"/>
      <c r="C48" s="106" t="str">
        <f ca="1">INDIRECT(_xlfn.TEXTJOIN("",TRUE,A53,"!",ADDRESS(19+(A54-1)*A50,2)))</f>
        <v>Major Project</v>
      </c>
      <c r="D48" s="107"/>
      <c r="E48" s="107"/>
      <c r="F48" s="107"/>
      <c r="G48" s="108"/>
      <c r="H48" s="20">
        <f ca="1">INDIRECT(_xlfn.TEXTJOIN("",TRUE,A53,"!",ADDRESS(19+(A54-1)*A50,6)))</f>
        <v>6</v>
      </c>
      <c r="I48" s="20" t="str">
        <f ca="1">INDIRECT(_xlfn.TEXTJOIN("",TRUE,A53,"!",ADDRESS(19+(A54-1)*A50,13)))</f>
        <v>F</v>
      </c>
      <c r="J48" s="20">
        <f ca="1">INDIRECT(_xlfn.TEXTJOIN("",TRUE,A53,"!",ADDRESS(19+(A54-1)*A50,14)))</f>
        <v>0</v>
      </c>
    </row>
    <row r="49" spans="1:10" ht="28" customHeight="1" x14ac:dyDescent="0.2">
      <c r="A49" s="118" t="s">
        <v>52</v>
      </c>
      <c r="B49" s="118"/>
      <c r="C49" s="118"/>
      <c r="D49" s="118"/>
      <c r="E49" s="118"/>
      <c r="F49" s="118"/>
      <c r="G49" s="118"/>
      <c r="H49" s="16">
        <f ca="1">SUM(H42:H48)</f>
        <v>15</v>
      </c>
      <c r="I49" s="16" t="s">
        <v>44</v>
      </c>
      <c r="J49" s="16" t="e">
        <f ca="1">SUMPRODUCT(J42:J48,H42:H48)</f>
        <v>#N/A</v>
      </c>
    </row>
    <row r="50" spans="1:10" ht="28" customHeight="1" x14ac:dyDescent="0.2">
      <c r="A50" s="22">
        <f>ROWS(A42:B48)+9</f>
        <v>16</v>
      </c>
      <c r="B50" s="17"/>
      <c r="C50" s="17"/>
      <c r="D50" s="17"/>
      <c r="E50" s="17"/>
      <c r="F50" s="17"/>
      <c r="G50" s="17"/>
      <c r="H50" s="17"/>
      <c r="I50" s="17"/>
      <c r="J50" s="17"/>
    </row>
    <row r="51" spans="1:10" ht="28" customHeight="1" x14ac:dyDescent="0.2">
      <c r="A51" s="120" t="s">
        <v>40</v>
      </c>
      <c r="B51" s="120"/>
      <c r="C51" s="21">
        <f ca="1">INDIRECT(_xlfn.TEXTJOIN("",TRUE,A53,"!",ADDRESS(5+A54*A50,12)))</f>
        <v>0</v>
      </c>
      <c r="D51" s="120" t="s">
        <v>38</v>
      </c>
      <c r="E51" s="120"/>
      <c r="F51" s="18" t="e">
        <f ca="1">INDIRECT(_xlfn.TEXTJOIN("",TRUE,A53,"!",ADDRESS(5+A54*A50,8)))</f>
        <v>#N/A</v>
      </c>
      <c r="G51" s="120" t="s">
        <v>39</v>
      </c>
      <c r="H51" s="120"/>
      <c r="I51" s="109" t="e">
        <f ca="1">INDIRECT(_xlfn.TEXTJOIN("",TRUE,A53,"!",ADDRESS(5+A54*A50,10)))</f>
        <v>#N/A</v>
      </c>
      <c r="J51" s="109"/>
    </row>
    <row r="52" spans="1:10" ht="28" customHeight="1" x14ac:dyDescent="0.2">
      <c r="A52" s="19" t="s">
        <v>36</v>
      </c>
      <c r="B52" s="95" t="e">
        <f ca="1">INDIRECT(_xlfn.TEXTJOIN("",TRUE,A53,"!",ADDRESS(5+A54*A50,2)))</f>
        <v>#N/A</v>
      </c>
      <c r="C52" s="95"/>
      <c r="D52" s="121" t="s">
        <v>37</v>
      </c>
      <c r="E52" s="121"/>
      <c r="F52" s="122" t="e">
        <f ca="1">INDIRECT(_xlfn.TEXTJOIN("",TRUE,A53,"!",ADDRESS(5+A54*A50,5)))</f>
        <v>#N/A</v>
      </c>
      <c r="G52" s="122"/>
      <c r="H52" s="122"/>
      <c r="I52" s="122"/>
      <c r="J52" s="122"/>
    </row>
    <row r="53" spans="1:10" ht="28" customHeight="1" x14ac:dyDescent="0.2">
      <c r="A53" s="22" t="str">
        <f>A37</f>
        <v>TC_IV</v>
      </c>
    </row>
    <row r="54" spans="1:10" ht="28" customHeight="1" x14ac:dyDescent="0.2">
      <c r="A54" s="22">
        <f>A38+1</f>
        <v>3</v>
      </c>
    </row>
    <row r="55" spans="1:10" ht="28" customHeight="1" x14ac:dyDescent="0.2">
      <c r="A55" s="112" t="s">
        <v>24</v>
      </c>
      <c r="B55" s="112"/>
      <c r="C55" s="112" t="str">
        <f ca="1">INDIRECT(_xlfn.TEXTJOIN("",TRUE,A69,"!",ADDRESS(9+(A70-1)*A66,2)))</f>
        <v>ANJALI GUSAIN</v>
      </c>
      <c r="D55" s="112"/>
      <c r="E55" s="112"/>
      <c r="F55" s="112" t="s">
        <v>50</v>
      </c>
      <c r="G55" s="112"/>
      <c r="H55" s="112"/>
      <c r="I55" s="113">
        <f ca="1">INDIRECT(_xlfn.TEXTJOIN("",TRUE,A69,"!",ADDRESS(9+(A70-1)*A66,9)))</f>
        <v>240090600004</v>
      </c>
      <c r="J55" s="113"/>
    </row>
    <row r="56" spans="1:10" ht="28" customHeight="1" x14ac:dyDescent="0.2">
      <c r="A56" s="112" t="s">
        <v>25</v>
      </c>
      <c r="B56" s="112"/>
      <c r="C56" s="112" t="str">
        <f ca="1">INDIRECT(_xlfn.TEXTJOIN("",TRUE,A69,"!",ADDRESS(9+(A70-1)*A66,5)))</f>
        <v>JAIBEER SINGH GUSAIN</v>
      </c>
      <c r="D56" s="112"/>
      <c r="E56" s="112"/>
      <c r="F56" s="114" t="s">
        <v>51</v>
      </c>
      <c r="G56" s="114"/>
      <c r="H56" s="114"/>
      <c r="I56" s="113" t="str">
        <f ca="1">INDIRECT(_xlfn.TEXTJOIN("",TRUE,A69,"!",ADDRESS(9+(A70-1)*A66,13)))</f>
        <v>UTU/2406100161</v>
      </c>
      <c r="J56" s="113"/>
    </row>
    <row r="57" spans="1:10" ht="28" customHeight="1" x14ac:dyDescent="0.2">
      <c r="A57" s="95" t="s">
        <v>28</v>
      </c>
      <c r="B57" s="95"/>
      <c r="C57" s="95" t="s">
        <v>29</v>
      </c>
      <c r="D57" s="95"/>
      <c r="E57" s="95"/>
      <c r="F57" s="95"/>
      <c r="G57" s="95"/>
      <c r="H57" s="15" t="s">
        <v>30</v>
      </c>
      <c r="I57" s="15" t="s">
        <v>9</v>
      </c>
      <c r="J57" s="15" t="s">
        <v>34</v>
      </c>
    </row>
    <row r="58" spans="1:10" ht="28" customHeight="1" x14ac:dyDescent="0.2">
      <c r="A58" s="96" t="str">
        <f ca="1">INDIRECT(_xlfn.TEXTJOIN("",TRUE,A69,"!",ADDRESS(13+(A70-1)*A66,1)))</f>
        <v>CAT 022</v>
      </c>
      <c r="B58" s="97"/>
      <c r="C58" s="106" t="str">
        <f ca="1">INDIRECT(_xlfn.TEXTJOIN("",TRUE,A69,"!",ADDRESS(13+(A70-1)*A66,2)))</f>
        <v>Network Security</v>
      </c>
      <c r="D58" s="107"/>
      <c r="E58" s="107"/>
      <c r="F58" s="107"/>
      <c r="G58" s="108"/>
      <c r="H58" s="20">
        <f ca="1">INDIRECT(_xlfn.TEXTJOIN("",TRUE,A69,"!",ADDRESS(13+(A70-1)*A66,6)))</f>
        <v>4</v>
      </c>
      <c r="I58" s="20" t="str">
        <f ca="1">INDIRECT(_xlfn.TEXTJOIN("",TRUE,A69,"!",ADDRESS(13+(A70-1)*A66,13)))</f>
        <v>F</v>
      </c>
      <c r="J58" s="20">
        <f ca="1">INDIRECT(_xlfn.TEXTJOIN("",TRUE,A69,"!",ADDRESS(13+(A70-1)*A66,14)))</f>
        <v>0</v>
      </c>
    </row>
    <row r="59" spans="1:10" ht="28" customHeight="1" x14ac:dyDescent="0.2">
      <c r="A59" s="96" t="str">
        <f ca="1">INDIRECT(_xlfn.TEXTJOIN("",TRUE,A69,"!",ADDRESS(14+(A70-1)*A66,1)))</f>
        <v>Enroll No.</v>
      </c>
      <c r="B59" s="97"/>
      <c r="C59" s="106">
        <f ca="1">INDIRECT(_xlfn.TEXTJOIN("",TRUE,A69,"!",ADDRESS(14+(A70-1)*A66,2)))</f>
        <v>0</v>
      </c>
      <c r="D59" s="107"/>
      <c r="E59" s="107"/>
      <c r="F59" s="107"/>
      <c r="G59" s="108"/>
      <c r="H59" s="20">
        <f ca="1">INDIRECT(_xlfn.TEXTJOIN("",TRUE,A69,"!",ADDRESS(14+(A70-1)*A66,6)))</f>
        <v>0</v>
      </c>
      <c r="I59" s="20" t="b">
        <f ca="1">INDIRECT(_xlfn.TEXTJOIN("",TRUE,A69,"!",ADDRESS(14+(A70-1)*A66,13)))</f>
        <v>0</v>
      </c>
      <c r="J59" s="20" t="e">
        <f ca="1">INDIRECT(_xlfn.TEXTJOIN("",TRUE,A69,"!",ADDRESS(14+(A70-1)*A66,14)))</f>
        <v>#N/A</v>
      </c>
    </row>
    <row r="60" spans="1:10" ht="28" customHeight="1" x14ac:dyDescent="0.2">
      <c r="A60" s="96" t="str">
        <f ca="1">INDIRECT(_xlfn.TEXTJOIN("",TRUE,A69,"!",ADDRESS(15+(A70-1)*A66,1)))</f>
        <v>CAT 030</v>
      </c>
      <c r="B60" s="97"/>
      <c r="C60" s="106" t="str">
        <f ca="1">INDIRECT(_xlfn.TEXTJOIN("",TRUE,A69,"!",ADDRESS(15+(A70-1)*A66,2)))</f>
        <v>Software Testing &amp; Quality Assurance</v>
      </c>
      <c r="D60" s="107"/>
      <c r="E60" s="107"/>
      <c r="F60" s="107"/>
      <c r="G60" s="108"/>
      <c r="H60" s="20">
        <f ca="1">INDIRECT(_xlfn.TEXTJOIN("",TRUE,A69,"!",ADDRESS(15+(A70-1)*A66,6)))</f>
        <v>4</v>
      </c>
      <c r="I60" s="20" t="str">
        <f ca="1">INDIRECT(_xlfn.TEXTJOIN("",TRUE,A69,"!",ADDRESS(15+(A70-1)*A66,13)))</f>
        <v>F</v>
      </c>
      <c r="J60" s="20">
        <f ca="1">INDIRECT(_xlfn.TEXTJOIN("",TRUE,A69,"!",ADDRESS(15+(A70-1)*A66,14)))</f>
        <v>0</v>
      </c>
    </row>
    <row r="61" spans="1:10" ht="28" customHeight="1" x14ac:dyDescent="0.2">
      <c r="A61" s="96" t="str">
        <f ca="1">INDIRECT(_xlfn.TEXTJOIN("",TRUE,A69,"!",ADDRESS(16+(A70-1)*A66,1)))</f>
        <v>Enroll No.</v>
      </c>
      <c r="B61" s="97"/>
      <c r="C61" s="106">
        <f ca="1">INDIRECT(_xlfn.TEXTJOIN("",TRUE,A69,"!",ADDRESS(16+(A70-1)*A66,2)))</f>
        <v>0</v>
      </c>
      <c r="D61" s="107"/>
      <c r="E61" s="107"/>
      <c r="F61" s="107"/>
      <c r="G61" s="108"/>
      <c r="H61" s="20">
        <f ca="1">INDIRECT(_xlfn.TEXTJOIN("",TRUE,A69,"!",ADDRESS(16+(A70-1)*A66,6)))</f>
        <v>0</v>
      </c>
      <c r="I61" s="20" t="b">
        <f ca="1">INDIRECT(_xlfn.TEXTJOIN("",TRUE,A69,"!",ADDRESS(16+(A70-1)*A66,13)))</f>
        <v>0</v>
      </c>
      <c r="J61" s="20" t="e">
        <f ca="1">INDIRECT(_xlfn.TEXTJOIN("",TRUE,A69,"!",ADDRESS(16+(A70-1)*A66,14)))</f>
        <v>#N/A</v>
      </c>
    </row>
    <row r="62" spans="1:10" ht="28" customHeight="1" x14ac:dyDescent="0.2">
      <c r="A62" s="96" t="str">
        <f ca="1">INDIRECT(_xlfn.TEXTJOIN("",TRUE,A69,"!",ADDRESS(17+(A70-1)*A66,1)))</f>
        <v>CAP 011</v>
      </c>
      <c r="B62" s="97"/>
      <c r="C62" s="106" t="str">
        <f ca="1">INDIRECT(_xlfn.TEXTJOIN("",TRUE,A69,"!",ADDRESS(17+(A70-1)*A66,2)))</f>
        <v>Network Security Lab</v>
      </c>
      <c r="D62" s="107"/>
      <c r="E62" s="107"/>
      <c r="F62" s="107"/>
      <c r="G62" s="108"/>
      <c r="H62" s="20">
        <f ca="1">INDIRECT(_xlfn.TEXTJOIN("",TRUE,A69,"!",ADDRESS(17+(A70-1)*A66,6)))</f>
        <v>1</v>
      </c>
      <c r="I62" s="20" t="str">
        <f ca="1">INDIRECT(_xlfn.TEXTJOIN("",TRUE,A69,"!",ADDRESS(17+(A70-1)*A66,13)))</f>
        <v>F</v>
      </c>
      <c r="J62" s="20">
        <f ca="1">INDIRECT(_xlfn.TEXTJOIN("",TRUE,A69,"!",ADDRESS(17+(A70-1)*A66,14)))</f>
        <v>0</v>
      </c>
    </row>
    <row r="63" spans="1:10" ht="28" customHeight="1" x14ac:dyDescent="0.2">
      <c r="A63" s="96" t="str">
        <f ca="1">INDIRECT(_xlfn.TEXTJOIN("",TRUE,A69,"!",ADDRESS(18+(A70-1)*A66,1)))</f>
        <v>Enroll No.</v>
      </c>
      <c r="B63" s="97"/>
      <c r="C63" s="106">
        <f ca="1">INDIRECT(_xlfn.TEXTJOIN("",TRUE,A69,"!",ADDRESS(18+(A70-1)*A66,2)))</f>
        <v>0</v>
      </c>
      <c r="D63" s="107"/>
      <c r="E63" s="107"/>
      <c r="F63" s="107"/>
      <c r="G63" s="108"/>
      <c r="H63" s="20">
        <f ca="1">INDIRECT(_xlfn.TEXTJOIN("",TRUE,A69,"!",ADDRESS(18+(A70-1)*A66,6)))</f>
        <v>0</v>
      </c>
      <c r="I63" s="20" t="b">
        <f ca="1">INDIRECT(_xlfn.TEXTJOIN("",TRUE,A69,"!",ADDRESS(18+(A70-1)*A66,13)))</f>
        <v>0</v>
      </c>
      <c r="J63" s="20" t="e">
        <f ca="1">INDIRECT(_xlfn.TEXTJOIN("",TRUE,A69,"!",ADDRESS(18+(A70-1)*A66,14)))</f>
        <v>#N/A</v>
      </c>
    </row>
    <row r="64" spans="1:10" ht="28" customHeight="1" x14ac:dyDescent="0.2">
      <c r="A64" s="96" t="str">
        <f ca="1">INDIRECT(_xlfn.TEXTJOIN("",TRUE,A69,"!",ADDRESS(19+(A70-1)*A66,1)))</f>
        <v>CAP 013</v>
      </c>
      <c r="B64" s="97"/>
      <c r="C64" s="106" t="str">
        <f ca="1">INDIRECT(_xlfn.TEXTJOIN("",TRUE,A69,"!",ADDRESS(19+(A70-1)*A66,2)))</f>
        <v>Major Project</v>
      </c>
      <c r="D64" s="107"/>
      <c r="E64" s="107"/>
      <c r="F64" s="107"/>
      <c r="G64" s="108"/>
      <c r="H64" s="20">
        <f ca="1">INDIRECT(_xlfn.TEXTJOIN("",TRUE,A69,"!",ADDRESS(19+(A70-1)*A66,6)))</f>
        <v>6</v>
      </c>
      <c r="I64" s="20" t="str">
        <f ca="1">INDIRECT(_xlfn.TEXTJOIN("",TRUE,A69,"!",ADDRESS(19+(A70-1)*A66,13)))</f>
        <v>F</v>
      </c>
      <c r="J64" s="20">
        <f ca="1">INDIRECT(_xlfn.TEXTJOIN("",TRUE,A69,"!",ADDRESS(19+(A70-1)*A66,14)))</f>
        <v>0</v>
      </c>
    </row>
    <row r="65" spans="1:10" ht="28" customHeight="1" x14ac:dyDescent="0.2">
      <c r="A65" s="118" t="s">
        <v>52</v>
      </c>
      <c r="B65" s="118"/>
      <c r="C65" s="118"/>
      <c r="D65" s="118"/>
      <c r="E65" s="118"/>
      <c r="F65" s="118"/>
      <c r="G65" s="118"/>
      <c r="H65" s="16">
        <f ca="1">SUM(H58:H64)</f>
        <v>15</v>
      </c>
      <c r="I65" s="16" t="s">
        <v>44</v>
      </c>
      <c r="J65" s="16" t="e">
        <f ca="1">SUMPRODUCT(J58:J64,H58:H64)</f>
        <v>#N/A</v>
      </c>
    </row>
    <row r="66" spans="1:10" ht="28" customHeight="1" x14ac:dyDescent="0.2">
      <c r="A66" s="22">
        <f>ROWS(A58:B64)+9</f>
        <v>16</v>
      </c>
      <c r="B66" s="17"/>
      <c r="C66" s="17"/>
      <c r="D66" s="17"/>
      <c r="E66" s="17"/>
      <c r="F66" s="17"/>
      <c r="G66" s="17"/>
      <c r="H66" s="17"/>
      <c r="I66" s="17"/>
      <c r="J66" s="17"/>
    </row>
    <row r="67" spans="1:10" ht="28" customHeight="1" x14ac:dyDescent="0.2">
      <c r="A67" s="120" t="s">
        <v>40</v>
      </c>
      <c r="B67" s="120"/>
      <c r="C67" s="21">
        <f ca="1">INDIRECT(_xlfn.TEXTJOIN("",TRUE,A69,"!",ADDRESS(5+A70*A66,12)))</f>
        <v>0</v>
      </c>
      <c r="D67" s="120" t="s">
        <v>38</v>
      </c>
      <c r="E67" s="120"/>
      <c r="F67" s="18" t="e">
        <f ca="1">INDIRECT(_xlfn.TEXTJOIN("",TRUE,A69,"!",ADDRESS(5+A70*A66,8)))</f>
        <v>#N/A</v>
      </c>
      <c r="G67" s="120" t="s">
        <v>39</v>
      </c>
      <c r="H67" s="120"/>
      <c r="I67" s="109" t="e">
        <f ca="1">INDIRECT(_xlfn.TEXTJOIN("",TRUE,A69,"!",ADDRESS(5+A70*A66,10)))</f>
        <v>#N/A</v>
      </c>
      <c r="J67" s="109"/>
    </row>
    <row r="68" spans="1:10" ht="28" customHeight="1" x14ac:dyDescent="0.2">
      <c r="A68" s="19" t="s">
        <v>36</v>
      </c>
      <c r="B68" s="95" t="e">
        <f ca="1">INDIRECT(_xlfn.TEXTJOIN("",TRUE,A69,"!",ADDRESS(5+A70*A66,2)))</f>
        <v>#N/A</v>
      </c>
      <c r="C68" s="95"/>
      <c r="D68" s="121" t="s">
        <v>37</v>
      </c>
      <c r="E68" s="121"/>
      <c r="F68" s="122" t="e">
        <f ca="1">INDIRECT(_xlfn.TEXTJOIN("",TRUE,A69,"!",ADDRESS(5+A70*A66,5)))</f>
        <v>#N/A</v>
      </c>
      <c r="G68" s="122"/>
      <c r="H68" s="122"/>
      <c r="I68" s="122"/>
      <c r="J68" s="122"/>
    </row>
    <row r="69" spans="1:10" ht="28" customHeight="1" x14ac:dyDescent="0.2">
      <c r="A69" s="22" t="str">
        <f>A53</f>
        <v>TC_IV</v>
      </c>
    </row>
    <row r="70" spans="1:10" ht="28" customHeight="1" x14ac:dyDescent="0.2">
      <c r="A70" s="22">
        <f>A54+1</f>
        <v>4</v>
      </c>
    </row>
    <row r="71" spans="1:10" ht="28" customHeight="1" x14ac:dyDescent="0.2">
      <c r="A71" s="112" t="s">
        <v>24</v>
      </c>
      <c r="B71" s="112"/>
      <c r="C71" s="112" t="str">
        <f ca="1">INDIRECT(_xlfn.TEXTJOIN("",TRUE,A85,"!",ADDRESS(9+(A86-1)*A82,2)))</f>
        <v>ANJALI PATWAL</v>
      </c>
      <c r="D71" s="112"/>
      <c r="E71" s="112"/>
      <c r="F71" s="112" t="s">
        <v>50</v>
      </c>
      <c r="G71" s="112"/>
      <c r="H71" s="112"/>
      <c r="I71" s="113">
        <f ca="1">INDIRECT(_xlfn.TEXTJOIN("",TRUE,A85,"!",ADDRESS(9+(A86-1)*A82,9)))</f>
        <v>240090600005</v>
      </c>
      <c r="J71" s="113"/>
    </row>
    <row r="72" spans="1:10" ht="28" customHeight="1" x14ac:dyDescent="0.2">
      <c r="A72" s="112" t="s">
        <v>25</v>
      </c>
      <c r="B72" s="112"/>
      <c r="C72" s="112" t="str">
        <f ca="1">INDIRECT(_xlfn.TEXTJOIN("",TRUE,A85,"!",ADDRESS(9+(A86-1)*A82,5)))</f>
        <v>SANJAY SINGH PATWAL</v>
      </c>
      <c r="D72" s="112"/>
      <c r="E72" s="112"/>
      <c r="F72" s="114" t="s">
        <v>51</v>
      </c>
      <c r="G72" s="114"/>
      <c r="H72" s="114"/>
      <c r="I72" s="113" t="str">
        <f ca="1">INDIRECT(_xlfn.TEXTJOIN("",TRUE,A85,"!",ADDRESS(9+(A86-1)*A82,13)))</f>
        <v>UTU/2406100178</v>
      </c>
      <c r="J72" s="113"/>
    </row>
    <row r="73" spans="1:10" ht="28" customHeight="1" x14ac:dyDescent="0.2">
      <c r="A73" s="95" t="s">
        <v>28</v>
      </c>
      <c r="B73" s="95"/>
      <c r="C73" s="95" t="s">
        <v>29</v>
      </c>
      <c r="D73" s="95"/>
      <c r="E73" s="95"/>
      <c r="F73" s="95"/>
      <c r="G73" s="95"/>
      <c r="H73" s="15" t="s">
        <v>30</v>
      </c>
      <c r="I73" s="15" t="s">
        <v>9</v>
      </c>
      <c r="J73" s="15" t="s">
        <v>34</v>
      </c>
    </row>
    <row r="74" spans="1:10" ht="28" customHeight="1" x14ac:dyDescent="0.2">
      <c r="A74" s="96" t="str">
        <f ca="1">INDIRECT(_xlfn.TEXTJOIN("",TRUE,A85,"!",ADDRESS(13+(A86-1)*A82,1)))</f>
        <v>CAT 022</v>
      </c>
      <c r="B74" s="97"/>
      <c r="C74" s="106" t="str">
        <f ca="1">INDIRECT(_xlfn.TEXTJOIN("",TRUE,A85,"!",ADDRESS(13+(A86-1)*A82,2)))</f>
        <v>Network Security</v>
      </c>
      <c r="D74" s="107"/>
      <c r="E74" s="107"/>
      <c r="F74" s="107"/>
      <c r="G74" s="108"/>
      <c r="H74" s="20">
        <f ca="1">INDIRECT(_xlfn.TEXTJOIN("",TRUE,A85,"!",ADDRESS(13+(A86-1)*A82,6)))</f>
        <v>4</v>
      </c>
      <c r="I74" s="20" t="str">
        <f ca="1">INDIRECT(_xlfn.TEXTJOIN("",TRUE,A85,"!",ADDRESS(13+(A86-1)*A82,13)))</f>
        <v>F</v>
      </c>
      <c r="J74" s="20">
        <f ca="1">INDIRECT(_xlfn.TEXTJOIN("",TRUE,A85,"!",ADDRESS(13+(A86-1)*A82,14)))</f>
        <v>0</v>
      </c>
    </row>
    <row r="75" spans="1:10" ht="28" customHeight="1" x14ac:dyDescent="0.2">
      <c r="A75" s="96" t="str">
        <f ca="1">INDIRECT(_xlfn.TEXTJOIN("",TRUE,A85,"!",ADDRESS(14+(A86-1)*A82,1)))</f>
        <v>Enroll No.</v>
      </c>
      <c r="B75" s="97"/>
      <c r="C75" s="106">
        <f ca="1">INDIRECT(_xlfn.TEXTJOIN("",TRUE,A85,"!",ADDRESS(14+(A86-1)*A82,2)))</f>
        <v>0</v>
      </c>
      <c r="D75" s="107"/>
      <c r="E75" s="107"/>
      <c r="F75" s="107"/>
      <c r="G75" s="108"/>
      <c r="H75" s="20">
        <f ca="1">INDIRECT(_xlfn.TEXTJOIN("",TRUE,A85,"!",ADDRESS(14+(A86-1)*A82,6)))</f>
        <v>0</v>
      </c>
      <c r="I75" s="20" t="b">
        <f ca="1">INDIRECT(_xlfn.TEXTJOIN("",TRUE,A85,"!",ADDRESS(14+(A86-1)*A82,13)))</f>
        <v>0</v>
      </c>
      <c r="J75" s="20" t="e">
        <f ca="1">INDIRECT(_xlfn.TEXTJOIN("",TRUE,A85,"!",ADDRESS(14+(A86-1)*A82,14)))</f>
        <v>#N/A</v>
      </c>
    </row>
    <row r="76" spans="1:10" ht="28" customHeight="1" x14ac:dyDescent="0.2">
      <c r="A76" s="96" t="str">
        <f ca="1">INDIRECT(_xlfn.TEXTJOIN("",TRUE,A85,"!",ADDRESS(15+(A86-1)*A82,1)))</f>
        <v>CAT 030</v>
      </c>
      <c r="B76" s="97"/>
      <c r="C76" s="106" t="str">
        <f ca="1">INDIRECT(_xlfn.TEXTJOIN("",TRUE,A85,"!",ADDRESS(15+(A86-1)*A82,2)))</f>
        <v>Software Testing &amp; Quality Assurance</v>
      </c>
      <c r="D76" s="107"/>
      <c r="E76" s="107"/>
      <c r="F76" s="107"/>
      <c r="G76" s="108"/>
      <c r="H76" s="20">
        <f ca="1">INDIRECT(_xlfn.TEXTJOIN("",TRUE,A85,"!",ADDRESS(15+(A86-1)*A82,6)))</f>
        <v>4</v>
      </c>
      <c r="I76" s="20" t="str">
        <f ca="1">INDIRECT(_xlfn.TEXTJOIN("",TRUE,A85,"!",ADDRESS(15+(A86-1)*A82,13)))</f>
        <v>F</v>
      </c>
      <c r="J76" s="20">
        <f ca="1">INDIRECT(_xlfn.TEXTJOIN("",TRUE,A85,"!",ADDRESS(15+(A86-1)*A82,14)))</f>
        <v>0</v>
      </c>
    </row>
    <row r="77" spans="1:10" ht="28" customHeight="1" x14ac:dyDescent="0.2">
      <c r="A77" s="96" t="str">
        <f ca="1">INDIRECT(_xlfn.TEXTJOIN("",TRUE,A85,"!",ADDRESS(16+(A86-1)*A82,1)))</f>
        <v>Enroll No.</v>
      </c>
      <c r="B77" s="97"/>
      <c r="C77" s="106">
        <f ca="1">INDIRECT(_xlfn.TEXTJOIN("",TRUE,A85,"!",ADDRESS(16+(A86-1)*A82,2)))</f>
        <v>0</v>
      </c>
      <c r="D77" s="107"/>
      <c r="E77" s="107"/>
      <c r="F77" s="107"/>
      <c r="G77" s="108"/>
      <c r="H77" s="20">
        <f ca="1">INDIRECT(_xlfn.TEXTJOIN("",TRUE,A85,"!",ADDRESS(16+(A86-1)*A82,6)))</f>
        <v>0</v>
      </c>
      <c r="I77" s="20" t="b">
        <f ca="1">INDIRECT(_xlfn.TEXTJOIN("",TRUE,A85,"!",ADDRESS(16+(A86-1)*A82,13)))</f>
        <v>0</v>
      </c>
      <c r="J77" s="20" t="e">
        <f ca="1">INDIRECT(_xlfn.TEXTJOIN("",TRUE,A85,"!",ADDRESS(16+(A86-1)*A82,14)))</f>
        <v>#N/A</v>
      </c>
    </row>
    <row r="78" spans="1:10" ht="28" customHeight="1" x14ac:dyDescent="0.2">
      <c r="A78" s="96" t="str">
        <f ca="1">INDIRECT(_xlfn.TEXTJOIN("",TRUE,A85,"!",ADDRESS(17+(A86-1)*A82,1)))</f>
        <v>CAP 011</v>
      </c>
      <c r="B78" s="97"/>
      <c r="C78" s="106" t="str">
        <f ca="1">INDIRECT(_xlfn.TEXTJOIN("",TRUE,A85,"!",ADDRESS(17+(A86-1)*A82,2)))</f>
        <v>Network Security Lab</v>
      </c>
      <c r="D78" s="107"/>
      <c r="E78" s="107"/>
      <c r="F78" s="107"/>
      <c r="G78" s="108"/>
      <c r="H78" s="20">
        <f ca="1">INDIRECT(_xlfn.TEXTJOIN("",TRUE,A85,"!",ADDRESS(17+(A86-1)*A82,6)))</f>
        <v>1</v>
      </c>
      <c r="I78" s="20" t="str">
        <f ca="1">INDIRECT(_xlfn.TEXTJOIN("",TRUE,A85,"!",ADDRESS(17+(A86-1)*A82,13)))</f>
        <v>F</v>
      </c>
      <c r="J78" s="20">
        <f ca="1">INDIRECT(_xlfn.TEXTJOIN("",TRUE,A85,"!",ADDRESS(17+(A86-1)*A82,14)))</f>
        <v>0</v>
      </c>
    </row>
    <row r="79" spans="1:10" ht="28" customHeight="1" x14ac:dyDescent="0.2">
      <c r="A79" s="96" t="str">
        <f ca="1">INDIRECT(_xlfn.TEXTJOIN("",TRUE,A85,"!",ADDRESS(18+(A86-1)*A82,1)))</f>
        <v>Enroll No.</v>
      </c>
      <c r="B79" s="97"/>
      <c r="C79" s="106">
        <f ca="1">INDIRECT(_xlfn.TEXTJOIN("",TRUE,A85,"!",ADDRESS(18+(A86-1)*A82,2)))</f>
        <v>0</v>
      </c>
      <c r="D79" s="107"/>
      <c r="E79" s="107"/>
      <c r="F79" s="107"/>
      <c r="G79" s="108"/>
      <c r="H79" s="20">
        <f ca="1">INDIRECT(_xlfn.TEXTJOIN("",TRUE,A85,"!",ADDRESS(18+(A86-1)*A82,6)))</f>
        <v>0</v>
      </c>
      <c r="I79" s="20" t="b">
        <f ca="1">INDIRECT(_xlfn.TEXTJOIN("",TRUE,A85,"!",ADDRESS(18+(A86-1)*A82,13)))</f>
        <v>0</v>
      </c>
      <c r="J79" s="20" t="e">
        <f ca="1">INDIRECT(_xlfn.TEXTJOIN("",TRUE,A85,"!",ADDRESS(18+(A86-1)*A82,14)))</f>
        <v>#N/A</v>
      </c>
    </row>
    <row r="80" spans="1:10" ht="28" customHeight="1" x14ac:dyDescent="0.2">
      <c r="A80" s="96" t="str">
        <f ca="1">INDIRECT(_xlfn.TEXTJOIN("",TRUE,A85,"!",ADDRESS(19+(A86-1)*A82,1)))</f>
        <v>CAP 013</v>
      </c>
      <c r="B80" s="97"/>
      <c r="C80" s="106" t="str">
        <f ca="1">INDIRECT(_xlfn.TEXTJOIN("",TRUE,A85,"!",ADDRESS(19+(A86-1)*A82,2)))</f>
        <v>Major Project</v>
      </c>
      <c r="D80" s="107"/>
      <c r="E80" s="107"/>
      <c r="F80" s="107"/>
      <c r="G80" s="108"/>
      <c r="H80" s="20">
        <f ca="1">INDIRECT(_xlfn.TEXTJOIN("",TRUE,A85,"!",ADDRESS(19+(A86-1)*A82,6)))</f>
        <v>6</v>
      </c>
      <c r="I80" s="20" t="str">
        <f ca="1">INDIRECT(_xlfn.TEXTJOIN("",TRUE,A85,"!",ADDRESS(19+(A86-1)*A82,13)))</f>
        <v>F</v>
      </c>
      <c r="J80" s="20">
        <f ca="1">INDIRECT(_xlfn.TEXTJOIN("",TRUE,A85,"!",ADDRESS(19+(A86-1)*A82,14)))</f>
        <v>0</v>
      </c>
    </row>
    <row r="81" spans="1:10" ht="28" customHeight="1" x14ac:dyDescent="0.2">
      <c r="A81" s="118" t="s">
        <v>52</v>
      </c>
      <c r="B81" s="118"/>
      <c r="C81" s="118"/>
      <c r="D81" s="118"/>
      <c r="E81" s="118"/>
      <c r="F81" s="118"/>
      <c r="G81" s="118"/>
      <c r="H81" s="16">
        <f ca="1">SUM(H74:H80)</f>
        <v>15</v>
      </c>
      <c r="I81" s="16" t="s">
        <v>44</v>
      </c>
      <c r="J81" s="16" t="e">
        <f ca="1">SUMPRODUCT(J74:J80,H74:H80)</f>
        <v>#N/A</v>
      </c>
    </row>
    <row r="82" spans="1:10" ht="28" customHeight="1" x14ac:dyDescent="0.2">
      <c r="A82" s="22">
        <f>ROWS(A74:B80)+9</f>
        <v>16</v>
      </c>
      <c r="B82" s="17"/>
      <c r="C82" s="17"/>
      <c r="D82" s="17"/>
      <c r="E82" s="17"/>
      <c r="F82" s="17"/>
      <c r="G82" s="17"/>
      <c r="H82" s="17"/>
      <c r="I82" s="17"/>
      <c r="J82" s="17"/>
    </row>
    <row r="83" spans="1:10" ht="28" customHeight="1" x14ac:dyDescent="0.2">
      <c r="A83" s="120" t="s">
        <v>40</v>
      </c>
      <c r="B83" s="120"/>
      <c r="C83" s="21">
        <f ca="1">INDIRECT(_xlfn.TEXTJOIN("",TRUE,A85,"!",ADDRESS(5+A86*A82,12)))</f>
        <v>0</v>
      </c>
      <c r="D83" s="120" t="s">
        <v>38</v>
      </c>
      <c r="E83" s="120"/>
      <c r="F83" s="18" t="e">
        <f ca="1">INDIRECT(_xlfn.TEXTJOIN("",TRUE,A85,"!",ADDRESS(5+A86*A82,8)))</f>
        <v>#N/A</v>
      </c>
      <c r="G83" s="120" t="s">
        <v>39</v>
      </c>
      <c r="H83" s="120"/>
      <c r="I83" s="109" t="e">
        <f ca="1">INDIRECT(_xlfn.TEXTJOIN("",TRUE,A85,"!",ADDRESS(5+A86*A82,10)))</f>
        <v>#N/A</v>
      </c>
      <c r="J83" s="109"/>
    </row>
    <row r="84" spans="1:10" ht="28" customHeight="1" x14ac:dyDescent="0.2">
      <c r="A84" s="19" t="s">
        <v>36</v>
      </c>
      <c r="B84" s="95" t="e">
        <f ca="1">INDIRECT(_xlfn.TEXTJOIN("",TRUE,A85,"!",ADDRESS(5+A86*A82,2)))</f>
        <v>#N/A</v>
      </c>
      <c r="C84" s="95"/>
      <c r="D84" s="121" t="s">
        <v>37</v>
      </c>
      <c r="E84" s="121"/>
      <c r="F84" s="122" t="e">
        <f ca="1">INDIRECT(_xlfn.TEXTJOIN("",TRUE,A85,"!",ADDRESS(5+A86*A82,5)))</f>
        <v>#N/A</v>
      </c>
      <c r="G84" s="122"/>
      <c r="H84" s="122"/>
      <c r="I84" s="122"/>
      <c r="J84" s="122"/>
    </row>
    <row r="85" spans="1:10" ht="28" customHeight="1" x14ac:dyDescent="0.2">
      <c r="A85" s="22" t="str">
        <f>A69</f>
        <v>TC_IV</v>
      </c>
    </row>
    <row r="86" spans="1:10" ht="28" customHeight="1" x14ac:dyDescent="0.2">
      <c r="A86" s="22">
        <f>A70+1</f>
        <v>5</v>
      </c>
    </row>
    <row r="87" spans="1:10" ht="28" customHeight="1" x14ac:dyDescent="0.2">
      <c r="A87" s="112" t="s">
        <v>24</v>
      </c>
      <c r="B87" s="112"/>
      <c r="C87" s="112" t="str">
        <f ca="1">INDIRECT(_xlfn.TEXTJOIN("",TRUE,A101,"!",ADDRESS(9+(A102-1)*A98,2)))</f>
        <v>ASMIT BHATT</v>
      </c>
      <c r="D87" s="112"/>
      <c r="E87" s="112"/>
      <c r="F87" s="112" t="s">
        <v>50</v>
      </c>
      <c r="G87" s="112"/>
      <c r="H87" s="112"/>
      <c r="I87" s="113">
        <f ca="1">INDIRECT(_xlfn.TEXTJOIN("",TRUE,A101,"!",ADDRESS(9+(A102-1)*A98,9)))</f>
        <v>240090600006</v>
      </c>
      <c r="J87" s="113"/>
    </row>
    <row r="88" spans="1:10" ht="28" customHeight="1" x14ac:dyDescent="0.2">
      <c r="A88" s="112" t="s">
        <v>25</v>
      </c>
      <c r="B88" s="112"/>
      <c r="C88" s="112" t="str">
        <f ca="1">INDIRECT(_xlfn.TEXTJOIN("",TRUE,A101,"!",ADDRESS(9+(A102-1)*A98,5)))</f>
        <v>JANARDHAN BHATT</v>
      </c>
      <c r="D88" s="112"/>
      <c r="E88" s="112"/>
      <c r="F88" s="114" t="s">
        <v>51</v>
      </c>
      <c r="G88" s="114"/>
      <c r="H88" s="114"/>
      <c r="I88" s="113" t="str">
        <f ca="1">INDIRECT(_xlfn.TEXTJOIN("",TRUE,A101,"!",ADDRESS(9+(A102-1)*A98,13)))</f>
        <v>UTU/2406100179</v>
      </c>
      <c r="J88" s="113"/>
    </row>
    <row r="89" spans="1:10" ht="28" customHeight="1" x14ac:dyDescent="0.2">
      <c r="A89" s="95" t="s">
        <v>28</v>
      </c>
      <c r="B89" s="95"/>
      <c r="C89" s="95" t="s">
        <v>29</v>
      </c>
      <c r="D89" s="95"/>
      <c r="E89" s="95"/>
      <c r="F89" s="95"/>
      <c r="G89" s="95"/>
      <c r="H89" s="15" t="s">
        <v>30</v>
      </c>
      <c r="I89" s="15" t="s">
        <v>9</v>
      </c>
      <c r="J89" s="15" t="s">
        <v>34</v>
      </c>
    </row>
    <row r="90" spans="1:10" ht="28" customHeight="1" x14ac:dyDescent="0.2">
      <c r="A90" s="96" t="str">
        <f ca="1">INDIRECT(_xlfn.TEXTJOIN("",TRUE,A101,"!",ADDRESS(13+(A102-1)*A98,1)))</f>
        <v>CAT 022</v>
      </c>
      <c r="B90" s="97"/>
      <c r="C90" s="106" t="str">
        <f ca="1">INDIRECT(_xlfn.TEXTJOIN("",TRUE,A101,"!",ADDRESS(13+(A102-1)*A98,2)))</f>
        <v>Network Security</v>
      </c>
      <c r="D90" s="107"/>
      <c r="E90" s="107"/>
      <c r="F90" s="107"/>
      <c r="G90" s="108"/>
      <c r="H90" s="20">
        <f ca="1">INDIRECT(_xlfn.TEXTJOIN("",TRUE,A101,"!",ADDRESS(13+(A102-1)*A98,6)))</f>
        <v>4</v>
      </c>
      <c r="I90" s="20" t="str">
        <f ca="1">INDIRECT(_xlfn.TEXTJOIN("",TRUE,A101,"!",ADDRESS(13+(A102-1)*A98,13)))</f>
        <v>F</v>
      </c>
      <c r="J90" s="20">
        <f ca="1">INDIRECT(_xlfn.TEXTJOIN("",TRUE,A101,"!",ADDRESS(13+(A102-1)*A98,14)))</f>
        <v>0</v>
      </c>
    </row>
    <row r="91" spans="1:10" ht="28" customHeight="1" x14ac:dyDescent="0.2">
      <c r="A91" s="96" t="str">
        <f ca="1">INDIRECT(_xlfn.TEXTJOIN("",TRUE,A101,"!",ADDRESS(14+(A102-1)*A98,1)))</f>
        <v>Enroll No.</v>
      </c>
      <c r="B91" s="97"/>
      <c r="C91" s="106">
        <f ca="1">INDIRECT(_xlfn.TEXTJOIN("",TRUE,A101,"!",ADDRESS(14+(A102-1)*A98,2)))</f>
        <v>0</v>
      </c>
      <c r="D91" s="107"/>
      <c r="E91" s="107"/>
      <c r="F91" s="107"/>
      <c r="G91" s="108"/>
      <c r="H91" s="20">
        <f ca="1">INDIRECT(_xlfn.TEXTJOIN("",TRUE,A101,"!",ADDRESS(14+(A102-1)*A98,6)))</f>
        <v>0</v>
      </c>
      <c r="I91" s="20" t="b">
        <f ca="1">INDIRECT(_xlfn.TEXTJOIN("",TRUE,A101,"!",ADDRESS(14+(A102-1)*A98,13)))</f>
        <v>0</v>
      </c>
      <c r="J91" s="20" t="e">
        <f ca="1">INDIRECT(_xlfn.TEXTJOIN("",TRUE,A101,"!",ADDRESS(14+(A102-1)*A98,14)))</f>
        <v>#N/A</v>
      </c>
    </row>
    <row r="92" spans="1:10" ht="28" customHeight="1" x14ac:dyDescent="0.2">
      <c r="A92" s="96" t="str">
        <f ca="1">INDIRECT(_xlfn.TEXTJOIN("",TRUE,A101,"!",ADDRESS(15+(A102-1)*A98,1)))</f>
        <v>CAT 030</v>
      </c>
      <c r="B92" s="97"/>
      <c r="C92" s="106" t="str">
        <f ca="1">INDIRECT(_xlfn.TEXTJOIN("",TRUE,A101,"!",ADDRESS(15+(A102-1)*A98,2)))</f>
        <v>Software Testing &amp; Quality Assurance</v>
      </c>
      <c r="D92" s="107"/>
      <c r="E92" s="107"/>
      <c r="F92" s="107"/>
      <c r="G92" s="108"/>
      <c r="H92" s="20">
        <f ca="1">INDIRECT(_xlfn.TEXTJOIN("",TRUE,A101,"!",ADDRESS(15+(A102-1)*A98,6)))</f>
        <v>4</v>
      </c>
      <c r="I92" s="20" t="str">
        <f ca="1">INDIRECT(_xlfn.TEXTJOIN("",TRUE,A101,"!",ADDRESS(15+(A102-1)*A98,13)))</f>
        <v>F</v>
      </c>
      <c r="J92" s="20">
        <f ca="1">INDIRECT(_xlfn.TEXTJOIN("",TRUE,A101,"!",ADDRESS(15+(A102-1)*A98,14)))</f>
        <v>0</v>
      </c>
    </row>
    <row r="93" spans="1:10" ht="28" customHeight="1" x14ac:dyDescent="0.2">
      <c r="A93" s="96" t="str">
        <f ca="1">INDIRECT(_xlfn.TEXTJOIN("",TRUE,A101,"!",ADDRESS(16+(A102-1)*A98,1)))</f>
        <v>Enroll No.</v>
      </c>
      <c r="B93" s="97"/>
      <c r="C93" s="106">
        <f ca="1">INDIRECT(_xlfn.TEXTJOIN("",TRUE,A101,"!",ADDRESS(16+(A102-1)*A98,2)))</f>
        <v>0</v>
      </c>
      <c r="D93" s="107"/>
      <c r="E93" s="107"/>
      <c r="F93" s="107"/>
      <c r="G93" s="108"/>
      <c r="H93" s="20">
        <f ca="1">INDIRECT(_xlfn.TEXTJOIN("",TRUE,A101,"!",ADDRESS(16+(A102-1)*A98,6)))</f>
        <v>0</v>
      </c>
      <c r="I93" s="20" t="b">
        <f ca="1">INDIRECT(_xlfn.TEXTJOIN("",TRUE,A101,"!",ADDRESS(16+(A102-1)*A98,13)))</f>
        <v>0</v>
      </c>
      <c r="J93" s="20" t="e">
        <f ca="1">INDIRECT(_xlfn.TEXTJOIN("",TRUE,A101,"!",ADDRESS(16+(A102-1)*A98,14)))</f>
        <v>#N/A</v>
      </c>
    </row>
    <row r="94" spans="1:10" ht="28" customHeight="1" x14ac:dyDescent="0.2">
      <c r="A94" s="96" t="str">
        <f ca="1">INDIRECT(_xlfn.TEXTJOIN("",TRUE,A101,"!",ADDRESS(17+(A102-1)*A98,1)))</f>
        <v>CAP 011</v>
      </c>
      <c r="B94" s="97"/>
      <c r="C94" s="106" t="str">
        <f ca="1">INDIRECT(_xlfn.TEXTJOIN("",TRUE,A101,"!",ADDRESS(17+(A102-1)*A98,2)))</f>
        <v>Network Security Lab</v>
      </c>
      <c r="D94" s="107"/>
      <c r="E94" s="107"/>
      <c r="F94" s="107"/>
      <c r="G94" s="108"/>
      <c r="H94" s="20">
        <f ca="1">INDIRECT(_xlfn.TEXTJOIN("",TRUE,A101,"!",ADDRESS(17+(A102-1)*A98,6)))</f>
        <v>1</v>
      </c>
      <c r="I94" s="20" t="str">
        <f ca="1">INDIRECT(_xlfn.TEXTJOIN("",TRUE,A101,"!",ADDRESS(17+(A102-1)*A98,13)))</f>
        <v>F</v>
      </c>
      <c r="J94" s="20">
        <f ca="1">INDIRECT(_xlfn.TEXTJOIN("",TRUE,A101,"!",ADDRESS(17+(A102-1)*A98,14)))</f>
        <v>0</v>
      </c>
    </row>
    <row r="95" spans="1:10" ht="28" customHeight="1" x14ac:dyDescent="0.2">
      <c r="A95" s="96" t="str">
        <f ca="1">INDIRECT(_xlfn.TEXTJOIN("",TRUE,A101,"!",ADDRESS(18+(A102-1)*A98,1)))</f>
        <v>Enroll No.</v>
      </c>
      <c r="B95" s="97"/>
      <c r="C95" s="106">
        <f ca="1">INDIRECT(_xlfn.TEXTJOIN("",TRUE,A101,"!",ADDRESS(18+(A102-1)*A98,2)))</f>
        <v>0</v>
      </c>
      <c r="D95" s="107"/>
      <c r="E95" s="107"/>
      <c r="F95" s="107"/>
      <c r="G95" s="108"/>
      <c r="H95" s="20">
        <f ca="1">INDIRECT(_xlfn.TEXTJOIN("",TRUE,A101,"!",ADDRESS(18+(A102-1)*A98,6)))</f>
        <v>0</v>
      </c>
      <c r="I95" s="20" t="b">
        <f ca="1">INDIRECT(_xlfn.TEXTJOIN("",TRUE,A101,"!",ADDRESS(18+(A102-1)*A98,13)))</f>
        <v>0</v>
      </c>
      <c r="J95" s="20" t="e">
        <f ca="1">INDIRECT(_xlfn.TEXTJOIN("",TRUE,A101,"!",ADDRESS(18+(A102-1)*A98,14)))</f>
        <v>#N/A</v>
      </c>
    </row>
    <row r="96" spans="1:10" ht="28" customHeight="1" x14ac:dyDescent="0.2">
      <c r="A96" s="96" t="str">
        <f ca="1">INDIRECT(_xlfn.TEXTJOIN("",TRUE,A101,"!",ADDRESS(19+(A102-1)*A98,1)))</f>
        <v>CAP 013</v>
      </c>
      <c r="B96" s="97"/>
      <c r="C96" s="106" t="str">
        <f ca="1">INDIRECT(_xlfn.TEXTJOIN("",TRUE,A101,"!",ADDRESS(19+(A102-1)*A98,2)))</f>
        <v>Major Project</v>
      </c>
      <c r="D96" s="107"/>
      <c r="E96" s="107"/>
      <c r="F96" s="107"/>
      <c r="G96" s="108"/>
      <c r="H96" s="20">
        <f ca="1">INDIRECT(_xlfn.TEXTJOIN("",TRUE,A101,"!",ADDRESS(19+(A102-1)*A98,6)))</f>
        <v>6</v>
      </c>
      <c r="I96" s="20" t="str">
        <f ca="1">INDIRECT(_xlfn.TEXTJOIN("",TRUE,A101,"!",ADDRESS(19+(A102-1)*A98,13)))</f>
        <v>F</v>
      </c>
      <c r="J96" s="20">
        <f ca="1">INDIRECT(_xlfn.TEXTJOIN("",TRUE,A101,"!",ADDRESS(19+(A102-1)*A98,14)))</f>
        <v>0</v>
      </c>
    </row>
    <row r="97" spans="1:10" ht="28" customHeight="1" x14ac:dyDescent="0.2">
      <c r="A97" s="118" t="s">
        <v>52</v>
      </c>
      <c r="B97" s="118"/>
      <c r="C97" s="118"/>
      <c r="D97" s="118"/>
      <c r="E97" s="118"/>
      <c r="F97" s="118"/>
      <c r="G97" s="118"/>
      <c r="H97" s="16">
        <f ca="1">SUM(H90:H96)</f>
        <v>15</v>
      </c>
      <c r="I97" s="16" t="s">
        <v>44</v>
      </c>
      <c r="J97" s="16" t="e">
        <f ca="1">SUMPRODUCT(J90:J96,H90:H96)</f>
        <v>#N/A</v>
      </c>
    </row>
    <row r="98" spans="1:10" ht="28" customHeight="1" x14ac:dyDescent="0.2">
      <c r="A98" s="22">
        <f>ROWS(A90:B96)+9</f>
        <v>16</v>
      </c>
      <c r="B98" s="17"/>
      <c r="C98" s="17"/>
      <c r="D98" s="17"/>
      <c r="E98" s="17"/>
      <c r="F98" s="17"/>
      <c r="G98" s="17"/>
      <c r="H98" s="17"/>
      <c r="I98" s="17"/>
      <c r="J98" s="17"/>
    </row>
    <row r="99" spans="1:10" ht="28" customHeight="1" x14ac:dyDescent="0.2">
      <c r="A99" s="120" t="s">
        <v>40</v>
      </c>
      <c r="B99" s="120"/>
      <c r="C99" s="21">
        <f ca="1">INDIRECT(_xlfn.TEXTJOIN("",TRUE,A101,"!",ADDRESS(5+A102*A98,12)))</f>
        <v>0</v>
      </c>
      <c r="D99" s="120" t="s">
        <v>38</v>
      </c>
      <c r="E99" s="120"/>
      <c r="F99" s="18" t="e">
        <f ca="1">INDIRECT(_xlfn.TEXTJOIN("",TRUE,A101,"!",ADDRESS(5+A102*A98,8)))</f>
        <v>#N/A</v>
      </c>
      <c r="G99" s="120" t="s">
        <v>39</v>
      </c>
      <c r="H99" s="120"/>
      <c r="I99" s="109" t="e">
        <f ca="1">INDIRECT(_xlfn.TEXTJOIN("",TRUE,A101,"!",ADDRESS(5+A102*A98,10)))</f>
        <v>#N/A</v>
      </c>
      <c r="J99" s="109"/>
    </row>
    <row r="100" spans="1:10" ht="28" customHeight="1" x14ac:dyDescent="0.2">
      <c r="A100" s="19" t="s">
        <v>36</v>
      </c>
      <c r="B100" s="95" t="e">
        <f ca="1">INDIRECT(_xlfn.TEXTJOIN("",TRUE,A101,"!",ADDRESS(5+A102*A98,2)))</f>
        <v>#N/A</v>
      </c>
      <c r="C100" s="95"/>
      <c r="D100" s="121" t="s">
        <v>37</v>
      </c>
      <c r="E100" s="121"/>
      <c r="F100" s="122" t="e">
        <f ca="1">INDIRECT(_xlfn.TEXTJOIN("",TRUE,A101,"!",ADDRESS(5+A102*A98,5)))</f>
        <v>#N/A</v>
      </c>
      <c r="G100" s="122"/>
      <c r="H100" s="122"/>
      <c r="I100" s="122"/>
      <c r="J100" s="122"/>
    </row>
    <row r="101" spans="1:10" ht="28" customHeight="1" x14ac:dyDescent="0.2">
      <c r="A101" s="22" t="str">
        <f>A85</f>
        <v>TC_IV</v>
      </c>
    </row>
    <row r="102" spans="1:10" ht="28" customHeight="1" x14ac:dyDescent="0.2">
      <c r="A102" s="22">
        <f>A86+1</f>
        <v>6</v>
      </c>
    </row>
    <row r="103" spans="1:10" ht="28" customHeight="1" x14ac:dyDescent="0.2">
      <c r="A103" s="112" t="s">
        <v>24</v>
      </c>
      <c r="B103" s="112"/>
      <c r="C103" s="112" t="str">
        <f ca="1">INDIRECT(_xlfn.TEXTJOIN("",TRUE,A117,"!",ADDRESS(9+(A118-1)*A114,2)))</f>
        <v>AYUSH MAURYA</v>
      </c>
      <c r="D103" s="112"/>
      <c r="E103" s="112"/>
      <c r="F103" s="112" t="s">
        <v>50</v>
      </c>
      <c r="G103" s="112"/>
      <c r="H103" s="112"/>
      <c r="I103" s="113">
        <f ca="1">INDIRECT(_xlfn.TEXTJOIN("",TRUE,A117,"!",ADDRESS(9+(A118-1)*A114,9)))</f>
        <v>240090600007</v>
      </c>
      <c r="J103" s="113"/>
    </row>
    <row r="104" spans="1:10" ht="28" customHeight="1" x14ac:dyDescent="0.2">
      <c r="A104" s="112" t="s">
        <v>25</v>
      </c>
      <c r="B104" s="112"/>
      <c r="C104" s="112" t="str">
        <f ca="1">INDIRECT(_xlfn.TEXTJOIN("",TRUE,A117,"!",ADDRESS(9+(A118-1)*A114,5)))</f>
        <v>BABU RAM</v>
      </c>
      <c r="D104" s="112"/>
      <c r="E104" s="112"/>
      <c r="F104" s="114" t="s">
        <v>51</v>
      </c>
      <c r="G104" s="114"/>
      <c r="H104" s="114"/>
      <c r="I104" s="113" t="str">
        <f ca="1">INDIRECT(_xlfn.TEXTJOIN("",TRUE,A117,"!",ADDRESS(9+(A118-1)*A114,13)))</f>
        <v>UTU/2406100174</v>
      </c>
      <c r="J104" s="113"/>
    </row>
    <row r="105" spans="1:10" ht="28" customHeight="1" x14ac:dyDescent="0.2">
      <c r="A105" s="95" t="s">
        <v>28</v>
      </c>
      <c r="B105" s="95"/>
      <c r="C105" s="95" t="s">
        <v>29</v>
      </c>
      <c r="D105" s="95"/>
      <c r="E105" s="95"/>
      <c r="F105" s="95"/>
      <c r="G105" s="95"/>
      <c r="H105" s="15" t="s">
        <v>30</v>
      </c>
      <c r="I105" s="15" t="s">
        <v>9</v>
      </c>
      <c r="J105" s="15" t="s">
        <v>34</v>
      </c>
    </row>
    <row r="106" spans="1:10" ht="28" customHeight="1" x14ac:dyDescent="0.2">
      <c r="A106" s="96" t="str">
        <f ca="1">INDIRECT(_xlfn.TEXTJOIN("",TRUE,A117,"!",ADDRESS(13+(A118-1)*A114,1)))</f>
        <v>CAT 022</v>
      </c>
      <c r="B106" s="97"/>
      <c r="C106" s="106" t="str">
        <f ca="1">INDIRECT(_xlfn.TEXTJOIN("",TRUE,A117,"!",ADDRESS(13+(A118-1)*A114,2)))</f>
        <v>Network Security</v>
      </c>
      <c r="D106" s="107"/>
      <c r="E106" s="107"/>
      <c r="F106" s="107"/>
      <c r="G106" s="108"/>
      <c r="H106" s="20">
        <f ca="1">INDIRECT(_xlfn.TEXTJOIN("",TRUE,A117,"!",ADDRESS(13+(A118-1)*A114,6)))</f>
        <v>4</v>
      </c>
      <c r="I106" s="20" t="str">
        <f ca="1">INDIRECT(_xlfn.TEXTJOIN("",TRUE,A117,"!",ADDRESS(13+(A118-1)*A114,13)))</f>
        <v>F</v>
      </c>
      <c r="J106" s="20">
        <f ca="1">INDIRECT(_xlfn.TEXTJOIN("",TRUE,A117,"!",ADDRESS(13+(A118-1)*A114,14)))</f>
        <v>0</v>
      </c>
    </row>
    <row r="107" spans="1:10" ht="28" customHeight="1" x14ac:dyDescent="0.2">
      <c r="A107" s="96" t="str">
        <f ca="1">INDIRECT(_xlfn.TEXTJOIN("",TRUE,A117,"!",ADDRESS(14+(A118-1)*A114,1)))</f>
        <v>Enroll No.</v>
      </c>
      <c r="B107" s="97"/>
      <c r="C107" s="106">
        <f ca="1">INDIRECT(_xlfn.TEXTJOIN("",TRUE,A117,"!",ADDRESS(14+(A118-1)*A114,2)))</f>
        <v>0</v>
      </c>
      <c r="D107" s="107"/>
      <c r="E107" s="107"/>
      <c r="F107" s="107"/>
      <c r="G107" s="108"/>
      <c r="H107" s="20">
        <f ca="1">INDIRECT(_xlfn.TEXTJOIN("",TRUE,A117,"!",ADDRESS(14+(A118-1)*A114,6)))</f>
        <v>0</v>
      </c>
      <c r="I107" s="20" t="b">
        <f ca="1">INDIRECT(_xlfn.TEXTJOIN("",TRUE,A117,"!",ADDRESS(14+(A118-1)*A114,13)))</f>
        <v>0</v>
      </c>
      <c r="J107" s="20" t="e">
        <f ca="1">INDIRECT(_xlfn.TEXTJOIN("",TRUE,A117,"!",ADDRESS(14+(A118-1)*A114,14)))</f>
        <v>#N/A</v>
      </c>
    </row>
    <row r="108" spans="1:10" ht="28" customHeight="1" x14ac:dyDescent="0.2">
      <c r="A108" s="96" t="str">
        <f ca="1">INDIRECT(_xlfn.TEXTJOIN("",TRUE,A117,"!",ADDRESS(15+(A118-1)*A114,1)))</f>
        <v>CAT 030</v>
      </c>
      <c r="B108" s="97"/>
      <c r="C108" s="106" t="str">
        <f ca="1">INDIRECT(_xlfn.TEXTJOIN("",TRUE,A117,"!",ADDRESS(15+(A118-1)*A114,2)))</f>
        <v>Software Testing &amp; Quality Assurance</v>
      </c>
      <c r="D108" s="107"/>
      <c r="E108" s="107"/>
      <c r="F108" s="107"/>
      <c r="G108" s="108"/>
      <c r="H108" s="20">
        <f ca="1">INDIRECT(_xlfn.TEXTJOIN("",TRUE,A117,"!",ADDRESS(15+(A118-1)*A114,6)))</f>
        <v>4</v>
      </c>
      <c r="I108" s="20" t="str">
        <f ca="1">INDIRECT(_xlfn.TEXTJOIN("",TRUE,A117,"!",ADDRESS(15+(A118-1)*A114,13)))</f>
        <v>F</v>
      </c>
      <c r="J108" s="20">
        <f ca="1">INDIRECT(_xlfn.TEXTJOIN("",TRUE,A117,"!",ADDRESS(15+(A118-1)*A114,14)))</f>
        <v>0</v>
      </c>
    </row>
    <row r="109" spans="1:10" ht="28" customHeight="1" x14ac:dyDescent="0.2">
      <c r="A109" s="96" t="str">
        <f ca="1">INDIRECT(_xlfn.TEXTJOIN("",TRUE,A117,"!",ADDRESS(16+(A118-1)*A114,1)))</f>
        <v>Enroll No.</v>
      </c>
      <c r="B109" s="97"/>
      <c r="C109" s="106">
        <f ca="1">INDIRECT(_xlfn.TEXTJOIN("",TRUE,A117,"!",ADDRESS(16+(A118-1)*A114,2)))</f>
        <v>0</v>
      </c>
      <c r="D109" s="107"/>
      <c r="E109" s="107"/>
      <c r="F109" s="107"/>
      <c r="G109" s="108"/>
      <c r="H109" s="20">
        <f ca="1">INDIRECT(_xlfn.TEXTJOIN("",TRUE,A117,"!",ADDRESS(16+(A118-1)*A114,6)))</f>
        <v>0</v>
      </c>
      <c r="I109" s="20" t="b">
        <f ca="1">INDIRECT(_xlfn.TEXTJOIN("",TRUE,A117,"!",ADDRESS(16+(A118-1)*A114,13)))</f>
        <v>0</v>
      </c>
      <c r="J109" s="20" t="e">
        <f ca="1">INDIRECT(_xlfn.TEXTJOIN("",TRUE,A117,"!",ADDRESS(16+(A118-1)*A114,14)))</f>
        <v>#N/A</v>
      </c>
    </row>
    <row r="110" spans="1:10" ht="28" customHeight="1" x14ac:dyDescent="0.2">
      <c r="A110" s="96" t="str">
        <f ca="1">INDIRECT(_xlfn.TEXTJOIN("",TRUE,A117,"!",ADDRESS(17+(A118-1)*A114,1)))</f>
        <v>CAP 011</v>
      </c>
      <c r="B110" s="97"/>
      <c r="C110" s="106" t="str">
        <f ca="1">INDIRECT(_xlfn.TEXTJOIN("",TRUE,A117,"!",ADDRESS(17+(A118-1)*A114,2)))</f>
        <v>Network Security Lab</v>
      </c>
      <c r="D110" s="107"/>
      <c r="E110" s="107"/>
      <c r="F110" s="107"/>
      <c r="G110" s="108"/>
      <c r="H110" s="20">
        <f ca="1">INDIRECT(_xlfn.TEXTJOIN("",TRUE,A117,"!",ADDRESS(17+(A118-1)*A114,6)))</f>
        <v>1</v>
      </c>
      <c r="I110" s="20" t="str">
        <f ca="1">INDIRECT(_xlfn.TEXTJOIN("",TRUE,A117,"!",ADDRESS(17+(A118-1)*A114,13)))</f>
        <v>F</v>
      </c>
      <c r="J110" s="20">
        <f ca="1">INDIRECT(_xlfn.TEXTJOIN("",TRUE,A117,"!",ADDRESS(17+(A118-1)*A114,14)))</f>
        <v>0</v>
      </c>
    </row>
    <row r="111" spans="1:10" ht="28" customHeight="1" x14ac:dyDescent="0.2">
      <c r="A111" s="96" t="str">
        <f ca="1">INDIRECT(_xlfn.TEXTJOIN("",TRUE,A117,"!",ADDRESS(18+(A118-1)*A114,1)))</f>
        <v>Enroll No.</v>
      </c>
      <c r="B111" s="97"/>
      <c r="C111" s="106">
        <f ca="1">INDIRECT(_xlfn.TEXTJOIN("",TRUE,A117,"!",ADDRESS(18+(A118-1)*A114,2)))</f>
        <v>0</v>
      </c>
      <c r="D111" s="107"/>
      <c r="E111" s="107"/>
      <c r="F111" s="107"/>
      <c r="G111" s="108"/>
      <c r="H111" s="20">
        <f ca="1">INDIRECT(_xlfn.TEXTJOIN("",TRUE,A117,"!",ADDRESS(18+(A118-1)*A114,6)))</f>
        <v>0</v>
      </c>
      <c r="I111" s="20" t="b">
        <f ca="1">INDIRECT(_xlfn.TEXTJOIN("",TRUE,A117,"!",ADDRESS(18+(A118-1)*A114,13)))</f>
        <v>0</v>
      </c>
      <c r="J111" s="20" t="e">
        <f ca="1">INDIRECT(_xlfn.TEXTJOIN("",TRUE,A117,"!",ADDRESS(18+(A118-1)*A114,14)))</f>
        <v>#N/A</v>
      </c>
    </row>
    <row r="112" spans="1:10" ht="28" customHeight="1" x14ac:dyDescent="0.2">
      <c r="A112" s="96" t="str">
        <f ca="1">INDIRECT(_xlfn.TEXTJOIN("",TRUE,A117,"!",ADDRESS(19+(A118-1)*A114,1)))</f>
        <v>CAP 013</v>
      </c>
      <c r="B112" s="97"/>
      <c r="C112" s="106" t="str">
        <f ca="1">INDIRECT(_xlfn.TEXTJOIN("",TRUE,A117,"!",ADDRESS(19+(A118-1)*A114,2)))</f>
        <v>Major Project</v>
      </c>
      <c r="D112" s="107"/>
      <c r="E112" s="107"/>
      <c r="F112" s="107"/>
      <c r="G112" s="108"/>
      <c r="H112" s="20">
        <f ca="1">INDIRECT(_xlfn.TEXTJOIN("",TRUE,A117,"!",ADDRESS(19+(A118-1)*A114,6)))</f>
        <v>6</v>
      </c>
      <c r="I112" s="20" t="str">
        <f ca="1">INDIRECT(_xlfn.TEXTJOIN("",TRUE,A117,"!",ADDRESS(19+(A118-1)*A114,13)))</f>
        <v>F</v>
      </c>
      <c r="J112" s="20">
        <f ca="1">INDIRECT(_xlfn.TEXTJOIN("",TRUE,A117,"!",ADDRESS(19+(A118-1)*A114,14)))</f>
        <v>0</v>
      </c>
    </row>
    <row r="113" spans="1:10" ht="28" customHeight="1" x14ac:dyDescent="0.2">
      <c r="A113" s="118" t="s">
        <v>52</v>
      </c>
      <c r="B113" s="118"/>
      <c r="C113" s="118"/>
      <c r="D113" s="118"/>
      <c r="E113" s="118"/>
      <c r="F113" s="118"/>
      <c r="G113" s="118"/>
      <c r="H113" s="16">
        <f ca="1">SUM(H106:H112)</f>
        <v>15</v>
      </c>
      <c r="I113" s="16" t="s">
        <v>44</v>
      </c>
      <c r="J113" s="16" t="e">
        <f ca="1">SUMPRODUCT(J106:J112,H106:H112)</f>
        <v>#N/A</v>
      </c>
    </row>
    <row r="114" spans="1:10" ht="28" customHeight="1" x14ac:dyDescent="0.2">
      <c r="A114" s="22">
        <f>ROWS(A106:B112)+9</f>
        <v>16</v>
      </c>
      <c r="B114" s="17"/>
      <c r="C114" s="17"/>
      <c r="D114" s="17"/>
      <c r="E114" s="17"/>
      <c r="F114" s="17"/>
      <c r="G114" s="17"/>
      <c r="H114" s="17"/>
      <c r="I114" s="17"/>
      <c r="J114" s="17"/>
    </row>
    <row r="115" spans="1:10" ht="28" customHeight="1" x14ac:dyDescent="0.2">
      <c r="A115" s="120" t="s">
        <v>40</v>
      </c>
      <c r="B115" s="120"/>
      <c r="C115" s="21">
        <f ca="1">INDIRECT(_xlfn.TEXTJOIN("",TRUE,A117,"!",ADDRESS(5+A118*A114,12)))</f>
        <v>0</v>
      </c>
      <c r="D115" s="120" t="s">
        <v>38</v>
      </c>
      <c r="E115" s="120"/>
      <c r="F115" s="18" t="e">
        <f ca="1">INDIRECT(_xlfn.TEXTJOIN("",TRUE,A117,"!",ADDRESS(5+A118*A114,8)))</f>
        <v>#N/A</v>
      </c>
      <c r="G115" s="120" t="s">
        <v>39</v>
      </c>
      <c r="H115" s="120"/>
      <c r="I115" s="109" t="e">
        <f ca="1">INDIRECT(_xlfn.TEXTJOIN("",TRUE,A117,"!",ADDRESS(5+A118*A114,10)))</f>
        <v>#N/A</v>
      </c>
      <c r="J115" s="109"/>
    </row>
    <row r="116" spans="1:10" ht="28" customHeight="1" x14ac:dyDescent="0.2">
      <c r="A116" s="19" t="s">
        <v>36</v>
      </c>
      <c r="B116" s="95" t="e">
        <f ca="1">INDIRECT(_xlfn.TEXTJOIN("",TRUE,A117,"!",ADDRESS(5+A118*A114,2)))</f>
        <v>#N/A</v>
      </c>
      <c r="C116" s="95"/>
      <c r="D116" s="121" t="s">
        <v>37</v>
      </c>
      <c r="E116" s="121"/>
      <c r="F116" s="122" t="e">
        <f ca="1">INDIRECT(_xlfn.TEXTJOIN("",TRUE,A117,"!",ADDRESS(5+A118*A114,5)))</f>
        <v>#N/A</v>
      </c>
      <c r="G116" s="122"/>
      <c r="H116" s="122"/>
      <c r="I116" s="122"/>
      <c r="J116" s="122"/>
    </row>
    <row r="117" spans="1:10" ht="28" customHeight="1" x14ac:dyDescent="0.2">
      <c r="A117" s="22" t="str">
        <f>A101</f>
        <v>TC_IV</v>
      </c>
    </row>
    <row r="118" spans="1:10" ht="28" customHeight="1" x14ac:dyDescent="0.2">
      <c r="A118" s="22">
        <f>A102+1</f>
        <v>7</v>
      </c>
    </row>
    <row r="119" spans="1:10" ht="28" customHeight="1" x14ac:dyDescent="0.2">
      <c r="A119" s="112" t="s">
        <v>24</v>
      </c>
      <c r="B119" s="112"/>
      <c r="C119" s="112" t="str">
        <f ca="1">INDIRECT(_xlfn.TEXTJOIN("",TRUE,A133,"!",ADDRESS(9+(A134-1)*A130,2)))</f>
        <v>AYUSH RAWAT</v>
      </c>
      <c r="D119" s="112"/>
      <c r="E119" s="112"/>
      <c r="F119" s="112" t="s">
        <v>50</v>
      </c>
      <c r="G119" s="112"/>
      <c r="H119" s="112"/>
      <c r="I119" s="113">
        <f ca="1">INDIRECT(_xlfn.TEXTJOIN("",TRUE,A133,"!",ADDRESS(9+(A134-1)*A130,9)))</f>
        <v>240090600008</v>
      </c>
      <c r="J119" s="113"/>
    </row>
    <row r="120" spans="1:10" ht="28" customHeight="1" x14ac:dyDescent="0.2">
      <c r="A120" s="112" t="s">
        <v>25</v>
      </c>
      <c r="B120" s="112"/>
      <c r="C120" s="112" t="str">
        <f ca="1">INDIRECT(_xlfn.TEXTJOIN("",TRUE,A133,"!",ADDRESS(9+(A134-1)*A130,5)))</f>
        <v>MUKESH RAWAT</v>
      </c>
      <c r="D120" s="112"/>
      <c r="E120" s="112"/>
      <c r="F120" s="114" t="s">
        <v>51</v>
      </c>
      <c r="G120" s="114"/>
      <c r="H120" s="114"/>
      <c r="I120" s="113" t="str">
        <f ca="1">INDIRECT(_xlfn.TEXTJOIN("",TRUE,A133,"!",ADDRESS(9+(A134-1)*A130,13)))</f>
        <v>UTU/2406100183</v>
      </c>
      <c r="J120" s="113"/>
    </row>
    <row r="121" spans="1:10" ht="28" customHeight="1" x14ac:dyDescent="0.2">
      <c r="A121" s="95" t="s">
        <v>28</v>
      </c>
      <c r="B121" s="95"/>
      <c r="C121" s="95" t="s">
        <v>29</v>
      </c>
      <c r="D121" s="95"/>
      <c r="E121" s="95"/>
      <c r="F121" s="95"/>
      <c r="G121" s="95"/>
      <c r="H121" s="15" t="s">
        <v>30</v>
      </c>
      <c r="I121" s="15" t="s">
        <v>9</v>
      </c>
      <c r="J121" s="15" t="s">
        <v>34</v>
      </c>
    </row>
    <row r="122" spans="1:10" ht="28" customHeight="1" x14ac:dyDescent="0.2">
      <c r="A122" s="96" t="str">
        <f ca="1">INDIRECT(_xlfn.TEXTJOIN("",TRUE,A133,"!",ADDRESS(13+(A134-1)*A130,1)))</f>
        <v>CAT 022</v>
      </c>
      <c r="B122" s="97"/>
      <c r="C122" s="106" t="str">
        <f ca="1">INDIRECT(_xlfn.TEXTJOIN("",TRUE,A133,"!",ADDRESS(13+(A134-1)*A130,2)))</f>
        <v>Network Security</v>
      </c>
      <c r="D122" s="107"/>
      <c r="E122" s="107"/>
      <c r="F122" s="107"/>
      <c r="G122" s="108"/>
      <c r="H122" s="20">
        <f ca="1">INDIRECT(_xlfn.TEXTJOIN("",TRUE,A133,"!",ADDRESS(13+(A134-1)*A130,6)))</f>
        <v>4</v>
      </c>
      <c r="I122" s="20" t="str">
        <f ca="1">INDIRECT(_xlfn.TEXTJOIN("",TRUE,A133,"!",ADDRESS(13+(A134-1)*A130,13)))</f>
        <v>F</v>
      </c>
      <c r="J122" s="20">
        <f ca="1">INDIRECT(_xlfn.TEXTJOIN("",TRUE,A133,"!",ADDRESS(13+(A134-1)*A130,14)))</f>
        <v>0</v>
      </c>
    </row>
    <row r="123" spans="1:10" ht="28" customHeight="1" x14ac:dyDescent="0.2">
      <c r="A123" s="96" t="str">
        <f ca="1">INDIRECT(_xlfn.TEXTJOIN("",TRUE,A133,"!",ADDRESS(14+(A134-1)*A130,1)))</f>
        <v>Enroll No.</v>
      </c>
      <c r="B123" s="97"/>
      <c r="C123" s="106">
        <f ca="1">INDIRECT(_xlfn.TEXTJOIN("",TRUE,A133,"!",ADDRESS(14+(A134-1)*A130,2)))</f>
        <v>0</v>
      </c>
      <c r="D123" s="107"/>
      <c r="E123" s="107"/>
      <c r="F123" s="107"/>
      <c r="G123" s="108"/>
      <c r="H123" s="20">
        <f ca="1">INDIRECT(_xlfn.TEXTJOIN("",TRUE,A133,"!",ADDRESS(14+(A134-1)*A130,6)))</f>
        <v>0</v>
      </c>
      <c r="I123" s="20" t="b">
        <f ca="1">INDIRECT(_xlfn.TEXTJOIN("",TRUE,A133,"!",ADDRESS(14+(A134-1)*A130,13)))</f>
        <v>0</v>
      </c>
      <c r="J123" s="20" t="e">
        <f ca="1">INDIRECT(_xlfn.TEXTJOIN("",TRUE,A133,"!",ADDRESS(14+(A134-1)*A130,14)))</f>
        <v>#N/A</v>
      </c>
    </row>
    <row r="124" spans="1:10" ht="28" customHeight="1" x14ac:dyDescent="0.2">
      <c r="A124" s="96" t="str">
        <f ca="1">INDIRECT(_xlfn.TEXTJOIN("",TRUE,A133,"!",ADDRESS(15+(A134-1)*A130,1)))</f>
        <v>CAT 030</v>
      </c>
      <c r="B124" s="97"/>
      <c r="C124" s="106" t="str">
        <f ca="1">INDIRECT(_xlfn.TEXTJOIN("",TRUE,A133,"!",ADDRESS(15+(A134-1)*A130,2)))</f>
        <v>Software Testing &amp; Quality Assurance</v>
      </c>
      <c r="D124" s="107"/>
      <c r="E124" s="107"/>
      <c r="F124" s="107"/>
      <c r="G124" s="108"/>
      <c r="H124" s="20">
        <f ca="1">INDIRECT(_xlfn.TEXTJOIN("",TRUE,A133,"!",ADDRESS(15+(A134-1)*A130,6)))</f>
        <v>4</v>
      </c>
      <c r="I124" s="20" t="str">
        <f ca="1">INDIRECT(_xlfn.TEXTJOIN("",TRUE,A133,"!",ADDRESS(15+(A134-1)*A130,13)))</f>
        <v>F</v>
      </c>
      <c r="J124" s="20">
        <f ca="1">INDIRECT(_xlfn.TEXTJOIN("",TRUE,A133,"!",ADDRESS(15+(A134-1)*A130,14)))</f>
        <v>0</v>
      </c>
    </row>
    <row r="125" spans="1:10" ht="28" customHeight="1" x14ac:dyDescent="0.2">
      <c r="A125" s="96" t="str">
        <f ca="1">INDIRECT(_xlfn.TEXTJOIN("",TRUE,A133,"!",ADDRESS(16+(A134-1)*A130,1)))</f>
        <v>Enroll No.</v>
      </c>
      <c r="B125" s="97"/>
      <c r="C125" s="106">
        <f ca="1">INDIRECT(_xlfn.TEXTJOIN("",TRUE,A133,"!",ADDRESS(16+(A134-1)*A130,2)))</f>
        <v>0</v>
      </c>
      <c r="D125" s="107"/>
      <c r="E125" s="107"/>
      <c r="F125" s="107"/>
      <c r="G125" s="108"/>
      <c r="H125" s="20">
        <f ca="1">INDIRECT(_xlfn.TEXTJOIN("",TRUE,A133,"!",ADDRESS(16+(A134-1)*A130,6)))</f>
        <v>0</v>
      </c>
      <c r="I125" s="20" t="b">
        <f ca="1">INDIRECT(_xlfn.TEXTJOIN("",TRUE,A133,"!",ADDRESS(16+(A134-1)*A130,13)))</f>
        <v>0</v>
      </c>
      <c r="J125" s="20" t="e">
        <f ca="1">INDIRECT(_xlfn.TEXTJOIN("",TRUE,A133,"!",ADDRESS(16+(A134-1)*A130,14)))</f>
        <v>#N/A</v>
      </c>
    </row>
    <row r="126" spans="1:10" ht="28" customHeight="1" x14ac:dyDescent="0.2">
      <c r="A126" s="96" t="str">
        <f ca="1">INDIRECT(_xlfn.TEXTJOIN("",TRUE,A133,"!",ADDRESS(17+(A134-1)*A130,1)))</f>
        <v>CAP 011</v>
      </c>
      <c r="B126" s="97"/>
      <c r="C126" s="106" t="str">
        <f ca="1">INDIRECT(_xlfn.TEXTJOIN("",TRUE,A133,"!",ADDRESS(17+(A134-1)*A130,2)))</f>
        <v>Network Security Lab</v>
      </c>
      <c r="D126" s="107"/>
      <c r="E126" s="107"/>
      <c r="F126" s="107"/>
      <c r="G126" s="108"/>
      <c r="H126" s="20">
        <f ca="1">INDIRECT(_xlfn.TEXTJOIN("",TRUE,A133,"!",ADDRESS(17+(A134-1)*A130,6)))</f>
        <v>1</v>
      </c>
      <c r="I126" s="20" t="str">
        <f ca="1">INDIRECT(_xlfn.TEXTJOIN("",TRUE,A133,"!",ADDRESS(17+(A134-1)*A130,13)))</f>
        <v>F</v>
      </c>
      <c r="J126" s="20">
        <f ca="1">INDIRECT(_xlfn.TEXTJOIN("",TRUE,A133,"!",ADDRESS(17+(A134-1)*A130,14)))</f>
        <v>0</v>
      </c>
    </row>
    <row r="127" spans="1:10" ht="28" customHeight="1" x14ac:dyDescent="0.2">
      <c r="A127" s="96" t="str">
        <f ca="1">INDIRECT(_xlfn.TEXTJOIN("",TRUE,A133,"!",ADDRESS(18+(A134-1)*A130,1)))</f>
        <v>Enroll No.</v>
      </c>
      <c r="B127" s="97"/>
      <c r="C127" s="106">
        <f ca="1">INDIRECT(_xlfn.TEXTJOIN("",TRUE,A133,"!",ADDRESS(18+(A134-1)*A130,2)))</f>
        <v>0</v>
      </c>
      <c r="D127" s="107"/>
      <c r="E127" s="107"/>
      <c r="F127" s="107"/>
      <c r="G127" s="108"/>
      <c r="H127" s="20">
        <f ca="1">INDIRECT(_xlfn.TEXTJOIN("",TRUE,A133,"!",ADDRESS(18+(A134-1)*A130,6)))</f>
        <v>0</v>
      </c>
      <c r="I127" s="20" t="b">
        <f ca="1">INDIRECT(_xlfn.TEXTJOIN("",TRUE,A133,"!",ADDRESS(18+(A134-1)*A130,13)))</f>
        <v>0</v>
      </c>
      <c r="J127" s="20" t="e">
        <f ca="1">INDIRECT(_xlfn.TEXTJOIN("",TRUE,A133,"!",ADDRESS(18+(A134-1)*A130,14)))</f>
        <v>#N/A</v>
      </c>
    </row>
    <row r="128" spans="1:10" ht="28" customHeight="1" x14ac:dyDescent="0.2">
      <c r="A128" s="96" t="str">
        <f ca="1">INDIRECT(_xlfn.TEXTJOIN("",TRUE,A133,"!",ADDRESS(19+(A134-1)*A130,1)))</f>
        <v>CAP 013</v>
      </c>
      <c r="B128" s="97"/>
      <c r="C128" s="106" t="str">
        <f ca="1">INDIRECT(_xlfn.TEXTJOIN("",TRUE,A133,"!",ADDRESS(19+(A134-1)*A130,2)))</f>
        <v>Major Project</v>
      </c>
      <c r="D128" s="107"/>
      <c r="E128" s="107"/>
      <c r="F128" s="107"/>
      <c r="G128" s="108"/>
      <c r="H128" s="20">
        <f ca="1">INDIRECT(_xlfn.TEXTJOIN("",TRUE,A133,"!",ADDRESS(19+(A134-1)*A130,6)))</f>
        <v>6</v>
      </c>
      <c r="I128" s="20" t="str">
        <f ca="1">INDIRECT(_xlfn.TEXTJOIN("",TRUE,A133,"!",ADDRESS(19+(A134-1)*A130,13)))</f>
        <v>F</v>
      </c>
      <c r="J128" s="20">
        <f ca="1">INDIRECT(_xlfn.TEXTJOIN("",TRUE,A133,"!",ADDRESS(19+(A134-1)*A130,14)))</f>
        <v>0</v>
      </c>
    </row>
    <row r="129" spans="1:10" ht="28" customHeight="1" x14ac:dyDescent="0.2">
      <c r="A129" s="118" t="s">
        <v>52</v>
      </c>
      <c r="B129" s="118"/>
      <c r="C129" s="118"/>
      <c r="D129" s="118"/>
      <c r="E129" s="118"/>
      <c r="F129" s="118"/>
      <c r="G129" s="118"/>
      <c r="H129" s="16">
        <f ca="1">SUM(H122:H128)</f>
        <v>15</v>
      </c>
      <c r="I129" s="16" t="s">
        <v>44</v>
      </c>
      <c r="J129" s="16" t="e">
        <f ca="1">SUMPRODUCT(J122:J128,H122:H128)</f>
        <v>#N/A</v>
      </c>
    </row>
    <row r="130" spans="1:10" ht="28" customHeight="1" x14ac:dyDescent="0.2">
      <c r="A130" s="22">
        <f>ROWS(A122:B128)+9</f>
        <v>16</v>
      </c>
      <c r="B130" s="17"/>
      <c r="C130" s="17"/>
      <c r="D130" s="17"/>
      <c r="E130" s="17"/>
      <c r="F130" s="17"/>
      <c r="G130" s="17"/>
      <c r="H130" s="17"/>
      <c r="I130" s="17"/>
      <c r="J130" s="17"/>
    </row>
    <row r="131" spans="1:10" ht="28" customHeight="1" x14ac:dyDescent="0.2">
      <c r="A131" s="120" t="s">
        <v>40</v>
      </c>
      <c r="B131" s="120"/>
      <c r="C131" s="21">
        <f ca="1">INDIRECT(_xlfn.TEXTJOIN("",TRUE,A133,"!",ADDRESS(5+A134*A130,12)))</f>
        <v>0</v>
      </c>
      <c r="D131" s="120" t="s">
        <v>38</v>
      </c>
      <c r="E131" s="120"/>
      <c r="F131" s="18" t="e">
        <f ca="1">INDIRECT(_xlfn.TEXTJOIN("",TRUE,A133,"!",ADDRESS(5+A134*A130,8)))</f>
        <v>#N/A</v>
      </c>
      <c r="G131" s="120" t="s">
        <v>39</v>
      </c>
      <c r="H131" s="120"/>
      <c r="I131" s="109" t="e">
        <f ca="1">INDIRECT(_xlfn.TEXTJOIN("",TRUE,A133,"!",ADDRESS(5+A134*A130,10)))</f>
        <v>#N/A</v>
      </c>
      <c r="J131" s="109"/>
    </row>
    <row r="132" spans="1:10" ht="28" customHeight="1" x14ac:dyDescent="0.2">
      <c r="A132" s="19" t="s">
        <v>36</v>
      </c>
      <c r="B132" s="95" t="e">
        <f ca="1">INDIRECT(_xlfn.TEXTJOIN("",TRUE,A133,"!",ADDRESS(5+A134*A130,2)))</f>
        <v>#N/A</v>
      </c>
      <c r="C132" s="95"/>
      <c r="D132" s="121" t="s">
        <v>37</v>
      </c>
      <c r="E132" s="121"/>
      <c r="F132" s="122" t="e">
        <f ca="1">INDIRECT(_xlfn.TEXTJOIN("",TRUE,A133,"!",ADDRESS(5+A134*A130,5)))</f>
        <v>#N/A</v>
      </c>
      <c r="G132" s="122"/>
      <c r="H132" s="122"/>
      <c r="I132" s="122"/>
      <c r="J132" s="122"/>
    </row>
    <row r="133" spans="1:10" ht="28" customHeight="1" x14ac:dyDescent="0.2">
      <c r="A133" s="22" t="str">
        <f>A117</f>
        <v>TC_IV</v>
      </c>
    </row>
    <row r="134" spans="1:10" ht="28" customHeight="1" x14ac:dyDescent="0.2">
      <c r="A134" s="22">
        <f>A118+1</f>
        <v>8</v>
      </c>
    </row>
    <row r="135" spans="1:10" ht="28" customHeight="1" x14ac:dyDescent="0.2">
      <c r="A135" s="112" t="s">
        <v>24</v>
      </c>
      <c r="B135" s="112"/>
      <c r="C135" s="112" t="str">
        <f ca="1">INDIRECT(_xlfn.TEXTJOIN("",TRUE,A149,"!",ADDRESS(9+(A150-1)*A146,2)))</f>
        <v>CHIRAG KASHYAP</v>
      </c>
      <c r="D135" s="112"/>
      <c r="E135" s="112"/>
      <c r="F135" s="112" t="s">
        <v>50</v>
      </c>
      <c r="G135" s="112"/>
      <c r="H135" s="112"/>
      <c r="I135" s="113">
        <f ca="1">INDIRECT(_xlfn.TEXTJOIN("",TRUE,A149,"!",ADDRESS(9+(A150-1)*A146,9)))</f>
        <v>240090600009</v>
      </c>
      <c r="J135" s="113"/>
    </row>
    <row r="136" spans="1:10" ht="28" customHeight="1" x14ac:dyDescent="0.2">
      <c r="A136" s="112" t="s">
        <v>25</v>
      </c>
      <c r="B136" s="112"/>
      <c r="C136" s="112" t="str">
        <f ca="1">INDIRECT(_xlfn.TEXTJOIN("",TRUE,A149,"!",ADDRESS(9+(A150-1)*A146,5)))</f>
        <v>NARENDRA SINGH</v>
      </c>
      <c r="D136" s="112"/>
      <c r="E136" s="112"/>
      <c r="F136" s="114" t="s">
        <v>51</v>
      </c>
      <c r="G136" s="114"/>
      <c r="H136" s="114"/>
      <c r="I136" s="113" t="str">
        <f ca="1">INDIRECT(_xlfn.TEXTJOIN("",TRUE,A149,"!",ADDRESS(9+(A150-1)*A146,13)))</f>
        <v>UTU/2406100172</v>
      </c>
      <c r="J136" s="113"/>
    </row>
    <row r="137" spans="1:10" ht="28" customHeight="1" x14ac:dyDescent="0.2">
      <c r="A137" s="95" t="s">
        <v>28</v>
      </c>
      <c r="B137" s="95"/>
      <c r="C137" s="95" t="s">
        <v>29</v>
      </c>
      <c r="D137" s="95"/>
      <c r="E137" s="95"/>
      <c r="F137" s="95"/>
      <c r="G137" s="95"/>
      <c r="H137" s="15" t="s">
        <v>30</v>
      </c>
      <c r="I137" s="15" t="s">
        <v>9</v>
      </c>
      <c r="J137" s="15" t="s">
        <v>34</v>
      </c>
    </row>
    <row r="138" spans="1:10" ht="28" customHeight="1" x14ac:dyDescent="0.2">
      <c r="A138" s="96" t="str">
        <f ca="1">INDIRECT(_xlfn.TEXTJOIN("",TRUE,A149,"!",ADDRESS(13+(A150-1)*A146,1)))</f>
        <v>CAT 022</v>
      </c>
      <c r="B138" s="97"/>
      <c r="C138" s="106" t="str">
        <f ca="1">INDIRECT(_xlfn.TEXTJOIN("",TRUE,A149,"!",ADDRESS(13+(A150-1)*A146,2)))</f>
        <v>Network Security</v>
      </c>
      <c r="D138" s="107"/>
      <c r="E138" s="107"/>
      <c r="F138" s="107"/>
      <c r="G138" s="108"/>
      <c r="H138" s="20">
        <f ca="1">INDIRECT(_xlfn.TEXTJOIN("",TRUE,A149,"!",ADDRESS(13+(A150-1)*A146,6)))</f>
        <v>4</v>
      </c>
      <c r="I138" s="20" t="str">
        <f ca="1">INDIRECT(_xlfn.TEXTJOIN("",TRUE,A149,"!",ADDRESS(13+(A150-1)*A146,13)))</f>
        <v>F</v>
      </c>
      <c r="J138" s="20">
        <f ca="1">INDIRECT(_xlfn.TEXTJOIN("",TRUE,A149,"!",ADDRESS(13+(A150-1)*A146,14)))</f>
        <v>0</v>
      </c>
    </row>
    <row r="139" spans="1:10" ht="28" customHeight="1" x14ac:dyDescent="0.2">
      <c r="A139" s="96" t="str">
        <f ca="1">INDIRECT(_xlfn.TEXTJOIN("",TRUE,A149,"!",ADDRESS(14+(A150-1)*A146,1)))</f>
        <v>Enroll No.</v>
      </c>
      <c r="B139" s="97"/>
      <c r="C139" s="106">
        <f ca="1">INDIRECT(_xlfn.TEXTJOIN("",TRUE,A149,"!",ADDRESS(14+(A150-1)*A146,2)))</f>
        <v>0</v>
      </c>
      <c r="D139" s="107"/>
      <c r="E139" s="107"/>
      <c r="F139" s="107"/>
      <c r="G139" s="108"/>
      <c r="H139" s="20">
        <f ca="1">INDIRECT(_xlfn.TEXTJOIN("",TRUE,A149,"!",ADDRESS(14+(A150-1)*A146,6)))</f>
        <v>0</v>
      </c>
      <c r="I139" s="20" t="b">
        <f ca="1">INDIRECT(_xlfn.TEXTJOIN("",TRUE,A149,"!",ADDRESS(14+(A150-1)*A146,13)))</f>
        <v>0</v>
      </c>
      <c r="J139" s="20" t="e">
        <f ca="1">INDIRECT(_xlfn.TEXTJOIN("",TRUE,A149,"!",ADDRESS(14+(A150-1)*A146,14)))</f>
        <v>#N/A</v>
      </c>
    </row>
    <row r="140" spans="1:10" ht="28" customHeight="1" x14ac:dyDescent="0.2">
      <c r="A140" s="96" t="str">
        <f ca="1">INDIRECT(_xlfn.TEXTJOIN("",TRUE,A149,"!",ADDRESS(15+(A150-1)*A146,1)))</f>
        <v>CAT 030</v>
      </c>
      <c r="B140" s="97"/>
      <c r="C140" s="106" t="str">
        <f ca="1">INDIRECT(_xlfn.TEXTJOIN("",TRUE,A149,"!",ADDRESS(15+(A150-1)*A146,2)))</f>
        <v>Software Testing &amp; Quality Assurance</v>
      </c>
      <c r="D140" s="107"/>
      <c r="E140" s="107"/>
      <c r="F140" s="107"/>
      <c r="G140" s="108"/>
      <c r="H140" s="20">
        <f ca="1">INDIRECT(_xlfn.TEXTJOIN("",TRUE,A149,"!",ADDRESS(15+(A150-1)*A146,6)))</f>
        <v>4</v>
      </c>
      <c r="I140" s="20" t="str">
        <f ca="1">INDIRECT(_xlfn.TEXTJOIN("",TRUE,A149,"!",ADDRESS(15+(A150-1)*A146,13)))</f>
        <v>F</v>
      </c>
      <c r="J140" s="20">
        <f ca="1">INDIRECT(_xlfn.TEXTJOIN("",TRUE,A149,"!",ADDRESS(15+(A150-1)*A146,14)))</f>
        <v>0</v>
      </c>
    </row>
    <row r="141" spans="1:10" ht="28" customHeight="1" x14ac:dyDescent="0.2">
      <c r="A141" s="96" t="str">
        <f ca="1">INDIRECT(_xlfn.TEXTJOIN("",TRUE,A149,"!",ADDRESS(16+(A150-1)*A146,1)))</f>
        <v>Enroll No.</v>
      </c>
      <c r="B141" s="97"/>
      <c r="C141" s="106">
        <f ca="1">INDIRECT(_xlfn.TEXTJOIN("",TRUE,A149,"!",ADDRESS(16+(A150-1)*A146,2)))</f>
        <v>0</v>
      </c>
      <c r="D141" s="107"/>
      <c r="E141" s="107"/>
      <c r="F141" s="107"/>
      <c r="G141" s="108"/>
      <c r="H141" s="20">
        <f ca="1">INDIRECT(_xlfn.TEXTJOIN("",TRUE,A149,"!",ADDRESS(16+(A150-1)*A146,6)))</f>
        <v>0</v>
      </c>
      <c r="I141" s="20" t="b">
        <f ca="1">INDIRECT(_xlfn.TEXTJOIN("",TRUE,A149,"!",ADDRESS(16+(A150-1)*A146,13)))</f>
        <v>0</v>
      </c>
      <c r="J141" s="20" t="e">
        <f ca="1">INDIRECT(_xlfn.TEXTJOIN("",TRUE,A149,"!",ADDRESS(16+(A150-1)*A146,14)))</f>
        <v>#N/A</v>
      </c>
    </row>
    <row r="142" spans="1:10" ht="28" customHeight="1" x14ac:dyDescent="0.2">
      <c r="A142" s="96" t="str">
        <f ca="1">INDIRECT(_xlfn.TEXTJOIN("",TRUE,A149,"!",ADDRESS(17+(A150-1)*A146,1)))</f>
        <v>CAP 011</v>
      </c>
      <c r="B142" s="97"/>
      <c r="C142" s="106" t="str">
        <f ca="1">INDIRECT(_xlfn.TEXTJOIN("",TRUE,A149,"!",ADDRESS(17+(A150-1)*A146,2)))</f>
        <v>Network Security Lab</v>
      </c>
      <c r="D142" s="107"/>
      <c r="E142" s="107"/>
      <c r="F142" s="107"/>
      <c r="G142" s="108"/>
      <c r="H142" s="20">
        <f ca="1">INDIRECT(_xlfn.TEXTJOIN("",TRUE,A149,"!",ADDRESS(17+(A150-1)*A146,6)))</f>
        <v>1</v>
      </c>
      <c r="I142" s="20" t="str">
        <f ca="1">INDIRECT(_xlfn.TEXTJOIN("",TRUE,A149,"!",ADDRESS(17+(A150-1)*A146,13)))</f>
        <v>F</v>
      </c>
      <c r="J142" s="20">
        <f ca="1">INDIRECT(_xlfn.TEXTJOIN("",TRUE,A149,"!",ADDRESS(17+(A150-1)*A146,14)))</f>
        <v>0</v>
      </c>
    </row>
    <row r="143" spans="1:10" ht="28" customHeight="1" x14ac:dyDescent="0.2">
      <c r="A143" s="96" t="str">
        <f ca="1">INDIRECT(_xlfn.TEXTJOIN("",TRUE,A149,"!",ADDRESS(18+(A150-1)*A146,1)))</f>
        <v>Enroll No.</v>
      </c>
      <c r="B143" s="97"/>
      <c r="C143" s="106">
        <f ca="1">INDIRECT(_xlfn.TEXTJOIN("",TRUE,A149,"!",ADDRESS(18+(A150-1)*A146,2)))</f>
        <v>0</v>
      </c>
      <c r="D143" s="107"/>
      <c r="E143" s="107"/>
      <c r="F143" s="107"/>
      <c r="G143" s="108"/>
      <c r="H143" s="20">
        <f ca="1">INDIRECT(_xlfn.TEXTJOIN("",TRUE,A149,"!",ADDRESS(18+(A150-1)*A146,6)))</f>
        <v>0</v>
      </c>
      <c r="I143" s="20" t="b">
        <f ca="1">INDIRECT(_xlfn.TEXTJOIN("",TRUE,A149,"!",ADDRESS(18+(A150-1)*A146,13)))</f>
        <v>0</v>
      </c>
      <c r="J143" s="20" t="e">
        <f ca="1">INDIRECT(_xlfn.TEXTJOIN("",TRUE,A149,"!",ADDRESS(18+(A150-1)*A146,14)))</f>
        <v>#N/A</v>
      </c>
    </row>
    <row r="144" spans="1:10" ht="28" customHeight="1" x14ac:dyDescent="0.2">
      <c r="A144" s="96" t="str">
        <f ca="1">INDIRECT(_xlfn.TEXTJOIN("",TRUE,A149,"!",ADDRESS(19+(A150-1)*A146,1)))</f>
        <v>CAP 013</v>
      </c>
      <c r="B144" s="97"/>
      <c r="C144" s="106" t="str">
        <f ca="1">INDIRECT(_xlfn.TEXTJOIN("",TRUE,A149,"!",ADDRESS(19+(A150-1)*A146,2)))</f>
        <v>Major Project</v>
      </c>
      <c r="D144" s="107"/>
      <c r="E144" s="107"/>
      <c r="F144" s="107"/>
      <c r="G144" s="108"/>
      <c r="H144" s="20">
        <f ca="1">INDIRECT(_xlfn.TEXTJOIN("",TRUE,A149,"!",ADDRESS(19+(A150-1)*A146,6)))</f>
        <v>6</v>
      </c>
      <c r="I144" s="20" t="str">
        <f ca="1">INDIRECT(_xlfn.TEXTJOIN("",TRUE,A149,"!",ADDRESS(19+(A150-1)*A146,13)))</f>
        <v>F</v>
      </c>
      <c r="J144" s="20">
        <f ca="1">INDIRECT(_xlfn.TEXTJOIN("",TRUE,A149,"!",ADDRESS(19+(A150-1)*A146,14)))</f>
        <v>0</v>
      </c>
    </row>
    <row r="145" spans="1:10" ht="28" customHeight="1" x14ac:dyDescent="0.2">
      <c r="A145" s="118" t="s">
        <v>52</v>
      </c>
      <c r="B145" s="118"/>
      <c r="C145" s="118"/>
      <c r="D145" s="118"/>
      <c r="E145" s="118"/>
      <c r="F145" s="118"/>
      <c r="G145" s="118"/>
      <c r="H145" s="16">
        <f ca="1">SUM(H138:H144)</f>
        <v>15</v>
      </c>
      <c r="I145" s="16" t="s">
        <v>44</v>
      </c>
      <c r="J145" s="16" t="e">
        <f ca="1">SUMPRODUCT(J138:J144,H138:H144)</f>
        <v>#N/A</v>
      </c>
    </row>
    <row r="146" spans="1:10" ht="28" customHeight="1" x14ac:dyDescent="0.2">
      <c r="A146" s="22">
        <f>ROWS(A138:B144)+9</f>
        <v>16</v>
      </c>
      <c r="B146" s="17"/>
      <c r="C146" s="17"/>
      <c r="D146" s="17"/>
      <c r="E146" s="17"/>
      <c r="F146" s="17"/>
      <c r="G146" s="17"/>
      <c r="H146" s="17"/>
      <c r="I146" s="17"/>
      <c r="J146" s="17"/>
    </row>
    <row r="147" spans="1:10" ht="28" customHeight="1" x14ac:dyDescent="0.2">
      <c r="A147" s="120" t="s">
        <v>40</v>
      </c>
      <c r="B147" s="120"/>
      <c r="C147" s="21">
        <f ca="1">INDIRECT(_xlfn.TEXTJOIN("",TRUE,A149,"!",ADDRESS(5+A150*A146,12)))</f>
        <v>0</v>
      </c>
      <c r="D147" s="120" t="s">
        <v>38</v>
      </c>
      <c r="E147" s="120"/>
      <c r="F147" s="18" t="e">
        <f ca="1">INDIRECT(_xlfn.TEXTJOIN("",TRUE,A149,"!",ADDRESS(5+A150*A146,8)))</f>
        <v>#N/A</v>
      </c>
      <c r="G147" s="120" t="s">
        <v>39</v>
      </c>
      <c r="H147" s="120"/>
      <c r="I147" s="109" t="e">
        <f ca="1">INDIRECT(_xlfn.TEXTJOIN("",TRUE,A149,"!",ADDRESS(5+A150*A146,10)))</f>
        <v>#N/A</v>
      </c>
      <c r="J147" s="109"/>
    </row>
    <row r="148" spans="1:10" ht="28" customHeight="1" x14ac:dyDescent="0.2">
      <c r="A148" s="19" t="s">
        <v>36</v>
      </c>
      <c r="B148" s="95" t="e">
        <f ca="1">INDIRECT(_xlfn.TEXTJOIN("",TRUE,A149,"!",ADDRESS(5+A150*A146,2)))</f>
        <v>#N/A</v>
      </c>
      <c r="C148" s="95"/>
      <c r="D148" s="121" t="s">
        <v>37</v>
      </c>
      <c r="E148" s="121"/>
      <c r="F148" s="122" t="e">
        <f ca="1">INDIRECT(_xlfn.TEXTJOIN("",TRUE,A149,"!",ADDRESS(5+A150*A146,5)))</f>
        <v>#N/A</v>
      </c>
      <c r="G148" s="122"/>
      <c r="H148" s="122"/>
      <c r="I148" s="122"/>
      <c r="J148" s="122"/>
    </row>
    <row r="149" spans="1:10" ht="28" customHeight="1" x14ac:dyDescent="0.2">
      <c r="A149" s="22" t="str">
        <f>A133</f>
        <v>TC_IV</v>
      </c>
    </row>
    <row r="150" spans="1:10" ht="28" customHeight="1" x14ac:dyDescent="0.2">
      <c r="A150" s="22">
        <f>A134+1</f>
        <v>9</v>
      </c>
    </row>
    <row r="151" spans="1:10" ht="28" customHeight="1" x14ac:dyDescent="0.2">
      <c r="A151" s="112" t="s">
        <v>24</v>
      </c>
      <c r="B151" s="112"/>
      <c r="C151" s="112" t="str">
        <f ca="1">INDIRECT(_xlfn.TEXTJOIN("",TRUE,A165,"!",ADDRESS(9+(A166-1)*A162,2)))</f>
        <v>DEVENDRA SINGH RANA</v>
      </c>
      <c r="D151" s="112"/>
      <c r="E151" s="112"/>
      <c r="F151" s="112" t="s">
        <v>50</v>
      </c>
      <c r="G151" s="112"/>
      <c r="H151" s="112"/>
      <c r="I151" s="113">
        <f ca="1">INDIRECT(_xlfn.TEXTJOIN("",TRUE,A165,"!",ADDRESS(9+(A166-1)*A162,9)))</f>
        <v>240090600010</v>
      </c>
      <c r="J151" s="113"/>
    </row>
    <row r="152" spans="1:10" ht="28" customHeight="1" x14ac:dyDescent="0.2">
      <c r="A152" s="112" t="s">
        <v>25</v>
      </c>
      <c r="B152" s="112"/>
      <c r="C152" s="112" t="str">
        <f ca="1">INDIRECT(_xlfn.TEXTJOIN("",TRUE,A165,"!",ADDRESS(9+(A166-1)*A162,5)))</f>
        <v>DHYAN SINGH RANA</v>
      </c>
      <c r="D152" s="112"/>
      <c r="E152" s="112"/>
      <c r="F152" s="114" t="s">
        <v>51</v>
      </c>
      <c r="G152" s="114"/>
      <c r="H152" s="114"/>
      <c r="I152" s="113" t="str">
        <f ca="1">INDIRECT(_xlfn.TEXTJOIN("",TRUE,A165,"!",ADDRESS(9+(A166-1)*A162,13)))</f>
        <v>UTU/2406100181</v>
      </c>
      <c r="J152" s="113"/>
    </row>
    <row r="153" spans="1:10" ht="28" customHeight="1" x14ac:dyDescent="0.2">
      <c r="A153" s="95" t="s">
        <v>28</v>
      </c>
      <c r="B153" s="95"/>
      <c r="C153" s="95" t="s">
        <v>29</v>
      </c>
      <c r="D153" s="95"/>
      <c r="E153" s="95"/>
      <c r="F153" s="95"/>
      <c r="G153" s="95"/>
      <c r="H153" s="15" t="s">
        <v>30</v>
      </c>
      <c r="I153" s="15" t="s">
        <v>9</v>
      </c>
      <c r="J153" s="15" t="s">
        <v>34</v>
      </c>
    </row>
    <row r="154" spans="1:10" ht="28" customHeight="1" x14ac:dyDescent="0.2">
      <c r="A154" s="96" t="str">
        <f ca="1">INDIRECT(_xlfn.TEXTJOIN("",TRUE,A165,"!",ADDRESS(13+(A166-1)*A162,1)))</f>
        <v>CAT 022</v>
      </c>
      <c r="B154" s="97"/>
      <c r="C154" s="106" t="str">
        <f ca="1">INDIRECT(_xlfn.TEXTJOIN("",TRUE,A165,"!",ADDRESS(13+(A166-1)*A162,2)))</f>
        <v>Network Security</v>
      </c>
      <c r="D154" s="107"/>
      <c r="E154" s="107"/>
      <c r="F154" s="107"/>
      <c r="G154" s="108"/>
      <c r="H154" s="20">
        <f ca="1">INDIRECT(_xlfn.TEXTJOIN("",TRUE,A165,"!",ADDRESS(13+(A166-1)*A162,6)))</f>
        <v>4</v>
      </c>
      <c r="I154" s="20" t="str">
        <f ca="1">INDIRECT(_xlfn.TEXTJOIN("",TRUE,A165,"!",ADDRESS(13+(A166-1)*A162,13)))</f>
        <v>F</v>
      </c>
      <c r="J154" s="20">
        <f ca="1">INDIRECT(_xlfn.TEXTJOIN("",TRUE,A165,"!",ADDRESS(13+(A166-1)*A162,14)))</f>
        <v>0</v>
      </c>
    </row>
    <row r="155" spans="1:10" ht="28" customHeight="1" x14ac:dyDescent="0.2">
      <c r="A155" s="96" t="str">
        <f ca="1">INDIRECT(_xlfn.TEXTJOIN("",TRUE,A165,"!",ADDRESS(14+(A166-1)*A162,1)))</f>
        <v>Enroll No.</v>
      </c>
      <c r="B155" s="97"/>
      <c r="C155" s="106">
        <f ca="1">INDIRECT(_xlfn.TEXTJOIN("",TRUE,A165,"!",ADDRESS(14+(A166-1)*A162,2)))</f>
        <v>0</v>
      </c>
      <c r="D155" s="107"/>
      <c r="E155" s="107"/>
      <c r="F155" s="107"/>
      <c r="G155" s="108"/>
      <c r="H155" s="20">
        <f ca="1">INDIRECT(_xlfn.TEXTJOIN("",TRUE,A165,"!",ADDRESS(14+(A166-1)*A162,6)))</f>
        <v>0</v>
      </c>
      <c r="I155" s="20" t="b">
        <f ca="1">INDIRECT(_xlfn.TEXTJOIN("",TRUE,A165,"!",ADDRESS(14+(A166-1)*A162,13)))</f>
        <v>0</v>
      </c>
      <c r="J155" s="20" t="e">
        <f ca="1">INDIRECT(_xlfn.TEXTJOIN("",TRUE,A165,"!",ADDRESS(14+(A166-1)*A162,14)))</f>
        <v>#N/A</v>
      </c>
    </row>
    <row r="156" spans="1:10" ht="28" customHeight="1" x14ac:dyDescent="0.2">
      <c r="A156" s="96" t="str">
        <f ca="1">INDIRECT(_xlfn.TEXTJOIN("",TRUE,A165,"!",ADDRESS(15+(A166-1)*A162,1)))</f>
        <v>CAT 030</v>
      </c>
      <c r="B156" s="97"/>
      <c r="C156" s="106" t="str">
        <f ca="1">INDIRECT(_xlfn.TEXTJOIN("",TRUE,A165,"!",ADDRESS(15+(A166-1)*A162,2)))</f>
        <v>Software Testing &amp; Quality Assurance</v>
      </c>
      <c r="D156" s="107"/>
      <c r="E156" s="107"/>
      <c r="F156" s="107"/>
      <c r="G156" s="108"/>
      <c r="H156" s="20">
        <f ca="1">INDIRECT(_xlfn.TEXTJOIN("",TRUE,A165,"!",ADDRESS(15+(A166-1)*A162,6)))</f>
        <v>4</v>
      </c>
      <c r="I156" s="20" t="str">
        <f ca="1">INDIRECT(_xlfn.TEXTJOIN("",TRUE,A165,"!",ADDRESS(15+(A166-1)*A162,13)))</f>
        <v>F</v>
      </c>
      <c r="J156" s="20">
        <f ca="1">INDIRECT(_xlfn.TEXTJOIN("",TRUE,A165,"!",ADDRESS(15+(A166-1)*A162,14)))</f>
        <v>0</v>
      </c>
    </row>
    <row r="157" spans="1:10" ht="28" customHeight="1" x14ac:dyDescent="0.2">
      <c r="A157" s="96" t="str">
        <f ca="1">INDIRECT(_xlfn.TEXTJOIN("",TRUE,A165,"!",ADDRESS(16+(A166-1)*A162,1)))</f>
        <v>Enroll No.</v>
      </c>
      <c r="B157" s="97"/>
      <c r="C157" s="106">
        <f ca="1">INDIRECT(_xlfn.TEXTJOIN("",TRUE,A165,"!",ADDRESS(16+(A166-1)*A162,2)))</f>
        <v>0</v>
      </c>
      <c r="D157" s="107"/>
      <c r="E157" s="107"/>
      <c r="F157" s="107"/>
      <c r="G157" s="108"/>
      <c r="H157" s="20">
        <f ca="1">INDIRECT(_xlfn.TEXTJOIN("",TRUE,A165,"!",ADDRESS(16+(A166-1)*A162,6)))</f>
        <v>0</v>
      </c>
      <c r="I157" s="20" t="b">
        <f ca="1">INDIRECT(_xlfn.TEXTJOIN("",TRUE,A165,"!",ADDRESS(16+(A166-1)*A162,13)))</f>
        <v>0</v>
      </c>
      <c r="J157" s="20" t="e">
        <f ca="1">INDIRECT(_xlfn.TEXTJOIN("",TRUE,A165,"!",ADDRESS(16+(A166-1)*A162,14)))</f>
        <v>#N/A</v>
      </c>
    </row>
    <row r="158" spans="1:10" ht="28" customHeight="1" x14ac:dyDescent="0.2">
      <c r="A158" s="96" t="str">
        <f ca="1">INDIRECT(_xlfn.TEXTJOIN("",TRUE,A165,"!",ADDRESS(17+(A166-1)*A162,1)))</f>
        <v>CAP 011</v>
      </c>
      <c r="B158" s="97"/>
      <c r="C158" s="106" t="str">
        <f ca="1">INDIRECT(_xlfn.TEXTJOIN("",TRUE,A165,"!",ADDRESS(17+(A166-1)*A162,2)))</f>
        <v>Network Security Lab</v>
      </c>
      <c r="D158" s="107"/>
      <c r="E158" s="107"/>
      <c r="F158" s="107"/>
      <c r="G158" s="108"/>
      <c r="H158" s="20">
        <f ca="1">INDIRECT(_xlfn.TEXTJOIN("",TRUE,A165,"!",ADDRESS(17+(A166-1)*A162,6)))</f>
        <v>1</v>
      </c>
      <c r="I158" s="20" t="str">
        <f ca="1">INDIRECT(_xlfn.TEXTJOIN("",TRUE,A165,"!",ADDRESS(17+(A166-1)*A162,13)))</f>
        <v>F</v>
      </c>
      <c r="J158" s="20">
        <f ca="1">INDIRECT(_xlfn.TEXTJOIN("",TRUE,A165,"!",ADDRESS(17+(A166-1)*A162,14)))</f>
        <v>0</v>
      </c>
    </row>
    <row r="159" spans="1:10" ht="28" customHeight="1" x14ac:dyDescent="0.2">
      <c r="A159" s="96" t="str">
        <f ca="1">INDIRECT(_xlfn.TEXTJOIN("",TRUE,A165,"!",ADDRESS(18+(A166-1)*A162,1)))</f>
        <v>Enroll No.</v>
      </c>
      <c r="B159" s="97"/>
      <c r="C159" s="106">
        <f ca="1">INDIRECT(_xlfn.TEXTJOIN("",TRUE,A165,"!",ADDRESS(18+(A166-1)*A162,2)))</f>
        <v>0</v>
      </c>
      <c r="D159" s="107"/>
      <c r="E159" s="107"/>
      <c r="F159" s="107"/>
      <c r="G159" s="108"/>
      <c r="H159" s="20">
        <f ca="1">INDIRECT(_xlfn.TEXTJOIN("",TRUE,A165,"!",ADDRESS(18+(A166-1)*A162,6)))</f>
        <v>0</v>
      </c>
      <c r="I159" s="20" t="b">
        <f ca="1">INDIRECT(_xlfn.TEXTJOIN("",TRUE,A165,"!",ADDRESS(18+(A166-1)*A162,13)))</f>
        <v>0</v>
      </c>
      <c r="J159" s="20" t="e">
        <f ca="1">INDIRECT(_xlfn.TEXTJOIN("",TRUE,A165,"!",ADDRESS(18+(A166-1)*A162,14)))</f>
        <v>#N/A</v>
      </c>
    </row>
    <row r="160" spans="1:10" ht="28" customHeight="1" x14ac:dyDescent="0.2">
      <c r="A160" s="96" t="str">
        <f ca="1">INDIRECT(_xlfn.TEXTJOIN("",TRUE,A165,"!",ADDRESS(19+(A166-1)*A162,1)))</f>
        <v>CAP 013</v>
      </c>
      <c r="B160" s="97"/>
      <c r="C160" s="106" t="str">
        <f ca="1">INDIRECT(_xlfn.TEXTJOIN("",TRUE,A165,"!",ADDRESS(19+(A166-1)*A162,2)))</f>
        <v>Major Project</v>
      </c>
      <c r="D160" s="107"/>
      <c r="E160" s="107"/>
      <c r="F160" s="107"/>
      <c r="G160" s="108"/>
      <c r="H160" s="20">
        <f ca="1">INDIRECT(_xlfn.TEXTJOIN("",TRUE,A165,"!",ADDRESS(19+(A166-1)*A162,6)))</f>
        <v>6</v>
      </c>
      <c r="I160" s="20" t="str">
        <f ca="1">INDIRECT(_xlfn.TEXTJOIN("",TRUE,A165,"!",ADDRESS(19+(A166-1)*A162,13)))</f>
        <v>F</v>
      </c>
      <c r="J160" s="20">
        <f ca="1">INDIRECT(_xlfn.TEXTJOIN("",TRUE,A165,"!",ADDRESS(19+(A166-1)*A162,14)))</f>
        <v>0</v>
      </c>
    </row>
    <row r="161" spans="1:10" ht="28" customHeight="1" x14ac:dyDescent="0.2">
      <c r="A161" s="118" t="s">
        <v>52</v>
      </c>
      <c r="B161" s="118"/>
      <c r="C161" s="118"/>
      <c r="D161" s="118"/>
      <c r="E161" s="118"/>
      <c r="F161" s="118"/>
      <c r="G161" s="118"/>
      <c r="H161" s="16">
        <f ca="1">SUM(H154:H160)</f>
        <v>15</v>
      </c>
      <c r="I161" s="16" t="s">
        <v>44</v>
      </c>
      <c r="J161" s="16" t="e">
        <f ca="1">SUMPRODUCT(J154:J160,H154:H160)</f>
        <v>#N/A</v>
      </c>
    </row>
    <row r="162" spans="1:10" ht="28" customHeight="1" x14ac:dyDescent="0.2">
      <c r="A162" s="22">
        <f>ROWS(A154:B160)+9</f>
        <v>16</v>
      </c>
      <c r="B162" s="17"/>
      <c r="C162" s="17"/>
      <c r="D162" s="17"/>
      <c r="E162" s="17"/>
      <c r="F162" s="17"/>
      <c r="G162" s="17"/>
      <c r="H162" s="17"/>
      <c r="I162" s="17"/>
      <c r="J162" s="17"/>
    </row>
    <row r="163" spans="1:10" ht="28" customHeight="1" x14ac:dyDescent="0.2">
      <c r="A163" s="120" t="s">
        <v>40</v>
      </c>
      <c r="B163" s="120"/>
      <c r="C163" s="21">
        <f ca="1">INDIRECT(_xlfn.TEXTJOIN("",TRUE,A165,"!",ADDRESS(5+A166*A162,12)))</f>
        <v>0</v>
      </c>
      <c r="D163" s="120" t="s">
        <v>38</v>
      </c>
      <c r="E163" s="120"/>
      <c r="F163" s="18" t="e">
        <f ca="1">INDIRECT(_xlfn.TEXTJOIN("",TRUE,A165,"!",ADDRESS(5+A166*A162,8)))</f>
        <v>#N/A</v>
      </c>
      <c r="G163" s="120" t="s">
        <v>39</v>
      </c>
      <c r="H163" s="120"/>
      <c r="I163" s="109" t="e">
        <f ca="1">INDIRECT(_xlfn.TEXTJOIN("",TRUE,A165,"!",ADDRESS(5+A166*A162,10)))</f>
        <v>#N/A</v>
      </c>
      <c r="J163" s="109"/>
    </row>
    <row r="164" spans="1:10" ht="28" customHeight="1" x14ac:dyDescent="0.2">
      <c r="A164" s="19" t="s">
        <v>36</v>
      </c>
      <c r="B164" s="95" t="e">
        <f ca="1">INDIRECT(_xlfn.TEXTJOIN("",TRUE,A165,"!",ADDRESS(5+A166*A162,2)))</f>
        <v>#N/A</v>
      </c>
      <c r="C164" s="95"/>
      <c r="D164" s="121" t="s">
        <v>37</v>
      </c>
      <c r="E164" s="121"/>
      <c r="F164" s="122" t="e">
        <f ca="1">INDIRECT(_xlfn.TEXTJOIN("",TRUE,A165,"!",ADDRESS(5+A166*A162,5)))</f>
        <v>#N/A</v>
      </c>
      <c r="G164" s="122"/>
      <c r="H164" s="122"/>
      <c r="I164" s="122"/>
      <c r="J164" s="122"/>
    </row>
    <row r="165" spans="1:10" ht="28" customHeight="1" x14ac:dyDescent="0.2">
      <c r="A165" s="22" t="str">
        <f>A149</f>
        <v>TC_IV</v>
      </c>
    </row>
    <row r="166" spans="1:10" ht="28" customHeight="1" x14ac:dyDescent="0.2">
      <c r="A166" s="22">
        <f>A150+1</f>
        <v>10</v>
      </c>
    </row>
    <row r="167" spans="1:10" ht="28" customHeight="1" x14ac:dyDescent="0.2">
      <c r="A167" s="112" t="s">
        <v>24</v>
      </c>
      <c r="B167" s="112"/>
      <c r="C167" s="112" t="str">
        <f ca="1">INDIRECT(_xlfn.TEXTJOIN("",TRUE,A181,"!",ADDRESS(9+(A182-1)*A178,2)))</f>
        <v>DIKSHA PHARTYAL</v>
      </c>
      <c r="D167" s="112"/>
      <c r="E167" s="112"/>
      <c r="F167" s="112" t="s">
        <v>50</v>
      </c>
      <c r="G167" s="112"/>
      <c r="H167" s="112"/>
      <c r="I167" s="113">
        <f ca="1">INDIRECT(_xlfn.TEXTJOIN("",TRUE,A181,"!",ADDRESS(9+(A182-1)*A178,9)))</f>
        <v>240090600011</v>
      </c>
      <c r="J167" s="113"/>
    </row>
    <row r="168" spans="1:10" ht="28" customHeight="1" x14ac:dyDescent="0.2">
      <c r="A168" s="112" t="s">
        <v>25</v>
      </c>
      <c r="B168" s="112"/>
      <c r="C168" s="112" t="str">
        <f ca="1">INDIRECT(_xlfn.TEXTJOIN("",TRUE,A181,"!",ADDRESS(9+(A182-1)*A178,5)))</f>
        <v>UPENDRA SINGH PHARTYAL</v>
      </c>
      <c r="D168" s="112"/>
      <c r="E168" s="112"/>
      <c r="F168" s="114" t="s">
        <v>51</v>
      </c>
      <c r="G168" s="114"/>
      <c r="H168" s="114"/>
      <c r="I168" s="113" t="str">
        <f ca="1">INDIRECT(_xlfn.TEXTJOIN("",TRUE,A181,"!",ADDRESS(9+(A182-1)*A178,13)))</f>
        <v>UTU/2406100185</v>
      </c>
      <c r="J168" s="113"/>
    </row>
    <row r="169" spans="1:10" ht="28" customHeight="1" x14ac:dyDescent="0.2">
      <c r="A169" s="95" t="s">
        <v>28</v>
      </c>
      <c r="B169" s="95"/>
      <c r="C169" s="95" t="s">
        <v>29</v>
      </c>
      <c r="D169" s="95"/>
      <c r="E169" s="95"/>
      <c r="F169" s="95"/>
      <c r="G169" s="95"/>
      <c r="H169" s="15" t="s">
        <v>30</v>
      </c>
      <c r="I169" s="15" t="s">
        <v>9</v>
      </c>
      <c r="J169" s="15" t="s">
        <v>34</v>
      </c>
    </row>
    <row r="170" spans="1:10" ht="28" customHeight="1" x14ac:dyDescent="0.2">
      <c r="A170" s="96" t="str">
        <f ca="1">INDIRECT(_xlfn.TEXTJOIN("",TRUE,A181,"!",ADDRESS(13+(A182-1)*A178,1)))</f>
        <v>CAT 022</v>
      </c>
      <c r="B170" s="97"/>
      <c r="C170" s="106" t="str">
        <f ca="1">INDIRECT(_xlfn.TEXTJOIN("",TRUE,A181,"!",ADDRESS(13+(A182-1)*A178,2)))</f>
        <v>Network Security</v>
      </c>
      <c r="D170" s="107"/>
      <c r="E170" s="107"/>
      <c r="F170" s="107"/>
      <c r="G170" s="108"/>
      <c r="H170" s="20">
        <f ca="1">INDIRECT(_xlfn.TEXTJOIN("",TRUE,A181,"!",ADDRESS(13+(A182-1)*A178,6)))</f>
        <v>4</v>
      </c>
      <c r="I170" s="20" t="str">
        <f ca="1">INDIRECT(_xlfn.TEXTJOIN("",TRUE,A181,"!",ADDRESS(13+(A182-1)*A178,13)))</f>
        <v>F</v>
      </c>
      <c r="J170" s="20">
        <f ca="1">INDIRECT(_xlfn.TEXTJOIN("",TRUE,A181,"!",ADDRESS(13+(A182-1)*A178,14)))</f>
        <v>0</v>
      </c>
    </row>
    <row r="171" spans="1:10" ht="28" customHeight="1" x14ac:dyDescent="0.2">
      <c r="A171" s="96" t="str">
        <f ca="1">INDIRECT(_xlfn.TEXTJOIN("",TRUE,A181,"!",ADDRESS(14+(A182-1)*A178,1)))</f>
        <v>Enroll No.</v>
      </c>
      <c r="B171" s="97"/>
      <c r="C171" s="106">
        <f ca="1">INDIRECT(_xlfn.TEXTJOIN("",TRUE,A181,"!",ADDRESS(14+(A182-1)*A178,2)))</f>
        <v>0</v>
      </c>
      <c r="D171" s="107"/>
      <c r="E171" s="107"/>
      <c r="F171" s="107"/>
      <c r="G171" s="108"/>
      <c r="H171" s="20">
        <f ca="1">INDIRECT(_xlfn.TEXTJOIN("",TRUE,A181,"!",ADDRESS(14+(A182-1)*A178,6)))</f>
        <v>0</v>
      </c>
      <c r="I171" s="20" t="b">
        <f ca="1">INDIRECT(_xlfn.TEXTJOIN("",TRUE,A181,"!",ADDRESS(14+(A182-1)*A178,13)))</f>
        <v>0</v>
      </c>
      <c r="J171" s="20" t="e">
        <f ca="1">INDIRECT(_xlfn.TEXTJOIN("",TRUE,A181,"!",ADDRESS(14+(A182-1)*A178,14)))</f>
        <v>#N/A</v>
      </c>
    </row>
    <row r="172" spans="1:10" ht="28" customHeight="1" x14ac:dyDescent="0.2">
      <c r="A172" s="96" t="str">
        <f ca="1">INDIRECT(_xlfn.TEXTJOIN("",TRUE,A181,"!",ADDRESS(15+(A182-1)*A178,1)))</f>
        <v>CAT 030</v>
      </c>
      <c r="B172" s="97"/>
      <c r="C172" s="106" t="str">
        <f ca="1">INDIRECT(_xlfn.TEXTJOIN("",TRUE,A181,"!",ADDRESS(15+(A182-1)*A178,2)))</f>
        <v>Software Testing &amp; Quality Assurance</v>
      </c>
      <c r="D172" s="107"/>
      <c r="E172" s="107"/>
      <c r="F172" s="107"/>
      <c r="G172" s="108"/>
      <c r="H172" s="20">
        <f ca="1">INDIRECT(_xlfn.TEXTJOIN("",TRUE,A181,"!",ADDRESS(15+(A182-1)*A178,6)))</f>
        <v>4</v>
      </c>
      <c r="I172" s="20" t="str">
        <f ca="1">INDIRECT(_xlfn.TEXTJOIN("",TRUE,A181,"!",ADDRESS(15+(A182-1)*A178,13)))</f>
        <v>F</v>
      </c>
      <c r="J172" s="20">
        <f ca="1">INDIRECT(_xlfn.TEXTJOIN("",TRUE,A181,"!",ADDRESS(15+(A182-1)*A178,14)))</f>
        <v>0</v>
      </c>
    </row>
    <row r="173" spans="1:10" ht="28" customHeight="1" x14ac:dyDescent="0.2">
      <c r="A173" s="96" t="str">
        <f ca="1">INDIRECT(_xlfn.TEXTJOIN("",TRUE,A181,"!",ADDRESS(16+(A182-1)*A178,1)))</f>
        <v>Enroll No.</v>
      </c>
      <c r="B173" s="97"/>
      <c r="C173" s="106">
        <f ca="1">INDIRECT(_xlfn.TEXTJOIN("",TRUE,A181,"!",ADDRESS(16+(A182-1)*A178,2)))</f>
        <v>0</v>
      </c>
      <c r="D173" s="107"/>
      <c r="E173" s="107"/>
      <c r="F173" s="107"/>
      <c r="G173" s="108"/>
      <c r="H173" s="20">
        <f ca="1">INDIRECT(_xlfn.TEXTJOIN("",TRUE,A181,"!",ADDRESS(16+(A182-1)*A178,6)))</f>
        <v>0</v>
      </c>
      <c r="I173" s="20" t="b">
        <f ca="1">INDIRECT(_xlfn.TEXTJOIN("",TRUE,A181,"!",ADDRESS(16+(A182-1)*A178,13)))</f>
        <v>0</v>
      </c>
      <c r="J173" s="20" t="e">
        <f ca="1">INDIRECT(_xlfn.TEXTJOIN("",TRUE,A181,"!",ADDRESS(16+(A182-1)*A178,14)))</f>
        <v>#N/A</v>
      </c>
    </row>
    <row r="174" spans="1:10" ht="28" customHeight="1" x14ac:dyDescent="0.2">
      <c r="A174" s="96" t="str">
        <f ca="1">INDIRECT(_xlfn.TEXTJOIN("",TRUE,A181,"!",ADDRESS(17+(A182-1)*A178,1)))</f>
        <v>CAP 011</v>
      </c>
      <c r="B174" s="97"/>
      <c r="C174" s="106" t="str">
        <f ca="1">INDIRECT(_xlfn.TEXTJOIN("",TRUE,A181,"!",ADDRESS(17+(A182-1)*A178,2)))</f>
        <v>Network Security Lab</v>
      </c>
      <c r="D174" s="107"/>
      <c r="E174" s="107"/>
      <c r="F174" s="107"/>
      <c r="G174" s="108"/>
      <c r="H174" s="20">
        <f ca="1">INDIRECT(_xlfn.TEXTJOIN("",TRUE,A181,"!",ADDRESS(17+(A182-1)*A178,6)))</f>
        <v>1</v>
      </c>
      <c r="I174" s="20" t="str">
        <f ca="1">INDIRECT(_xlfn.TEXTJOIN("",TRUE,A181,"!",ADDRESS(17+(A182-1)*A178,13)))</f>
        <v>F</v>
      </c>
      <c r="J174" s="20">
        <f ca="1">INDIRECT(_xlfn.TEXTJOIN("",TRUE,A181,"!",ADDRESS(17+(A182-1)*A178,14)))</f>
        <v>0</v>
      </c>
    </row>
    <row r="175" spans="1:10" ht="28" customHeight="1" x14ac:dyDescent="0.2">
      <c r="A175" s="96" t="str">
        <f ca="1">INDIRECT(_xlfn.TEXTJOIN("",TRUE,A181,"!",ADDRESS(18+(A182-1)*A178,1)))</f>
        <v>Enroll No.</v>
      </c>
      <c r="B175" s="97"/>
      <c r="C175" s="106">
        <f ca="1">INDIRECT(_xlfn.TEXTJOIN("",TRUE,A181,"!",ADDRESS(18+(A182-1)*A178,2)))</f>
        <v>0</v>
      </c>
      <c r="D175" s="107"/>
      <c r="E175" s="107"/>
      <c r="F175" s="107"/>
      <c r="G175" s="108"/>
      <c r="H175" s="20">
        <f ca="1">INDIRECT(_xlfn.TEXTJOIN("",TRUE,A181,"!",ADDRESS(18+(A182-1)*A178,6)))</f>
        <v>0</v>
      </c>
      <c r="I175" s="20" t="b">
        <f ca="1">INDIRECT(_xlfn.TEXTJOIN("",TRUE,A181,"!",ADDRESS(18+(A182-1)*A178,13)))</f>
        <v>0</v>
      </c>
      <c r="J175" s="20" t="e">
        <f ca="1">INDIRECT(_xlfn.TEXTJOIN("",TRUE,A181,"!",ADDRESS(18+(A182-1)*A178,14)))</f>
        <v>#N/A</v>
      </c>
    </row>
    <row r="176" spans="1:10" ht="28" customHeight="1" x14ac:dyDescent="0.2">
      <c r="A176" s="96" t="str">
        <f ca="1">INDIRECT(_xlfn.TEXTJOIN("",TRUE,A181,"!",ADDRESS(19+(A182-1)*A178,1)))</f>
        <v>CAP 013</v>
      </c>
      <c r="B176" s="97"/>
      <c r="C176" s="106" t="str">
        <f ca="1">INDIRECT(_xlfn.TEXTJOIN("",TRUE,A181,"!",ADDRESS(19+(A182-1)*A178,2)))</f>
        <v>Major Project</v>
      </c>
      <c r="D176" s="107"/>
      <c r="E176" s="107"/>
      <c r="F176" s="107"/>
      <c r="G176" s="108"/>
      <c r="H176" s="20">
        <f ca="1">INDIRECT(_xlfn.TEXTJOIN("",TRUE,A181,"!",ADDRESS(19+(A182-1)*A178,6)))</f>
        <v>6</v>
      </c>
      <c r="I176" s="20" t="str">
        <f ca="1">INDIRECT(_xlfn.TEXTJOIN("",TRUE,A181,"!",ADDRESS(19+(A182-1)*A178,13)))</f>
        <v>F</v>
      </c>
      <c r="J176" s="20">
        <f ca="1">INDIRECT(_xlfn.TEXTJOIN("",TRUE,A181,"!",ADDRESS(19+(A182-1)*A178,14)))</f>
        <v>0</v>
      </c>
    </row>
    <row r="177" spans="1:10" ht="28" customHeight="1" x14ac:dyDescent="0.2">
      <c r="A177" s="118" t="s">
        <v>52</v>
      </c>
      <c r="B177" s="118"/>
      <c r="C177" s="118"/>
      <c r="D177" s="118"/>
      <c r="E177" s="118"/>
      <c r="F177" s="118"/>
      <c r="G177" s="118"/>
      <c r="H177" s="16">
        <f ca="1">SUM(H170:H176)</f>
        <v>15</v>
      </c>
      <c r="I177" s="16" t="s">
        <v>44</v>
      </c>
      <c r="J177" s="16" t="e">
        <f ca="1">SUMPRODUCT(J170:J176,H170:H176)</f>
        <v>#N/A</v>
      </c>
    </row>
    <row r="178" spans="1:10" ht="28" customHeight="1" x14ac:dyDescent="0.2">
      <c r="A178" s="22">
        <f>ROWS(A170:B176)+9</f>
        <v>16</v>
      </c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1:10" ht="28" customHeight="1" x14ac:dyDescent="0.2">
      <c r="A179" s="120" t="s">
        <v>40</v>
      </c>
      <c r="B179" s="120"/>
      <c r="C179" s="21">
        <f ca="1">INDIRECT(_xlfn.TEXTJOIN("",TRUE,A181,"!",ADDRESS(5+A182*A178,12)))</f>
        <v>0</v>
      </c>
      <c r="D179" s="120" t="s">
        <v>38</v>
      </c>
      <c r="E179" s="120"/>
      <c r="F179" s="18" t="e">
        <f ca="1">INDIRECT(_xlfn.TEXTJOIN("",TRUE,A181,"!",ADDRESS(5+A182*A178,8)))</f>
        <v>#N/A</v>
      </c>
      <c r="G179" s="120" t="s">
        <v>39</v>
      </c>
      <c r="H179" s="120"/>
      <c r="I179" s="109" t="e">
        <f ca="1">INDIRECT(_xlfn.TEXTJOIN("",TRUE,A181,"!",ADDRESS(5+A182*A178,10)))</f>
        <v>#N/A</v>
      </c>
      <c r="J179" s="109"/>
    </row>
    <row r="180" spans="1:10" ht="28" customHeight="1" x14ac:dyDescent="0.2">
      <c r="A180" s="19" t="s">
        <v>36</v>
      </c>
      <c r="B180" s="95" t="e">
        <f ca="1">INDIRECT(_xlfn.TEXTJOIN("",TRUE,A181,"!",ADDRESS(5+A182*A178,2)))</f>
        <v>#N/A</v>
      </c>
      <c r="C180" s="95"/>
      <c r="D180" s="121" t="s">
        <v>37</v>
      </c>
      <c r="E180" s="121"/>
      <c r="F180" s="122" t="e">
        <f ca="1">INDIRECT(_xlfn.TEXTJOIN("",TRUE,A181,"!",ADDRESS(5+A182*A178,5)))</f>
        <v>#N/A</v>
      </c>
      <c r="G180" s="122"/>
      <c r="H180" s="122"/>
      <c r="I180" s="122"/>
      <c r="J180" s="122"/>
    </row>
    <row r="181" spans="1:10" ht="28" customHeight="1" x14ac:dyDescent="0.2">
      <c r="A181" s="22" t="str">
        <f>A165</f>
        <v>TC_IV</v>
      </c>
    </row>
    <row r="182" spans="1:10" ht="28" customHeight="1" x14ac:dyDescent="0.2">
      <c r="A182" s="22">
        <f>A166+1</f>
        <v>11</v>
      </c>
    </row>
    <row r="183" spans="1:10" ht="28" customHeight="1" x14ac:dyDescent="0.2">
      <c r="A183" s="112" t="s">
        <v>24</v>
      </c>
      <c r="B183" s="112"/>
      <c r="C183" s="112" t="str">
        <f ca="1">INDIRECT(_xlfn.TEXTJOIN("",TRUE,A197,"!",ADDRESS(9+(A198-1)*A194,2)))</f>
        <v>KAMAL SINGH BISHT</v>
      </c>
      <c r="D183" s="112"/>
      <c r="E183" s="112"/>
      <c r="F183" s="112" t="s">
        <v>50</v>
      </c>
      <c r="G183" s="112"/>
      <c r="H183" s="112"/>
      <c r="I183" s="113">
        <f ca="1">INDIRECT(_xlfn.TEXTJOIN("",TRUE,A197,"!",ADDRESS(9+(A198-1)*A194,9)))</f>
        <v>240090600012</v>
      </c>
      <c r="J183" s="113"/>
    </row>
    <row r="184" spans="1:10" ht="28" customHeight="1" x14ac:dyDescent="0.2">
      <c r="A184" s="112" t="s">
        <v>25</v>
      </c>
      <c r="B184" s="112"/>
      <c r="C184" s="112" t="str">
        <f ca="1">INDIRECT(_xlfn.TEXTJOIN("",TRUE,A197,"!",ADDRESS(9+(A198-1)*A194,5)))</f>
        <v>SHIV SINGH BISHT</v>
      </c>
      <c r="D184" s="112"/>
      <c r="E184" s="112"/>
      <c r="F184" s="114" t="s">
        <v>51</v>
      </c>
      <c r="G184" s="114"/>
      <c r="H184" s="114"/>
      <c r="I184" s="113" t="str">
        <f ca="1">INDIRECT(_xlfn.TEXTJOIN("",TRUE,A197,"!",ADDRESS(9+(A198-1)*A194,13)))</f>
        <v>UTU/2406100182</v>
      </c>
      <c r="J184" s="113"/>
    </row>
    <row r="185" spans="1:10" ht="28" customHeight="1" x14ac:dyDescent="0.2">
      <c r="A185" s="95" t="s">
        <v>28</v>
      </c>
      <c r="B185" s="95"/>
      <c r="C185" s="95" t="s">
        <v>29</v>
      </c>
      <c r="D185" s="95"/>
      <c r="E185" s="95"/>
      <c r="F185" s="95"/>
      <c r="G185" s="95"/>
      <c r="H185" s="15" t="s">
        <v>30</v>
      </c>
      <c r="I185" s="15" t="s">
        <v>9</v>
      </c>
      <c r="J185" s="15" t="s">
        <v>34</v>
      </c>
    </row>
    <row r="186" spans="1:10" ht="28" customHeight="1" x14ac:dyDescent="0.2">
      <c r="A186" s="96" t="str">
        <f ca="1">INDIRECT(_xlfn.TEXTJOIN("",TRUE,A197,"!",ADDRESS(13+(A198-1)*A194,1)))</f>
        <v>CAT 022</v>
      </c>
      <c r="B186" s="97"/>
      <c r="C186" s="106" t="str">
        <f ca="1">INDIRECT(_xlfn.TEXTJOIN("",TRUE,A197,"!",ADDRESS(13+(A198-1)*A194,2)))</f>
        <v>Network Security</v>
      </c>
      <c r="D186" s="107"/>
      <c r="E186" s="107"/>
      <c r="F186" s="107"/>
      <c r="G186" s="108"/>
      <c r="H186" s="20">
        <f ca="1">INDIRECT(_xlfn.TEXTJOIN("",TRUE,A197,"!",ADDRESS(13+(A198-1)*A194,6)))</f>
        <v>4</v>
      </c>
      <c r="I186" s="20" t="str">
        <f ca="1">INDIRECT(_xlfn.TEXTJOIN("",TRUE,A197,"!",ADDRESS(13+(A198-1)*A194,13)))</f>
        <v>F</v>
      </c>
      <c r="J186" s="20">
        <f ca="1">INDIRECT(_xlfn.TEXTJOIN("",TRUE,A197,"!",ADDRESS(13+(A198-1)*A194,14)))</f>
        <v>0</v>
      </c>
    </row>
    <row r="187" spans="1:10" ht="28" customHeight="1" x14ac:dyDescent="0.2">
      <c r="A187" s="96" t="str">
        <f ca="1">INDIRECT(_xlfn.TEXTJOIN("",TRUE,A197,"!",ADDRESS(14+(A198-1)*A194,1)))</f>
        <v>Enroll No.</v>
      </c>
      <c r="B187" s="97"/>
      <c r="C187" s="106">
        <f ca="1">INDIRECT(_xlfn.TEXTJOIN("",TRUE,A197,"!",ADDRESS(14+(A198-1)*A194,2)))</f>
        <v>0</v>
      </c>
      <c r="D187" s="107"/>
      <c r="E187" s="107"/>
      <c r="F187" s="107"/>
      <c r="G187" s="108"/>
      <c r="H187" s="20">
        <f ca="1">INDIRECT(_xlfn.TEXTJOIN("",TRUE,A197,"!",ADDRESS(14+(A198-1)*A194,6)))</f>
        <v>0</v>
      </c>
      <c r="I187" s="20" t="b">
        <f ca="1">INDIRECT(_xlfn.TEXTJOIN("",TRUE,A197,"!",ADDRESS(14+(A198-1)*A194,13)))</f>
        <v>0</v>
      </c>
      <c r="J187" s="20" t="e">
        <f ca="1">INDIRECT(_xlfn.TEXTJOIN("",TRUE,A197,"!",ADDRESS(14+(A198-1)*A194,14)))</f>
        <v>#N/A</v>
      </c>
    </row>
    <row r="188" spans="1:10" ht="28" customHeight="1" x14ac:dyDescent="0.2">
      <c r="A188" s="96" t="str">
        <f ca="1">INDIRECT(_xlfn.TEXTJOIN("",TRUE,A197,"!",ADDRESS(15+(A198-1)*A194,1)))</f>
        <v>CAT 030</v>
      </c>
      <c r="B188" s="97"/>
      <c r="C188" s="106" t="str">
        <f ca="1">INDIRECT(_xlfn.TEXTJOIN("",TRUE,A197,"!",ADDRESS(15+(A198-1)*A194,2)))</f>
        <v>Software Testing &amp; Quality Assurance</v>
      </c>
      <c r="D188" s="107"/>
      <c r="E188" s="107"/>
      <c r="F188" s="107"/>
      <c r="G188" s="108"/>
      <c r="H188" s="20">
        <f ca="1">INDIRECT(_xlfn.TEXTJOIN("",TRUE,A197,"!",ADDRESS(15+(A198-1)*A194,6)))</f>
        <v>4</v>
      </c>
      <c r="I188" s="20" t="str">
        <f ca="1">INDIRECT(_xlfn.TEXTJOIN("",TRUE,A197,"!",ADDRESS(15+(A198-1)*A194,13)))</f>
        <v>F</v>
      </c>
      <c r="J188" s="20">
        <f ca="1">INDIRECT(_xlfn.TEXTJOIN("",TRUE,A197,"!",ADDRESS(15+(A198-1)*A194,14)))</f>
        <v>0</v>
      </c>
    </row>
    <row r="189" spans="1:10" ht="28" customHeight="1" x14ac:dyDescent="0.2">
      <c r="A189" s="96" t="str">
        <f ca="1">INDIRECT(_xlfn.TEXTJOIN("",TRUE,A197,"!",ADDRESS(16+(A198-1)*A194,1)))</f>
        <v>Enroll No.</v>
      </c>
      <c r="B189" s="97"/>
      <c r="C189" s="106">
        <f ca="1">INDIRECT(_xlfn.TEXTJOIN("",TRUE,A197,"!",ADDRESS(16+(A198-1)*A194,2)))</f>
        <v>0</v>
      </c>
      <c r="D189" s="107"/>
      <c r="E189" s="107"/>
      <c r="F189" s="107"/>
      <c r="G189" s="108"/>
      <c r="H189" s="20">
        <f ca="1">INDIRECT(_xlfn.TEXTJOIN("",TRUE,A197,"!",ADDRESS(16+(A198-1)*A194,6)))</f>
        <v>0</v>
      </c>
      <c r="I189" s="20" t="b">
        <f ca="1">INDIRECT(_xlfn.TEXTJOIN("",TRUE,A197,"!",ADDRESS(16+(A198-1)*A194,13)))</f>
        <v>0</v>
      </c>
      <c r="J189" s="20" t="e">
        <f ca="1">INDIRECT(_xlfn.TEXTJOIN("",TRUE,A197,"!",ADDRESS(16+(A198-1)*A194,14)))</f>
        <v>#N/A</v>
      </c>
    </row>
    <row r="190" spans="1:10" ht="28" customHeight="1" x14ac:dyDescent="0.2">
      <c r="A190" s="96" t="str">
        <f ca="1">INDIRECT(_xlfn.TEXTJOIN("",TRUE,A197,"!",ADDRESS(17+(A198-1)*A194,1)))</f>
        <v>CAP 011</v>
      </c>
      <c r="B190" s="97"/>
      <c r="C190" s="106" t="str">
        <f ca="1">INDIRECT(_xlfn.TEXTJOIN("",TRUE,A197,"!",ADDRESS(17+(A198-1)*A194,2)))</f>
        <v>Network Security Lab</v>
      </c>
      <c r="D190" s="107"/>
      <c r="E190" s="107"/>
      <c r="F190" s="107"/>
      <c r="G190" s="108"/>
      <c r="H190" s="20">
        <f ca="1">INDIRECT(_xlfn.TEXTJOIN("",TRUE,A197,"!",ADDRESS(17+(A198-1)*A194,6)))</f>
        <v>1</v>
      </c>
      <c r="I190" s="20" t="str">
        <f ca="1">INDIRECT(_xlfn.TEXTJOIN("",TRUE,A197,"!",ADDRESS(17+(A198-1)*A194,13)))</f>
        <v>F</v>
      </c>
      <c r="J190" s="20">
        <f ca="1">INDIRECT(_xlfn.TEXTJOIN("",TRUE,A197,"!",ADDRESS(17+(A198-1)*A194,14)))</f>
        <v>0</v>
      </c>
    </row>
    <row r="191" spans="1:10" ht="28" customHeight="1" x14ac:dyDescent="0.2">
      <c r="A191" s="96" t="str">
        <f ca="1">INDIRECT(_xlfn.TEXTJOIN("",TRUE,A197,"!",ADDRESS(18+(A198-1)*A194,1)))</f>
        <v>Enroll No.</v>
      </c>
      <c r="B191" s="97"/>
      <c r="C191" s="106">
        <f ca="1">INDIRECT(_xlfn.TEXTJOIN("",TRUE,A197,"!",ADDRESS(18+(A198-1)*A194,2)))</f>
        <v>0</v>
      </c>
      <c r="D191" s="107"/>
      <c r="E191" s="107"/>
      <c r="F191" s="107"/>
      <c r="G191" s="108"/>
      <c r="H191" s="20">
        <f ca="1">INDIRECT(_xlfn.TEXTJOIN("",TRUE,A197,"!",ADDRESS(18+(A198-1)*A194,6)))</f>
        <v>0</v>
      </c>
      <c r="I191" s="20" t="b">
        <f ca="1">INDIRECT(_xlfn.TEXTJOIN("",TRUE,A197,"!",ADDRESS(18+(A198-1)*A194,13)))</f>
        <v>0</v>
      </c>
      <c r="J191" s="20" t="e">
        <f ca="1">INDIRECT(_xlfn.TEXTJOIN("",TRUE,A197,"!",ADDRESS(18+(A198-1)*A194,14)))</f>
        <v>#N/A</v>
      </c>
    </row>
    <row r="192" spans="1:10" ht="28" customHeight="1" x14ac:dyDescent="0.2">
      <c r="A192" s="96" t="str">
        <f ca="1">INDIRECT(_xlfn.TEXTJOIN("",TRUE,A197,"!",ADDRESS(19+(A198-1)*A194,1)))</f>
        <v>CAP 013</v>
      </c>
      <c r="B192" s="97"/>
      <c r="C192" s="106" t="str">
        <f ca="1">INDIRECT(_xlfn.TEXTJOIN("",TRUE,A197,"!",ADDRESS(19+(A198-1)*A194,2)))</f>
        <v>Major Project</v>
      </c>
      <c r="D192" s="107"/>
      <c r="E192" s="107"/>
      <c r="F192" s="107"/>
      <c r="G192" s="108"/>
      <c r="H192" s="20">
        <f ca="1">INDIRECT(_xlfn.TEXTJOIN("",TRUE,A197,"!",ADDRESS(19+(A198-1)*A194,6)))</f>
        <v>6</v>
      </c>
      <c r="I192" s="20" t="str">
        <f ca="1">INDIRECT(_xlfn.TEXTJOIN("",TRUE,A197,"!",ADDRESS(19+(A198-1)*A194,13)))</f>
        <v>F</v>
      </c>
      <c r="J192" s="20">
        <f ca="1">INDIRECT(_xlfn.TEXTJOIN("",TRUE,A197,"!",ADDRESS(19+(A198-1)*A194,14)))</f>
        <v>0</v>
      </c>
    </row>
    <row r="193" spans="1:10" ht="28" customHeight="1" x14ac:dyDescent="0.2">
      <c r="A193" s="118" t="s">
        <v>52</v>
      </c>
      <c r="B193" s="118"/>
      <c r="C193" s="118"/>
      <c r="D193" s="118"/>
      <c r="E193" s="118"/>
      <c r="F193" s="118"/>
      <c r="G193" s="118"/>
      <c r="H193" s="16">
        <f ca="1">SUM(H186:H192)</f>
        <v>15</v>
      </c>
      <c r="I193" s="16" t="s">
        <v>44</v>
      </c>
      <c r="J193" s="16" t="e">
        <f ca="1">SUMPRODUCT(J186:J192,H186:H192)</f>
        <v>#N/A</v>
      </c>
    </row>
    <row r="194" spans="1:10" ht="28" customHeight="1" x14ac:dyDescent="0.2">
      <c r="A194" s="22">
        <f>ROWS(A186:B192)+9</f>
        <v>16</v>
      </c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1:10" ht="28" customHeight="1" x14ac:dyDescent="0.2">
      <c r="A195" s="120" t="s">
        <v>40</v>
      </c>
      <c r="B195" s="120"/>
      <c r="C195" s="21">
        <f ca="1">INDIRECT(_xlfn.TEXTJOIN("",TRUE,A197,"!",ADDRESS(5+A198*A194,12)))</f>
        <v>0</v>
      </c>
      <c r="D195" s="120" t="s">
        <v>38</v>
      </c>
      <c r="E195" s="120"/>
      <c r="F195" s="18" t="e">
        <f ca="1">INDIRECT(_xlfn.TEXTJOIN("",TRUE,A197,"!",ADDRESS(5+A198*A194,8)))</f>
        <v>#N/A</v>
      </c>
      <c r="G195" s="120" t="s">
        <v>39</v>
      </c>
      <c r="H195" s="120"/>
      <c r="I195" s="109" t="e">
        <f ca="1">INDIRECT(_xlfn.TEXTJOIN("",TRUE,A197,"!",ADDRESS(5+A198*A194,10)))</f>
        <v>#N/A</v>
      </c>
      <c r="J195" s="109"/>
    </row>
    <row r="196" spans="1:10" ht="28" customHeight="1" x14ac:dyDescent="0.2">
      <c r="A196" s="19" t="s">
        <v>36</v>
      </c>
      <c r="B196" s="95" t="e">
        <f ca="1">INDIRECT(_xlfn.TEXTJOIN("",TRUE,A197,"!",ADDRESS(5+A198*A194,2)))</f>
        <v>#N/A</v>
      </c>
      <c r="C196" s="95"/>
      <c r="D196" s="121" t="s">
        <v>37</v>
      </c>
      <c r="E196" s="121"/>
      <c r="F196" s="122" t="e">
        <f ca="1">INDIRECT(_xlfn.TEXTJOIN("",TRUE,A197,"!",ADDRESS(5+A198*A194,5)))</f>
        <v>#N/A</v>
      </c>
      <c r="G196" s="122"/>
      <c r="H196" s="122"/>
      <c r="I196" s="122"/>
      <c r="J196" s="122"/>
    </row>
    <row r="197" spans="1:10" ht="28" customHeight="1" x14ac:dyDescent="0.2">
      <c r="A197" s="22" t="str">
        <f>A181</f>
        <v>TC_IV</v>
      </c>
    </row>
    <row r="198" spans="1:10" ht="28" customHeight="1" x14ac:dyDescent="0.2">
      <c r="A198" s="22">
        <f>A182+1</f>
        <v>12</v>
      </c>
    </row>
    <row r="199" spans="1:10" ht="28" customHeight="1" x14ac:dyDescent="0.2">
      <c r="A199" s="112" t="s">
        <v>24</v>
      </c>
      <c r="B199" s="112"/>
      <c r="C199" s="112" t="str">
        <f ca="1">INDIRECT(_xlfn.TEXTJOIN("",TRUE,A213,"!",ADDRESS(9+(A214-1)*A210,2)))</f>
        <v>KRISHNA BHATT</v>
      </c>
      <c r="D199" s="112"/>
      <c r="E199" s="112"/>
      <c r="F199" s="112" t="s">
        <v>50</v>
      </c>
      <c r="G199" s="112"/>
      <c r="H199" s="112"/>
      <c r="I199" s="113">
        <f ca="1">INDIRECT(_xlfn.TEXTJOIN("",TRUE,A213,"!",ADDRESS(9+(A214-1)*A210,9)))</f>
        <v>240090600013</v>
      </c>
      <c r="J199" s="113"/>
    </row>
    <row r="200" spans="1:10" ht="28" customHeight="1" x14ac:dyDescent="0.2">
      <c r="A200" s="112" t="s">
        <v>25</v>
      </c>
      <c r="B200" s="112"/>
      <c r="C200" s="112" t="str">
        <f ca="1">INDIRECT(_xlfn.TEXTJOIN("",TRUE,A213,"!",ADDRESS(9+(A214-1)*A210,5)))</f>
        <v>HARENDRA PRASAD BHATT</v>
      </c>
      <c r="D200" s="112"/>
      <c r="E200" s="112"/>
      <c r="F200" s="114" t="s">
        <v>51</v>
      </c>
      <c r="G200" s="114"/>
      <c r="H200" s="114"/>
      <c r="I200" s="113" t="str">
        <f ca="1">INDIRECT(_xlfn.TEXTJOIN("",TRUE,A213,"!",ADDRESS(9+(A214-1)*A210,13)))</f>
        <v>UTU/2406100175</v>
      </c>
      <c r="J200" s="113"/>
    </row>
    <row r="201" spans="1:10" ht="28" customHeight="1" x14ac:dyDescent="0.2">
      <c r="A201" s="95" t="s">
        <v>28</v>
      </c>
      <c r="B201" s="95"/>
      <c r="C201" s="95" t="s">
        <v>29</v>
      </c>
      <c r="D201" s="95"/>
      <c r="E201" s="95"/>
      <c r="F201" s="95"/>
      <c r="G201" s="95"/>
      <c r="H201" s="15" t="s">
        <v>30</v>
      </c>
      <c r="I201" s="15" t="s">
        <v>9</v>
      </c>
      <c r="J201" s="15" t="s">
        <v>34</v>
      </c>
    </row>
    <row r="202" spans="1:10" ht="28" customHeight="1" x14ac:dyDescent="0.2">
      <c r="A202" s="96" t="str">
        <f ca="1">INDIRECT(_xlfn.TEXTJOIN("",TRUE,A213,"!",ADDRESS(13+(A214-1)*A210,1)))</f>
        <v>CAT 022</v>
      </c>
      <c r="B202" s="97"/>
      <c r="C202" s="106" t="str">
        <f ca="1">INDIRECT(_xlfn.TEXTJOIN("",TRUE,A213,"!",ADDRESS(13+(A214-1)*A210,2)))</f>
        <v>Network Security</v>
      </c>
      <c r="D202" s="107"/>
      <c r="E202" s="107"/>
      <c r="F202" s="107"/>
      <c r="G202" s="108"/>
      <c r="H202" s="20">
        <f ca="1">INDIRECT(_xlfn.TEXTJOIN("",TRUE,A213,"!",ADDRESS(13+(A214-1)*A210,6)))</f>
        <v>4</v>
      </c>
      <c r="I202" s="20" t="str">
        <f ca="1">INDIRECT(_xlfn.TEXTJOIN("",TRUE,A213,"!",ADDRESS(13+(A214-1)*A210,13)))</f>
        <v>F</v>
      </c>
      <c r="J202" s="20">
        <f ca="1">INDIRECT(_xlfn.TEXTJOIN("",TRUE,A213,"!",ADDRESS(13+(A214-1)*A210,14)))</f>
        <v>0</v>
      </c>
    </row>
    <row r="203" spans="1:10" ht="28" customHeight="1" x14ac:dyDescent="0.2">
      <c r="A203" s="96" t="str">
        <f ca="1">INDIRECT(_xlfn.TEXTJOIN("",TRUE,A213,"!",ADDRESS(14+(A214-1)*A210,1)))</f>
        <v>Enroll No.</v>
      </c>
      <c r="B203" s="97"/>
      <c r="C203" s="106">
        <f ca="1">INDIRECT(_xlfn.TEXTJOIN("",TRUE,A213,"!",ADDRESS(14+(A214-1)*A210,2)))</f>
        <v>0</v>
      </c>
      <c r="D203" s="107"/>
      <c r="E203" s="107"/>
      <c r="F203" s="107"/>
      <c r="G203" s="108"/>
      <c r="H203" s="20">
        <f ca="1">INDIRECT(_xlfn.TEXTJOIN("",TRUE,A213,"!",ADDRESS(14+(A214-1)*A210,6)))</f>
        <v>0</v>
      </c>
      <c r="I203" s="20" t="b">
        <f ca="1">INDIRECT(_xlfn.TEXTJOIN("",TRUE,A213,"!",ADDRESS(14+(A214-1)*A210,13)))</f>
        <v>0</v>
      </c>
      <c r="J203" s="20" t="e">
        <f ca="1">INDIRECT(_xlfn.TEXTJOIN("",TRUE,A213,"!",ADDRESS(14+(A214-1)*A210,14)))</f>
        <v>#N/A</v>
      </c>
    </row>
    <row r="204" spans="1:10" ht="28" customHeight="1" x14ac:dyDescent="0.2">
      <c r="A204" s="96" t="str">
        <f ca="1">INDIRECT(_xlfn.TEXTJOIN("",TRUE,A213,"!",ADDRESS(15+(A214-1)*A210,1)))</f>
        <v>CAT 030</v>
      </c>
      <c r="B204" s="97"/>
      <c r="C204" s="106" t="str">
        <f ca="1">INDIRECT(_xlfn.TEXTJOIN("",TRUE,A213,"!",ADDRESS(15+(A214-1)*A210,2)))</f>
        <v>Software Testing &amp; Quality Assurance</v>
      </c>
      <c r="D204" s="107"/>
      <c r="E204" s="107"/>
      <c r="F204" s="107"/>
      <c r="G204" s="108"/>
      <c r="H204" s="20">
        <f ca="1">INDIRECT(_xlfn.TEXTJOIN("",TRUE,A213,"!",ADDRESS(15+(A214-1)*A210,6)))</f>
        <v>4</v>
      </c>
      <c r="I204" s="20" t="str">
        <f ca="1">INDIRECT(_xlfn.TEXTJOIN("",TRUE,A213,"!",ADDRESS(15+(A214-1)*A210,13)))</f>
        <v>F</v>
      </c>
      <c r="J204" s="20">
        <f ca="1">INDIRECT(_xlfn.TEXTJOIN("",TRUE,A213,"!",ADDRESS(15+(A214-1)*A210,14)))</f>
        <v>0</v>
      </c>
    </row>
    <row r="205" spans="1:10" ht="28" customHeight="1" x14ac:dyDescent="0.2">
      <c r="A205" s="96" t="str">
        <f ca="1">INDIRECT(_xlfn.TEXTJOIN("",TRUE,A213,"!",ADDRESS(16+(A214-1)*A210,1)))</f>
        <v>Enroll No.</v>
      </c>
      <c r="B205" s="97"/>
      <c r="C205" s="106">
        <f ca="1">INDIRECT(_xlfn.TEXTJOIN("",TRUE,A213,"!",ADDRESS(16+(A214-1)*A210,2)))</f>
        <v>0</v>
      </c>
      <c r="D205" s="107"/>
      <c r="E205" s="107"/>
      <c r="F205" s="107"/>
      <c r="G205" s="108"/>
      <c r="H205" s="20">
        <f ca="1">INDIRECT(_xlfn.TEXTJOIN("",TRUE,A213,"!",ADDRESS(16+(A214-1)*A210,6)))</f>
        <v>0</v>
      </c>
      <c r="I205" s="20" t="b">
        <f ca="1">INDIRECT(_xlfn.TEXTJOIN("",TRUE,A213,"!",ADDRESS(16+(A214-1)*A210,13)))</f>
        <v>0</v>
      </c>
      <c r="J205" s="20" t="e">
        <f ca="1">INDIRECT(_xlfn.TEXTJOIN("",TRUE,A213,"!",ADDRESS(16+(A214-1)*A210,14)))</f>
        <v>#N/A</v>
      </c>
    </row>
    <row r="206" spans="1:10" ht="28" customHeight="1" x14ac:dyDescent="0.2">
      <c r="A206" s="96" t="str">
        <f ca="1">INDIRECT(_xlfn.TEXTJOIN("",TRUE,A213,"!",ADDRESS(17+(A214-1)*A210,1)))</f>
        <v>CAP 011</v>
      </c>
      <c r="B206" s="97"/>
      <c r="C206" s="106" t="str">
        <f ca="1">INDIRECT(_xlfn.TEXTJOIN("",TRUE,A213,"!",ADDRESS(17+(A214-1)*A210,2)))</f>
        <v>Network Security Lab</v>
      </c>
      <c r="D206" s="107"/>
      <c r="E206" s="107"/>
      <c r="F206" s="107"/>
      <c r="G206" s="108"/>
      <c r="H206" s="20">
        <f ca="1">INDIRECT(_xlfn.TEXTJOIN("",TRUE,A213,"!",ADDRESS(17+(A214-1)*A210,6)))</f>
        <v>1</v>
      </c>
      <c r="I206" s="20" t="str">
        <f ca="1">INDIRECT(_xlfn.TEXTJOIN("",TRUE,A213,"!",ADDRESS(17+(A214-1)*A210,13)))</f>
        <v>F</v>
      </c>
      <c r="J206" s="20">
        <f ca="1">INDIRECT(_xlfn.TEXTJOIN("",TRUE,A213,"!",ADDRESS(17+(A214-1)*A210,14)))</f>
        <v>0</v>
      </c>
    </row>
    <row r="207" spans="1:10" ht="28" customHeight="1" x14ac:dyDescent="0.2">
      <c r="A207" s="96" t="str">
        <f ca="1">INDIRECT(_xlfn.TEXTJOIN("",TRUE,A213,"!",ADDRESS(18+(A214-1)*A210,1)))</f>
        <v>Enroll No.</v>
      </c>
      <c r="B207" s="97"/>
      <c r="C207" s="106">
        <f ca="1">INDIRECT(_xlfn.TEXTJOIN("",TRUE,A213,"!",ADDRESS(18+(A214-1)*A210,2)))</f>
        <v>0</v>
      </c>
      <c r="D207" s="107"/>
      <c r="E207" s="107"/>
      <c r="F207" s="107"/>
      <c r="G207" s="108"/>
      <c r="H207" s="20">
        <f ca="1">INDIRECT(_xlfn.TEXTJOIN("",TRUE,A213,"!",ADDRESS(18+(A214-1)*A210,6)))</f>
        <v>0</v>
      </c>
      <c r="I207" s="20" t="b">
        <f ca="1">INDIRECT(_xlfn.TEXTJOIN("",TRUE,A213,"!",ADDRESS(18+(A214-1)*A210,13)))</f>
        <v>0</v>
      </c>
      <c r="J207" s="20" t="e">
        <f ca="1">INDIRECT(_xlfn.TEXTJOIN("",TRUE,A213,"!",ADDRESS(18+(A214-1)*A210,14)))</f>
        <v>#N/A</v>
      </c>
    </row>
    <row r="208" spans="1:10" ht="28" customHeight="1" x14ac:dyDescent="0.2">
      <c r="A208" s="96" t="str">
        <f ca="1">INDIRECT(_xlfn.TEXTJOIN("",TRUE,A213,"!",ADDRESS(19+(A214-1)*A210,1)))</f>
        <v>CAP 013</v>
      </c>
      <c r="B208" s="97"/>
      <c r="C208" s="106" t="str">
        <f ca="1">INDIRECT(_xlfn.TEXTJOIN("",TRUE,A213,"!",ADDRESS(19+(A214-1)*A210,2)))</f>
        <v>Major Project</v>
      </c>
      <c r="D208" s="107"/>
      <c r="E208" s="107"/>
      <c r="F208" s="107"/>
      <c r="G208" s="108"/>
      <c r="H208" s="20">
        <f ca="1">INDIRECT(_xlfn.TEXTJOIN("",TRUE,A213,"!",ADDRESS(19+(A214-1)*A210,6)))</f>
        <v>6</v>
      </c>
      <c r="I208" s="20" t="str">
        <f ca="1">INDIRECT(_xlfn.TEXTJOIN("",TRUE,A213,"!",ADDRESS(19+(A214-1)*A210,13)))</f>
        <v>F</v>
      </c>
      <c r="J208" s="20">
        <f ca="1">INDIRECT(_xlfn.TEXTJOIN("",TRUE,A213,"!",ADDRESS(19+(A214-1)*A210,14)))</f>
        <v>0</v>
      </c>
    </row>
    <row r="209" spans="1:10" ht="28" customHeight="1" x14ac:dyDescent="0.2">
      <c r="A209" s="118" t="s">
        <v>52</v>
      </c>
      <c r="B209" s="118"/>
      <c r="C209" s="118"/>
      <c r="D209" s="118"/>
      <c r="E209" s="118"/>
      <c r="F209" s="118"/>
      <c r="G209" s="118"/>
      <c r="H209" s="16">
        <f ca="1">SUM(H202:H208)</f>
        <v>15</v>
      </c>
      <c r="I209" s="16" t="s">
        <v>44</v>
      </c>
      <c r="J209" s="16" t="e">
        <f ca="1">SUMPRODUCT(J202:J208,H202:H208)</f>
        <v>#N/A</v>
      </c>
    </row>
    <row r="210" spans="1:10" ht="28" customHeight="1" x14ac:dyDescent="0.2">
      <c r="A210" s="22">
        <f>ROWS(A202:B208)+9</f>
        <v>16</v>
      </c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1:10" ht="28" customHeight="1" x14ac:dyDescent="0.2">
      <c r="A211" s="120" t="s">
        <v>40</v>
      </c>
      <c r="B211" s="120"/>
      <c r="C211" s="21">
        <f ca="1">INDIRECT(_xlfn.TEXTJOIN("",TRUE,A213,"!",ADDRESS(5+A214*A210,12)))</f>
        <v>0</v>
      </c>
      <c r="D211" s="120" t="s">
        <v>38</v>
      </c>
      <c r="E211" s="120"/>
      <c r="F211" s="18" t="e">
        <f ca="1">INDIRECT(_xlfn.TEXTJOIN("",TRUE,A213,"!",ADDRESS(5+A214*A210,8)))</f>
        <v>#N/A</v>
      </c>
      <c r="G211" s="120" t="s">
        <v>39</v>
      </c>
      <c r="H211" s="120"/>
      <c r="I211" s="109" t="e">
        <f ca="1">INDIRECT(_xlfn.TEXTJOIN("",TRUE,A213,"!",ADDRESS(5+A214*A210,10)))</f>
        <v>#N/A</v>
      </c>
      <c r="J211" s="109"/>
    </row>
    <row r="212" spans="1:10" ht="28" customHeight="1" x14ac:dyDescent="0.2">
      <c r="A212" s="19" t="s">
        <v>36</v>
      </c>
      <c r="B212" s="95" t="e">
        <f ca="1">INDIRECT(_xlfn.TEXTJOIN("",TRUE,A213,"!",ADDRESS(5+A214*A210,2)))</f>
        <v>#N/A</v>
      </c>
      <c r="C212" s="95"/>
      <c r="D212" s="121" t="s">
        <v>37</v>
      </c>
      <c r="E212" s="121"/>
      <c r="F212" s="122" t="e">
        <f ca="1">INDIRECT(_xlfn.TEXTJOIN("",TRUE,A213,"!",ADDRESS(5+A214*A210,5)))</f>
        <v>#N/A</v>
      </c>
      <c r="G212" s="122"/>
      <c r="H212" s="122"/>
      <c r="I212" s="122"/>
      <c r="J212" s="122"/>
    </row>
    <row r="213" spans="1:10" ht="28" customHeight="1" x14ac:dyDescent="0.2">
      <c r="A213" s="22" t="str">
        <f>A197</f>
        <v>TC_IV</v>
      </c>
    </row>
    <row r="214" spans="1:10" ht="28" customHeight="1" x14ac:dyDescent="0.2">
      <c r="A214" s="22">
        <f>A198+1</f>
        <v>13</v>
      </c>
    </row>
    <row r="215" spans="1:10" ht="28" customHeight="1" x14ac:dyDescent="0.2">
      <c r="A215" s="112" t="s">
        <v>24</v>
      </c>
      <c r="B215" s="112"/>
      <c r="C215" s="112" t="str">
        <f ca="1">INDIRECT(_xlfn.TEXTJOIN("",TRUE,A229,"!",ADDRESS(9+(A230-1)*A226,2)))</f>
        <v>MANSI SAINI</v>
      </c>
      <c r="D215" s="112"/>
      <c r="E215" s="112"/>
      <c r="F215" s="112" t="s">
        <v>50</v>
      </c>
      <c r="G215" s="112"/>
      <c r="H215" s="112"/>
      <c r="I215" s="113">
        <f ca="1">INDIRECT(_xlfn.TEXTJOIN("",TRUE,A229,"!",ADDRESS(9+(A230-1)*A226,9)))</f>
        <v>240090600014</v>
      </c>
      <c r="J215" s="113"/>
    </row>
    <row r="216" spans="1:10" ht="28" customHeight="1" x14ac:dyDescent="0.2">
      <c r="A216" s="112" t="s">
        <v>25</v>
      </c>
      <c r="B216" s="112"/>
      <c r="C216" s="112" t="str">
        <f ca="1">INDIRECT(_xlfn.TEXTJOIN("",TRUE,A229,"!",ADDRESS(9+(A230-1)*A226,5)))</f>
        <v>ASHOK KUMAR SAINI</v>
      </c>
      <c r="D216" s="112"/>
      <c r="E216" s="112"/>
      <c r="F216" s="114" t="s">
        <v>51</v>
      </c>
      <c r="G216" s="114"/>
      <c r="H216" s="114"/>
      <c r="I216" s="113" t="str">
        <f ca="1">INDIRECT(_xlfn.TEXTJOIN("",TRUE,A229,"!",ADDRESS(9+(A230-1)*A226,13)))</f>
        <v>UTU/2406100188</v>
      </c>
      <c r="J216" s="113"/>
    </row>
    <row r="217" spans="1:10" ht="28" customHeight="1" x14ac:dyDescent="0.2">
      <c r="A217" s="95" t="s">
        <v>28</v>
      </c>
      <c r="B217" s="95"/>
      <c r="C217" s="95" t="s">
        <v>29</v>
      </c>
      <c r="D217" s="95"/>
      <c r="E217" s="95"/>
      <c r="F217" s="95"/>
      <c r="G217" s="95"/>
      <c r="H217" s="15" t="s">
        <v>30</v>
      </c>
      <c r="I217" s="15" t="s">
        <v>9</v>
      </c>
      <c r="J217" s="15" t="s">
        <v>34</v>
      </c>
    </row>
    <row r="218" spans="1:10" ht="28" customHeight="1" x14ac:dyDescent="0.2">
      <c r="A218" s="96" t="str">
        <f ca="1">INDIRECT(_xlfn.TEXTJOIN("",TRUE,A229,"!",ADDRESS(13+(A230-1)*A226,1)))</f>
        <v>CAT 022</v>
      </c>
      <c r="B218" s="97"/>
      <c r="C218" s="106" t="str">
        <f ca="1">INDIRECT(_xlfn.TEXTJOIN("",TRUE,A229,"!",ADDRESS(13+(A230-1)*A226,2)))</f>
        <v>Network Security</v>
      </c>
      <c r="D218" s="107"/>
      <c r="E218" s="107"/>
      <c r="F218" s="107"/>
      <c r="G218" s="108"/>
      <c r="H218" s="20">
        <f ca="1">INDIRECT(_xlfn.TEXTJOIN("",TRUE,A229,"!",ADDRESS(13+(A230-1)*A226,6)))</f>
        <v>4</v>
      </c>
      <c r="I218" s="20" t="str">
        <f ca="1">INDIRECT(_xlfn.TEXTJOIN("",TRUE,A229,"!",ADDRESS(13+(A230-1)*A226,13)))</f>
        <v>F</v>
      </c>
      <c r="J218" s="20">
        <f ca="1">INDIRECT(_xlfn.TEXTJOIN("",TRUE,A229,"!",ADDRESS(13+(A230-1)*A226,14)))</f>
        <v>0</v>
      </c>
    </row>
    <row r="219" spans="1:10" ht="28" customHeight="1" x14ac:dyDescent="0.2">
      <c r="A219" s="96" t="str">
        <f ca="1">INDIRECT(_xlfn.TEXTJOIN("",TRUE,A229,"!",ADDRESS(14+(A230-1)*A226,1)))</f>
        <v>Enroll No.</v>
      </c>
      <c r="B219" s="97"/>
      <c r="C219" s="106">
        <f ca="1">INDIRECT(_xlfn.TEXTJOIN("",TRUE,A229,"!",ADDRESS(14+(A230-1)*A226,2)))</f>
        <v>0</v>
      </c>
      <c r="D219" s="107"/>
      <c r="E219" s="107"/>
      <c r="F219" s="107"/>
      <c r="G219" s="108"/>
      <c r="H219" s="20">
        <f ca="1">INDIRECT(_xlfn.TEXTJOIN("",TRUE,A229,"!",ADDRESS(14+(A230-1)*A226,6)))</f>
        <v>0</v>
      </c>
      <c r="I219" s="20" t="b">
        <f ca="1">INDIRECT(_xlfn.TEXTJOIN("",TRUE,A229,"!",ADDRESS(14+(A230-1)*A226,13)))</f>
        <v>0</v>
      </c>
      <c r="J219" s="20" t="e">
        <f ca="1">INDIRECT(_xlfn.TEXTJOIN("",TRUE,A229,"!",ADDRESS(14+(A230-1)*A226,14)))</f>
        <v>#N/A</v>
      </c>
    </row>
    <row r="220" spans="1:10" ht="28" customHeight="1" x14ac:dyDescent="0.2">
      <c r="A220" s="96" t="str">
        <f ca="1">INDIRECT(_xlfn.TEXTJOIN("",TRUE,A229,"!",ADDRESS(15+(A230-1)*A226,1)))</f>
        <v>CAT 030</v>
      </c>
      <c r="B220" s="97"/>
      <c r="C220" s="106" t="str">
        <f ca="1">INDIRECT(_xlfn.TEXTJOIN("",TRUE,A229,"!",ADDRESS(15+(A230-1)*A226,2)))</f>
        <v>Software Testing &amp; Quality Assurance</v>
      </c>
      <c r="D220" s="107"/>
      <c r="E220" s="107"/>
      <c r="F220" s="107"/>
      <c r="G220" s="108"/>
      <c r="H220" s="20">
        <f ca="1">INDIRECT(_xlfn.TEXTJOIN("",TRUE,A229,"!",ADDRESS(15+(A230-1)*A226,6)))</f>
        <v>4</v>
      </c>
      <c r="I220" s="20" t="str">
        <f ca="1">INDIRECT(_xlfn.TEXTJOIN("",TRUE,A229,"!",ADDRESS(15+(A230-1)*A226,13)))</f>
        <v>F</v>
      </c>
      <c r="J220" s="20">
        <f ca="1">INDIRECT(_xlfn.TEXTJOIN("",TRUE,A229,"!",ADDRESS(15+(A230-1)*A226,14)))</f>
        <v>0</v>
      </c>
    </row>
    <row r="221" spans="1:10" ht="28" customHeight="1" x14ac:dyDescent="0.2">
      <c r="A221" s="96" t="str">
        <f ca="1">INDIRECT(_xlfn.TEXTJOIN("",TRUE,A229,"!",ADDRESS(16+(A230-1)*A226,1)))</f>
        <v>Enroll No.</v>
      </c>
      <c r="B221" s="97"/>
      <c r="C221" s="106">
        <f ca="1">INDIRECT(_xlfn.TEXTJOIN("",TRUE,A229,"!",ADDRESS(16+(A230-1)*A226,2)))</f>
        <v>0</v>
      </c>
      <c r="D221" s="107"/>
      <c r="E221" s="107"/>
      <c r="F221" s="107"/>
      <c r="G221" s="108"/>
      <c r="H221" s="20">
        <f ca="1">INDIRECT(_xlfn.TEXTJOIN("",TRUE,A229,"!",ADDRESS(16+(A230-1)*A226,6)))</f>
        <v>0</v>
      </c>
      <c r="I221" s="20" t="b">
        <f ca="1">INDIRECT(_xlfn.TEXTJOIN("",TRUE,A229,"!",ADDRESS(16+(A230-1)*A226,13)))</f>
        <v>0</v>
      </c>
      <c r="J221" s="20" t="e">
        <f ca="1">INDIRECT(_xlfn.TEXTJOIN("",TRUE,A229,"!",ADDRESS(16+(A230-1)*A226,14)))</f>
        <v>#N/A</v>
      </c>
    </row>
    <row r="222" spans="1:10" ht="28" customHeight="1" x14ac:dyDescent="0.2">
      <c r="A222" s="96" t="str">
        <f ca="1">INDIRECT(_xlfn.TEXTJOIN("",TRUE,A229,"!",ADDRESS(17+(A230-1)*A226,1)))</f>
        <v>CAP 011</v>
      </c>
      <c r="B222" s="97"/>
      <c r="C222" s="106" t="str">
        <f ca="1">INDIRECT(_xlfn.TEXTJOIN("",TRUE,A229,"!",ADDRESS(17+(A230-1)*A226,2)))</f>
        <v>Network Security Lab</v>
      </c>
      <c r="D222" s="107"/>
      <c r="E222" s="107"/>
      <c r="F222" s="107"/>
      <c r="G222" s="108"/>
      <c r="H222" s="20">
        <f ca="1">INDIRECT(_xlfn.TEXTJOIN("",TRUE,A229,"!",ADDRESS(17+(A230-1)*A226,6)))</f>
        <v>1</v>
      </c>
      <c r="I222" s="20" t="str">
        <f ca="1">INDIRECT(_xlfn.TEXTJOIN("",TRUE,A229,"!",ADDRESS(17+(A230-1)*A226,13)))</f>
        <v>F</v>
      </c>
      <c r="J222" s="20">
        <f ca="1">INDIRECT(_xlfn.TEXTJOIN("",TRUE,A229,"!",ADDRESS(17+(A230-1)*A226,14)))</f>
        <v>0</v>
      </c>
    </row>
    <row r="223" spans="1:10" ht="28" customHeight="1" x14ac:dyDescent="0.2">
      <c r="A223" s="96" t="str">
        <f ca="1">INDIRECT(_xlfn.TEXTJOIN("",TRUE,A229,"!",ADDRESS(18+(A230-1)*A226,1)))</f>
        <v>Enroll No.</v>
      </c>
      <c r="B223" s="97"/>
      <c r="C223" s="106">
        <f ca="1">INDIRECT(_xlfn.TEXTJOIN("",TRUE,A229,"!",ADDRESS(18+(A230-1)*A226,2)))</f>
        <v>0</v>
      </c>
      <c r="D223" s="107"/>
      <c r="E223" s="107"/>
      <c r="F223" s="107"/>
      <c r="G223" s="108"/>
      <c r="H223" s="20">
        <f ca="1">INDIRECT(_xlfn.TEXTJOIN("",TRUE,A229,"!",ADDRESS(18+(A230-1)*A226,6)))</f>
        <v>0</v>
      </c>
      <c r="I223" s="20" t="b">
        <f ca="1">INDIRECT(_xlfn.TEXTJOIN("",TRUE,A229,"!",ADDRESS(18+(A230-1)*A226,13)))</f>
        <v>0</v>
      </c>
      <c r="J223" s="20" t="e">
        <f ca="1">INDIRECT(_xlfn.TEXTJOIN("",TRUE,A229,"!",ADDRESS(18+(A230-1)*A226,14)))</f>
        <v>#N/A</v>
      </c>
    </row>
    <row r="224" spans="1:10" ht="28" customHeight="1" x14ac:dyDescent="0.2">
      <c r="A224" s="96" t="str">
        <f ca="1">INDIRECT(_xlfn.TEXTJOIN("",TRUE,A229,"!",ADDRESS(19+(A230-1)*A226,1)))</f>
        <v>CAP 013</v>
      </c>
      <c r="B224" s="97"/>
      <c r="C224" s="106" t="str">
        <f ca="1">INDIRECT(_xlfn.TEXTJOIN("",TRUE,A229,"!",ADDRESS(19+(A230-1)*A226,2)))</f>
        <v>Major Project</v>
      </c>
      <c r="D224" s="107"/>
      <c r="E224" s="107"/>
      <c r="F224" s="107"/>
      <c r="G224" s="108"/>
      <c r="H224" s="20">
        <f ca="1">INDIRECT(_xlfn.TEXTJOIN("",TRUE,A229,"!",ADDRESS(19+(A230-1)*A226,6)))</f>
        <v>6</v>
      </c>
      <c r="I224" s="20" t="str">
        <f ca="1">INDIRECT(_xlfn.TEXTJOIN("",TRUE,A229,"!",ADDRESS(19+(A230-1)*A226,13)))</f>
        <v>F</v>
      </c>
      <c r="J224" s="20">
        <f ca="1">INDIRECT(_xlfn.TEXTJOIN("",TRUE,A229,"!",ADDRESS(19+(A230-1)*A226,14)))</f>
        <v>0</v>
      </c>
    </row>
    <row r="225" spans="1:10" ht="28" customHeight="1" x14ac:dyDescent="0.2">
      <c r="A225" s="118" t="s">
        <v>52</v>
      </c>
      <c r="B225" s="118"/>
      <c r="C225" s="118"/>
      <c r="D225" s="118"/>
      <c r="E225" s="118"/>
      <c r="F225" s="118"/>
      <c r="G225" s="118"/>
      <c r="H225" s="16">
        <f ca="1">SUM(H218:H224)</f>
        <v>15</v>
      </c>
      <c r="I225" s="16" t="s">
        <v>44</v>
      </c>
      <c r="J225" s="16" t="e">
        <f ca="1">SUMPRODUCT(J218:J224,H218:H224)</f>
        <v>#N/A</v>
      </c>
    </row>
    <row r="226" spans="1:10" ht="28" customHeight="1" x14ac:dyDescent="0.2">
      <c r="A226" s="22">
        <f>ROWS(A218:B224)+9</f>
        <v>16</v>
      </c>
      <c r="B226" s="17"/>
      <c r="C226" s="17"/>
      <c r="D226" s="17"/>
      <c r="E226" s="17"/>
      <c r="F226" s="17"/>
      <c r="G226" s="17"/>
      <c r="H226" s="17"/>
      <c r="I226" s="17"/>
      <c r="J226" s="17"/>
    </row>
    <row r="227" spans="1:10" ht="28" customHeight="1" x14ac:dyDescent="0.2">
      <c r="A227" s="120" t="s">
        <v>40</v>
      </c>
      <c r="B227" s="120"/>
      <c r="C227" s="21">
        <f ca="1">INDIRECT(_xlfn.TEXTJOIN("",TRUE,A229,"!",ADDRESS(5+A230*A226,12)))</f>
        <v>0</v>
      </c>
      <c r="D227" s="120" t="s">
        <v>38</v>
      </c>
      <c r="E227" s="120"/>
      <c r="F227" s="18" t="e">
        <f ca="1">INDIRECT(_xlfn.TEXTJOIN("",TRUE,A229,"!",ADDRESS(5+A230*A226,8)))</f>
        <v>#N/A</v>
      </c>
      <c r="G227" s="120" t="s">
        <v>39</v>
      </c>
      <c r="H227" s="120"/>
      <c r="I227" s="109" t="e">
        <f ca="1">INDIRECT(_xlfn.TEXTJOIN("",TRUE,A229,"!",ADDRESS(5+A230*A226,10)))</f>
        <v>#N/A</v>
      </c>
      <c r="J227" s="109"/>
    </row>
    <row r="228" spans="1:10" ht="28" customHeight="1" x14ac:dyDescent="0.2">
      <c r="A228" s="19" t="s">
        <v>36</v>
      </c>
      <c r="B228" s="95" t="e">
        <f ca="1">INDIRECT(_xlfn.TEXTJOIN("",TRUE,A229,"!",ADDRESS(5+A230*A226,2)))</f>
        <v>#N/A</v>
      </c>
      <c r="C228" s="95"/>
      <c r="D228" s="121" t="s">
        <v>37</v>
      </c>
      <c r="E228" s="121"/>
      <c r="F228" s="122" t="e">
        <f ca="1">INDIRECT(_xlfn.TEXTJOIN("",TRUE,A229,"!",ADDRESS(5+A230*A226,5)))</f>
        <v>#N/A</v>
      </c>
      <c r="G228" s="122"/>
      <c r="H228" s="122"/>
      <c r="I228" s="122"/>
      <c r="J228" s="122"/>
    </row>
    <row r="229" spans="1:10" ht="28" customHeight="1" x14ac:dyDescent="0.2">
      <c r="A229" s="22" t="str">
        <f>A213</f>
        <v>TC_IV</v>
      </c>
    </row>
    <row r="230" spans="1:10" ht="28" customHeight="1" x14ac:dyDescent="0.2">
      <c r="A230" s="22">
        <f>A214+1</f>
        <v>14</v>
      </c>
    </row>
    <row r="231" spans="1:10" ht="28" customHeight="1" x14ac:dyDescent="0.2">
      <c r="A231" s="112" t="s">
        <v>24</v>
      </c>
      <c r="B231" s="112"/>
      <c r="C231" s="112" t="str">
        <f ca="1">INDIRECT(_xlfn.TEXTJOIN("",TRUE,A245,"!",ADDRESS(9+(A246-1)*A242,2)))</f>
        <v>MANVI UNIYAL</v>
      </c>
      <c r="D231" s="112"/>
      <c r="E231" s="112"/>
      <c r="F231" s="112" t="s">
        <v>50</v>
      </c>
      <c r="G231" s="112"/>
      <c r="H231" s="112"/>
      <c r="I231" s="113">
        <f ca="1">INDIRECT(_xlfn.TEXTJOIN("",TRUE,A245,"!",ADDRESS(9+(A246-1)*A242,9)))</f>
        <v>240090600015</v>
      </c>
      <c r="J231" s="113"/>
    </row>
    <row r="232" spans="1:10" ht="28" customHeight="1" x14ac:dyDescent="0.2">
      <c r="A232" s="112" t="s">
        <v>25</v>
      </c>
      <c r="B232" s="112"/>
      <c r="C232" s="112" t="str">
        <f ca="1">INDIRECT(_xlfn.TEXTJOIN("",TRUE,A245,"!",ADDRESS(9+(A246-1)*A242,5)))</f>
        <v>MANOJ UNIYAL</v>
      </c>
      <c r="D232" s="112"/>
      <c r="E232" s="112"/>
      <c r="F232" s="114" t="s">
        <v>51</v>
      </c>
      <c r="G232" s="114"/>
      <c r="H232" s="114"/>
      <c r="I232" s="113" t="str">
        <f ca="1">INDIRECT(_xlfn.TEXTJOIN("",TRUE,A245,"!",ADDRESS(9+(A246-1)*A242,13)))</f>
        <v>UTU/2406100177</v>
      </c>
      <c r="J232" s="113"/>
    </row>
    <row r="233" spans="1:10" ht="28" customHeight="1" x14ac:dyDescent="0.2">
      <c r="A233" s="95" t="s">
        <v>28</v>
      </c>
      <c r="B233" s="95"/>
      <c r="C233" s="95" t="s">
        <v>29</v>
      </c>
      <c r="D233" s="95"/>
      <c r="E233" s="95"/>
      <c r="F233" s="95"/>
      <c r="G233" s="95"/>
      <c r="H233" s="15" t="s">
        <v>30</v>
      </c>
      <c r="I233" s="15" t="s">
        <v>9</v>
      </c>
      <c r="J233" s="15" t="s">
        <v>34</v>
      </c>
    </row>
    <row r="234" spans="1:10" ht="28" customHeight="1" x14ac:dyDescent="0.2">
      <c r="A234" s="96" t="str">
        <f ca="1">INDIRECT(_xlfn.TEXTJOIN("",TRUE,A245,"!",ADDRESS(13+(A246-1)*A242,1)))</f>
        <v>CAT 022</v>
      </c>
      <c r="B234" s="97"/>
      <c r="C234" s="106" t="str">
        <f ca="1">INDIRECT(_xlfn.TEXTJOIN("",TRUE,A245,"!",ADDRESS(13+(A246-1)*A242,2)))</f>
        <v>Network Security</v>
      </c>
      <c r="D234" s="107"/>
      <c r="E234" s="107"/>
      <c r="F234" s="107"/>
      <c r="G234" s="108"/>
      <c r="H234" s="20">
        <f ca="1">INDIRECT(_xlfn.TEXTJOIN("",TRUE,A245,"!",ADDRESS(13+(A246-1)*A242,6)))</f>
        <v>4</v>
      </c>
      <c r="I234" s="20" t="str">
        <f ca="1">INDIRECT(_xlfn.TEXTJOIN("",TRUE,A245,"!",ADDRESS(13+(A246-1)*A242,13)))</f>
        <v>F</v>
      </c>
      <c r="J234" s="20">
        <f ca="1">INDIRECT(_xlfn.TEXTJOIN("",TRUE,A245,"!",ADDRESS(13+(A246-1)*A242,14)))</f>
        <v>0</v>
      </c>
    </row>
    <row r="235" spans="1:10" ht="28" customHeight="1" x14ac:dyDescent="0.2">
      <c r="A235" s="96" t="str">
        <f ca="1">INDIRECT(_xlfn.TEXTJOIN("",TRUE,A245,"!",ADDRESS(14+(A246-1)*A242,1)))</f>
        <v>Enroll No.</v>
      </c>
      <c r="B235" s="97"/>
      <c r="C235" s="106">
        <f ca="1">INDIRECT(_xlfn.TEXTJOIN("",TRUE,A245,"!",ADDRESS(14+(A246-1)*A242,2)))</f>
        <v>0</v>
      </c>
      <c r="D235" s="107"/>
      <c r="E235" s="107"/>
      <c r="F235" s="107"/>
      <c r="G235" s="108"/>
      <c r="H235" s="20">
        <f ca="1">INDIRECT(_xlfn.TEXTJOIN("",TRUE,A245,"!",ADDRESS(14+(A246-1)*A242,6)))</f>
        <v>0</v>
      </c>
      <c r="I235" s="20" t="b">
        <f ca="1">INDIRECT(_xlfn.TEXTJOIN("",TRUE,A245,"!",ADDRESS(14+(A246-1)*A242,13)))</f>
        <v>0</v>
      </c>
      <c r="J235" s="20" t="e">
        <f ca="1">INDIRECT(_xlfn.TEXTJOIN("",TRUE,A245,"!",ADDRESS(14+(A246-1)*A242,14)))</f>
        <v>#N/A</v>
      </c>
    </row>
    <row r="236" spans="1:10" ht="28" customHeight="1" x14ac:dyDescent="0.2">
      <c r="A236" s="96" t="str">
        <f ca="1">INDIRECT(_xlfn.TEXTJOIN("",TRUE,A245,"!",ADDRESS(15+(A246-1)*A242,1)))</f>
        <v>CAT 030</v>
      </c>
      <c r="B236" s="97"/>
      <c r="C236" s="106" t="str">
        <f ca="1">INDIRECT(_xlfn.TEXTJOIN("",TRUE,A245,"!",ADDRESS(15+(A246-1)*A242,2)))</f>
        <v>Software Testing &amp; Quality Assurance</v>
      </c>
      <c r="D236" s="107"/>
      <c r="E236" s="107"/>
      <c r="F236" s="107"/>
      <c r="G236" s="108"/>
      <c r="H236" s="20">
        <f ca="1">INDIRECT(_xlfn.TEXTJOIN("",TRUE,A245,"!",ADDRESS(15+(A246-1)*A242,6)))</f>
        <v>4</v>
      </c>
      <c r="I236" s="20" t="str">
        <f ca="1">INDIRECT(_xlfn.TEXTJOIN("",TRUE,A245,"!",ADDRESS(15+(A246-1)*A242,13)))</f>
        <v>F</v>
      </c>
      <c r="J236" s="20">
        <f ca="1">INDIRECT(_xlfn.TEXTJOIN("",TRUE,A245,"!",ADDRESS(15+(A246-1)*A242,14)))</f>
        <v>0</v>
      </c>
    </row>
    <row r="237" spans="1:10" ht="28" customHeight="1" x14ac:dyDescent="0.2">
      <c r="A237" s="96" t="str">
        <f ca="1">INDIRECT(_xlfn.TEXTJOIN("",TRUE,A245,"!",ADDRESS(16+(A246-1)*A242,1)))</f>
        <v>Enroll No.</v>
      </c>
      <c r="B237" s="97"/>
      <c r="C237" s="106">
        <f ca="1">INDIRECT(_xlfn.TEXTJOIN("",TRUE,A245,"!",ADDRESS(16+(A246-1)*A242,2)))</f>
        <v>0</v>
      </c>
      <c r="D237" s="107"/>
      <c r="E237" s="107"/>
      <c r="F237" s="107"/>
      <c r="G237" s="108"/>
      <c r="H237" s="20">
        <f ca="1">INDIRECT(_xlfn.TEXTJOIN("",TRUE,A245,"!",ADDRESS(16+(A246-1)*A242,6)))</f>
        <v>0</v>
      </c>
      <c r="I237" s="20" t="b">
        <f ca="1">INDIRECT(_xlfn.TEXTJOIN("",TRUE,A245,"!",ADDRESS(16+(A246-1)*A242,13)))</f>
        <v>0</v>
      </c>
      <c r="J237" s="20" t="e">
        <f ca="1">INDIRECT(_xlfn.TEXTJOIN("",TRUE,A245,"!",ADDRESS(16+(A246-1)*A242,14)))</f>
        <v>#N/A</v>
      </c>
    </row>
    <row r="238" spans="1:10" ht="28" customHeight="1" x14ac:dyDescent="0.2">
      <c r="A238" s="96" t="str">
        <f ca="1">INDIRECT(_xlfn.TEXTJOIN("",TRUE,A245,"!",ADDRESS(17+(A246-1)*A242,1)))</f>
        <v>CAP 011</v>
      </c>
      <c r="B238" s="97"/>
      <c r="C238" s="106" t="str">
        <f ca="1">INDIRECT(_xlfn.TEXTJOIN("",TRUE,A245,"!",ADDRESS(17+(A246-1)*A242,2)))</f>
        <v>Network Security Lab</v>
      </c>
      <c r="D238" s="107"/>
      <c r="E238" s="107"/>
      <c r="F238" s="107"/>
      <c r="G238" s="108"/>
      <c r="H238" s="20">
        <f ca="1">INDIRECT(_xlfn.TEXTJOIN("",TRUE,A245,"!",ADDRESS(17+(A246-1)*A242,6)))</f>
        <v>1</v>
      </c>
      <c r="I238" s="20" t="str">
        <f ca="1">INDIRECT(_xlfn.TEXTJOIN("",TRUE,A245,"!",ADDRESS(17+(A246-1)*A242,13)))</f>
        <v>F</v>
      </c>
      <c r="J238" s="20">
        <f ca="1">INDIRECT(_xlfn.TEXTJOIN("",TRUE,A245,"!",ADDRESS(17+(A246-1)*A242,14)))</f>
        <v>0</v>
      </c>
    </row>
    <row r="239" spans="1:10" ht="28" customHeight="1" x14ac:dyDescent="0.2">
      <c r="A239" s="96" t="str">
        <f ca="1">INDIRECT(_xlfn.TEXTJOIN("",TRUE,A245,"!",ADDRESS(18+(A246-1)*A242,1)))</f>
        <v>Enroll No.</v>
      </c>
      <c r="B239" s="97"/>
      <c r="C239" s="106">
        <f ca="1">INDIRECT(_xlfn.TEXTJOIN("",TRUE,A245,"!",ADDRESS(18+(A246-1)*A242,2)))</f>
        <v>0</v>
      </c>
      <c r="D239" s="107"/>
      <c r="E239" s="107"/>
      <c r="F239" s="107"/>
      <c r="G239" s="108"/>
      <c r="H239" s="20">
        <f ca="1">INDIRECT(_xlfn.TEXTJOIN("",TRUE,A245,"!",ADDRESS(18+(A246-1)*A242,6)))</f>
        <v>0</v>
      </c>
      <c r="I239" s="20" t="b">
        <f ca="1">INDIRECT(_xlfn.TEXTJOIN("",TRUE,A245,"!",ADDRESS(18+(A246-1)*A242,13)))</f>
        <v>0</v>
      </c>
      <c r="J239" s="20" t="e">
        <f ca="1">INDIRECT(_xlfn.TEXTJOIN("",TRUE,A245,"!",ADDRESS(18+(A246-1)*A242,14)))</f>
        <v>#N/A</v>
      </c>
    </row>
    <row r="240" spans="1:10" ht="28" customHeight="1" x14ac:dyDescent="0.2">
      <c r="A240" s="96" t="str">
        <f ca="1">INDIRECT(_xlfn.TEXTJOIN("",TRUE,A245,"!",ADDRESS(19+(A246-1)*A242,1)))</f>
        <v>CAP 013</v>
      </c>
      <c r="B240" s="97"/>
      <c r="C240" s="106" t="str">
        <f ca="1">INDIRECT(_xlfn.TEXTJOIN("",TRUE,A245,"!",ADDRESS(19+(A246-1)*A242,2)))</f>
        <v>Major Project</v>
      </c>
      <c r="D240" s="107"/>
      <c r="E240" s="107"/>
      <c r="F240" s="107"/>
      <c r="G240" s="108"/>
      <c r="H240" s="20">
        <f ca="1">INDIRECT(_xlfn.TEXTJOIN("",TRUE,A245,"!",ADDRESS(19+(A246-1)*A242,6)))</f>
        <v>6</v>
      </c>
      <c r="I240" s="20" t="str">
        <f ca="1">INDIRECT(_xlfn.TEXTJOIN("",TRUE,A245,"!",ADDRESS(19+(A246-1)*A242,13)))</f>
        <v>F</v>
      </c>
      <c r="J240" s="20">
        <f ca="1">INDIRECT(_xlfn.TEXTJOIN("",TRUE,A245,"!",ADDRESS(19+(A246-1)*A242,14)))</f>
        <v>0</v>
      </c>
    </row>
    <row r="241" spans="1:10" ht="28" customHeight="1" x14ac:dyDescent="0.2">
      <c r="A241" s="118" t="s">
        <v>52</v>
      </c>
      <c r="B241" s="118"/>
      <c r="C241" s="118"/>
      <c r="D241" s="118"/>
      <c r="E241" s="118"/>
      <c r="F241" s="118"/>
      <c r="G241" s="118"/>
      <c r="H241" s="16">
        <f ca="1">SUM(H234:H240)</f>
        <v>15</v>
      </c>
      <c r="I241" s="16" t="s">
        <v>44</v>
      </c>
      <c r="J241" s="16" t="e">
        <f ca="1">SUMPRODUCT(J234:J240,H234:H240)</f>
        <v>#N/A</v>
      </c>
    </row>
    <row r="242" spans="1:10" ht="28" customHeight="1" x14ac:dyDescent="0.2">
      <c r="A242" s="22">
        <f>ROWS(A234:B240)+9</f>
        <v>16</v>
      </c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1:10" ht="28" customHeight="1" x14ac:dyDescent="0.2">
      <c r="A243" s="120" t="s">
        <v>40</v>
      </c>
      <c r="B243" s="120"/>
      <c r="C243" s="21">
        <f ca="1">INDIRECT(_xlfn.TEXTJOIN("",TRUE,A245,"!",ADDRESS(5+A246*A242,12)))</f>
        <v>0</v>
      </c>
      <c r="D243" s="120" t="s">
        <v>38</v>
      </c>
      <c r="E243" s="120"/>
      <c r="F243" s="18" t="e">
        <f ca="1">INDIRECT(_xlfn.TEXTJOIN("",TRUE,A245,"!",ADDRESS(5+A246*A242,8)))</f>
        <v>#N/A</v>
      </c>
      <c r="G243" s="120" t="s">
        <v>39</v>
      </c>
      <c r="H243" s="120"/>
      <c r="I243" s="109" t="e">
        <f ca="1">INDIRECT(_xlfn.TEXTJOIN("",TRUE,A245,"!",ADDRESS(5+A246*A242,10)))</f>
        <v>#N/A</v>
      </c>
      <c r="J243" s="109"/>
    </row>
    <row r="244" spans="1:10" ht="28" customHeight="1" x14ac:dyDescent="0.2">
      <c r="A244" s="19" t="s">
        <v>36</v>
      </c>
      <c r="B244" s="95" t="e">
        <f ca="1">INDIRECT(_xlfn.TEXTJOIN("",TRUE,A245,"!",ADDRESS(5+A246*A242,2)))</f>
        <v>#N/A</v>
      </c>
      <c r="C244" s="95"/>
      <c r="D244" s="121" t="s">
        <v>37</v>
      </c>
      <c r="E244" s="121"/>
      <c r="F244" s="122" t="e">
        <f ca="1">INDIRECT(_xlfn.TEXTJOIN("",TRUE,A245,"!",ADDRESS(5+A246*A242,5)))</f>
        <v>#N/A</v>
      </c>
      <c r="G244" s="122"/>
      <c r="H244" s="122"/>
      <c r="I244" s="122"/>
      <c r="J244" s="122"/>
    </row>
    <row r="245" spans="1:10" ht="28" customHeight="1" x14ac:dyDescent="0.2">
      <c r="A245" s="22" t="str">
        <f>A229</f>
        <v>TC_IV</v>
      </c>
    </row>
    <row r="246" spans="1:10" ht="28" customHeight="1" x14ac:dyDescent="0.2">
      <c r="A246" s="22">
        <f>A230+1</f>
        <v>15</v>
      </c>
    </row>
    <row r="247" spans="1:10" ht="28" customHeight="1" x14ac:dyDescent="0.2">
      <c r="A247" s="112" t="s">
        <v>24</v>
      </c>
      <c r="B247" s="112"/>
      <c r="C247" s="112" t="str">
        <f ca="1">INDIRECT(_xlfn.TEXTJOIN("",TRUE,A261,"!",ADDRESS(9+(A262-1)*A258,2)))</f>
        <v>NEERAJ JOSHI</v>
      </c>
      <c r="D247" s="112"/>
      <c r="E247" s="112"/>
      <c r="F247" s="112" t="s">
        <v>50</v>
      </c>
      <c r="G247" s="112"/>
      <c r="H247" s="112"/>
      <c r="I247" s="113">
        <f ca="1">INDIRECT(_xlfn.TEXTJOIN("",TRUE,A261,"!",ADDRESS(9+(A262-1)*A258,9)))</f>
        <v>240090600016</v>
      </c>
      <c r="J247" s="113"/>
    </row>
    <row r="248" spans="1:10" ht="28" customHeight="1" x14ac:dyDescent="0.2">
      <c r="A248" s="112" t="s">
        <v>25</v>
      </c>
      <c r="B248" s="112"/>
      <c r="C248" s="112" t="str">
        <f ca="1">INDIRECT(_xlfn.TEXTJOIN("",TRUE,A261,"!",ADDRESS(9+(A262-1)*A258,5)))</f>
        <v>PURAN CHANDRA JOSHI</v>
      </c>
      <c r="D248" s="112"/>
      <c r="E248" s="112"/>
      <c r="F248" s="114" t="s">
        <v>51</v>
      </c>
      <c r="G248" s="114"/>
      <c r="H248" s="114"/>
      <c r="I248" s="113" t="str">
        <f ca="1">INDIRECT(_xlfn.TEXTJOIN("",TRUE,A261,"!",ADDRESS(9+(A262-1)*A258,13)))</f>
        <v>UTU/2406100137</v>
      </c>
      <c r="J248" s="113"/>
    </row>
    <row r="249" spans="1:10" ht="28" customHeight="1" x14ac:dyDescent="0.2">
      <c r="A249" s="95" t="s">
        <v>28</v>
      </c>
      <c r="B249" s="95"/>
      <c r="C249" s="95" t="s">
        <v>29</v>
      </c>
      <c r="D249" s="95"/>
      <c r="E249" s="95"/>
      <c r="F249" s="95"/>
      <c r="G249" s="95"/>
      <c r="H249" s="15" t="s">
        <v>30</v>
      </c>
      <c r="I249" s="15" t="s">
        <v>9</v>
      </c>
      <c r="J249" s="15" t="s">
        <v>34</v>
      </c>
    </row>
    <row r="250" spans="1:10" ht="28" customHeight="1" x14ac:dyDescent="0.2">
      <c r="A250" s="96" t="str">
        <f ca="1">INDIRECT(_xlfn.TEXTJOIN("",TRUE,A261,"!",ADDRESS(13+(A262-1)*A258,1)))</f>
        <v>CAT 022</v>
      </c>
      <c r="B250" s="97"/>
      <c r="C250" s="106" t="str">
        <f ca="1">INDIRECT(_xlfn.TEXTJOIN("",TRUE,A261,"!",ADDRESS(13+(A262-1)*A258,2)))</f>
        <v>Network Security</v>
      </c>
      <c r="D250" s="107"/>
      <c r="E250" s="107"/>
      <c r="F250" s="107"/>
      <c r="G250" s="108"/>
      <c r="H250" s="20">
        <f ca="1">INDIRECT(_xlfn.TEXTJOIN("",TRUE,A261,"!",ADDRESS(13+(A262-1)*A258,6)))</f>
        <v>4</v>
      </c>
      <c r="I250" s="20" t="str">
        <f ca="1">INDIRECT(_xlfn.TEXTJOIN("",TRUE,A261,"!",ADDRESS(13+(A262-1)*A258,13)))</f>
        <v>F</v>
      </c>
      <c r="J250" s="20">
        <f ca="1">INDIRECT(_xlfn.TEXTJOIN("",TRUE,A261,"!",ADDRESS(13+(A262-1)*A258,14)))</f>
        <v>0</v>
      </c>
    </row>
    <row r="251" spans="1:10" ht="28" customHeight="1" x14ac:dyDescent="0.2">
      <c r="A251" s="96" t="str">
        <f ca="1">INDIRECT(_xlfn.TEXTJOIN("",TRUE,A261,"!",ADDRESS(14+(A262-1)*A258,1)))</f>
        <v>Enroll No.</v>
      </c>
      <c r="B251" s="97"/>
      <c r="C251" s="106">
        <f ca="1">INDIRECT(_xlfn.TEXTJOIN("",TRUE,A261,"!",ADDRESS(14+(A262-1)*A258,2)))</f>
        <v>0</v>
      </c>
      <c r="D251" s="107"/>
      <c r="E251" s="107"/>
      <c r="F251" s="107"/>
      <c r="G251" s="108"/>
      <c r="H251" s="20">
        <f ca="1">INDIRECT(_xlfn.TEXTJOIN("",TRUE,A261,"!",ADDRESS(14+(A262-1)*A258,6)))</f>
        <v>0</v>
      </c>
      <c r="I251" s="20" t="b">
        <f ca="1">INDIRECT(_xlfn.TEXTJOIN("",TRUE,A261,"!",ADDRESS(14+(A262-1)*A258,13)))</f>
        <v>0</v>
      </c>
      <c r="J251" s="20" t="e">
        <f ca="1">INDIRECT(_xlfn.TEXTJOIN("",TRUE,A261,"!",ADDRESS(14+(A262-1)*A258,14)))</f>
        <v>#N/A</v>
      </c>
    </row>
    <row r="252" spans="1:10" ht="28" customHeight="1" x14ac:dyDescent="0.2">
      <c r="A252" s="96" t="str">
        <f ca="1">INDIRECT(_xlfn.TEXTJOIN("",TRUE,A261,"!",ADDRESS(15+(A262-1)*A258,1)))</f>
        <v>CAT 030</v>
      </c>
      <c r="B252" s="97"/>
      <c r="C252" s="106" t="str">
        <f ca="1">INDIRECT(_xlfn.TEXTJOIN("",TRUE,A261,"!",ADDRESS(15+(A262-1)*A258,2)))</f>
        <v>Software Testing &amp; Quality Assurance</v>
      </c>
      <c r="D252" s="107"/>
      <c r="E252" s="107"/>
      <c r="F252" s="107"/>
      <c r="G252" s="108"/>
      <c r="H252" s="20">
        <f ca="1">INDIRECT(_xlfn.TEXTJOIN("",TRUE,A261,"!",ADDRESS(15+(A262-1)*A258,6)))</f>
        <v>4</v>
      </c>
      <c r="I252" s="20" t="str">
        <f ca="1">INDIRECT(_xlfn.TEXTJOIN("",TRUE,A261,"!",ADDRESS(15+(A262-1)*A258,13)))</f>
        <v>F</v>
      </c>
      <c r="J252" s="20">
        <f ca="1">INDIRECT(_xlfn.TEXTJOIN("",TRUE,A261,"!",ADDRESS(15+(A262-1)*A258,14)))</f>
        <v>0</v>
      </c>
    </row>
    <row r="253" spans="1:10" ht="28" customHeight="1" x14ac:dyDescent="0.2">
      <c r="A253" s="96" t="str">
        <f ca="1">INDIRECT(_xlfn.TEXTJOIN("",TRUE,A261,"!",ADDRESS(16+(A262-1)*A258,1)))</f>
        <v>Enroll No.</v>
      </c>
      <c r="B253" s="97"/>
      <c r="C253" s="106">
        <f ca="1">INDIRECT(_xlfn.TEXTJOIN("",TRUE,A261,"!",ADDRESS(16+(A262-1)*A258,2)))</f>
        <v>0</v>
      </c>
      <c r="D253" s="107"/>
      <c r="E253" s="107"/>
      <c r="F253" s="107"/>
      <c r="G253" s="108"/>
      <c r="H253" s="20">
        <f ca="1">INDIRECT(_xlfn.TEXTJOIN("",TRUE,A261,"!",ADDRESS(16+(A262-1)*A258,6)))</f>
        <v>0</v>
      </c>
      <c r="I253" s="20" t="b">
        <f ca="1">INDIRECT(_xlfn.TEXTJOIN("",TRUE,A261,"!",ADDRESS(16+(A262-1)*A258,13)))</f>
        <v>0</v>
      </c>
      <c r="J253" s="20" t="e">
        <f ca="1">INDIRECT(_xlfn.TEXTJOIN("",TRUE,A261,"!",ADDRESS(16+(A262-1)*A258,14)))</f>
        <v>#N/A</v>
      </c>
    </row>
    <row r="254" spans="1:10" ht="28" customHeight="1" x14ac:dyDescent="0.2">
      <c r="A254" s="96" t="str">
        <f ca="1">INDIRECT(_xlfn.TEXTJOIN("",TRUE,A261,"!",ADDRESS(17+(A262-1)*A258,1)))</f>
        <v>CAP 011</v>
      </c>
      <c r="B254" s="97"/>
      <c r="C254" s="106" t="str">
        <f ca="1">INDIRECT(_xlfn.TEXTJOIN("",TRUE,A261,"!",ADDRESS(17+(A262-1)*A258,2)))</f>
        <v>Network Security Lab</v>
      </c>
      <c r="D254" s="107"/>
      <c r="E254" s="107"/>
      <c r="F254" s="107"/>
      <c r="G254" s="108"/>
      <c r="H254" s="20">
        <f ca="1">INDIRECT(_xlfn.TEXTJOIN("",TRUE,A261,"!",ADDRESS(17+(A262-1)*A258,6)))</f>
        <v>1</v>
      </c>
      <c r="I254" s="20" t="str">
        <f ca="1">INDIRECT(_xlfn.TEXTJOIN("",TRUE,A261,"!",ADDRESS(17+(A262-1)*A258,13)))</f>
        <v>F</v>
      </c>
      <c r="J254" s="20">
        <f ca="1">INDIRECT(_xlfn.TEXTJOIN("",TRUE,A261,"!",ADDRESS(17+(A262-1)*A258,14)))</f>
        <v>0</v>
      </c>
    </row>
    <row r="255" spans="1:10" ht="28" customHeight="1" x14ac:dyDescent="0.2">
      <c r="A255" s="96" t="str">
        <f ca="1">INDIRECT(_xlfn.TEXTJOIN("",TRUE,A261,"!",ADDRESS(18+(A262-1)*A258,1)))</f>
        <v>Enroll No.</v>
      </c>
      <c r="B255" s="97"/>
      <c r="C255" s="106">
        <f ca="1">INDIRECT(_xlfn.TEXTJOIN("",TRUE,A261,"!",ADDRESS(18+(A262-1)*A258,2)))</f>
        <v>0</v>
      </c>
      <c r="D255" s="107"/>
      <c r="E255" s="107"/>
      <c r="F255" s="107"/>
      <c r="G255" s="108"/>
      <c r="H255" s="20">
        <f ca="1">INDIRECT(_xlfn.TEXTJOIN("",TRUE,A261,"!",ADDRESS(18+(A262-1)*A258,6)))</f>
        <v>0</v>
      </c>
      <c r="I255" s="20" t="b">
        <f ca="1">INDIRECT(_xlfn.TEXTJOIN("",TRUE,A261,"!",ADDRESS(18+(A262-1)*A258,13)))</f>
        <v>0</v>
      </c>
      <c r="J255" s="20" t="e">
        <f ca="1">INDIRECT(_xlfn.TEXTJOIN("",TRUE,A261,"!",ADDRESS(18+(A262-1)*A258,14)))</f>
        <v>#N/A</v>
      </c>
    </row>
    <row r="256" spans="1:10" ht="28" customHeight="1" x14ac:dyDescent="0.2">
      <c r="A256" s="96" t="str">
        <f ca="1">INDIRECT(_xlfn.TEXTJOIN("",TRUE,A261,"!",ADDRESS(19+(A262-1)*A258,1)))</f>
        <v>CAP 013</v>
      </c>
      <c r="B256" s="97"/>
      <c r="C256" s="106" t="str">
        <f ca="1">INDIRECT(_xlfn.TEXTJOIN("",TRUE,A261,"!",ADDRESS(19+(A262-1)*A258,2)))</f>
        <v>Major Project</v>
      </c>
      <c r="D256" s="107"/>
      <c r="E256" s="107"/>
      <c r="F256" s="107"/>
      <c r="G256" s="108"/>
      <c r="H256" s="20">
        <f ca="1">INDIRECT(_xlfn.TEXTJOIN("",TRUE,A261,"!",ADDRESS(19+(A262-1)*A258,6)))</f>
        <v>6</v>
      </c>
      <c r="I256" s="20" t="str">
        <f ca="1">INDIRECT(_xlfn.TEXTJOIN("",TRUE,A261,"!",ADDRESS(19+(A262-1)*A258,13)))</f>
        <v>F</v>
      </c>
      <c r="J256" s="20">
        <f ca="1">INDIRECT(_xlfn.TEXTJOIN("",TRUE,A261,"!",ADDRESS(19+(A262-1)*A258,14)))</f>
        <v>0</v>
      </c>
    </row>
    <row r="257" spans="1:10" ht="28" customHeight="1" x14ac:dyDescent="0.2">
      <c r="A257" s="118" t="s">
        <v>52</v>
      </c>
      <c r="B257" s="118"/>
      <c r="C257" s="118"/>
      <c r="D257" s="118"/>
      <c r="E257" s="118"/>
      <c r="F257" s="118"/>
      <c r="G257" s="118"/>
      <c r="H257" s="16">
        <f ca="1">SUM(H250:H256)</f>
        <v>15</v>
      </c>
      <c r="I257" s="16" t="s">
        <v>44</v>
      </c>
      <c r="J257" s="16" t="e">
        <f ca="1">SUMPRODUCT(J250:J256,H250:H256)</f>
        <v>#N/A</v>
      </c>
    </row>
    <row r="258" spans="1:10" ht="28" customHeight="1" x14ac:dyDescent="0.2">
      <c r="A258" s="22">
        <f>ROWS(A250:B256)+9</f>
        <v>16</v>
      </c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1:10" ht="28" customHeight="1" x14ac:dyDescent="0.2">
      <c r="A259" s="120" t="s">
        <v>40</v>
      </c>
      <c r="B259" s="120"/>
      <c r="C259" s="21">
        <f ca="1">INDIRECT(_xlfn.TEXTJOIN("",TRUE,A261,"!",ADDRESS(5+A262*A258,12)))</f>
        <v>0</v>
      </c>
      <c r="D259" s="120" t="s">
        <v>38</v>
      </c>
      <c r="E259" s="120"/>
      <c r="F259" s="18" t="e">
        <f ca="1">INDIRECT(_xlfn.TEXTJOIN("",TRUE,A261,"!",ADDRESS(5+A262*A258,8)))</f>
        <v>#N/A</v>
      </c>
      <c r="G259" s="120" t="s">
        <v>39</v>
      </c>
      <c r="H259" s="120"/>
      <c r="I259" s="109" t="e">
        <f ca="1">INDIRECT(_xlfn.TEXTJOIN("",TRUE,A261,"!",ADDRESS(5+A262*A258,10)))</f>
        <v>#N/A</v>
      </c>
      <c r="J259" s="109"/>
    </row>
    <row r="260" spans="1:10" ht="28" customHeight="1" x14ac:dyDescent="0.2">
      <c r="A260" s="19" t="s">
        <v>36</v>
      </c>
      <c r="B260" s="95" t="e">
        <f ca="1">INDIRECT(_xlfn.TEXTJOIN("",TRUE,A261,"!",ADDRESS(5+A262*A258,2)))</f>
        <v>#N/A</v>
      </c>
      <c r="C260" s="95"/>
      <c r="D260" s="121" t="s">
        <v>37</v>
      </c>
      <c r="E260" s="121"/>
      <c r="F260" s="122" t="e">
        <f ca="1">INDIRECT(_xlfn.TEXTJOIN("",TRUE,A261,"!",ADDRESS(5+A262*A258,5)))</f>
        <v>#N/A</v>
      </c>
      <c r="G260" s="122"/>
      <c r="H260" s="122"/>
      <c r="I260" s="122"/>
      <c r="J260" s="122"/>
    </row>
    <row r="261" spans="1:10" ht="28" customHeight="1" x14ac:dyDescent="0.2">
      <c r="A261" s="22" t="str">
        <f>A245</f>
        <v>TC_IV</v>
      </c>
    </row>
    <row r="262" spans="1:10" ht="28" customHeight="1" x14ac:dyDescent="0.2">
      <c r="A262" s="22">
        <f>A246+1</f>
        <v>16</v>
      </c>
    </row>
    <row r="263" spans="1:10" ht="28" customHeight="1" x14ac:dyDescent="0.2">
      <c r="A263" s="112" t="s">
        <v>24</v>
      </c>
      <c r="B263" s="112"/>
      <c r="C263" s="112" t="str">
        <f ca="1">INDIRECT(_xlfn.TEXTJOIN("",TRUE,A277,"!",ADDRESS(9+(A278-1)*A274,2)))</f>
        <v>PRIYANSHU BHATT</v>
      </c>
      <c r="D263" s="112"/>
      <c r="E263" s="112"/>
      <c r="F263" s="112" t="s">
        <v>50</v>
      </c>
      <c r="G263" s="112"/>
      <c r="H263" s="112"/>
      <c r="I263" s="113">
        <f ca="1">INDIRECT(_xlfn.TEXTJOIN("",TRUE,A277,"!",ADDRESS(9+(A278-1)*A274,9)))</f>
        <v>240090600017</v>
      </c>
      <c r="J263" s="113"/>
    </row>
    <row r="264" spans="1:10" ht="28" customHeight="1" x14ac:dyDescent="0.2">
      <c r="A264" s="112" t="s">
        <v>25</v>
      </c>
      <c r="B264" s="112"/>
      <c r="C264" s="112" t="str">
        <f ca="1">INDIRECT(_xlfn.TEXTJOIN("",TRUE,A277,"!",ADDRESS(9+(A278-1)*A274,5)))</f>
        <v>DINESH BHATT</v>
      </c>
      <c r="D264" s="112"/>
      <c r="E264" s="112"/>
      <c r="F264" s="114" t="s">
        <v>51</v>
      </c>
      <c r="G264" s="114"/>
      <c r="H264" s="114"/>
      <c r="I264" s="113" t="str">
        <f ca="1">INDIRECT(_xlfn.TEXTJOIN("",TRUE,A277,"!",ADDRESS(9+(A278-1)*A274,13)))</f>
        <v>UTU/2406100180</v>
      </c>
      <c r="J264" s="113"/>
    </row>
    <row r="265" spans="1:10" ht="28" customHeight="1" x14ac:dyDescent="0.2">
      <c r="A265" s="95" t="s">
        <v>28</v>
      </c>
      <c r="B265" s="95"/>
      <c r="C265" s="95" t="s">
        <v>29</v>
      </c>
      <c r="D265" s="95"/>
      <c r="E265" s="95"/>
      <c r="F265" s="95"/>
      <c r="G265" s="95"/>
      <c r="H265" s="15" t="s">
        <v>30</v>
      </c>
      <c r="I265" s="15" t="s">
        <v>9</v>
      </c>
      <c r="J265" s="15" t="s">
        <v>34</v>
      </c>
    </row>
    <row r="266" spans="1:10" ht="28" customHeight="1" x14ac:dyDescent="0.2">
      <c r="A266" s="96" t="str">
        <f ca="1">INDIRECT(_xlfn.TEXTJOIN("",TRUE,A277,"!",ADDRESS(13+(A278-1)*A274,1)))</f>
        <v>CAT 022</v>
      </c>
      <c r="B266" s="97"/>
      <c r="C266" s="106" t="str">
        <f ca="1">INDIRECT(_xlfn.TEXTJOIN("",TRUE,A277,"!",ADDRESS(13+(A278-1)*A274,2)))</f>
        <v>Network Security</v>
      </c>
      <c r="D266" s="107"/>
      <c r="E266" s="107"/>
      <c r="F266" s="107"/>
      <c r="G266" s="108"/>
      <c r="H266" s="20">
        <f ca="1">INDIRECT(_xlfn.TEXTJOIN("",TRUE,A277,"!",ADDRESS(13+(A278-1)*A274,6)))</f>
        <v>4</v>
      </c>
      <c r="I266" s="20" t="str">
        <f ca="1">INDIRECT(_xlfn.TEXTJOIN("",TRUE,A277,"!",ADDRESS(13+(A278-1)*A274,13)))</f>
        <v>F</v>
      </c>
      <c r="J266" s="20">
        <f ca="1">INDIRECT(_xlfn.TEXTJOIN("",TRUE,A277,"!",ADDRESS(13+(A278-1)*A274,14)))</f>
        <v>0</v>
      </c>
    </row>
    <row r="267" spans="1:10" ht="28" customHeight="1" x14ac:dyDescent="0.2">
      <c r="A267" s="96" t="str">
        <f ca="1">INDIRECT(_xlfn.TEXTJOIN("",TRUE,A277,"!",ADDRESS(14+(A278-1)*A274,1)))</f>
        <v>Enroll No.</v>
      </c>
      <c r="B267" s="97"/>
      <c r="C267" s="106">
        <f ca="1">INDIRECT(_xlfn.TEXTJOIN("",TRUE,A277,"!",ADDRESS(14+(A278-1)*A274,2)))</f>
        <v>0</v>
      </c>
      <c r="D267" s="107"/>
      <c r="E267" s="107"/>
      <c r="F267" s="107"/>
      <c r="G267" s="108"/>
      <c r="H267" s="20">
        <f ca="1">INDIRECT(_xlfn.TEXTJOIN("",TRUE,A277,"!",ADDRESS(14+(A278-1)*A274,6)))</f>
        <v>0</v>
      </c>
      <c r="I267" s="20" t="b">
        <f ca="1">INDIRECT(_xlfn.TEXTJOIN("",TRUE,A277,"!",ADDRESS(14+(A278-1)*A274,13)))</f>
        <v>0</v>
      </c>
      <c r="J267" s="20" t="e">
        <f ca="1">INDIRECT(_xlfn.TEXTJOIN("",TRUE,A277,"!",ADDRESS(14+(A278-1)*A274,14)))</f>
        <v>#N/A</v>
      </c>
    </row>
    <row r="268" spans="1:10" ht="28" customHeight="1" x14ac:dyDescent="0.2">
      <c r="A268" s="96" t="str">
        <f ca="1">INDIRECT(_xlfn.TEXTJOIN("",TRUE,A277,"!",ADDRESS(15+(A278-1)*A274,1)))</f>
        <v>CAT 030</v>
      </c>
      <c r="B268" s="97"/>
      <c r="C268" s="106" t="str">
        <f ca="1">INDIRECT(_xlfn.TEXTJOIN("",TRUE,A277,"!",ADDRESS(15+(A278-1)*A274,2)))</f>
        <v>Software Testing &amp; Quality Assurance</v>
      </c>
      <c r="D268" s="107"/>
      <c r="E268" s="107"/>
      <c r="F268" s="107"/>
      <c r="G268" s="108"/>
      <c r="H268" s="20">
        <f ca="1">INDIRECT(_xlfn.TEXTJOIN("",TRUE,A277,"!",ADDRESS(15+(A278-1)*A274,6)))</f>
        <v>4</v>
      </c>
      <c r="I268" s="20" t="str">
        <f ca="1">INDIRECT(_xlfn.TEXTJOIN("",TRUE,A277,"!",ADDRESS(15+(A278-1)*A274,13)))</f>
        <v>F</v>
      </c>
      <c r="J268" s="20">
        <f ca="1">INDIRECT(_xlfn.TEXTJOIN("",TRUE,A277,"!",ADDRESS(15+(A278-1)*A274,14)))</f>
        <v>0</v>
      </c>
    </row>
    <row r="269" spans="1:10" ht="28" customHeight="1" x14ac:dyDescent="0.2">
      <c r="A269" s="96" t="str">
        <f ca="1">INDIRECT(_xlfn.TEXTJOIN("",TRUE,A277,"!",ADDRESS(16+(A278-1)*A274,1)))</f>
        <v>Enroll No.</v>
      </c>
      <c r="B269" s="97"/>
      <c r="C269" s="106">
        <f ca="1">INDIRECT(_xlfn.TEXTJOIN("",TRUE,A277,"!",ADDRESS(16+(A278-1)*A274,2)))</f>
        <v>0</v>
      </c>
      <c r="D269" s="107"/>
      <c r="E269" s="107"/>
      <c r="F269" s="107"/>
      <c r="G269" s="108"/>
      <c r="H269" s="20">
        <f ca="1">INDIRECT(_xlfn.TEXTJOIN("",TRUE,A277,"!",ADDRESS(16+(A278-1)*A274,6)))</f>
        <v>0</v>
      </c>
      <c r="I269" s="20" t="b">
        <f ca="1">INDIRECT(_xlfn.TEXTJOIN("",TRUE,A277,"!",ADDRESS(16+(A278-1)*A274,13)))</f>
        <v>0</v>
      </c>
      <c r="J269" s="20" t="e">
        <f ca="1">INDIRECT(_xlfn.TEXTJOIN("",TRUE,A277,"!",ADDRESS(16+(A278-1)*A274,14)))</f>
        <v>#N/A</v>
      </c>
    </row>
    <row r="270" spans="1:10" ht="28" customHeight="1" x14ac:dyDescent="0.2">
      <c r="A270" s="96" t="str">
        <f ca="1">INDIRECT(_xlfn.TEXTJOIN("",TRUE,A277,"!",ADDRESS(17+(A278-1)*A274,1)))</f>
        <v>CAP 011</v>
      </c>
      <c r="B270" s="97"/>
      <c r="C270" s="106" t="str">
        <f ca="1">INDIRECT(_xlfn.TEXTJOIN("",TRUE,A277,"!",ADDRESS(17+(A278-1)*A274,2)))</f>
        <v>Network Security Lab</v>
      </c>
      <c r="D270" s="107"/>
      <c r="E270" s="107"/>
      <c r="F270" s="107"/>
      <c r="G270" s="108"/>
      <c r="H270" s="20">
        <f ca="1">INDIRECT(_xlfn.TEXTJOIN("",TRUE,A277,"!",ADDRESS(17+(A278-1)*A274,6)))</f>
        <v>1</v>
      </c>
      <c r="I270" s="20" t="str">
        <f ca="1">INDIRECT(_xlfn.TEXTJOIN("",TRUE,A277,"!",ADDRESS(17+(A278-1)*A274,13)))</f>
        <v>F</v>
      </c>
      <c r="J270" s="20">
        <f ca="1">INDIRECT(_xlfn.TEXTJOIN("",TRUE,A277,"!",ADDRESS(17+(A278-1)*A274,14)))</f>
        <v>0</v>
      </c>
    </row>
    <row r="271" spans="1:10" ht="28" customHeight="1" x14ac:dyDescent="0.2">
      <c r="A271" s="96" t="str">
        <f ca="1">INDIRECT(_xlfn.TEXTJOIN("",TRUE,A277,"!",ADDRESS(18+(A278-1)*A274,1)))</f>
        <v>Enroll No.</v>
      </c>
      <c r="B271" s="97"/>
      <c r="C271" s="106">
        <f ca="1">INDIRECT(_xlfn.TEXTJOIN("",TRUE,A277,"!",ADDRESS(18+(A278-1)*A274,2)))</f>
        <v>0</v>
      </c>
      <c r="D271" s="107"/>
      <c r="E271" s="107"/>
      <c r="F271" s="107"/>
      <c r="G271" s="108"/>
      <c r="H271" s="20">
        <f ca="1">INDIRECT(_xlfn.TEXTJOIN("",TRUE,A277,"!",ADDRESS(18+(A278-1)*A274,6)))</f>
        <v>0</v>
      </c>
      <c r="I271" s="20" t="b">
        <f ca="1">INDIRECT(_xlfn.TEXTJOIN("",TRUE,A277,"!",ADDRESS(18+(A278-1)*A274,13)))</f>
        <v>0</v>
      </c>
      <c r="J271" s="20" t="e">
        <f ca="1">INDIRECT(_xlfn.TEXTJOIN("",TRUE,A277,"!",ADDRESS(18+(A278-1)*A274,14)))</f>
        <v>#N/A</v>
      </c>
    </row>
    <row r="272" spans="1:10" ht="28" customHeight="1" x14ac:dyDescent="0.2">
      <c r="A272" s="96" t="str">
        <f ca="1">INDIRECT(_xlfn.TEXTJOIN("",TRUE,A277,"!",ADDRESS(19+(A278-1)*A274,1)))</f>
        <v>CAP 013</v>
      </c>
      <c r="B272" s="97"/>
      <c r="C272" s="106" t="str">
        <f ca="1">INDIRECT(_xlfn.TEXTJOIN("",TRUE,A277,"!",ADDRESS(19+(A278-1)*A274,2)))</f>
        <v>Major Project</v>
      </c>
      <c r="D272" s="107"/>
      <c r="E272" s="107"/>
      <c r="F272" s="107"/>
      <c r="G272" s="108"/>
      <c r="H272" s="20">
        <f ca="1">INDIRECT(_xlfn.TEXTJOIN("",TRUE,A277,"!",ADDRESS(19+(A278-1)*A274,6)))</f>
        <v>6</v>
      </c>
      <c r="I272" s="20" t="str">
        <f ca="1">INDIRECT(_xlfn.TEXTJOIN("",TRUE,A277,"!",ADDRESS(19+(A278-1)*A274,13)))</f>
        <v>F</v>
      </c>
      <c r="J272" s="20">
        <f ca="1">INDIRECT(_xlfn.TEXTJOIN("",TRUE,A277,"!",ADDRESS(19+(A278-1)*A274,14)))</f>
        <v>0</v>
      </c>
    </row>
    <row r="273" spans="1:10" ht="28" customHeight="1" x14ac:dyDescent="0.2">
      <c r="A273" s="118" t="s">
        <v>52</v>
      </c>
      <c r="B273" s="118"/>
      <c r="C273" s="118"/>
      <c r="D273" s="118"/>
      <c r="E273" s="118"/>
      <c r="F273" s="118"/>
      <c r="G273" s="118"/>
      <c r="H273" s="16">
        <f ca="1">SUM(H266:H272)</f>
        <v>15</v>
      </c>
      <c r="I273" s="16" t="s">
        <v>44</v>
      </c>
      <c r="J273" s="16" t="e">
        <f ca="1">SUMPRODUCT(J266:J272,H266:H272)</f>
        <v>#N/A</v>
      </c>
    </row>
    <row r="274" spans="1:10" ht="28" customHeight="1" x14ac:dyDescent="0.2">
      <c r="A274" s="22">
        <f>ROWS(A266:B272)+9</f>
        <v>16</v>
      </c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1:10" ht="28" customHeight="1" x14ac:dyDescent="0.2">
      <c r="A275" s="120" t="s">
        <v>40</v>
      </c>
      <c r="B275" s="120"/>
      <c r="C275" s="21">
        <f ca="1">INDIRECT(_xlfn.TEXTJOIN("",TRUE,A277,"!",ADDRESS(5+A278*A274,12)))</f>
        <v>0</v>
      </c>
      <c r="D275" s="120" t="s">
        <v>38</v>
      </c>
      <c r="E275" s="120"/>
      <c r="F275" s="18" t="e">
        <f ca="1">INDIRECT(_xlfn.TEXTJOIN("",TRUE,A277,"!",ADDRESS(5+A278*A274,8)))</f>
        <v>#N/A</v>
      </c>
      <c r="G275" s="120" t="s">
        <v>39</v>
      </c>
      <c r="H275" s="120"/>
      <c r="I275" s="109" t="e">
        <f ca="1">INDIRECT(_xlfn.TEXTJOIN("",TRUE,A277,"!",ADDRESS(5+A278*A274,10)))</f>
        <v>#N/A</v>
      </c>
      <c r="J275" s="109"/>
    </row>
    <row r="276" spans="1:10" ht="28" customHeight="1" x14ac:dyDescent="0.2">
      <c r="A276" s="19" t="s">
        <v>36</v>
      </c>
      <c r="B276" s="95" t="e">
        <f ca="1">INDIRECT(_xlfn.TEXTJOIN("",TRUE,A277,"!",ADDRESS(5+A278*A274,2)))</f>
        <v>#N/A</v>
      </c>
      <c r="C276" s="95"/>
      <c r="D276" s="121" t="s">
        <v>37</v>
      </c>
      <c r="E276" s="121"/>
      <c r="F276" s="122" t="e">
        <f ca="1">INDIRECT(_xlfn.TEXTJOIN("",TRUE,A277,"!",ADDRESS(5+A278*A274,5)))</f>
        <v>#N/A</v>
      </c>
      <c r="G276" s="122"/>
      <c r="H276" s="122"/>
      <c r="I276" s="122"/>
      <c r="J276" s="122"/>
    </row>
    <row r="277" spans="1:10" ht="28" customHeight="1" x14ac:dyDescent="0.2">
      <c r="A277" s="22" t="str">
        <f>A261</f>
        <v>TC_IV</v>
      </c>
    </row>
    <row r="278" spans="1:10" ht="28" customHeight="1" x14ac:dyDescent="0.2">
      <c r="A278" s="22">
        <f>A262+1</f>
        <v>17</v>
      </c>
    </row>
    <row r="279" spans="1:10" ht="28" customHeight="1" x14ac:dyDescent="0.2">
      <c r="A279" s="112" t="s">
        <v>24</v>
      </c>
      <c r="B279" s="112"/>
      <c r="C279" s="112" t="str">
        <f ca="1">INDIRECT(_xlfn.TEXTJOIN("",TRUE,A293,"!",ADDRESS(9+(A294-1)*A290,2)))</f>
        <v>PRIYANSHU DHYANI</v>
      </c>
      <c r="D279" s="112"/>
      <c r="E279" s="112"/>
      <c r="F279" s="112" t="s">
        <v>50</v>
      </c>
      <c r="G279" s="112"/>
      <c r="H279" s="112"/>
      <c r="I279" s="113">
        <f ca="1">INDIRECT(_xlfn.TEXTJOIN("",TRUE,A293,"!",ADDRESS(9+(A294-1)*A290,9)))</f>
        <v>240090600018</v>
      </c>
      <c r="J279" s="113"/>
    </row>
    <row r="280" spans="1:10" ht="28" customHeight="1" x14ac:dyDescent="0.2">
      <c r="A280" s="112" t="s">
        <v>25</v>
      </c>
      <c r="B280" s="112"/>
      <c r="C280" s="112" t="str">
        <f ca="1">INDIRECT(_xlfn.TEXTJOIN("",TRUE,A293,"!",ADDRESS(9+(A294-1)*A290,5)))</f>
        <v>RAMESH CHANDRA DHYANI</v>
      </c>
      <c r="D280" s="112"/>
      <c r="E280" s="112"/>
      <c r="F280" s="114" t="s">
        <v>51</v>
      </c>
      <c r="G280" s="114"/>
      <c r="H280" s="114"/>
      <c r="I280" s="113" t="str">
        <f ca="1">INDIRECT(_xlfn.TEXTJOIN("",TRUE,A293,"!",ADDRESS(9+(A294-1)*A290,13)))</f>
        <v>UTU/2406100171</v>
      </c>
      <c r="J280" s="113"/>
    </row>
    <row r="281" spans="1:10" ht="28" customHeight="1" x14ac:dyDescent="0.2">
      <c r="A281" s="95" t="s">
        <v>28</v>
      </c>
      <c r="B281" s="95"/>
      <c r="C281" s="95" t="s">
        <v>29</v>
      </c>
      <c r="D281" s="95"/>
      <c r="E281" s="95"/>
      <c r="F281" s="95"/>
      <c r="G281" s="95"/>
      <c r="H281" s="15" t="s">
        <v>30</v>
      </c>
      <c r="I281" s="15" t="s">
        <v>9</v>
      </c>
      <c r="J281" s="15" t="s">
        <v>34</v>
      </c>
    </row>
    <row r="282" spans="1:10" ht="28" customHeight="1" x14ac:dyDescent="0.2">
      <c r="A282" s="96" t="str">
        <f ca="1">INDIRECT(_xlfn.TEXTJOIN("",TRUE,A293,"!",ADDRESS(13+(A294-1)*A290,1)))</f>
        <v>CAT 022</v>
      </c>
      <c r="B282" s="97"/>
      <c r="C282" s="106" t="str">
        <f ca="1">INDIRECT(_xlfn.TEXTJOIN("",TRUE,A293,"!",ADDRESS(13+(A294-1)*A290,2)))</f>
        <v>Network Security</v>
      </c>
      <c r="D282" s="107"/>
      <c r="E282" s="107"/>
      <c r="F282" s="107"/>
      <c r="G282" s="108"/>
      <c r="H282" s="20">
        <f ca="1">INDIRECT(_xlfn.TEXTJOIN("",TRUE,A293,"!",ADDRESS(13+(A294-1)*A290,6)))</f>
        <v>4</v>
      </c>
      <c r="I282" s="20" t="str">
        <f ca="1">INDIRECT(_xlfn.TEXTJOIN("",TRUE,A293,"!",ADDRESS(13+(A294-1)*A290,13)))</f>
        <v>F</v>
      </c>
      <c r="J282" s="20">
        <f ca="1">INDIRECT(_xlfn.TEXTJOIN("",TRUE,A293,"!",ADDRESS(13+(A294-1)*A290,14)))</f>
        <v>0</v>
      </c>
    </row>
    <row r="283" spans="1:10" ht="28" customHeight="1" x14ac:dyDescent="0.2">
      <c r="A283" s="96" t="str">
        <f ca="1">INDIRECT(_xlfn.TEXTJOIN("",TRUE,A293,"!",ADDRESS(14+(A294-1)*A290,1)))</f>
        <v>Enroll No.</v>
      </c>
      <c r="B283" s="97"/>
      <c r="C283" s="106">
        <f ca="1">INDIRECT(_xlfn.TEXTJOIN("",TRUE,A293,"!",ADDRESS(14+(A294-1)*A290,2)))</f>
        <v>0</v>
      </c>
      <c r="D283" s="107"/>
      <c r="E283" s="107"/>
      <c r="F283" s="107"/>
      <c r="G283" s="108"/>
      <c r="H283" s="20">
        <f ca="1">INDIRECT(_xlfn.TEXTJOIN("",TRUE,A293,"!",ADDRESS(14+(A294-1)*A290,6)))</f>
        <v>0</v>
      </c>
      <c r="I283" s="20" t="b">
        <f ca="1">INDIRECT(_xlfn.TEXTJOIN("",TRUE,A293,"!",ADDRESS(14+(A294-1)*A290,13)))</f>
        <v>0</v>
      </c>
      <c r="J283" s="20" t="e">
        <f ca="1">INDIRECT(_xlfn.TEXTJOIN("",TRUE,A293,"!",ADDRESS(14+(A294-1)*A290,14)))</f>
        <v>#N/A</v>
      </c>
    </row>
    <row r="284" spans="1:10" ht="28" customHeight="1" x14ac:dyDescent="0.2">
      <c r="A284" s="96" t="str">
        <f ca="1">INDIRECT(_xlfn.TEXTJOIN("",TRUE,A293,"!",ADDRESS(15+(A294-1)*A290,1)))</f>
        <v>CAT 030</v>
      </c>
      <c r="B284" s="97"/>
      <c r="C284" s="106" t="str">
        <f ca="1">INDIRECT(_xlfn.TEXTJOIN("",TRUE,A293,"!",ADDRESS(15+(A294-1)*A290,2)))</f>
        <v>Software Testing &amp; Quality Assurance</v>
      </c>
      <c r="D284" s="107"/>
      <c r="E284" s="107"/>
      <c r="F284" s="107"/>
      <c r="G284" s="108"/>
      <c r="H284" s="20">
        <f ca="1">INDIRECT(_xlfn.TEXTJOIN("",TRUE,A293,"!",ADDRESS(15+(A294-1)*A290,6)))</f>
        <v>4</v>
      </c>
      <c r="I284" s="20" t="str">
        <f ca="1">INDIRECT(_xlfn.TEXTJOIN("",TRUE,A293,"!",ADDRESS(15+(A294-1)*A290,13)))</f>
        <v>F</v>
      </c>
      <c r="J284" s="20">
        <f ca="1">INDIRECT(_xlfn.TEXTJOIN("",TRUE,A293,"!",ADDRESS(15+(A294-1)*A290,14)))</f>
        <v>0</v>
      </c>
    </row>
    <row r="285" spans="1:10" ht="28" customHeight="1" x14ac:dyDescent="0.2">
      <c r="A285" s="96" t="str">
        <f ca="1">INDIRECT(_xlfn.TEXTJOIN("",TRUE,A293,"!",ADDRESS(16+(A294-1)*A290,1)))</f>
        <v>Enroll No.</v>
      </c>
      <c r="B285" s="97"/>
      <c r="C285" s="106">
        <f ca="1">INDIRECT(_xlfn.TEXTJOIN("",TRUE,A293,"!",ADDRESS(16+(A294-1)*A290,2)))</f>
        <v>0</v>
      </c>
      <c r="D285" s="107"/>
      <c r="E285" s="107"/>
      <c r="F285" s="107"/>
      <c r="G285" s="108"/>
      <c r="H285" s="20">
        <f ca="1">INDIRECT(_xlfn.TEXTJOIN("",TRUE,A293,"!",ADDRESS(16+(A294-1)*A290,6)))</f>
        <v>0</v>
      </c>
      <c r="I285" s="20" t="b">
        <f ca="1">INDIRECT(_xlfn.TEXTJOIN("",TRUE,A293,"!",ADDRESS(16+(A294-1)*A290,13)))</f>
        <v>0</v>
      </c>
      <c r="J285" s="20" t="e">
        <f ca="1">INDIRECT(_xlfn.TEXTJOIN("",TRUE,A293,"!",ADDRESS(16+(A294-1)*A290,14)))</f>
        <v>#N/A</v>
      </c>
    </row>
    <row r="286" spans="1:10" ht="28" customHeight="1" x14ac:dyDescent="0.2">
      <c r="A286" s="96" t="str">
        <f ca="1">INDIRECT(_xlfn.TEXTJOIN("",TRUE,A293,"!",ADDRESS(17+(A294-1)*A290,1)))</f>
        <v>CAP 011</v>
      </c>
      <c r="B286" s="97"/>
      <c r="C286" s="106" t="str">
        <f ca="1">INDIRECT(_xlfn.TEXTJOIN("",TRUE,A293,"!",ADDRESS(17+(A294-1)*A290,2)))</f>
        <v>Network Security Lab</v>
      </c>
      <c r="D286" s="107"/>
      <c r="E286" s="107"/>
      <c r="F286" s="107"/>
      <c r="G286" s="108"/>
      <c r="H286" s="20">
        <f ca="1">INDIRECT(_xlfn.TEXTJOIN("",TRUE,A293,"!",ADDRESS(17+(A294-1)*A290,6)))</f>
        <v>1</v>
      </c>
      <c r="I286" s="20" t="str">
        <f ca="1">INDIRECT(_xlfn.TEXTJOIN("",TRUE,A293,"!",ADDRESS(17+(A294-1)*A290,13)))</f>
        <v>F</v>
      </c>
      <c r="J286" s="20">
        <f ca="1">INDIRECT(_xlfn.TEXTJOIN("",TRUE,A293,"!",ADDRESS(17+(A294-1)*A290,14)))</f>
        <v>0</v>
      </c>
    </row>
    <row r="287" spans="1:10" ht="28" customHeight="1" x14ac:dyDescent="0.2">
      <c r="A287" s="96" t="str">
        <f ca="1">INDIRECT(_xlfn.TEXTJOIN("",TRUE,A293,"!",ADDRESS(18+(A294-1)*A290,1)))</f>
        <v>Enroll No.</v>
      </c>
      <c r="B287" s="97"/>
      <c r="C287" s="106">
        <f ca="1">INDIRECT(_xlfn.TEXTJOIN("",TRUE,A293,"!",ADDRESS(18+(A294-1)*A290,2)))</f>
        <v>0</v>
      </c>
      <c r="D287" s="107"/>
      <c r="E287" s="107"/>
      <c r="F287" s="107"/>
      <c r="G287" s="108"/>
      <c r="H287" s="20">
        <f ca="1">INDIRECT(_xlfn.TEXTJOIN("",TRUE,A293,"!",ADDRESS(18+(A294-1)*A290,6)))</f>
        <v>0</v>
      </c>
      <c r="I287" s="20" t="b">
        <f ca="1">INDIRECT(_xlfn.TEXTJOIN("",TRUE,A293,"!",ADDRESS(18+(A294-1)*A290,13)))</f>
        <v>0</v>
      </c>
      <c r="J287" s="20" t="e">
        <f ca="1">INDIRECT(_xlfn.TEXTJOIN("",TRUE,A293,"!",ADDRESS(18+(A294-1)*A290,14)))</f>
        <v>#N/A</v>
      </c>
    </row>
    <row r="288" spans="1:10" ht="28" customHeight="1" x14ac:dyDescent="0.2">
      <c r="A288" s="96" t="str">
        <f ca="1">INDIRECT(_xlfn.TEXTJOIN("",TRUE,A293,"!",ADDRESS(19+(A294-1)*A290,1)))</f>
        <v>CAP 013</v>
      </c>
      <c r="B288" s="97"/>
      <c r="C288" s="106" t="str">
        <f ca="1">INDIRECT(_xlfn.TEXTJOIN("",TRUE,A293,"!",ADDRESS(19+(A294-1)*A290,2)))</f>
        <v>Major Project</v>
      </c>
      <c r="D288" s="107"/>
      <c r="E288" s="107"/>
      <c r="F288" s="107"/>
      <c r="G288" s="108"/>
      <c r="H288" s="20">
        <f ca="1">INDIRECT(_xlfn.TEXTJOIN("",TRUE,A293,"!",ADDRESS(19+(A294-1)*A290,6)))</f>
        <v>6</v>
      </c>
      <c r="I288" s="20" t="str">
        <f ca="1">INDIRECT(_xlfn.TEXTJOIN("",TRUE,A293,"!",ADDRESS(19+(A294-1)*A290,13)))</f>
        <v>F</v>
      </c>
      <c r="J288" s="20">
        <f ca="1">INDIRECT(_xlfn.TEXTJOIN("",TRUE,A293,"!",ADDRESS(19+(A294-1)*A290,14)))</f>
        <v>0</v>
      </c>
    </row>
    <row r="289" spans="1:10" ht="28" customHeight="1" x14ac:dyDescent="0.2">
      <c r="A289" s="118" t="s">
        <v>52</v>
      </c>
      <c r="B289" s="118"/>
      <c r="C289" s="118"/>
      <c r="D289" s="118"/>
      <c r="E289" s="118"/>
      <c r="F289" s="118"/>
      <c r="G289" s="118"/>
      <c r="H289" s="16">
        <f ca="1">SUM(H282:H288)</f>
        <v>15</v>
      </c>
      <c r="I289" s="16" t="s">
        <v>44</v>
      </c>
      <c r="J289" s="16" t="e">
        <f ca="1">SUMPRODUCT(J282:J288,H282:H288)</f>
        <v>#N/A</v>
      </c>
    </row>
    <row r="290" spans="1:10" ht="28" customHeight="1" x14ac:dyDescent="0.2">
      <c r="A290" s="22">
        <f>ROWS(A282:B288)+9</f>
        <v>16</v>
      </c>
      <c r="B290" s="17"/>
      <c r="C290" s="17"/>
      <c r="D290" s="17"/>
      <c r="E290" s="17"/>
      <c r="F290" s="17"/>
      <c r="G290" s="17"/>
      <c r="H290" s="17"/>
      <c r="I290" s="17"/>
      <c r="J290" s="17"/>
    </row>
    <row r="291" spans="1:10" ht="28" customHeight="1" x14ac:dyDescent="0.2">
      <c r="A291" s="120" t="s">
        <v>40</v>
      </c>
      <c r="B291" s="120"/>
      <c r="C291" s="21">
        <f ca="1">INDIRECT(_xlfn.TEXTJOIN("",TRUE,A293,"!",ADDRESS(5+A294*A290,12)))</f>
        <v>0</v>
      </c>
      <c r="D291" s="120" t="s">
        <v>38</v>
      </c>
      <c r="E291" s="120"/>
      <c r="F291" s="18" t="e">
        <f ca="1">INDIRECT(_xlfn.TEXTJOIN("",TRUE,A293,"!",ADDRESS(5+A294*A290,8)))</f>
        <v>#N/A</v>
      </c>
      <c r="G291" s="120" t="s">
        <v>39</v>
      </c>
      <c r="H291" s="120"/>
      <c r="I291" s="109" t="e">
        <f ca="1">INDIRECT(_xlfn.TEXTJOIN("",TRUE,A293,"!",ADDRESS(5+A294*A290,10)))</f>
        <v>#N/A</v>
      </c>
      <c r="J291" s="109"/>
    </row>
    <row r="292" spans="1:10" ht="28" customHeight="1" x14ac:dyDescent="0.2">
      <c r="A292" s="19" t="s">
        <v>36</v>
      </c>
      <c r="B292" s="95" t="e">
        <f ca="1">INDIRECT(_xlfn.TEXTJOIN("",TRUE,A293,"!",ADDRESS(5+A294*A290,2)))</f>
        <v>#N/A</v>
      </c>
      <c r="C292" s="95"/>
      <c r="D292" s="121" t="s">
        <v>37</v>
      </c>
      <c r="E292" s="121"/>
      <c r="F292" s="122" t="e">
        <f ca="1">INDIRECT(_xlfn.TEXTJOIN("",TRUE,A293,"!",ADDRESS(5+A294*A290,5)))</f>
        <v>#N/A</v>
      </c>
      <c r="G292" s="122"/>
      <c r="H292" s="122"/>
      <c r="I292" s="122"/>
      <c r="J292" s="122"/>
    </row>
    <row r="293" spans="1:10" ht="28" customHeight="1" x14ac:dyDescent="0.2">
      <c r="A293" s="22" t="str">
        <f>A277</f>
        <v>TC_IV</v>
      </c>
    </row>
    <row r="294" spans="1:10" ht="28" customHeight="1" x14ac:dyDescent="0.2">
      <c r="A294" s="22">
        <f>A278+1</f>
        <v>18</v>
      </c>
    </row>
    <row r="295" spans="1:10" ht="28" customHeight="1" x14ac:dyDescent="0.2">
      <c r="A295" s="112" t="s">
        <v>24</v>
      </c>
      <c r="B295" s="112"/>
      <c r="C295" s="112" t="str">
        <f ca="1">INDIRECT(_xlfn.TEXTJOIN("",TRUE,A309,"!",ADDRESS(9+(A310-1)*A306,2)))</f>
        <v>SEJAL SINGH</v>
      </c>
      <c r="D295" s="112"/>
      <c r="E295" s="112"/>
      <c r="F295" s="112" t="s">
        <v>50</v>
      </c>
      <c r="G295" s="112"/>
      <c r="H295" s="112"/>
      <c r="I295" s="113">
        <f ca="1">INDIRECT(_xlfn.TEXTJOIN("",TRUE,A309,"!",ADDRESS(9+(A310-1)*A306,9)))</f>
        <v>240090600019</v>
      </c>
      <c r="J295" s="113"/>
    </row>
    <row r="296" spans="1:10" ht="28" customHeight="1" x14ac:dyDescent="0.2">
      <c r="A296" s="112" t="s">
        <v>25</v>
      </c>
      <c r="B296" s="112"/>
      <c r="C296" s="112" t="str">
        <f ca="1">INDIRECT(_xlfn.TEXTJOIN("",TRUE,A309,"!",ADDRESS(9+(A310-1)*A306,5)))</f>
        <v>SHEESH RAM SINGH</v>
      </c>
      <c r="D296" s="112"/>
      <c r="E296" s="112"/>
      <c r="F296" s="114" t="s">
        <v>51</v>
      </c>
      <c r="G296" s="114"/>
      <c r="H296" s="114"/>
      <c r="I296" s="113" t="str">
        <f ca="1">INDIRECT(_xlfn.TEXTJOIN("",TRUE,A309,"!",ADDRESS(9+(A310-1)*A306,13)))</f>
        <v>UTU/2406100169</v>
      </c>
      <c r="J296" s="113"/>
    </row>
    <row r="297" spans="1:10" ht="28" customHeight="1" x14ac:dyDescent="0.2">
      <c r="A297" s="95" t="s">
        <v>28</v>
      </c>
      <c r="B297" s="95"/>
      <c r="C297" s="95" t="s">
        <v>29</v>
      </c>
      <c r="D297" s="95"/>
      <c r="E297" s="95"/>
      <c r="F297" s="95"/>
      <c r="G297" s="95"/>
      <c r="H297" s="15" t="s">
        <v>30</v>
      </c>
      <c r="I297" s="15" t="s">
        <v>9</v>
      </c>
      <c r="J297" s="15" t="s">
        <v>34</v>
      </c>
    </row>
    <row r="298" spans="1:10" ht="28" customHeight="1" x14ac:dyDescent="0.2">
      <c r="A298" s="96" t="str">
        <f ca="1">INDIRECT(_xlfn.TEXTJOIN("",TRUE,A309,"!",ADDRESS(13+(A310-1)*A306,1)))</f>
        <v>CAT 022</v>
      </c>
      <c r="B298" s="97"/>
      <c r="C298" s="106" t="str">
        <f ca="1">INDIRECT(_xlfn.TEXTJOIN("",TRUE,A309,"!",ADDRESS(13+(A310-1)*A306,2)))</f>
        <v>Network Security</v>
      </c>
      <c r="D298" s="107"/>
      <c r="E298" s="107"/>
      <c r="F298" s="107"/>
      <c r="G298" s="108"/>
      <c r="H298" s="20">
        <f ca="1">INDIRECT(_xlfn.TEXTJOIN("",TRUE,A309,"!",ADDRESS(13+(A310-1)*A306,6)))</f>
        <v>4</v>
      </c>
      <c r="I298" s="20" t="str">
        <f ca="1">INDIRECT(_xlfn.TEXTJOIN("",TRUE,A309,"!",ADDRESS(13+(A310-1)*A306,13)))</f>
        <v>F</v>
      </c>
      <c r="J298" s="20">
        <f ca="1">INDIRECT(_xlfn.TEXTJOIN("",TRUE,A309,"!",ADDRESS(13+(A310-1)*A306,14)))</f>
        <v>0</v>
      </c>
    </row>
    <row r="299" spans="1:10" ht="28" customHeight="1" x14ac:dyDescent="0.2">
      <c r="A299" s="96" t="str">
        <f ca="1">INDIRECT(_xlfn.TEXTJOIN("",TRUE,A309,"!",ADDRESS(14+(A310-1)*A306,1)))</f>
        <v>Enroll No.</v>
      </c>
      <c r="B299" s="97"/>
      <c r="C299" s="106">
        <f ca="1">INDIRECT(_xlfn.TEXTJOIN("",TRUE,A309,"!",ADDRESS(14+(A310-1)*A306,2)))</f>
        <v>0</v>
      </c>
      <c r="D299" s="107"/>
      <c r="E299" s="107"/>
      <c r="F299" s="107"/>
      <c r="G299" s="108"/>
      <c r="H299" s="20">
        <f ca="1">INDIRECT(_xlfn.TEXTJOIN("",TRUE,A309,"!",ADDRESS(14+(A310-1)*A306,6)))</f>
        <v>0</v>
      </c>
      <c r="I299" s="20" t="b">
        <f ca="1">INDIRECT(_xlfn.TEXTJOIN("",TRUE,A309,"!",ADDRESS(14+(A310-1)*A306,13)))</f>
        <v>0</v>
      </c>
      <c r="J299" s="20" t="e">
        <f ca="1">INDIRECT(_xlfn.TEXTJOIN("",TRUE,A309,"!",ADDRESS(14+(A310-1)*A306,14)))</f>
        <v>#N/A</v>
      </c>
    </row>
    <row r="300" spans="1:10" ht="28" customHeight="1" x14ac:dyDescent="0.2">
      <c r="A300" s="96" t="str">
        <f ca="1">INDIRECT(_xlfn.TEXTJOIN("",TRUE,A309,"!",ADDRESS(15+(A310-1)*A306,1)))</f>
        <v>CAT 030</v>
      </c>
      <c r="B300" s="97"/>
      <c r="C300" s="106" t="str">
        <f ca="1">INDIRECT(_xlfn.TEXTJOIN("",TRUE,A309,"!",ADDRESS(15+(A310-1)*A306,2)))</f>
        <v>Software Testing &amp; Quality Assurance</v>
      </c>
      <c r="D300" s="107"/>
      <c r="E300" s="107"/>
      <c r="F300" s="107"/>
      <c r="G300" s="108"/>
      <c r="H300" s="20">
        <f ca="1">INDIRECT(_xlfn.TEXTJOIN("",TRUE,A309,"!",ADDRESS(15+(A310-1)*A306,6)))</f>
        <v>4</v>
      </c>
      <c r="I300" s="20" t="str">
        <f ca="1">INDIRECT(_xlfn.TEXTJOIN("",TRUE,A309,"!",ADDRESS(15+(A310-1)*A306,13)))</f>
        <v>F</v>
      </c>
      <c r="J300" s="20">
        <f ca="1">INDIRECT(_xlfn.TEXTJOIN("",TRUE,A309,"!",ADDRESS(15+(A310-1)*A306,14)))</f>
        <v>0</v>
      </c>
    </row>
    <row r="301" spans="1:10" ht="28" customHeight="1" x14ac:dyDescent="0.2">
      <c r="A301" s="96" t="str">
        <f ca="1">INDIRECT(_xlfn.TEXTJOIN("",TRUE,A309,"!",ADDRESS(16+(A310-1)*A306,1)))</f>
        <v>Enroll No.</v>
      </c>
      <c r="B301" s="97"/>
      <c r="C301" s="106">
        <f ca="1">INDIRECT(_xlfn.TEXTJOIN("",TRUE,A309,"!",ADDRESS(16+(A310-1)*A306,2)))</f>
        <v>0</v>
      </c>
      <c r="D301" s="107"/>
      <c r="E301" s="107"/>
      <c r="F301" s="107"/>
      <c r="G301" s="108"/>
      <c r="H301" s="20">
        <f ca="1">INDIRECT(_xlfn.TEXTJOIN("",TRUE,A309,"!",ADDRESS(16+(A310-1)*A306,6)))</f>
        <v>0</v>
      </c>
      <c r="I301" s="20" t="b">
        <f ca="1">INDIRECT(_xlfn.TEXTJOIN("",TRUE,A309,"!",ADDRESS(16+(A310-1)*A306,13)))</f>
        <v>0</v>
      </c>
      <c r="J301" s="20" t="e">
        <f ca="1">INDIRECT(_xlfn.TEXTJOIN("",TRUE,A309,"!",ADDRESS(16+(A310-1)*A306,14)))</f>
        <v>#N/A</v>
      </c>
    </row>
    <row r="302" spans="1:10" ht="28" customHeight="1" x14ac:dyDescent="0.2">
      <c r="A302" s="96" t="str">
        <f ca="1">INDIRECT(_xlfn.TEXTJOIN("",TRUE,A309,"!",ADDRESS(17+(A310-1)*A306,1)))</f>
        <v>CAP 011</v>
      </c>
      <c r="B302" s="97"/>
      <c r="C302" s="106" t="str">
        <f ca="1">INDIRECT(_xlfn.TEXTJOIN("",TRUE,A309,"!",ADDRESS(17+(A310-1)*A306,2)))</f>
        <v>Network Security Lab</v>
      </c>
      <c r="D302" s="107"/>
      <c r="E302" s="107"/>
      <c r="F302" s="107"/>
      <c r="G302" s="108"/>
      <c r="H302" s="20">
        <f ca="1">INDIRECT(_xlfn.TEXTJOIN("",TRUE,A309,"!",ADDRESS(17+(A310-1)*A306,6)))</f>
        <v>1</v>
      </c>
      <c r="I302" s="20" t="str">
        <f ca="1">INDIRECT(_xlfn.TEXTJOIN("",TRUE,A309,"!",ADDRESS(17+(A310-1)*A306,13)))</f>
        <v>F</v>
      </c>
      <c r="J302" s="20">
        <f ca="1">INDIRECT(_xlfn.TEXTJOIN("",TRUE,A309,"!",ADDRESS(17+(A310-1)*A306,14)))</f>
        <v>0</v>
      </c>
    </row>
    <row r="303" spans="1:10" ht="28" customHeight="1" x14ac:dyDescent="0.2">
      <c r="A303" s="96" t="str">
        <f ca="1">INDIRECT(_xlfn.TEXTJOIN("",TRUE,A309,"!",ADDRESS(18+(A310-1)*A306,1)))</f>
        <v>Enroll No.</v>
      </c>
      <c r="B303" s="97"/>
      <c r="C303" s="106">
        <f ca="1">INDIRECT(_xlfn.TEXTJOIN("",TRUE,A309,"!",ADDRESS(18+(A310-1)*A306,2)))</f>
        <v>0</v>
      </c>
      <c r="D303" s="107"/>
      <c r="E303" s="107"/>
      <c r="F303" s="107"/>
      <c r="G303" s="108"/>
      <c r="H303" s="20">
        <f ca="1">INDIRECT(_xlfn.TEXTJOIN("",TRUE,A309,"!",ADDRESS(18+(A310-1)*A306,6)))</f>
        <v>0</v>
      </c>
      <c r="I303" s="20" t="b">
        <f ca="1">INDIRECT(_xlfn.TEXTJOIN("",TRUE,A309,"!",ADDRESS(18+(A310-1)*A306,13)))</f>
        <v>0</v>
      </c>
      <c r="J303" s="20" t="e">
        <f ca="1">INDIRECT(_xlfn.TEXTJOIN("",TRUE,A309,"!",ADDRESS(18+(A310-1)*A306,14)))</f>
        <v>#N/A</v>
      </c>
    </row>
    <row r="304" spans="1:10" ht="28" customHeight="1" x14ac:dyDescent="0.2">
      <c r="A304" s="96" t="str">
        <f ca="1">INDIRECT(_xlfn.TEXTJOIN("",TRUE,A309,"!",ADDRESS(19+(A310-1)*A306,1)))</f>
        <v>CAP 013</v>
      </c>
      <c r="B304" s="97"/>
      <c r="C304" s="106" t="str">
        <f ca="1">INDIRECT(_xlfn.TEXTJOIN("",TRUE,A309,"!",ADDRESS(19+(A310-1)*A306,2)))</f>
        <v>Major Project</v>
      </c>
      <c r="D304" s="107"/>
      <c r="E304" s="107"/>
      <c r="F304" s="107"/>
      <c r="G304" s="108"/>
      <c r="H304" s="20">
        <f ca="1">INDIRECT(_xlfn.TEXTJOIN("",TRUE,A309,"!",ADDRESS(19+(A310-1)*A306,6)))</f>
        <v>6</v>
      </c>
      <c r="I304" s="20" t="str">
        <f ca="1">INDIRECT(_xlfn.TEXTJOIN("",TRUE,A309,"!",ADDRESS(19+(A310-1)*A306,13)))</f>
        <v>F</v>
      </c>
      <c r="J304" s="20">
        <f ca="1">INDIRECT(_xlfn.TEXTJOIN("",TRUE,A309,"!",ADDRESS(19+(A310-1)*A306,14)))</f>
        <v>0</v>
      </c>
    </row>
    <row r="305" spans="1:10" ht="28" customHeight="1" x14ac:dyDescent="0.2">
      <c r="A305" s="118" t="s">
        <v>52</v>
      </c>
      <c r="B305" s="118"/>
      <c r="C305" s="118"/>
      <c r="D305" s="118"/>
      <c r="E305" s="118"/>
      <c r="F305" s="118"/>
      <c r="G305" s="118"/>
      <c r="H305" s="16">
        <f ca="1">SUM(H298:H304)</f>
        <v>15</v>
      </c>
      <c r="I305" s="16" t="s">
        <v>44</v>
      </c>
      <c r="J305" s="16" t="e">
        <f ca="1">SUMPRODUCT(J298:J304,H298:H304)</f>
        <v>#N/A</v>
      </c>
    </row>
    <row r="306" spans="1:10" ht="28" customHeight="1" x14ac:dyDescent="0.2">
      <c r="A306" s="22">
        <f>ROWS(A298:B304)+9</f>
        <v>16</v>
      </c>
      <c r="B306" s="17"/>
      <c r="C306" s="17"/>
      <c r="D306" s="17"/>
      <c r="E306" s="17"/>
      <c r="F306" s="17"/>
      <c r="G306" s="17"/>
      <c r="H306" s="17"/>
      <c r="I306" s="17"/>
      <c r="J306" s="17"/>
    </row>
    <row r="307" spans="1:10" ht="28" customHeight="1" x14ac:dyDescent="0.2">
      <c r="A307" s="120" t="s">
        <v>40</v>
      </c>
      <c r="B307" s="120"/>
      <c r="C307" s="21">
        <f ca="1">INDIRECT(_xlfn.TEXTJOIN("",TRUE,A309,"!",ADDRESS(5+A310*A306,12)))</f>
        <v>0</v>
      </c>
      <c r="D307" s="120" t="s">
        <v>38</v>
      </c>
      <c r="E307" s="120"/>
      <c r="F307" s="18" t="e">
        <f ca="1">INDIRECT(_xlfn.TEXTJOIN("",TRUE,A309,"!",ADDRESS(5+A310*A306,8)))</f>
        <v>#N/A</v>
      </c>
      <c r="G307" s="120" t="s">
        <v>39</v>
      </c>
      <c r="H307" s="120"/>
      <c r="I307" s="109" t="e">
        <f ca="1">INDIRECT(_xlfn.TEXTJOIN("",TRUE,A309,"!",ADDRESS(5+A310*A306,10)))</f>
        <v>#N/A</v>
      </c>
      <c r="J307" s="109"/>
    </row>
    <row r="308" spans="1:10" ht="28" customHeight="1" x14ac:dyDescent="0.2">
      <c r="A308" s="19" t="s">
        <v>36</v>
      </c>
      <c r="B308" s="95" t="e">
        <f ca="1">INDIRECT(_xlfn.TEXTJOIN("",TRUE,A309,"!",ADDRESS(5+A310*A306,2)))</f>
        <v>#N/A</v>
      </c>
      <c r="C308" s="95"/>
      <c r="D308" s="121" t="s">
        <v>37</v>
      </c>
      <c r="E308" s="121"/>
      <c r="F308" s="122" t="e">
        <f ca="1">INDIRECT(_xlfn.TEXTJOIN("",TRUE,A309,"!",ADDRESS(5+A310*A306,5)))</f>
        <v>#N/A</v>
      </c>
      <c r="G308" s="122"/>
      <c r="H308" s="122"/>
      <c r="I308" s="122"/>
      <c r="J308" s="122"/>
    </row>
    <row r="309" spans="1:10" ht="28" customHeight="1" x14ac:dyDescent="0.2">
      <c r="A309" s="22" t="str">
        <f>A293</f>
        <v>TC_IV</v>
      </c>
    </row>
    <row r="310" spans="1:10" ht="28" customHeight="1" x14ac:dyDescent="0.2">
      <c r="A310" s="22">
        <f>A294+1</f>
        <v>19</v>
      </c>
    </row>
    <row r="311" spans="1:10" ht="28" customHeight="1" x14ac:dyDescent="0.2">
      <c r="A311" s="112" t="s">
        <v>24</v>
      </c>
      <c r="B311" s="112"/>
      <c r="C311" s="112" t="str">
        <f ca="1">INDIRECT(_xlfn.TEXTJOIN("",TRUE,A325,"!",ADDRESS(9+(A326-1)*A322,2)))</f>
        <v>SHARAD NIJWALA</v>
      </c>
      <c r="D311" s="112"/>
      <c r="E311" s="112"/>
      <c r="F311" s="112" t="s">
        <v>50</v>
      </c>
      <c r="G311" s="112"/>
      <c r="H311" s="112"/>
      <c r="I311" s="113">
        <f ca="1">INDIRECT(_xlfn.TEXTJOIN("",TRUE,A325,"!",ADDRESS(9+(A326-1)*A322,9)))</f>
        <v>240090600020</v>
      </c>
      <c r="J311" s="113"/>
    </row>
    <row r="312" spans="1:10" ht="28" customHeight="1" x14ac:dyDescent="0.2">
      <c r="A312" s="112" t="s">
        <v>25</v>
      </c>
      <c r="B312" s="112"/>
      <c r="C312" s="112" t="str">
        <f ca="1">INDIRECT(_xlfn.TEXTJOIN("",TRUE,A325,"!",ADDRESS(9+(A326-1)*A322,5)))</f>
        <v>VIJAYANT SINGH</v>
      </c>
      <c r="D312" s="112"/>
      <c r="E312" s="112"/>
      <c r="F312" s="114" t="s">
        <v>51</v>
      </c>
      <c r="G312" s="114"/>
      <c r="H312" s="114"/>
      <c r="I312" s="113" t="str">
        <f ca="1">INDIRECT(_xlfn.TEXTJOIN("",TRUE,A325,"!",ADDRESS(9+(A326-1)*A322,13)))</f>
        <v>UTU/2406100196</v>
      </c>
      <c r="J312" s="113"/>
    </row>
    <row r="313" spans="1:10" ht="28" customHeight="1" x14ac:dyDescent="0.2">
      <c r="A313" s="95" t="s">
        <v>28</v>
      </c>
      <c r="B313" s="95"/>
      <c r="C313" s="95" t="s">
        <v>29</v>
      </c>
      <c r="D313" s="95"/>
      <c r="E313" s="95"/>
      <c r="F313" s="95"/>
      <c r="G313" s="95"/>
      <c r="H313" s="15" t="s">
        <v>30</v>
      </c>
      <c r="I313" s="15" t="s">
        <v>9</v>
      </c>
      <c r="J313" s="15" t="s">
        <v>34</v>
      </c>
    </row>
    <row r="314" spans="1:10" ht="28" customHeight="1" x14ac:dyDescent="0.2">
      <c r="A314" s="96" t="str">
        <f ca="1">INDIRECT(_xlfn.TEXTJOIN("",TRUE,A325,"!",ADDRESS(13+(A326-1)*A322,1)))</f>
        <v>CAT 022</v>
      </c>
      <c r="B314" s="97"/>
      <c r="C314" s="106" t="str">
        <f ca="1">INDIRECT(_xlfn.TEXTJOIN("",TRUE,A325,"!",ADDRESS(13+(A326-1)*A322,2)))</f>
        <v>Network Security</v>
      </c>
      <c r="D314" s="107"/>
      <c r="E314" s="107"/>
      <c r="F314" s="107"/>
      <c r="G314" s="108"/>
      <c r="H314" s="20">
        <f ca="1">INDIRECT(_xlfn.TEXTJOIN("",TRUE,A325,"!",ADDRESS(13+(A326-1)*A322,6)))</f>
        <v>4</v>
      </c>
      <c r="I314" s="20" t="str">
        <f ca="1">INDIRECT(_xlfn.TEXTJOIN("",TRUE,A325,"!",ADDRESS(13+(A326-1)*A322,13)))</f>
        <v>F</v>
      </c>
      <c r="J314" s="20">
        <f ca="1">INDIRECT(_xlfn.TEXTJOIN("",TRUE,A325,"!",ADDRESS(13+(A326-1)*A322,14)))</f>
        <v>0</v>
      </c>
    </row>
    <row r="315" spans="1:10" ht="28" customHeight="1" x14ac:dyDescent="0.2">
      <c r="A315" s="96" t="str">
        <f ca="1">INDIRECT(_xlfn.TEXTJOIN("",TRUE,A325,"!",ADDRESS(14+(A326-1)*A322,1)))</f>
        <v>Enroll No.</v>
      </c>
      <c r="B315" s="97"/>
      <c r="C315" s="106">
        <f ca="1">INDIRECT(_xlfn.TEXTJOIN("",TRUE,A325,"!",ADDRESS(14+(A326-1)*A322,2)))</f>
        <v>0</v>
      </c>
      <c r="D315" s="107"/>
      <c r="E315" s="107"/>
      <c r="F315" s="107"/>
      <c r="G315" s="108"/>
      <c r="H315" s="20">
        <f ca="1">INDIRECT(_xlfn.TEXTJOIN("",TRUE,A325,"!",ADDRESS(14+(A326-1)*A322,6)))</f>
        <v>0</v>
      </c>
      <c r="I315" s="20" t="b">
        <f ca="1">INDIRECT(_xlfn.TEXTJOIN("",TRUE,A325,"!",ADDRESS(14+(A326-1)*A322,13)))</f>
        <v>0</v>
      </c>
      <c r="J315" s="20" t="e">
        <f ca="1">INDIRECT(_xlfn.TEXTJOIN("",TRUE,A325,"!",ADDRESS(14+(A326-1)*A322,14)))</f>
        <v>#N/A</v>
      </c>
    </row>
    <row r="316" spans="1:10" ht="28" customHeight="1" x14ac:dyDescent="0.2">
      <c r="A316" s="96" t="str">
        <f ca="1">INDIRECT(_xlfn.TEXTJOIN("",TRUE,A325,"!",ADDRESS(15+(A326-1)*A322,1)))</f>
        <v>CAT 030</v>
      </c>
      <c r="B316" s="97"/>
      <c r="C316" s="106" t="str">
        <f ca="1">INDIRECT(_xlfn.TEXTJOIN("",TRUE,A325,"!",ADDRESS(15+(A326-1)*A322,2)))</f>
        <v>Software Testing &amp; Quality Assurance</v>
      </c>
      <c r="D316" s="107"/>
      <c r="E316" s="107"/>
      <c r="F316" s="107"/>
      <c r="G316" s="108"/>
      <c r="H316" s="20">
        <f ca="1">INDIRECT(_xlfn.TEXTJOIN("",TRUE,A325,"!",ADDRESS(15+(A326-1)*A322,6)))</f>
        <v>4</v>
      </c>
      <c r="I316" s="20" t="str">
        <f ca="1">INDIRECT(_xlfn.TEXTJOIN("",TRUE,A325,"!",ADDRESS(15+(A326-1)*A322,13)))</f>
        <v>F</v>
      </c>
      <c r="J316" s="20">
        <f ca="1">INDIRECT(_xlfn.TEXTJOIN("",TRUE,A325,"!",ADDRESS(15+(A326-1)*A322,14)))</f>
        <v>0</v>
      </c>
    </row>
    <row r="317" spans="1:10" ht="28" customHeight="1" x14ac:dyDescent="0.2">
      <c r="A317" s="96" t="str">
        <f ca="1">INDIRECT(_xlfn.TEXTJOIN("",TRUE,A325,"!",ADDRESS(16+(A326-1)*A322,1)))</f>
        <v>Enroll No.</v>
      </c>
      <c r="B317" s="97"/>
      <c r="C317" s="106">
        <f ca="1">INDIRECT(_xlfn.TEXTJOIN("",TRUE,A325,"!",ADDRESS(16+(A326-1)*A322,2)))</f>
        <v>0</v>
      </c>
      <c r="D317" s="107"/>
      <c r="E317" s="107"/>
      <c r="F317" s="107"/>
      <c r="G317" s="108"/>
      <c r="H317" s="20">
        <f ca="1">INDIRECT(_xlfn.TEXTJOIN("",TRUE,A325,"!",ADDRESS(16+(A326-1)*A322,6)))</f>
        <v>0</v>
      </c>
      <c r="I317" s="20" t="b">
        <f ca="1">INDIRECT(_xlfn.TEXTJOIN("",TRUE,A325,"!",ADDRESS(16+(A326-1)*A322,13)))</f>
        <v>0</v>
      </c>
      <c r="J317" s="20" t="e">
        <f ca="1">INDIRECT(_xlfn.TEXTJOIN("",TRUE,A325,"!",ADDRESS(16+(A326-1)*A322,14)))</f>
        <v>#N/A</v>
      </c>
    </row>
    <row r="318" spans="1:10" ht="28" customHeight="1" x14ac:dyDescent="0.2">
      <c r="A318" s="96" t="str">
        <f ca="1">INDIRECT(_xlfn.TEXTJOIN("",TRUE,A325,"!",ADDRESS(17+(A326-1)*A322,1)))</f>
        <v>CAP 011</v>
      </c>
      <c r="B318" s="97"/>
      <c r="C318" s="106" t="str">
        <f ca="1">INDIRECT(_xlfn.TEXTJOIN("",TRUE,A325,"!",ADDRESS(17+(A326-1)*A322,2)))</f>
        <v>Network Security Lab</v>
      </c>
      <c r="D318" s="107"/>
      <c r="E318" s="107"/>
      <c r="F318" s="107"/>
      <c r="G318" s="108"/>
      <c r="H318" s="20">
        <f ca="1">INDIRECT(_xlfn.TEXTJOIN("",TRUE,A325,"!",ADDRESS(17+(A326-1)*A322,6)))</f>
        <v>1</v>
      </c>
      <c r="I318" s="20" t="str">
        <f ca="1">INDIRECT(_xlfn.TEXTJOIN("",TRUE,A325,"!",ADDRESS(17+(A326-1)*A322,13)))</f>
        <v>F</v>
      </c>
      <c r="J318" s="20">
        <f ca="1">INDIRECT(_xlfn.TEXTJOIN("",TRUE,A325,"!",ADDRESS(17+(A326-1)*A322,14)))</f>
        <v>0</v>
      </c>
    </row>
    <row r="319" spans="1:10" ht="28" customHeight="1" x14ac:dyDescent="0.2">
      <c r="A319" s="96" t="str">
        <f ca="1">INDIRECT(_xlfn.TEXTJOIN("",TRUE,A325,"!",ADDRESS(18+(A326-1)*A322,1)))</f>
        <v>Enroll No.</v>
      </c>
      <c r="B319" s="97"/>
      <c r="C319" s="106">
        <f ca="1">INDIRECT(_xlfn.TEXTJOIN("",TRUE,A325,"!",ADDRESS(18+(A326-1)*A322,2)))</f>
        <v>0</v>
      </c>
      <c r="D319" s="107"/>
      <c r="E319" s="107"/>
      <c r="F319" s="107"/>
      <c r="G319" s="108"/>
      <c r="H319" s="20">
        <f ca="1">INDIRECT(_xlfn.TEXTJOIN("",TRUE,A325,"!",ADDRESS(18+(A326-1)*A322,6)))</f>
        <v>0</v>
      </c>
      <c r="I319" s="20" t="b">
        <f ca="1">INDIRECT(_xlfn.TEXTJOIN("",TRUE,A325,"!",ADDRESS(18+(A326-1)*A322,13)))</f>
        <v>0</v>
      </c>
      <c r="J319" s="20" t="e">
        <f ca="1">INDIRECT(_xlfn.TEXTJOIN("",TRUE,A325,"!",ADDRESS(18+(A326-1)*A322,14)))</f>
        <v>#N/A</v>
      </c>
    </row>
    <row r="320" spans="1:10" ht="28" customHeight="1" x14ac:dyDescent="0.2">
      <c r="A320" s="96" t="str">
        <f ca="1">INDIRECT(_xlfn.TEXTJOIN("",TRUE,A325,"!",ADDRESS(19+(A326-1)*A322,1)))</f>
        <v>CAP 013</v>
      </c>
      <c r="B320" s="97"/>
      <c r="C320" s="106" t="str">
        <f ca="1">INDIRECT(_xlfn.TEXTJOIN("",TRUE,A325,"!",ADDRESS(19+(A326-1)*A322,2)))</f>
        <v>Major Project</v>
      </c>
      <c r="D320" s="107"/>
      <c r="E320" s="107"/>
      <c r="F320" s="107"/>
      <c r="G320" s="108"/>
      <c r="H320" s="20">
        <f ca="1">INDIRECT(_xlfn.TEXTJOIN("",TRUE,A325,"!",ADDRESS(19+(A326-1)*A322,6)))</f>
        <v>6</v>
      </c>
      <c r="I320" s="20" t="str">
        <f ca="1">INDIRECT(_xlfn.TEXTJOIN("",TRUE,A325,"!",ADDRESS(19+(A326-1)*A322,13)))</f>
        <v>F</v>
      </c>
      <c r="J320" s="20">
        <f ca="1">INDIRECT(_xlfn.TEXTJOIN("",TRUE,A325,"!",ADDRESS(19+(A326-1)*A322,14)))</f>
        <v>0</v>
      </c>
    </row>
    <row r="321" spans="1:10" ht="28" customHeight="1" x14ac:dyDescent="0.2">
      <c r="A321" s="118" t="s">
        <v>52</v>
      </c>
      <c r="B321" s="118"/>
      <c r="C321" s="118"/>
      <c r="D321" s="118"/>
      <c r="E321" s="118"/>
      <c r="F321" s="118"/>
      <c r="G321" s="118"/>
      <c r="H321" s="16">
        <f ca="1">SUM(H314:H320)</f>
        <v>15</v>
      </c>
      <c r="I321" s="16" t="s">
        <v>44</v>
      </c>
      <c r="J321" s="16" t="e">
        <f ca="1">SUMPRODUCT(J314:J320,H314:H320)</f>
        <v>#N/A</v>
      </c>
    </row>
    <row r="322" spans="1:10" ht="28" customHeight="1" x14ac:dyDescent="0.2">
      <c r="A322" s="22">
        <f>ROWS(A314:B320)+9</f>
        <v>16</v>
      </c>
      <c r="B322" s="17"/>
      <c r="C322" s="17"/>
      <c r="D322" s="17"/>
      <c r="E322" s="17"/>
      <c r="F322" s="17"/>
      <c r="G322" s="17"/>
      <c r="H322" s="17"/>
      <c r="I322" s="17"/>
      <c r="J322" s="17"/>
    </row>
    <row r="323" spans="1:10" ht="28" customHeight="1" x14ac:dyDescent="0.2">
      <c r="A323" s="120" t="s">
        <v>40</v>
      </c>
      <c r="B323" s="120"/>
      <c r="C323" s="21">
        <f ca="1">INDIRECT(_xlfn.TEXTJOIN("",TRUE,A325,"!",ADDRESS(5+A326*A322,12)))</f>
        <v>0</v>
      </c>
      <c r="D323" s="120" t="s">
        <v>38</v>
      </c>
      <c r="E323" s="120"/>
      <c r="F323" s="18" t="e">
        <f ca="1">INDIRECT(_xlfn.TEXTJOIN("",TRUE,A325,"!",ADDRESS(5+A326*A322,8)))</f>
        <v>#N/A</v>
      </c>
      <c r="G323" s="120" t="s">
        <v>39</v>
      </c>
      <c r="H323" s="120"/>
      <c r="I323" s="109" t="e">
        <f ca="1">INDIRECT(_xlfn.TEXTJOIN("",TRUE,A325,"!",ADDRESS(5+A326*A322,10)))</f>
        <v>#N/A</v>
      </c>
      <c r="J323" s="109"/>
    </row>
    <row r="324" spans="1:10" ht="28" customHeight="1" x14ac:dyDescent="0.2">
      <c r="A324" s="19" t="s">
        <v>36</v>
      </c>
      <c r="B324" s="95" t="e">
        <f ca="1">INDIRECT(_xlfn.TEXTJOIN("",TRUE,A325,"!",ADDRESS(5+A326*A322,2)))</f>
        <v>#N/A</v>
      </c>
      <c r="C324" s="95"/>
      <c r="D324" s="121" t="s">
        <v>37</v>
      </c>
      <c r="E324" s="121"/>
      <c r="F324" s="122" t="e">
        <f ca="1">INDIRECT(_xlfn.TEXTJOIN("",TRUE,A325,"!",ADDRESS(5+A326*A322,5)))</f>
        <v>#N/A</v>
      </c>
      <c r="G324" s="122"/>
      <c r="H324" s="122"/>
      <c r="I324" s="122"/>
      <c r="J324" s="122"/>
    </row>
    <row r="325" spans="1:10" ht="28" customHeight="1" x14ac:dyDescent="0.2">
      <c r="A325" s="22" t="str">
        <f>A309</f>
        <v>TC_IV</v>
      </c>
    </row>
    <row r="326" spans="1:10" ht="28" customHeight="1" x14ac:dyDescent="0.2">
      <c r="A326" s="22">
        <f>A310+1</f>
        <v>20</v>
      </c>
    </row>
    <row r="327" spans="1:10" ht="28" customHeight="1" x14ac:dyDescent="0.2">
      <c r="A327" s="112" t="s">
        <v>24</v>
      </c>
      <c r="B327" s="112"/>
      <c r="C327" s="112" t="str">
        <f ca="1">INDIRECT(_xlfn.TEXTJOIN("",TRUE,A341,"!",ADDRESS(9+(A342-1)*A338,2)))</f>
        <v>SHIKHA</v>
      </c>
      <c r="D327" s="112"/>
      <c r="E327" s="112"/>
      <c r="F327" s="112" t="s">
        <v>50</v>
      </c>
      <c r="G327" s="112"/>
      <c r="H327" s="112"/>
      <c r="I327" s="113">
        <f ca="1">INDIRECT(_xlfn.TEXTJOIN("",TRUE,A341,"!",ADDRESS(9+(A342-1)*A338,9)))</f>
        <v>240090600021</v>
      </c>
      <c r="J327" s="113"/>
    </row>
    <row r="328" spans="1:10" ht="28" customHeight="1" x14ac:dyDescent="0.2">
      <c r="A328" s="112" t="s">
        <v>25</v>
      </c>
      <c r="B328" s="112"/>
      <c r="C328" s="112" t="str">
        <f ca="1">INDIRECT(_xlfn.TEXTJOIN("",TRUE,A341,"!",ADDRESS(9+(A342-1)*A338,5)))</f>
        <v>UPENDRA SINGH SEMWAL</v>
      </c>
      <c r="D328" s="112"/>
      <c r="E328" s="112"/>
      <c r="F328" s="114" t="s">
        <v>51</v>
      </c>
      <c r="G328" s="114"/>
      <c r="H328" s="114"/>
      <c r="I328" s="113" t="str">
        <f ca="1">INDIRECT(_xlfn.TEXTJOIN("",TRUE,A341,"!",ADDRESS(9+(A342-1)*A338,13)))</f>
        <v>UTU/2406100176</v>
      </c>
      <c r="J328" s="113"/>
    </row>
    <row r="329" spans="1:10" ht="28" customHeight="1" x14ac:dyDescent="0.2">
      <c r="A329" s="95" t="s">
        <v>28</v>
      </c>
      <c r="B329" s="95"/>
      <c r="C329" s="95" t="s">
        <v>29</v>
      </c>
      <c r="D329" s="95"/>
      <c r="E329" s="95"/>
      <c r="F329" s="95"/>
      <c r="G329" s="95"/>
      <c r="H329" s="15" t="s">
        <v>30</v>
      </c>
      <c r="I329" s="15" t="s">
        <v>9</v>
      </c>
      <c r="J329" s="15" t="s">
        <v>34</v>
      </c>
    </row>
    <row r="330" spans="1:10" ht="28" customHeight="1" x14ac:dyDescent="0.2">
      <c r="A330" s="96" t="str">
        <f ca="1">INDIRECT(_xlfn.TEXTJOIN("",TRUE,A341,"!",ADDRESS(13+(A342-1)*A338,1)))</f>
        <v>CAT 022</v>
      </c>
      <c r="B330" s="97"/>
      <c r="C330" s="106" t="str">
        <f ca="1">INDIRECT(_xlfn.TEXTJOIN("",TRUE,A341,"!",ADDRESS(13+(A342-1)*A338,2)))</f>
        <v>Network Security</v>
      </c>
      <c r="D330" s="107"/>
      <c r="E330" s="107"/>
      <c r="F330" s="107"/>
      <c r="G330" s="108"/>
      <c r="H330" s="20">
        <f ca="1">INDIRECT(_xlfn.TEXTJOIN("",TRUE,A341,"!",ADDRESS(13+(A342-1)*A338,6)))</f>
        <v>4</v>
      </c>
      <c r="I330" s="20" t="str">
        <f ca="1">INDIRECT(_xlfn.TEXTJOIN("",TRUE,A341,"!",ADDRESS(13+(A342-1)*A338,13)))</f>
        <v>F</v>
      </c>
      <c r="J330" s="20">
        <f ca="1">INDIRECT(_xlfn.TEXTJOIN("",TRUE,A341,"!",ADDRESS(13+(A342-1)*A338,14)))</f>
        <v>0</v>
      </c>
    </row>
    <row r="331" spans="1:10" ht="28" customHeight="1" x14ac:dyDescent="0.2">
      <c r="A331" s="96" t="str">
        <f ca="1">INDIRECT(_xlfn.TEXTJOIN("",TRUE,A341,"!",ADDRESS(14+(A342-1)*A338,1)))</f>
        <v>Enroll No.</v>
      </c>
      <c r="B331" s="97"/>
      <c r="C331" s="106">
        <f ca="1">INDIRECT(_xlfn.TEXTJOIN("",TRUE,A341,"!",ADDRESS(14+(A342-1)*A338,2)))</f>
        <v>0</v>
      </c>
      <c r="D331" s="107"/>
      <c r="E331" s="107"/>
      <c r="F331" s="107"/>
      <c r="G331" s="108"/>
      <c r="H331" s="20">
        <f ca="1">INDIRECT(_xlfn.TEXTJOIN("",TRUE,A341,"!",ADDRESS(14+(A342-1)*A338,6)))</f>
        <v>0</v>
      </c>
      <c r="I331" s="20" t="b">
        <f ca="1">INDIRECT(_xlfn.TEXTJOIN("",TRUE,A341,"!",ADDRESS(14+(A342-1)*A338,13)))</f>
        <v>0</v>
      </c>
      <c r="J331" s="20" t="e">
        <f ca="1">INDIRECT(_xlfn.TEXTJOIN("",TRUE,A341,"!",ADDRESS(14+(A342-1)*A338,14)))</f>
        <v>#N/A</v>
      </c>
    </row>
    <row r="332" spans="1:10" ht="28" customHeight="1" x14ac:dyDescent="0.2">
      <c r="A332" s="96" t="str">
        <f ca="1">INDIRECT(_xlfn.TEXTJOIN("",TRUE,A341,"!",ADDRESS(15+(A342-1)*A338,1)))</f>
        <v>CAT 030</v>
      </c>
      <c r="B332" s="97"/>
      <c r="C332" s="106" t="str">
        <f ca="1">INDIRECT(_xlfn.TEXTJOIN("",TRUE,A341,"!",ADDRESS(15+(A342-1)*A338,2)))</f>
        <v>Software Testing &amp; Quality Assurance</v>
      </c>
      <c r="D332" s="107"/>
      <c r="E332" s="107"/>
      <c r="F332" s="107"/>
      <c r="G332" s="108"/>
      <c r="H332" s="20">
        <f ca="1">INDIRECT(_xlfn.TEXTJOIN("",TRUE,A341,"!",ADDRESS(15+(A342-1)*A338,6)))</f>
        <v>4</v>
      </c>
      <c r="I332" s="20" t="str">
        <f ca="1">INDIRECT(_xlfn.TEXTJOIN("",TRUE,A341,"!",ADDRESS(15+(A342-1)*A338,13)))</f>
        <v>F</v>
      </c>
      <c r="J332" s="20">
        <f ca="1">INDIRECT(_xlfn.TEXTJOIN("",TRUE,A341,"!",ADDRESS(15+(A342-1)*A338,14)))</f>
        <v>0</v>
      </c>
    </row>
    <row r="333" spans="1:10" ht="28" customHeight="1" x14ac:dyDescent="0.2">
      <c r="A333" s="96" t="str">
        <f ca="1">INDIRECT(_xlfn.TEXTJOIN("",TRUE,A341,"!",ADDRESS(16+(A342-1)*A338,1)))</f>
        <v>Enroll No.</v>
      </c>
      <c r="B333" s="97"/>
      <c r="C333" s="106">
        <f ca="1">INDIRECT(_xlfn.TEXTJOIN("",TRUE,A341,"!",ADDRESS(16+(A342-1)*A338,2)))</f>
        <v>0</v>
      </c>
      <c r="D333" s="107"/>
      <c r="E333" s="107"/>
      <c r="F333" s="107"/>
      <c r="G333" s="108"/>
      <c r="H333" s="20">
        <f ca="1">INDIRECT(_xlfn.TEXTJOIN("",TRUE,A341,"!",ADDRESS(16+(A342-1)*A338,6)))</f>
        <v>0</v>
      </c>
      <c r="I333" s="20" t="b">
        <f ca="1">INDIRECT(_xlfn.TEXTJOIN("",TRUE,A341,"!",ADDRESS(16+(A342-1)*A338,13)))</f>
        <v>0</v>
      </c>
      <c r="J333" s="20" t="e">
        <f ca="1">INDIRECT(_xlfn.TEXTJOIN("",TRUE,A341,"!",ADDRESS(16+(A342-1)*A338,14)))</f>
        <v>#N/A</v>
      </c>
    </row>
    <row r="334" spans="1:10" ht="28" customHeight="1" x14ac:dyDescent="0.2">
      <c r="A334" s="96" t="str">
        <f ca="1">INDIRECT(_xlfn.TEXTJOIN("",TRUE,A341,"!",ADDRESS(17+(A342-1)*A338,1)))</f>
        <v>CAP 011</v>
      </c>
      <c r="B334" s="97"/>
      <c r="C334" s="106" t="str">
        <f ca="1">INDIRECT(_xlfn.TEXTJOIN("",TRUE,A341,"!",ADDRESS(17+(A342-1)*A338,2)))</f>
        <v>Network Security Lab</v>
      </c>
      <c r="D334" s="107"/>
      <c r="E334" s="107"/>
      <c r="F334" s="107"/>
      <c r="G334" s="108"/>
      <c r="H334" s="20">
        <f ca="1">INDIRECT(_xlfn.TEXTJOIN("",TRUE,A341,"!",ADDRESS(17+(A342-1)*A338,6)))</f>
        <v>1</v>
      </c>
      <c r="I334" s="20" t="str">
        <f ca="1">INDIRECT(_xlfn.TEXTJOIN("",TRUE,A341,"!",ADDRESS(17+(A342-1)*A338,13)))</f>
        <v>F</v>
      </c>
      <c r="J334" s="20">
        <f ca="1">INDIRECT(_xlfn.TEXTJOIN("",TRUE,A341,"!",ADDRESS(17+(A342-1)*A338,14)))</f>
        <v>0</v>
      </c>
    </row>
    <row r="335" spans="1:10" ht="28" customHeight="1" x14ac:dyDescent="0.2">
      <c r="A335" s="96" t="str">
        <f ca="1">INDIRECT(_xlfn.TEXTJOIN("",TRUE,A341,"!",ADDRESS(18+(A342-1)*A338,1)))</f>
        <v>Enroll No.</v>
      </c>
      <c r="B335" s="97"/>
      <c r="C335" s="106">
        <f ca="1">INDIRECT(_xlfn.TEXTJOIN("",TRUE,A341,"!",ADDRESS(18+(A342-1)*A338,2)))</f>
        <v>0</v>
      </c>
      <c r="D335" s="107"/>
      <c r="E335" s="107"/>
      <c r="F335" s="107"/>
      <c r="G335" s="108"/>
      <c r="H335" s="20">
        <f ca="1">INDIRECT(_xlfn.TEXTJOIN("",TRUE,A341,"!",ADDRESS(18+(A342-1)*A338,6)))</f>
        <v>0</v>
      </c>
      <c r="I335" s="20" t="b">
        <f ca="1">INDIRECT(_xlfn.TEXTJOIN("",TRUE,A341,"!",ADDRESS(18+(A342-1)*A338,13)))</f>
        <v>0</v>
      </c>
      <c r="J335" s="20" t="e">
        <f ca="1">INDIRECT(_xlfn.TEXTJOIN("",TRUE,A341,"!",ADDRESS(18+(A342-1)*A338,14)))</f>
        <v>#N/A</v>
      </c>
    </row>
    <row r="336" spans="1:10" ht="28" customHeight="1" x14ac:dyDescent="0.2">
      <c r="A336" s="96" t="str">
        <f ca="1">INDIRECT(_xlfn.TEXTJOIN("",TRUE,A341,"!",ADDRESS(19+(A342-1)*A338,1)))</f>
        <v>CAP 013</v>
      </c>
      <c r="B336" s="97"/>
      <c r="C336" s="106" t="str">
        <f ca="1">INDIRECT(_xlfn.TEXTJOIN("",TRUE,A341,"!",ADDRESS(19+(A342-1)*A338,2)))</f>
        <v>Major Project</v>
      </c>
      <c r="D336" s="107"/>
      <c r="E336" s="107"/>
      <c r="F336" s="107"/>
      <c r="G336" s="108"/>
      <c r="H336" s="20">
        <f ca="1">INDIRECT(_xlfn.TEXTJOIN("",TRUE,A341,"!",ADDRESS(19+(A342-1)*A338,6)))</f>
        <v>6</v>
      </c>
      <c r="I336" s="20" t="str">
        <f ca="1">INDIRECT(_xlfn.TEXTJOIN("",TRUE,A341,"!",ADDRESS(19+(A342-1)*A338,13)))</f>
        <v>F</v>
      </c>
      <c r="J336" s="20">
        <f ca="1">INDIRECT(_xlfn.TEXTJOIN("",TRUE,A341,"!",ADDRESS(19+(A342-1)*A338,14)))</f>
        <v>0</v>
      </c>
    </row>
    <row r="337" spans="1:10" ht="28" customHeight="1" x14ac:dyDescent="0.2">
      <c r="A337" s="118" t="s">
        <v>52</v>
      </c>
      <c r="B337" s="118"/>
      <c r="C337" s="118"/>
      <c r="D337" s="118"/>
      <c r="E337" s="118"/>
      <c r="F337" s="118"/>
      <c r="G337" s="118"/>
      <c r="H337" s="16">
        <f ca="1">SUM(H330:H336)</f>
        <v>15</v>
      </c>
      <c r="I337" s="16" t="s">
        <v>44</v>
      </c>
      <c r="J337" s="16" t="e">
        <f ca="1">SUMPRODUCT(J330:J336,H330:H336)</f>
        <v>#N/A</v>
      </c>
    </row>
    <row r="338" spans="1:10" ht="28" customHeight="1" x14ac:dyDescent="0.2">
      <c r="A338" s="22">
        <f>ROWS(A330:B336)+9</f>
        <v>16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8" customHeight="1" x14ac:dyDescent="0.2">
      <c r="A339" s="120" t="s">
        <v>40</v>
      </c>
      <c r="B339" s="120"/>
      <c r="C339" s="21">
        <f ca="1">INDIRECT(_xlfn.TEXTJOIN("",TRUE,A341,"!",ADDRESS(5+A342*A338,12)))</f>
        <v>0</v>
      </c>
      <c r="D339" s="120" t="s">
        <v>38</v>
      </c>
      <c r="E339" s="120"/>
      <c r="F339" s="18" t="e">
        <f ca="1">INDIRECT(_xlfn.TEXTJOIN("",TRUE,A341,"!",ADDRESS(5+A342*A338,8)))</f>
        <v>#N/A</v>
      </c>
      <c r="G339" s="120" t="s">
        <v>39</v>
      </c>
      <c r="H339" s="120"/>
      <c r="I339" s="109" t="e">
        <f ca="1">INDIRECT(_xlfn.TEXTJOIN("",TRUE,A341,"!",ADDRESS(5+A342*A338,10)))</f>
        <v>#N/A</v>
      </c>
      <c r="J339" s="109"/>
    </row>
    <row r="340" spans="1:10" ht="28" customHeight="1" x14ac:dyDescent="0.2">
      <c r="A340" s="19" t="s">
        <v>36</v>
      </c>
      <c r="B340" s="95" t="e">
        <f ca="1">INDIRECT(_xlfn.TEXTJOIN("",TRUE,A341,"!",ADDRESS(5+A342*A338,2)))</f>
        <v>#N/A</v>
      </c>
      <c r="C340" s="95"/>
      <c r="D340" s="121" t="s">
        <v>37</v>
      </c>
      <c r="E340" s="121"/>
      <c r="F340" s="122" t="e">
        <f ca="1">INDIRECT(_xlfn.TEXTJOIN("",TRUE,A341,"!",ADDRESS(5+A342*A338,5)))</f>
        <v>#N/A</v>
      </c>
      <c r="G340" s="122"/>
      <c r="H340" s="122"/>
      <c r="I340" s="122"/>
      <c r="J340" s="122"/>
    </row>
    <row r="341" spans="1:10" ht="28" customHeight="1" x14ac:dyDescent="0.2">
      <c r="A341" s="22" t="str">
        <f>A325</f>
        <v>TC_IV</v>
      </c>
    </row>
    <row r="342" spans="1:10" ht="28" customHeight="1" x14ac:dyDescent="0.2">
      <c r="A342" s="22">
        <f>A326+1</f>
        <v>21</v>
      </c>
    </row>
    <row r="343" spans="1:10" ht="28" customHeight="1" x14ac:dyDescent="0.2">
      <c r="A343" s="112" t="s">
        <v>24</v>
      </c>
      <c r="B343" s="112"/>
      <c r="C343" s="112" t="str">
        <f ca="1">INDIRECT(_xlfn.TEXTJOIN("",TRUE,A357,"!",ADDRESS(9+(A358-1)*A354,2)))</f>
        <v>SHIVANI BHATT</v>
      </c>
      <c r="D343" s="112"/>
      <c r="E343" s="112"/>
      <c r="F343" s="112" t="s">
        <v>50</v>
      </c>
      <c r="G343" s="112"/>
      <c r="H343" s="112"/>
      <c r="I343" s="113">
        <f ca="1">INDIRECT(_xlfn.TEXTJOIN("",TRUE,A357,"!",ADDRESS(9+(A358-1)*A354,9)))</f>
        <v>240090600022</v>
      </c>
      <c r="J343" s="113"/>
    </row>
    <row r="344" spans="1:10" ht="28" customHeight="1" x14ac:dyDescent="0.2">
      <c r="A344" s="112" t="s">
        <v>25</v>
      </c>
      <c r="B344" s="112"/>
      <c r="C344" s="112" t="str">
        <f ca="1">INDIRECT(_xlfn.TEXTJOIN("",TRUE,A357,"!",ADDRESS(9+(A358-1)*A354,5)))</f>
        <v>RAVINDRA BHATT</v>
      </c>
      <c r="D344" s="112"/>
      <c r="E344" s="112"/>
      <c r="F344" s="114" t="s">
        <v>51</v>
      </c>
      <c r="G344" s="114"/>
      <c r="H344" s="114"/>
      <c r="I344" s="113" t="str">
        <f ca="1">INDIRECT(_xlfn.TEXTJOIN("",TRUE,A357,"!",ADDRESS(9+(A358-1)*A354,13)))</f>
        <v>UTU/2406100168</v>
      </c>
      <c r="J344" s="113"/>
    </row>
    <row r="345" spans="1:10" ht="28" customHeight="1" x14ac:dyDescent="0.2">
      <c r="A345" s="95" t="s">
        <v>28</v>
      </c>
      <c r="B345" s="95"/>
      <c r="C345" s="95" t="s">
        <v>29</v>
      </c>
      <c r="D345" s="95"/>
      <c r="E345" s="95"/>
      <c r="F345" s="95"/>
      <c r="G345" s="95"/>
      <c r="H345" s="15" t="s">
        <v>30</v>
      </c>
      <c r="I345" s="15" t="s">
        <v>9</v>
      </c>
      <c r="J345" s="15" t="s">
        <v>34</v>
      </c>
    </row>
    <row r="346" spans="1:10" ht="28" customHeight="1" x14ac:dyDescent="0.2">
      <c r="A346" s="96" t="str">
        <f ca="1">INDIRECT(_xlfn.TEXTJOIN("",TRUE,A357,"!",ADDRESS(13+(A358-1)*A354,1)))</f>
        <v>CAT 022</v>
      </c>
      <c r="B346" s="97"/>
      <c r="C346" s="106" t="str">
        <f ca="1">INDIRECT(_xlfn.TEXTJOIN("",TRUE,A357,"!",ADDRESS(13+(A358-1)*A354,2)))</f>
        <v>Network Security</v>
      </c>
      <c r="D346" s="107"/>
      <c r="E346" s="107"/>
      <c r="F346" s="107"/>
      <c r="G346" s="108"/>
      <c r="H346" s="20">
        <f ca="1">INDIRECT(_xlfn.TEXTJOIN("",TRUE,A357,"!",ADDRESS(13+(A358-1)*A354,6)))</f>
        <v>4</v>
      </c>
      <c r="I346" s="20" t="str">
        <f ca="1">INDIRECT(_xlfn.TEXTJOIN("",TRUE,A357,"!",ADDRESS(13+(A358-1)*A354,13)))</f>
        <v>F</v>
      </c>
      <c r="J346" s="20">
        <f ca="1">INDIRECT(_xlfn.TEXTJOIN("",TRUE,A357,"!",ADDRESS(13+(A358-1)*A354,14)))</f>
        <v>0</v>
      </c>
    </row>
    <row r="347" spans="1:10" ht="28" customHeight="1" x14ac:dyDescent="0.2">
      <c r="A347" s="96" t="str">
        <f ca="1">INDIRECT(_xlfn.TEXTJOIN("",TRUE,A357,"!",ADDRESS(14+(A358-1)*A354,1)))</f>
        <v>Enroll No.</v>
      </c>
      <c r="B347" s="97"/>
      <c r="C347" s="106">
        <f ca="1">INDIRECT(_xlfn.TEXTJOIN("",TRUE,A357,"!",ADDRESS(14+(A358-1)*A354,2)))</f>
        <v>0</v>
      </c>
      <c r="D347" s="107"/>
      <c r="E347" s="107"/>
      <c r="F347" s="107"/>
      <c r="G347" s="108"/>
      <c r="H347" s="20">
        <f ca="1">INDIRECT(_xlfn.TEXTJOIN("",TRUE,A357,"!",ADDRESS(14+(A358-1)*A354,6)))</f>
        <v>0</v>
      </c>
      <c r="I347" s="20" t="b">
        <f ca="1">INDIRECT(_xlfn.TEXTJOIN("",TRUE,A357,"!",ADDRESS(14+(A358-1)*A354,13)))</f>
        <v>0</v>
      </c>
      <c r="J347" s="20" t="e">
        <f ca="1">INDIRECT(_xlfn.TEXTJOIN("",TRUE,A357,"!",ADDRESS(14+(A358-1)*A354,14)))</f>
        <v>#N/A</v>
      </c>
    </row>
    <row r="348" spans="1:10" ht="28" customHeight="1" x14ac:dyDescent="0.2">
      <c r="A348" s="96" t="str">
        <f ca="1">INDIRECT(_xlfn.TEXTJOIN("",TRUE,A357,"!",ADDRESS(15+(A358-1)*A354,1)))</f>
        <v>CAT 030</v>
      </c>
      <c r="B348" s="97"/>
      <c r="C348" s="106" t="str">
        <f ca="1">INDIRECT(_xlfn.TEXTJOIN("",TRUE,A357,"!",ADDRESS(15+(A358-1)*A354,2)))</f>
        <v>Software Testing &amp; Quality Assurance</v>
      </c>
      <c r="D348" s="107"/>
      <c r="E348" s="107"/>
      <c r="F348" s="107"/>
      <c r="G348" s="108"/>
      <c r="H348" s="20">
        <f ca="1">INDIRECT(_xlfn.TEXTJOIN("",TRUE,A357,"!",ADDRESS(15+(A358-1)*A354,6)))</f>
        <v>4</v>
      </c>
      <c r="I348" s="20" t="str">
        <f ca="1">INDIRECT(_xlfn.TEXTJOIN("",TRUE,A357,"!",ADDRESS(15+(A358-1)*A354,13)))</f>
        <v>F</v>
      </c>
      <c r="J348" s="20">
        <f ca="1">INDIRECT(_xlfn.TEXTJOIN("",TRUE,A357,"!",ADDRESS(15+(A358-1)*A354,14)))</f>
        <v>0</v>
      </c>
    </row>
    <row r="349" spans="1:10" ht="28" customHeight="1" x14ac:dyDescent="0.2">
      <c r="A349" s="96" t="str">
        <f ca="1">INDIRECT(_xlfn.TEXTJOIN("",TRUE,A357,"!",ADDRESS(16+(A358-1)*A354,1)))</f>
        <v>Enroll No.</v>
      </c>
      <c r="B349" s="97"/>
      <c r="C349" s="106">
        <f ca="1">INDIRECT(_xlfn.TEXTJOIN("",TRUE,A357,"!",ADDRESS(16+(A358-1)*A354,2)))</f>
        <v>0</v>
      </c>
      <c r="D349" s="107"/>
      <c r="E349" s="107"/>
      <c r="F349" s="107"/>
      <c r="G349" s="108"/>
      <c r="H349" s="20">
        <f ca="1">INDIRECT(_xlfn.TEXTJOIN("",TRUE,A357,"!",ADDRESS(16+(A358-1)*A354,6)))</f>
        <v>0</v>
      </c>
      <c r="I349" s="20" t="b">
        <f ca="1">INDIRECT(_xlfn.TEXTJOIN("",TRUE,A357,"!",ADDRESS(16+(A358-1)*A354,13)))</f>
        <v>0</v>
      </c>
      <c r="J349" s="20" t="e">
        <f ca="1">INDIRECT(_xlfn.TEXTJOIN("",TRUE,A357,"!",ADDRESS(16+(A358-1)*A354,14)))</f>
        <v>#N/A</v>
      </c>
    </row>
    <row r="350" spans="1:10" ht="28" customHeight="1" x14ac:dyDescent="0.2">
      <c r="A350" s="96" t="str">
        <f ca="1">INDIRECT(_xlfn.TEXTJOIN("",TRUE,A357,"!",ADDRESS(17+(A358-1)*A354,1)))</f>
        <v>CAP 011</v>
      </c>
      <c r="B350" s="97"/>
      <c r="C350" s="106" t="str">
        <f ca="1">INDIRECT(_xlfn.TEXTJOIN("",TRUE,A357,"!",ADDRESS(17+(A358-1)*A354,2)))</f>
        <v>Network Security Lab</v>
      </c>
      <c r="D350" s="107"/>
      <c r="E350" s="107"/>
      <c r="F350" s="107"/>
      <c r="G350" s="108"/>
      <c r="H350" s="20">
        <f ca="1">INDIRECT(_xlfn.TEXTJOIN("",TRUE,A357,"!",ADDRESS(17+(A358-1)*A354,6)))</f>
        <v>1</v>
      </c>
      <c r="I350" s="20" t="str">
        <f ca="1">INDIRECT(_xlfn.TEXTJOIN("",TRUE,A357,"!",ADDRESS(17+(A358-1)*A354,13)))</f>
        <v>F</v>
      </c>
      <c r="J350" s="20">
        <f ca="1">INDIRECT(_xlfn.TEXTJOIN("",TRUE,A357,"!",ADDRESS(17+(A358-1)*A354,14)))</f>
        <v>0</v>
      </c>
    </row>
    <row r="351" spans="1:10" ht="28" customHeight="1" x14ac:dyDescent="0.2">
      <c r="A351" s="96" t="str">
        <f ca="1">INDIRECT(_xlfn.TEXTJOIN("",TRUE,A357,"!",ADDRESS(18+(A358-1)*A354,1)))</f>
        <v>Enroll No.</v>
      </c>
      <c r="B351" s="97"/>
      <c r="C351" s="106">
        <f ca="1">INDIRECT(_xlfn.TEXTJOIN("",TRUE,A357,"!",ADDRESS(18+(A358-1)*A354,2)))</f>
        <v>0</v>
      </c>
      <c r="D351" s="107"/>
      <c r="E351" s="107"/>
      <c r="F351" s="107"/>
      <c r="G351" s="108"/>
      <c r="H351" s="20">
        <f ca="1">INDIRECT(_xlfn.TEXTJOIN("",TRUE,A357,"!",ADDRESS(18+(A358-1)*A354,6)))</f>
        <v>0</v>
      </c>
      <c r="I351" s="20" t="b">
        <f ca="1">INDIRECT(_xlfn.TEXTJOIN("",TRUE,A357,"!",ADDRESS(18+(A358-1)*A354,13)))</f>
        <v>0</v>
      </c>
      <c r="J351" s="20" t="e">
        <f ca="1">INDIRECT(_xlfn.TEXTJOIN("",TRUE,A357,"!",ADDRESS(18+(A358-1)*A354,14)))</f>
        <v>#N/A</v>
      </c>
    </row>
    <row r="352" spans="1:10" ht="28" customHeight="1" x14ac:dyDescent="0.2">
      <c r="A352" s="96" t="str">
        <f ca="1">INDIRECT(_xlfn.TEXTJOIN("",TRUE,A357,"!",ADDRESS(19+(A358-1)*A354,1)))</f>
        <v>CAP 013</v>
      </c>
      <c r="B352" s="97"/>
      <c r="C352" s="106" t="str">
        <f ca="1">INDIRECT(_xlfn.TEXTJOIN("",TRUE,A357,"!",ADDRESS(19+(A358-1)*A354,2)))</f>
        <v>Major Project</v>
      </c>
      <c r="D352" s="107"/>
      <c r="E352" s="107"/>
      <c r="F352" s="107"/>
      <c r="G352" s="108"/>
      <c r="H352" s="20">
        <f ca="1">INDIRECT(_xlfn.TEXTJOIN("",TRUE,A357,"!",ADDRESS(19+(A358-1)*A354,6)))</f>
        <v>6</v>
      </c>
      <c r="I352" s="20" t="str">
        <f ca="1">INDIRECT(_xlfn.TEXTJOIN("",TRUE,A357,"!",ADDRESS(19+(A358-1)*A354,13)))</f>
        <v>F</v>
      </c>
      <c r="J352" s="20">
        <f ca="1">INDIRECT(_xlfn.TEXTJOIN("",TRUE,A357,"!",ADDRESS(19+(A358-1)*A354,14)))</f>
        <v>0</v>
      </c>
    </row>
    <row r="353" spans="1:10" ht="28" customHeight="1" x14ac:dyDescent="0.2">
      <c r="A353" s="118" t="s">
        <v>52</v>
      </c>
      <c r="B353" s="118"/>
      <c r="C353" s="118"/>
      <c r="D353" s="118"/>
      <c r="E353" s="118"/>
      <c r="F353" s="118"/>
      <c r="G353" s="118"/>
      <c r="H353" s="16">
        <f ca="1">SUM(H346:H352)</f>
        <v>15</v>
      </c>
      <c r="I353" s="16" t="s">
        <v>44</v>
      </c>
      <c r="J353" s="16" t="e">
        <f ca="1">SUMPRODUCT(J346:J352,H346:H352)</f>
        <v>#N/A</v>
      </c>
    </row>
    <row r="354" spans="1:10" ht="28" customHeight="1" x14ac:dyDescent="0.2">
      <c r="A354" s="22">
        <f>ROWS(A346:B352)+9</f>
        <v>16</v>
      </c>
      <c r="B354" s="17"/>
      <c r="C354" s="17"/>
      <c r="D354" s="17"/>
      <c r="E354" s="17"/>
      <c r="F354" s="17"/>
      <c r="G354" s="17"/>
      <c r="H354" s="17"/>
      <c r="I354" s="17"/>
      <c r="J354" s="17"/>
    </row>
    <row r="355" spans="1:10" ht="28" customHeight="1" x14ac:dyDescent="0.2">
      <c r="A355" s="120" t="s">
        <v>40</v>
      </c>
      <c r="B355" s="120"/>
      <c r="C355" s="21">
        <f ca="1">INDIRECT(_xlfn.TEXTJOIN("",TRUE,A357,"!",ADDRESS(5+A358*A354,12)))</f>
        <v>0</v>
      </c>
      <c r="D355" s="120" t="s">
        <v>38</v>
      </c>
      <c r="E355" s="120"/>
      <c r="F355" s="18" t="e">
        <f ca="1">INDIRECT(_xlfn.TEXTJOIN("",TRUE,A357,"!",ADDRESS(5+A358*A354,8)))</f>
        <v>#N/A</v>
      </c>
      <c r="G355" s="120" t="s">
        <v>39</v>
      </c>
      <c r="H355" s="120"/>
      <c r="I355" s="109" t="e">
        <f ca="1">INDIRECT(_xlfn.TEXTJOIN("",TRUE,A357,"!",ADDRESS(5+A358*A354,10)))</f>
        <v>#N/A</v>
      </c>
      <c r="J355" s="109"/>
    </row>
    <row r="356" spans="1:10" ht="28" customHeight="1" x14ac:dyDescent="0.2">
      <c r="A356" s="19" t="s">
        <v>36</v>
      </c>
      <c r="B356" s="95" t="e">
        <f ca="1">INDIRECT(_xlfn.TEXTJOIN("",TRUE,A357,"!",ADDRESS(5+A358*A354,2)))</f>
        <v>#N/A</v>
      </c>
      <c r="C356" s="95"/>
      <c r="D356" s="121" t="s">
        <v>37</v>
      </c>
      <c r="E356" s="121"/>
      <c r="F356" s="122" t="e">
        <f ca="1">INDIRECT(_xlfn.TEXTJOIN("",TRUE,A357,"!",ADDRESS(5+A358*A354,5)))</f>
        <v>#N/A</v>
      </c>
      <c r="G356" s="122"/>
      <c r="H356" s="122"/>
      <c r="I356" s="122"/>
      <c r="J356" s="122"/>
    </row>
    <row r="357" spans="1:10" ht="28" customHeight="1" x14ac:dyDescent="0.2">
      <c r="A357" s="22" t="str">
        <f>A341</f>
        <v>TC_IV</v>
      </c>
    </row>
    <row r="358" spans="1:10" ht="28" customHeight="1" x14ac:dyDescent="0.2">
      <c r="A358" s="22">
        <f>A342+1</f>
        <v>22</v>
      </c>
    </row>
    <row r="359" spans="1:10" ht="28" customHeight="1" x14ac:dyDescent="0.2">
      <c r="A359" s="112" t="s">
        <v>24</v>
      </c>
      <c r="B359" s="112"/>
      <c r="C359" s="112" t="str">
        <f ca="1">INDIRECT(_xlfn.TEXTJOIN("",TRUE,A373,"!",ADDRESS(9+(A374-1)*A370,2)))</f>
        <v>SHRIYANSHU DHYANI</v>
      </c>
      <c r="D359" s="112"/>
      <c r="E359" s="112"/>
      <c r="F359" s="112" t="s">
        <v>50</v>
      </c>
      <c r="G359" s="112"/>
      <c r="H359" s="112"/>
      <c r="I359" s="113">
        <f ca="1">INDIRECT(_xlfn.TEXTJOIN("",TRUE,A373,"!",ADDRESS(9+(A374-1)*A370,9)))</f>
        <v>240090600023</v>
      </c>
      <c r="J359" s="113"/>
    </row>
    <row r="360" spans="1:10" ht="28" customHeight="1" x14ac:dyDescent="0.2">
      <c r="A360" s="112" t="s">
        <v>25</v>
      </c>
      <c r="B360" s="112"/>
      <c r="C360" s="112" t="str">
        <f ca="1">INDIRECT(_xlfn.TEXTJOIN("",TRUE,A373,"!",ADDRESS(9+(A374-1)*A370,5)))</f>
        <v>LUV KUMAR DHYANI</v>
      </c>
      <c r="D360" s="112"/>
      <c r="E360" s="112"/>
      <c r="F360" s="114" t="s">
        <v>51</v>
      </c>
      <c r="G360" s="114"/>
      <c r="H360" s="114"/>
      <c r="I360" s="113" t="str">
        <f ca="1">INDIRECT(_xlfn.TEXTJOIN("",TRUE,A373,"!",ADDRESS(9+(A374-1)*A370,13)))</f>
        <v>UTU/2406100184</v>
      </c>
      <c r="J360" s="113"/>
    </row>
    <row r="361" spans="1:10" ht="28" customHeight="1" x14ac:dyDescent="0.2">
      <c r="A361" s="95" t="s">
        <v>28</v>
      </c>
      <c r="B361" s="95"/>
      <c r="C361" s="95" t="s">
        <v>29</v>
      </c>
      <c r="D361" s="95"/>
      <c r="E361" s="95"/>
      <c r="F361" s="95"/>
      <c r="G361" s="95"/>
      <c r="H361" s="15" t="s">
        <v>30</v>
      </c>
      <c r="I361" s="15" t="s">
        <v>9</v>
      </c>
      <c r="J361" s="15" t="s">
        <v>34</v>
      </c>
    </row>
    <row r="362" spans="1:10" ht="28" customHeight="1" x14ac:dyDescent="0.2">
      <c r="A362" s="96" t="str">
        <f ca="1">INDIRECT(_xlfn.TEXTJOIN("",TRUE,A373,"!",ADDRESS(13+(A374-1)*A370,1)))</f>
        <v>CAT 022</v>
      </c>
      <c r="B362" s="97"/>
      <c r="C362" s="106" t="str">
        <f ca="1">INDIRECT(_xlfn.TEXTJOIN("",TRUE,A373,"!",ADDRESS(13+(A374-1)*A370,2)))</f>
        <v>Network Security</v>
      </c>
      <c r="D362" s="107"/>
      <c r="E362" s="107"/>
      <c r="F362" s="107"/>
      <c r="G362" s="108"/>
      <c r="H362" s="20">
        <f ca="1">INDIRECT(_xlfn.TEXTJOIN("",TRUE,A373,"!",ADDRESS(13+(A374-1)*A370,6)))</f>
        <v>4</v>
      </c>
      <c r="I362" s="20" t="str">
        <f ca="1">INDIRECT(_xlfn.TEXTJOIN("",TRUE,A373,"!",ADDRESS(13+(A374-1)*A370,13)))</f>
        <v>F</v>
      </c>
      <c r="J362" s="20">
        <f ca="1">INDIRECT(_xlfn.TEXTJOIN("",TRUE,A373,"!",ADDRESS(13+(A374-1)*A370,14)))</f>
        <v>0</v>
      </c>
    </row>
    <row r="363" spans="1:10" ht="28" customHeight="1" x14ac:dyDescent="0.2">
      <c r="A363" s="96" t="str">
        <f ca="1">INDIRECT(_xlfn.TEXTJOIN("",TRUE,A373,"!",ADDRESS(14+(A374-1)*A370,1)))</f>
        <v>Enroll No.</v>
      </c>
      <c r="B363" s="97"/>
      <c r="C363" s="106">
        <f ca="1">INDIRECT(_xlfn.TEXTJOIN("",TRUE,A373,"!",ADDRESS(14+(A374-1)*A370,2)))</f>
        <v>0</v>
      </c>
      <c r="D363" s="107"/>
      <c r="E363" s="107"/>
      <c r="F363" s="107"/>
      <c r="G363" s="108"/>
      <c r="H363" s="20">
        <f ca="1">INDIRECT(_xlfn.TEXTJOIN("",TRUE,A373,"!",ADDRESS(14+(A374-1)*A370,6)))</f>
        <v>0</v>
      </c>
      <c r="I363" s="20" t="b">
        <f ca="1">INDIRECT(_xlfn.TEXTJOIN("",TRUE,A373,"!",ADDRESS(14+(A374-1)*A370,13)))</f>
        <v>0</v>
      </c>
      <c r="J363" s="20" t="e">
        <f ca="1">INDIRECT(_xlfn.TEXTJOIN("",TRUE,A373,"!",ADDRESS(14+(A374-1)*A370,14)))</f>
        <v>#N/A</v>
      </c>
    </row>
    <row r="364" spans="1:10" ht="28" customHeight="1" x14ac:dyDescent="0.2">
      <c r="A364" s="96" t="str">
        <f ca="1">INDIRECT(_xlfn.TEXTJOIN("",TRUE,A373,"!",ADDRESS(15+(A374-1)*A370,1)))</f>
        <v>CAT 030</v>
      </c>
      <c r="B364" s="97"/>
      <c r="C364" s="106" t="str">
        <f ca="1">INDIRECT(_xlfn.TEXTJOIN("",TRUE,A373,"!",ADDRESS(15+(A374-1)*A370,2)))</f>
        <v>Software Testing &amp; Quality Assurance</v>
      </c>
      <c r="D364" s="107"/>
      <c r="E364" s="107"/>
      <c r="F364" s="107"/>
      <c r="G364" s="108"/>
      <c r="H364" s="20">
        <f ca="1">INDIRECT(_xlfn.TEXTJOIN("",TRUE,A373,"!",ADDRESS(15+(A374-1)*A370,6)))</f>
        <v>4</v>
      </c>
      <c r="I364" s="20" t="str">
        <f ca="1">INDIRECT(_xlfn.TEXTJOIN("",TRUE,A373,"!",ADDRESS(15+(A374-1)*A370,13)))</f>
        <v>F</v>
      </c>
      <c r="J364" s="20">
        <f ca="1">INDIRECT(_xlfn.TEXTJOIN("",TRUE,A373,"!",ADDRESS(15+(A374-1)*A370,14)))</f>
        <v>0</v>
      </c>
    </row>
    <row r="365" spans="1:10" ht="28" customHeight="1" x14ac:dyDescent="0.2">
      <c r="A365" s="96" t="str">
        <f ca="1">INDIRECT(_xlfn.TEXTJOIN("",TRUE,A373,"!",ADDRESS(16+(A374-1)*A370,1)))</f>
        <v>Enroll No.</v>
      </c>
      <c r="B365" s="97"/>
      <c r="C365" s="106">
        <f ca="1">INDIRECT(_xlfn.TEXTJOIN("",TRUE,A373,"!",ADDRESS(16+(A374-1)*A370,2)))</f>
        <v>0</v>
      </c>
      <c r="D365" s="107"/>
      <c r="E365" s="107"/>
      <c r="F365" s="107"/>
      <c r="G365" s="108"/>
      <c r="H365" s="20">
        <f ca="1">INDIRECT(_xlfn.TEXTJOIN("",TRUE,A373,"!",ADDRESS(16+(A374-1)*A370,6)))</f>
        <v>0</v>
      </c>
      <c r="I365" s="20" t="b">
        <f ca="1">INDIRECT(_xlfn.TEXTJOIN("",TRUE,A373,"!",ADDRESS(16+(A374-1)*A370,13)))</f>
        <v>0</v>
      </c>
      <c r="J365" s="20" t="e">
        <f ca="1">INDIRECT(_xlfn.TEXTJOIN("",TRUE,A373,"!",ADDRESS(16+(A374-1)*A370,14)))</f>
        <v>#N/A</v>
      </c>
    </row>
    <row r="366" spans="1:10" ht="28" customHeight="1" x14ac:dyDescent="0.2">
      <c r="A366" s="96" t="str">
        <f ca="1">INDIRECT(_xlfn.TEXTJOIN("",TRUE,A373,"!",ADDRESS(17+(A374-1)*A370,1)))</f>
        <v>CAP 011</v>
      </c>
      <c r="B366" s="97"/>
      <c r="C366" s="106" t="str">
        <f ca="1">INDIRECT(_xlfn.TEXTJOIN("",TRUE,A373,"!",ADDRESS(17+(A374-1)*A370,2)))</f>
        <v>Network Security Lab</v>
      </c>
      <c r="D366" s="107"/>
      <c r="E366" s="107"/>
      <c r="F366" s="107"/>
      <c r="G366" s="108"/>
      <c r="H366" s="20">
        <f ca="1">INDIRECT(_xlfn.TEXTJOIN("",TRUE,A373,"!",ADDRESS(17+(A374-1)*A370,6)))</f>
        <v>1</v>
      </c>
      <c r="I366" s="20" t="str">
        <f ca="1">INDIRECT(_xlfn.TEXTJOIN("",TRUE,A373,"!",ADDRESS(17+(A374-1)*A370,13)))</f>
        <v>F</v>
      </c>
      <c r="J366" s="20">
        <f ca="1">INDIRECT(_xlfn.TEXTJOIN("",TRUE,A373,"!",ADDRESS(17+(A374-1)*A370,14)))</f>
        <v>0</v>
      </c>
    </row>
    <row r="367" spans="1:10" ht="28" customHeight="1" x14ac:dyDescent="0.2">
      <c r="A367" s="96" t="str">
        <f ca="1">INDIRECT(_xlfn.TEXTJOIN("",TRUE,A373,"!",ADDRESS(18+(A374-1)*A370,1)))</f>
        <v>Enroll No.</v>
      </c>
      <c r="B367" s="97"/>
      <c r="C367" s="106">
        <f ca="1">INDIRECT(_xlfn.TEXTJOIN("",TRUE,A373,"!",ADDRESS(18+(A374-1)*A370,2)))</f>
        <v>0</v>
      </c>
      <c r="D367" s="107"/>
      <c r="E367" s="107"/>
      <c r="F367" s="107"/>
      <c r="G367" s="108"/>
      <c r="H367" s="20">
        <f ca="1">INDIRECT(_xlfn.TEXTJOIN("",TRUE,A373,"!",ADDRESS(18+(A374-1)*A370,6)))</f>
        <v>0</v>
      </c>
      <c r="I367" s="20" t="b">
        <f ca="1">INDIRECT(_xlfn.TEXTJOIN("",TRUE,A373,"!",ADDRESS(18+(A374-1)*A370,13)))</f>
        <v>0</v>
      </c>
      <c r="J367" s="20" t="e">
        <f ca="1">INDIRECT(_xlfn.TEXTJOIN("",TRUE,A373,"!",ADDRESS(18+(A374-1)*A370,14)))</f>
        <v>#N/A</v>
      </c>
    </row>
    <row r="368" spans="1:10" ht="28" customHeight="1" x14ac:dyDescent="0.2">
      <c r="A368" s="96" t="str">
        <f ca="1">INDIRECT(_xlfn.TEXTJOIN("",TRUE,A373,"!",ADDRESS(19+(A374-1)*A370,1)))</f>
        <v>CAP 013</v>
      </c>
      <c r="B368" s="97"/>
      <c r="C368" s="106" t="str">
        <f ca="1">INDIRECT(_xlfn.TEXTJOIN("",TRUE,A373,"!",ADDRESS(19+(A374-1)*A370,2)))</f>
        <v>Major Project</v>
      </c>
      <c r="D368" s="107"/>
      <c r="E368" s="107"/>
      <c r="F368" s="107"/>
      <c r="G368" s="108"/>
      <c r="H368" s="20">
        <f ca="1">INDIRECT(_xlfn.TEXTJOIN("",TRUE,A373,"!",ADDRESS(19+(A374-1)*A370,6)))</f>
        <v>6</v>
      </c>
      <c r="I368" s="20" t="str">
        <f ca="1">INDIRECT(_xlfn.TEXTJOIN("",TRUE,A373,"!",ADDRESS(19+(A374-1)*A370,13)))</f>
        <v>F</v>
      </c>
      <c r="J368" s="20">
        <f ca="1">INDIRECT(_xlfn.TEXTJOIN("",TRUE,A373,"!",ADDRESS(19+(A374-1)*A370,14)))</f>
        <v>0</v>
      </c>
    </row>
    <row r="369" spans="1:10" ht="28" customHeight="1" x14ac:dyDescent="0.2">
      <c r="A369" s="118" t="s">
        <v>52</v>
      </c>
      <c r="B369" s="118"/>
      <c r="C369" s="118"/>
      <c r="D369" s="118"/>
      <c r="E369" s="118"/>
      <c r="F369" s="118"/>
      <c r="G369" s="118"/>
      <c r="H369" s="16">
        <f ca="1">SUM(H362:H368)</f>
        <v>15</v>
      </c>
      <c r="I369" s="16" t="s">
        <v>44</v>
      </c>
      <c r="J369" s="16" t="e">
        <f ca="1">SUMPRODUCT(J362:J368,H362:H368)</f>
        <v>#N/A</v>
      </c>
    </row>
    <row r="370" spans="1:10" ht="28" customHeight="1" x14ac:dyDescent="0.2">
      <c r="A370" s="22">
        <f>ROWS(A362:B368)+9</f>
        <v>16</v>
      </c>
      <c r="B370" s="17"/>
      <c r="C370" s="17"/>
      <c r="D370" s="17"/>
      <c r="E370" s="17"/>
      <c r="F370" s="17"/>
      <c r="G370" s="17"/>
      <c r="H370" s="17"/>
      <c r="I370" s="17"/>
      <c r="J370" s="17"/>
    </row>
    <row r="371" spans="1:10" ht="28" customHeight="1" x14ac:dyDescent="0.2">
      <c r="A371" s="120" t="s">
        <v>40</v>
      </c>
      <c r="B371" s="120"/>
      <c r="C371" s="21">
        <f ca="1">INDIRECT(_xlfn.TEXTJOIN("",TRUE,A373,"!",ADDRESS(5+A374*A370,12)))</f>
        <v>0</v>
      </c>
      <c r="D371" s="120" t="s">
        <v>38</v>
      </c>
      <c r="E371" s="120"/>
      <c r="F371" s="18" t="e">
        <f ca="1">INDIRECT(_xlfn.TEXTJOIN("",TRUE,A373,"!",ADDRESS(5+A374*A370,8)))</f>
        <v>#N/A</v>
      </c>
      <c r="G371" s="120" t="s">
        <v>39</v>
      </c>
      <c r="H371" s="120"/>
      <c r="I371" s="109" t="e">
        <f ca="1">INDIRECT(_xlfn.TEXTJOIN("",TRUE,A373,"!",ADDRESS(5+A374*A370,10)))</f>
        <v>#N/A</v>
      </c>
      <c r="J371" s="109"/>
    </row>
    <row r="372" spans="1:10" ht="28" customHeight="1" x14ac:dyDescent="0.2">
      <c r="A372" s="19" t="s">
        <v>36</v>
      </c>
      <c r="B372" s="95" t="e">
        <f ca="1">INDIRECT(_xlfn.TEXTJOIN("",TRUE,A373,"!",ADDRESS(5+A374*A370,2)))</f>
        <v>#N/A</v>
      </c>
      <c r="C372" s="95"/>
      <c r="D372" s="121" t="s">
        <v>37</v>
      </c>
      <c r="E372" s="121"/>
      <c r="F372" s="122" t="e">
        <f ca="1">INDIRECT(_xlfn.TEXTJOIN("",TRUE,A373,"!",ADDRESS(5+A374*A370,5)))</f>
        <v>#N/A</v>
      </c>
      <c r="G372" s="122"/>
      <c r="H372" s="122"/>
      <c r="I372" s="122"/>
      <c r="J372" s="122"/>
    </row>
    <row r="373" spans="1:10" ht="28" customHeight="1" x14ac:dyDescent="0.2">
      <c r="A373" s="22" t="str">
        <f>A357</f>
        <v>TC_IV</v>
      </c>
    </row>
    <row r="374" spans="1:10" ht="28" customHeight="1" x14ac:dyDescent="0.2">
      <c r="A374" s="22">
        <f>A358+1</f>
        <v>23</v>
      </c>
    </row>
    <row r="375" spans="1:10" ht="28" customHeight="1" x14ac:dyDescent="0.2">
      <c r="A375" s="112" t="s">
        <v>24</v>
      </c>
      <c r="B375" s="112"/>
      <c r="C375" s="112" t="str">
        <f ca="1">INDIRECT(_xlfn.TEXTJOIN("",TRUE,A389,"!",ADDRESS(9+(A390-1)*A386,2)))</f>
        <v>SIDDHARTH PATWAL</v>
      </c>
      <c r="D375" s="112"/>
      <c r="E375" s="112"/>
      <c r="F375" s="112" t="s">
        <v>50</v>
      </c>
      <c r="G375" s="112"/>
      <c r="H375" s="112"/>
      <c r="I375" s="113">
        <f ca="1">INDIRECT(_xlfn.TEXTJOIN("",TRUE,A389,"!",ADDRESS(9+(A390-1)*A386,9)))</f>
        <v>240090600024</v>
      </c>
      <c r="J375" s="113"/>
    </row>
    <row r="376" spans="1:10" ht="28" customHeight="1" x14ac:dyDescent="0.2">
      <c r="A376" s="112" t="s">
        <v>25</v>
      </c>
      <c r="B376" s="112"/>
      <c r="C376" s="112" t="str">
        <f ca="1">INDIRECT(_xlfn.TEXTJOIN("",TRUE,A389,"!",ADDRESS(9+(A390-1)*A386,5)))</f>
        <v>MANOJ PATWAL</v>
      </c>
      <c r="D376" s="112"/>
      <c r="E376" s="112"/>
      <c r="F376" s="114" t="s">
        <v>51</v>
      </c>
      <c r="G376" s="114"/>
      <c r="H376" s="114"/>
      <c r="I376" s="113" t="str">
        <f ca="1">INDIRECT(_xlfn.TEXTJOIN("",TRUE,A389,"!",ADDRESS(9+(A390-1)*A386,13)))</f>
        <v>UTU/2406100190</v>
      </c>
      <c r="J376" s="113"/>
    </row>
    <row r="377" spans="1:10" ht="28" customHeight="1" x14ac:dyDescent="0.2">
      <c r="A377" s="95" t="s">
        <v>28</v>
      </c>
      <c r="B377" s="95"/>
      <c r="C377" s="95" t="s">
        <v>29</v>
      </c>
      <c r="D377" s="95"/>
      <c r="E377" s="95"/>
      <c r="F377" s="95"/>
      <c r="G377" s="95"/>
      <c r="H377" s="15" t="s">
        <v>30</v>
      </c>
      <c r="I377" s="15" t="s">
        <v>9</v>
      </c>
      <c r="J377" s="15" t="s">
        <v>34</v>
      </c>
    </row>
    <row r="378" spans="1:10" ht="28" customHeight="1" x14ac:dyDescent="0.2">
      <c r="A378" s="96" t="str">
        <f ca="1">INDIRECT(_xlfn.TEXTJOIN("",TRUE,A389,"!",ADDRESS(13+(A390-1)*A386,1)))</f>
        <v>CAT 022</v>
      </c>
      <c r="B378" s="97"/>
      <c r="C378" s="106" t="str">
        <f ca="1">INDIRECT(_xlfn.TEXTJOIN("",TRUE,A389,"!",ADDRESS(13+(A390-1)*A386,2)))</f>
        <v>Network Security</v>
      </c>
      <c r="D378" s="107"/>
      <c r="E378" s="107"/>
      <c r="F378" s="107"/>
      <c r="G378" s="108"/>
      <c r="H378" s="20">
        <f ca="1">INDIRECT(_xlfn.TEXTJOIN("",TRUE,A389,"!",ADDRESS(13+(A390-1)*A386,6)))</f>
        <v>4</v>
      </c>
      <c r="I378" s="20" t="str">
        <f ca="1">INDIRECT(_xlfn.TEXTJOIN("",TRUE,A389,"!",ADDRESS(13+(A390-1)*A386,13)))</f>
        <v>F</v>
      </c>
      <c r="J378" s="20">
        <f ca="1">INDIRECT(_xlfn.TEXTJOIN("",TRUE,A389,"!",ADDRESS(13+(A390-1)*A386,14)))</f>
        <v>0</v>
      </c>
    </row>
    <row r="379" spans="1:10" ht="28" customHeight="1" x14ac:dyDescent="0.2">
      <c r="A379" s="96" t="str">
        <f ca="1">INDIRECT(_xlfn.TEXTJOIN("",TRUE,A389,"!",ADDRESS(14+(A390-1)*A386,1)))</f>
        <v>Enroll No.</v>
      </c>
      <c r="B379" s="97"/>
      <c r="C379" s="106">
        <f ca="1">INDIRECT(_xlfn.TEXTJOIN("",TRUE,A389,"!",ADDRESS(14+(A390-1)*A386,2)))</f>
        <v>0</v>
      </c>
      <c r="D379" s="107"/>
      <c r="E379" s="107"/>
      <c r="F379" s="107"/>
      <c r="G379" s="108"/>
      <c r="H379" s="20">
        <f ca="1">INDIRECT(_xlfn.TEXTJOIN("",TRUE,A389,"!",ADDRESS(14+(A390-1)*A386,6)))</f>
        <v>0</v>
      </c>
      <c r="I379" s="20" t="b">
        <f ca="1">INDIRECT(_xlfn.TEXTJOIN("",TRUE,A389,"!",ADDRESS(14+(A390-1)*A386,13)))</f>
        <v>0</v>
      </c>
      <c r="J379" s="20" t="e">
        <f ca="1">INDIRECT(_xlfn.TEXTJOIN("",TRUE,A389,"!",ADDRESS(14+(A390-1)*A386,14)))</f>
        <v>#N/A</v>
      </c>
    </row>
    <row r="380" spans="1:10" ht="28" customHeight="1" x14ac:dyDescent="0.2">
      <c r="A380" s="96" t="str">
        <f ca="1">INDIRECT(_xlfn.TEXTJOIN("",TRUE,A389,"!",ADDRESS(15+(A390-1)*A386,1)))</f>
        <v>CAT 030</v>
      </c>
      <c r="B380" s="97"/>
      <c r="C380" s="106" t="str">
        <f ca="1">INDIRECT(_xlfn.TEXTJOIN("",TRUE,A389,"!",ADDRESS(15+(A390-1)*A386,2)))</f>
        <v>Software Testing &amp; Quality Assurance</v>
      </c>
      <c r="D380" s="107"/>
      <c r="E380" s="107"/>
      <c r="F380" s="107"/>
      <c r="G380" s="108"/>
      <c r="H380" s="20">
        <f ca="1">INDIRECT(_xlfn.TEXTJOIN("",TRUE,A389,"!",ADDRESS(15+(A390-1)*A386,6)))</f>
        <v>4</v>
      </c>
      <c r="I380" s="20" t="str">
        <f ca="1">INDIRECT(_xlfn.TEXTJOIN("",TRUE,A389,"!",ADDRESS(15+(A390-1)*A386,13)))</f>
        <v>F</v>
      </c>
      <c r="J380" s="20">
        <f ca="1">INDIRECT(_xlfn.TEXTJOIN("",TRUE,A389,"!",ADDRESS(15+(A390-1)*A386,14)))</f>
        <v>0</v>
      </c>
    </row>
    <row r="381" spans="1:10" ht="28" customHeight="1" x14ac:dyDescent="0.2">
      <c r="A381" s="96" t="str">
        <f ca="1">INDIRECT(_xlfn.TEXTJOIN("",TRUE,A389,"!",ADDRESS(16+(A390-1)*A386,1)))</f>
        <v>Enroll No.</v>
      </c>
      <c r="B381" s="97"/>
      <c r="C381" s="106">
        <f ca="1">INDIRECT(_xlfn.TEXTJOIN("",TRUE,A389,"!",ADDRESS(16+(A390-1)*A386,2)))</f>
        <v>0</v>
      </c>
      <c r="D381" s="107"/>
      <c r="E381" s="107"/>
      <c r="F381" s="107"/>
      <c r="G381" s="108"/>
      <c r="H381" s="20">
        <f ca="1">INDIRECT(_xlfn.TEXTJOIN("",TRUE,A389,"!",ADDRESS(16+(A390-1)*A386,6)))</f>
        <v>0</v>
      </c>
      <c r="I381" s="20" t="b">
        <f ca="1">INDIRECT(_xlfn.TEXTJOIN("",TRUE,A389,"!",ADDRESS(16+(A390-1)*A386,13)))</f>
        <v>0</v>
      </c>
      <c r="J381" s="20" t="e">
        <f ca="1">INDIRECT(_xlfn.TEXTJOIN("",TRUE,A389,"!",ADDRESS(16+(A390-1)*A386,14)))</f>
        <v>#N/A</v>
      </c>
    </row>
    <row r="382" spans="1:10" ht="28" customHeight="1" x14ac:dyDescent="0.2">
      <c r="A382" s="96" t="str">
        <f ca="1">INDIRECT(_xlfn.TEXTJOIN("",TRUE,A389,"!",ADDRESS(17+(A390-1)*A386,1)))</f>
        <v>CAP 011</v>
      </c>
      <c r="B382" s="97"/>
      <c r="C382" s="106" t="str">
        <f ca="1">INDIRECT(_xlfn.TEXTJOIN("",TRUE,A389,"!",ADDRESS(17+(A390-1)*A386,2)))</f>
        <v>Network Security Lab</v>
      </c>
      <c r="D382" s="107"/>
      <c r="E382" s="107"/>
      <c r="F382" s="107"/>
      <c r="G382" s="108"/>
      <c r="H382" s="20">
        <f ca="1">INDIRECT(_xlfn.TEXTJOIN("",TRUE,A389,"!",ADDRESS(17+(A390-1)*A386,6)))</f>
        <v>1</v>
      </c>
      <c r="I382" s="20" t="str">
        <f ca="1">INDIRECT(_xlfn.TEXTJOIN("",TRUE,A389,"!",ADDRESS(17+(A390-1)*A386,13)))</f>
        <v>F</v>
      </c>
      <c r="J382" s="20">
        <f ca="1">INDIRECT(_xlfn.TEXTJOIN("",TRUE,A389,"!",ADDRESS(17+(A390-1)*A386,14)))</f>
        <v>0</v>
      </c>
    </row>
    <row r="383" spans="1:10" ht="28" customHeight="1" x14ac:dyDescent="0.2">
      <c r="A383" s="96" t="str">
        <f ca="1">INDIRECT(_xlfn.TEXTJOIN("",TRUE,A389,"!",ADDRESS(18+(A390-1)*A386,1)))</f>
        <v>Enroll No.</v>
      </c>
      <c r="B383" s="97"/>
      <c r="C383" s="106">
        <f ca="1">INDIRECT(_xlfn.TEXTJOIN("",TRUE,A389,"!",ADDRESS(18+(A390-1)*A386,2)))</f>
        <v>0</v>
      </c>
      <c r="D383" s="107"/>
      <c r="E383" s="107"/>
      <c r="F383" s="107"/>
      <c r="G383" s="108"/>
      <c r="H383" s="20">
        <f ca="1">INDIRECT(_xlfn.TEXTJOIN("",TRUE,A389,"!",ADDRESS(18+(A390-1)*A386,6)))</f>
        <v>0</v>
      </c>
      <c r="I383" s="20" t="b">
        <f ca="1">INDIRECT(_xlfn.TEXTJOIN("",TRUE,A389,"!",ADDRESS(18+(A390-1)*A386,13)))</f>
        <v>0</v>
      </c>
      <c r="J383" s="20" t="e">
        <f ca="1">INDIRECT(_xlfn.TEXTJOIN("",TRUE,A389,"!",ADDRESS(18+(A390-1)*A386,14)))</f>
        <v>#N/A</v>
      </c>
    </row>
    <row r="384" spans="1:10" ht="28" customHeight="1" x14ac:dyDescent="0.2">
      <c r="A384" s="96" t="str">
        <f ca="1">INDIRECT(_xlfn.TEXTJOIN("",TRUE,A389,"!",ADDRESS(19+(A390-1)*A386,1)))</f>
        <v>CAP 013</v>
      </c>
      <c r="B384" s="97"/>
      <c r="C384" s="106" t="str">
        <f ca="1">INDIRECT(_xlfn.TEXTJOIN("",TRUE,A389,"!",ADDRESS(19+(A390-1)*A386,2)))</f>
        <v>Major Project</v>
      </c>
      <c r="D384" s="107"/>
      <c r="E384" s="107"/>
      <c r="F384" s="107"/>
      <c r="G384" s="108"/>
      <c r="H384" s="20">
        <f ca="1">INDIRECT(_xlfn.TEXTJOIN("",TRUE,A389,"!",ADDRESS(19+(A390-1)*A386,6)))</f>
        <v>6</v>
      </c>
      <c r="I384" s="20" t="str">
        <f ca="1">INDIRECT(_xlfn.TEXTJOIN("",TRUE,A389,"!",ADDRESS(19+(A390-1)*A386,13)))</f>
        <v>F</v>
      </c>
      <c r="J384" s="20">
        <f ca="1">INDIRECT(_xlfn.TEXTJOIN("",TRUE,A389,"!",ADDRESS(19+(A390-1)*A386,14)))</f>
        <v>0</v>
      </c>
    </row>
    <row r="385" spans="1:10" ht="28" customHeight="1" x14ac:dyDescent="0.2">
      <c r="A385" s="118" t="s">
        <v>52</v>
      </c>
      <c r="B385" s="118"/>
      <c r="C385" s="118"/>
      <c r="D385" s="118"/>
      <c r="E385" s="118"/>
      <c r="F385" s="118"/>
      <c r="G385" s="118"/>
      <c r="H385" s="16">
        <f ca="1">SUM(H378:H384)</f>
        <v>15</v>
      </c>
      <c r="I385" s="16" t="s">
        <v>44</v>
      </c>
      <c r="J385" s="16" t="e">
        <f ca="1">SUMPRODUCT(J378:J384,H378:H384)</f>
        <v>#N/A</v>
      </c>
    </row>
    <row r="386" spans="1:10" ht="28" customHeight="1" x14ac:dyDescent="0.2">
      <c r="A386" s="22">
        <f>ROWS(A378:B384)+9</f>
        <v>16</v>
      </c>
      <c r="B386" s="17"/>
      <c r="C386" s="17"/>
      <c r="D386" s="17"/>
      <c r="E386" s="17"/>
      <c r="F386" s="17"/>
      <c r="G386" s="17"/>
      <c r="H386" s="17"/>
      <c r="I386" s="17"/>
      <c r="J386" s="17"/>
    </row>
    <row r="387" spans="1:10" ht="28" customHeight="1" x14ac:dyDescent="0.2">
      <c r="A387" s="120" t="s">
        <v>40</v>
      </c>
      <c r="B387" s="120"/>
      <c r="C387" s="21">
        <f ca="1">INDIRECT(_xlfn.TEXTJOIN("",TRUE,A389,"!",ADDRESS(5+A390*A386,12)))</f>
        <v>0</v>
      </c>
      <c r="D387" s="120" t="s">
        <v>38</v>
      </c>
      <c r="E387" s="120"/>
      <c r="F387" s="18" t="e">
        <f ca="1">INDIRECT(_xlfn.TEXTJOIN("",TRUE,A389,"!",ADDRESS(5+A390*A386,8)))</f>
        <v>#N/A</v>
      </c>
      <c r="G387" s="120" t="s">
        <v>39</v>
      </c>
      <c r="H387" s="120"/>
      <c r="I387" s="109" t="e">
        <f ca="1">INDIRECT(_xlfn.TEXTJOIN("",TRUE,A389,"!",ADDRESS(5+A390*A386,10)))</f>
        <v>#N/A</v>
      </c>
      <c r="J387" s="109"/>
    </row>
    <row r="388" spans="1:10" ht="28" customHeight="1" x14ac:dyDescent="0.2">
      <c r="A388" s="19" t="s">
        <v>36</v>
      </c>
      <c r="B388" s="95" t="e">
        <f ca="1">INDIRECT(_xlfn.TEXTJOIN("",TRUE,A389,"!",ADDRESS(5+A390*A386,2)))</f>
        <v>#N/A</v>
      </c>
      <c r="C388" s="95"/>
      <c r="D388" s="121" t="s">
        <v>37</v>
      </c>
      <c r="E388" s="121"/>
      <c r="F388" s="122" t="e">
        <f ca="1">INDIRECT(_xlfn.TEXTJOIN("",TRUE,A389,"!",ADDRESS(5+A390*A386,5)))</f>
        <v>#N/A</v>
      </c>
      <c r="G388" s="122"/>
      <c r="H388" s="122"/>
      <c r="I388" s="122"/>
      <c r="J388" s="122"/>
    </row>
    <row r="389" spans="1:10" ht="28" customHeight="1" x14ac:dyDescent="0.2">
      <c r="A389" s="22" t="str">
        <f>A373</f>
        <v>TC_IV</v>
      </c>
    </row>
    <row r="390" spans="1:10" ht="28" customHeight="1" x14ac:dyDescent="0.2">
      <c r="A390" s="22">
        <f>A374+1</f>
        <v>24</v>
      </c>
    </row>
    <row r="391" spans="1:10" ht="28" customHeight="1" x14ac:dyDescent="0.2">
      <c r="A391" s="112" t="s">
        <v>24</v>
      </c>
      <c r="B391" s="112"/>
      <c r="C391" s="112" t="str">
        <f ca="1">INDIRECT(_xlfn.TEXTJOIN("",TRUE,A405,"!",ADDRESS(9+(A406-1)*A402,2)))</f>
        <v>SURAJ SINGH BISHT</v>
      </c>
      <c r="D391" s="112"/>
      <c r="E391" s="112"/>
      <c r="F391" s="112" t="s">
        <v>50</v>
      </c>
      <c r="G391" s="112"/>
      <c r="H391" s="112"/>
      <c r="I391" s="113">
        <f ca="1">INDIRECT(_xlfn.TEXTJOIN("",TRUE,A405,"!",ADDRESS(9+(A406-1)*A402,9)))</f>
        <v>240090600025</v>
      </c>
      <c r="J391" s="113"/>
    </row>
    <row r="392" spans="1:10" ht="28" customHeight="1" x14ac:dyDescent="0.2">
      <c r="A392" s="112" t="s">
        <v>25</v>
      </c>
      <c r="B392" s="112"/>
      <c r="C392" s="112" t="str">
        <f ca="1">INDIRECT(_xlfn.TEXTJOIN("",TRUE,A405,"!",ADDRESS(9+(A406-1)*A402,5)))</f>
        <v>KHUSHAL SINGH</v>
      </c>
      <c r="D392" s="112"/>
      <c r="E392" s="112"/>
      <c r="F392" s="114" t="s">
        <v>51</v>
      </c>
      <c r="G392" s="114"/>
      <c r="H392" s="114"/>
      <c r="I392" s="113" t="str">
        <f ca="1">INDIRECT(_xlfn.TEXTJOIN("",TRUE,A405,"!",ADDRESS(9+(A406-1)*A402,13)))</f>
        <v>UTU/2406100189</v>
      </c>
      <c r="J392" s="113"/>
    </row>
    <row r="393" spans="1:10" ht="28" customHeight="1" x14ac:dyDescent="0.2">
      <c r="A393" s="95" t="s">
        <v>28</v>
      </c>
      <c r="B393" s="95"/>
      <c r="C393" s="95" t="s">
        <v>29</v>
      </c>
      <c r="D393" s="95"/>
      <c r="E393" s="95"/>
      <c r="F393" s="95"/>
      <c r="G393" s="95"/>
      <c r="H393" s="15" t="s">
        <v>30</v>
      </c>
      <c r="I393" s="15" t="s">
        <v>9</v>
      </c>
      <c r="J393" s="15" t="s">
        <v>34</v>
      </c>
    </row>
    <row r="394" spans="1:10" ht="28" customHeight="1" x14ac:dyDescent="0.2">
      <c r="A394" s="96" t="str">
        <f ca="1">INDIRECT(_xlfn.TEXTJOIN("",TRUE,A405,"!",ADDRESS(13+(A406-1)*A402,1)))</f>
        <v>CAT 022</v>
      </c>
      <c r="B394" s="97"/>
      <c r="C394" s="106" t="str">
        <f ca="1">INDIRECT(_xlfn.TEXTJOIN("",TRUE,A405,"!",ADDRESS(13+(A406-1)*A402,2)))</f>
        <v>Network Security</v>
      </c>
      <c r="D394" s="107"/>
      <c r="E394" s="107"/>
      <c r="F394" s="107"/>
      <c r="G394" s="108"/>
      <c r="H394" s="20">
        <f ca="1">INDIRECT(_xlfn.TEXTJOIN("",TRUE,A405,"!",ADDRESS(13+(A406-1)*A402,6)))</f>
        <v>4</v>
      </c>
      <c r="I394" s="20" t="str">
        <f ca="1">INDIRECT(_xlfn.TEXTJOIN("",TRUE,A405,"!",ADDRESS(13+(A406-1)*A402,13)))</f>
        <v>F</v>
      </c>
      <c r="J394" s="20">
        <f ca="1">INDIRECT(_xlfn.TEXTJOIN("",TRUE,A405,"!",ADDRESS(13+(A406-1)*A402,14)))</f>
        <v>0</v>
      </c>
    </row>
    <row r="395" spans="1:10" ht="28" customHeight="1" x14ac:dyDescent="0.2">
      <c r="A395" s="96" t="str">
        <f ca="1">INDIRECT(_xlfn.TEXTJOIN("",TRUE,A405,"!",ADDRESS(14+(A406-1)*A402,1)))</f>
        <v>Enroll No.</v>
      </c>
      <c r="B395" s="97"/>
      <c r="C395" s="106">
        <f ca="1">INDIRECT(_xlfn.TEXTJOIN("",TRUE,A405,"!",ADDRESS(14+(A406-1)*A402,2)))</f>
        <v>0</v>
      </c>
      <c r="D395" s="107"/>
      <c r="E395" s="107"/>
      <c r="F395" s="107"/>
      <c r="G395" s="108"/>
      <c r="H395" s="20">
        <f ca="1">INDIRECT(_xlfn.TEXTJOIN("",TRUE,A405,"!",ADDRESS(14+(A406-1)*A402,6)))</f>
        <v>0</v>
      </c>
      <c r="I395" s="20" t="b">
        <f ca="1">INDIRECT(_xlfn.TEXTJOIN("",TRUE,A405,"!",ADDRESS(14+(A406-1)*A402,13)))</f>
        <v>0</v>
      </c>
      <c r="J395" s="20" t="e">
        <f ca="1">INDIRECT(_xlfn.TEXTJOIN("",TRUE,A405,"!",ADDRESS(14+(A406-1)*A402,14)))</f>
        <v>#N/A</v>
      </c>
    </row>
    <row r="396" spans="1:10" ht="28" customHeight="1" x14ac:dyDescent="0.2">
      <c r="A396" s="96" t="str">
        <f ca="1">INDIRECT(_xlfn.TEXTJOIN("",TRUE,A405,"!",ADDRESS(15+(A406-1)*A402,1)))</f>
        <v>CAT 030</v>
      </c>
      <c r="B396" s="97"/>
      <c r="C396" s="106" t="str">
        <f ca="1">INDIRECT(_xlfn.TEXTJOIN("",TRUE,A405,"!",ADDRESS(15+(A406-1)*A402,2)))</f>
        <v>Software Testing &amp; Quality Assurance</v>
      </c>
      <c r="D396" s="107"/>
      <c r="E396" s="107"/>
      <c r="F396" s="107"/>
      <c r="G396" s="108"/>
      <c r="H396" s="20">
        <f ca="1">INDIRECT(_xlfn.TEXTJOIN("",TRUE,A405,"!",ADDRESS(15+(A406-1)*A402,6)))</f>
        <v>4</v>
      </c>
      <c r="I396" s="20" t="str">
        <f ca="1">INDIRECT(_xlfn.TEXTJOIN("",TRUE,A405,"!",ADDRESS(15+(A406-1)*A402,13)))</f>
        <v>F</v>
      </c>
      <c r="J396" s="20">
        <f ca="1">INDIRECT(_xlfn.TEXTJOIN("",TRUE,A405,"!",ADDRESS(15+(A406-1)*A402,14)))</f>
        <v>0</v>
      </c>
    </row>
    <row r="397" spans="1:10" ht="28" customHeight="1" x14ac:dyDescent="0.2">
      <c r="A397" s="96" t="str">
        <f ca="1">INDIRECT(_xlfn.TEXTJOIN("",TRUE,A405,"!",ADDRESS(16+(A406-1)*A402,1)))</f>
        <v>Enroll No.</v>
      </c>
      <c r="B397" s="97"/>
      <c r="C397" s="106">
        <f ca="1">INDIRECT(_xlfn.TEXTJOIN("",TRUE,A405,"!",ADDRESS(16+(A406-1)*A402,2)))</f>
        <v>0</v>
      </c>
      <c r="D397" s="107"/>
      <c r="E397" s="107"/>
      <c r="F397" s="107"/>
      <c r="G397" s="108"/>
      <c r="H397" s="20">
        <f ca="1">INDIRECT(_xlfn.TEXTJOIN("",TRUE,A405,"!",ADDRESS(16+(A406-1)*A402,6)))</f>
        <v>0</v>
      </c>
      <c r="I397" s="20" t="b">
        <f ca="1">INDIRECT(_xlfn.TEXTJOIN("",TRUE,A405,"!",ADDRESS(16+(A406-1)*A402,13)))</f>
        <v>0</v>
      </c>
      <c r="J397" s="20" t="e">
        <f ca="1">INDIRECT(_xlfn.TEXTJOIN("",TRUE,A405,"!",ADDRESS(16+(A406-1)*A402,14)))</f>
        <v>#N/A</v>
      </c>
    </row>
    <row r="398" spans="1:10" ht="28" customHeight="1" x14ac:dyDescent="0.2">
      <c r="A398" s="96" t="str">
        <f ca="1">INDIRECT(_xlfn.TEXTJOIN("",TRUE,A405,"!",ADDRESS(17+(A406-1)*A402,1)))</f>
        <v>CAP 011</v>
      </c>
      <c r="B398" s="97"/>
      <c r="C398" s="106" t="str">
        <f ca="1">INDIRECT(_xlfn.TEXTJOIN("",TRUE,A405,"!",ADDRESS(17+(A406-1)*A402,2)))</f>
        <v>Network Security Lab</v>
      </c>
      <c r="D398" s="107"/>
      <c r="E398" s="107"/>
      <c r="F398" s="107"/>
      <c r="G398" s="108"/>
      <c r="H398" s="20">
        <f ca="1">INDIRECT(_xlfn.TEXTJOIN("",TRUE,A405,"!",ADDRESS(17+(A406-1)*A402,6)))</f>
        <v>1</v>
      </c>
      <c r="I398" s="20" t="str">
        <f ca="1">INDIRECT(_xlfn.TEXTJOIN("",TRUE,A405,"!",ADDRESS(17+(A406-1)*A402,13)))</f>
        <v>F</v>
      </c>
      <c r="J398" s="20">
        <f ca="1">INDIRECT(_xlfn.TEXTJOIN("",TRUE,A405,"!",ADDRESS(17+(A406-1)*A402,14)))</f>
        <v>0</v>
      </c>
    </row>
    <row r="399" spans="1:10" ht="28" customHeight="1" x14ac:dyDescent="0.2">
      <c r="A399" s="96" t="str">
        <f ca="1">INDIRECT(_xlfn.TEXTJOIN("",TRUE,A405,"!",ADDRESS(18+(A406-1)*A402,1)))</f>
        <v>Enroll No.</v>
      </c>
      <c r="B399" s="97"/>
      <c r="C399" s="106">
        <f ca="1">INDIRECT(_xlfn.TEXTJOIN("",TRUE,A405,"!",ADDRESS(18+(A406-1)*A402,2)))</f>
        <v>0</v>
      </c>
      <c r="D399" s="107"/>
      <c r="E399" s="107"/>
      <c r="F399" s="107"/>
      <c r="G399" s="108"/>
      <c r="H399" s="20">
        <f ca="1">INDIRECT(_xlfn.TEXTJOIN("",TRUE,A405,"!",ADDRESS(18+(A406-1)*A402,6)))</f>
        <v>0</v>
      </c>
      <c r="I399" s="20" t="b">
        <f ca="1">INDIRECT(_xlfn.TEXTJOIN("",TRUE,A405,"!",ADDRESS(18+(A406-1)*A402,13)))</f>
        <v>0</v>
      </c>
      <c r="J399" s="20" t="e">
        <f ca="1">INDIRECT(_xlfn.TEXTJOIN("",TRUE,A405,"!",ADDRESS(18+(A406-1)*A402,14)))</f>
        <v>#N/A</v>
      </c>
    </row>
    <row r="400" spans="1:10" ht="28" customHeight="1" x14ac:dyDescent="0.2">
      <c r="A400" s="96" t="str">
        <f ca="1">INDIRECT(_xlfn.TEXTJOIN("",TRUE,A405,"!",ADDRESS(19+(A406-1)*A402,1)))</f>
        <v>CAP 013</v>
      </c>
      <c r="B400" s="97"/>
      <c r="C400" s="106" t="str">
        <f ca="1">INDIRECT(_xlfn.TEXTJOIN("",TRUE,A405,"!",ADDRESS(19+(A406-1)*A402,2)))</f>
        <v>Major Project</v>
      </c>
      <c r="D400" s="107"/>
      <c r="E400" s="107"/>
      <c r="F400" s="107"/>
      <c r="G400" s="108"/>
      <c r="H400" s="20">
        <f ca="1">INDIRECT(_xlfn.TEXTJOIN("",TRUE,A405,"!",ADDRESS(19+(A406-1)*A402,6)))</f>
        <v>6</v>
      </c>
      <c r="I400" s="20" t="str">
        <f ca="1">INDIRECT(_xlfn.TEXTJOIN("",TRUE,A405,"!",ADDRESS(19+(A406-1)*A402,13)))</f>
        <v>F</v>
      </c>
      <c r="J400" s="20">
        <f ca="1">INDIRECT(_xlfn.TEXTJOIN("",TRUE,A405,"!",ADDRESS(19+(A406-1)*A402,14)))</f>
        <v>0</v>
      </c>
    </row>
    <row r="401" spans="1:10" ht="28" customHeight="1" x14ac:dyDescent="0.2">
      <c r="A401" s="118" t="s">
        <v>52</v>
      </c>
      <c r="B401" s="118"/>
      <c r="C401" s="118"/>
      <c r="D401" s="118"/>
      <c r="E401" s="118"/>
      <c r="F401" s="118"/>
      <c r="G401" s="118"/>
      <c r="H401" s="16">
        <f ca="1">SUM(H394:H400)</f>
        <v>15</v>
      </c>
      <c r="I401" s="16" t="s">
        <v>44</v>
      </c>
      <c r="J401" s="16" t="e">
        <f ca="1">SUMPRODUCT(J394:J400,H394:H400)</f>
        <v>#N/A</v>
      </c>
    </row>
    <row r="402" spans="1:10" ht="28" customHeight="1" x14ac:dyDescent="0.2">
      <c r="A402" s="22">
        <f>ROWS(A394:B400)+9</f>
        <v>16</v>
      </c>
      <c r="B402" s="17"/>
      <c r="C402" s="17"/>
      <c r="D402" s="17"/>
      <c r="E402" s="17"/>
      <c r="F402" s="17"/>
      <c r="G402" s="17"/>
      <c r="H402" s="17"/>
      <c r="I402" s="17"/>
      <c r="J402" s="17"/>
    </row>
    <row r="403" spans="1:10" ht="28" customHeight="1" x14ac:dyDescent="0.2">
      <c r="A403" s="120" t="s">
        <v>40</v>
      </c>
      <c r="B403" s="120"/>
      <c r="C403" s="21">
        <f ca="1">INDIRECT(_xlfn.TEXTJOIN("",TRUE,A405,"!",ADDRESS(5+A406*A402,12)))</f>
        <v>0</v>
      </c>
      <c r="D403" s="120" t="s">
        <v>38</v>
      </c>
      <c r="E403" s="120"/>
      <c r="F403" s="18" t="e">
        <f ca="1">INDIRECT(_xlfn.TEXTJOIN("",TRUE,A405,"!",ADDRESS(5+A406*A402,8)))</f>
        <v>#N/A</v>
      </c>
      <c r="G403" s="120" t="s">
        <v>39</v>
      </c>
      <c r="H403" s="120"/>
      <c r="I403" s="109" t="e">
        <f ca="1">INDIRECT(_xlfn.TEXTJOIN("",TRUE,A405,"!",ADDRESS(5+A406*A402,10)))</f>
        <v>#N/A</v>
      </c>
      <c r="J403" s="109"/>
    </row>
    <row r="404" spans="1:10" ht="28" customHeight="1" x14ac:dyDescent="0.2">
      <c r="A404" s="19" t="s">
        <v>36</v>
      </c>
      <c r="B404" s="95" t="e">
        <f ca="1">INDIRECT(_xlfn.TEXTJOIN("",TRUE,A405,"!",ADDRESS(5+A406*A402,2)))</f>
        <v>#N/A</v>
      </c>
      <c r="C404" s="95"/>
      <c r="D404" s="121" t="s">
        <v>37</v>
      </c>
      <c r="E404" s="121"/>
      <c r="F404" s="122" t="e">
        <f ca="1">INDIRECT(_xlfn.TEXTJOIN("",TRUE,A405,"!",ADDRESS(5+A406*A402,5)))</f>
        <v>#N/A</v>
      </c>
      <c r="G404" s="122"/>
      <c r="H404" s="122"/>
      <c r="I404" s="122"/>
      <c r="J404" s="122"/>
    </row>
    <row r="405" spans="1:10" ht="28" customHeight="1" x14ac:dyDescent="0.2">
      <c r="A405" s="22" t="str">
        <f>A389</f>
        <v>TC_IV</v>
      </c>
    </row>
    <row r="406" spans="1:10" ht="28" customHeight="1" x14ac:dyDescent="0.2">
      <c r="A406" s="22">
        <f>A390+1</f>
        <v>25</v>
      </c>
    </row>
    <row r="407" spans="1:10" ht="28" customHeight="1" x14ac:dyDescent="0.2">
      <c r="A407" s="112" t="s">
        <v>24</v>
      </c>
      <c r="B407" s="112"/>
      <c r="C407" s="112" t="str">
        <f ca="1">INDIRECT(_xlfn.TEXTJOIN("",TRUE,A421,"!",ADDRESS(9+(A422-1)*A418,2)))</f>
        <v/>
      </c>
      <c r="D407" s="112"/>
      <c r="E407" s="112"/>
      <c r="F407" s="112" t="s">
        <v>50</v>
      </c>
      <c r="G407" s="112"/>
      <c r="H407" s="112"/>
      <c r="I407" s="113" t="str">
        <f ca="1">INDIRECT(_xlfn.TEXTJOIN("",TRUE,A421,"!",ADDRESS(9+(A422-1)*A418,9)))</f>
        <v/>
      </c>
      <c r="J407" s="113"/>
    </row>
    <row r="408" spans="1:10" ht="28" customHeight="1" x14ac:dyDescent="0.2">
      <c r="A408" s="112" t="s">
        <v>25</v>
      </c>
      <c r="B408" s="112"/>
      <c r="C408" s="112" t="str">
        <f ca="1">INDIRECT(_xlfn.TEXTJOIN("",TRUE,A421,"!",ADDRESS(9+(A422-1)*A418,5)))</f>
        <v/>
      </c>
      <c r="D408" s="112"/>
      <c r="E408" s="112"/>
      <c r="F408" s="114" t="s">
        <v>51</v>
      </c>
      <c r="G408" s="114"/>
      <c r="H408" s="114"/>
      <c r="I408" s="113" t="str">
        <f ca="1">INDIRECT(_xlfn.TEXTJOIN("",TRUE,A421,"!",ADDRESS(9+(A422-1)*A418,13)))</f>
        <v/>
      </c>
      <c r="J408" s="113"/>
    </row>
    <row r="409" spans="1:10" ht="28" customHeight="1" x14ac:dyDescent="0.2">
      <c r="A409" s="95" t="s">
        <v>28</v>
      </c>
      <c r="B409" s="95"/>
      <c r="C409" s="95" t="s">
        <v>29</v>
      </c>
      <c r="D409" s="95"/>
      <c r="E409" s="95"/>
      <c r="F409" s="95"/>
      <c r="G409" s="95"/>
      <c r="H409" s="15" t="s">
        <v>30</v>
      </c>
      <c r="I409" s="15" t="s">
        <v>9</v>
      </c>
      <c r="J409" s="15" t="s">
        <v>34</v>
      </c>
    </row>
    <row r="410" spans="1:10" ht="28" customHeight="1" x14ac:dyDescent="0.2">
      <c r="A410" s="96" t="str">
        <f ca="1">INDIRECT(_xlfn.TEXTJOIN("",TRUE,A421,"!",ADDRESS(13+(A422-1)*A418,1)))</f>
        <v/>
      </c>
      <c r="B410" s="97"/>
      <c r="C410" s="106" t="str">
        <f ca="1">INDIRECT(_xlfn.TEXTJOIN("",TRUE,A421,"!",ADDRESS(13+(A422-1)*A418,2)))</f>
        <v/>
      </c>
      <c r="D410" s="107"/>
      <c r="E410" s="107"/>
      <c r="F410" s="107"/>
      <c r="G410" s="108"/>
      <c r="H410" s="20" t="str">
        <f ca="1">INDIRECT(_xlfn.TEXTJOIN("",TRUE,A421,"!",ADDRESS(13+(A422-1)*A418,6)))</f>
        <v/>
      </c>
      <c r="I410" s="20" t="str">
        <f ca="1">INDIRECT(_xlfn.TEXTJOIN("",TRUE,A421,"!",ADDRESS(13+(A422-1)*A418,13)))</f>
        <v/>
      </c>
      <c r="J410" s="20" t="str">
        <f ca="1">INDIRECT(_xlfn.TEXTJOIN("",TRUE,A421,"!",ADDRESS(13+(A422-1)*A418,14)))</f>
        <v/>
      </c>
    </row>
    <row r="411" spans="1:10" ht="28" customHeight="1" x14ac:dyDescent="0.2">
      <c r="A411" s="96" t="str">
        <f ca="1">INDIRECT(_xlfn.TEXTJOIN("",TRUE,A421,"!",ADDRESS(14+(A422-1)*A418,1)))</f>
        <v/>
      </c>
      <c r="B411" s="97"/>
      <c r="C411" s="106" t="str">
        <f ca="1">INDIRECT(_xlfn.TEXTJOIN("",TRUE,A421,"!",ADDRESS(14+(A422-1)*A418,2)))</f>
        <v/>
      </c>
      <c r="D411" s="107"/>
      <c r="E411" s="107"/>
      <c r="F411" s="107"/>
      <c r="G411" s="108"/>
      <c r="H411" s="20" t="str">
        <f ca="1">INDIRECT(_xlfn.TEXTJOIN("",TRUE,A421,"!",ADDRESS(14+(A422-1)*A418,6)))</f>
        <v/>
      </c>
      <c r="I411" s="20" t="str">
        <f ca="1">INDIRECT(_xlfn.TEXTJOIN("",TRUE,A421,"!",ADDRESS(14+(A422-1)*A418,13)))</f>
        <v/>
      </c>
      <c r="J411" s="20" t="str">
        <f ca="1">INDIRECT(_xlfn.TEXTJOIN("",TRUE,A421,"!",ADDRESS(14+(A422-1)*A418,14)))</f>
        <v/>
      </c>
    </row>
    <row r="412" spans="1:10" ht="28" customHeight="1" x14ac:dyDescent="0.2">
      <c r="A412" s="96" t="str">
        <f ca="1">INDIRECT(_xlfn.TEXTJOIN("",TRUE,A421,"!",ADDRESS(15+(A422-1)*A418,1)))</f>
        <v/>
      </c>
      <c r="B412" s="97"/>
      <c r="C412" s="106" t="str">
        <f ca="1">INDIRECT(_xlfn.TEXTJOIN("",TRUE,A421,"!",ADDRESS(15+(A422-1)*A418,2)))</f>
        <v/>
      </c>
      <c r="D412" s="107"/>
      <c r="E412" s="107"/>
      <c r="F412" s="107"/>
      <c r="G412" s="108"/>
      <c r="H412" s="20" t="str">
        <f ca="1">INDIRECT(_xlfn.TEXTJOIN("",TRUE,A421,"!",ADDRESS(15+(A422-1)*A418,6)))</f>
        <v/>
      </c>
      <c r="I412" s="20" t="str">
        <f ca="1">INDIRECT(_xlfn.TEXTJOIN("",TRUE,A421,"!",ADDRESS(15+(A422-1)*A418,13)))</f>
        <v/>
      </c>
      <c r="J412" s="20" t="str">
        <f ca="1">INDIRECT(_xlfn.TEXTJOIN("",TRUE,A421,"!",ADDRESS(15+(A422-1)*A418,14)))</f>
        <v/>
      </c>
    </row>
    <row r="413" spans="1:10" ht="28" customHeight="1" x14ac:dyDescent="0.2">
      <c r="A413" s="96" t="str">
        <f ca="1">INDIRECT(_xlfn.TEXTJOIN("",TRUE,A421,"!",ADDRESS(16+(A422-1)*A418,1)))</f>
        <v/>
      </c>
      <c r="B413" s="97"/>
      <c r="C413" s="106" t="str">
        <f ca="1">INDIRECT(_xlfn.TEXTJOIN("",TRUE,A421,"!",ADDRESS(16+(A422-1)*A418,2)))</f>
        <v/>
      </c>
      <c r="D413" s="107"/>
      <c r="E413" s="107"/>
      <c r="F413" s="107"/>
      <c r="G413" s="108"/>
      <c r="H413" s="20" t="str">
        <f ca="1">INDIRECT(_xlfn.TEXTJOIN("",TRUE,A421,"!",ADDRESS(16+(A422-1)*A418,6)))</f>
        <v/>
      </c>
      <c r="I413" s="20" t="str">
        <f ca="1">INDIRECT(_xlfn.TEXTJOIN("",TRUE,A421,"!",ADDRESS(16+(A422-1)*A418,13)))</f>
        <v/>
      </c>
      <c r="J413" s="20" t="str">
        <f ca="1">INDIRECT(_xlfn.TEXTJOIN("",TRUE,A421,"!",ADDRESS(16+(A422-1)*A418,14)))</f>
        <v/>
      </c>
    </row>
    <row r="414" spans="1:10" ht="28" customHeight="1" x14ac:dyDescent="0.2">
      <c r="A414" s="96" t="str">
        <f ca="1">INDIRECT(_xlfn.TEXTJOIN("",TRUE,A421,"!",ADDRESS(17+(A422-1)*A418,1)))</f>
        <v/>
      </c>
      <c r="B414" s="97"/>
      <c r="C414" s="106" t="str">
        <f ca="1">INDIRECT(_xlfn.TEXTJOIN("",TRUE,A421,"!",ADDRESS(17+(A422-1)*A418,2)))</f>
        <v/>
      </c>
      <c r="D414" s="107"/>
      <c r="E414" s="107"/>
      <c r="F414" s="107"/>
      <c r="G414" s="108"/>
      <c r="H414" s="20" t="str">
        <f ca="1">INDIRECT(_xlfn.TEXTJOIN("",TRUE,A421,"!",ADDRESS(17+(A422-1)*A418,6)))</f>
        <v/>
      </c>
      <c r="I414" s="20" t="str">
        <f ca="1">INDIRECT(_xlfn.TEXTJOIN("",TRUE,A421,"!",ADDRESS(17+(A422-1)*A418,13)))</f>
        <v/>
      </c>
      <c r="J414" s="20" t="str">
        <f ca="1">INDIRECT(_xlfn.TEXTJOIN("",TRUE,A421,"!",ADDRESS(17+(A422-1)*A418,14)))</f>
        <v/>
      </c>
    </row>
    <row r="415" spans="1:10" ht="28" customHeight="1" x14ac:dyDescent="0.2">
      <c r="A415" s="96" t="str">
        <f ca="1">INDIRECT(_xlfn.TEXTJOIN("",TRUE,A421,"!",ADDRESS(18+(A422-1)*A418,1)))</f>
        <v/>
      </c>
      <c r="B415" s="97"/>
      <c r="C415" s="106" t="str">
        <f ca="1">INDIRECT(_xlfn.TEXTJOIN("",TRUE,A421,"!",ADDRESS(18+(A422-1)*A418,2)))</f>
        <v/>
      </c>
      <c r="D415" s="107"/>
      <c r="E415" s="107"/>
      <c r="F415" s="107"/>
      <c r="G415" s="108"/>
      <c r="H415" s="20" t="str">
        <f ca="1">INDIRECT(_xlfn.TEXTJOIN("",TRUE,A421,"!",ADDRESS(18+(A422-1)*A418,6)))</f>
        <v/>
      </c>
      <c r="I415" s="20" t="str">
        <f ca="1">INDIRECT(_xlfn.TEXTJOIN("",TRUE,A421,"!",ADDRESS(18+(A422-1)*A418,13)))</f>
        <v/>
      </c>
      <c r="J415" s="20" t="str">
        <f ca="1">INDIRECT(_xlfn.TEXTJOIN("",TRUE,A421,"!",ADDRESS(18+(A422-1)*A418,14)))</f>
        <v/>
      </c>
    </row>
    <row r="416" spans="1:10" ht="28" customHeight="1" x14ac:dyDescent="0.2">
      <c r="A416" s="96" t="str">
        <f ca="1">INDIRECT(_xlfn.TEXTJOIN("",TRUE,A421,"!",ADDRESS(19+(A422-1)*A418,1)))</f>
        <v/>
      </c>
      <c r="B416" s="97"/>
      <c r="C416" s="106" t="str">
        <f ca="1">INDIRECT(_xlfn.TEXTJOIN("",TRUE,A421,"!",ADDRESS(19+(A422-1)*A418,2)))</f>
        <v/>
      </c>
      <c r="D416" s="107"/>
      <c r="E416" s="107"/>
      <c r="F416" s="107"/>
      <c r="G416" s="108"/>
      <c r="H416" s="20" t="str">
        <f ca="1">INDIRECT(_xlfn.TEXTJOIN("",TRUE,A421,"!",ADDRESS(19+(A422-1)*A418,6)))</f>
        <v/>
      </c>
      <c r="I416" s="20" t="str">
        <f ca="1">INDIRECT(_xlfn.TEXTJOIN("",TRUE,A421,"!",ADDRESS(19+(A422-1)*A418,13)))</f>
        <v/>
      </c>
      <c r="J416" s="20" t="str">
        <f ca="1">INDIRECT(_xlfn.TEXTJOIN("",TRUE,A421,"!",ADDRESS(19+(A422-1)*A418,14)))</f>
        <v/>
      </c>
    </row>
    <row r="417" spans="1:10" ht="28" customHeight="1" x14ac:dyDescent="0.2">
      <c r="A417" s="118" t="s">
        <v>52</v>
      </c>
      <c r="B417" s="118"/>
      <c r="C417" s="118"/>
      <c r="D417" s="118"/>
      <c r="E417" s="118"/>
      <c r="F417" s="118"/>
      <c r="G417" s="118"/>
      <c r="H417" s="16">
        <f ca="1">SUM(H410:H416)</f>
        <v>0</v>
      </c>
      <c r="I417" s="16" t="s">
        <v>44</v>
      </c>
      <c r="J417" s="16">
        <f ca="1">SUMPRODUCT(J410:J416,H410:H416)</f>
        <v>0</v>
      </c>
    </row>
    <row r="418" spans="1:10" ht="28" customHeight="1" x14ac:dyDescent="0.2">
      <c r="A418" s="22">
        <f>ROWS(A410:B416)+9</f>
        <v>16</v>
      </c>
      <c r="B418" s="17"/>
      <c r="C418" s="17"/>
      <c r="D418" s="17"/>
      <c r="E418" s="17"/>
      <c r="F418" s="17"/>
      <c r="G418" s="17"/>
      <c r="H418" s="17"/>
      <c r="I418" s="17"/>
      <c r="J418" s="17"/>
    </row>
    <row r="419" spans="1:10" ht="28" customHeight="1" x14ac:dyDescent="0.2">
      <c r="A419" s="120" t="s">
        <v>40</v>
      </c>
      <c r="B419" s="120"/>
      <c r="C419" s="21" t="str">
        <f ca="1">INDIRECT(_xlfn.TEXTJOIN("",TRUE,A421,"!",ADDRESS(5+A422*A418,12)))</f>
        <v/>
      </c>
      <c r="D419" s="120" t="s">
        <v>38</v>
      </c>
      <c r="E419" s="120"/>
      <c r="F419" s="18" t="str">
        <f ca="1">INDIRECT(_xlfn.TEXTJOIN("",TRUE,A421,"!",ADDRESS(5+A422*A418,8)))</f>
        <v/>
      </c>
      <c r="G419" s="120" t="s">
        <v>39</v>
      </c>
      <c r="H419" s="120"/>
      <c r="I419" s="109" t="str">
        <f ca="1">INDIRECT(_xlfn.TEXTJOIN("",TRUE,A421,"!",ADDRESS(5+A422*A418,10)))</f>
        <v/>
      </c>
      <c r="J419" s="109"/>
    </row>
    <row r="420" spans="1:10" ht="28" customHeight="1" x14ac:dyDescent="0.2">
      <c r="A420" s="19" t="s">
        <v>36</v>
      </c>
      <c r="B420" s="95" t="str">
        <f ca="1">INDIRECT(_xlfn.TEXTJOIN("",TRUE,A421,"!",ADDRESS(5+A422*A418,2)))</f>
        <v/>
      </c>
      <c r="C420" s="95"/>
      <c r="D420" s="121" t="s">
        <v>37</v>
      </c>
      <c r="E420" s="121"/>
      <c r="F420" s="122" t="str">
        <f ca="1">INDIRECT(_xlfn.TEXTJOIN("",TRUE,A421,"!",ADDRESS(5+A422*A418,5)))</f>
        <v/>
      </c>
      <c r="G420" s="122"/>
      <c r="H420" s="122"/>
      <c r="I420" s="122"/>
      <c r="J420" s="122"/>
    </row>
    <row r="421" spans="1:10" ht="28" customHeight="1" x14ac:dyDescent="0.2">
      <c r="A421" s="22" t="str">
        <f>A405</f>
        <v>TC_IV</v>
      </c>
    </row>
    <row r="422" spans="1:10" ht="28" customHeight="1" x14ac:dyDescent="0.2">
      <c r="A422" s="22">
        <f>A406+1</f>
        <v>26</v>
      </c>
    </row>
    <row r="423" spans="1:10" ht="28" customHeight="1" x14ac:dyDescent="0.2">
      <c r="A423" s="112" t="s">
        <v>24</v>
      </c>
      <c r="B423" s="112"/>
      <c r="C423" s="112" t="str">
        <f ca="1">INDIRECT(_xlfn.TEXTJOIN("",TRUE,A437,"!",ADDRESS(9+(A438-1)*A434,2)))</f>
        <v/>
      </c>
      <c r="D423" s="112"/>
      <c r="E423" s="112"/>
      <c r="F423" s="112" t="s">
        <v>50</v>
      </c>
      <c r="G423" s="112"/>
      <c r="H423" s="112"/>
      <c r="I423" s="113" t="str">
        <f ca="1">INDIRECT(_xlfn.TEXTJOIN("",TRUE,A437,"!",ADDRESS(9+(A438-1)*A434,9)))</f>
        <v/>
      </c>
      <c r="J423" s="113"/>
    </row>
    <row r="424" spans="1:10" ht="28" customHeight="1" x14ac:dyDescent="0.2">
      <c r="A424" s="112" t="s">
        <v>25</v>
      </c>
      <c r="B424" s="112"/>
      <c r="C424" s="112" t="str">
        <f ca="1">INDIRECT(_xlfn.TEXTJOIN("",TRUE,A437,"!",ADDRESS(9+(A438-1)*A434,5)))</f>
        <v/>
      </c>
      <c r="D424" s="112"/>
      <c r="E424" s="112"/>
      <c r="F424" s="114" t="s">
        <v>51</v>
      </c>
      <c r="G424" s="114"/>
      <c r="H424" s="114"/>
      <c r="I424" s="113" t="str">
        <f ca="1">INDIRECT(_xlfn.TEXTJOIN("",TRUE,A437,"!",ADDRESS(9+(A438-1)*A434,13)))</f>
        <v/>
      </c>
      <c r="J424" s="113"/>
    </row>
    <row r="425" spans="1:10" ht="28" customHeight="1" x14ac:dyDescent="0.2">
      <c r="A425" s="95" t="s">
        <v>28</v>
      </c>
      <c r="B425" s="95"/>
      <c r="C425" s="95" t="s">
        <v>29</v>
      </c>
      <c r="D425" s="95"/>
      <c r="E425" s="95"/>
      <c r="F425" s="95"/>
      <c r="G425" s="95"/>
      <c r="H425" s="15" t="s">
        <v>30</v>
      </c>
      <c r="I425" s="15" t="s">
        <v>9</v>
      </c>
      <c r="J425" s="15" t="s">
        <v>34</v>
      </c>
    </row>
    <row r="426" spans="1:10" ht="28" customHeight="1" x14ac:dyDescent="0.2">
      <c r="A426" s="96" t="str">
        <f ca="1">INDIRECT(_xlfn.TEXTJOIN("",TRUE,A437,"!",ADDRESS(13+(A438-1)*A434,1)))</f>
        <v/>
      </c>
      <c r="B426" s="97"/>
      <c r="C426" s="106" t="str">
        <f ca="1">INDIRECT(_xlfn.TEXTJOIN("",TRUE,A437,"!",ADDRESS(13+(A438-1)*A434,2)))</f>
        <v/>
      </c>
      <c r="D426" s="107"/>
      <c r="E426" s="107"/>
      <c r="F426" s="107"/>
      <c r="G426" s="108"/>
      <c r="H426" s="20" t="str">
        <f ca="1">INDIRECT(_xlfn.TEXTJOIN("",TRUE,A437,"!",ADDRESS(13+(A438-1)*A434,6)))</f>
        <v/>
      </c>
      <c r="I426" s="20" t="str">
        <f ca="1">INDIRECT(_xlfn.TEXTJOIN("",TRUE,A437,"!",ADDRESS(13+(A438-1)*A434,13)))</f>
        <v/>
      </c>
      <c r="J426" s="20" t="str">
        <f ca="1">INDIRECT(_xlfn.TEXTJOIN("",TRUE,A437,"!",ADDRESS(13+(A438-1)*A434,14)))</f>
        <v/>
      </c>
    </row>
    <row r="427" spans="1:10" ht="28" customHeight="1" x14ac:dyDescent="0.2">
      <c r="A427" s="96" t="str">
        <f ca="1">INDIRECT(_xlfn.TEXTJOIN("",TRUE,A437,"!",ADDRESS(14+(A438-1)*A434,1)))</f>
        <v/>
      </c>
      <c r="B427" s="97"/>
      <c r="C427" s="106" t="str">
        <f ca="1">INDIRECT(_xlfn.TEXTJOIN("",TRUE,A437,"!",ADDRESS(14+(A438-1)*A434,2)))</f>
        <v/>
      </c>
      <c r="D427" s="107"/>
      <c r="E427" s="107"/>
      <c r="F427" s="107"/>
      <c r="G427" s="108"/>
      <c r="H427" s="20" t="str">
        <f ca="1">INDIRECT(_xlfn.TEXTJOIN("",TRUE,A437,"!",ADDRESS(14+(A438-1)*A434,6)))</f>
        <v/>
      </c>
      <c r="I427" s="20" t="str">
        <f ca="1">INDIRECT(_xlfn.TEXTJOIN("",TRUE,A437,"!",ADDRESS(14+(A438-1)*A434,13)))</f>
        <v/>
      </c>
      <c r="J427" s="20" t="str">
        <f ca="1">INDIRECT(_xlfn.TEXTJOIN("",TRUE,A437,"!",ADDRESS(14+(A438-1)*A434,14)))</f>
        <v/>
      </c>
    </row>
    <row r="428" spans="1:10" ht="28" customHeight="1" x14ac:dyDescent="0.2">
      <c r="A428" s="96" t="str">
        <f ca="1">INDIRECT(_xlfn.TEXTJOIN("",TRUE,A437,"!",ADDRESS(15+(A438-1)*A434,1)))</f>
        <v/>
      </c>
      <c r="B428" s="97"/>
      <c r="C428" s="106" t="str">
        <f ca="1">INDIRECT(_xlfn.TEXTJOIN("",TRUE,A437,"!",ADDRESS(15+(A438-1)*A434,2)))</f>
        <v/>
      </c>
      <c r="D428" s="107"/>
      <c r="E428" s="107"/>
      <c r="F428" s="107"/>
      <c r="G428" s="108"/>
      <c r="H428" s="20" t="str">
        <f ca="1">INDIRECT(_xlfn.TEXTJOIN("",TRUE,A437,"!",ADDRESS(15+(A438-1)*A434,6)))</f>
        <v/>
      </c>
      <c r="I428" s="20" t="str">
        <f ca="1">INDIRECT(_xlfn.TEXTJOIN("",TRUE,A437,"!",ADDRESS(15+(A438-1)*A434,13)))</f>
        <v/>
      </c>
      <c r="J428" s="20" t="str">
        <f ca="1">INDIRECT(_xlfn.TEXTJOIN("",TRUE,A437,"!",ADDRESS(15+(A438-1)*A434,14)))</f>
        <v/>
      </c>
    </row>
    <row r="429" spans="1:10" ht="28" customHeight="1" x14ac:dyDescent="0.2">
      <c r="A429" s="96" t="str">
        <f ca="1">INDIRECT(_xlfn.TEXTJOIN("",TRUE,A437,"!",ADDRESS(16+(A438-1)*A434,1)))</f>
        <v/>
      </c>
      <c r="B429" s="97"/>
      <c r="C429" s="106" t="str">
        <f ca="1">INDIRECT(_xlfn.TEXTJOIN("",TRUE,A437,"!",ADDRESS(16+(A438-1)*A434,2)))</f>
        <v/>
      </c>
      <c r="D429" s="107"/>
      <c r="E429" s="107"/>
      <c r="F429" s="107"/>
      <c r="G429" s="108"/>
      <c r="H429" s="20" t="str">
        <f ca="1">INDIRECT(_xlfn.TEXTJOIN("",TRUE,A437,"!",ADDRESS(16+(A438-1)*A434,6)))</f>
        <v/>
      </c>
      <c r="I429" s="20" t="str">
        <f ca="1">INDIRECT(_xlfn.TEXTJOIN("",TRUE,A437,"!",ADDRESS(16+(A438-1)*A434,13)))</f>
        <v/>
      </c>
      <c r="J429" s="20" t="str">
        <f ca="1">INDIRECT(_xlfn.TEXTJOIN("",TRUE,A437,"!",ADDRESS(16+(A438-1)*A434,14)))</f>
        <v/>
      </c>
    </row>
    <row r="430" spans="1:10" ht="28" customHeight="1" x14ac:dyDescent="0.2">
      <c r="A430" s="96" t="str">
        <f ca="1">INDIRECT(_xlfn.TEXTJOIN("",TRUE,A437,"!",ADDRESS(17+(A438-1)*A434,1)))</f>
        <v/>
      </c>
      <c r="B430" s="97"/>
      <c r="C430" s="106" t="str">
        <f ca="1">INDIRECT(_xlfn.TEXTJOIN("",TRUE,A437,"!",ADDRESS(17+(A438-1)*A434,2)))</f>
        <v/>
      </c>
      <c r="D430" s="107"/>
      <c r="E430" s="107"/>
      <c r="F430" s="107"/>
      <c r="G430" s="108"/>
      <c r="H430" s="20" t="str">
        <f ca="1">INDIRECT(_xlfn.TEXTJOIN("",TRUE,A437,"!",ADDRESS(17+(A438-1)*A434,6)))</f>
        <v/>
      </c>
      <c r="I430" s="20" t="str">
        <f ca="1">INDIRECT(_xlfn.TEXTJOIN("",TRUE,A437,"!",ADDRESS(17+(A438-1)*A434,13)))</f>
        <v/>
      </c>
      <c r="J430" s="20" t="str">
        <f ca="1">INDIRECT(_xlfn.TEXTJOIN("",TRUE,A437,"!",ADDRESS(17+(A438-1)*A434,14)))</f>
        <v/>
      </c>
    </row>
    <row r="431" spans="1:10" ht="28" customHeight="1" x14ac:dyDescent="0.2">
      <c r="A431" s="96" t="str">
        <f ca="1">INDIRECT(_xlfn.TEXTJOIN("",TRUE,A437,"!",ADDRESS(18+(A438-1)*A434,1)))</f>
        <v/>
      </c>
      <c r="B431" s="97"/>
      <c r="C431" s="106" t="str">
        <f ca="1">INDIRECT(_xlfn.TEXTJOIN("",TRUE,A437,"!",ADDRESS(18+(A438-1)*A434,2)))</f>
        <v/>
      </c>
      <c r="D431" s="107"/>
      <c r="E431" s="107"/>
      <c r="F431" s="107"/>
      <c r="G431" s="108"/>
      <c r="H431" s="20" t="str">
        <f ca="1">INDIRECT(_xlfn.TEXTJOIN("",TRUE,A437,"!",ADDRESS(18+(A438-1)*A434,6)))</f>
        <v/>
      </c>
      <c r="I431" s="20" t="str">
        <f ca="1">INDIRECT(_xlfn.TEXTJOIN("",TRUE,A437,"!",ADDRESS(18+(A438-1)*A434,13)))</f>
        <v/>
      </c>
      <c r="J431" s="20" t="str">
        <f ca="1">INDIRECT(_xlfn.TEXTJOIN("",TRUE,A437,"!",ADDRESS(18+(A438-1)*A434,14)))</f>
        <v/>
      </c>
    </row>
    <row r="432" spans="1:10" ht="28" customHeight="1" x14ac:dyDescent="0.2">
      <c r="A432" s="96" t="str">
        <f ca="1">INDIRECT(_xlfn.TEXTJOIN("",TRUE,A437,"!",ADDRESS(19+(A438-1)*A434,1)))</f>
        <v/>
      </c>
      <c r="B432" s="97"/>
      <c r="C432" s="106" t="str">
        <f ca="1">INDIRECT(_xlfn.TEXTJOIN("",TRUE,A437,"!",ADDRESS(19+(A438-1)*A434,2)))</f>
        <v/>
      </c>
      <c r="D432" s="107"/>
      <c r="E432" s="107"/>
      <c r="F432" s="107"/>
      <c r="G432" s="108"/>
      <c r="H432" s="20" t="str">
        <f ca="1">INDIRECT(_xlfn.TEXTJOIN("",TRUE,A437,"!",ADDRESS(19+(A438-1)*A434,6)))</f>
        <v/>
      </c>
      <c r="I432" s="20" t="str">
        <f ca="1">INDIRECT(_xlfn.TEXTJOIN("",TRUE,A437,"!",ADDRESS(19+(A438-1)*A434,13)))</f>
        <v/>
      </c>
      <c r="J432" s="20" t="str">
        <f ca="1">INDIRECT(_xlfn.TEXTJOIN("",TRUE,A437,"!",ADDRESS(19+(A438-1)*A434,14)))</f>
        <v/>
      </c>
    </row>
    <row r="433" spans="1:10" ht="28" customHeight="1" x14ac:dyDescent="0.2">
      <c r="A433" s="118" t="s">
        <v>52</v>
      </c>
      <c r="B433" s="118"/>
      <c r="C433" s="118"/>
      <c r="D433" s="118"/>
      <c r="E433" s="118"/>
      <c r="F433" s="118"/>
      <c r="G433" s="118"/>
      <c r="H433" s="16">
        <f ca="1">SUM(H426:H432)</f>
        <v>0</v>
      </c>
      <c r="I433" s="16" t="s">
        <v>44</v>
      </c>
      <c r="J433" s="16">
        <f ca="1">SUMPRODUCT(J426:J432,H426:H432)</f>
        <v>0</v>
      </c>
    </row>
    <row r="434" spans="1:10" ht="28" customHeight="1" x14ac:dyDescent="0.2">
      <c r="A434" s="22">
        <f>ROWS(A426:B432)+9</f>
        <v>16</v>
      </c>
      <c r="B434" s="17"/>
      <c r="C434" s="17"/>
      <c r="D434" s="17"/>
      <c r="E434" s="17"/>
      <c r="F434" s="17"/>
      <c r="G434" s="17"/>
      <c r="H434" s="17"/>
      <c r="I434" s="17"/>
      <c r="J434" s="17"/>
    </row>
    <row r="435" spans="1:10" ht="28" customHeight="1" x14ac:dyDescent="0.2">
      <c r="A435" s="120" t="s">
        <v>40</v>
      </c>
      <c r="B435" s="120"/>
      <c r="C435" s="21" t="str">
        <f ca="1">INDIRECT(_xlfn.TEXTJOIN("",TRUE,A437,"!",ADDRESS(5+A438*A434,12)))</f>
        <v/>
      </c>
      <c r="D435" s="120" t="s">
        <v>38</v>
      </c>
      <c r="E435" s="120"/>
      <c r="F435" s="18" t="str">
        <f ca="1">INDIRECT(_xlfn.TEXTJOIN("",TRUE,A437,"!",ADDRESS(5+A438*A434,8)))</f>
        <v/>
      </c>
      <c r="G435" s="120" t="s">
        <v>39</v>
      </c>
      <c r="H435" s="120"/>
      <c r="I435" s="109" t="str">
        <f ca="1">INDIRECT(_xlfn.TEXTJOIN("",TRUE,A437,"!",ADDRESS(5+A438*A434,10)))</f>
        <v/>
      </c>
      <c r="J435" s="109"/>
    </row>
    <row r="436" spans="1:10" ht="28" customHeight="1" x14ac:dyDescent="0.2">
      <c r="A436" s="19" t="s">
        <v>36</v>
      </c>
      <c r="B436" s="95" t="str">
        <f ca="1">INDIRECT(_xlfn.TEXTJOIN("",TRUE,A437,"!",ADDRESS(5+A438*A434,2)))</f>
        <v/>
      </c>
      <c r="C436" s="95"/>
      <c r="D436" s="121" t="s">
        <v>37</v>
      </c>
      <c r="E436" s="121"/>
      <c r="F436" s="122" t="str">
        <f ca="1">INDIRECT(_xlfn.TEXTJOIN("",TRUE,A437,"!",ADDRESS(5+A438*A434,5)))</f>
        <v/>
      </c>
      <c r="G436" s="122"/>
      <c r="H436" s="122"/>
      <c r="I436" s="122"/>
      <c r="J436" s="122"/>
    </row>
    <row r="437" spans="1:10" ht="28" customHeight="1" x14ac:dyDescent="0.2">
      <c r="A437" s="22" t="str">
        <f>A421</f>
        <v>TC_IV</v>
      </c>
    </row>
    <row r="438" spans="1:10" ht="28" customHeight="1" x14ac:dyDescent="0.2">
      <c r="A438" s="22">
        <f>A422+1</f>
        <v>27</v>
      </c>
    </row>
    <row r="439" spans="1:10" ht="28" customHeight="1" x14ac:dyDescent="0.2">
      <c r="A439" s="112" t="s">
        <v>24</v>
      </c>
      <c r="B439" s="112"/>
      <c r="C439" s="112" t="str">
        <f ca="1">INDIRECT(_xlfn.TEXTJOIN("",TRUE,A453,"!",ADDRESS(9+(A454-1)*A450,2)))</f>
        <v/>
      </c>
      <c r="D439" s="112"/>
      <c r="E439" s="112"/>
      <c r="F439" s="112" t="s">
        <v>50</v>
      </c>
      <c r="G439" s="112"/>
      <c r="H439" s="112"/>
      <c r="I439" s="113" t="str">
        <f ca="1">INDIRECT(_xlfn.TEXTJOIN("",TRUE,A453,"!",ADDRESS(9+(A454-1)*A450,9)))</f>
        <v/>
      </c>
      <c r="J439" s="113"/>
    </row>
    <row r="440" spans="1:10" ht="28" customHeight="1" x14ac:dyDescent="0.2">
      <c r="A440" s="112" t="s">
        <v>25</v>
      </c>
      <c r="B440" s="112"/>
      <c r="C440" s="112" t="str">
        <f ca="1">INDIRECT(_xlfn.TEXTJOIN("",TRUE,A453,"!",ADDRESS(9+(A454-1)*A450,5)))</f>
        <v/>
      </c>
      <c r="D440" s="112"/>
      <c r="E440" s="112"/>
      <c r="F440" s="114" t="s">
        <v>51</v>
      </c>
      <c r="G440" s="114"/>
      <c r="H440" s="114"/>
      <c r="I440" s="113" t="str">
        <f ca="1">INDIRECT(_xlfn.TEXTJOIN("",TRUE,A453,"!",ADDRESS(9+(A454-1)*A450,13)))</f>
        <v/>
      </c>
      <c r="J440" s="113"/>
    </row>
    <row r="441" spans="1:10" ht="28" customHeight="1" x14ac:dyDescent="0.2">
      <c r="A441" s="95" t="s">
        <v>28</v>
      </c>
      <c r="B441" s="95"/>
      <c r="C441" s="95" t="s">
        <v>29</v>
      </c>
      <c r="D441" s="95"/>
      <c r="E441" s="95"/>
      <c r="F441" s="95"/>
      <c r="G441" s="95"/>
      <c r="H441" s="15" t="s">
        <v>30</v>
      </c>
      <c r="I441" s="15" t="s">
        <v>9</v>
      </c>
      <c r="J441" s="15" t="s">
        <v>34</v>
      </c>
    </row>
    <row r="442" spans="1:10" ht="28" customHeight="1" x14ac:dyDescent="0.2">
      <c r="A442" s="96" t="str">
        <f ca="1">INDIRECT(_xlfn.TEXTJOIN("",TRUE,A453,"!",ADDRESS(13+(A454-1)*A450,1)))</f>
        <v/>
      </c>
      <c r="B442" s="97"/>
      <c r="C442" s="106" t="str">
        <f ca="1">INDIRECT(_xlfn.TEXTJOIN("",TRUE,A453,"!",ADDRESS(13+(A454-1)*A450,2)))</f>
        <v/>
      </c>
      <c r="D442" s="107"/>
      <c r="E442" s="107"/>
      <c r="F442" s="107"/>
      <c r="G442" s="108"/>
      <c r="H442" s="20" t="str">
        <f ca="1">INDIRECT(_xlfn.TEXTJOIN("",TRUE,A453,"!",ADDRESS(13+(A454-1)*A450,6)))</f>
        <v/>
      </c>
      <c r="I442" s="20" t="str">
        <f ca="1">INDIRECT(_xlfn.TEXTJOIN("",TRUE,A453,"!",ADDRESS(13+(A454-1)*A450,13)))</f>
        <v/>
      </c>
      <c r="J442" s="20" t="str">
        <f ca="1">INDIRECT(_xlfn.TEXTJOIN("",TRUE,A453,"!",ADDRESS(13+(A454-1)*A450,14)))</f>
        <v/>
      </c>
    </row>
    <row r="443" spans="1:10" ht="28" customHeight="1" x14ac:dyDescent="0.2">
      <c r="A443" s="96" t="str">
        <f ca="1">INDIRECT(_xlfn.TEXTJOIN("",TRUE,A453,"!",ADDRESS(14+(A454-1)*A450,1)))</f>
        <v/>
      </c>
      <c r="B443" s="97"/>
      <c r="C443" s="106" t="str">
        <f ca="1">INDIRECT(_xlfn.TEXTJOIN("",TRUE,A453,"!",ADDRESS(14+(A454-1)*A450,2)))</f>
        <v/>
      </c>
      <c r="D443" s="107"/>
      <c r="E443" s="107"/>
      <c r="F443" s="107"/>
      <c r="G443" s="108"/>
      <c r="H443" s="20" t="str">
        <f ca="1">INDIRECT(_xlfn.TEXTJOIN("",TRUE,A453,"!",ADDRESS(14+(A454-1)*A450,6)))</f>
        <v/>
      </c>
      <c r="I443" s="20" t="str">
        <f ca="1">INDIRECT(_xlfn.TEXTJOIN("",TRUE,A453,"!",ADDRESS(14+(A454-1)*A450,13)))</f>
        <v/>
      </c>
      <c r="J443" s="20" t="str">
        <f ca="1">INDIRECT(_xlfn.TEXTJOIN("",TRUE,A453,"!",ADDRESS(14+(A454-1)*A450,14)))</f>
        <v/>
      </c>
    </row>
    <row r="444" spans="1:10" ht="28" customHeight="1" x14ac:dyDescent="0.2">
      <c r="A444" s="96" t="str">
        <f ca="1">INDIRECT(_xlfn.TEXTJOIN("",TRUE,A453,"!",ADDRESS(15+(A454-1)*A450,1)))</f>
        <v/>
      </c>
      <c r="B444" s="97"/>
      <c r="C444" s="106" t="str">
        <f ca="1">INDIRECT(_xlfn.TEXTJOIN("",TRUE,A453,"!",ADDRESS(15+(A454-1)*A450,2)))</f>
        <v/>
      </c>
      <c r="D444" s="107"/>
      <c r="E444" s="107"/>
      <c r="F444" s="107"/>
      <c r="G444" s="108"/>
      <c r="H444" s="20" t="str">
        <f ca="1">INDIRECT(_xlfn.TEXTJOIN("",TRUE,A453,"!",ADDRESS(15+(A454-1)*A450,6)))</f>
        <v/>
      </c>
      <c r="I444" s="20" t="str">
        <f ca="1">INDIRECT(_xlfn.TEXTJOIN("",TRUE,A453,"!",ADDRESS(15+(A454-1)*A450,13)))</f>
        <v/>
      </c>
      <c r="J444" s="20" t="str">
        <f ca="1">INDIRECT(_xlfn.TEXTJOIN("",TRUE,A453,"!",ADDRESS(15+(A454-1)*A450,14)))</f>
        <v/>
      </c>
    </row>
    <row r="445" spans="1:10" ht="28" customHeight="1" x14ac:dyDescent="0.2">
      <c r="A445" s="96" t="str">
        <f ca="1">INDIRECT(_xlfn.TEXTJOIN("",TRUE,A453,"!",ADDRESS(16+(A454-1)*A450,1)))</f>
        <v/>
      </c>
      <c r="B445" s="97"/>
      <c r="C445" s="106" t="str">
        <f ca="1">INDIRECT(_xlfn.TEXTJOIN("",TRUE,A453,"!",ADDRESS(16+(A454-1)*A450,2)))</f>
        <v/>
      </c>
      <c r="D445" s="107"/>
      <c r="E445" s="107"/>
      <c r="F445" s="107"/>
      <c r="G445" s="108"/>
      <c r="H445" s="20" t="str">
        <f ca="1">INDIRECT(_xlfn.TEXTJOIN("",TRUE,A453,"!",ADDRESS(16+(A454-1)*A450,6)))</f>
        <v/>
      </c>
      <c r="I445" s="20" t="str">
        <f ca="1">INDIRECT(_xlfn.TEXTJOIN("",TRUE,A453,"!",ADDRESS(16+(A454-1)*A450,13)))</f>
        <v/>
      </c>
      <c r="J445" s="20" t="str">
        <f ca="1">INDIRECT(_xlfn.TEXTJOIN("",TRUE,A453,"!",ADDRESS(16+(A454-1)*A450,14)))</f>
        <v/>
      </c>
    </row>
    <row r="446" spans="1:10" ht="28" customHeight="1" x14ac:dyDescent="0.2">
      <c r="A446" s="96" t="str">
        <f ca="1">INDIRECT(_xlfn.TEXTJOIN("",TRUE,A453,"!",ADDRESS(17+(A454-1)*A450,1)))</f>
        <v/>
      </c>
      <c r="B446" s="97"/>
      <c r="C446" s="106" t="str">
        <f ca="1">INDIRECT(_xlfn.TEXTJOIN("",TRUE,A453,"!",ADDRESS(17+(A454-1)*A450,2)))</f>
        <v/>
      </c>
      <c r="D446" s="107"/>
      <c r="E446" s="107"/>
      <c r="F446" s="107"/>
      <c r="G446" s="108"/>
      <c r="H446" s="20" t="str">
        <f ca="1">INDIRECT(_xlfn.TEXTJOIN("",TRUE,A453,"!",ADDRESS(17+(A454-1)*A450,6)))</f>
        <v/>
      </c>
      <c r="I446" s="20" t="str">
        <f ca="1">INDIRECT(_xlfn.TEXTJOIN("",TRUE,A453,"!",ADDRESS(17+(A454-1)*A450,13)))</f>
        <v/>
      </c>
      <c r="J446" s="20" t="str">
        <f ca="1">INDIRECT(_xlfn.TEXTJOIN("",TRUE,A453,"!",ADDRESS(17+(A454-1)*A450,14)))</f>
        <v/>
      </c>
    </row>
    <row r="447" spans="1:10" ht="28" customHeight="1" x14ac:dyDescent="0.2">
      <c r="A447" s="96" t="str">
        <f ca="1">INDIRECT(_xlfn.TEXTJOIN("",TRUE,A453,"!",ADDRESS(18+(A454-1)*A450,1)))</f>
        <v/>
      </c>
      <c r="B447" s="97"/>
      <c r="C447" s="106" t="str">
        <f ca="1">INDIRECT(_xlfn.TEXTJOIN("",TRUE,A453,"!",ADDRESS(18+(A454-1)*A450,2)))</f>
        <v/>
      </c>
      <c r="D447" s="107"/>
      <c r="E447" s="107"/>
      <c r="F447" s="107"/>
      <c r="G447" s="108"/>
      <c r="H447" s="20" t="str">
        <f ca="1">INDIRECT(_xlfn.TEXTJOIN("",TRUE,A453,"!",ADDRESS(18+(A454-1)*A450,6)))</f>
        <v/>
      </c>
      <c r="I447" s="20" t="str">
        <f ca="1">INDIRECT(_xlfn.TEXTJOIN("",TRUE,A453,"!",ADDRESS(18+(A454-1)*A450,13)))</f>
        <v/>
      </c>
      <c r="J447" s="20" t="str">
        <f ca="1">INDIRECT(_xlfn.TEXTJOIN("",TRUE,A453,"!",ADDRESS(18+(A454-1)*A450,14)))</f>
        <v/>
      </c>
    </row>
    <row r="448" spans="1:10" ht="28" customHeight="1" x14ac:dyDescent="0.2">
      <c r="A448" s="96" t="str">
        <f ca="1">INDIRECT(_xlfn.TEXTJOIN("",TRUE,A453,"!",ADDRESS(19+(A454-1)*A450,1)))</f>
        <v/>
      </c>
      <c r="B448" s="97"/>
      <c r="C448" s="106" t="str">
        <f ca="1">INDIRECT(_xlfn.TEXTJOIN("",TRUE,A453,"!",ADDRESS(19+(A454-1)*A450,2)))</f>
        <v/>
      </c>
      <c r="D448" s="107"/>
      <c r="E448" s="107"/>
      <c r="F448" s="107"/>
      <c r="G448" s="108"/>
      <c r="H448" s="20" t="str">
        <f ca="1">INDIRECT(_xlfn.TEXTJOIN("",TRUE,A453,"!",ADDRESS(19+(A454-1)*A450,6)))</f>
        <v/>
      </c>
      <c r="I448" s="20" t="str">
        <f ca="1">INDIRECT(_xlfn.TEXTJOIN("",TRUE,A453,"!",ADDRESS(19+(A454-1)*A450,13)))</f>
        <v/>
      </c>
      <c r="J448" s="20" t="str">
        <f ca="1">INDIRECT(_xlfn.TEXTJOIN("",TRUE,A453,"!",ADDRESS(19+(A454-1)*A450,14)))</f>
        <v/>
      </c>
    </row>
    <row r="449" spans="1:10" ht="28" customHeight="1" x14ac:dyDescent="0.2">
      <c r="A449" s="118" t="s">
        <v>52</v>
      </c>
      <c r="B449" s="118"/>
      <c r="C449" s="118"/>
      <c r="D449" s="118"/>
      <c r="E449" s="118"/>
      <c r="F449" s="118"/>
      <c r="G449" s="118"/>
      <c r="H449" s="16">
        <f ca="1">SUM(H442:H448)</f>
        <v>0</v>
      </c>
      <c r="I449" s="16" t="s">
        <v>44</v>
      </c>
      <c r="J449" s="16">
        <f ca="1">SUMPRODUCT(J442:J448,H442:H448)</f>
        <v>0</v>
      </c>
    </row>
    <row r="450" spans="1:10" ht="28" customHeight="1" x14ac:dyDescent="0.2">
      <c r="A450" s="22">
        <f>ROWS(A442:B448)+9</f>
        <v>16</v>
      </c>
      <c r="B450" s="17"/>
      <c r="C450" s="17"/>
      <c r="D450" s="17"/>
      <c r="E450" s="17"/>
      <c r="F450" s="17"/>
      <c r="G450" s="17"/>
      <c r="H450" s="17"/>
      <c r="I450" s="17"/>
      <c r="J450" s="17"/>
    </row>
    <row r="451" spans="1:10" ht="28" customHeight="1" x14ac:dyDescent="0.2">
      <c r="A451" s="120" t="s">
        <v>40</v>
      </c>
      <c r="B451" s="120"/>
      <c r="C451" s="21" t="str">
        <f ca="1">INDIRECT(_xlfn.TEXTJOIN("",TRUE,A453,"!",ADDRESS(5+A454*A450,12)))</f>
        <v/>
      </c>
      <c r="D451" s="120" t="s">
        <v>38</v>
      </c>
      <c r="E451" s="120"/>
      <c r="F451" s="18" t="str">
        <f ca="1">INDIRECT(_xlfn.TEXTJOIN("",TRUE,A453,"!",ADDRESS(5+A454*A450,8)))</f>
        <v/>
      </c>
      <c r="G451" s="120" t="s">
        <v>39</v>
      </c>
      <c r="H451" s="120"/>
      <c r="I451" s="109" t="str">
        <f ca="1">INDIRECT(_xlfn.TEXTJOIN("",TRUE,A453,"!",ADDRESS(5+A454*A450,10)))</f>
        <v/>
      </c>
      <c r="J451" s="109"/>
    </row>
    <row r="452" spans="1:10" ht="28" customHeight="1" x14ac:dyDescent="0.2">
      <c r="A452" s="19" t="s">
        <v>36</v>
      </c>
      <c r="B452" s="95" t="str">
        <f ca="1">INDIRECT(_xlfn.TEXTJOIN("",TRUE,A453,"!",ADDRESS(5+A454*A450,2)))</f>
        <v/>
      </c>
      <c r="C452" s="95"/>
      <c r="D452" s="121" t="s">
        <v>37</v>
      </c>
      <c r="E452" s="121"/>
      <c r="F452" s="122" t="str">
        <f ca="1">INDIRECT(_xlfn.TEXTJOIN("",TRUE,A453,"!",ADDRESS(5+A454*A450,5)))</f>
        <v/>
      </c>
      <c r="G452" s="122"/>
      <c r="H452" s="122"/>
      <c r="I452" s="122"/>
      <c r="J452" s="122"/>
    </row>
    <row r="453" spans="1:10" ht="28" customHeight="1" x14ac:dyDescent="0.2">
      <c r="A453" s="22" t="str">
        <f>A437</f>
        <v>TC_IV</v>
      </c>
    </row>
    <row r="454" spans="1:10" ht="28" customHeight="1" x14ac:dyDescent="0.2">
      <c r="A454" s="22">
        <f>A438+1</f>
        <v>28</v>
      </c>
    </row>
    <row r="455" spans="1:10" ht="28" customHeight="1" x14ac:dyDescent="0.2">
      <c r="A455" s="112" t="s">
        <v>24</v>
      </c>
      <c r="B455" s="112"/>
      <c r="C455" s="112" t="str">
        <f ca="1">INDIRECT(_xlfn.TEXTJOIN("",TRUE,A469,"!",ADDRESS(9+(A470-1)*A466,2)))</f>
        <v/>
      </c>
      <c r="D455" s="112"/>
      <c r="E455" s="112"/>
      <c r="F455" s="112" t="s">
        <v>50</v>
      </c>
      <c r="G455" s="112"/>
      <c r="H455" s="112"/>
      <c r="I455" s="113" t="str">
        <f ca="1">INDIRECT(_xlfn.TEXTJOIN("",TRUE,A469,"!",ADDRESS(9+(A470-1)*A466,9)))</f>
        <v/>
      </c>
      <c r="J455" s="113"/>
    </row>
    <row r="456" spans="1:10" ht="28" customHeight="1" x14ac:dyDescent="0.2">
      <c r="A456" s="112" t="s">
        <v>25</v>
      </c>
      <c r="B456" s="112"/>
      <c r="C456" s="112" t="str">
        <f ca="1">INDIRECT(_xlfn.TEXTJOIN("",TRUE,A469,"!",ADDRESS(9+(A470-1)*A466,5)))</f>
        <v/>
      </c>
      <c r="D456" s="112"/>
      <c r="E456" s="112"/>
      <c r="F456" s="114" t="s">
        <v>51</v>
      </c>
      <c r="G456" s="114"/>
      <c r="H456" s="114"/>
      <c r="I456" s="113" t="str">
        <f ca="1">INDIRECT(_xlfn.TEXTJOIN("",TRUE,A469,"!",ADDRESS(9+(A470-1)*A466,13)))</f>
        <v/>
      </c>
      <c r="J456" s="113"/>
    </row>
    <row r="457" spans="1:10" ht="28" customHeight="1" x14ac:dyDescent="0.2">
      <c r="A457" s="95" t="s">
        <v>28</v>
      </c>
      <c r="B457" s="95"/>
      <c r="C457" s="95" t="s">
        <v>29</v>
      </c>
      <c r="D457" s="95"/>
      <c r="E457" s="95"/>
      <c r="F457" s="95"/>
      <c r="G457" s="95"/>
      <c r="H457" s="15" t="s">
        <v>30</v>
      </c>
      <c r="I457" s="15" t="s">
        <v>9</v>
      </c>
      <c r="J457" s="15" t="s">
        <v>34</v>
      </c>
    </row>
    <row r="458" spans="1:10" ht="28" customHeight="1" x14ac:dyDescent="0.2">
      <c r="A458" s="96" t="str">
        <f ca="1">INDIRECT(_xlfn.TEXTJOIN("",TRUE,A469,"!",ADDRESS(13+(A470-1)*A466,1)))</f>
        <v/>
      </c>
      <c r="B458" s="97"/>
      <c r="C458" s="106" t="str">
        <f ca="1">INDIRECT(_xlfn.TEXTJOIN("",TRUE,A469,"!",ADDRESS(13+(A470-1)*A466,2)))</f>
        <v/>
      </c>
      <c r="D458" s="107"/>
      <c r="E458" s="107"/>
      <c r="F458" s="107"/>
      <c r="G458" s="108"/>
      <c r="H458" s="20" t="str">
        <f ca="1">INDIRECT(_xlfn.TEXTJOIN("",TRUE,A469,"!",ADDRESS(13+(A470-1)*A466,6)))</f>
        <v/>
      </c>
      <c r="I458" s="20" t="str">
        <f ca="1">INDIRECT(_xlfn.TEXTJOIN("",TRUE,A469,"!",ADDRESS(13+(A470-1)*A466,13)))</f>
        <v/>
      </c>
      <c r="J458" s="20" t="str">
        <f ca="1">INDIRECT(_xlfn.TEXTJOIN("",TRUE,A469,"!",ADDRESS(13+(A470-1)*A466,14)))</f>
        <v/>
      </c>
    </row>
    <row r="459" spans="1:10" ht="28" customHeight="1" x14ac:dyDescent="0.2">
      <c r="A459" s="96" t="str">
        <f ca="1">INDIRECT(_xlfn.TEXTJOIN("",TRUE,A469,"!",ADDRESS(14+(A470-1)*A466,1)))</f>
        <v/>
      </c>
      <c r="B459" s="97"/>
      <c r="C459" s="106" t="str">
        <f ca="1">INDIRECT(_xlfn.TEXTJOIN("",TRUE,A469,"!",ADDRESS(14+(A470-1)*A466,2)))</f>
        <v/>
      </c>
      <c r="D459" s="107"/>
      <c r="E459" s="107"/>
      <c r="F459" s="107"/>
      <c r="G459" s="108"/>
      <c r="H459" s="20" t="str">
        <f ca="1">INDIRECT(_xlfn.TEXTJOIN("",TRUE,A469,"!",ADDRESS(14+(A470-1)*A466,6)))</f>
        <v/>
      </c>
      <c r="I459" s="20" t="str">
        <f ca="1">INDIRECT(_xlfn.TEXTJOIN("",TRUE,A469,"!",ADDRESS(14+(A470-1)*A466,13)))</f>
        <v/>
      </c>
      <c r="J459" s="20" t="str">
        <f ca="1">INDIRECT(_xlfn.TEXTJOIN("",TRUE,A469,"!",ADDRESS(14+(A470-1)*A466,14)))</f>
        <v/>
      </c>
    </row>
    <row r="460" spans="1:10" ht="28" customHeight="1" x14ac:dyDescent="0.2">
      <c r="A460" s="96" t="str">
        <f ca="1">INDIRECT(_xlfn.TEXTJOIN("",TRUE,A469,"!",ADDRESS(15+(A470-1)*A466,1)))</f>
        <v/>
      </c>
      <c r="B460" s="97"/>
      <c r="C460" s="106" t="str">
        <f ca="1">INDIRECT(_xlfn.TEXTJOIN("",TRUE,A469,"!",ADDRESS(15+(A470-1)*A466,2)))</f>
        <v/>
      </c>
      <c r="D460" s="107"/>
      <c r="E460" s="107"/>
      <c r="F460" s="107"/>
      <c r="G460" s="108"/>
      <c r="H460" s="20" t="str">
        <f ca="1">INDIRECT(_xlfn.TEXTJOIN("",TRUE,A469,"!",ADDRESS(15+(A470-1)*A466,6)))</f>
        <v/>
      </c>
      <c r="I460" s="20" t="str">
        <f ca="1">INDIRECT(_xlfn.TEXTJOIN("",TRUE,A469,"!",ADDRESS(15+(A470-1)*A466,13)))</f>
        <v/>
      </c>
      <c r="J460" s="20" t="str">
        <f ca="1">INDIRECT(_xlfn.TEXTJOIN("",TRUE,A469,"!",ADDRESS(15+(A470-1)*A466,14)))</f>
        <v/>
      </c>
    </row>
    <row r="461" spans="1:10" ht="28" customHeight="1" x14ac:dyDescent="0.2">
      <c r="A461" s="96" t="str">
        <f ca="1">INDIRECT(_xlfn.TEXTJOIN("",TRUE,A469,"!",ADDRESS(16+(A470-1)*A466,1)))</f>
        <v/>
      </c>
      <c r="B461" s="97"/>
      <c r="C461" s="106" t="str">
        <f ca="1">INDIRECT(_xlfn.TEXTJOIN("",TRUE,A469,"!",ADDRESS(16+(A470-1)*A466,2)))</f>
        <v/>
      </c>
      <c r="D461" s="107"/>
      <c r="E461" s="107"/>
      <c r="F461" s="107"/>
      <c r="G461" s="108"/>
      <c r="H461" s="20" t="str">
        <f ca="1">INDIRECT(_xlfn.TEXTJOIN("",TRUE,A469,"!",ADDRESS(16+(A470-1)*A466,6)))</f>
        <v/>
      </c>
      <c r="I461" s="20" t="str">
        <f ca="1">INDIRECT(_xlfn.TEXTJOIN("",TRUE,A469,"!",ADDRESS(16+(A470-1)*A466,13)))</f>
        <v/>
      </c>
      <c r="J461" s="20" t="str">
        <f ca="1">INDIRECT(_xlfn.TEXTJOIN("",TRUE,A469,"!",ADDRESS(16+(A470-1)*A466,14)))</f>
        <v/>
      </c>
    </row>
    <row r="462" spans="1:10" ht="28" customHeight="1" x14ac:dyDescent="0.2">
      <c r="A462" s="96" t="str">
        <f ca="1">INDIRECT(_xlfn.TEXTJOIN("",TRUE,A469,"!",ADDRESS(17+(A470-1)*A466,1)))</f>
        <v/>
      </c>
      <c r="B462" s="97"/>
      <c r="C462" s="106" t="str">
        <f ca="1">INDIRECT(_xlfn.TEXTJOIN("",TRUE,A469,"!",ADDRESS(17+(A470-1)*A466,2)))</f>
        <v/>
      </c>
      <c r="D462" s="107"/>
      <c r="E462" s="107"/>
      <c r="F462" s="107"/>
      <c r="G462" s="108"/>
      <c r="H462" s="20" t="str">
        <f ca="1">INDIRECT(_xlfn.TEXTJOIN("",TRUE,A469,"!",ADDRESS(17+(A470-1)*A466,6)))</f>
        <v/>
      </c>
      <c r="I462" s="20" t="str">
        <f ca="1">INDIRECT(_xlfn.TEXTJOIN("",TRUE,A469,"!",ADDRESS(17+(A470-1)*A466,13)))</f>
        <v/>
      </c>
      <c r="J462" s="20" t="str">
        <f ca="1">INDIRECT(_xlfn.TEXTJOIN("",TRUE,A469,"!",ADDRESS(17+(A470-1)*A466,14)))</f>
        <v/>
      </c>
    </row>
    <row r="463" spans="1:10" ht="28" customHeight="1" x14ac:dyDescent="0.2">
      <c r="A463" s="96" t="str">
        <f ca="1">INDIRECT(_xlfn.TEXTJOIN("",TRUE,A469,"!",ADDRESS(18+(A470-1)*A466,1)))</f>
        <v/>
      </c>
      <c r="B463" s="97"/>
      <c r="C463" s="106" t="str">
        <f ca="1">INDIRECT(_xlfn.TEXTJOIN("",TRUE,A469,"!",ADDRESS(18+(A470-1)*A466,2)))</f>
        <v/>
      </c>
      <c r="D463" s="107"/>
      <c r="E463" s="107"/>
      <c r="F463" s="107"/>
      <c r="G463" s="108"/>
      <c r="H463" s="20" t="str">
        <f ca="1">INDIRECT(_xlfn.TEXTJOIN("",TRUE,A469,"!",ADDRESS(18+(A470-1)*A466,6)))</f>
        <v/>
      </c>
      <c r="I463" s="20" t="str">
        <f ca="1">INDIRECT(_xlfn.TEXTJOIN("",TRUE,A469,"!",ADDRESS(18+(A470-1)*A466,13)))</f>
        <v/>
      </c>
      <c r="J463" s="20" t="str">
        <f ca="1">INDIRECT(_xlfn.TEXTJOIN("",TRUE,A469,"!",ADDRESS(18+(A470-1)*A466,14)))</f>
        <v/>
      </c>
    </row>
    <row r="464" spans="1:10" ht="28" customHeight="1" x14ac:dyDescent="0.2">
      <c r="A464" s="96" t="str">
        <f ca="1">INDIRECT(_xlfn.TEXTJOIN("",TRUE,A469,"!",ADDRESS(19+(A470-1)*A466,1)))</f>
        <v/>
      </c>
      <c r="B464" s="97"/>
      <c r="C464" s="106" t="str">
        <f ca="1">INDIRECT(_xlfn.TEXTJOIN("",TRUE,A469,"!",ADDRESS(19+(A470-1)*A466,2)))</f>
        <v/>
      </c>
      <c r="D464" s="107"/>
      <c r="E464" s="107"/>
      <c r="F464" s="107"/>
      <c r="G464" s="108"/>
      <c r="H464" s="20" t="str">
        <f ca="1">INDIRECT(_xlfn.TEXTJOIN("",TRUE,A469,"!",ADDRESS(19+(A470-1)*A466,6)))</f>
        <v/>
      </c>
      <c r="I464" s="20" t="str">
        <f ca="1">INDIRECT(_xlfn.TEXTJOIN("",TRUE,A469,"!",ADDRESS(19+(A470-1)*A466,13)))</f>
        <v/>
      </c>
      <c r="J464" s="20" t="str">
        <f ca="1">INDIRECT(_xlfn.TEXTJOIN("",TRUE,A469,"!",ADDRESS(19+(A470-1)*A466,14)))</f>
        <v/>
      </c>
    </row>
    <row r="465" spans="1:10" ht="28" customHeight="1" x14ac:dyDescent="0.2">
      <c r="A465" s="118" t="s">
        <v>52</v>
      </c>
      <c r="B465" s="118"/>
      <c r="C465" s="118"/>
      <c r="D465" s="118"/>
      <c r="E465" s="118"/>
      <c r="F465" s="118"/>
      <c r="G465" s="118"/>
      <c r="H465" s="16">
        <f ca="1">SUM(H458:H464)</f>
        <v>0</v>
      </c>
      <c r="I465" s="16" t="s">
        <v>44</v>
      </c>
      <c r="J465" s="16">
        <f ca="1">SUMPRODUCT(J458:J464,H458:H464)</f>
        <v>0</v>
      </c>
    </row>
    <row r="466" spans="1:10" ht="28" customHeight="1" x14ac:dyDescent="0.2">
      <c r="A466" s="22">
        <f>ROWS(A458:B464)+9</f>
        <v>16</v>
      </c>
      <c r="B466" s="17"/>
      <c r="C466" s="17"/>
      <c r="D466" s="17"/>
      <c r="E466" s="17"/>
      <c r="F466" s="17"/>
      <c r="G466" s="17"/>
      <c r="H466" s="17"/>
      <c r="I466" s="17"/>
      <c r="J466" s="17"/>
    </row>
    <row r="467" spans="1:10" ht="28" customHeight="1" x14ac:dyDescent="0.2">
      <c r="A467" s="120" t="s">
        <v>40</v>
      </c>
      <c r="B467" s="120"/>
      <c r="C467" s="21" t="str">
        <f ca="1">INDIRECT(_xlfn.TEXTJOIN("",TRUE,A469,"!",ADDRESS(5+A470*A466,12)))</f>
        <v/>
      </c>
      <c r="D467" s="120" t="s">
        <v>38</v>
      </c>
      <c r="E467" s="120"/>
      <c r="F467" s="18" t="str">
        <f ca="1">INDIRECT(_xlfn.TEXTJOIN("",TRUE,A469,"!",ADDRESS(5+A470*A466,8)))</f>
        <v/>
      </c>
      <c r="G467" s="120" t="s">
        <v>39</v>
      </c>
      <c r="H467" s="120"/>
      <c r="I467" s="109" t="str">
        <f ca="1">INDIRECT(_xlfn.TEXTJOIN("",TRUE,A469,"!",ADDRESS(5+A470*A466,10)))</f>
        <v/>
      </c>
      <c r="J467" s="109"/>
    </row>
    <row r="468" spans="1:10" ht="28" customHeight="1" x14ac:dyDescent="0.2">
      <c r="A468" s="19" t="s">
        <v>36</v>
      </c>
      <c r="B468" s="95" t="str">
        <f ca="1">INDIRECT(_xlfn.TEXTJOIN("",TRUE,A469,"!",ADDRESS(5+A470*A466,2)))</f>
        <v/>
      </c>
      <c r="C468" s="95"/>
      <c r="D468" s="121" t="s">
        <v>37</v>
      </c>
      <c r="E468" s="121"/>
      <c r="F468" s="122" t="str">
        <f ca="1">INDIRECT(_xlfn.TEXTJOIN("",TRUE,A469,"!",ADDRESS(5+A470*A466,5)))</f>
        <v/>
      </c>
      <c r="G468" s="122"/>
      <c r="H468" s="122"/>
      <c r="I468" s="122"/>
      <c r="J468" s="122"/>
    </row>
    <row r="469" spans="1:10" ht="28" customHeight="1" x14ac:dyDescent="0.2">
      <c r="A469" s="22" t="str">
        <f>A453</f>
        <v>TC_IV</v>
      </c>
    </row>
    <row r="470" spans="1:10" ht="28" customHeight="1" x14ac:dyDescent="0.2">
      <c r="A470" s="22">
        <f>A454+1</f>
        <v>29</v>
      </c>
    </row>
    <row r="471" spans="1:10" ht="28" customHeight="1" x14ac:dyDescent="0.2">
      <c r="A471" s="112" t="s">
        <v>24</v>
      </c>
      <c r="B471" s="112"/>
      <c r="C471" s="112" t="str">
        <f ca="1">INDIRECT(_xlfn.TEXTJOIN("",TRUE,A485,"!",ADDRESS(9+(A486-1)*A482,2)))</f>
        <v/>
      </c>
      <c r="D471" s="112"/>
      <c r="E471" s="112"/>
      <c r="F471" s="112" t="s">
        <v>50</v>
      </c>
      <c r="G471" s="112"/>
      <c r="H471" s="112"/>
      <c r="I471" s="113" t="str">
        <f ca="1">INDIRECT(_xlfn.TEXTJOIN("",TRUE,A485,"!",ADDRESS(9+(A486-1)*A482,9)))</f>
        <v/>
      </c>
      <c r="J471" s="113"/>
    </row>
    <row r="472" spans="1:10" ht="28" customHeight="1" x14ac:dyDescent="0.2">
      <c r="A472" s="112" t="s">
        <v>25</v>
      </c>
      <c r="B472" s="112"/>
      <c r="C472" s="112" t="str">
        <f ca="1">INDIRECT(_xlfn.TEXTJOIN("",TRUE,A485,"!",ADDRESS(9+(A486-1)*A482,5)))</f>
        <v/>
      </c>
      <c r="D472" s="112"/>
      <c r="E472" s="112"/>
      <c r="F472" s="114" t="s">
        <v>51</v>
      </c>
      <c r="G472" s="114"/>
      <c r="H472" s="114"/>
      <c r="I472" s="113" t="str">
        <f ca="1">INDIRECT(_xlfn.TEXTJOIN("",TRUE,A485,"!",ADDRESS(9+(A486-1)*A482,13)))</f>
        <v/>
      </c>
      <c r="J472" s="113"/>
    </row>
    <row r="473" spans="1:10" ht="28" customHeight="1" x14ac:dyDescent="0.2">
      <c r="A473" s="95" t="s">
        <v>28</v>
      </c>
      <c r="B473" s="95"/>
      <c r="C473" s="95" t="s">
        <v>29</v>
      </c>
      <c r="D473" s="95"/>
      <c r="E473" s="95"/>
      <c r="F473" s="95"/>
      <c r="G473" s="95"/>
      <c r="H473" s="15" t="s">
        <v>30</v>
      </c>
      <c r="I473" s="15" t="s">
        <v>9</v>
      </c>
      <c r="J473" s="15" t="s">
        <v>34</v>
      </c>
    </row>
    <row r="474" spans="1:10" ht="28" customHeight="1" x14ac:dyDescent="0.2">
      <c r="A474" s="96" t="str">
        <f ca="1">INDIRECT(_xlfn.TEXTJOIN("",TRUE,A485,"!",ADDRESS(13+(A486-1)*A482,1)))</f>
        <v/>
      </c>
      <c r="B474" s="97"/>
      <c r="C474" s="106" t="str">
        <f ca="1">INDIRECT(_xlfn.TEXTJOIN("",TRUE,A485,"!",ADDRESS(13+(A486-1)*A482,2)))</f>
        <v/>
      </c>
      <c r="D474" s="107"/>
      <c r="E474" s="107"/>
      <c r="F474" s="107"/>
      <c r="G474" s="108"/>
      <c r="H474" s="20" t="str">
        <f ca="1">INDIRECT(_xlfn.TEXTJOIN("",TRUE,A485,"!",ADDRESS(13+(A486-1)*A482,6)))</f>
        <v/>
      </c>
      <c r="I474" s="20" t="str">
        <f ca="1">INDIRECT(_xlfn.TEXTJOIN("",TRUE,A485,"!",ADDRESS(13+(A486-1)*A482,13)))</f>
        <v/>
      </c>
      <c r="J474" s="20" t="str">
        <f ca="1">INDIRECT(_xlfn.TEXTJOIN("",TRUE,A485,"!",ADDRESS(13+(A486-1)*A482,14)))</f>
        <v/>
      </c>
    </row>
    <row r="475" spans="1:10" ht="28" customHeight="1" x14ac:dyDescent="0.2">
      <c r="A475" s="96" t="str">
        <f ca="1">INDIRECT(_xlfn.TEXTJOIN("",TRUE,A485,"!",ADDRESS(14+(A486-1)*A482,1)))</f>
        <v/>
      </c>
      <c r="B475" s="97"/>
      <c r="C475" s="106" t="str">
        <f ca="1">INDIRECT(_xlfn.TEXTJOIN("",TRUE,A485,"!",ADDRESS(14+(A486-1)*A482,2)))</f>
        <v/>
      </c>
      <c r="D475" s="107"/>
      <c r="E475" s="107"/>
      <c r="F475" s="107"/>
      <c r="G475" s="108"/>
      <c r="H475" s="20" t="str">
        <f ca="1">INDIRECT(_xlfn.TEXTJOIN("",TRUE,A485,"!",ADDRESS(14+(A486-1)*A482,6)))</f>
        <v/>
      </c>
      <c r="I475" s="20" t="str">
        <f ca="1">INDIRECT(_xlfn.TEXTJOIN("",TRUE,A485,"!",ADDRESS(14+(A486-1)*A482,13)))</f>
        <v/>
      </c>
      <c r="J475" s="20" t="str">
        <f ca="1">INDIRECT(_xlfn.TEXTJOIN("",TRUE,A485,"!",ADDRESS(14+(A486-1)*A482,14)))</f>
        <v/>
      </c>
    </row>
    <row r="476" spans="1:10" ht="28" customHeight="1" x14ac:dyDescent="0.2">
      <c r="A476" s="96" t="str">
        <f ca="1">INDIRECT(_xlfn.TEXTJOIN("",TRUE,A485,"!",ADDRESS(15+(A486-1)*A482,1)))</f>
        <v/>
      </c>
      <c r="B476" s="97"/>
      <c r="C476" s="106" t="str">
        <f ca="1">INDIRECT(_xlfn.TEXTJOIN("",TRUE,A485,"!",ADDRESS(15+(A486-1)*A482,2)))</f>
        <v/>
      </c>
      <c r="D476" s="107"/>
      <c r="E476" s="107"/>
      <c r="F476" s="107"/>
      <c r="G476" s="108"/>
      <c r="H476" s="20" t="str">
        <f ca="1">INDIRECT(_xlfn.TEXTJOIN("",TRUE,A485,"!",ADDRESS(15+(A486-1)*A482,6)))</f>
        <v/>
      </c>
      <c r="I476" s="20" t="str">
        <f ca="1">INDIRECT(_xlfn.TEXTJOIN("",TRUE,A485,"!",ADDRESS(15+(A486-1)*A482,13)))</f>
        <v/>
      </c>
      <c r="J476" s="20" t="str">
        <f ca="1">INDIRECT(_xlfn.TEXTJOIN("",TRUE,A485,"!",ADDRESS(15+(A486-1)*A482,14)))</f>
        <v/>
      </c>
    </row>
    <row r="477" spans="1:10" ht="28" customHeight="1" x14ac:dyDescent="0.2">
      <c r="A477" s="96" t="str">
        <f ca="1">INDIRECT(_xlfn.TEXTJOIN("",TRUE,A485,"!",ADDRESS(16+(A486-1)*A482,1)))</f>
        <v/>
      </c>
      <c r="B477" s="97"/>
      <c r="C477" s="106" t="str">
        <f ca="1">INDIRECT(_xlfn.TEXTJOIN("",TRUE,A485,"!",ADDRESS(16+(A486-1)*A482,2)))</f>
        <v/>
      </c>
      <c r="D477" s="107"/>
      <c r="E477" s="107"/>
      <c r="F477" s="107"/>
      <c r="G477" s="108"/>
      <c r="H477" s="20" t="str">
        <f ca="1">INDIRECT(_xlfn.TEXTJOIN("",TRUE,A485,"!",ADDRESS(16+(A486-1)*A482,6)))</f>
        <v/>
      </c>
      <c r="I477" s="20" t="str">
        <f ca="1">INDIRECT(_xlfn.TEXTJOIN("",TRUE,A485,"!",ADDRESS(16+(A486-1)*A482,13)))</f>
        <v/>
      </c>
      <c r="J477" s="20" t="str">
        <f ca="1">INDIRECT(_xlfn.TEXTJOIN("",TRUE,A485,"!",ADDRESS(16+(A486-1)*A482,14)))</f>
        <v/>
      </c>
    </row>
    <row r="478" spans="1:10" ht="28" customHeight="1" x14ac:dyDescent="0.2">
      <c r="A478" s="96" t="str">
        <f ca="1">INDIRECT(_xlfn.TEXTJOIN("",TRUE,A485,"!",ADDRESS(17+(A486-1)*A482,1)))</f>
        <v/>
      </c>
      <c r="B478" s="97"/>
      <c r="C478" s="106" t="str">
        <f ca="1">INDIRECT(_xlfn.TEXTJOIN("",TRUE,A485,"!",ADDRESS(17+(A486-1)*A482,2)))</f>
        <v/>
      </c>
      <c r="D478" s="107"/>
      <c r="E478" s="107"/>
      <c r="F478" s="107"/>
      <c r="G478" s="108"/>
      <c r="H478" s="20" t="str">
        <f ca="1">INDIRECT(_xlfn.TEXTJOIN("",TRUE,A485,"!",ADDRESS(17+(A486-1)*A482,6)))</f>
        <v/>
      </c>
      <c r="I478" s="20" t="str">
        <f ca="1">INDIRECT(_xlfn.TEXTJOIN("",TRUE,A485,"!",ADDRESS(17+(A486-1)*A482,13)))</f>
        <v/>
      </c>
      <c r="J478" s="20" t="str">
        <f ca="1">INDIRECT(_xlfn.TEXTJOIN("",TRUE,A485,"!",ADDRESS(17+(A486-1)*A482,14)))</f>
        <v/>
      </c>
    </row>
    <row r="479" spans="1:10" ht="28" customHeight="1" x14ac:dyDescent="0.2">
      <c r="A479" s="96" t="str">
        <f ca="1">INDIRECT(_xlfn.TEXTJOIN("",TRUE,A485,"!",ADDRESS(18+(A486-1)*A482,1)))</f>
        <v/>
      </c>
      <c r="B479" s="97"/>
      <c r="C479" s="106" t="str">
        <f ca="1">INDIRECT(_xlfn.TEXTJOIN("",TRUE,A485,"!",ADDRESS(18+(A486-1)*A482,2)))</f>
        <v/>
      </c>
      <c r="D479" s="107"/>
      <c r="E479" s="107"/>
      <c r="F479" s="107"/>
      <c r="G479" s="108"/>
      <c r="H479" s="20" t="str">
        <f ca="1">INDIRECT(_xlfn.TEXTJOIN("",TRUE,A485,"!",ADDRESS(18+(A486-1)*A482,6)))</f>
        <v/>
      </c>
      <c r="I479" s="20" t="str">
        <f ca="1">INDIRECT(_xlfn.TEXTJOIN("",TRUE,A485,"!",ADDRESS(18+(A486-1)*A482,13)))</f>
        <v/>
      </c>
      <c r="J479" s="20" t="str">
        <f ca="1">INDIRECT(_xlfn.TEXTJOIN("",TRUE,A485,"!",ADDRESS(18+(A486-1)*A482,14)))</f>
        <v/>
      </c>
    </row>
    <row r="480" spans="1:10" ht="28" customHeight="1" x14ac:dyDescent="0.2">
      <c r="A480" s="96" t="str">
        <f ca="1">INDIRECT(_xlfn.TEXTJOIN("",TRUE,A485,"!",ADDRESS(19+(A486-1)*A482,1)))</f>
        <v/>
      </c>
      <c r="B480" s="97"/>
      <c r="C480" s="106" t="str">
        <f ca="1">INDIRECT(_xlfn.TEXTJOIN("",TRUE,A485,"!",ADDRESS(19+(A486-1)*A482,2)))</f>
        <v/>
      </c>
      <c r="D480" s="107"/>
      <c r="E480" s="107"/>
      <c r="F480" s="107"/>
      <c r="G480" s="108"/>
      <c r="H480" s="20" t="str">
        <f ca="1">INDIRECT(_xlfn.TEXTJOIN("",TRUE,A485,"!",ADDRESS(19+(A486-1)*A482,6)))</f>
        <v/>
      </c>
      <c r="I480" s="20" t="str">
        <f ca="1">INDIRECT(_xlfn.TEXTJOIN("",TRUE,A485,"!",ADDRESS(19+(A486-1)*A482,13)))</f>
        <v/>
      </c>
      <c r="J480" s="20" t="str">
        <f ca="1">INDIRECT(_xlfn.TEXTJOIN("",TRUE,A485,"!",ADDRESS(19+(A486-1)*A482,14)))</f>
        <v/>
      </c>
    </row>
    <row r="481" spans="1:10" ht="28" customHeight="1" x14ac:dyDescent="0.2">
      <c r="A481" s="118" t="s">
        <v>52</v>
      </c>
      <c r="B481" s="118"/>
      <c r="C481" s="118"/>
      <c r="D481" s="118"/>
      <c r="E481" s="118"/>
      <c r="F481" s="118"/>
      <c r="G481" s="118"/>
      <c r="H481" s="16">
        <f ca="1">SUM(H474:H480)</f>
        <v>0</v>
      </c>
      <c r="I481" s="16" t="s">
        <v>44</v>
      </c>
      <c r="J481" s="16">
        <f ca="1">SUMPRODUCT(J474:J480,H474:H480)</f>
        <v>0</v>
      </c>
    </row>
    <row r="482" spans="1:10" ht="28" customHeight="1" x14ac:dyDescent="0.2">
      <c r="A482" s="22">
        <f>ROWS(A474:B480)+9</f>
        <v>16</v>
      </c>
      <c r="B482" s="17"/>
      <c r="C482" s="17"/>
      <c r="D482" s="17"/>
      <c r="E482" s="17"/>
      <c r="F482" s="17"/>
      <c r="G482" s="17"/>
      <c r="H482" s="17"/>
      <c r="I482" s="17"/>
      <c r="J482" s="17"/>
    </row>
    <row r="483" spans="1:10" ht="28" customHeight="1" x14ac:dyDescent="0.2">
      <c r="A483" s="120" t="s">
        <v>40</v>
      </c>
      <c r="B483" s="120"/>
      <c r="C483" s="21" t="str">
        <f ca="1">INDIRECT(_xlfn.TEXTJOIN("",TRUE,A485,"!",ADDRESS(5+A486*A482,12)))</f>
        <v/>
      </c>
      <c r="D483" s="120" t="s">
        <v>38</v>
      </c>
      <c r="E483" s="120"/>
      <c r="F483" s="18" t="str">
        <f ca="1">INDIRECT(_xlfn.TEXTJOIN("",TRUE,A485,"!",ADDRESS(5+A486*A482,8)))</f>
        <v/>
      </c>
      <c r="G483" s="120" t="s">
        <v>39</v>
      </c>
      <c r="H483" s="120"/>
      <c r="I483" s="109" t="str">
        <f ca="1">INDIRECT(_xlfn.TEXTJOIN("",TRUE,A485,"!",ADDRESS(5+A486*A482,10)))</f>
        <v/>
      </c>
      <c r="J483" s="109"/>
    </row>
    <row r="484" spans="1:10" ht="28" customHeight="1" x14ac:dyDescent="0.2">
      <c r="A484" s="19" t="s">
        <v>36</v>
      </c>
      <c r="B484" s="95" t="str">
        <f ca="1">INDIRECT(_xlfn.TEXTJOIN("",TRUE,A485,"!",ADDRESS(5+A486*A482,2)))</f>
        <v/>
      </c>
      <c r="C484" s="95"/>
      <c r="D484" s="121" t="s">
        <v>37</v>
      </c>
      <c r="E484" s="121"/>
      <c r="F484" s="122" t="str">
        <f ca="1">INDIRECT(_xlfn.TEXTJOIN("",TRUE,A485,"!",ADDRESS(5+A486*A482,5)))</f>
        <v/>
      </c>
      <c r="G484" s="122"/>
      <c r="H484" s="122"/>
      <c r="I484" s="122"/>
      <c r="J484" s="122"/>
    </row>
    <row r="485" spans="1:10" ht="28" customHeight="1" x14ac:dyDescent="0.2">
      <c r="A485" s="22" t="str">
        <f>A469</f>
        <v>TC_IV</v>
      </c>
    </row>
    <row r="486" spans="1:10" ht="28" customHeight="1" x14ac:dyDescent="0.2">
      <c r="A486" s="22">
        <f>A470+1</f>
        <v>30</v>
      </c>
    </row>
    <row r="487" spans="1:10" ht="28" customHeight="1" x14ac:dyDescent="0.2">
      <c r="A487" s="112" t="s">
        <v>24</v>
      </c>
      <c r="B487" s="112"/>
      <c r="C487" s="112" t="str">
        <f ca="1">INDIRECT(_xlfn.TEXTJOIN("",TRUE,A501,"!",ADDRESS(9+(A502-1)*A498,2)))</f>
        <v/>
      </c>
      <c r="D487" s="112"/>
      <c r="E487" s="112"/>
      <c r="F487" s="112" t="s">
        <v>50</v>
      </c>
      <c r="G487" s="112"/>
      <c r="H487" s="112"/>
      <c r="I487" s="113" t="str">
        <f ca="1">INDIRECT(_xlfn.TEXTJOIN("",TRUE,A501,"!",ADDRESS(9+(A502-1)*A498,9)))</f>
        <v/>
      </c>
      <c r="J487" s="113"/>
    </row>
    <row r="488" spans="1:10" ht="28" customHeight="1" x14ac:dyDescent="0.2">
      <c r="A488" s="112" t="s">
        <v>25</v>
      </c>
      <c r="B488" s="112"/>
      <c r="C488" s="112" t="str">
        <f ca="1">INDIRECT(_xlfn.TEXTJOIN("",TRUE,A501,"!",ADDRESS(9+(A502-1)*A498,5)))</f>
        <v/>
      </c>
      <c r="D488" s="112"/>
      <c r="E488" s="112"/>
      <c r="F488" s="114" t="s">
        <v>51</v>
      </c>
      <c r="G488" s="114"/>
      <c r="H488" s="114"/>
      <c r="I488" s="113" t="str">
        <f ca="1">INDIRECT(_xlfn.TEXTJOIN("",TRUE,A501,"!",ADDRESS(9+(A502-1)*A498,13)))</f>
        <v/>
      </c>
      <c r="J488" s="113"/>
    </row>
    <row r="489" spans="1:10" ht="28" customHeight="1" x14ac:dyDescent="0.2">
      <c r="A489" s="95" t="s">
        <v>28</v>
      </c>
      <c r="B489" s="95"/>
      <c r="C489" s="95" t="s">
        <v>29</v>
      </c>
      <c r="D489" s="95"/>
      <c r="E489" s="95"/>
      <c r="F489" s="95"/>
      <c r="G489" s="95"/>
      <c r="H489" s="15" t="s">
        <v>30</v>
      </c>
      <c r="I489" s="15" t="s">
        <v>9</v>
      </c>
      <c r="J489" s="15" t="s">
        <v>34</v>
      </c>
    </row>
    <row r="490" spans="1:10" ht="28" customHeight="1" x14ac:dyDescent="0.2">
      <c r="A490" s="96" t="str">
        <f ca="1">INDIRECT(_xlfn.TEXTJOIN("",TRUE,A501,"!",ADDRESS(13+(A502-1)*A498,1)))</f>
        <v/>
      </c>
      <c r="B490" s="97"/>
      <c r="C490" s="106" t="str">
        <f ca="1">INDIRECT(_xlfn.TEXTJOIN("",TRUE,A501,"!",ADDRESS(13+(A502-1)*A498,2)))</f>
        <v/>
      </c>
      <c r="D490" s="107"/>
      <c r="E490" s="107"/>
      <c r="F490" s="107"/>
      <c r="G490" s="108"/>
      <c r="H490" s="20" t="str">
        <f ca="1">INDIRECT(_xlfn.TEXTJOIN("",TRUE,A501,"!",ADDRESS(13+(A502-1)*A498,6)))</f>
        <v/>
      </c>
      <c r="I490" s="20" t="str">
        <f ca="1">INDIRECT(_xlfn.TEXTJOIN("",TRUE,A501,"!",ADDRESS(13+(A502-1)*A498,13)))</f>
        <v/>
      </c>
      <c r="J490" s="20" t="str">
        <f ca="1">INDIRECT(_xlfn.TEXTJOIN("",TRUE,A501,"!",ADDRESS(13+(A502-1)*A498,14)))</f>
        <v/>
      </c>
    </row>
    <row r="491" spans="1:10" ht="28" customHeight="1" x14ac:dyDescent="0.2">
      <c r="A491" s="96" t="str">
        <f ca="1">INDIRECT(_xlfn.TEXTJOIN("",TRUE,A501,"!",ADDRESS(14+(A502-1)*A498,1)))</f>
        <v/>
      </c>
      <c r="B491" s="97"/>
      <c r="C491" s="106" t="str">
        <f ca="1">INDIRECT(_xlfn.TEXTJOIN("",TRUE,A501,"!",ADDRESS(14+(A502-1)*A498,2)))</f>
        <v/>
      </c>
      <c r="D491" s="107"/>
      <c r="E491" s="107"/>
      <c r="F491" s="107"/>
      <c r="G491" s="108"/>
      <c r="H491" s="20" t="str">
        <f ca="1">INDIRECT(_xlfn.TEXTJOIN("",TRUE,A501,"!",ADDRESS(14+(A502-1)*A498,6)))</f>
        <v/>
      </c>
      <c r="I491" s="20" t="str">
        <f ca="1">INDIRECT(_xlfn.TEXTJOIN("",TRUE,A501,"!",ADDRESS(14+(A502-1)*A498,13)))</f>
        <v/>
      </c>
      <c r="J491" s="20" t="str">
        <f ca="1">INDIRECT(_xlfn.TEXTJOIN("",TRUE,A501,"!",ADDRESS(14+(A502-1)*A498,14)))</f>
        <v/>
      </c>
    </row>
    <row r="492" spans="1:10" ht="28" customHeight="1" x14ac:dyDescent="0.2">
      <c r="A492" s="96" t="str">
        <f ca="1">INDIRECT(_xlfn.TEXTJOIN("",TRUE,A501,"!",ADDRESS(15+(A502-1)*A498,1)))</f>
        <v/>
      </c>
      <c r="B492" s="97"/>
      <c r="C492" s="106" t="str">
        <f ca="1">INDIRECT(_xlfn.TEXTJOIN("",TRUE,A501,"!",ADDRESS(15+(A502-1)*A498,2)))</f>
        <v/>
      </c>
      <c r="D492" s="107"/>
      <c r="E492" s="107"/>
      <c r="F492" s="107"/>
      <c r="G492" s="108"/>
      <c r="H492" s="20" t="str">
        <f ca="1">INDIRECT(_xlfn.TEXTJOIN("",TRUE,A501,"!",ADDRESS(15+(A502-1)*A498,6)))</f>
        <v/>
      </c>
      <c r="I492" s="20" t="str">
        <f ca="1">INDIRECT(_xlfn.TEXTJOIN("",TRUE,A501,"!",ADDRESS(15+(A502-1)*A498,13)))</f>
        <v/>
      </c>
      <c r="J492" s="20" t="str">
        <f ca="1">INDIRECT(_xlfn.TEXTJOIN("",TRUE,A501,"!",ADDRESS(15+(A502-1)*A498,14)))</f>
        <v/>
      </c>
    </row>
    <row r="493" spans="1:10" ht="28" customHeight="1" x14ac:dyDescent="0.2">
      <c r="A493" s="96" t="str">
        <f ca="1">INDIRECT(_xlfn.TEXTJOIN("",TRUE,A501,"!",ADDRESS(16+(A502-1)*A498,1)))</f>
        <v/>
      </c>
      <c r="B493" s="97"/>
      <c r="C493" s="106" t="str">
        <f ca="1">INDIRECT(_xlfn.TEXTJOIN("",TRUE,A501,"!",ADDRESS(16+(A502-1)*A498,2)))</f>
        <v/>
      </c>
      <c r="D493" s="107"/>
      <c r="E493" s="107"/>
      <c r="F493" s="107"/>
      <c r="G493" s="108"/>
      <c r="H493" s="20" t="str">
        <f ca="1">INDIRECT(_xlfn.TEXTJOIN("",TRUE,A501,"!",ADDRESS(16+(A502-1)*A498,6)))</f>
        <v/>
      </c>
      <c r="I493" s="20" t="str">
        <f ca="1">INDIRECT(_xlfn.TEXTJOIN("",TRUE,A501,"!",ADDRESS(16+(A502-1)*A498,13)))</f>
        <v/>
      </c>
      <c r="J493" s="20" t="str">
        <f ca="1">INDIRECT(_xlfn.TEXTJOIN("",TRUE,A501,"!",ADDRESS(16+(A502-1)*A498,14)))</f>
        <v/>
      </c>
    </row>
    <row r="494" spans="1:10" ht="28" customHeight="1" x14ac:dyDescent="0.2">
      <c r="A494" s="96" t="str">
        <f ca="1">INDIRECT(_xlfn.TEXTJOIN("",TRUE,A501,"!",ADDRESS(17+(A502-1)*A498,1)))</f>
        <v/>
      </c>
      <c r="B494" s="97"/>
      <c r="C494" s="106" t="str">
        <f ca="1">INDIRECT(_xlfn.TEXTJOIN("",TRUE,A501,"!",ADDRESS(17+(A502-1)*A498,2)))</f>
        <v/>
      </c>
      <c r="D494" s="107"/>
      <c r="E494" s="107"/>
      <c r="F494" s="107"/>
      <c r="G494" s="108"/>
      <c r="H494" s="20" t="str">
        <f ca="1">INDIRECT(_xlfn.TEXTJOIN("",TRUE,A501,"!",ADDRESS(17+(A502-1)*A498,6)))</f>
        <v/>
      </c>
      <c r="I494" s="20" t="str">
        <f ca="1">INDIRECT(_xlfn.TEXTJOIN("",TRUE,A501,"!",ADDRESS(17+(A502-1)*A498,13)))</f>
        <v/>
      </c>
      <c r="J494" s="20" t="str">
        <f ca="1">INDIRECT(_xlfn.TEXTJOIN("",TRUE,A501,"!",ADDRESS(17+(A502-1)*A498,14)))</f>
        <v/>
      </c>
    </row>
    <row r="495" spans="1:10" ht="28" customHeight="1" x14ac:dyDescent="0.2">
      <c r="A495" s="96" t="str">
        <f ca="1">INDIRECT(_xlfn.TEXTJOIN("",TRUE,A501,"!",ADDRESS(18+(A502-1)*A498,1)))</f>
        <v/>
      </c>
      <c r="B495" s="97"/>
      <c r="C495" s="106" t="str">
        <f ca="1">INDIRECT(_xlfn.TEXTJOIN("",TRUE,A501,"!",ADDRESS(18+(A502-1)*A498,2)))</f>
        <v/>
      </c>
      <c r="D495" s="107"/>
      <c r="E495" s="107"/>
      <c r="F495" s="107"/>
      <c r="G495" s="108"/>
      <c r="H495" s="20" t="str">
        <f ca="1">INDIRECT(_xlfn.TEXTJOIN("",TRUE,A501,"!",ADDRESS(18+(A502-1)*A498,6)))</f>
        <v/>
      </c>
      <c r="I495" s="20" t="str">
        <f ca="1">INDIRECT(_xlfn.TEXTJOIN("",TRUE,A501,"!",ADDRESS(18+(A502-1)*A498,13)))</f>
        <v/>
      </c>
      <c r="J495" s="20" t="str">
        <f ca="1">INDIRECT(_xlfn.TEXTJOIN("",TRUE,A501,"!",ADDRESS(18+(A502-1)*A498,14)))</f>
        <v/>
      </c>
    </row>
    <row r="496" spans="1:10" ht="28" customHeight="1" x14ac:dyDescent="0.2">
      <c r="A496" s="96" t="str">
        <f ca="1">INDIRECT(_xlfn.TEXTJOIN("",TRUE,A501,"!",ADDRESS(19+(A502-1)*A498,1)))</f>
        <v/>
      </c>
      <c r="B496" s="97"/>
      <c r="C496" s="106" t="str">
        <f ca="1">INDIRECT(_xlfn.TEXTJOIN("",TRUE,A501,"!",ADDRESS(19+(A502-1)*A498,2)))</f>
        <v/>
      </c>
      <c r="D496" s="107"/>
      <c r="E496" s="107"/>
      <c r="F496" s="107"/>
      <c r="G496" s="108"/>
      <c r="H496" s="20" t="str">
        <f ca="1">INDIRECT(_xlfn.TEXTJOIN("",TRUE,A501,"!",ADDRESS(19+(A502-1)*A498,6)))</f>
        <v/>
      </c>
      <c r="I496" s="20" t="str">
        <f ca="1">INDIRECT(_xlfn.TEXTJOIN("",TRUE,A501,"!",ADDRESS(19+(A502-1)*A498,13)))</f>
        <v/>
      </c>
      <c r="J496" s="20" t="str">
        <f ca="1">INDIRECT(_xlfn.TEXTJOIN("",TRUE,A501,"!",ADDRESS(19+(A502-1)*A498,14)))</f>
        <v/>
      </c>
    </row>
    <row r="497" spans="1:10" ht="28" customHeight="1" x14ac:dyDescent="0.2">
      <c r="A497" s="118" t="s">
        <v>52</v>
      </c>
      <c r="B497" s="118"/>
      <c r="C497" s="118"/>
      <c r="D497" s="118"/>
      <c r="E497" s="118"/>
      <c r="F497" s="118"/>
      <c r="G497" s="118"/>
      <c r="H497" s="16">
        <f ca="1">SUM(H490:H496)</f>
        <v>0</v>
      </c>
      <c r="I497" s="16" t="s">
        <v>44</v>
      </c>
      <c r="J497" s="16">
        <f ca="1">SUMPRODUCT(J490:J496,H490:H496)</f>
        <v>0</v>
      </c>
    </row>
    <row r="498" spans="1:10" ht="28" customHeight="1" x14ac:dyDescent="0.2">
      <c r="A498" s="22">
        <f>ROWS(A490:B496)+9</f>
        <v>16</v>
      </c>
      <c r="B498" s="17"/>
      <c r="C498" s="17"/>
      <c r="D498" s="17"/>
      <c r="E498" s="17"/>
      <c r="F498" s="17"/>
      <c r="G498" s="17"/>
      <c r="H498" s="17"/>
      <c r="I498" s="17"/>
      <c r="J498" s="17"/>
    </row>
    <row r="499" spans="1:10" ht="28" customHeight="1" x14ac:dyDescent="0.2">
      <c r="A499" s="120" t="s">
        <v>40</v>
      </c>
      <c r="B499" s="120"/>
      <c r="C499" s="21" t="str">
        <f ca="1">INDIRECT(_xlfn.TEXTJOIN("",TRUE,A501,"!",ADDRESS(5+A502*A498,12)))</f>
        <v/>
      </c>
      <c r="D499" s="120" t="s">
        <v>38</v>
      </c>
      <c r="E499" s="120"/>
      <c r="F499" s="18" t="str">
        <f ca="1">INDIRECT(_xlfn.TEXTJOIN("",TRUE,A501,"!",ADDRESS(5+A502*A498,8)))</f>
        <v/>
      </c>
      <c r="G499" s="120" t="s">
        <v>39</v>
      </c>
      <c r="H499" s="120"/>
      <c r="I499" s="109" t="str">
        <f ca="1">INDIRECT(_xlfn.TEXTJOIN("",TRUE,A501,"!",ADDRESS(5+A502*A498,10)))</f>
        <v/>
      </c>
      <c r="J499" s="109"/>
    </row>
    <row r="500" spans="1:10" ht="28" customHeight="1" x14ac:dyDescent="0.2">
      <c r="A500" s="19" t="s">
        <v>36</v>
      </c>
      <c r="B500" s="95" t="str">
        <f ca="1">INDIRECT(_xlfn.TEXTJOIN("",TRUE,A501,"!",ADDRESS(5+A502*A498,2)))</f>
        <v/>
      </c>
      <c r="C500" s="95"/>
      <c r="D500" s="121" t="s">
        <v>37</v>
      </c>
      <c r="E500" s="121"/>
      <c r="F500" s="122" t="str">
        <f ca="1">INDIRECT(_xlfn.TEXTJOIN("",TRUE,A501,"!",ADDRESS(5+A502*A498,5)))</f>
        <v/>
      </c>
      <c r="G500" s="122"/>
      <c r="H500" s="122"/>
      <c r="I500" s="122"/>
      <c r="J500" s="122"/>
    </row>
    <row r="501" spans="1:10" ht="28" customHeight="1" x14ac:dyDescent="0.2">
      <c r="A501" s="22" t="str">
        <f>A485</f>
        <v>TC_IV</v>
      </c>
    </row>
    <row r="502" spans="1:10" ht="28" customHeight="1" x14ac:dyDescent="0.2">
      <c r="A502" s="22">
        <f>A486+1</f>
        <v>31</v>
      </c>
    </row>
    <row r="503" spans="1:10" ht="28" customHeight="1" x14ac:dyDescent="0.2">
      <c r="A503" s="112" t="s">
        <v>24</v>
      </c>
      <c r="B503" s="112"/>
      <c r="C503" s="112" t="str">
        <f ca="1">INDIRECT(_xlfn.TEXTJOIN("",TRUE,A517,"!",ADDRESS(9+(A518-1)*A514,2)))</f>
        <v/>
      </c>
      <c r="D503" s="112"/>
      <c r="E503" s="112"/>
      <c r="F503" s="112" t="s">
        <v>50</v>
      </c>
      <c r="G503" s="112"/>
      <c r="H503" s="112"/>
      <c r="I503" s="113" t="str">
        <f ca="1">INDIRECT(_xlfn.TEXTJOIN("",TRUE,A517,"!",ADDRESS(9+(A518-1)*A514,9)))</f>
        <v/>
      </c>
      <c r="J503" s="113"/>
    </row>
    <row r="504" spans="1:10" ht="28" customHeight="1" x14ac:dyDescent="0.2">
      <c r="A504" s="112" t="s">
        <v>25</v>
      </c>
      <c r="B504" s="112"/>
      <c r="C504" s="112" t="str">
        <f ca="1">INDIRECT(_xlfn.TEXTJOIN("",TRUE,A517,"!",ADDRESS(9+(A518-1)*A514,5)))</f>
        <v/>
      </c>
      <c r="D504" s="112"/>
      <c r="E504" s="112"/>
      <c r="F504" s="114" t="s">
        <v>51</v>
      </c>
      <c r="G504" s="114"/>
      <c r="H504" s="114"/>
      <c r="I504" s="113" t="str">
        <f ca="1">INDIRECT(_xlfn.TEXTJOIN("",TRUE,A517,"!",ADDRESS(9+(A518-1)*A514,13)))</f>
        <v/>
      </c>
      <c r="J504" s="113"/>
    </row>
    <row r="505" spans="1:10" ht="28" customHeight="1" x14ac:dyDescent="0.2">
      <c r="A505" s="95" t="s">
        <v>28</v>
      </c>
      <c r="B505" s="95"/>
      <c r="C505" s="95" t="s">
        <v>29</v>
      </c>
      <c r="D505" s="95"/>
      <c r="E505" s="95"/>
      <c r="F505" s="95"/>
      <c r="G505" s="95"/>
      <c r="H505" s="15" t="s">
        <v>30</v>
      </c>
      <c r="I505" s="15" t="s">
        <v>9</v>
      </c>
      <c r="J505" s="15" t="s">
        <v>34</v>
      </c>
    </row>
    <row r="506" spans="1:10" ht="28" customHeight="1" x14ac:dyDescent="0.2">
      <c r="A506" s="96" t="str">
        <f ca="1">INDIRECT(_xlfn.TEXTJOIN("",TRUE,A517,"!",ADDRESS(13+(A518-1)*A514,1)))</f>
        <v/>
      </c>
      <c r="B506" s="97"/>
      <c r="C506" s="106" t="str">
        <f ca="1">INDIRECT(_xlfn.TEXTJOIN("",TRUE,A517,"!",ADDRESS(13+(A518-1)*A514,2)))</f>
        <v/>
      </c>
      <c r="D506" s="107"/>
      <c r="E506" s="107"/>
      <c r="F506" s="107"/>
      <c r="G506" s="108"/>
      <c r="H506" s="20" t="str">
        <f ca="1">INDIRECT(_xlfn.TEXTJOIN("",TRUE,A517,"!",ADDRESS(13+(A518-1)*A514,6)))</f>
        <v/>
      </c>
      <c r="I506" s="20" t="str">
        <f ca="1">INDIRECT(_xlfn.TEXTJOIN("",TRUE,A517,"!",ADDRESS(13+(A518-1)*A514,13)))</f>
        <v/>
      </c>
      <c r="J506" s="20" t="str">
        <f ca="1">INDIRECT(_xlfn.TEXTJOIN("",TRUE,A517,"!",ADDRESS(13+(A518-1)*A514,14)))</f>
        <v/>
      </c>
    </row>
    <row r="507" spans="1:10" ht="28" customHeight="1" x14ac:dyDescent="0.2">
      <c r="A507" s="96" t="str">
        <f ca="1">INDIRECT(_xlfn.TEXTJOIN("",TRUE,A517,"!",ADDRESS(14+(A518-1)*A514,1)))</f>
        <v/>
      </c>
      <c r="B507" s="97"/>
      <c r="C507" s="106" t="str">
        <f ca="1">INDIRECT(_xlfn.TEXTJOIN("",TRUE,A517,"!",ADDRESS(14+(A518-1)*A514,2)))</f>
        <v/>
      </c>
      <c r="D507" s="107"/>
      <c r="E507" s="107"/>
      <c r="F507" s="107"/>
      <c r="G507" s="108"/>
      <c r="H507" s="20" t="str">
        <f ca="1">INDIRECT(_xlfn.TEXTJOIN("",TRUE,A517,"!",ADDRESS(14+(A518-1)*A514,6)))</f>
        <v/>
      </c>
      <c r="I507" s="20" t="str">
        <f ca="1">INDIRECT(_xlfn.TEXTJOIN("",TRUE,A517,"!",ADDRESS(14+(A518-1)*A514,13)))</f>
        <v/>
      </c>
      <c r="J507" s="20" t="str">
        <f ca="1">INDIRECT(_xlfn.TEXTJOIN("",TRUE,A517,"!",ADDRESS(14+(A518-1)*A514,14)))</f>
        <v/>
      </c>
    </row>
    <row r="508" spans="1:10" ht="28" customHeight="1" x14ac:dyDescent="0.2">
      <c r="A508" s="96" t="str">
        <f ca="1">INDIRECT(_xlfn.TEXTJOIN("",TRUE,A517,"!",ADDRESS(15+(A518-1)*A514,1)))</f>
        <v/>
      </c>
      <c r="B508" s="97"/>
      <c r="C508" s="106" t="str">
        <f ca="1">INDIRECT(_xlfn.TEXTJOIN("",TRUE,A517,"!",ADDRESS(15+(A518-1)*A514,2)))</f>
        <v/>
      </c>
      <c r="D508" s="107"/>
      <c r="E508" s="107"/>
      <c r="F508" s="107"/>
      <c r="G508" s="108"/>
      <c r="H508" s="20" t="str">
        <f ca="1">INDIRECT(_xlfn.TEXTJOIN("",TRUE,A517,"!",ADDRESS(15+(A518-1)*A514,6)))</f>
        <v/>
      </c>
      <c r="I508" s="20" t="str">
        <f ca="1">INDIRECT(_xlfn.TEXTJOIN("",TRUE,A517,"!",ADDRESS(15+(A518-1)*A514,13)))</f>
        <v/>
      </c>
      <c r="J508" s="20" t="str">
        <f ca="1">INDIRECT(_xlfn.TEXTJOIN("",TRUE,A517,"!",ADDRESS(15+(A518-1)*A514,14)))</f>
        <v/>
      </c>
    </row>
    <row r="509" spans="1:10" ht="28" customHeight="1" x14ac:dyDescent="0.2">
      <c r="A509" s="96" t="str">
        <f ca="1">INDIRECT(_xlfn.TEXTJOIN("",TRUE,A517,"!",ADDRESS(16+(A518-1)*A514,1)))</f>
        <v/>
      </c>
      <c r="B509" s="97"/>
      <c r="C509" s="106" t="str">
        <f ca="1">INDIRECT(_xlfn.TEXTJOIN("",TRUE,A517,"!",ADDRESS(16+(A518-1)*A514,2)))</f>
        <v/>
      </c>
      <c r="D509" s="107"/>
      <c r="E509" s="107"/>
      <c r="F509" s="107"/>
      <c r="G509" s="108"/>
      <c r="H509" s="20" t="str">
        <f ca="1">INDIRECT(_xlfn.TEXTJOIN("",TRUE,A517,"!",ADDRESS(16+(A518-1)*A514,6)))</f>
        <v/>
      </c>
      <c r="I509" s="20" t="str">
        <f ca="1">INDIRECT(_xlfn.TEXTJOIN("",TRUE,A517,"!",ADDRESS(16+(A518-1)*A514,13)))</f>
        <v/>
      </c>
      <c r="J509" s="20" t="str">
        <f ca="1">INDIRECT(_xlfn.TEXTJOIN("",TRUE,A517,"!",ADDRESS(16+(A518-1)*A514,14)))</f>
        <v/>
      </c>
    </row>
    <row r="510" spans="1:10" ht="28" customHeight="1" x14ac:dyDescent="0.2">
      <c r="A510" s="96" t="str">
        <f ca="1">INDIRECT(_xlfn.TEXTJOIN("",TRUE,A517,"!",ADDRESS(17+(A518-1)*A514,1)))</f>
        <v/>
      </c>
      <c r="B510" s="97"/>
      <c r="C510" s="106" t="str">
        <f ca="1">INDIRECT(_xlfn.TEXTJOIN("",TRUE,A517,"!",ADDRESS(17+(A518-1)*A514,2)))</f>
        <v/>
      </c>
      <c r="D510" s="107"/>
      <c r="E510" s="107"/>
      <c r="F510" s="107"/>
      <c r="G510" s="108"/>
      <c r="H510" s="20" t="str">
        <f ca="1">INDIRECT(_xlfn.TEXTJOIN("",TRUE,A517,"!",ADDRESS(17+(A518-1)*A514,6)))</f>
        <v/>
      </c>
      <c r="I510" s="20" t="str">
        <f ca="1">INDIRECT(_xlfn.TEXTJOIN("",TRUE,A517,"!",ADDRESS(17+(A518-1)*A514,13)))</f>
        <v/>
      </c>
      <c r="J510" s="20" t="str">
        <f ca="1">INDIRECT(_xlfn.TEXTJOIN("",TRUE,A517,"!",ADDRESS(17+(A518-1)*A514,14)))</f>
        <v/>
      </c>
    </row>
    <row r="511" spans="1:10" ht="28" customHeight="1" x14ac:dyDescent="0.2">
      <c r="A511" s="96" t="str">
        <f ca="1">INDIRECT(_xlfn.TEXTJOIN("",TRUE,A517,"!",ADDRESS(18+(A518-1)*A514,1)))</f>
        <v/>
      </c>
      <c r="B511" s="97"/>
      <c r="C511" s="106" t="str">
        <f ca="1">INDIRECT(_xlfn.TEXTJOIN("",TRUE,A517,"!",ADDRESS(18+(A518-1)*A514,2)))</f>
        <v/>
      </c>
      <c r="D511" s="107"/>
      <c r="E511" s="107"/>
      <c r="F511" s="107"/>
      <c r="G511" s="108"/>
      <c r="H511" s="20" t="str">
        <f ca="1">INDIRECT(_xlfn.TEXTJOIN("",TRUE,A517,"!",ADDRESS(18+(A518-1)*A514,6)))</f>
        <v/>
      </c>
      <c r="I511" s="20" t="str">
        <f ca="1">INDIRECT(_xlfn.TEXTJOIN("",TRUE,A517,"!",ADDRESS(18+(A518-1)*A514,13)))</f>
        <v/>
      </c>
      <c r="J511" s="20" t="str">
        <f ca="1">INDIRECT(_xlfn.TEXTJOIN("",TRUE,A517,"!",ADDRESS(18+(A518-1)*A514,14)))</f>
        <v/>
      </c>
    </row>
    <row r="512" spans="1:10" ht="28" customHeight="1" x14ac:dyDescent="0.2">
      <c r="A512" s="96" t="str">
        <f ca="1">INDIRECT(_xlfn.TEXTJOIN("",TRUE,A517,"!",ADDRESS(19+(A518-1)*A514,1)))</f>
        <v/>
      </c>
      <c r="B512" s="97"/>
      <c r="C512" s="106" t="str">
        <f ca="1">INDIRECT(_xlfn.TEXTJOIN("",TRUE,A517,"!",ADDRESS(19+(A518-1)*A514,2)))</f>
        <v/>
      </c>
      <c r="D512" s="107"/>
      <c r="E512" s="107"/>
      <c r="F512" s="107"/>
      <c r="G512" s="108"/>
      <c r="H512" s="20" t="str">
        <f ca="1">INDIRECT(_xlfn.TEXTJOIN("",TRUE,A517,"!",ADDRESS(19+(A518-1)*A514,6)))</f>
        <v/>
      </c>
      <c r="I512" s="20" t="str">
        <f ca="1">INDIRECT(_xlfn.TEXTJOIN("",TRUE,A517,"!",ADDRESS(19+(A518-1)*A514,13)))</f>
        <v/>
      </c>
      <c r="J512" s="20" t="str">
        <f ca="1">INDIRECT(_xlfn.TEXTJOIN("",TRUE,A517,"!",ADDRESS(19+(A518-1)*A514,14)))</f>
        <v/>
      </c>
    </row>
    <row r="513" spans="1:10" ht="28" customHeight="1" x14ac:dyDescent="0.2">
      <c r="A513" s="118" t="s">
        <v>52</v>
      </c>
      <c r="B513" s="118"/>
      <c r="C513" s="118"/>
      <c r="D513" s="118"/>
      <c r="E513" s="118"/>
      <c r="F513" s="118"/>
      <c r="G513" s="118"/>
      <c r="H513" s="16">
        <f ca="1">SUM(H506:H512)</f>
        <v>0</v>
      </c>
      <c r="I513" s="16" t="s">
        <v>44</v>
      </c>
      <c r="J513" s="16">
        <f ca="1">SUMPRODUCT(J506:J512,H506:H512)</f>
        <v>0</v>
      </c>
    </row>
    <row r="514" spans="1:10" ht="28" customHeight="1" x14ac:dyDescent="0.2">
      <c r="A514" s="22">
        <f>ROWS(A506:B512)+9</f>
        <v>16</v>
      </c>
      <c r="B514" s="17"/>
      <c r="C514" s="17"/>
      <c r="D514" s="17"/>
      <c r="E514" s="17"/>
      <c r="F514" s="17"/>
      <c r="G514" s="17"/>
      <c r="H514" s="17"/>
      <c r="I514" s="17"/>
      <c r="J514" s="17"/>
    </row>
    <row r="515" spans="1:10" ht="28" customHeight="1" x14ac:dyDescent="0.2">
      <c r="A515" s="120" t="s">
        <v>40</v>
      </c>
      <c r="B515" s="120"/>
      <c r="C515" s="21" t="str">
        <f ca="1">INDIRECT(_xlfn.TEXTJOIN("",TRUE,A517,"!",ADDRESS(5+A518*A514,12)))</f>
        <v/>
      </c>
      <c r="D515" s="120" t="s">
        <v>38</v>
      </c>
      <c r="E515" s="120"/>
      <c r="F515" s="18" t="str">
        <f ca="1">INDIRECT(_xlfn.TEXTJOIN("",TRUE,A517,"!",ADDRESS(5+A518*A514,8)))</f>
        <v/>
      </c>
      <c r="G515" s="120" t="s">
        <v>39</v>
      </c>
      <c r="H515" s="120"/>
      <c r="I515" s="109" t="str">
        <f ca="1">INDIRECT(_xlfn.TEXTJOIN("",TRUE,A517,"!",ADDRESS(5+A518*A514,10)))</f>
        <v/>
      </c>
      <c r="J515" s="109"/>
    </row>
    <row r="516" spans="1:10" ht="28" customHeight="1" x14ac:dyDescent="0.2">
      <c r="A516" s="19" t="s">
        <v>36</v>
      </c>
      <c r="B516" s="95" t="str">
        <f ca="1">INDIRECT(_xlfn.TEXTJOIN("",TRUE,A517,"!",ADDRESS(5+A518*A514,2)))</f>
        <v/>
      </c>
      <c r="C516" s="95"/>
      <c r="D516" s="121" t="s">
        <v>37</v>
      </c>
      <c r="E516" s="121"/>
      <c r="F516" s="122" t="str">
        <f ca="1">INDIRECT(_xlfn.TEXTJOIN("",TRUE,A517,"!",ADDRESS(5+A518*A514,5)))</f>
        <v/>
      </c>
      <c r="G516" s="122"/>
      <c r="H516" s="122"/>
      <c r="I516" s="122"/>
      <c r="J516" s="122"/>
    </row>
    <row r="517" spans="1:10" ht="28" customHeight="1" x14ac:dyDescent="0.2">
      <c r="A517" s="22" t="str">
        <f>A501</f>
        <v>TC_IV</v>
      </c>
    </row>
    <row r="518" spans="1:10" ht="28" customHeight="1" x14ac:dyDescent="0.2">
      <c r="A518" s="22">
        <f>A502+1</f>
        <v>32</v>
      </c>
    </row>
    <row r="519" spans="1:10" ht="28" customHeight="1" x14ac:dyDescent="0.2">
      <c r="A519" s="112" t="s">
        <v>24</v>
      </c>
      <c r="B519" s="112"/>
      <c r="C519" s="112" t="str">
        <f ca="1">INDIRECT(_xlfn.TEXTJOIN("",TRUE,A533,"!",ADDRESS(9+(A534-1)*A530,2)))</f>
        <v/>
      </c>
      <c r="D519" s="112"/>
      <c r="E519" s="112"/>
      <c r="F519" s="112" t="s">
        <v>50</v>
      </c>
      <c r="G519" s="112"/>
      <c r="H519" s="112"/>
      <c r="I519" s="113" t="str">
        <f ca="1">INDIRECT(_xlfn.TEXTJOIN("",TRUE,A533,"!",ADDRESS(9+(A534-1)*A530,9)))</f>
        <v/>
      </c>
      <c r="J519" s="113"/>
    </row>
    <row r="520" spans="1:10" ht="28" customHeight="1" x14ac:dyDescent="0.2">
      <c r="A520" s="112" t="s">
        <v>25</v>
      </c>
      <c r="B520" s="112"/>
      <c r="C520" s="112" t="str">
        <f ca="1">INDIRECT(_xlfn.TEXTJOIN("",TRUE,A533,"!",ADDRESS(9+(A534-1)*A530,5)))</f>
        <v/>
      </c>
      <c r="D520" s="112"/>
      <c r="E520" s="112"/>
      <c r="F520" s="114" t="s">
        <v>51</v>
      </c>
      <c r="G520" s="114"/>
      <c r="H520" s="114"/>
      <c r="I520" s="113" t="str">
        <f ca="1">INDIRECT(_xlfn.TEXTJOIN("",TRUE,A533,"!",ADDRESS(9+(A534-1)*A530,13)))</f>
        <v/>
      </c>
      <c r="J520" s="113"/>
    </row>
    <row r="521" spans="1:10" ht="28" customHeight="1" x14ac:dyDescent="0.2">
      <c r="A521" s="95" t="s">
        <v>28</v>
      </c>
      <c r="B521" s="95"/>
      <c r="C521" s="95" t="s">
        <v>29</v>
      </c>
      <c r="D521" s="95"/>
      <c r="E521" s="95"/>
      <c r="F521" s="95"/>
      <c r="G521" s="95"/>
      <c r="H521" s="15" t="s">
        <v>30</v>
      </c>
      <c r="I521" s="15" t="s">
        <v>9</v>
      </c>
      <c r="J521" s="15" t="s">
        <v>34</v>
      </c>
    </row>
    <row r="522" spans="1:10" ht="28" customHeight="1" x14ac:dyDescent="0.2">
      <c r="A522" s="96" t="str">
        <f ca="1">INDIRECT(_xlfn.TEXTJOIN("",TRUE,A533,"!",ADDRESS(13+(A534-1)*A530,1)))</f>
        <v/>
      </c>
      <c r="B522" s="97"/>
      <c r="C522" s="106" t="str">
        <f ca="1">INDIRECT(_xlfn.TEXTJOIN("",TRUE,A533,"!",ADDRESS(13+(A534-1)*A530,2)))</f>
        <v/>
      </c>
      <c r="D522" s="107"/>
      <c r="E522" s="107"/>
      <c r="F522" s="107"/>
      <c r="G522" s="108"/>
      <c r="H522" s="20" t="str">
        <f ca="1">INDIRECT(_xlfn.TEXTJOIN("",TRUE,A533,"!",ADDRESS(13+(A534-1)*A530,6)))</f>
        <v/>
      </c>
      <c r="I522" s="20" t="str">
        <f ca="1">INDIRECT(_xlfn.TEXTJOIN("",TRUE,A533,"!",ADDRESS(13+(A534-1)*A530,13)))</f>
        <v/>
      </c>
      <c r="J522" s="20" t="str">
        <f ca="1">INDIRECT(_xlfn.TEXTJOIN("",TRUE,A533,"!",ADDRESS(13+(A534-1)*A530,14)))</f>
        <v/>
      </c>
    </row>
    <row r="523" spans="1:10" ht="28" customHeight="1" x14ac:dyDescent="0.2">
      <c r="A523" s="96" t="str">
        <f ca="1">INDIRECT(_xlfn.TEXTJOIN("",TRUE,A533,"!",ADDRESS(14+(A534-1)*A530,1)))</f>
        <v/>
      </c>
      <c r="B523" s="97"/>
      <c r="C523" s="106" t="str">
        <f ca="1">INDIRECT(_xlfn.TEXTJOIN("",TRUE,A533,"!",ADDRESS(14+(A534-1)*A530,2)))</f>
        <v/>
      </c>
      <c r="D523" s="107"/>
      <c r="E523" s="107"/>
      <c r="F523" s="107"/>
      <c r="G523" s="108"/>
      <c r="H523" s="20" t="str">
        <f ca="1">INDIRECT(_xlfn.TEXTJOIN("",TRUE,A533,"!",ADDRESS(14+(A534-1)*A530,6)))</f>
        <v/>
      </c>
      <c r="I523" s="20" t="str">
        <f ca="1">INDIRECT(_xlfn.TEXTJOIN("",TRUE,A533,"!",ADDRESS(14+(A534-1)*A530,13)))</f>
        <v/>
      </c>
      <c r="J523" s="20" t="str">
        <f ca="1">INDIRECT(_xlfn.TEXTJOIN("",TRUE,A533,"!",ADDRESS(14+(A534-1)*A530,14)))</f>
        <v/>
      </c>
    </row>
    <row r="524" spans="1:10" ht="28" customHeight="1" x14ac:dyDescent="0.2">
      <c r="A524" s="96" t="str">
        <f ca="1">INDIRECT(_xlfn.TEXTJOIN("",TRUE,A533,"!",ADDRESS(15+(A534-1)*A530,1)))</f>
        <v/>
      </c>
      <c r="B524" s="97"/>
      <c r="C524" s="106" t="str">
        <f ca="1">INDIRECT(_xlfn.TEXTJOIN("",TRUE,A533,"!",ADDRESS(15+(A534-1)*A530,2)))</f>
        <v/>
      </c>
      <c r="D524" s="107"/>
      <c r="E524" s="107"/>
      <c r="F524" s="107"/>
      <c r="G524" s="108"/>
      <c r="H524" s="20" t="str">
        <f ca="1">INDIRECT(_xlfn.TEXTJOIN("",TRUE,A533,"!",ADDRESS(15+(A534-1)*A530,6)))</f>
        <v/>
      </c>
      <c r="I524" s="20" t="str">
        <f ca="1">INDIRECT(_xlfn.TEXTJOIN("",TRUE,A533,"!",ADDRESS(15+(A534-1)*A530,13)))</f>
        <v/>
      </c>
      <c r="J524" s="20" t="str">
        <f ca="1">INDIRECT(_xlfn.TEXTJOIN("",TRUE,A533,"!",ADDRESS(15+(A534-1)*A530,14)))</f>
        <v/>
      </c>
    </row>
    <row r="525" spans="1:10" ht="28" customHeight="1" x14ac:dyDescent="0.2">
      <c r="A525" s="96" t="str">
        <f ca="1">INDIRECT(_xlfn.TEXTJOIN("",TRUE,A533,"!",ADDRESS(16+(A534-1)*A530,1)))</f>
        <v/>
      </c>
      <c r="B525" s="97"/>
      <c r="C525" s="106" t="str">
        <f ca="1">INDIRECT(_xlfn.TEXTJOIN("",TRUE,A533,"!",ADDRESS(16+(A534-1)*A530,2)))</f>
        <v/>
      </c>
      <c r="D525" s="107"/>
      <c r="E525" s="107"/>
      <c r="F525" s="107"/>
      <c r="G525" s="108"/>
      <c r="H525" s="20" t="str">
        <f ca="1">INDIRECT(_xlfn.TEXTJOIN("",TRUE,A533,"!",ADDRESS(16+(A534-1)*A530,6)))</f>
        <v/>
      </c>
      <c r="I525" s="20" t="str">
        <f ca="1">INDIRECT(_xlfn.TEXTJOIN("",TRUE,A533,"!",ADDRESS(16+(A534-1)*A530,13)))</f>
        <v/>
      </c>
      <c r="J525" s="20" t="str">
        <f ca="1">INDIRECT(_xlfn.TEXTJOIN("",TRUE,A533,"!",ADDRESS(16+(A534-1)*A530,14)))</f>
        <v/>
      </c>
    </row>
    <row r="526" spans="1:10" ht="28" customHeight="1" x14ac:dyDescent="0.2">
      <c r="A526" s="96" t="str">
        <f ca="1">INDIRECT(_xlfn.TEXTJOIN("",TRUE,A533,"!",ADDRESS(17+(A534-1)*A530,1)))</f>
        <v/>
      </c>
      <c r="B526" s="97"/>
      <c r="C526" s="106" t="str">
        <f ca="1">INDIRECT(_xlfn.TEXTJOIN("",TRUE,A533,"!",ADDRESS(17+(A534-1)*A530,2)))</f>
        <v/>
      </c>
      <c r="D526" s="107"/>
      <c r="E526" s="107"/>
      <c r="F526" s="107"/>
      <c r="G526" s="108"/>
      <c r="H526" s="20" t="str">
        <f ca="1">INDIRECT(_xlfn.TEXTJOIN("",TRUE,A533,"!",ADDRESS(17+(A534-1)*A530,6)))</f>
        <v/>
      </c>
      <c r="I526" s="20" t="str">
        <f ca="1">INDIRECT(_xlfn.TEXTJOIN("",TRUE,A533,"!",ADDRESS(17+(A534-1)*A530,13)))</f>
        <v/>
      </c>
      <c r="J526" s="20" t="str">
        <f ca="1">INDIRECT(_xlfn.TEXTJOIN("",TRUE,A533,"!",ADDRESS(17+(A534-1)*A530,14)))</f>
        <v/>
      </c>
    </row>
    <row r="527" spans="1:10" ht="28" customHeight="1" x14ac:dyDescent="0.2">
      <c r="A527" s="96" t="str">
        <f ca="1">INDIRECT(_xlfn.TEXTJOIN("",TRUE,A533,"!",ADDRESS(18+(A534-1)*A530,1)))</f>
        <v/>
      </c>
      <c r="B527" s="97"/>
      <c r="C527" s="106" t="str">
        <f ca="1">INDIRECT(_xlfn.TEXTJOIN("",TRUE,A533,"!",ADDRESS(18+(A534-1)*A530,2)))</f>
        <v/>
      </c>
      <c r="D527" s="107"/>
      <c r="E527" s="107"/>
      <c r="F527" s="107"/>
      <c r="G527" s="108"/>
      <c r="H527" s="20" t="str">
        <f ca="1">INDIRECT(_xlfn.TEXTJOIN("",TRUE,A533,"!",ADDRESS(18+(A534-1)*A530,6)))</f>
        <v/>
      </c>
      <c r="I527" s="20" t="str">
        <f ca="1">INDIRECT(_xlfn.TEXTJOIN("",TRUE,A533,"!",ADDRESS(18+(A534-1)*A530,13)))</f>
        <v/>
      </c>
      <c r="J527" s="20" t="str">
        <f ca="1">INDIRECT(_xlfn.TEXTJOIN("",TRUE,A533,"!",ADDRESS(18+(A534-1)*A530,14)))</f>
        <v/>
      </c>
    </row>
    <row r="528" spans="1:10" ht="28" customHeight="1" x14ac:dyDescent="0.2">
      <c r="A528" s="96" t="str">
        <f ca="1">INDIRECT(_xlfn.TEXTJOIN("",TRUE,A533,"!",ADDRESS(19+(A534-1)*A530,1)))</f>
        <v/>
      </c>
      <c r="B528" s="97"/>
      <c r="C528" s="106" t="str">
        <f ca="1">INDIRECT(_xlfn.TEXTJOIN("",TRUE,A533,"!",ADDRESS(19+(A534-1)*A530,2)))</f>
        <v/>
      </c>
      <c r="D528" s="107"/>
      <c r="E528" s="107"/>
      <c r="F528" s="107"/>
      <c r="G528" s="108"/>
      <c r="H528" s="20" t="str">
        <f ca="1">INDIRECT(_xlfn.TEXTJOIN("",TRUE,A533,"!",ADDRESS(19+(A534-1)*A530,6)))</f>
        <v/>
      </c>
      <c r="I528" s="20" t="str">
        <f ca="1">INDIRECT(_xlfn.TEXTJOIN("",TRUE,A533,"!",ADDRESS(19+(A534-1)*A530,13)))</f>
        <v/>
      </c>
      <c r="J528" s="20" t="str">
        <f ca="1">INDIRECT(_xlfn.TEXTJOIN("",TRUE,A533,"!",ADDRESS(19+(A534-1)*A530,14)))</f>
        <v/>
      </c>
    </row>
    <row r="529" spans="1:10" ht="28" customHeight="1" x14ac:dyDescent="0.2">
      <c r="A529" s="118" t="s">
        <v>52</v>
      </c>
      <c r="B529" s="118"/>
      <c r="C529" s="118"/>
      <c r="D529" s="118"/>
      <c r="E529" s="118"/>
      <c r="F529" s="118"/>
      <c r="G529" s="118"/>
      <c r="H529" s="16">
        <f ca="1">SUM(H522:H528)</f>
        <v>0</v>
      </c>
      <c r="I529" s="16" t="s">
        <v>44</v>
      </c>
      <c r="J529" s="16">
        <f ca="1">SUMPRODUCT(J522:J528,H522:H528)</f>
        <v>0</v>
      </c>
    </row>
    <row r="530" spans="1:10" ht="28" customHeight="1" x14ac:dyDescent="0.2">
      <c r="A530" s="22">
        <f>ROWS(A522:B528)+9</f>
        <v>16</v>
      </c>
      <c r="B530" s="17"/>
      <c r="C530" s="17"/>
      <c r="D530" s="17"/>
      <c r="E530" s="17"/>
      <c r="F530" s="17"/>
      <c r="G530" s="17"/>
      <c r="H530" s="17"/>
      <c r="I530" s="17"/>
      <c r="J530" s="17"/>
    </row>
    <row r="531" spans="1:10" ht="28" customHeight="1" x14ac:dyDescent="0.2">
      <c r="A531" s="120" t="s">
        <v>40</v>
      </c>
      <c r="B531" s="120"/>
      <c r="C531" s="21" t="str">
        <f ca="1">INDIRECT(_xlfn.TEXTJOIN("",TRUE,A533,"!",ADDRESS(5+A534*A530,12)))</f>
        <v/>
      </c>
      <c r="D531" s="120" t="s">
        <v>38</v>
      </c>
      <c r="E531" s="120"/>
      <c r="F531" s="18" t="str">
        <f ca="1">INDIRECT(_xlfn.TEXTJOIN("",TRUE,A533,"!",ADDRESS(5+A534*A530,8)))</f>
        <v/>
      </c>
      <c r="G531" s="120" t="s">
        <v>39</v>
      </c>
      <c r="H531" s="120"/>
      <c r="I531" s="109" t="str">
        <f ca="1">INDIRECT(_xlfn.TEXTJOIN("",TRUE,A533,"!",ADDRESS(5+A534*A530,10)))</f>
        <v/>
      </c>
      <c r="J531" s="109"/>
    </row>
    <row r="532" spans="1:10" ht="28" customHeight="1" x14ac:dyDescent="0.2">
      <c r="A532" s="19" t="s">
        <v>36</v>
      </c>
      <c r="B532" s="95" t="str">
        <f ca="1">INDIRECT(_xlfn.TEXTJOIN("",TRUE,A533,"!",ADDRESS(5+A534*A530,2)))</f>
        <v/>
      </c>
      <c r="C532" s="95"/>
      <c r="D532" s="121" t="s">
        <v>37</v>
      </c>
      <c r="E532" s="121"/>
      <c r="F532" s="122" t="str">
        <f ca="1">INDIRECT(_xlfn.TEXTJOIN("",TRUE,A533,"!",ADDRESS(5+A534*A530,5)))</f>
        <v/>
      </c>
      <c r="G532" s="122"/>
      <c r="H532" s="122"/>
      <c r="I532" s="122"/>
      <c r="J532" s="122"/>
    </row>
    <row r="533" spans="1:10" ht="28" customHeight="1" x14ac:dyDescent="0.2">
      <c r="A533" s="22" t="str">
        <f>A517</f>
        <v>TC_IV</v>
      </c>
    </row>
    <row r="534" spans="1:10" ht="28" customHeight="1" x14ac:dyDescent="0.2">
      <c r="A534" s="22">
        <f>A518+1</f>
        <v>33</v>
      </c>
    </row>
    <row r="535" spans="1:10" ht="28" customHeight="1" x14ac:dyDescent="0.2">
      <c r="A535" s="112" t="s">
        <v>24</v>
      </c>
      <c r="B535" s="112"/>
      <c r="C535" s="112" t="str">
        <f ca="1">INDIRECT(_xlfn.TEXTJOIN("",TRUE,A549,"!",ADDRESS(9+(A550-1)*A546,2)))</f>
        <v/>
      </c>
      <c r="D535" s="112"/>
      <c r="E535" s="112"/>
      <c r="F535" s="112" t="s">
        <v>50</v>
      </c>
      <c r="G535" s="112"/>
      <c r="H535" s="112"/>
      <c r="I535" s="113" t="str">
        <f ca="1">INDIRECT(_xlfn.TEXTJOIN("",TRUE,A549,"!",ADDRESS(9+(A550-1)*A546,9)))</f>
        <v/>
      </c>
      <c r="J535" s="113"/>
    </row>
    <row r="536" spans="1:10" ht="28" customHeight="1" x14ac:dyDescent="0.2">
      <c r="A536" s="112" t="s">
        <v>25</v>
      </c>
      <c r="B536" s="112"/>
      <c r="C536" s="112" t="str">
        <f ca="1">INDIRECT(_xlfn.TEXTJOIN("",TRUE,A549,"!",ADDRESS(9+(A550-1)*A546,5)))</f>
        <v/>
      </c>
      <c r="D536" s="112"/>
      <c r="E536" s="112"/>
      <c r="F536" s="114" t="s">
        <v>51</v>
      </c>
      <c r="G536" s="114"/>
      <c r="H536" s="114"/>
      <c r="I536" s="113" t="str">
        <f ca="1">INDIRECT(_xlfn.TEXTJOIN("",TRUE,A549,"!",ADDRESS(9+(A550-1)*A546,13)))</f>
        <v/>
      </c>
      <c r="J536" s="113"/>
    </row>
    <row r="537" spans="1:10" ht="28" customHeight="1" x14ac:dyDescent="0.2">
      <c r="A537" s="95" t="s">
        <v>28</v>
      </c>
      <c r="B537" s="95"/>
      <c r="C537" s="95" t="s">
        <v>29</v>
      </c>
      <c r="D537" s="95"/>
      <c r="E537" s="95"/>
      <c r="F537" s="95"/>
      <c r="G537" s="95"/>
      <c r="H537" s="15" t="s">
        <v>30</v>
      </c>
      <c r="I537" s="15" t="s">
        <v>9</v>
      </c>
      <c r="J537" s="15" t="s">
        <v>34</v>
      </c>
    </row>
    <row r="538" spans="1:10" ht="28" customHeight="1" x14ac:dyDescent="0.2">
      <c r="A538" s="96" t="str">
        <f ca="1">INDIRECT(_xlfn.TEXTJOIN("",TRUE,A549,"!",ADDRESS(13+(A550-1)*A546,1)))</f>
        <v/>
      </c>
      <c r="B538" s="97"/>
      <c r="C538" s="106" t="str">
        <f ca="1">INDIRECT(_xlfn.TEXTJOIN("",TRUE,A549,"!",ADDRESS(13+(A550-1)*A546,2)))</f>
        <v/>
      </c>
      <c r="D538" s="107"/>
      <c r="E538" s="107"/>
      <c r="F538" s="107"/>
      <c r="G538" s="108"/>
      <c r="H538" s="20" t="str">
        <f ca="1">INDIRECT(_xlfn.TEXTJOIN("",TRUE,A549,"!",ADDRESS(13+(A550-1)*A546,6)))</f>
        <v/>
      </c>
      <c r="I538" s="20" t="str">
        <f ca="1">INDIRECT(_xlfn.TEXTJOIN("",TRUE,A549,"!",ADDRESS(13+(A550-1)*A546,13)))</f>
        <v/>
      </c>
      <c r="J538" s="20" t="str">
        <f ca="1">INDIRECT(_xlfn.TEXTJOIN("",TRUE,A549,"!",ADDRESS(13+(A550-1)*A546,14)))</f>
        <v/>
      </c>
    </row>
    <row r="539" spans="1:10" ht="28" customHeight="1" x14ac:dyDescent="0.2">
      <c r="A539" s="96" t="str">
        <f ca="1">INDIRECT(_xlfn.TEXTJOIN("",TRUE,A549,"!",ADDRESS(14+(A550-1)*A546,1)))</f>
        <v/>
      </c>
      <c r="B539" s="97"/>
      <c r="C539" s="106" t="str">
        <f ca="1">INDIRECT(_xlfn.TEXTJOIN("",TRUE,A549,"!",ADDRESS(14+(A550-1)*A546,2)))</f>
        <v/>
      </c>
      <c r="D539" s="107"/>
      <c r="E539" s="107"/>
      <c r="F539" s="107"/>
      <c r="G539" s="108"/>
      <c r="H539" s="20" t="str">
        <f ca="1">INDIRECT(_xlfn.TEXTJOIN("",TRUE,A549,"!",ADDRESS(14+(A550-1)*A546,6)))</f>
        <v/>
      </c>
      <c r="I539" s="20" t="str">
        <f ca="1">INDIRECT(_xlfn.TEXTJOIN("",TRUE,A549,"!",ADDRESS(14+(A550-1)*A546,13)))</f>
        <v/>
      </c>
      <c r="J539" s="20" t="str">
        <f ca="1">INDIRECT(_xlfn.TEXTJOIN("",TRUE,A549,"!",ADDRESS(14+(A550-1)*A546,14)))</f>
        <v/>
      </c>
    </row>
    <row r="540" spans="1:10" ht="28" customHeight="1" x14ac:dyDescent="0.2">
      <c r="A540" s="96" t="str">
        <f ca="1">INDIRECT(_xlfn.TEXTJOIN("",TRUE,A549,"!",ADDRESS(15+(A550-1)*A546,1)))</f>
        <v/>
      </c>
      <c r="B540" s="97"/>
      <c r="C540" s="106" t="str">
        <f ca="1">INDIRECT(_xlfn.TEXTJOIN("",TRUE,A549,"!",ADDRESS(15+(A550-1)*A546,2)))</f>
        <v/>
      </c>
      <c r="D540" s="107"/>
      <c r="E540" s="107"/>
      <c r="F540" s="107"/>
      <c r="G540" s="108"/>
      <c r="H540" s="20" t="str">
        <f ca="1">INDIRECT(_xlfn.TEXTJOIN("",TRUE,A549,"!",ADDRESS(15+(A550-1)*A546,6)))</f>
        <v/>
      </c>
      <c r="I540" s="20" t="str">
        <f ca="1">INDIRECT(_xlfn.TEXTJOIN("",TRUE,A549,"!",ADDRESS(15+(A550-1)*A546,13)))</f>
        <v/>
      </c>
      <c r="J540" s="20" t="str">
        <f ca="1">INDIRECT(_xlfn.TEXTJOIN("",TRUE,A549,"!",ADDRESS(15+(A550-1)*A546,14)))</f>
        <v/>
      </c>
    </row>
    <row r="541" spans="1:10" ht="28" customHeight="1" x14ac:dyDescent="0.2">
      <c r="A541" s="96" t="str">
        <f ca="1">INDIRECT(_xlfn.TEXTJOIN("",TRUE,A549,"!",ADDRESS(16+(A550-1)*A546,1)))</f>
        <v/>
      </c>
      <c r="B541" s="97"/>
      <c r="C541" s="106" t="str">
        <f ca="1">INDIRECT(_xlfn.TEXTJOIN("",TRUE,A549,"!",ADDRESS(16+(A550-1)*A546,2)))</f>
        <v/>
      </c>
      <c r="D541" s="107"/>
      <c r="E541" s="107"/>
      <c r="F541" s="107"/>
      <c r="G541" s="108"/>
      <c r="H541" s="20" t="str">
        <f ca="1">INDIRECT(_xlfn.TEXTJOIN("",TRUE,A549,"!",ADDRESS(16+(A550-1)*A546,6)))</f>
        <v/>
      </c>
      <c r="I541" s="20" t="str">
        <f ca="1">INDIRECT(_xlfn.TEXTJOIN("",TRUE,A549,"!",ADDRESS(16+(A550-1)*A546,13)))</f>
        <v/>
      </c>
      <c r="J541" s="20" t="str">
        <f ca="1">INDIRECT(_xlfn.TEXTJOIN("",TRUE,A549,"!",ADDRESS(16+(A550-1)*A546,14)))</f>
        <v/>
      </c>
    </row>
    <row r="542" spans="1:10" ht="28" customHeight="1" x14ac:dyDescent="0.2">
      <c r="A542" s="96" t="str">
        <f ca="1">INDIRECT(_xlfn.TEXTJOIN("",TRUE,A549,"!",ADDRESS(17+(A550-1)*A546,1)))</f>
        <v/>
      </c>
      <c r="B542" s="97"/>
      <c r="C542" s="106" t="str">
        <f ca="1">INDIRECT(_xlfn.TEXTJOIN("",TRUE,A549,"!",ADDRESS(17+(A550-1)*A546,2)))</f>
        <v/>
      </c>
      <c r="D542" s="107"/>
      <c r="E542" s="107"/>
      <c r="F542" s="107"/>
      <c r="G542" s="108"/>
      <c r="H542" s="20" t="str">
        <f ca="1">INDIRECT(_xlfn.TEXTJOIN("",TRUE,A549,"!",ADDRESS(17+(A550-1)*A546,6)))</f>
        <v/>
      </c>
      <c r="I542" s="20" t="str">
        <f ca="1">INDIRECT(_xlfn.TEXTJOIN("",TRUE,A549,"!",ADDRESS(17+(A550-1)*A546,13)))</f>
        <v/>
      </c>
      <c r="J542" s="20" t="str">
        <f ca="1">INDIRECT(_xlfn.TEXTJOIN("",TRUE,A549,"!",ADDRESS(17+(A550-1)*A546,14)))</f>
        <v/>
      </c>
    </row>
    <row r="543" spans="1:10" ht="28" customHeight="1" x14ac:dyDescent="0.2">
      <c r="A543" s="96" t="str">
        <f ca="1">INDIRECT(_xlfn.TEXTJOIN("",TRUE,A549,"!",ADDRESS(18+(A550-1)*A546,1)))</f>
        <v/>
      </c>
      <c r="B543" s="97"/>
      <c r="C543" s="106" t="str">
        <f ca="1">INDIRECT(_xlfn.TEXTJOIN("",TRUE,A549,"!",ADDRESS(18+(A550-1)*A546,2)))</f>
        <v/>
      </c>
      <c r="D543" s="107"/>
      <c r="E543" s="107"/>
      <c r="F543" s="107"/>
      <c r="G543" s="108"/>
      <c r="H543" s="20" t="str">
        <f ca="1">INDIRECT(_xlfn.TEXTJOIN("",TRUE,A549,"!",ADDRESS(18+(A550-1)*A546,6)))</f>
        <v/>
      </c>
      <c r="I543" s="20" t="str">
        <f ca="1">INDIRECT(_xlfn.TEXTJOIN("",TRUE,A549,"!",ADDRESS(18+(A550-1)*A546,13)))</f>
        <v/>
      </c>
      <c r="J543" s="20" t="str">
        <f ca="1">INDIRECT(_xlfn.TEXTJOIN("",TRUE,A549,"!",ADDRESS(18+(A550-1)*A546,14)))</f>
        <v/>
      </c>
    </row>
    <row r="544" spans="1:10" ht="28" customHeight="1" x14ac:dyDescent="0.2">
      <c r="A544" s="96" t="str">
        <f ca="1">INDIRECT(_xlfn.TEXTJOIN("",TRUE,A549,"!",ADDRESS(19+(A550-1)*A546,1)))</f>
        <v/>
      </c>
      <c r="B544" s="97"/>
      <c r="C544" s="106" t="str">
        <f ca="1">INDIRECT(_xlfn.TEXTJOIN("",TRUE,A549,"!",ADDRESS(19+(A550-1)*A546,2)))</f>
        <v/>
      </c>
      <c r="D544" s="107"/>
      <c r="E544" s="107"/>
      <c r="F544" s="107"/>
      <c r="G544" s="108"/>
      <c r="H544" s="20" t="str">
        <f ca="1">INDIRECT(_xlfn.TEXTJOIN("",TRUE,A549,"!",ADDRESS(19+(A550-1)*A546,6)))</f>
        <v/>
      </c>
      <c r="I544" s="20" t="str">
        <f ca="1">INDIRECT(_xlfn.TEXTJOIN("",TRUE,A549,"!",ADDRESS(19+(A550-1)*A546,13)))</f>
        <v/>
      </c>
      <c r="J544" s="20" t="str">
        <f ca="1">INDIRECT(_xlfn.TEXTJOIN("",TRUE,A549,"!",ADDRESS(19+(A550-1)*A546,14)))</f>
        <v/>
      </c>
    </row>
    <row r="545" spans="1:10" ht="28" customHeight="1" x14ac:dyDescent="0.2">
      <c r="A545" s="118" t="s">
        <v>52</v>
      </c>
      <c r="B545" s="118"/>
      <c r="C545" s="118"/>
      <c r="D545" s="118"/>
      <c r="E545" s="118"/>
      <c r="F545" s="118"/>
      <c r="G545" s="118"/>
      <c r="H545" s="16">
        <f ca="1">SUM(H538:H544)</f>
        <v>0</v>
      </c>
      <c r="I545" s="16" t="s">
        <v>44</v>
      </c>
      <c r="J545" s="16">
        <f ca="1">SUMPRODUCT(J538:J544,H538:H544)</f>
        <v>0</v>
      </c>
    </row>
    <row r="546" spans="1:10" ht="28" customHeight="1" x14ac:dyDescent="0.2">
      <c r="A546" s="22">
        <f>ROWS(A538:B544)+9</f>
        <v>16</v>
      </c>
      <c r="B546" s="17"/>
      <c r="C546" s="17"/>
      <c r="D546" s="17"/>
      <c r="E546" s="17"/>
      <c r="F546" s="17"/>
      <c r="G546" s="17"/>
      <c r="H546" s="17"/>
      <c r="I546" s="17"/>
      <c r="J546" s="17"/>
    </row>
    <row r="547" spans="1:10" ht="28" customHeight="1" x14ac:dyDescent="0.2">
      <c r="A547" s="120" t="s">
        <v>40</v>
      </c>
      <c r="B547" s="120"/>
      <c r="C547" s="21" t="str">
        <f ca="1">INDIRECT(_xlfn.TEXTJOIN("",TRUE,A549,"!",ADDRESS(5+A550*A546,12)))</f>
        <v/>
      </c>
      <c r="D547" s="120" t="s">
        <v>38</v>
      </c>
      <c r="E547" s="120"/>
      <c r="F547" s="18" t="str">
        <f ca="1">INDIRECT(_xlfn.TEXTJOIN("",TRUE,A549,"!",ADDRESS(5+A550*A546,8)))</f>
        <v/>
      </c>
      <c r="G547" s="120" t="s">
        <v>39</v>
      </c>
      <c r="H547" s="120"/>
      <c r="I547" s="109" t="str">
        <f ca="1">INDIRECT(_xlfn.TEXTJOIN("",TRUE,A549,"!",ADDRESS(5+A550*A546,10)))</f>
        <v/>
      </c>
      <c r="J547" s="109"/>
    </row>
    <row r="548" spans="1:10" ht="28" customHeight="1" x14ac:dyDescent="0.2">
      <c r="A548" s="19" t="s">
        <v>36</v>
      </c>
      <c r="B548" s="95" t="str">
        <f ca="1">INDIRECT(_xlfn.TEXTJOIN("",TRUE,A549,"!",ADDRESS(5+A550*A546,2)))</f>
        <v/>
      </c>
      <c r="C548" s="95"/>
      <c r="D548" s="121" t="s">
        <v>37</v>
      </c>
      <c r="E548" s="121"/>
      <c r="F548" s="122" t="str">
        <f ca="1">INDIRECT(_xlfn.TEXTJOIN("",TRUE,A549,"!",ADDRESS(5+A550*A546,5)))</f>
        <v/>
      </c>
      <c r="G548" s="122"/>
      <c r="H548" s="122"/>
      <c r="I548" s="122"/>
      <c r="J548" s="122"/>
    </row>
    <row r="549" spans="1:10" ht="28" customHeight="1" x14ac:dyDescent="0.2">
      <c r="A549" s="22" t="str">
        <f>A533</f>
        <v>TC_IV</v>
      </c>
    </row>
    <row r="550" spans="1:10" ht="28" customHeight="1" x14ac:dyDescent="0.2">
      <c r="A550" s="22">
        <f>A534+1</f>
        <v>34</v>
      </c>
    </row>
    <row r="551" spans="1:10" ht="28" customHeight="1" x14ac:dyDescent="0.2">
      <c r="A551" s="112" t="s">
        <v>24</v>
      </c>
      <c r="B551" s="112"/>
      <c r="C551" s="112" t="str">
        <f ca="1">INDIRECT(_xlfn.TEXTJOIN("",TRUE,A565,"!",ADDRESS(9+(A566-1)*A562,2)))</f>
        <v/>
      </c>
      <c r="D551" s="112"/>
      <c r="E551" s="112"/>
      <c r="F551" s="112" t="s">
        <v>50</v>
      </c>
      <c r="G551" s="112"/>
      <c r="H551" s="112"/>
      <c r="I551" s="113" t="str">
        <f ca="1">INDIRECT(_xlfn.TEXTJOIN("",TRUE,A565,"!",ADDRESS(9+(A566-1)*A562,9)))</f>
        <v/>
      </c>
      <c r="J551" s="113"/>
    </row>
    <row r="552" spans="1:10" ht="28" customHeight="1" x14ac:dyDescent="0.2">
      <c r="A552" s="112" t="s">
        <v>25</v>
      </c>
      <c r="B552" s="112"/>
      <c r="C552" s="112" t="str">
        <f ca="1">INDIRECT(_xlfn.TEXTJOIN("",TRUE,A565,"!",ADDRESS(9+(A566-1)*A562,5)))</f>
        <v/>
      </c>
      <c r="D552" s="112"/>
      <c r="E552" s="112"/>
      <c r="F552" s="114" t="s">
        <v>51</v>
      </c>
      <c r="G552" s="114"/>
      <c r="H552" s="114"/>
      <c r="I552" s="113" t="str">
        <f ca="1">INDIRECT(_xlfn.TEXTJOIN("",TRUE,A565,"!",ADDRESS(9+(A566-1)*A562,13)))</f>
        <v/>
      </c>
      <c r="J552" s="113"/>
    </row>
    <row r="553" spans="1:10" ht="28" customHeight="1" x14ac:dyDescent="0.2">
      <c r="A553" s="95" t="s">
        <v>28</v>
      </c>
      <c r="B553" s="95"/>
      <c r="C553" s="95" t="s">
        <v>29</v>
      </c>
      <c r="D553" s="95"/>
      <c r="E553" s="95"/>
      <c r="F553" s="95"/>
      <c r="G553" s="95"/>
      <c r="H553" s="15" t="s">
        <v>30</v>
      </c>
      <c r="I553" s="15" t="s">
        <v>9</v>
      </c>
      <c r="J553" s="15" t="s">
        <v>34</v>
      </c>
    </row>
    <row r="554" spans="1:10" ht="28" customHeight="1" x14ac:dyDescent="0.2">
      <c r="A554" s="96" t="str">
        <f ca="1">INDIRECT(_xlfn.TEXTJOIN("",TRUE,A565,"!",ADDRESS(13+(A566-1)*A562,1)))</f>
        <v/>
      </c>
      <c r="B554" s="97"/>
      <c r="C554" s="106" t="str">
        <f ca="1">INDIRECT(_xlfn.TEXTJOIN("",TRUE,A565,"!",ADDRESS(13+(A566-1)*A562,2)))</f>
        <v/>
      </c>
      <c r="D554" s="107"/>
      <c r="E554" s="107"/>
      <c r="F554" s="107"/>
      <c r="G554" s="108"/>
      <c r="H554" s="20" t="str">
        <f ca="1">INDIRECT(_xlfn.TEXTJOIN("",TRUE,A565,"!",ADDRESS(13+(A566-1)*A562,6)))</f>
        <v/>
      </c>
      <c r="I554" s="20" t="str">
        <f ca="1">INDIRECT(_xlfn.TEXTJOIN("",TRUE,A565,"!",ADDRESS(13+(A566-1)*A562,13)))</f>
        <v/>
      </c>
      <c r="J554" s="20" t="str">
        <f ca="1">INDIRECT(_xlfn.TEXTJOIN("",TRUE,A565,"!",ADDRESS(13+(A566-1)*A562,14)))</f>
        <v/>
      </c>
    </row>
    <row r="555" spans="1:10" ht="28" customHeight="1" x14ac:dyDescent="0.2">
      <c r="A555" s="96" t="str">
        <f ca="1">INDIRECT(_xlfn.TEXTJOIN("",TRUE,A565,"!",ADDRESS(14+(A566-1)*A562,1)))</f>
        <v/>
      </c>
      <c r="B555" s="97"/>
      <c r="C555" s="106" t="str">
        <f ca="1">INDIRECT(_xlfn.TEXTJOIN("",TRUE,A565,"!",ADDRESS(14+(A566-1)*A562,2)))</f>
        <v/>
      </c>
      <c r="D555" s="107"/>
      <c r="E555" s="107"/>
      <c r="F555" s="107"/>
      <c r="G555" s="108"/>
      <c r="H555" s="20" t="str">
        <f ca="1">INDIRECT(_xlfn.TEXTJOIN("",TRUE,A565,"!",ADDRESS(14+(A566-1)*A562,6)))</f>
        <v/>
      </c>
      <c r="I555" s="20" t="str">
        <f ca="1">INDIRECT(_xlfn.TEXTJOIN("",TRUE,A565,"!",ADDRESS(14+(A566-1)*A562,13)))</f>
        <v/>
      </c>
      <c r="J555" s="20" t="str">
        <f ca="1">INDIRECT(_xlfn.TEXTJOIN("",TRUE,A565,"!",ADDRESS(14+(A566-1)*A562,14)))</f>
        <v/>
      </c>
    </row>
    <row r="556" spans="1:10" ht="28" customHeight="1" x14ac:dyDescent="0.2">
      <c r="A556" s="96" t="str">
        <f ca="1">INDIRECT(_xlfn.TEXTJOIN("",TRUE,A565,"!",ADDRESS(15+(A566-1)*A562,1)))</f>
        <v/>
      </c>
      <c r="B556" s="97"/>
      <c r="C556" s="106" t="str">
        <f ca="1">INDIRECT(_xlfn.TEXTJOIN("",TRUE,A565,"!",ADDRESS(15+(A566-1)*A562,2)))</f>
        <v/>
      </c>
      <c r="D556" s="107"/>
      <c r="E556" s="107"/>
      <c r="F556" s="107"/>
      <c r="G556" s="108"/>
      <c r="H556" s="20" t="str">
        <f ca="1">INDIRECT(_xlfn.TEXTJOIN("",TRUE,A565,"!",ADDRESS(15+(A566-1)*A562,6)))</f>
        <v/>
      </c>
      <c r="I556" s="20" t="str">
        <f ca="1">INDIRECT(_xlfn.TEXTJOIN("",TRUE,A565,"!",ADDRESS(15+(A566-1)*A562,13)))</f>
        <v/>
      </c>
      <c r="J556" s="20" t="str">
        <f ca="1">INDIRECT(_xlfn.TEXTJOIN("",TRUE,A565,"!",ADDRESS(15+(A566-1)*A562,14)))</f>
        <v/>
      </c>
    </row>
    <row r="557" spans="1:10" ht="28" customHeight="1" x14ac:dyDescent="0.2">
      <c r="A557" s="96" t="str">
        <f ca="1">INDIRECT(_xlfn.TEXTJOIN("",TRUE,A565,"!",ADDRESS(16+(A566-1)*A562,1)))</f>
        <v/>
      </c>
      <c r="B557" s="97"/>
      <c r="C557" s="106" t="str">
        <f ca="1">INDIRECT(_xlfn.TEXTJOIN("",TRUE,A565,"!",ADDRESS(16+(A566-1)*A562,2)))</f>
        <v/>
      </c>
      <c r="D557" s="107"/>
      <c r="E557" s="107"/>
      <c r="F557" s="107"/>
      <c r="G557" s="108"/>
      <c r="H557" s="20" t="str">
        <f ca="1">INDIRECT(_xlfn.TEXTJOIN("",TRUE,A565,"!",ADDRESS(16+(A566-1)*A562,6)))</f>
        <v/>
      </c>
      <c r="I557" s="20" t="str">
        <f ca="1">INDIRECT(_xlfn.TEXTJOIN("",TRUE,A565,"!",ADDRESS(16+(A566-1)*A562,13)))</f>
        <v/>
      </c>
      <c r="J557" s="20" t="str">
        <f ca="1">INDIRECT(_xlfn.TEXTJOIN("",TRUE,A565,"!",ADDRESS(16+(A566-1)*A562,14)))</f>
        <v/>
      </c>
    </row>
    <row r="558" spans="1:10" ht="28" customHeight="1" x14ac:dyDescent="0.2">
      <c r="A558" s="96" t="str">
        <f ca="1">INDIRECT(_xlfn.TEXTJOIN("",TRUE,A565,"!",ADDRESS(17+(A566-1)*A562,1)))</f>
        <v/>
      </c>
      <c r="B558" s="97"/>
      <c r="C558" s="106" t="str">
        <f ca="1">INDIRECT(_xlfn.TEXTJOIN("",TRUE,A565,"!",ADDRESS(17+(A566-1)*A562,2)))</f>
        <v/>
      </c>
      <c r="D558" s="107"/>
      <c r="E558" s="107"/>
      <c r="F558" s="107"/>
      <c r="G558" s="108"/>
      <c r="H558" s="20" t="str">
        <f ca="1">INDIRECT(_xlfn.TEXTJOIN("",TRUE,A565,"!",ADDRESS(17+(A566-1)*A562,6)))</f>
        <v/>
      </c>
      <c r="I558" s="20" t="str">
        <f ca="1">INDIRECT(_xlfn.TEXTJOIN("",TRUE,A565,"!",ADDRESS(17+(A566-1)*A562,13)))</f>
        <v/>
      </c>
      <c r="J558" s="20" t="str">
        <f ca="1">INDIRECT(_xlfn.TEXTJOIN("",TRUE,A565,"!",ADDRESS(17+(A566-1)*A562,14)))</f>
        <v/>
      </c>
    </row>
    <row r="559" spans="1:10" ht="28" customHeight="1" x14ac:dyDescent="0.2">
      <c r="A559" s="96" t="str">
        <f ca="1">INDIRECT(_xlfn.TEXTJOIN("",TRUE,A565,"!",ADDRESS(18+(A566-1)*A562,1)))</f>
        <v/>
      </c>
      <c r="B559" s="97"/>
      <c r="C559" s="106" t="str">
        <f ca="1">INDIRECT(_xlfn.TEXTJOIN("",TRUE,A565,"!",ADDRESS(18+(A566-1)*A562,2)))</f>
        <v/>
      </c>
      <c r="D559" s="107"/>
      <c r="E559" s="107"/>
      <c r="F559" s="107"/>
      <c r="G559" s="108"/>
      <c r="H559" s="20" t="str">
        <f ca="1">INDIRECT(_xlfn.TEXTJOIN("",TRUE,A565,"!",ADDRESS(18+(A566-1)*A562,6)))</f>
        <v/>
      </c>
      <c r="I559" s="20" t="str">
        <f ca="1">INDIRECT(_xlfn.TEXTJOIN("",TRUE,A565,"!",ADDRESS(18+(A566-1)*A562,13)))</f>
        <v/>
      </c>
      <c r="J559" s="20" t="str">
        <f ca="1">INDIRECT(_xlfn.TEXTJOIN("",TRUE,A565,"!",ADDRESS(18+(A566-1)*A562,14)))</f>
        <v/>
      </c>
    </row>
    <row r="560" spans="1:10" ht="28" customHeight="1" x14ac:dyDescent="0.2">
      <c r="A560" s="96" t="str">
        <f ca="1">INDIRECT(_xlfn.TEXTJOIN("",TRUE,A565,"!",ADDRESS(19+(A566-1)*A562,1)))</f>
        <v/>
      </c>
      <c r="B560" s="97"/>
      <c r="C560" s="106" t="str">
        <f ca="1">INDIRECT(_xlfn.TEXTJOIN("",TRUE,A565,"!",ADDRESS(19+(A566-1)*A562,2)))</f>
        <v/>
      </c>
      <c r="D560" s="107"/>
      <c r="E560" s="107"/>
      <c r="F560" s="107"/>
      <c r="G560" s="108"/>
      <c r="H560" s="20" t="str">
        <f ca="1">INDIRECT(_xlfn.TEXTJOIN("",TRUE,A565,"!",ADDRESS(19+(A566-1)*A562,6)))</f>
        <v/>
      </c>
      <c r="I560" s="20" t="str">
        <f ca="1">INDIRECT(_xlfn.TEXTJOIN("",TRUE,A565,"!",ADDRESS(19+(A566-1)*A562,13)))</f>
        <v/>
      </c>
      <c r="J560" s="20" t="str">
        <f ca="1">INDIRECT(_xlfn.TEXTJOIN("",TRUE,A565,"!",ADDRESS(19+(A566-1)*A562,14)))</f>
        <v/>
      </c>
    </row>
    <row r="561" spans="1:10" ht="28" customHeight="1" x14ac:dyDescent="0.2">
      <c r="A561" s="118" t="s">
        <v>52</v>
      </c>
      <c r="B561" s="118"/>
      <c r="C561" s="118"/>
      <c r="D561" s="118"/>
      <c r="E561" s="118"/>
      <c r="F561" s="118"/>
      <c r="G561" s="118"/>
      <c r="H561" s="16">
        <f ca="1">SUM(H554:H560)</f>
        <v>0</v>
      </c>
      <c r="I561" s="16" t="s">
        <v>44</v>
      </c>
      <c r="J561" s="16">
        <f ca="1">SUMPRODUCT(J554:J560,H554:H560)</f>
        <v>0</v>
      </c>
    </row>
    <row r="562" spans="1:10" ht="28" customHeight="1" x14ac:dyDescent="0.2">
      <c r="A562" s="22">
        <f>ROWS(A554:B560)+9</f>
        <v>16</v>
      </c>
      <c r="B562" s="17"/>
      <c r="C562" s="17"/>
      <c r="D562" s="17"/>
      <c r="E562" s="17"/>
      <c r="F562" s="17"/>
      <c r="G562" s="17"/>
      <c r="H562" s="17"/>
      <c r="I562" s="17"/>
      <c r="J562" s="17"/>
    </row>
    <row r="563" spans="1:10" ht="28" customHeight="1" x14ac:dyDescent="0.2">
      <c r="A563" s="120" t="s">
        <v>40</v>
      </c>
      <c r="B563" s="120"/>
      <c r="C563" s="21" t="str">
        <f ca="1">INDIRECT(_xlfn.TEXTJOIN("",TRUE,A565,"!",ADDRESS(5+A566*A562,12)))</f>
        <v/>
      </c>
      <c r="D563" s="120" t="s">
        <v>38</v>
      </c>
      <c r="E563" s="120"/>
      <c r="F563" s="18" t="str">
        <f ca="1">INDIRECT(_xlfn.TEXTJOIN("",TRUE,A565,"!",ADDRESS(5+A566*A562,8)))</f>
        <v/>
      </c>
      <c r="G563" s="120" t="s">
        <v>39</v>
      </c>
      <c r="H563" s="120"/>
      <c r="I563" s="109" t="str">
        <f ca="1">INDIRECT(_xlfn.TEXTJOIN("",TRUE,A565,"!",ADDRESS(5+A566*A562,10)))</f>
        <v/>
      </c>
      <c r="J563" s="109"/>
    </row>
    <row r="564" spans="1:10" ht="28" customHeight="1" x14ac:dyDescent="0.2">
      <c r="A564" s="19" t="s">
        <v>36</v>
      </c>
      <c r="B564" s="95" t="str">
        <f ca="1">INDIRECT(_xlfn.TEXTJOIN("",TRUE,A565,"!",ADDRESS(5+A566*A562,2)))</f>
        <v/>
      </c>
      <c r="C564" s="95"/>
      <c r="D564" s="121" t="s">
        <v>37</v>
      </c>
      <c r="E564" s="121"/>
      <c r="F564" s="122" t="str">
        <f ca="1">INDIRECT(_xlfn.TEXTJOIN("",TRUE,A565,"!",ADDRESS(5+A566*A562,5)))</f>
        <v/>
      </c>
      <c r="G564" s="122"/>
      <c r="H564" s="122"/>
      <c r="I564" s="122"/>
      <c r="J564" s="122"/>
    </row>
    <row r="565" spans="1:10" ht="28" customHeight="1" x14ac:dyDescent="0.2">
      <c r="A565" s="22" t="str">
        <f>A549</f>
        <v>TC_IV</v>
      </c>
    </row>
    <row r="566" spans="1:10" ht="28" customHeight="1" x14ac:dyDescent="0.2">
      <c r="A566" s="22">
        <f>A550+1</f>
        <v>35</v>
      </c>
    </row>
    <row r="567" spans="1:10" ht="28" customHeight="1" x14ac:dyDescent="0.2">
      <c r="A567" s="112" t="s">
        <v>24</v>
      </c>
      <c r="B567" s="112"/>
      <c r="C567" s="112" t="str">
        <f ca="1">INDIRECT(_xlfn.TEXTJOIN("",TRUE,A581,"!",ADDRESS(9+(A582-1)*A578,2)))</f>
        <v/>
      </c>
      <c r="D567" s="112"/>
      <c r="E567" s="112"/>
      <c r="F567" s="112" t="s">
        <v>50</v>
      </c>
      <c r="G567" s="112"/>
      <c r="H567" s="112"/>
      <c r="I567" s="113" t="str">
        <f ca="1">INDIRECT(_xlfn.TEXTJOIN("",TRUE,A581,"!",ADDRESS(9+(A582-1)*A578,9)))</f>
        <v/>
      </c>
      <c r="J567" s="113"/>
    </row>
    <row r="568" spans="1:10" ht="28" customHeight="1" x14ac:dyDescent="0.2">
      <c r="A568" s="112" t="s">
        <v>25</v>
      </c>
      <c r="B568" s="112"/>
      <c r="C568" s="112" t="str">
        <f ca="1">INDIRECT(_xlfn.TEXTJOIN("",TRUE,A581,"!",ADDRESS(9+(A582-1)*A578,5)))</f>
        <v/>
      </c>
      <c r="D568" s="112"/>
      <c r="E568" s="112"/>
      <c r="F568" s="114" t="s">
        <v>51</v>
      </c>
      <c r="G568" s="114"/>
      <c r="H568" s="114"/>
      <c r="I568" s="113" t="str">
        <f ca="1">INDIRECT(_xlfn.TEXTJOIN("",TRUE,A581,"!",ADDRESS(9+(A582-1)*A578,13)))</f>
        <v/>
      </c>
      <c r="J568" s="113"/>
    </row>
    <row r="569" spans="1:10" ht="28" customHeight="1" x14ac:dyDescent="0.2">
      <c r="A569" s="95" t="s">
        <v>28</v>
      </c>
      <c r="B569" s="95"/>
      <c r="C569" s="95" t="s">
        <v>29</v>
      </c>
      <c r="D569" s="95"/>
      <c r="E569" s="95"/>
      <c r="F569" s="95"/>
      <c r="G569" s="95"/>
      <c r="H569" s="15" t="s">
        <v>30</v>
      </c>
      <c r="I569" s="15" t="s">
        <v>9</v>
      </c>
      <c r="J569" s="15" t="s">
        <v>34</v>
      </c>
    </row>
    <row r="570" spans="1:10" ht="28" customHeight="1" x14ac:dyDescent="0.2">
      <c r="A570" s="96" t="str">
        <f ca="1">INDIRECT(_xlfn.TEXTJOIN("",TRUE,A581,"!",ADDRESS(13+(A582-1)*A578,1)))</f>
        <v/>
      </c>
      <c r="B570" s="97"/>
      <c r="C570" s="106" t="str">
        <f ca="1">INDIRECT(_xlfn.TEXTJOIN("",TRUE,A581,"!",ADDRESS(13+(A582-1)*A578,2)))</f>
        <v/>
      </c>
      <c r="D570" s="107"/>
      <c r="E570" s="107"/>
      <c r="F570" s="107"/>
      <c r="G570" s="108"/>
      <c r="H570" s="20" t="str">
        <f ca="1">INDIRECT(_xlfn.TEXTJOIN("",TRUE,A581,"!",ADDRESS(13+(A582-1)*A578,6)))</f>
        <v/>
      </c>
      <c r="I570" s="20" t="str">
        <f ca="1">INDIRECT(_xlfn.TEXTJOIN("",TRUE,A581,"!",ADDRESS(13+(A582-1)*A578,13)))</f>
        <v/>
      </c>
      <c r="J570" s="20" t="str">
        <f ca="1">INDIRECT(_xlfn.TEXTJOIN("",TRUE,A581,"!",ADDRESS(13+(A582-1)*A578,14)))</f>
        <v/>
      </c>
    </row>
    <row r="571" spans="1:10" ht="28" customHeight="1" x14ac:dyDescent="0.2">
      <c r="A571" s="96" t="str">
        <f ca="1">INDIRECT(_xlfn.TEXTJOIN("",TRUE,A581,"!",ADDRESS(14+(A582-1)*A578,1)))</f>
        <v/>
      </c>
      <c r="B571" s="97"/>
      <c r="C571" s="106" t="str">
        <f ca="1">INDIRECT(_xlfn.TEXTJOIN("",TRUE,A581,"!",ADDRESS(14+(A582-1)*A578,2)))</f>
        <v/>
      </c>
      <c r="D571" s="107"/>
      <c r="E571" s="107"/>
      <c r="F571" s="107"/>
      <c r="G571" s="108"/>
      <c r="H571" s="20" t="str">
        <f ca="1">INDIRECT(_xlfn.TEXTJOIN("",TRUE,A581,"!",ADDRESS(14+(A582-1)*A578,6)))</f>
        <v/>
      </c>
      <c r="I571" s="20" t="str">
        <f ca="1">INDIRECT(_xlfn.TEXTJOIN("",TRUE,A581,"!",ADDRESS(14+(A582-1)*A578,13)))</f>
        <v/>
      </c>
      <c r="J571" s="20" t="str">
        <f ca="1">INDIRECT(_xlfn.TEXTJOIN("",TRUE,A581,"!",ADDRESS(14+(A582-1)*A578,14)))</f>
        <v/>
      </c>
    </row>
    <row r="572" spans="1:10" ht="28" customHeight="1" x14ac:dyDescent="0.2">
      <c r="A572" s="96" t="str">
        <f ca="1">INDIRECT(_xlfn.TEXTJOIN("",TRUE,A581,"!",ADDRESS(15+(A582-1)*A578,1)))</f>
        <v/>
      </c>
      <c r="B572" s="97"/>
      <c r="C572" s="106" t="str">
        <f ca="1">INDIRECT(_xlfn.TEXTJOIN("",TRUE,A581,"!",ADDRESS(15+(A582-1)*A578,2)))</f>
        <v/>
      </c>
      <c r="D572" s="107"/>
      <c r="E572" s="107"/>
      <c r="F572" s="107"/>
      <c r="G572" s="108"/>
      <c r="H572" s="20" t="str">
        <f ca="1">INDIRECT(_xlfn.TEXTJOIN("",TRUE,A581,"!",ADDRESS(15+(A582-1)*A578,6)))</f>
        <v/>
      </c>
      <c r="I572" s="20" t="str">
        <f ca="1">INDIRECT(_xlfn.TEXTJOIN("",TRUE,A581,"!",ADDRESS(15+(A582-1)*A578,13)))</f>
        <v/>
      </c>
      <c r="J572" s="20" t="str">
        <f ca="1">INDIRECT(_xlfn.TEXTJOIN("",TRUE,A581,"!",ADDRESS(15+(A582-1)*A578,14)))</f>
        <v/>
      </c>
    </row>
    <row r="573" spans="1:10" ht="28" customHeight="1" x14ac:dyDescent="0.2">
      <c r="A573" s="96" t="str">
        <f ca="1">INDIRECT(_xlfn.TEXTJOIN("",TRUE,A581,"!",ADDRESS(16+(A582-1)*A578,1)))</f>
        <v/>
      </c>
      <c r="B573" s="97"/>
      <c r="C573" s="106" t="str">
        <f ca="1">INDIRECT(_xlfn.TEXTJOIN("",TRUE,A581,"!",ADDRESS(16+(A582-1)*A578,2)))</f>
        <v/>
      </c>
      <c r="D573" s="107"/>
      <c r="E573" s="107"/>
      <c r="F573" s="107"/>
      <c r="G573" s="108"/>
      <c r="H573" s="20" t="str">
        <f ca="1">INDIRECT(_xlfn.TEXTJOIN("",TRUE,A581,"!",ADDRESS(16+(A582-1)*A578,6)))</f>
        <v/>
      </c>
      <c r="I573" s="20" t="str">
        <f ca="1">INDIRECT(_xlfn.TEXTJOIN("",TRUE,A581,"!",ADDRESS(16+(A582-1)*A578,13)))</f>
        <v/>
      </c>
      <c r="J573" s="20" t="str">
        <f ca="1">INDIRECT(_xlfn.TEXTJOIN("",TRUE,A581,"!",ADDRESS(16+(A582-1)*A578,14)))</f>
        <v/>
      </c>
    </row>
    <row r="574" spans="1:10" ht="28" customHeight="1" x14ac:dyDescent="0.2">
      <c r="A574" s="96" t="str">
        <f ca="1">INDIRECT(_xlfn.TEXTJOIN("",TRUE,A581,"!",ADDRESS(17+(A582-1)*A578,1)))</f>
        <v/>
      </c>
      <c r="B574" s="97"/>
      <c r="C574" s="106" t="str">
        <f ca="1">INDIRECT(_xlfn.TEXTJOIN("",TRUE,A581,"!",ADDRESS(17+(A582-1)*A578,2)))</f>
        <v/>
      </c>
      <c r="D574" s="107"/>
      <c r="E574" s="107"/>
      <c r="F574" s="107"/>
      <c r="G574" s="108"/>
      <c r="H574" s="20" t="str">
        <f ca="1">INDIRECT(_xlfn.TEXTJOIN("",TRUE,A581,"!",ADDRESS(17+(A582-1)*A578,6)))</f>
        <v/>
      </c>
      <c r="I574" s="20" t="str">
        <f ca="1">INDIRECT(_xlfn.TEXTJOIN("",TRUE,A581,"!",ADDRESS(17+(A582-1)*A578,13)))</f>
        <v/>
      </c>
      <c r="J574" s="20" t="str">
        <f ca="1">INDIRECT(_xlfn.TEXTJOIN("",TRUE,A581,"!",ADDRESS(17+(A582-1)*A578,14)))</f>
        <v/>
      </c>
    </row>
    <row r="575" spans="1:10" ht="28" customHeight="1" x14ac:dyDescent="0.2">
      <c r="A575" s="96" t="str">
        <f ca="1">INDIRECT(_xlfn.TEXTJOIN("",TRUE,A581,"!",ADDRESS(18+(A582-1)*A578,1)))</f>
        <v/>
      </c>
      <c r="B575" s="97"/>
      <c r="C575" s="106" t="str">
        <f ca="1">INDIRECT(_xlfn.TEXTJOIN("",TRUE,A581,"!",ADDRESS(18+(A582-1)*A578,2)))</f>
        <v/>
      </c>
      <c r="D575" s="107"/>
      <c r="E575" s="107"/>
      <c r="F575" s="107"/>
      <c r="G575" s="108"/>
      <c r="H575" s="20" t="str">
        <f ca="1">INDIRECT(_xlfn.TEXTJOIN("",TRUE,A581,"!",ADDRESS(18+(A582-1)*A578,6)))</f>
        <v/>
      </c>
      <c r="I575" s="20" t="str">
        <f ca="1">INDIRECT(_xlfn.TEXTJOIN("",TRUE,A581,"!",ADDRESS(18+(A582-1)*A578,13)))</f>
        <v/>
      </c>
      <c r="J575" s="20" t="str">
        <f ca="1">INDIRECT(_xlfn.TEXTJOIN("",TRUE,A581,"!",ADDRESS(18+(A582-1)*A578,14)))</f>
        <v/>
      </c>
    </row>
    <row r="576" spans="1:10" ht="28" customHeight="1" x14ac:dyDescent="0.2">
      <c r="A576" s="96" t="str">
        <f ca="1">INDIRECT(_xlfn.TEXTJOIN("",TRUE,A581,"!",ADDRESS(19+(A582-1)*A578,1)))</f>
        <v/>
      </c>
      <c r="B576" s="97"/>
      <c r="C576" s="106" t="str">
        <f ca="1">INDIRECT(_xlfn.TEXTJOIN("",TRUE,A581,"!",ADDRESS(19+(A582-1)*A578,2)))</f>
        <v/>
      </c>
      <c r="D576" s="107"/>
      <c r="E576" s="107"/>
      <c r="F576" s="107"/>
      <c r="G576" s="108"/>
      <c r="H576" s="20" t="str">
        <f ca="1">INDIRECT(_xlfn.TEXTJOIN("",TRUE,A581,"!",ADDRESS(19+(A582-1)*A578,6)))</f>
        <v/>
      </c>
      <c r="I576" s="20" t="str">
        <f ca="1">INDIRECT(_xlfn.TEXTJOIN("",TRUE,A581,"!",ADDRESS(19+(A582-1)*A578,13)))</f>
        <v/>
      </c>
      <c r="J576" s="20" t="str">
        <f ca="1">INDIRECT(_xlfn.TEXTJOIN("",TRUE,A581,"!",ADDRESS(19+(A582-1)*A578,14)))</f>
        <v/>
      </c>
    </row>
    <row r="577" spans="1:10" ht="28" customHeight="1" x14ac:dyDescent="0.2">
      <c r="A577" s="118" t="s">
        <v>52</v>
      </c>
      <c r="B577" s="118"/>
      <c r="C577" s="118"/>
      <c r="D577" s="118"/>
      <c r="E577" s="118"/>
      <c r="F577" s="118"/>
      <c r="G577" s="118"/>
      <c r="H577" s="16">
        <f ca="1">SUM(H570:H576)</f>
        <v>0</v>
      </c>
      <c r="I577" s="16" t="s">
        <v>44</v>
      </c>
      <c r="J577" s="16">
        <f ca="1">SUMPRODUCT(J570:J576,H570:H576)</f>
        <v>0</v>
      </c>
    </row>
    <row r="578" spans="1:10" ht="28" customHeight="1" x14ac:dyDescent="0.2">
      <c r="A578" s="22">
        <f>ROWS(A570:B576)+9</f>
        <v>16</v>
      </c>
      <c r="B578" s="17"/>
      <c r="C578" s="17"/>
      <c r="D578" s="17"/>
      <c r="E578" s="17"/>
      <c r="F578" s="17"/>
      <c r="G578" s="17"/>
      <c r="H578" s="17"/>
      <c r="I578" s="17"/>
      <c r="J578" s="17"/>
    </row>
    <row r="579" spans="1:10" ht="28" customHeight="1" x14ac:dyDescent="0.2">
      <c r="A579" s="120" t="s">
        <v>40</v>
      </c>
      <c r="B579" s="120"/>
      <c r="C579" s="21" t="str">
        <f ca="1">INDIRECT(_xlfn.TEXTJOIN("",TRUE,A581,"!",ADDRESS(5+A582*A578,12)))</f>
        <v/>
      </c>
      <c r="D579" s="120" t="s">
        <v>38</v>
      </c>
      <c r="E579" s="120"/>
      <c r="F579" s="18" t="str">
        <f ca="1">INDIRECT(_xlfn.TEXTJOIN("",TRUE,A581,"!",ADDRESS(5+A582*A578,8)))</f>
        <v/>
      </c>
      <c r="G579" s="120" t="s">
        <v>39</v>
      </c>
      <c r="H579" s="120"/>
      <c r="I579" s="109" t="str">
        <f ca="1">INDIRECT(_xlfn.TEXTJOIN("",TRUE,A581,"!",ADDRESS(5+A582*A578,10)))</f>
        <v/>
      </c>
      <c r="J579" s="109"/>
    </row>
    <row r="580" spans="1:10" ht="28" customHeight="1" x14ac:dyDescent="0.2">
      <c r="A580" s="19" t="s">
        <v>36</v>
      </c>
      <c r="B580" s="95" t="str">
        <f ca="1">INDIRECT(_xlfn.TEXTJOIN("",TRUE,A581,"!",ADDRESS(5+A582*A578,2)))</f>
        <v/>
      </c>
      <c r="C580" s="95"/>
      <c r="D580" s="121" t="s">
        <v>37</v>
      </c>
      <c r="E580" s="121"/>
      <c r="F580" s="122" t="str">
        <f ca="1">INDIRECT(_xlfn.TEXTJOIN("",TRUE,A581,"!",ADDRESS(5+A582*A578,5)))</f>
        <v/>
      </c>
      <c r="G580" s="122"/>
      <c r="H580" s="122"/>
      <c r="I580" s="122"/>
      <c r="J580" s="122"/>
    </row>
    <row r="581" spans="1:10" ht="28" customHeight="1" x14ac:dyDescent="0.2">
      <c r="A581" s="22" t="str">
        <f>A565</f>
        <v>TC_IV</v>
      </c>
    </row>
    <row r="582" spans="1:10" ht="28" customHeight="1" x14ac:dyDescent="0.2">
      <c r="A582" s="22">
        <f>A566+1</f>
        <v>36</v>
      </c>
    </row>
    <row r="583" spans="1:10" ht="28" customHeight="1" x14ac:dyDescent="0.2">
      <c r="A583" s="112" t="s">
        <v>24</v>
      </c>
      <c r="B583" s="112"/>
      <c r="C583" s="112" t="str">
        <f ca="1">INDIRECT(_xlfn.TEXTJOIN("",TRUE,A597,"!",ADDRESS(9+(A598-1)*A594,2)))</f>
        <v/>
      </c>
      <c r="D583" s="112"/>
      <c r="E583" s="112"/>
      <c r="F583" s="112" t="s">
        <v>50</v>
      </c>
      <c r="G583" s="112"/>
      <c r="H583" s="112"/>
      <c r="I583" s="113" t="str">
        <f ca="1">INDIRECT(_xlfn.TEXTJOIN("",TRUE,A597,"!",ADDRESS(9+(A598-1)*A594,9)))</f>
        <v/>
      </c>
      <c r="J583" s="113"/>
    </row>
    <row r="584" spans="1:10" ht="28" customHeight="1" x14ac:dyDescent="0.2">
      <c r="A584" s="112" t="s">
        <v>25</v>
      </c>
      <c r="B584" s="112"/>
      <c r="C584" s="112" t="str">
        <f ca="1">INDIRECT(_xlfn.TEXTJOIN("",TRUE,A597,"!",ADDRESS(9+(A598-1)*A594,5)))</f>
        <v/>
      </c>
      <c r="D584" s="112"/>
      <c r="E584" s="112"/>
      <c r="F584" s="114" t="s">
        <v>51</v>
      </c>
      <c r="G584" s="114"/>
      <c r="H584" s="114"/>
      <c r="I584" s="113" t="str">
        <f ca="1">INDIRECT(_xlfn.TEXTJOIN("",TRUE,A597,"!",ADDRESS(9+(A598-1)*A594,13)))</f>
        <v/>
      </c>
      <c r="J584" s="113"/>
    </row>
    <row r="585" spans="1:10" ht="28" customHeight="1" x14ac:dyDescent="0.2">
      <c r="A585" s="95" t="s">
        <v>28</v>
      </c>
      <c r="B585" s="95"/>
      <c r="C585" s="95" t="s">
        <v>29</v>
      </c>
      <c r="D585" s="95"/>
      <c r="E585" s="95"/>
      <c r="F585" s="95"/>
      <c r="G585" s="95"/>
      <c r="H585" s="15" t="s">
        <v>30</v>
      </c>
      <c r="I585" s="15" t="s">
        <v>9</v>
      </c>
      <c r="J585" s="15" t="s">
        <v>34</v>
      </c>
    </row>
    <row r="586" spans="1:10" ht="28" customHeight="1" x14ac:dyDescent="0.2">
      <c r="A586" s="96" t="str">
        <f ca="1">INDIRECT(_xlfn.TEXTJOIN("",TRUE,A597,"!",ADDRESS(13+(A598-1)*A594,1)))</f>
        <v/>
      </c>
      <c r="B586" s="97"/>
      <c r="C586" s="106" t="str">
        <f ca="1">INDIRECT(_xlfn.TEXTJOIN("",TRUE,A597,"!",ADDRESS(13+(A598-1)*A594,2)))</f>
        <v/>
      </c>
      <c r="D586" s="107"/>
      <c r="E586" s="107"/>
      <c r="F586" s="107"/>
      <c r="G586" s="108"/>
      <c r="H586" s="20" t="str">
        <f ca="1">INDIRECT(_xlfn.TEXTJOIN("",TRUE,A597,"!",ADDRESS(13+(A598-1)*A594,6)))</f>
        <v/>
      </c>
      <c r="I586" s="20" t="str">
        <f ca="1">INDIRECT(_xlfn.TEXTJOIN("",TRUE,A597,"!",ADDRESS(13+(A598-1)*A594,13)))</f>
        <v/>
      </c>
      <c r="J586" s="20" t="str">
        <f ca="1">INDIRECT(_xlfn.TEXTJOIN("",TRUE,A597,"!",ADDRESS(13+(A598-1)*A594,14)))</f>
        <v/>
      </c>
    </row>
    <row r="587" spans="1:10" ht="28" customHeight="1" x14ac:dyDescent="0.2">
      <c r="A587" s="96" t="str">
        <f ca="1">INDIRECT(_xlfn.TEXTJOIN("",TRUE,A597,"!",ADDRESS(14+(A598-1)*A594,1)))</f>
        <v/>
      </c>
      <c r="B587" s="97"/>
      <c r="C587" s="106" t="str">
        <f ca="1">INDIRECT(_xlfn.TEXTJOIN("",TRUE,A597,"!",ADDRESS(14+(A598-1)*A594,2)))</f>
        <v/>
      </c>
      <c r="D587" s="107"/>
      <c r="E587" s="107"/>
      <c r="F587" s="107"/>
      <c r="G587" s="108"/>
      <c r="H587" s="20" t="str">
        <f ca="1">INDIRECT(_xlfn.TEXTJOIN("",TRUE,A597,"!",ADDRESS(14+(A598-1)*A594,6)))</f>
        <v/>
      </c>
      <c r="I587" s="20" t="str">
        <f ca="1">INDIRECT(_xlfn.TEXTJOIN("",TRUE,A597,"!",ADDRESS(14+(A598-1)*A594,13)))</f>
        <v/>
      </c>
      <c r="J587" s="20" t="str">
        <f ca="1">INDIRECT(_xlfn.TEXTJOIN("",TRUE,A597,"!",ADDRESS(14+(A598-1)*A594,14)))</f>
        <v/>
      </c>
    </row>
    <row r="588" spans="1:10" ht="28" customHeight="1" x14ac:dyDescent="0.2">
      <c r="A588" s="96" t="str">
        <f ca="1">INDIRECT(_xlfn.TEXTJOIN("",TRUE,A597,"!",ADDRESS(15+(A598-1)*A594,1)))</f>
        <v/>
      </c>
      <c r="B588" s="97"/>
      <c r="C588" s="106" t="str">
        <f ca="1">INDIRECT(_xlfn.TEXTJOIN("",TRUE,A597,"!",ADDRESS(15+(A598-1)*A594,2)))</f>
        <v/>
      </c>
      <c r="D588" s="107"/>
      <c r="E588" s="107"/>
      <c r="F588" s="107"/>
      <c r="G588" s="108"/>
      <c r="H588" s="20" t="str">
        <f ca="1">INDIRECT(_xlfn.TEXTJOIN("",TRUE,A597,"!",ADDRESS(15+(A598-1)*A594,6)))</f>
        <v/>
      </c>
      <c r="I588" s="20" t="str">
        <f ca="1">INDIRECT(_xlfn.TEXTJOIN("",TRUE,A597,"!",ADDRESS(15+(A598-1)*A594,13)))</f>
        <v/>
      </c>
      <c r="J588" s="20" t="str">
        <f ca="1">INDIRECT(_xlfn.TEXTJOIN("",TRUE,A597,"!",ADDRESS(15+(A598-1)*A594,14)))</f>
        <v/>
      </c>
    </row>
    <row r="589" spans="1:10" ht="28" customHeight="1" x14ac:dyDescent="0.2">
      <c r="A589" s="96" t="str">
        <f ca="1">INDIRECT(_xlfn.TEXTJOIN("",TRUE,A597,"!",ADDRESS(16+(A598-1)*A594,1)))</f>
        <v/>
      </c>
      <c r="B589" s="97"/>
      <c r="C589" s="106" t="str">
        <f ca="1">INDIRECT(_xlfn.TEXTJOIN("",TRUE,A597,"!",ADDRESS(16+(A598-1)*A594,2)))</f>
        <v/>
      </c>
      <c r="D589" s="107"/>
      <c r="E589" s="107"/>
      <c r="F589" s="107"/>
      <c r="G589" s="108"/>
      <c r="H589" s="20" t="str">
        <f ca="1">INDIRECT(_xlfn.TEXTJOIN("",TRUE,A597,"!",ADDRESS(16+(A598-1)*A594,6)))</f>
        <v/>
      </c>
      <c r="I589" s="20" t="str">
        <f ca="1">INDIRECT(_xlfn.TEXTJOIN("",TRUE,A597,"!",ADDRESS(16+(A598-1)*A594,13)))</f>
        <v/>
      </c>
      <c r="J589" s="20" t="str">
        <f ca="1">INDIRECT(_xlfn.TEXTJOIN("",TRUE,A597,"!",ADDRESS(16+(A598-1)*A594,14)))</f>
        <v/>
      </c>
    </row>
    <row r="590" spans="1:10" ht="28" customHeight="1" x14ac:dyDescent="0.2">
      <c r="A590" s="96" t="str">
        <f ca="1">INDIRECT(_xlfn.TEXTJOIN("",TRUE,A597,"!",ADDRESS(17+(A598-1)*A594,1)))</f>
        <v/>
      </c>
      <c r="B590" s="97"/>
      <c r="C590" s="106" t="str">
        <f ca="1">INDIRECT(_xlfn.TEXTJOIN("",TRUE,A597,"!",ADDRESS(17+(A598-1)*A594,2)))</f>
        <v/>
      </c>
      <c r="D590" s="107"/>
      <c r="E590" s="107"/>
      <c r="F590" s="107"/>
      <c r="G590" s="108"/>
      <c r="H590" s="20" t="str">
        <f ca="1">INDIRECT(_xlfn.TEXTJOIN("",TRUE,A597,"!",ADDRESS(17+(A598-1)*A594,6)))</f>
        <v/>
      </c>
      <c r="I590" s="20" t="str">
        <f ca="1">INDIRECT(_xlfn.TEXTJOIN("",TRUE,A597,"!",ADDRESS(17+(A598-1)*A594,13)))</f>
        <v/>
      </c>
      <c r="J590" s="20" t="str">
        <f ca="1">INDIRECT(_xlfn.TEXTJOIN("",TRUE,A597,"!",ADDRESS(17+(A598-1)*A594,14)))</f>
        <v/>
      </c>
    </row>
    <row r="591" spans="1:10" ht="28" customHeight="1" x14ac:dyDescent="0.2">
      <c r="A591" s="96" t="str">
        <f ca="1">INDIRECT(_xlfn.TEXTJOIN("",TRUE,A597,"!",ADDRESS(18+(A598-1)*A594,1)))</f>
        <v/>
      </c>
      <c r="B591" s="97"/>
      <c r="C591" s="106" t="str">
        <f ca="1">INDIRECT(_xlfn.TEXTJOIN("",TRUE,A597,"!",ADDRESS(18+(A598-1)*A594,2)))</f>
        <v/>
      </c>
      <c r="D591" s="107"/>
      <c r="E591" s="107"/>
      <c r="F591" s="107"/>
      <c r="G591" s="108"/>
      <c r="H591" s="20" t="str">
        <f ca="1">INDIRECT(_xlfn.TEXTJOIN("",TRUE,A597,"!",ADDRESS(18+(A598-1)*A594,6)))</f>
        <v/>
      </c>
      <c r="I591" s="20" t="str">
        <f ca="1">INDIRECT(_xlfn.TEXTJOIN("",TRUE,A597,"!",ADDRESS(18+(A598-1)*A594,13)))</f>
        <v/>
      </c>
      <c r="J591" s="20" t="str">
        <f ca="1">INDIRECT(_xlfn.TEXTJOIN("",TRUE,A597,"!",ADDRESS(18+(A598-1)*A594,14)))</f>
        <v/>
      </c>
    </row>
    <row r="592" spans="1:10" ht="28" customHeight="1" x14ac:dyDescent="0.2">
      <c r="A592" s="96" t="str">
        <f ca="1">INDIRECT(_xlfn.TEXTJOIN("",TRUE,A597,"!",ADDRESS(19+(A598-1)*A594,1)))</f>
        <v/>
      </c>
      <c r="B592" s="97"/>
      <c r="C592" s="106" t="str">
        <f ca="1">INDIRECT(_xlfn.TEXTJOIN("",TRUE,A597,"!",ADDRESS(19+(A598-1)*A594,2)))</f>
        <v/>
      </c>
      <c r="D592" s="107"/>
      <c r="E592" s="107"/>
      <c r="F592" s="107"/>
      <c r="G592" s="108"/>
      <c r="H592" s="20" t="str">
        <f ca="1">INDIRECT(_xlfn.TEXTJOIN("",TRUE,A597,"!",ADDRESS(19+(A598-1)*A594,6)))</f>
        <v/>
      </c>
      <c r="I592" s="20" t="str">
        <f ca="1">INDIRECT(_xlfn.TEXTJOIN("",TRUE,A597,"!",ADDRESS(19+(A598-1)*A594,13)))</f>
        <v/>
      </c>
      <c r="J592" s="20" t="str">
        <f ca="1">INDIRECT(_xlfn.TEXTJOIN("",TRUE,A597,"!",ADDRESS(19+(A598-1)*A594,14)))</f>
        <v/>
      </c>
    </row>
    <row r="593" spans="1:10" ht="28" customHeight="1" x14ac:dyDescent="0.2">
      <c r="A593" s="118" t="s">
        <v>52</v>
      </c>
      <c r="B593" s="118"/>
      <c r="C593" s="118"/>
      <c r="D593" s="118"/>
      <c r="E593" s="118"/>
      <c r="F593" s="118"/>
      <c r="G593" s="118"/>
      <c r="H593" s="16">
        <f ca="1">SUM(H586:H592)</f>
        <v>0</v>
      </c>
      <c r="I593" s="16" t="s">
        <v>44</v>
      </c>
      <c r="J593" s="16">
        <f ca="1">SUMPRODUCT(J586:J592,H586:H592)</f>
        <v>0</v>
      </c>
    </row>
    <row r="594" spans="1:10" ht="28" customHeight="1" x14ac:dyDescent="0.2">
      <c r="A594" s="22">
        <f>ROWS(A586:B592)+9</f>
        <v>16</v>
      </c>
      <c r="B594" s="17"/>
      <c r="C594" s="17"/>
      <c r="D594" s="17"/>
      <c r="E594" s="17"/>
      <c r="F594" s="17"/>
      <c r="G594" s="17"/>
      <c r="H594" s="17"/>
      <c r="I594" s="17"/>
      <c r="J594" s="17"/>
    </row>
    <row r="595" spans="1:10" ht="28" customHeight="1" x14ac:dyDescent="0.2">
      <c r="A595" s="120" t="s">
        <v>40</v>
      </c>
      <c r="B595" s="120"/>
      <c r="C595" s="21" t="str">
        <f ca="1">INDIRECT(_xlfn.TEXTJOIN("",TRUE,A597,"!",ADDRESS(5+A598*A594,12)))</f>
        <v/>
      </c>
      <c r="D595" s="120" t="s">
        <v>38</v>
      </c>
      <c r="E595" s="120"/>
      <c r="F595" s="18" t="str">
        <f ca="1">INDIRECT(_xlfn.TEXTJOIN("",TRUE,A597,"!",ADDRESS(5+A598*A594,8)))</f>
        <v/>
      </c>
      <c r="G595" s="120" t="s">
        <v>39</v>
      </c>
      <c r="H595" s="120"/>
      <c r="I595" s="109" t="str">
        <f ca="1">INDIRECT(_xlfn.TEXTJOIN("",TRUE,A597,"!",ADDRESS(5+A598*A594,10)))</f>
        <v/>
      </c>
      <c r="J595" s="109"/>
    </row>
    <row r="596" spans="1:10" ht="28" customHeight="1" x14ac:dyDescent="0.2">
      <c r="A596" s="19" t="s">
        <v>36</v>
      </c>
      <c r="B596" s="95" t="str">
        <f ca="1">INDIRECT(_xlfn.TEXTJOIN("",TRUE,A597,"!",ADDRESS(5+A598*A594,2)))</f>
        <v/>
      </c>
      <c r="C596" s="95"/>
      <c r="D596" s="121" t="s">
        <v>37</v>
      </c>
      <c r="E596" s="121"/>
      <c r="F596" s="122" t="str">
        <f ca="1">INDIRECT(_xlfn.TEXTJOIN("",TRUE,A597,"!",ADDRESS(5+A598*A594,5)))</f>
        <v/>
      </c>
      <c r="G596" s="122"/>
      <c r="H596" s="122"/>
      <c r="I596" s="122"/>
      <c r="J596" s="122"/>
    </row>
    <row r="597" spans="1:10" ht="28" customHeight="1" x14ac:dyDescent="0.2">
      <c r="A597" s="22" t="str">
        <f>A581</f>
        <v>TC_IV</v>
      </c>
    </row>
    <row r="598" spans="1:10" ht="28" customHeight="1" x14ac:dyDescent="0.2">
      <c r="A598" s="22">
        <f>A582+1</f>
        <v>37</v>
      </c>
    </row>
    <row r="599" spans="1:10" ht="28" customHeight="1" x14ac:dyDescent="0.2">
      <c r="A599" s="112" t="s">
        <v>24</v>
      </c>
      <c r="B599" s="112"/>
      <c r="C599" s="112" t="str">
        <f ca="1">INDIRECT(_xlfn.TEXTJOIN("",TRUE,A613,"!",ADDRESS(9+(A614-1)*A610,2)))</f>
        <v/>
      </c>
      <c r="D599" s="112"/>
      <c r="E599" s="112"/>
      <c r="F599" s="112" t="s">
        <v>50</v>
      </c>
      <c r="G599" s="112"/>
      <c r="H599" s="112"/>
      <c r="I599" s="113" t="str">
        <f ca="1">INDIRECT(_xlfn.TEXTJOIN("",TRUE,A613,"!",ADDRESS(9+(A614-1)*A610,9)))</f>
        <v/>
      </c>
      <c r="J599" s="113"/>
    </row>
    <row r="600" spans="1:10" ht="28" customHeight="1" x14ac:dyDescent="0.2">
      <c r="A600" s="112" t="s">
        <v>25</v>
      </c>
      <c r="B600" s="112"/>
      <c r="C600" s="112" t="str">
        <f ca="1">INDIRECT(_xlfn.TEXTJOIN("",TRUE,A613,"!",ADDRESS(9+(A614-1)*A610,5)))</f>
        <v/>
      </c>
      <c r="D600" s="112"/>
      <c r="E600" s="112"/>
      <c r="F600" s="114" t="s">
        <v>51</v>
      </c>
      <c r="G600" s="114"/>
      <c r="H600" s="114"/>
      <c r="I600" s="113" t="str">
        <f ca="1">INDIRECT(_xlfn.TEXTJOIN("",TRUE,A613,"!",ADDRESS(9+(A614-1)*A610,13)))</f>
        <v/>
      </c>
      <c r="J600" s="113"/>
    </row>
    <row r="601" spans="1:10" ht="28" customHeight="1" x14ac:dyDescent="0.2">
      <c r="A601" s="95" t="s">
        <v>28</v>
      </c>
      <c r="B601" s="95"/>
      <c r="C601" s="95" t="s">
        <v>29</v>
      </c>
      <c r="D601" s="95"/>
      <c r="E601" s="95"/>
      <c r="F601" s="95"/>
      <c r="G601" s="95"/>
      <c r="H601" s="15" t="s">
        <v>30</v>
      </c>
      <c r="I601" s="15" t="s">
        <v>9</v>
      </c>
      <c r="J601" s="15" t="s">
        <v>34</v>
      </c>
    </row>
    <row r="602" spans="1:10" ht="28" customHeight="1" x14ac:dyDescent="0.2">
      <c r="A602" s="96" t="str">
        <f ca="1">INDIRECT(_xlfn.TEXTJOIN("",TRUE,A613,"!",ADDRESS(13+(A614-1)*A610,1)))</f>
        <v/>
      </c>
      <c r="B602" s="97"/>
      <c r="C602" s="106" t="str">
        <f ca="1">INDIRECT(_xlfn.TEXTJOIN("",TRUE,A613,"!",ADDRESS(13+(A614-1)*A610,2)))</f>
        <v/>
      </c>
      <c r="D602" s="107"/>
      <c r="E602" s="107"/>
      <c r="F602" s="107"/>
      <c r="G602" s="108"/>
      <c r="H602" s="20" t="str">
        <f ca="1">INDIRECT(_xlfn.TEXTJOIN("",TRUE,A613,"!",ADDRESS(13+(A614-1)*A610,6)))</f>
        <v/>
      </c>
      <c r="I602" s="20" t="str">
        <f ca="1">INDIRECT(_xlfn.TEXTJOIN("",TRUE,A613,"!",ADDRESS(13+(A614-1)*A610,13)))</f>
        <v/>
      </c>
      <c r="J602" s="20" t="str">
        <f ca="1">INDIRECT(_xlfn.TEXTJOIN("",TRUE,A613,"!",ADDRESS(13+(A614-1)*A610,14)))</f>
        <v/>
      </c>
    </row>
    <row r="603" spans="1:10" ht="28" customHeight="1" x14ac:dyDescent="0.2">
      <c r="A603" s="96" t="str">
        <f ca="1">INDIRECT(_xlfn.TEXTJOIN("",TRUE,A613,"!",ADDRESS(14+(A614-1)*A610,1)))</f>
        <v/>
      </c>
      <c r="B603" s="97"/>
      <c r="C603" s="106" t="str">
        <f ca="1">INDIRECT(_xlfn.TEXTJOIN("",TRUE,A613,"!",ADDRESS(14+(A614-1)*A610,2)))</f>
        <v/>
      </c>
      <c r="D603" s="107"/>
      <c r="E603" s="107"/>
      <c r="F603" s="107"/>
      <c r="G603" s="108"/>
      <c r="H603" s="20" t="str">
        <f ca="1">INDIRECT(_xlfn.TEXTJOIN("",TRUE,A613,"!",ADDRESS(14+(A614-1)*A610,6)))</f>
        <v/>
      </c>
      <c r="I603" s="20" t="str">
        <f ca="1">INDIRECT(_xlfn.TEXTJOIN("",TRUE,A613,"!",ADDRESS(14+(A614-1)*A610,13)))</f>
        <v/>
      </c>
      <c r="J603" s="20" t="str">
        <f ca="1">INDIRECT(_xlfn.TEXTJOIN("",TRUE,A613,"!",ADDRESS(14+(A614-1)*A610,14)))</f>
        <v/>
      </c>
    </row>
    <row r="604" spans="1:10" ht="28" customHeight="1" x14ac:dyDescent="0.2">
      <c r="A604" s="96" t="str">
        <f ca="1">INDIRECT(_xlfn.TEXTJOIN("",TRUE,A613,"!",ADDRESS(15+(A614-1)*A610,1)))</f>
        <v/>
      </c>
      <c r="B604" s="97"/>
      <c r="C604" s="106" t="str">
        <f ca="1">INDIRECT(_xlfn.TEXTJOIN("",TRUE,A613,"!",ADDRESS(15+(A614-1)*A610,2)))</f>
        <v/>
      </c>
      <c r="D604" s="107"/>
      <c r="E604" s="107"/>
      <c r="F604" s="107"/>
      <c r="G604" s="108"/>
      <c r="H604" s="20" t="str">
        <f ca="1">INDIRECT(_xlfn.TEXTJOIN("",TRUE,A613,"!",ADDRESS(15+(A614-1)*A610,6)))</f>
        <v/>
      </c>
      <c r="I604" s="20" t="str">
        <f ca="1">INDIRECT(_xlfn.TEXTJOIN("",TRUE,A613,"!",ADDRESS(15+(A614-1)*A610,13)))</f>
        <v/>
      </c>
      <c r="J604" s="20" t="str">
        <f ca="1">INDIRECT(_xlfn.TEXTJOIN("",TRUE,A613,"!",ADDRESS(15+(A614-1)*A610,14)))</f>
        <v/>
      </c>
    </row>
    <row r="605" spans="1:10" ht="28" customHeight="1" x14ac:dyDescent="0.2">
      <c r="A605" s="96" t="str">
        <f ca="1">INDIRECT(_xlfn.TEXTJOIN("",TRUE,A613,"!",ADDRESS(16+(A614-1)*A610,1)))</f>
        <v/>
      </c>
      <c r="B605" s="97"/>
      <c r="C605" s="106" t="str">
        <f ca="1">INDIRECT(_xlfn.TEXTJOIN("",TRUE,A613,"!",ADDRESS(16+(A614-1)*A610,2)))</f>
        <v/>
      </c>
      <c r="D605" s="107"/>
      <c r="E605" s="107"/>
      <c r="F605" s="107"/>
      <c r="G605" s="108"/>
      <c r="H605" s="20" t="str">
        <f ca="1">INDIRECT(_xlfn.TEXTJOIN("",TRUE,A613,"!",ADDRESS(16+(A614-1)*A610,6)))</f>
        <v/>
      </c>
      <c r="I605" s="20" t="str">
        <f ca="1">INDIRECT(_xlfn.TEXTJOIN("",TRUE,A613,"!",ADDRESS(16+(A614-1)*A610,13)))</f>
        <v/>
      </c>
      <c r="J605" s="20" t="str">
        <f ca="1">INDIRECT(_xlfn.TEXTJOIN("",TRUE,A613,"!",ADDRESS(16+(A614-1)*A610,14)))</f>
        <v/>
      </c>
    </row>
    <row r="606" spans="1:10" ht="28" customHeight="1" x14ac:dyDescent="0.2">
      <c r="A606" s="96" t="str">
        <f ca="1">INDIRECT(_xlfn.TEXTJOIN("",TRUE,A613,"!",ADDRESS(17+(A614-1)*A610,1)))</f>
        <v/>
      </c>
      <c r="B606" s="97"/>
      <c r="C606" s="106" t="str">
        <f ca="1">INDIRECT(_xlfn.TEXTJOIN("",TRUE,A613,"!",ADDRESS(17+(A614-1)*A610,2)))</f>
        <v/>
      </c>
      <c r="D606" s="107"/>
      <c r="E606" s="107"/>
      <c r="F606" s="107"/>
      <c r="G606" s="108"/>
      <c r="H606" s="20" t="str">
        <f ca="1">INDIRECT(_xlfn.TEXTJOIN("",TRUE,A613,"!",ADDRESS(17+(A614-1)*A610,6)))</f>
        <v/>
      </c>
      <c r="I606" s="20" t="str">
        <f ca="1">INDIRECT(_xlfn.TEXTJOIN("",TRUE,A613,"!",ADDRESS(17+(A614-1)*A610,13)))</f>
        <v/>
      </c>
      <c r="J606" s="20" t="str">
        <f ca="1">INDIRECT(_xlfn.TEXTJOIN("",TRUE,A613,"!",ADDRESS(17+(A614-1)*A610,14)))</f>
        <v/>
      </c>
    </row>
    <row r="607" spans="1:10" ht="28" customHeight="1" x14ac:dyDescent="0.2">
      <c r="A607" s="96" t="str">
        <f ca="1">INDIRECT(_xlfn.TEXTJOIN("",TRUE,A613,"!",ADDRESS(18+(A614-1)*A610,1)))</f>
        <v/>
      </c>
      <c r="B607" s="97"/>
      <c r="C607" s="106" t="str">
        <f ca="1">INDIRECT(_xlfn.TEXTJOIN("",TRUE,A613,"!",ADDRESS(18+(A614-1)*A610,2)))</f>
        <v/>
      </c>
      <c r="D607" s="107"/>
      <c r="E607" s="107"/>
      <c r="F607" s="107"/>
      <c r="G607" s="108"/>
      <c r="H607" s="20" t="str">
        <f ca="1">INDIRECT(_xlfn.TEXTJOIN("",TRUE,A613,"!",ADDRESS(18+(A614-1)*A610,6)))</f>
        <v/>
      </c>
      <c r="I607" s="20" t="str">
        <f ca="1">INDIRECT(_xlfn.TEXTJOIN("",TRUE,A613,"!",ADDRESS(18+(A614-1)*A610,13)))</f>
        <v/>
      </c>
      <c r="J607" s="20" t="str">
        <f ca="1">INDIRECT(_xlfn.TEXTJOIN("",TRUE,A613,"!",ADDRESS(18+(A614-1)*A610,14)))</f>
        <v/>
      </c>
    </row>
    <row r="608" spans="1:10" ht="28" customHeight="1" x14ac:dyDescent="0.2">
      <c r="A608" s="96" t="str">
        <f ca="1">INDIRECT(_xlfn.TEXTJOIN("",TRUE,A613,"!",ADDRESS(19+(A614-1)*A610,1)))</f>
        <v/>
      </c>
      <c r="B608" s="97"/>
      <c r="C608" s="106" t="str">
        <f ca="1">INDIRECT(_xlfn.TEXTJOIN("",TRUE,A613,"!",ADDRESS(19+(A614-1)*A610,2)))</f>
        <v/>
      </c>
      <c r="D608" s="107"/>
      <c r="E608" s="107"/>
      <c r="F608" s="107"/>
      <c r="G608" s="108"/>
      <c r="H608" s="20" t="str">
        <f ca="1">INDIRECT(_xlfn.TEXTJOIN("",TRUE,A613,"!",ADDRESS(19+(A614-1)*A610,6)))</f>
        <v/>
      </c>
      <c r="I608" s="20" t="str">
        <f ca="1">INDIRECT(_xlfn.TEXTJOIN("",TRUE,A613,"!",ADDRESS(19+(A614-1)*A610,13)))</f>
        <v/>
      </c>
      <c r="J608" s="20" t="str">
        <f ca="1">INDIRECT(_xlfn.TEXTJOIN("",TRUE,A613,"!",ADDRESS(19+(A614-1)*A610,14)))</f>
        <v/>
      </c>
    </row>
    <row r="609" spans="1:10" ht="28" customHeight="1" x14ac:dyDescent="0.2">
      <c r="A609" s="118" t="s">
        <v>52</v>
      </c>
      <c r="B609" s="118"/>
      <c r="C609" s="118"/>
      <c r="D609" s="118"/>
      <c r="E609" s="118"/>
      <c r="F609" s="118"/>
      <c r="G609" s="118"/>
      <c r="H609" s="16">
        <f ca="1">SUM(H602:H608)</f>
        <v>0</v>
      </c>
      <c r="I609" s="16" t="s">
        <v>44</v>
      </c>
      <c r="J609" s="16">
        <f ca="1">SUMPRODUCT(J602:J608,H602:H608)</f>
        <v>0</v>
      </c>
    </row>
    <row r="610" spans="1:10" ht="28" customHeight="1" x14ac:dyDescent="0.2">
      <c r="A610" s="22">
        <f>ROWS(A602:B608)+9</f>
        <v>16</v>
      </c>
      <c r="B610" s="17"/>
      <c r="C610" s="17"/>
      <c r="D610" s="17"/>
      <c r="E610" s="17"/>
      <c r="F610" s="17"/>
      <c r="G610" s="17"/>
      <c r="H610" s="17"/>
      <c r="I610" s="17"/>
      <c r="J610" s="17"/>
    </row>
    <row r="611" spans="1:10" ht="28" customHeight="1" x14ac:dyDescent="0.2">
      <c r="A611" s="120" t="s">
        <v>40</v>
      </c>
      <c r="B611" s="120"/>
      <c r="C611" s="21" t="str">
        <f ca="1">INDIRECT(_xlfn.TEXTJOIN("",TRUE,A613,"!",ADDRESS(5+A614*A610,12)))</f>
        <v/>
      </c>
      <c r="D611" s="120" t="s">
        <v>38</v>
      </c>
      <c r="E611" s="120"/>
      <c r="F611" s="18" t="str">
        <f ca="1">INDIRECT(_xlfn.TEXTJOIN("",TRUE,A613,"!",ADDRESS(5+A614*A610,8)))</f>
        <v/>
      </c>
      <c r="G611" s="120" t="s">
        <v>39</v>
      </c>
      <c r="H611" s="120"/>
      <c r="I611" s="109" t="str">
        <f ca="1">INDIRECT(_xlfn.TEXTJOIN("",TRUE,A613,"!",ADDRESS(5+A614*A610,10)))</f>
        <v/>
      </c>
      <c r="J611" s="109"/>
    </row>
    <row r="612" spans="1:10" ht="28" customHeight="1" x14ac:dyDescent="0.2">
      <c r="A612" s="19" t="s">
        <v>36</v>
      </c>
      <c r="B612" s="95" t="str">
        <f ca="1">INDIRECT(_xlfn.TEXTJOIN("",TRUE,A613,"!",ADDRESS(5+A614*A610,2)))</f>
        <v/>
      </c>
      <c r="C612" s="95"/>
      <c r="D612" s="121" t="s">
        <v>37</v>
      </c>
      <c r="E612" s="121"/>
      <c r="F612" s="122" t="str">
        <f ca="1">INDIRECT(_xlfn.TEXTJOIN("",TRUE,A613,"!",ADDRESS(5+A614*A610,5)))</f>
        <v/>
      </c>
      <c r="G612" s="122"/>
      <c r="H612" s="122"/>
      <c r="I612" s="122"/>
      <c r="J612" s="122"/>
    </row>
    <row r="613" spans="1:10" ht="28" customHeight="1" x14ac:dyDescent="0.2">
      <c r="A613" s="22" t="str">
        <f>A597</f>
        <v>TC_IV</v>
      </c>
    </row>
    <row r="614" spans="1:10" ht="28" customHeight="1" x14ac:dyDescent="0.2">
      <c r="A614" s="22">
        <f>A598+1</f>
        <v>38</v>
      </c>
    </row>
    <row r="615" spans="1:10" ht="28" customHeight="1" x14ac:dyDescent="0.2">
      <c r="A615" s="112" t="s">
        <v>24</v>
      </c>
      <c r="B615" s="112"/>
      <c r="C615" s="112" t="str">
        <f ca="1">INDIRECT(_xlfn.TEXTJOIN("",TRUE,A629,"!",ADDRESS(9+(A630-1)*A626,2)))</f>
        <v/>
      </c>
      <c r="D615" s="112"/>
      <c r="E615" s="112"/>
      <c r="F615" s="112" t="s">
        <v>50</v>
      </c>
      <c r="G615" s="112"/>
      <c r="H615" s="112"/>
      <c r="I615" s="113" t="str">
        <f ca="1">INDIRECT(_xlfn.TEXTJOIN("",TRUE,A629,"!",ADDRESS(9+(A630-1)*A626,9)))</f>
        <v/>
      </c>
      <c r="J615" s="113"/>
    </row>
    <row r="616" spans="1:10" ht="28" customHeight="1" x14ac:dyDescent="0.2">
      <c r="A616" s="112" t="s">
        <v>25</v>
      </c>
      <c r="B616" s="112"/>
      <c r="C616" s="112" t="str">
        <f ca="1">INDIRECT(_xlfn.TEXTJOIN("",TRUE,A629,"!",ADDRESS(9+(A630-1)*A626,5)))</f>
        <v/>
      </c>
      <c r="D616" s="112"/>
      <c r="E616" s="112"/>
      <c r="F616" s="114" t="s">
        <v>51</v>
      </c>
      <c r="G616" s="114"/>
      <c r="H616" s="114"/>
      <c r="I616" s="113" t="str">
        <f ca="1">INDIRECT(_xlfn.TEXTJOIN("",TRUE,A629,"!",ADDRESS(9+(A630-1)*A626,13)))</f>
        <v/>
      </c>
      <c r="J616" s="113"/>
    </row>
    <row r="617" spans="1:10" ht="28" customHeight="1" x14ac:dyDescent="0.2">
      <c r="A617" s="95" t="s">
        <v>28</v>
      </c>
      <c r="B617" s="95"/>
      <c r="C617" s="95" t="s">
        <v>29</v>
      </c>
      <c r="D617" s="95"/>
      <c r="E617" s="95"/>
      <c r="F617" s="95"/>
      <c r="G617" s="95"/>
      <c r="H617" s="15" t="s">
        <v>30</v>
      </c>
      <c r="I617" s="15" t="s">
        <v>9</v>
      </c>
      <c r="J617" s="15" t="s">
        <v>34</v>
      </c>
    </row>
    <row r="618" spans="1:10" ht="28" customHeight="1" x14ac:dyDescent="0.2">
      <c r="A618" s="96" t="str">
        <f ca="1">INDIRECT(_xlfn.TEXTJOIN("",TRUE,A629,"!",ADDRESS(13+(A630-1)*A626,1)))</f>
        <v/>
      </c>
      <c r="B618" s="97"/>
      <c r="C618" s="106" t="str">
        <f ca="1">INDIRECT(_xlfn.TEXTJOIN("",TRUE,A629,"!",ADDRESS(13+(A630-1)*A626,2)))</f>
        <v/>
      </c>
      <c r="D618" s="107"/>
      <c r="E618" s="107"/>
      <c r="F618" s="107"/>
      <c r="G618" s="108"/>
      <c r="H618" s="20" t="str">
        <f ca="1">INDIRECT(_xlfn.TEXTJOIN("",TRUE,A629,"!",ADDRESS(13+(A630-1)*A626,6)))</f>
        <v/>
      </c>
      <c r="I618" s="20" t="str">
        <f ca="1">INDIRECT(_xlfn.TEXTJOIN("",TRUE,A629,"!",ADDRESS(13+(A630-1)*A626,13)))</f>
        <v/>
      </c>
      <c r="J618" s="20" t="str">
        <f ca="1">INDIRECT(_xlfn.TEXTJOIN("",TRUE,A629,"!",ADDRESS(13+(A630-1)*A626,14)))</f>
        <v/>
      </c>
    </row>
    <row r="619" spans="1:10" ht="28" customHeight="1" x14ac:dyDescent="0.2">
      <c r="A619" s="96" t="str">
        <f ca="1">INDIRECT(_xlfn.TEXTJOIN("",TRUE,A629,"!",ADDRESS(14+(A630-1)*A626,1)))</f>
        <v/>
      </c>
      <c r="B619" s="97"/>
      <c r="C619" s="106" t="str">
        <f ca="1">INDIRECT(_xlfn.TEXTJOIN("",TRUE,A629,"!",ADDRESS(14+(A630-1)*A626,2)))</f>
        <v/>
      </c>
      <c r="D619" s="107"/>
      <c r="E619" s="107"/>
      <c r="F619" s="107"/>
      <c r="G619" s="108"/>
      <c r="H619" s="20" t="str">
        <f ca="1">INDIRECT(_xlfn.TEXTJOIN("",TRUE,A629,"!",ADDRESS(14+(A630-1)*A626,6)))</f>
        <v/>
      </c>
      <c r="I619" s="20" t="str">
        <f ca="1">INDIRECT(_xlfn.TEXTJOIN("",TRUE,A629,"!",ADDRESS(14+(A630-1)*A626,13)))</f>
        <v/>
      </c>
      <c r="J619" s="20" t="str">
        <f ca="1">INDIRECT(_xlfn.TEXTJOIN("",TRUE,A629,"!",ADDRESS(14+(A630-1)*A626,14)))</f>
        <v/>
      </c>
    </row>
    <row r="620" spans="1:10" ht="28" customHeight="1" x14ac:dyDescent="0.2">
      <c r="A620" s="96" t="str">
        <f ca="1">INDIRECT(_xlfn.TEXTJOIN("",TRUE,A629,"!",ADDRESS(15+(A630-1)*A626,1)))</f>
        <v/>
      </c>
      <c r="B620" s="97"/>
      <c r="C620" s="106" t="str">
        <f ca="1">INDIRECT(_xlfn.TEXTJOIN("",TRUE,A629,"!",ADDRESS(15+(A630-1)*A626,2)))</f>
        <v/>
      </c>
      <c r="D620" s="107"/>
      <c r="E620" s="107"/>
      <c r="F620" s="107"/>
      <c r="G620" s="108"/>
      <c r="H620" s="20" t="str">
        <f ca="1">INDIRECT(_xlfn.TEXTJOIN("",TRUE,A629,"!",ADDRESS(15+(A630-1)*A626,6)))</f>
        <v/>
      </c>
      <c r="I620" s="20" t="str">
        <f ca="1">INDIRECT(_xlfn.TEXTJOIN("",TRUE,A629,"!",ADDRESS(15+(A630-1)*A626,13)))</f>
        <v/>
      </c>
      <c r="J620" s="20" t="str">
        <f ca="1">INDIRECT(_xlfn.TEXTJOIN("",TRUE,A629,"!",ADDRESS(15+(A630-1)*A626,14)))</f>
        <v/>
      </c>
    </row>
    <row r="621" spans="1:10" ht="28" customHeight="1" x14ac:dyDescent="0.2">
      <c r="A621" s="96" t="str">
        <f ca="1">INDIRECT(_xlfn.TEXTJOIN("",TRUE,A629,"!",ADDRESS(16+(A630-1)*A626,1)))</f>
        <v/>
      </c>
      <c r="B621" s="97"/>
      <c r="C621" s="106" t="str">
        <f ca="1">INDIRECT(_xlfn.TEXTJOIN("",TRUE,A629,"!",ADDRESS(16+(A630-1)*A626,2)))</f>
        <v/>
      </c>
      <c r="D621" s="107"/>
      <c r="E621" s="107"/>
      <c r="F621" s="107"/>
      <c r="G621" s="108"/>
      <c r="H621" s="20" t="str">
        <f ca="1">INDIRECT(_xlfn.TEXTJOIN("",TRUE,A629,"!",ADDRESS(16+(A630-1)*A626,6)))</f>
        <v/>
      </c>
      <c r="I621" s="20" t="str">
        <f ca="1">INDIRECT(_xlfn.TEXTJOIN("",TRUE,A629,"!",ADDRESS(16+(A630-1)*A626,13)))</f>
        <v/>
      </c>
      <c r="J621" s="20" t="str">
        <f ca="1">INDIRECT(_xlfn.TEXTJOIN("",TRUE,A629,"!",ADDRESS(16+(A630-1)*A626,14)))</f>
        <v/>
      </c>
    </row>
    <row r="622" spans="1:10" ht="28" customHeight="1" x14ac:dyDescent="0.2">
      <c r="A622" s="96" t="str">
        <f ca="1">INDIRECT(_xlfn.TEXTJOIN("",TRUE,A629,"!",ADDRESS(17+(A630-1)*A626,1)))</f>
        <v/>
      </c>
      <c r="B622" s="97"/>
      <c r="C622" s="106" t="str">
        <f ca="1">INDIRECT(_xlfn.TEXTJOIN("",TRUE,A629,"!",ADDRESS(17+(A630-1)*A626,2)))</f>
        <v/>
      </c>
      <c r="D622" s="107"/>
      <c r="E622" s="107"/>
      <c r="F622" s="107"/>
      <c r="G622" s="108"/>
      <c r="H622" s="20" t="str">
        <f ca="1">INDIRECT(_xlfn.TEXTJOIN("",TRUE,A629,"!",ADDRESS(17+(A630-1)*A626,6)))</f>
        <v/>
      </c>
      <c r="I622" s="20" t="str">
        <f ca="1">INDIRECT(_xlfn.TEXTJOIN("",TRUE,A629,"!",ADDRESS(17+(A630-1)*A626,13)))</f>
        <v/>
      </c>
      <c r="J622" s="20" t="str">
        <f ca="1">INDIRECT(_xlfn.TEXTJOIN("",TRUE,A629,"!",ADDRESS(17+(A630-1)*A626,14)))</f>
        <v/>
      </c>
    </row>
    <row r="623" spans="1:10" ht="28" customHeight="1" x14ac:dyDescent="0.2">
      <c r="A623" s="96" t="str">
        <f ca="1">INDIRECT(_xlfn.TEXTJOIN("",TRUE,A629,"!",ADDRESS(18+(A630-1)*A626,1)))</f>
        <v/>
      </c>
      <c r="B623" s="97"/>
      <c r="C623" s="106" t="str">
        <f ca="1">INDIRECT(_xlfn.TEXTJOIN("",TRUE,A629,"!",ADDRESS(18+(A630-1)*A626,2)))</f>
        <v/>
      </c>
      <c r="D623" s="107"/>
      <c r="E623" s="107"/>
      <c r="F623" s="107"/>
      <c r="G623" s="108"/>
      <c r="H623" s="20" t="str">
        <f ca="1">INDIRECT(_xlfn.TEXTJOIN("",TRUE,A629,"!",ADDRESS(18+(A630-1)*A626,6)))</f>
        <v/>
      </c>
      <c r="I623" s="20" t="str">
        <f ca="1">INDIRECT(_xlfn.TEXTJOIN("",TRUE,A629,"!",ADDRESS(18+(A630-1)*A626,13)))</f>
        <v/>
      </c>
      <c r="J623" s="20" t="str">
        <f ca="1">INDIRECT(_xlfn.TEXTJOIN("",TRUE,A629,"!",ADDRESS(18+(A630-1)*A626,14)))</f>
        <v/>
      </c>
    </row>
    <row r="624" spans="1:10" ht="28" customHeight="1" x14ac:dyDescent="0.2">
      <c r="A624" s="96" t="str">
        <f ca="1">INDIRECT(_xlfn.TEXTJOIN("",TRUE,A629,"!",ADDRESS(19+(A630-1)*A626,1)))</f>
        <v/>
      </c>
      <c r="B624" s="97"/>
      <c r="C624" s="106" t="str">
        <f ca="1">INDIRECT(_xlfn.TEXTJOIN("",TRUE,A629,"!",ADDRESS(19+(A630-1)*A626,2)))</f>
        <v/>
      </c>
      <c r="D624" s="107"/>
      <c r="E624" s="107"/>
      <c r="F624" s="107"/>
      <c r="G624" s="108"/>
      <c r="H624" s="20" t="str">
        <f ca="1">INDIRECT(_xlfn.TEXTJOIN("",TRUE,A629,"!",ADDRESS(19+(A630-1)*A626,6)))</f>
        <v/>
      </c>
      <c r="I624" s="20" t="str">
        <f ca="1">INDIRECT(_xlfn.TEXTJOIN("",TRUE,A629,"!",ADDRESS(19+(A630-1)*A626,13)))</f>
        <v/>
      </c>
      <c r="J624" s="20" t="str">
        <f ca="1">INDIRECT(_xlfn.TEXTJOIN("",TRUE,A629,"!",ADDRESS(19+(A630-1)*A626,14)))</f>
        <v/>
      </c>
    </row>
    <row r="625" spans="1:10" ht="28" customHeight="1" x14ac:dyDescent="0.2">
      <c r="A625" s="118" t="s">
        <v>52</v>
      </c>
      <c r="B625" s="118"/>
      <c r="C625" s="118"/>
      <c r="D625" s="118"/>
      <c r="E625" s="118"/>
      <c r="F625" s="118"/>
      <c r="G625" s="118"/>
      <c r="H625" s="16">
        <f ca="1">SUM(H618:H624)</f>
        <v>0</v>
      </c>
      <c r="I625" s="16" t="s">
        <v>44</v>
      </c>
      <c r="J625" s="16">
        <f ca="1">SUMPRODUCT(J618:J624,H618:H624)</f>
        <v>0</v>
      </c>
    </row>
    <row r="626" spans="1:10" ht="28" customHeight="1" x14ac:dyDescent="0.2">
      <c r="A626" s="22">
        <f>ROWS(A618:B624)+9</f>
        <v>16</v>
      </c>
      <c r="B626" s="17"/>
      <c r="C626" s="17"/>
      <c r="D626" s="17"/>
      <c r="E626" s="17"/>
      <c r="F626" s="17"/>
      <c r="G626" s="17"/>
      <c r="H626" s="17"/>
      <c r="I626" s="17"/>
      <c r="J626" s="17"/>
    </row>
    <row r="627" spans="1:10" ht="28" customHeight="1" x14ac:dyDescent="0.2">
      <c r="A627" s="120" t="s">
        <v>40</v>
      </c>
      <c r="B627" s="120"/>
      <c r="C627" s="21" t="str">
        <f ca="1">INDIRECT(_xlfn.TEXTJOIN("",TRUE,A629,"!",ADDRESS(5+A630*A626,12)))</f>
        <v/>
      </c>
      <c r="D627" s="120" t="s">
        <v>38</v>
      </c>
      <c r="E627" s="120"/>
      <c r="F627" s="18" t="str">
        <f ca="1">INDIRECT(_xlfn.TEXTJOIN("",TRUE,A629,"!",ADDRESS(5+A630*A626,8)))</f>
        <v/>
      </c>
      <c r="G627" s="120" t="s">
        <v>39</v>
      </c>
      <c r="H627" s="120"/>
      <c r="I627" s="109" t="str">
        <f ca="1">INDIRECT(_xlfn.TEXTJOIN("",TRUE,A629,"!",ADDRESS(5+A630*A626,10)))</f>
        <v/>
      </c>
      <c r="J627" s="109"/>
    </row>
    <row r="628" spans="1:10" ht="28" customHeight="1" x14ac:dyDescent="0.2">
      <c r="A628" s="19" t="s">
        <v>36</v>
      </c>
      <c r="B628" s="95" t="str">
        <f ca="1">INDIRECT(_xlfn.TEXTJOIN("",TRUE,A629,"!",ADDRESS(5+A630*A626,2)))</f>
        <v/>
      </c>
      <c r="C628" s="95"/>
      <c r="D628" s="121" t="s">
        <v>37</v>
      </c>
      <c r="E628" s="121"/>
      <c r="F628" s="122" t="str">
        <f ca="1">INDIRECT(_xlfn.TEXTJOIN("",TRUE,A629,"!",ADDRESS(5+A630*A626,5)))</f>
        <v/>
      </c>
      <c r="G628" s="122"/>
      <c r="H628" s="122"/>
      <c r="I628" s="122"/>
      <c r="J628" s="122"/>
    </row>
    <row r="629" spans="1:10" ht="28" customHeight="1" x14ac:dyDescent="0.2">
      <c r="A629" s="22" t="str">
        <f>A613</f>
        <v>TC_IV</v>
      </c>
    </row>
    <row r="630" spans="1:10" ht="28" customHeight="1" x14ac:dyDescent="0.2">
      <c r="A630" s="22">
        <f>A614+1</f>
        <v>39</v>
      </c>
    </row>
  </sheetData>
  <mergeCells count="1253">
    <mergeCell ref="A622:B622"/>
    <mergeCell ref="C622:G622"/>
    <mergeCell ref="A623:B623"/>
    <mergeCell ref="C623:G623"/>
    <mergeCell ref="A624:B624"/>
    <mergeCell ref="C624:G624"/>
    <mergeCell ref="A625:G625"/>
    <mergeCell ref="A627:B627"/>
    <mergeCell ref="D627:E627"/>
    <mergeCell ref="G627:H627"/>
    <mergeCell ref="I627:J627"/>
    <mergeCell ref="B628:C628"/>
    <mergeCell ref="D628:E628"/>
    <mergeCell ref="F628:J628"/>
    <mergeCell ref="A615:B615"/>
    <mergeCell ref="C615:E615"/>
    <mergeCell ref="F615:H615"/>
    <mergeCell ref="I615:J615"/>
    <mergeCell ref="A616:B616"/>
    <mergeCell ref="C616:E616"/>
    <mergeCell ref="F616:H616"/>
    <mergeCell ref="I616:J616"/>
    <mergeCell ref="A617:B617"/>
    <mergeCell ref="C617:G617"/>
    <mergeCell ref="A618:B618"/>
    <mergeCell ref="C618:G618"/>
    <mergeCell ref="A619:B619"/>
    <mergeCell ref="C619:G619"/>
    <mergeCell ref="A620:B620"/>
    <mergeCell ref="C620:G620"/>
    <mergeCell ref="A621:B621"/>
    <mergeCell ref="C621:G621"/>
    <mergeCell ref="I611:J611"/>
    <mergeCell ref="B612:C612"/>
    <mergeCell ref="D612:E612"/>
    <mergeCell ref="F612:J612"/>
    <mergeCell ref="A608:B608"/>
    <mergeCell ref="C608:G608"/>
    <mergeCell ref="A609:G609"/>
    <mergeCell ref="A611:B611"/>
    <mergeCell ref="D611:E611"/>
    <mergeCell ref="G611:H611"/>
    <mergeCell ref="A605:B605"/>
    <mergeCell ref="C605:G605"/>
    <mergeCell ref="A606:B606"/>
    <mergeCell ref="C606:G606"/>
    <mergeCell ref="A607:B607"/>
    <mergeCell ref="C607:G607"/>
    <mergeCell ref="A602:B602"/>
    <mergeCell ref="C602:G602"/>
    <mergeCell ref="A603:B603"/>
    <mergeCell ref="C603:G603"/>
    <mergeCell ref="A604:B604"/>
    <mergeCell ref="C604:G604"/>
    <mergeCell ref="A600:B600"/>
    <mergeCell ref="C600:E600"/>
    <mergeCell ref="F600:H600"/>
    <mergeCell ref="I600:J600"/>
    <mergeCell ref="A601:B601"/>
    <mergeCell ref="C601:G601"/>
    <mergeCell ref="I595:J595"/>
    <mergeCell ref="B596:C596"/>
    <mergeCell ref="D596:E596"/>
    <mergeCell ref="F596:J596"/>
    <mergeCell ref="A599:B599"/>
    <mergeCell ref="C599:E599"/>
    <mergeCell ref="F599:H599"/>
    <mergeCell ref="I599:J599"/>
    <mergeCell ref="A592:B592"/>
    <mergeCell ref="C592:G592"/>
    <mergeCell ref="A593:G593"/>
    <mergeCell ref="A595:B595"/>
    <mergeCell ref="D595:E595"/>
    <mergeCell ref="G595:H595"/>
    <mergeCell ref="A589:B589"/>
    <mergeCell ref="C589:G589"/>
    <mergeCell ref="A590:B590"/>
    <mergeCell ref="C590:G590"/>
    <mergeCell ref="A591:B591"/>
    <mergeCell ref="C591:G591"/>
    <mergeCell ref="A586:B586"/>
    <mergeCell ref="C586:G586"/>
    <mergeCell ref="A587:B587"/>
    <mergeCell ref="C587:G587"/>
    <mergeCell ref="A588:B588"/>
    <mergeCell ref="C588:G588"/>
    <mergeCell ref="A584:B584"/>
    <mergeCell ref="C584:E584"/>
    <mergeCell ref="F584:H584"/>
    <mergeCell ref="I584:J584"/>
    <mergeCell ref="A585:B585"/>
    <mergeCell ref="C585:G585"/>
    <mergeCell ref="I579:J579"/>
    <mergeCell ref="B580:C580"/>
    <mergeCell ref="D580:E580"/>
    <mergeCell ref="F580:J580"/>
    <mergeCell ref="A583:B583"/>
    <mergeCell ref="C583:E583"/>
    <mergeCell ref="F583:H583"/>
    <mergeCell ref="I583:J583"/>
    <mergeCell ref="A576:B576"/>
    <mergeCell ref="C576:G576"/>
    <mergeCell ref="A577:G577"/>
    <mergeCell ref="A579:B579"/>
    <mergeCell ref="D579:E579"/>
    <mergeCell ref="G579:H579"/>
    <mergeCell ref="A573:B573"/>
    <mergeCell ref="C573:G573"/>
    <mergeCell ref="A574:B574"/>
    <mergeCell ref="C574:G574"/>
    <mergeCell ref="A575:B575"/>
    <mergeCell ref="C575:G575"/>
    <mergeCell ref="A570:B570"/>
    <mergeCell ref="C570:G570"/>
    <mergeCell ref="A571:B571"/>
    <mergeCell ref="C571:G571"/>
    <mergeCell ref="A572:B572"/>
    <mergeCell ref="C572:G572"/>
    <mergeCell ref="A568:B568"/>
    <mergeCell ref="C568:E568"/>
    <mergeCell ref="F568:H568"/>
    <mergeCell ref="I568:J568"/>
    <mergeCell ref="A569:B569"/>
    <mergeCell ref="C569:G569"/>
    <mergeCell ref="I563:J563"/>
    <mergeCell ref="B564:C564"/>
    <mergeCell ref="D564:E564"/>
    <mergeCell ref="F564:J564"/>
    <mergeCell ref="A567:B567"/>
    <mergeCell ref="C567:E567"/>
    <mergeCell ref="F567:H567"/>
    <mergeCell ref="I567:J567"/>
    <mergeCell ref="A560:B560"/>
    <mergeCell ref="C560:G560"/>
    <mergeCell ref="A561:G561"/>
    <mergeCell ref="A563:B563"/>
    <mergeCell ref="D563:E563"/>
    <mergeCell ref="G563:H563"/>
    <mergeCell ref="A557:B557"/>
    <mergeCell ref="C557:G557"/>
    <mergeCell ref="A558:B558"/>
    <mergeCell ref="C558:G558"/>
    <mergeCell ref="A559:B559"/>
    <mergeCell ref="C559:G559"/>
    <mergeCell ref="A554:B554"/>
    <mergeCell ref="C554:G554"/>
    <mergeCell ref="A555:B555"/>
    <mergeCell ref="C555:G555"/>
    <mergeCell ref="A556:B556"/>
    <mergeCell ref="C556:G556"/>
    <mergeCell ref="A552:B552"/>
    <mergeCell ref="C552:E552"/>
    <mergeCell ref="F552:H552"/>
    <mergeCell ref="I552:J552"/>
    <mergeCell ref="A553:B553"/>
    <mergeCell ref="C553:G553"/>
    <mergeCell ref="I547:J547"/>
    <mergeCell ref="B548:C548"/>
    <mergeCell ref="D548:E548"/>
    <mergeCell ref="F548:J548"/>
    <mergeCell ref="A551:B551"/>
    <mergeCell ref="C551:E551"/>
    <mergeCell ref="F551:H551"/>
    <mergeCell ref="I551:J551"/>
    <mergeCell ref="A544:B544"/>
    <mergeCell ref="C544:G544"/>
    <mergeCell ref="A545:G545"/>
    <mergeCell ref="A547:B547"/>
    <mergeCell ref="D547:E547"/>
    <mergeCell ref="G547:H547"/>
    <mergeCell ref="A541:B541"/>
    <mergeCell ref="C541:G541"/>
    <mergeCell ref="A542:B542"/>
    <mergeCell ref="C542:G542"/>
    <mergeCell ref="A543:B543"/>
    <mergeCell ref="C543:G543"/>
    <mergeCell ref="A538:B538"/>
    <mergeCell ref="C538:G538"/>
    <mergeCell ref="A539:B539"/>
    <mergeCell ref="C539:G539"/>
    <mergeCell ref="A540:B540"/>
    <mergeCell ref="C540:G540"/>
    <mergeCell ref="A536:B536"/>
    <mergeCell ref="C536:E536"/>
    <mergeCell ref="F536:H536"/>
    <mergeCell ref="I536:J536"/>
    <mergeCell ref="A537:B537"/>
    <mergeCell ref="C537:G537"/>
    <mergeCell ref="I531:J531"/>
    <mergeCell ref="B532:C532"/>
    <mergeCell ref="D532:E532"/>
    <mergeCell ref="F532:J532"/>
    <mergeCell ref="A535:B535"/>
    <mergeCell ref="C535:E535"/>
    <mergeCell ref="F535:H535"/>
    <mergeCell ref="I535:J535"/>
    <mergeCell ref="A528:B528"/>
    <mergeCell ref="C528:G528"/>
    <mergeCell ref="A529:G529"/>
    <mergeCell ref="A531:B531"/>
    <mergeCell ref="D531:E531"/>
    <mergeCell ref="G531:H531"/>
    <mergeCell ref="A525:B525"/>
    <mergeCell ref="C525:G525"/>
    <mergeCell ref="A526:B526"/>
    <mergeCell ref="C526:G526"/>
    <mergeCell ref="A527:B527"/>
    <mergeCell ref="C527:G527"/>
    <mergeCell ref="A522:B522"/>
    <mergeCell ref="C522:G522"/>
    <mergeCell ref="A523:B523"/>
    <mergeCell ref="C523:G523"/>
    <mergeCell ref="A524:B524"/>
    <mergeCell ref="C524:G524"/>
    <mergeCell ref="A520:B520"/>
    <mergeCell ref="C520:E520"/>
    <mergeCell ref="F520:H520"/>
    <mergeCell ref="I520:J520"/>
    <mergeCell ref="A521:B521"/>
    <mergeCell ref="C521:G521"/>
    <mergeCell ref="I515:J515"/>
    <mergeCell ref="B516:C516"/>
    <mergeCell ref="D516:E516"/>
    <mergeCell ref="F516:J516"/>
    <mergeCell ref="A519:B519"/>
    <mergeCell ref="C519:E519"/>
    <mergeCell ref="F519:H519"/>
    <mergeCell ref="I519:J519"/>
    <mergeCell ref="A512:B512"/>
    <mergeCell ref="C512:G512"/>
    <mergeCell ref="A513:G513"/>
    <mergeCell ref="A515:B515"/>
    <mergeCell ref="D515:E515"/>
    <mergeCell ref="G515:H515"/>
    <mergeCell ref="A509:B509"/>
    <mergeCell ref="C509:G509"/>
    <mergeCell ref="A510:B510"/>
    <mergeCell ref="C510:G510"/>
    <mergeCell ref="A511:B511"/>
    <mergeCell ref="C511:G511"/>
    <mergeCell ref="A506:B506"/>
    <mergeCell ref="C506:G506"/>
    <mergeCell ref="A507:B507"/>
    <mergeCell ref="C507:G507"/>
    <mergeCell ref="A508:B508"/>
    <mergeCell ref="C508:G508"/>
    <mergeCell ref="A504:B504"/>
    <mergeCell ref="C504:E504"/>
    <mergeCell ref="F504:H504"/>
    <mergeCell ref="I504:J504"/>
    <mergeCell ref="A505:B505"/>
    <mergeCell ref="C505:G505"/>
    <mergeCell ref="I499:J499"/>
    <mergeCell ref="B500:C500"/>
    <mergeCell ref="D500:E500"/>
    <mergeCell ref="F500:J500"/>
    <mergeCell ref="A503:B503"/>
    <mergeCell ref="C503:E503"/>
    <mergeCell ref="F503:H503"/>
    <mergeCell ref="I503:J503"/>
    <mergeCell ref="A496:B496"/>
    <mergeCell ref="C496:G496"/>
    <mergeCell ref="A497:G497"/>
    <mergeCell ref="A499:B499"/>
    <mergeCell ref="D499:E499"/>
    <mergeCell ref="G499:H499"/>
    <mergeCell ref="A493:B493"/>
    <mergeCell ref="C493:G493"/>
    <mergeCell ref="A494:B494"/>
    <mergeCell ref="C494:G494"/>
    <mergeCell ref="A495:B495"/>
    <mergeCell ref="C495:G495"/>
    <mergeCell ref="A490:B490"/>
    <mergeCell ref="C490:G490"/>
    <mergeCell ref="A491:B491"/>
    <mergeCell ref="C491:G491"/>
    <mergeCell ref="A492:B492"/>
    <mergeCell ref="C492:G492"/>
    <mergeCell ref="A488:B488"/>
    <mergeCell ref="C488:E488"/>
    <mergeCell ref="F488:H488"/>
    <mergeCell ref="I488:J488"/>
    <mergeCell ref="A489:B489"/>
    <mergeCell ref="C489:G489"/>
    <mergeCell ref="I483:J483"/>
    <mergeCell ref="B484:C484"/>
    <mergeCell ref="D484:E484"/>
    <mergeCell ref="F484:J484"/>
    <mergeCell ref="A487:B487"/>
    <mergeCell ref="C487:E487"/>
    <mergeCell ref="F487:H487"/>
    <mergeCell ref="I487:J487"/>
    <mergeCell ref="A480:B480"/>
    <mergeCell ref="C480:G480"/>
    <mergeCell ref="A481:G481"/>
    <mergeCell ref="A483:B483"/>
    <mergeCell ref="D483:E483"/>
    <mergeCell ref="G483:H483"/>
    <mergeCell ref="A477:B477"/>
    <mergeCell ref="C477:G477"/>
    <mergeCell ref="A478:B478"/>
    <mergeCell ref="C478:G478"/>
    <mergeCell ref="A479:B479"/>
    <mergeCell ref="C479:G479"/>
    <mergeCell ref="A474:B474"/>
    <mergeCell ref="C474:G474"/>
    <mergeCell ref="A475:B475"/>
    <mergeCell ref="C475:G475"/>
    <mergeCell ref="A476:B476"/>
    <mergeCell ref="C476:G476"/>
    <mergeCell ref="A472:B472"/>
    <mergeCell ref="C472:E472"/>
    <mergeCell ref="F472:H472"/>
    <mergeCell ref="I472:J472"/>
    <mergeCell ref="A473:B473"/>
    <mergeCell ref="C473:G473"/>
    <mergeCell ref="I467:J467"/>
    <mergeCell ref="B468:C468"/>
    <mergeCell ref="D468:E468"/>
    <mergeCell ref="F468:J468"/>
    <mergeCell ref="A471:B471"/>
    <mergeCell ref="C471:E471"/>
    <mergeCell ref="F471:H471"/>
    <mergeCell ref="I471:J471"/>
    <mergeCell ref="A464:B464"/>
    <mergeCell ref="C464:G464"/>
    <mergeCell ref="A465:G465"/>
    <mergeCell ref="A467:B467"/>
    <mergeCell ref="D467:E467"/>
    <mergeCell ref="G467:H467"/>
    <mergeCell ref="A461:B461"/>
    <mergeCell ref="C461:G461"/>
    <mergeCell ref="A462:B462"/>
    <mergeCell ref="C462:G462"/>
    <mergeCell ref="A463:B463"/>
    <mergeCell ref="C463:G463"/>
    <mergeCell ref="A458:B458"/>
    <mergeCell ref="C458:G458"/>
    <mergeCell ref="A459:B459"/>
    <mergeCell ref="C459:G459"/>
    <mergeCell ref="A460:B460"/>
    <mergeCell ref="C460:G460"/>
    <mergeCell ref="A456:B456"/>
    <mergeCell ref="C456:E456"/>
    <mergeCell ref="F456:H456"/>
    <mergeCell ref="I456:J456"/>
    <mergeCell ref="A457:B457"/>
    <mergeCell ref="C457:G457"/>
    <mergeCell ref="I451:J451"/>
    <mergeCell ref="B452:C452"/>
    <mergeCell ref="D452:E452"/>
    <mergeCell ref="F452:J452"/>
    <mergeCell ref="A455:B455"/>
    <mergeCell ref="C455:E455"/>
    <mergeCell ref="F455:H455"/>
    <mergeCell ref="I455:J455"/>
    <mergeCell ref="A448:B448"/>
    <mergeCell ref="C448:G448"/>
    <mergeCell ref="A449:G449"/>
    <mergeCell ref="A451:B451"/>
    <mergeCell ref="D451:E451"/>
    <mergeCell ref="G451:H451"/>
    <mergeCell ref="A445:B445"/>
    <mergeCell ref="C445:G445"/>
    <mergeCell ref="A446:B446"/>
    <mergeCell ref="C446:G446"/>
    <mergeCell ref="A447:B447"/>
    <mergeCell ref="C447:G447"/>
    <mergeCell ref="A442:B442"/>
    <mergeCell ref="C442:G442"/>
    <mergeCell ref="A443:B443"/>
    <mergeCell ref="C443:G443"/>
    <mergeCell ref="A444:B444"/>
    <mergeCell ref="C444:G444"/>
    <mergeCell ref="A440:B440"/>
    <mergeCell ref="C440:E440"/>
    <mergeCell ref="F440:H440"/>
    <mergeCell ref="I440:J440"/>
    <mergeCell ref="A441:B441"/>
    <mergeCell ref="C441:G441"/>
    <mergeCell ref="I435:J435"/>
    <mergeCell ref="B436:C436"/>
    <mergeCell ref="D436:E436"/>
    <mergeCell ref="F436:J436"/>
    <mergeCell ref="A439:B439"/>
    <mergeCell ref="C439:E439"/>
    <mergeCell ref="F439:H439"/>
    <mergeCell ref="I439:J439"/>
    <mergeCell ref="A432:B432"/>
    <mergeCell ref="C432:G432"/>
    <mergeCell ref="A433:G433"/>
    <mergeCell ref="A435:B435"/>
    <mergeCell ref="D435:E435"/>
    <mergeCell ref="G435:H435"/>
    <mergeCell ref="A429:B429"/>
    <mergeCell ref="C429:G429"/>
    <mergeCell ref="A430:B430"/>
    <mergeCell ref="C430:G430"/>
    <mergeCell ref="A431:B431"/>
    <mergeCell ref="C431:G431"/>
    <mergeCell ref="A426:B426"/>
    <mergeCell ref="C426:G426"/>
    <mergeCell ref="A427:B427"/>
    <mergeCell ref="C427:G427"/>
    <mergeCell ref="A428:B428"/>
    <mergeCell ref="C428:G428"/>
    <mergeCell ref="A424:B424"/>
    <mergeCell ref="C424:E424"/>
    <mergeCell ref="F424:H424"/>
    <mergeCell ref="I424:J424"/>
    <mergeCell ref="A425:B425"/>
    <mergeCell ref="C425:G425"/>
    <mergeCell ref="I419:J419"/>
    <mergeCell ref="B420:C420"/>
    <mergeCell ref="D420:E420"/>
    <mergeCell ref="F420:J420"/>
    <mergeCell ref="A423:B423"/>
    <mergeCell ref="C423:E423"/>
    <mergeCell ref="F423:H423"/>
    <mergeCell ref="I423:J423"/>
    <mergeCell ref="A416:B416"/>
    <mergeCell ref="C416:G416"/>
    <mergeCell ref="A417:G417"/>
    <mergeCell ref="A419:B419"/>
    <mergeCell ref="D419:E419"/>
    <mergeCell ref="G419:H419"/>
    <mergeCell ref="A413:B413"/>
    <mergeCell ref="C413:G413"/>
    <mergeCell ref="A414:B414"/>
    <mergeCell ref="C414:G414"/>
    <mergeCell ref="A415:B415"/>
    <mergeCell ref="C415:G415"/>
    <mergeCell ref="A410:B410"/>
    <mergeCell ref="C410:G410"/>
    <mergeCell ref="A411:B411"/>
    <mergeCell ref="C411:G411"/>
    <mergeCell ref="A412:B412"/>
    <mergeCell ref="C412:G412"/>
    <mergeCell ref="A408:B408"/>
    <mergeCell ref="C408:E408"/>
    <mergeCell ref="F408:H408"/>
    <mergeCell ref="I408:J408"/>
    <mergeCell ref="A409:B409"/>
    <mergeCell ref="C409:G409"/>
    <mergeCell ref="I403:J403"/>
    <mergeCell ref="B404:C404"/>
    <mergeCell ref="D404:E404"/>
    <mergeCell ref="F404:J404"/>
    <mergeCell ref="A407:B407"/>
    <mergeCell ref="C407:E407"/>
    <mergeCell ref="F407:H407"/>
    <mergeCell ref="I407:J407"/>
    <mergeCell ref="A400:B400"/>
    <mergeCell ref="C400:G400"/>
    <mergeCell ref="A401:G401"/>
    <mergeCell ref="A403:B403"/>
    <mergeCell ref="D403:E403"/>
    <mergeCell ref="G403:H403"/>
    <mergeCell ref="A397:B397"/>
    <mergeCell ref="C397:G397"/>
    <mergeCell ref="A398:B398"/>
    <mergeCell ref="C398:G398"/>
    <mergeCell ref="A399:B399"/>
    <mergeCell ref="C399:G399"/>
    <mergeCell ref="A394:B394"/>
    <mergeCell ref="C394:G394"/>
    <mergeCell ref="A395:B395"/>
    <mergeCell ref="C395:G395"/>
    <mergeCell ref="A396:B396"/>
    <mergeCell ref="C396:G396"/>
    <mergeCell ref="A392:B392"/>
    <mergeCell ref="C392:E392"/>
    <mergeCell ref="F392:H392"/>
    <mergeCell ref="I392:J392"/>
    <mergeCell ref="A393:B393"/>
    <mergeCell ref="C393:G393"/>
    <mergeCell ref="I387:J387"/>
    <mergeCell ref="B388:C388"/>
    <mergeCell ref="D388:E388"/>
    <mergeCell ref="F388:J388"/>
    <mergeCell ref="A391:B391"/>
    <mergeCell ref="C391:E391"/>
    <mergeCell ref="F391:H391"/>
    <mergeCell ref="I391:J391"/>
    <mergeCell ref="A384:B384"/>
    <mergeCell ref="C384:G384"/>
    <mergeCell ref="A385:G385"/>
    <mergeCell ref="A387:B387"/>
    <mergeCell ref="D387:E387"/>
    <mergeCell ref="G387:H387"/>
    <mergeCell ref="A381:B381"/>
    <mergeCell ref="C381:G381"/>
    <mergeCell ref="A382:B382"/>
    <mergeCell ref="C382:G382"/>
    <mergeCell ref="A383:B383"/>
    <mergeCell ref="C383:G383"/>
    <mergeCell ref="A378:B378"/>
    <mergeCell ref="C378:G378"/>
    <mergeCell ref="A379:B379"/>
    <mergeCell ref="C379:G379"/>
    <mergeCell ref="A380:B380"/>
    <mergeCell ref="C380:G380"/>
    <mergeCell ref="A376:B376"/>
    <mergeCell ref="C376:E376"/>
    <mergeCell ref="F376:H376"/>
    <mergeCell ref="I376:J376"/>
    <mergeCell ref="A377:B377"/>
    <mergeCell ref="C377:G377"/>
    <mergeCell ref="I371:J371"/>
    <mergeCell ref="B372:C372"/>
    <mergeCell ref="D372:E372"/>
    <mergeCell ref="F372:J372"/>
    <mergeCell ref="A375:B375"/>
    <mergeCell ref="C375:E375"/>
    <mergeCell ref="F375:H375"/>
    <mergeCell ref="I375:J375"/>
    <mergeCell ref="A368:B368"/>
    <mergeCell ref="C368:G368"/>
    <mergeCell ref="A369:G369"/>
    <mergeCell ref="A371:B371"/>
    <mergeCell ref="D371:E371"/>
    <mergeCell ref="G371:H371"/>
    <mergeCell ref="A365:B365"/>
    <mergeCell ref="C365:G365"/>
    <mergeCell ref="A366:B366"/>
    <mergeCell ref="C366:G366"/>
    <mergeCell ref="A367:B367"/>
    <mergeCell ref="C367:G367"/>
    <mergeCell ref="A362:B362"/>
    <mergeCell ref="C362:G362"/>
    <mergeCell ref="A363:B363"/>
    <mergeCell ref="C363:G363"/>
    <mergeCell ref="A364:B364"/>
    <mergeCell ref="C364:G364"/>
    <mergeCell ref="A360:B360"/>
    <mergeCell ref="C360:E360"/>
    <mergeCell ref="F360:H360"/>
    <mergeCell ref="I360:J360"/>
    <mergeCell ref="A361:B361"/>
    <mergeCell ref="C361:G361"/>
    <mergeCell ref="I355:J355"/>
    <mergeCell ref="B356:C356"/>
    <mergeCell ref="D356:E356"/>
    <mergeCell ref="F356:J356"/>
    <mergeCell ref="A359:B359"/>
    <mergeCell ref="C359:E359"/>
    <mergeCell ref="F359:H359"/>
    <mergeCell ref="I359:J359"/>
    <mergeCell ref="A352:B352"/>
    <mergeCell ref="C352:G352"/>
    <mergeCell ref="A353:G353"/>
    <mergeCell ref="A355:B355"/>
    <mergeCell ref="D355:E355"/>
    <mergeCell ref="G355:H355"/>
    <mergeCell ref="A349:B349"/>
    <mergeCell ref="C349:G349"/>
    <mergeCell ref="A350:B350"/>
    <mergeCell ref="C350:G350"/>
    <mergeCell ref="A351:B351"/>
    <mergeCell ref="C351:G351"/>
    <mergeCell ref="A346:B346"/>
    <mergeCell ref="C346:G346"/>
    <mergeCell ref="A347:B347"/>
    <mergeCell ref="C347:G347"/>
    <mergeCell ref="A348:B348"/>
    <mergeCell ref="C348:G348"/>
    <mergeCell ref="A344:B344"/>
    <mergeCell ref="C344:E344"/>
    <mergeCell ref="F344:H344"/>
    <mergeCell ref="I344:J344"/>
    <mergeCell ref="A345:B345"/>
    <mergeCell ref="C345:G345"/>
    <mergeCell ref="I339:J339"/>
    <mergeCell ref="B340:C340"/>
    <mergeCell ref="D340:E340"/>
    <mergeCell ref="F340:J340"/>
    <mergeCell ref="A343:B343"/>
    <mergeCell ref="C343:E343"/>
    <mergeCell ref="F343:H343"/>
    <mergeCell ref="I343:J343"/>
    <mergeCell ref="A336:B336"/>
    <mergeCell ref="C336:G336"/>
    <mergeCell ref="A337:G337"/>
    <mergeCell ref="A339:B339"/>
    <mergeCell ref="D339:E339"/>
    <mergeCell ref="G339:H339"/>
    <mergeCell ref="A333:B333"/>
    <mergeCell ref="C333:G333"/>
    <mergeCell ref="A334:B334"/>
    <mergeCell ref="C334:G334"/>
    <mergeCell ref="A335:B335"/>
    <mergeCell ref="C335:G335"/>
    <mergeCell ref="A330:B330"/>
    <mergeCell ref="C330:G330"/>
    <mergeCell ref="A331:B331"/>
    <mergeCell ref="C331:G331"/>
    <mergeCell ref="A332:B332"/>
    <mergeCell ref="C332:G332"/>
    <mergeCell ref="A328:B328"/>
    <mergeCell ref="C328:E328"/>
    <mergeCell ref="F328:H328"/>
    <mergeCell ref="I328:J328"/>
    <mergeCell ref="A329:B329"/>
    <mergeCell ref="C329:G329"/>
    <mergeCell ref="I323:J323"/>
    <mergeCell ref="B324:C324"/>
    <mergeCell ref="D324:E324"/>
    <mergeCell ref="F324:J324"/>
    <mergeCell ref="A327:B327"/>
    <mergeCell ref="C327:E327"/>
    <mergeCell ref="F327:H327"/>
    <mergeCell ref="I327:J327"/>
    <mergeCell ref="A320:B320"/>
    <mergeCell ref="C320:G320"/>
    <mergeCell ref="A321:G321"/>
    <mergeCell ref="A323:B323"/>
    <mergeCell ref="D323:E323"/>
    <mergeCell ref="G323:H323"/>
    <mergeCell ref="A317:B317"/>
    <mergeCell ref="C317:G317"/>
    <mergeCell ref="A318:B318"/>
    <mergeCell ref="C318:G318"/>
    <mergeCell ref="A319:B319"/>
    <mergeCell ref="C319:G319"/>
    <mergeCell ref="A314:B314"/>
    <mergeCell ref="C314:G314"/>
    <mergeCell ref="A315:B315"/>
    <mergeCell ref="C315:G315"/>
    <mergeCell ref="A316:B316"/>
    <mergeCell ref="C316:G316"/>
    <mergeCell ref="A312:B312"/>
    <mergeCell ref="C312:E312"/>
    <mergeCell ref="F312:H312"/>
    <mergeCell ref="I312:J312"/>
    <mergeCell ref="A313:B313"/>
    <mergeCell ref="C313:G313"/>
    <mergeCell ref="I307:J307"/>
    <mergeCell ref="B308:C308"/>
    <mergeCell ref="D308:E308"/>
    <mergeCell ref="F308:J308"/>
    <mergeCell ref="A311:B311"/>
    <mergeCell ref="C311:E311"/>
    <mergeCell ref="F311:H311"/>
    <mergeCell ref="I311:J311"/>
    <mergeCell ref="A304:B304"/>
    <mergeCell ref="C304:G304"/>
    <mergeCell ref="A305:G305"/>
    <mergeCell ref="A307:B307"/>
    <mergeCell ref="D307:E307"/>
    <mergeCell ref="G307:H307"/>
    <mergeCell ref="A301:B301"/>
    <mergeCell ref="C301:G301"/>
    <mergeCell ref="A302:B302"/>
    <mergeCell ref="C302:G302"/>
    <mergeCell ref="A303:B303"/>
    <mergeCell ref="C303:G303"/>
    <mergeCell ref="A298:B298"/>
    <mergeCell ref="C298:G298"/>
    <mergeCell ref="A299:B299"/>
    <mergeCell ref="C299:G299"/>
    <mergeCell ref="A300:B300"/>
    <mergeCell ref="C300:G300"/>
    <mergeCell ref="A296:B296"/>
    <mergeCell ref="C296:E296"/>
    <mergeCell ref="F296:H296"/>
    <mergeCell ref="I296:J296"/>
    <mergeCell ref="A297:B297"/>
    <mergeCell ref="C297:G297"/>
    <mergeCell ref="I291:J291"/>
    <mergeCell ref="B292:C292"/>
    <mergeCell ref="D292:E292"/>
    <mergeCell ref="F292:J292"/>
    <mergeCell ref="A295:B295"/>
    <mergeCell ref="C295:E295"/>
    <mergeCell ref="F295:H295"/>
    <mergeCell ref="I295:J295"/>
    <mergeCell ref="A288:B288"/>
    <mergeCell ref="C288:G288"/>
    <mergeCell ref="A289:G289"/>
    <mergeCell ref="A291:B291"/>
    <mergeCell ref="D291:E291"/>
    <mergeCell ref="G291:H291"/>
    <mergeCell ref="A285:B285"/>
    <mergeCell ref="C285:G285"/>
    <mergeCell ref="A286:B286"/>
    <mergeCell ref="C286:G286"/>
    <mergeCell ref="A287:B287"/>
    <mergeCell ref="C287:G287"/>
    <mergeCell ref="A282:B282"/>
    <mergeCell ref="C282:G282"/>
    <mergeCell ref="A283:B283"/>
    <mergeCell ref="C283:G283"/>
    <mergeCell ref="A284:B284"/>
    <mergeCell ref="C284:G284"/>
    <mergeCell ref="A280:B280"/>
    <mergeCell ref="C280:E280"/>
    <mergeCell ref="F280:H280"/>
    <mergeCell ref="I280:J280"/>
    <mergeCell ref="A281:B281"/>
    <mergeCell ref="C281:G281"/>
    <mergeCell ref="I275:J275"/>
    <mergeCell ref="B276:C276"/>
    <mergeCell ref="D276:E276"/>
    <mergeCell ref="F276:J276"/>
    <mergeCell ref="A279:B279"/>
    <mergeCell ref="C279:E279"/>
    <mergeCell ref="F279:H279"/>
    <mergeCell ref="I279:J279"/>
    <mergeCell ref="A272:B272"/>
    <mergeCell ref="C272:G272"/>
    <mergeCell ref="A273:G273"/>
    <mergeCell ref="A275:B275"/>
    <mergeCell ref="D275:E275"/>
    <mergeCell ref="G275:H275"/>
    <mergeCell ref="A269:B269"/>
    <mergeCell ref="C269:G269"/>
    <mergeCell ref="A270:B270"/>
    <mergeCell ref="C270:G270"/>
    <mergeCell ref="A271:B271"/>
    <mergeCell ref="C271:G271"/>
    <mergeCell ref="A266:B266"/>
    <mergeCell ref="C266:G266"/>
    <mergeCell ref="A267:B267"/>
    <mergeCell ref="C267:G267"/>
    <mergeCell ref="A268:B268"/>
    <mergeCell ref="C268:G268"/>
    <mergeCell ref="A264:B264"/>
    <mergeCell ref="C264:E264"/>
    <mergeCell ref="F264:H264"/>
    <mergeCell ref="I264:J264"/>
    <mergeCell ref="A265:B265"/>
    <mergeCell ref="C265:G265"/>
    <mergeCell ref="I259:J259"/>
    <mergeCell ref="B260:C260"/>
    <mergeCell ref="D260:E260"/>
    <mergeCell ref="F260:J260"/>
    <mergeCell ref="A263:B263"/>
    <mergeCell ref="C263:E263"/>
    <mergeCell ref="F263:H263"/>
    <mergeCell ref="I263:J263"/>
    <mergeCell ref="A256:B256"/>
    <mergeCell ref="C256:G256"/>
    <mergeCell ref="A257:G257"/>
    <mergeCell ref="A259:B259"/>
    <mergeCell ref="D259:E259"/>
    <mergeCell ref="G259:H259"/>
    <mergeCell ref="A253:B253"/>
    <mergeCell ref="C253:G253"/>
    <mergeCell ref="A254:B254"/>
    <mergeCell ref="C254:G254"/>
    <mergeCell ref="A255:B255"/>
    <mergeCell ref="C255:G255"/>
    <mergeCell ref="A250:B250"/>
    <mergeCell ref="C250:G250"/>
    <mergeCell ref="A251:B251"/>
    <mergeCell ref="C251:G251"/>
    <mergeCell ref="A252:B252"/>
    <mergeCell ref="C252:G252"/>
    <mergeCell ref="A248:B248"/>
    <mergeCell ref="C248:E248"/>
    <mergeCell ref="F248:H248"/>
    <mergeCell ref="I248:J248"/>
    <mergeCell ref="A249:B249"/>
    <mergeCell ref="C249:G249"/>
    <mergeCell ref="I243:J243"/>
    <mergeCell ref="B244:C244"/>
    <mergeCell ref="D244:E244"/>
    <mergeCell ref="F244:J244"/>
    <mergeCell ref="A247:B247"/>
    <mergeCell ref="C247:E247"/>
    <mergeCell ref="F247:H247"/>
    <mergeCell ref="I247:J247"/>
    <mergeCell ref="A240:B240"/>
    <mergeCell ref="C240:G240"/>
    <mergeCell ref="A241:G241"/>
    <mergeCell ref="A243:B243"/>
    <mergeCell ref="D243:E243"/>
    <mergeCell ref="G243:H243"/>
    <mergeCell ref="A237:B237"/>
    <mergeCell ref="C237:G237"/>
    <mergeCell ref="A238:B238"/>
    <mergeCell ref="C238:G238"/>
    <mergeCell ref="A239:B239"/>
    <mergeCell ref="C239:G239"/>
    <mergeCell ref="A234:B234"/>
    <mergeCell ref="C234:G234"/>
    <mergeCell ref="A235:B235"/>
    <mergeCell ref="C235:G235"/>
    <mergeCell ref="A236:B236"/>
    <mergeCell ref="C236:G236"/>
    <mergeCell ref="A232:B232"/>
    <mergeCell ref="C232:E232"/>
    <mergeCell ref="F232:H232"/>
    <mergeCell ref="I232:J232"/>
    <mergeCell ref="A233:B233"/>
    <mergeCell ref="C233:G233"/>
    <mergeCell ref="I227:J227"/>
    <mergeCell ref="B228:C228"/>
    <mergeCell ref="D228:E228"/>
    <mergeCell ref="F228:J228"/>
    <mergeCell ref="A231:B231"/>
    <mergeCell ref="C231:E231"/>
    <mergeCell ref="F231:H231"/>
    <mergeCell ref="I231:J231"/>
    <mergeCell ref="A224:B224"/>
    <mergeCell ref="C224:G224"/>
    <mergeCell ref="A225:G225"/>
    <mergeCell ref="A227:B227"/>
    <mergeCell ref="D227:E227"/>
    <mergeCell ref="G227:H227"/>
    <mergeCell ref="A221:B221"/>
    <mergeCell ref="C221:G221"/>
    <mergeCell ref="A222:B222"/>
    <mergeCell ref="C222:G222"/>
    <mergeCell ref="A223:B223"/>
    <mergeCell ref="C223:G223"/>
    <mergeCell ref="A218:B218"/>
    <mergeCell ref="C218:G218"/>
    <mergeCell ref="A219:B219"/>
    <mergeCell ref="C219:G219"/>
    <mergeCell ref="A220:B220"/>
    <mergeCell ref="C220:G220"/>
    <mergeCell ref="A216:B216"/>
    <mergeCell ref="C216:E216"/>
    <mergeCell ref="F216:H216"/>
    <mergeCell ref="I216:J216"/>
    <mergeCell ref="A217:B217"/>
    <mergeCell ref="C217:G217"/>
    <mergeCell ref="I211:J211"/>
    <mergeCell ref="B212:C212"/>
    <mergeCell ref="D212:E212"/>
    <mergeCell ref="F212:J212"/>
    <mergeCell ref="A215:B215"/>
    <mergeCell ref="C215:E215"/>
    <mergeCell ref="F215:H215"/>
    <mergeCell ref="I215:J215"/>
    <mergeCell ref="A208:B208"/>
    <mergeCell ref="C208:G208"/>
    <mergeCell ref="A209:G209"/>
    <mergeCell ref="A211:B211"/>
    <mergeCell ref="D211:E211"/>
    <mergeCell ref="G211:H211"/>
    <mergeCell ref="A205:B205"/>
    <mergeCell ref="C205:G205"/>
    <mergeCell ref="A206:B206"/>
    <mergeCell ref="C206:G206"/>
    <mergeCell ref="A207:B207"/>
    <mergeCell ref="C207:G207"/>
    <mergeCell ref="A202:B202"/>
    <mergeCell ref="C202:G202"/>
    <mergeCell ref="A203:B203"/>
    <mergeCell ref="C203:G203"/>
    <mergeCell ref="A204:B204"/>
    <mergeCell ref="C204:G204"/>
    <mergeCell ref="A200:B200"/>
    <mergeCell ref="C200:E200"/>
    <mergeCell ref="F200:H200"/>
    <mergeCell ref="I200:J200"/>
    <mergeCell ref="A201:B201"/>
    <mergeCell ref="C201:G201"/>
    <mergeCell ref="I195:J195"/>
    <mergeCell ref="B196:C196"/>
    <mergeCell ref="D196:E196"/>
    <mergeCell ref="F196:J196"/>
    <mergeCell ref="A199:B199"/>
    <mergeCell ref="C199:E199"/>
    <mergeCell ref="F199:H199"/>
    <mergeCell ref="I199:J199"/>
    <mergeCell ref="A192:B192"/>
    <mergeCell ref="C192:G192"/>
    <mergeCell ref="A193:G193"/>
    <mergeCell ref="A195:B195"/>
    <mergeCell ref="D195:E195"/>
    <mergeCell ref="G195:H195"/>
    <mergeCell ref="A189:B189"/>
    <mergeCell ref="C189:G189"/>
    <mergeCell ref="A190:B190"/>
    <mergeCell ref="C190:G190"/>
    <mergeCell ref="A191:B191"/>
    <mergeCell ref="C191:G191"/>
    <mergeCell ref="A186:B186"/>
    <mergeCell ref="C186:G186"/>
    <mergeCell ref="A187:B187"/>
    <mergeCell ref="C187:G187"/>
    <mergeCell ref="A188:B188"/>
    <mergeCell ref="C188:G188"/>
    <mergeCell ref="A184:B184"/>
    <mergeCell ref="C184:E184"/>
    <mergeCell ref="F184:H184"/>
    <mergeCell ref="I184:J184"/>
    <mergeCell ref="A185:B185"/>
    <mergeCell ref="C185:G185"/>
    <mergeCell ref="I179:J179"/>
    <mergeCell ref="B180:C180"/>
    <mergeCell ref="D180:E180"/>
    <mergeCell ref="F180:J180"/>
    <mergeCell ref="A183:B183"/>
    <mergeCell ref="C183:E183"/>
    <mergeCell ref="F183:H183"/>
    <mergeCell ref="I183:J183"/>
    <mergeCell ref="A176:B176"/>
    <mergeCell ref="C176:G176"/>
    <mergeCell ref="A177:G177"/>
    <mergeCell ref="A179:B179"/>
    <mergeCell ref="D179:E179"/>
    <mergeCell ref="G179:H179"/>
    <mergeCell ref="A173:B173"/>
    <mergeCell ref="C173:G173"/>
    <mergeCell ref="A174:B174"/>
    <mergeCell ref="C174:G174"/>
    <mergeCell ref="A175:B175"/>
    <mergeCell ref="C175:G175"/>
    <mergeCell ref="A170:B170"/>
    <mergeCell ref="C170:G170"/>
    <mergeCell ref="A171:B171"/>
    <mergeCell ref="C171:G171"/>
    <mergeCell ref="A172:B172"/>
    <mergeCell ref="C172:G172"/>
    <mergeCell ref="A168:B168"/>
    <mergeCell ref="C168:E168"/>
    <mergeCell ref="F168:H168"/>
    <mergeCell ref="I168:J168"/>
    <mergeCell ref="A169:B169"/>
    <mergeCell ref="C169:G169"/>
    <mergeCell ref="I163:J163"/>
    <mergeCell ref="B164:C164"/>
    <mergeCell ref="D164:E164"/>
    <mergeCell ref="F164:J164"/>
    <mergeCell ref="A167:B167"/>
    <mergeCell ref="C167:E167"/>
    <mergeCell ref="F167:H167"/>
    <mergeCell ref="I167:J167"/>
    <mergeCell ref="A160:B160"/>
    <mergeCell ref="C160:G160"/>
    <mergeCell ref="A161:G161"/>
    <mergeCell ref="A163:B163"/>
    <mergeCell ref="D163:E163"/>
    <mergeCell ref="G163:H163"/>
    <mergeCell ref="A157:B157"/>
    <mergeCell ref="C157:G157"/>
    <mergeCell ref="A158:B158"/>
    <mergeCell ref="C158:G158"/>
    <mergeCell ref="A159:B159"/>
    <mergeCell ref="C159:G159"/>
    <mergeCell ref="A154:B154"/>
    <mergeCell ref="C154:G154"/>
    <mergeCell ref="A155:B155"/>
    <mergeCell ref="C155:G155"/>
    <mergeCell ref="A156:B156"/>
    <mergeCell ref="C156:G156"/>
    <mergeCell ref="A152:B152"/>
    <mergeCell ref="C152:E152"/>
    <mergeCell ref="F152:H152"/>
    <mergeCell ref="I152:J152"/>
    <mergeCell ref="A153:B153"/>
    <mergeCell ref="C153:G153"/>
    <mergeCell ref="I147:J147"/>
    <mergeCell ref="B148:C148"/>
    <mergeCell ref="D148:E148"/>
    <mergeCell ref="F148:J148"/>
    <mergeCell ref="A151:B151"/>
    <mergeCell ref="C151:E151"/>
    <mergeCell ref="F151:H151"/>
    <mergeCell ref="I151:J151"/>
    <mergeCell ref="A144:B144"/>
    <mergeCell ref="C144:G144"/>
    <mergeCell ref="A145:G145"/>
    <mergeCell ref="A147:B147"/>
    <mergeCell ref="D147:E147"/>
    <mergeCell ref="G147:H147"/>
    <mergeCell ref="A141:B141"/>
    <mergeCell ref="C141:G141"/>
    <mergeCell ref="A142:B142"/>
    <mergeCell ref="C142:G142"/>
    <mergeCell ref="A143:B143"/>
    <mergeCell ref="C143:G143"/>
    <mergeCell ref="A138:B138"/>
    <mergeCell ref="C138:G138"/>
    <mergeCell ref="A139:B139"/>
    <mergeCell ref="C139:G139"/>
    <mergeCell ref="A140:B140"/>
    <mergeCell ref="C140:G140"/>
    <mergeCell ref="A136:B136"/>
    <mergeCell ref="C136:E136"/>
    <mergeCell ref="F136:H136"/>
    <mergeCell ref="I136:J136"/>
    <mergeCell ref="A137:B137"/>
    <mergeCell ref="C137:G137"/>
    <mergeCell ref="I131:J131"/>
    <mergeCell ref="B132:C132"/>
    <mergeCell ref="D132:E132"/>
    <mergeCell ref="F132:J132"/>
    <mergeCell ref="A135:B135"/>
    <mergeCell ref="C135:E135"/>
    <mergeCell ref="F135:H135"/>
    <mergeCell ref="I135:J135"/>
    <mergeCell ref="A128:B128"/>
    <mergeCell ref="C128:G128"/>
    <mergeCell ref="A129:G129"/>
    <mergeCell ref="A131:B131"/>
    <mergeCell ref="D131:E131"/>
    <mergeCell ref="G131:H131"/>
    <mergeCell ref="A125:B125"/>
    <mergeCell ref="C125:G125"/>
    <mergeCell ref="A126:B126"/>
    <mergeCell ref="C126:G126"/>
    <mergeCell ref="A127:B127"/>
    <mergeCell ref="C127:G127"/>
    <mergeCell ref="A122:B122"/>
    <mergeCell ref="C122:G122"/>
    <mergeCell ref="A123:B123"/>
    <mergeCell ref="C123:G123"/>
    <mergeCell ref="A124:B124"/>
    <mergeCell ref="C124:G124"/>
    <mergeCell ref="A120:B120"/>
    <mergeCell ref="C120:E120"/>
    <mergeCell ref="F120:H120"/>
    <mergeCell ref="I120:J120"/>
    <mergeCell ref="A121:B121"/>
    <mergeCell ref="C121:G121"/>
    <mergeCell ref="I115:J115"/>
    <mergeCell ref="B116:C116"/>
    <mergeCell ref="D116:E116"/>
    <mergeCell ref="F116:J116"/>
    <mergeCell ref="A119:B119"/>
    <mergeCell ref="C119:E119"/>
    <mergeCell ref="F119:H119"/>
    <mergeCell ref="I119:J119"/>
    <mergeCell ref="A112:B112"/>
    <mergeCell ref="C112:G112"/>
    <mergeCell ref="A113:G113"/>
    <mergeCell ref="A115:B115"/>
    <mergeCell ref="D115:E115"/>
    <mergeCell ref="G115:H115"/>
    <mergeCell ref="A109:B109"/>
    <mergeCell ref="C109:G109"/>
    <mergeCell ref="A110:B110"/>
    <mergeCell ref="C110:G110"/>
    <mergeCell ref="A111:B111"/>
    <mergeCell ref="C111:G111"/>
    <mergeCell ref="A106:B106"/>
    <mergeCell ref="C106:G106"/>
    <mergeCell ref="A107:B107"/>
    <mergeCell ref="C107:G107"/>
    <mergeCell ref="A108:B108"/>
    <mergeCell ref="C108:G108"/>
    <mergeCell ref="A104:B104"/>
    <mergeCell ref="C104:E104"/>
    <mergeCell ref="F104:H104"/>
    <mergeCell ref="I104:J104"/>
    <mergeCell ref="A105:B105"/>
    <mergeCell ref="C105:G105"/>
    <mergeCell ref="I99:J99"/>
    <mergeCell ref="B100:C100"/>
    <mergeCell ref="D100:E100"/>
    <mergeCell ref="F100:J100"/>
    <mergeCell ref="A103:B103"/>
    <mergeCell ref="C103:E103"/>
    <mergeCell ref="F103:H103"/>
    <mergeCell ref="I103:J103"/>
    <mergeCell ref="A96:B96"/>
    <mergeCell ref="C96:G96"/>
    <mergeCell ref="A97:G97"/>
    <mergeCell ref="A99:B99"/>
    <mergeCell ref="D99:E99"/>
    <mergeCell ref="G99:H99"/>
    <mergeCell ref="A93:B93"/>
    <mergeCell ref="C93:G93"/>
    <mergeCell ref="A94:B94"/>
    <mergeCell ref="C94:G94"/>
    <mergeCell ref="A95:B95"/>
    <mergeCell ref="C95:G95"/>
    <mergeCell ref="A90:B90"/>
    <mergeCell ref="C90:G90"/>
    <mergeCell ref="A91:B91"/>
    <mergeCell ref="C91:G91"/>
    <mergeCell ref="A92:B92"/>
    <mergeCell ref="C92:G92"/>
    <mergeCell ref="A88:B88"/>
    <mergeCell ref="C88:E88"/>
    <mergeCell ref="F88:H88"/>
    <mergeCell ref="I88:J88"/>
    <mergeCell ref="A89:B89"/>
    <mergeCell ref="C89:G89"/>
    <mergeCell ref="I83:J83"/>
    <mergeCell ref="B84:C84"/>
    <mergeCell ref="D84:E84"/>
    <mergeCell ref="F84:J84"/>
    <mergeCell ref="A87:B87"/>
    <mergeCell ref="C87:E87"/>
    <mergeCell ref="F87:H87"/>
    <mergeCell ref="I87:J87"/>
    <mergeCell ref="A80:B80"/>
    <mergeCell ref="C80:G80"/>
    <mergeCell ref="A81:G81"/>
    <mergeCell ref="A83:B83"/>
    <mergeCell ref="D83:E83"/>
    <mergeCell ref="G83:H83"/>
    <mergeCell ref="A77:B77"/>
    <mergeCell ref="C77:G77"/>
    <mergeCell ref="A78:B78"/>
    <mergeCell ref="C78:G78"/>
    <mergeCell ref="A79:B79"/>
    <mergeCell ref="C79:G79"/>
    <mergeCell ref="A74:B74"/>
    <mergeCell ref="C74:G74"/>
    <mergeCell ref="A75:B75"/>
    <mergeCell ref="C75:G75"/>
    <mergeCell ref="A76:B76"/>
    <mergeCell ref="C76:G76"/>
    <mergeCell ref="A72:B72"/>
    <mergeCell ref="C72:E72"/>
    <mergeCell ref="F72:H72"/>
    <mergeCell ref="I72:J72"/>
    <mergeCell ref="A73:B73"/>
    <mergeCell ref="C73:G73"/>
    <mergeCell ref="I67:J67"/>
    <mergeCell ref="B68:C68"/>
    <mergeCell ref="D68:E68"/>
    <mergeCell ref="F68:J68"/>
    <mergeCell ref="A71:B71"/>
    <mergeCell ref="C71:E71"/>
    <mergeCell ref="F71:H71"/>
    <mergeCell ref="I71:J71"/>
    <mergeCell ref="A64:B64"/>
    <mergeCell ref="C64:G64"/>
    <mergeCell ref="A65:G65"/>
    <mergeCell ref="A67:B67"/>
    <mergeCell ref="D67:E67"/>
    <mergeCell ref="G67:H67"/>
    <mergeCell ref="A61:B61"/>
    <mergeCell ref="C61:G61"/>
    <mergeCell ref="A62:B62"/>
    <mergeCell ref="C62:G62"/>
    <mergeCell ref="A63:B63"/>
    <mergeCell ref="C63:G63"/>
    <mergeCell ref="A58:B58"/>
    <mergeCell ref="C58:G58"/>
    <mergeCell ref="A59:B59"/>
    <mergeCell ref="C59:G59"/>
    <mergeCell ref="A60:B60"/>
    <mergeCell ref="C60:G60"/>
    <mergeCell ref="A56:B56"/>
    <mergeCell ref="C56:E56"/>
    <mergeCell ref="F56:H56"/>
    <mergeCell ref="I56:J56"/>
    <mergeCell ref="A57:B57"/>
    <mergeCell ref="C57:G57"/>
    <mergeCell ref="I51:J51"/>
    <mergeCell ref="B52:C52"/>
    <mergeCell ref="D52:E52"/>
    <mergeCell ref="F52:J52"/>
    <mergeCell ref="A55:B55"/>
    <mergeCell ref="C55:E55"/>
    <mergeCell ref="F55:H55"/>
    <mergeCell ref="I55:J55"/>
    <mergeCell ref="A48:B48"/>
    <mergeCell ref="C48:G48"/>
    <mergeCell ref="A49:G49"/>
    <mergeCell ref="A51:B51"/>
    <mergeCell ref="D51:E51"/>
    <mergeCell ref="G51:H51"/>
    <mergeCell ref="A45:B45"/>
    <mergeCell ref="C45:G45"/>
    <mergeCell ref="A46:B46"/>
    <mergeCell ref="C46:G46"/>
    <mergeCell ref="A47:B47"/>
    <mergeCell ref="C47:G47"/>
    <mergeCell ref="A42:B42"/>
    <mergeCell ref="C42:G42"/>
    <mergeCell ref="A43:B43"/>
    <mergeCell ref="C43:G43"/>
    <mergeCell ref="A44:B44"/>
    <mergeCell ref="C44:G44"/>
    <mergeCell ref="A40:B40"/>
    <mergeCell ref="C40:E40"/>
    <mergeCell ref="F40:H40"/>
    <mergeCell ref="I40:J40"/>
    <mergeCell ref="A41:B41"/>
    <mergeCell ref="C41:G41"/>
    <mergeCell ref="I35:J35"/>
    <mergeCell ref="B36:C36"/>
    <mergeCell ref="D36:E36"/>
    <mergeCell ref="F36:J36"/>
    <mergeCell ref="A39:B39"/>
    <mergeCell ref="C39:E39"/>
    <mergeCell ref="F39:H39"/>
    <mergeCell ref="I39:J39"/>
    <mergeCell ref="A32:B32"/>
    <mergeCell ref="C32:G32"/>
    <mergeCell ref="A33:G33"/>
    <mergeCell ref="A35:B35"/>
    <mergeCell ref="D35:E35"/>
    <mergeCell ref="G35:H35"/>
    <mergeCell ref="A29:B29"/>
    <mergeCell ref="C29:G29"/>
    <mergeCell ref="A30:B30"/>
    <mergeCell ref="C30:G30"/>
    <mergeCell ref="A31:B31"/>
    <mergeCell ref="C31:G31"/>
    <mergeCell ref="A26:B26"/>
    <mergeCell ref="C26:G26"/>
    <mergeCell ref="A27:B27"/>
    <mergeCell ref="C27:G27"/>
    <mergeCell ref="A28:B28"/>
    <mergeCell ref="C28:G28"/>
    <mergeCell ref="A24:B24"/>
    <mergeCell ref="C24:E24"/>
    <mergeCell ref="F24:H24"/>
    <mergeCell ref="I24:J24"/>
    <mergeCell ref="A25:B25"/>
    <mergeCell ref="C25:G25"/>
    <mergeCell ref="I19:J19"/>
    <mergeCell ref="B20:C20"/>
    <mergeCell ref="D20:E20"/>
    <mergeCell ref="F20:J20"/>
    <mergeCell ref="A23:B23"/>
    <mergeCell ref="C23:E23"/>
    <mergeCell ref="F23:H23"/>
    <mergeCell ref="I23:J23"/>
    <mergeCell ref="A16:B16"/>
    <mergeCell ref="C16:G16"/>
    <mergeCell ref="A17:G17"/>
    <mergeCell ref="A19:B19"/>
    <mergeCell ref="D19:E19"/>
    <mergeCell ref="G19:H19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</mergeCells>
  <conditionalFormatting sqref="I1:I20 I23:I36 I39:I52 I55:I68 I71:I84 I87:I100 I103:I116 I119:I132 I135:I148 I151:I164 I167:I180 I183:I196 I199:I212 I215:I228 I231:I244 I247:I260 I263:I276 I279:I292 I295:I308 I311:I324 I327:I340 I343:I356 I359:I372 I375:I388 I391:I404 I407:I420 I423:I436 I439:I452 I455:I468 I471:I484 I487:I500 I503:I516 I519:I532 I535:I548 I551:I564 I567:I580 I583:I596 I599:I612">
    <cfRule type="containsText" dxfId="5" priority="4" operator="containsText" text="Dt">
      <formula>NOT(ISERROR(SEARCH("Dt",I1)))</formula>
    </cfRule>
    <cfRule type="containsText" dxfId="4" priority="5" operator="containsText" text="Ab">
      <formula>NOT(ISERROR(SEARCH("Ab",I1)))</formula>
    </cfRule>
    <cfRule type="containsText" dxfId="3" priority="6" operator="containsText" text="F">
      <formula>NOT(ISERROR(SEARCH("F",I1)))</formula>
    </cfRule>
  </conditionalFormatting>
  <conditionalFormatting sqref="I615:I628">
    <cfRule type="containsText" dxfId="2" priority="1" operator="containsText" text="Dt">
      <formula>NOT(ISERROR(SEARCH("Dt",I615)))</formula>
    </cfRule>
    <cfRule type="containsText" dxfId="1" priority="2" operator="containsText" text="Ab">
      <formula>NOT(ISERROR(SEARCH("Ab",I615)))</formula>
    </cfRule>
    <cfRule type="containsText" dxfId="0" priority="3" operator="containsText" text="F">
      <formula>NOT(ISERROR(SEARCH("F",I615)))</formula>
    </cfRule>
  </conditionalFormatting>
  <printOptions horizontalCentered="1"/>
  <pageMargins left="0.31496062992125984" right="0.31496062992125984" top="0.35433070866141736" bottom="0.35433070866141736" header="0.11811023622047245" footer="0.31496062992125984"/>
  <pageSetup paperSize="9" orientation="portrait" r:id="rId1"/>
  <headerFooter>
    <oddHeader>&amp;C&amp;G</oddHeader>
    <oddFooter xml:space="preserve">&amp;L&amp;"Times New Roman,Bold"&amp;12Prepared by                           Checked by
01.08.2024&amp;C&amp;"Times New Roman,Bold"&amp;12                                                  Examination Controller
&amp;R&amp;"Times New Roman,Bold"&amp;12Director
</oddFooter>
  </headerFooter>
  <rowBreaks count="37" manualBreakCount="37">
    <brk id="22" max="16383" man="1"/>
    <brk id="38" max="16383" man="1"/>
    <brk id="54" max="16383" man="1"/>
    <brk id="70" max="16383" man="1"/>
    <brk id="86" max="16383" man="1"/>
    <brk id="102" max="16383" man="1"/>
    <brk id="118" max="16383" man="1"/>
    <brk id="134" max="16383" man="1"/>
    <brk id="150" max="16383" man="1"/>
    <brk id="166" max="16383" man="1"/>
    <brk id="182" max="16383" man="1"/>
    <brk id="198" max="16383" man="1"/>
    <brk id="214" max="16383" man="1"/>
    <brk id="230" max="16383" man="1"/>
    <brk id="246" max="16383" man="1"/>
    <brk id="262" max="16383" man="1"/>
    <brk id="278" max="16383" man="1"/>
    <brk id="294" max="16383" man="1"/>
    <brk id="310" max="16383" man="1"/>
    <brk id="326" max="16383" man="1"/>
    <brk id="342" max="16383" man="1"/>
    <brk id="358" max="16383" man="1"/>
    <brk id="374" max="16383" man="1"/>
    <brk id="390" max="16383" man="1"/>
    <brk id="406" max="16383" man="1"/>
    <brk id="422" max="16383" man="1"/>
    <brk id="438" max="16383" man="1"/>
    <brk id="454" max="16383" man="1"/>
    <brk id="470" max="16383" man="1"/>
    <brk id="486" max="16383" man="1"/>
    <brk id="502" max="16383" man="1"/>
    <brk id="518" max="16383" man="1"/>
    <brk id="534" max="16383" man="1"/>
    <brk id="550" max="16383" man="1"/>
    <brk id="566" max="16383" man="1"/>
    <brk id="582" max="16383" man="1"/>
    <brk id="598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SEM_I</vt:lpstr>
      <vt:lpstr>SEM_II</vt:lpstr>
      <vt:lpstr>SEM_III</vt:lpstr>
      <vt:lpstr>SEM_IV</vt:lpstr>
      <vt:lpstr>TC_I</vt:lpstr>
      <vt:lpstr>TC_II</vt:lpstr>
      <vt:lpstr>TC_III</vt:lpstr>
      <vt:lpstr>TC_IV</vt:lpstr>
      <vt:lpstr>Marksheets</vt:lpstr>
      <vt:lpstr>GS_I</vt:lpstr>
      <vt:lpstr>GS_II</vt:lpstr>
      <vt:lpstr>GS_III</vt:lpstr>
      <vt:lpstr>GS_IV</vt:lpstr>
      <vt:lpstr>I</vt:lpstr>
      <vt:lpstr>II</vt:lpstr>
      <vt:lpstr>III</vt:lpstr>
      <vt:lpstr>IV</vt:lpstr>
      <vt:lpstr>GS_I!Print_Titles</vt:lpstr>
      <vt:lpstr>GS_II!Print_Titles</vt:lpstr>
      <vt:lpstr>GS_III!Print_Titles</vt:lpstr>
      <vt:lpstr>GS_IV!Print_Titles</vt:lpstr>
      <vt:lpstr>Marksheets!Print_Titles</vt:lpstr>
      <vt:lpstr>TC_I!Print_Titles</vt:lpstr>
      <vt:lpstr>TC_II!Print_Titles</vt:lpstr>
      <vt:lpstr>TC_III!Print_Titles</vt:lpstr>
      <vt:lpstr>TC_IV!Print_Titles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2176</cp:lastModifiedBy>
  <cp:lastPrinted>2026-04-24T04:41:49Z</cp:lastPrinted>
  <dcterms:created xsi:type="dcterms:W3CDTF">2024-01-23T09:27:10Z</dcterms:created>
  <dcterms:modified xsi:type="dcterms:W3CDTF">2026-04-24T04:42:00Z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